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80" yWindow="-105" windowWidth="19440" windowHeight="8895" tabRatio="798" activeTab="1"/>
  </bookViews>
  <sheets>
    <sheet name="SUMM (ALL FUNDS)" sheetId="32" r:id="rId1"/>
    <sheet name="CY (ALL FUNDS)" sheetId="8" r:id="rId2"/>
    <sheet name="CONAP (ALL FUNDS)" sheetId="11" r:id="rId3"/>
    <sheet name="SUMM BY CLUSTER- CURRENT" sheetId="22" state="hidden" r:id="rId4"/>
    <sheet name="SUMM BY CLUSTER- CONAP" sheetId="23" state="hidden" r:id="rId5"/>
    <sheet name="CY-FUR (REG)- Detail" sheetId="1" state="hidden" r:id="rId6"/>
    <sheet name="CONAP-FUR (REG)-Detail" sheetId="7" state="hidden" r:id="rId7"/>
    <sheet name="SUMM1-CY" sheetId="33" state="hidden" r:id="rId8"/>
    <sheet name="SUMM1-CONAP" sheetId="34" state="hidden" r:id="rId9"/>
    <sheet name="OSEC-CY" sheetId="15" state="hidden" r:id="rId10"/>
    <sheet name="OSEC-CONAP" sheetId="17" state="hidden" r:id="rId11"/>
    <sheet name="FAPS-CY" sheetId="16" state="hidden" r:id="rId12"/>
    <sheet name="FAPS-CONAP" sheetId="18" state="hidden" r:id="rId13"/>
    <sheet name="VIS-CURRENT (REG)" sheetId="26" state="hidden" r:id="rId14"/>
    <sheet name="VIS-CONAP (REG)" sheetId="30" state="hidden" r:id="rId15"/>
    <sheet name="MIN-CURRENT (REG)" sheetId="27" state="hidden" r:id="rId16"/>
    <sheet name="MIN-CONAP (REG)" sheetId="31" state="hidden" r:id="rId17"/>
    <sheet name="N&amp;CL-CURRENT (REG)" sheetId="25" state="hidden" r:id="rId18"/>
    <sheet name="N&amp;CL-CONAP (REG)" sheetId="28" state="hidden" r:id="rId19"/>
    <sheet name="NCR&amp;SL-CURRENT (REG)" sheetId="24" state="hidden" r:id="rId20"/>
    <sheet name="NCR&amp;SL-CONAP (REG)" sheetId="29" state="hidden" r:id="rId21"/>
    <sheet name="SUMM BY CLUSTER-CY2013(osec BC)" sheetId="13" state="hidden" r:id="rId22"/>
    <sheet name="SUMM BY CLUSTER-CONAP(osec BC)" sheetId="1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2" hidden="1">'CONAP (ALL FUNDS)'!$A$7:$AD$1419</definedName>
    <definedName name="_xlnm._FilterDatabase" localSheetId="6" hidden="1">'CONAP-FUR (REG)-Detail'!$B$7:$AT$267</definedName>
    <definedName name="_xlnm._FilterDatabase" localSheetId="1" hidden="1">'CY (ALL FUNDS)'!$A$7:$AK$2065</definedName>
    <definedName name="_xlnm._FilterDatabase" localSheetId="5" hidden="1">'CY-FUR (REG)- Detail'!$B$6:$BM$267</definedName>
    <definedName name="_xlnm._FilterDatabase" localSheetId="9" hidden="1">'OSEC-CY'!$A$10:$P$373</definedName>
    <definedName name="_xlnm._FilterDatabase" localSheetId="3" hidden="1" xml:space="preserve"> 'SUMM BY CLUSTER- CURRENT'!$A$7:$BE$158</definedName>
    <definedName name="_xlnm._FilterDatabase" localSheetId="22" hidden="1">'SUMM BY CLUSTER-CONAP(osec BC)'!$B$7:$AP$79</definedName>
    <definedName name="_xlnm._FilterDatabase" localSheetId="21" hidden="1">'SUMM BY CLUSTER-CY2013(osec BC)'!$B$7:$BF$92</definedName>
    <definedName name="_xlnm.Print_Area" localSheetId="2">'CONAP (ALL FUNDS)'!$C$1:$V$1393</definedName>
    <definedName name="_xlnm.Print_Area" localSheetId="6">'CONAP-FUR (REG)-Detail'!$AI$5:$AL$74</definedName>
    <definedName name="_xlnm.Print_Area" localSheetId="1">'CY (ALL FUNDS)'!$C$1:$V$1859</definedName>
    <definedName name="_xlnm.Print_Area" localSheetId="5">'CY-FUR (REG)- Detail'!$B$1:$BB$267</definedName>
    <definedName name="_xlnm.Print_Area" localSheetId="10">'OSEC-CONAP'!$A$1:$K$333</definedName>
    <definedName name="_xlnm.Print_Area" localSheetId="9">'OSEC-CY'!$A$1:$K$366</definedName>
    <definedName name="_xlnm.Print_Area" localSheetId="0">'SUMM (ALL FUNDS)'!$A$1:$Q$45</definedName>
    <definedName name="_xlnm.Print_Area" localSheetId="4">'SUMM BY CLUSTER- CONAP'!$A$1:$AO$138</definedName>
    <definedName name="_xlnm.Print_Area" localSheetId="3">'SUMM BY CLUSTER- CURRENT'!$A$1:$BA$138</definedName>
    <definedName name="_xlnm.Print_Area" localSheetId="22">'SUMM BY CLUSTER-CONAP(osec BC)'!$B$1:$AP$76</definedName>
    <definedName name="_xlnm.Print_Area" localSheetId="21">'SUMM BY CLUSTER-CY2013(osec BC)'!$A$5:$F$48</definedName>
    <definedName name="_xlnm.Print_Titles" localSheetId="2">'CONAP (ALL FUNDS)'!$C:$E,'CONAP (ALL FUNDS)'!$6:$7</definedName>
    <definedName name="_xlnm.Print_Titles" localSheetId="6">'CONAP-FUR (REG)-Detail'!$B:$B,'CONAP-FUR (REG)-Detail'!$5:$7</definedName>
    <definedName name="_xlnm.Print_Titles" localSheetId="1">'CY (ALL FUNDS)'!$C:$E,'CY (ALL FUNDS)'!$1:$7</definedName>
    <definedName name="_xlnm.Print_Titles" localSheetId="5">'CY-FUR (REG)- Detail'!$B:$B,'CY-FUR (REG)- Detail'!$1:$7</definedName>
    <definedName name="_xlnm.Print_Titles" localSheetId="10">'OSEC-CONAP'!$9:$10</definedName>
    <definedName name="_xlnm.Print_Titles" localSheetId="9">'OSEC-CY'!$9:$10</definedName>
    <definedName name="_xlnm.Print_Titles" localSheetId="3">'SUMM BY CLUSTER- CURRENT'!$A:$A,'SUMM BY CLUSTER- CURRENT'!$5:$7</definedName>
    <definedName name="_xlnm.Print_Titles" localSheetId="22">'SUMM BY CLUSTER-CONAP(osec BC)'!$B:$B,'SUMM BY CLUSTER-CONAP(osec BC)'!$5:$7</definedName>
    <definedName name="_xlnm.Print_Titles" localSheetId="21">'SUMM BY CLUSTER-CY2013(osec BC)'!$B:$B,'SUMM BY CLUSTER-CY2013(osec BC)'!$5:$7</definedName>
  </definedNames>
  <calcPr calcId="124519"/>
</workbook>
</file>

<file path=xl/calcChain.xml><?xml version="1.0" encoding="utf-8"?>
<calcChain xmlns="http://schemas.openxmlformats.org/spreadsheetml/2006/main">
  <c r="D298" i="17"/>
  <c r="I15" i="15" l="1"/>
  <c r="I14"/>
  <c r="BF133" i="22"/>
  <c r="BF128"/>
  <c r="BF123"/>
  <c r="BF117"/>
  <c r="BF105"/>
  <c r="BF100"/>
  <c r="BF91"/>
  <c r="BF83"/>
  <c r="BF75"/>
  <c r="BF68"/>
  <c r="BF62"/>
  <c r="BF54"/>
  <c r="BF48"/>
  <c r="BF43"/>
  <c r="BF39"/>
  <c r="BF32"/>
  <c r="BF16"/>
  <c r="BF14"/>
  <c r="BF12"/>
  <c r="BF11"/>
  <c r="BF10"/>
  <c r="BF246" i="1"/>
  <c r="BF241"/>
  <c r="BF238"/>
  <c r="BF233"/>
  <c r="BF230"/>
  <c r="BF225"/>
  <c r="BF221"/>
  <c r="BF216"/>
  <c r="BF207"/>
  <c r="BF202"/>
  <c r="BF199"/>
  <c r="BF194"/>
  <c r="BF187"/>
  <c r="BF182"/>
  <c r="BF177"/>
  <c r="BF172"/>
  <c r="BF168"/>
  <c r="BF163"/>
  <c r="BF160"/>
  <c r="BF155"/>
  <c r="BF153"/>
  <c r="BF148"/>
  <c r="BF142"/>
  <c r="BF137"/>
  <c r="BF132"/>
  <c r="BF127"/>
  <c r="BF122"/>
  <c r="BF117"/>
  <c r="BF113"/>
  <c r="BF108"/>
  <c r="BF103"/>
  <c r="BF98"/>
  <c r="BF96"/>
  <c r="BF95"/>
  <c r="BF94"/>
  <c r="BF93"/>
  <c r="BF92"/>
  <c r="BF91"/>
  <c r="BF90"/>
  <c r="BF89"/>
  <c r="BF88"/>
  <c r="BF87"/>
  <c r="BF86"/>
  <c r="BF85"/>
  <c r="BF84"/>
  <c r="BF83"/>
  <c r="BF82"/>
  <c r="BF81"/>
  <c r="BF80"/>
  <c r="R1362" i="11"/>
  <c r="V1358"/>
  <c r="U1358"/>
  <c r="T1358"/>
  <c r="S1358"/>
  <c r="V1353"/>
  <c r="U1353"/>
  <c r="T1353"/>
  <c r="S1353"/>
  <c r="V1351"/>
  <c r="U1351"/>
  <c r="T1351"/>
  <c r="S1351"/>
  <c r="V1350"/>
  <c r="U1350"/>
  <c r="T1350"/>
  <c r="S1350"/>
  <c r="V1346"/>
  <c r="U1346"/>
  <c r="T1346"/>
  <c r="S1346"/>
  <c r="V1345"/>
  <c r="U1345"/>
  <c r="T1345"/>
  <c r="S1345"/>
  <c r="V1344"/>
  <c r="U1344"/>
  <c r="T1344"/>
  <c r="S1344"/>
  <c r="V1343"/>
  <c r="U1343"/>
  <c r="T1343"/>
  <c r="S1343"/>
  <c r="V1340"/>
  <c r="U1340"/>
  <c r="T1340"/>
  <c r="S1340"/>
  <c r="F1339"/>
  <c r="S1339" s="1"/>
  <c r="V1337"/>
  <c r="U1337"/>
  <c r="T1337"/>
  <c r="S1337"/>
  <c r="V1336"/>
  <c r="U1336"/>
  <c r="T1336"/>
  <c r="S1336"/>
  <c r="V1332"/>
  <c r="U1332"/>
  <c r="T1332"/>
  <c r="S1332"/>
  <c r="V1331"/>
  <c r="U1331"/>
  <c r="T1331"/>
  <c r="S1331"/>
  <c r="J1330"/>
  <c r="F1330"/>
  <c r="S1330" s="1"/>
  <c r="J1329"/>
  <c r="F1329"/>
  <c r="S1329" s="1"/>
  <c r="V1328"/>
  <c r="U1328"/>
  <c r="T1328"/>
  <c r="S1328"/>
  <c r="V1327"/>
  <c r="U1327"/>
  <c r="T1327"/>
  <c r="S1327"/>
  <c r="J1326"/>
  <c r="F1326"/>
  <c r="S1326" s="1"/>
  <c r="J1325"/>
  <c r="F1325"/>
  <c r="S1325" s="1"/>
  <c r="V1324"/>
  <c r="U1324"/>
  <c r="T1324"/>
  <c r="S1324"/>
  <c r="V1323"/>
  <c r="U1323"/>
  <c r="T1323"/>
  <c r="S1323"/>
  <c r="L1322"/>
  <c r="L1357" s="1"/>
  <c r="K1322"/>
  <c r="K1357" s="1"/>
  <c r="J1322"/>
  <c r="J1357" s="1"/>
  <c r="H1322"/>
  <c r="U1322" s="1"/>
  <c r="G1322"/>
  <c r="G1357" s="1"/>
  <c r="F1322"/>
  <c r="S1322" s="1"/>
  <c r="L1321"/>
  <c r="L1356" s="1"/>
  <c r="K1321"/>
  <c r="K1356" s="1"/>
  <c r="J1321"/>
  <c r="J1356" s="1"/>
  <c r="H1321"/>
  <c r="U1321" s="1"/>
  <c r="G1321"/>
  <c r="G1356" s="1"/>
  <c r="F1321"/>
  <c r="S1321" s="1"/>
  <c r="L1320"/>
  <c r="L1355" s="1"/>
  <c r="K1320"/>
  <c r="K1355" s="1"/>
  <c r="J1320"/>
  <c r="J1355" s="1"/>
  <c r="H1320"/>
  <c r="U1320" s="1"/>
  <c r="G1320"/>
  <c r="G1355" s="1"/>
  <c r="F1320"/>
  <c r="S1320" s="1"/>
  <c r="L1319"/>
  <c r="L1354" s="1"/>
  <c r="L1352" s="1"/>
  <c r="K1319"/>
  <c r="K1354" s="1"/>
  <c r="K1352" s="1"/>
  <c r="J1319"/>
  <c r="J1354" s="1"/>
  <c r="H1319"/>
  <c r="G1319"/>
  <c r="G1354" s="1"/>
  <c r="F1319"/>
  <c r="S1319" s="1"/>
  <c r="V1318"/>
  <c r="U1318"/>
  <c r="T1318"/>
  <c r="S1318"/>
  <c r="L1317"/>
  <c r="K1317"/>
  <c r="J1317"/>
  <c r="H1317"/>
  <c r="G1317"/>
  <c r="F1317"/>
  <c r="V1316"/>
  <c r="U1316"/>
  <c r="T1316"/>
  <c r="S1316"/>
  <c r="V1315"/>
  <c r="U1315"/>
  <c r="T1315"/>
  <c r="S1315"/>
  <c r="V1314"/>
  <c r="U1314"/>
  <c r="T1314"/>
  <c r="S1314"/>
  <c r="V1307"/>
  <c r="U1307"/>
  <c r="T1307"/>
  <c r="S1307"/>
  <c r="S1306"/>
  <c r="S1305"/>
  <c r="F1304"/>
  <c r="V1298"/>
  <c r="U1298"/>
  <c r="T1298"/>
  <c r="S1298"/>
  <c r="V1292"/>
  <c r="U1292"/>
  <c r="T1292"/>
  <c r="S1292"/>
  <c r="K1287"/>
  <c r="G1287"/>
  <c r="T1287" s="1"/>
  <c r="V1285"/>
  <c r="U1285"/>
  <c r="T1285"/>
  <c r="S1285"/>
  <c r="V1279"/>
  <c r="U1279"/>
  <c r="T1279"/>
  <c r="S1279"/>
  <c r="L1278"/>
  <c r="K1278"/>
  <c r="J1278"/>
  <c r="H1278"/>
  <c r="U1278" s="1"/>
  <c r="G1278"/>
  <c r="F1278"/>
  <c r="L1277"/>
  <c r="K1277"/>
  <c r="J1277"/>
  <c r="H1277"/>
  <c r="U1277" s="1"/>
  <c r="G1277"/>
  <c r="F1277"/>
  <c r="L1276"/>
  <c r="K1276"/>
  <c r="J1276"/>
  <c r="H1276"/>
  <c r="U1276" s="1"/>
  <c r="G1276"/>
  <c r="F1276"/>
  <c r="S1276" s="1"/>
  <c r="V1275"/>
  <c r="U1275"/>
  <c r="T1275"/>
  <c r="S1275"/>
  <c r="L1274"/>
  <c r="K1274"/>
  <c r="J1274"/>
  <c r="H1274"/>
  <c r="G1274"/>
  <c r="F1274"/>
  <c r="L1273"/>
  <c r="K1273"/>
  <c r="K1272" s="1"/>
  <c r="J1273"/>
  <c r="J1272" s="1"/>
  <c r="H1273"/>
  <c r="G1273"/>
  <c r="G1272" s="1"/>
  <c r="F1273"/>
  <c r="F1272" s="1"/>
  <c r="L1272"/>
  <c r="H1272"/>
  <c r="V1271"/>
  <c r="U1271"/>
  <c r="T1271"/>
  <c r="S1271"/>
  <c r="U1270"/>
  <c r="T1270"/>
  <c r="S1270"/>
  <c r="I1270"/>
  <c r="V1270" s="1"/>
  <c r="V1269"/>
  <c r="U1269"/>
  <c r="T1269"/>
  <c r="S1269"/>
  <c r="V1268"/>
  <c r="U1268"/>
  <c r="T1268"/>
  <c r="S1268"/>
  <c r="S1266"/>
  <c r="N1266"/>
  <c r="L1266"/>
  <c r="L1330" s="1"/>
  <c r="L1329" s="1"/>
  <c r="K1266"/>
  <c r="K1330" s="1"/>
  <c r="K1329" s="1"/>
  <c r="H1266"/>
  <c r="H1330" s="1"/>
  <c r="G1266"/>
  <c r="G1330" s="1"/>
  <c r="L1265"/>
  <c r="K1265"/>
  <c r="J1265"/>
  <c r="H1265"/>
  <c r="U1265" s="1"/>
  <c r="F1265"/>
  <c r="S1265" s="1"/>
  <c r="V1264"/>
  <c r="U1264"/>
  <c r="T1264"/>
  <c r="S1264"/>
  <c r="V1263"/>
  <c r="U1263"/>
  <c r="T1263"/>
  <c r="S1263"/>
  <c r="L1261"/>
  <c r="L1291" s="1"/>
  <c r="L1348" s="1"/>
  <c r="K1261"/>
  <c r="K1291" s="1"/>
  <c r="K1348" s="1"/>
  <c r="J1261"/>
  <c r="J1291" s="1"/>
  <c r="H1261"/>
  <c r="H1291" s="1"/>
  <c r="G1261"/>
  <c r="G1291" s="1"/>
  <c r="F1261"/>
  <c r="F1291" s="1"/>
  <c r="L1260"/>
  <c r="L1290" s="1"/>
  <c r="K1260"/>
  <c r="K1290" s="1"/>
  <c r="J1260"/>
  <c r="J1290" s="1"/>
  <c r="H1260"/>
  <c r="H1290" s="1"/>
  <c r="G1260"/>
  <c r="G1290" s="1"/>
  <c r="F1260"/>
  <c r="F1290" s="1"/>
  <c r="L1259"/>
  <c r="L1289" s="1"/>
  <c r="L1288" s="1"/>
  <c r="K1259"/>
  <c r="K1289" s="1"/>
  <c r="K1288" s="1"/>
  <c r="K1286" s="1"/>
  <c r="J1259"/>
  <c r="J1289" s="1"/>
  <c r="H1259"/>
  <c r="H1289" s="1"/>
  <c r="G1259"/>
  <c r="G1289" s="1"/>
  <c r="F1259"/>
  <c r="F1289" s="1"/>
  <c r="L1258"/>
  <c r="K1258"/>
  <c r="K1262" s="1"/>
  <c r="J1258"/>
  <c r="H1258"/>
  <c r="U1258" s="1"/>
  <c r="G1258"/>
  <c r="G1262" s="1"/>
  <c r="F1258"/>
  <c r="T1257"/>
  <c r="O1257"/>
  <c r="L1257"/>
  <c r="L1287" s="1"/>
  <c r="L1286" s="1"/>
  <c r="J1257"/>
  <c r="J1287" s="1"/>
  <c r="H1257"/>
  <c r="H1287" s="1"/>
  <c r="F1257"/>
  <c r="F1287" s="1"/>
  <c r="U1256"/>
  <c r="T1256"/>
  <c r="S1256"/>
  <c r="P1256"/>
  <c r="O1256"/>
  <c r="N1256"/>
  <c r="M1256"/>
  <c r="I1256"/>
  <c r="V1256" s="1"/>
  <c r="V1255"/>
  <c r="U1255"/>
  <c r="T1255"/>
  <c r="S1255"/>
  <c r="J1253"/>
  <c r="F1253"/>
  <c r="S1253" s="1"/>
  <c r="J1252"/>
  <c r="F1252"/>
  <c r="S1252" s="1"/>
  <c r="V1251"/>
  <c r="U1251"/>
  <c r="T1251"/>
  <c r="S1251"/>
  <c r="U1245"/>
  <c r="T1245"/>
  <c r="S1245"/>
  <c r="P1245"/>
  <c r="O1245"/>
  <c r="N1245"/>
  <c r="M1245"/>
  <c r="I1245"/>
  <c r="V1245" s="1"/>
  <c r="V1244"/>
  <c r="U1244"/>
  <c r="T1244"/>
  <c r="S1244"/>
  <c r="S1242"/>
  <c r="N1242"/>
  <c r="L1242"/>
  <c r="K1242"/>
  <c r="M1242" s="1"/>
  <c r="H1242"/>
  <c r="U1242" s="1"/>
  <c r="G1242"/>
  <c r="T1242" s="1"/>
  <c r="L1241"/>
  <c r="K1241"/>
  <c r="J1241"/>
  <c r="H1241"/>
  <c r="F1241"/>
  <c r="V1240"/>
  <c r="U1240"/>
  <c r="T1240"/>
  <c r="S1240"/>
  <c r="L1238"/>
  <c r="K1238"/>
  <c r="J1238"/>
  <c r="H1238"/>
  <c r="U1238" s="1"/>
  <c r="G1238"/>
  <c r="T1238" s="1"/>
  <c r="F1238"/>
  <c r="I1238" s="1"/>
  <c r="V1238" s="1"/>
  <c r="L1237"/>
  <c r="K1237"/>
  <c r="J1237"/>
  <c r="H1237"/>
  <c r="U1237" s="1"/>
  <c r="G1237"/>
  <c r="T1237" s="1"/>
  <c r="F1237"/>
  <c r="I1237" s="1"/>
  <c r="V1237" s="1"/>
  <c r="L1236"/>
  <c r="K1236"/>
  <c r="J1236"/>
  <c r="H1236"/>
  <c r="G1236"/>
  <c r="F1236"/>
  <c r="L1235"/>
  <c r="K1235"/>
  <c r="J1235"/>
  <c r="H1235"/>
  <c r="U1235" s="1"/>
  <c r="G1235"/>
  <c r="F1235"/>
  <c r="I1235" s="1"/>
  <c r="U1234"/>
  <c r="T1234"/>
  <c r="S1234"/>
  <c r="P1234"/>
  <c r="O1234"/>
  <c r="N1234"/>
  <c r="M1234"/>
  <c r="I1234"/>
  <c r="V1234" s="1"/>
  <c r="V1233"/>
  <c r="U1233"/>
  <c r="T1233"/>
  <c r="S1233"/>
  <c r="S1231"/>
  <c r="N1231"/>
  <c r="L1231"/>
  <c r="K1231"/>
  <c r="M1231" s="1"/>
  <c r="H1231"/>
  <c r="U1231" s="1"/>
  <c r="G1231"/>
  <c r="I1231" s="1"/>
  <c r="V1231" s="1"/>
  <c r="L1230"/>
  <c r="K1230"/>
  <c r="J1230"/>
  <c r="H1230"/>
  <c r="F1230"/>
  <c r="V1229"/>
  <c r="U1229"/>
  <c r="T1229"/>
  <c r="S1229"/>
  <c r="L1227"/>
  <c r="K1227"/>
  <c r="J1227"/>
  <c r="H1227"/>
  <c r="U1227" s="1"/>
  <c r="G1227"/>
  <c r="T1227" s="1"/>
  <c r="F1227"/>
  <c r="S1227" s="1"/>
  <c r="L1226"/>
  <c r="K1226"/>
  <c r="J1226"/>
  <c r="M1226" s="1"/>
  <c r="H1226"/>
  <c r="U1226" s="1"/>
  <c r="G1226"/>
  <c r="T1226" s="1"/>
  <c r="F1226"/>
  <c r="S1226" s="1"/>
  <c r="L1225"/>
  <c r="K1225"/>
  <c r="J1225"/>
  <c r="H1225"/>
  <c r="G1225"/>
  <c r="F1225"/>
  <c r="L1224"/>
  <c r="J1224"/>
  <c r="H1224"/>
  <c r="U1224" s="1"/>
  <c r="G1224"/>
  <c r="F1224"/>
  <c r="S1224" s="1"/>
  <c r="U1223"/>
  <c r="T1223"/>
  <c r="S1223"/>
  <c r="P1223"/>
  <c r="O1223"/>
  <c r="N1223"/>
  <c r="M1223"/>
  <c r="I1223"/>
  <c r="V1223" s="1"/>
  <c r="V1222"/>
  <c r="U1222"/>
  <c r="T1222"/>
  <c r="S1222"/>
  <c r="S1220"/>
  <c r="N1220"/>
  <c r="L1220"/>
  <c r="L1326" s="1"/>
  <c r="K1220"/>
  <c r="K1326" s="1"/>
  <c r="H1220"/>
  <c r="H1326" s="1"/>
  <c r="G1220"/>
  <c r="G1326" s="1"/>
  <c r="L1219"/>
  <c r="K1219"/>
  <c r="J1219"/>
  <c r="H1219"/>
  <c r="F1219"/>
  <c r="V1218"/>
  <c r="U1218"/>
  <c r="T1218"/>
  <c r="S1218"/>
  <c r="L1216"/>
  <c r="L1284" s="1"/>
  <c r="K1216"/>
  <c r="K1284" s="1"/>
  <c r="J1216"/>
  <c r="J1284" s="1"/>
  <c r="H1216"/>
  <c r="H1284" s="1"/>
  <c r="G1216"/>
  <c r="G1284" s="1"/>
  <c r="F1216"/>
  <c r="F1284" s="1"/>
  <c r="L1215"/>
  <c r="L1283" s="1"/>
  <c r="L1282" s="1"/>
  <c r="K1215"/>
  <c r="K1283" s="1"/>
  <c r="K1282" s="1"/>
  <c r="J1215"/>
  <c r="J1283" s="1"/>
  <c r="H1215"/>
  <c r="H1283" s="1"/>
  <c r="G1215"/>
  <c r="G1283" s="1"/>
  <c r="F1215"/>
  <c r="F1283" s="1"/>
  <c r="L1214"/>
  <c r="K1214"/>
  <c r="J1214"/>
  <c r="H1214"/>
  <c r="G1214"/>
  <c r="F1214"/>
  <c r="L1213"/>
  <c r="L1281" s="1"/>
  <c r="L1280" s="1"/>
  <c r="J1213"/>
  <c r="J1281" s="1"/>
  <c r="H1213"/>
  <c r="H1281" s="1"/>
  <c r="G1213"/>
  <c r="G1281" s="1"/>
  <c r="F1213"/>
  <c r="F1281" s="1"/>
  <c r="U1212"/>
  <c r="T1212"/>
  <c r="S1212"/>
  <c r="P1212"/>
  <c r="O1212"/>
  <c r="N1212"/>
  <c r="M1212"/>
  <c r="I1212"/>
  <c r="V1212" s="1"/>
  <c r="U1211"/>
  <c r="T1211"/>
  <c r="S1211"/>
  <c r="P1211"/>
  <c r="O1211"/>
  <c r="N1211"/>
  <c r="M1211"/>
  <c r="I1211"/>
  <c r="V1211" s="1"/>
  <c r="V1210"/>
  <c r="U1210"/>
  <c r="T1210"/>
  <c r="S1210"/>
  <c r="J1208"/>
  <c r="J1335" s="1"/>
  <c r="F1208"/>
  <c r="F1335" s="1"/>
  <c r="J1207"/>
  <c r="J1334" s="1"/>
  <c r="F1207"/>
  <c r="F1334" s="1"/>
  <c r="J1206"/>
  <c r="F1206"/>
  <c r="S1206" s="1"/>
  <c r="V1205"/>
  <c r="U1205"/>
  <c r="T1205"/>
  <c r="S1205"/>
  <c r="V1199"/>
  <c r="U1199"/>
  <c r="T1199"/>
  <c r="S1199"/>
  <c r="V1198"/>
  <c r="U1198"/>
  <c r="T1198"/>
  <c r="S1198"/>
  <c r="S1196"/>
  <c r="N1196"/>
  <c r="L1196"/>
  <c r="K1196"/>
  <c r="M1196" s="1"/>
  <c r="H1196"/>
  <c r="U1196" s="1"/>
  <c r="G1196"/>
  <c r="T1196" s="1"/>
  <c r="L1195"/>
  <c r="K1195"/>
  <c r="J1195"/>
  <c r="H1195"/>
  <c r="G1195"/>
  <c r="F1195"/>
  <c r="V1194"/>
  <c r="U1194"/>
  <c r="T1194"/>
  <c r="S1194"/>
  <c r="L1192"/>
  <c r="K1192"/>
  <c r="J1192"/>
  <c r="M1192" s="1"/>
  <c r="H1192"/>
  <c r="U1192" s="1"/>
  <c r="G1192"/>
  <c r="T1192" s="1"/>
  <c r="F1192"/>
  <c r="I1192" s="1"/>
  <c r="L1191"/>
  <c r="K1191"/>
  <c r="J1191"/>
  <c r="M1191" s="1"/>
  <c r="H1191"/>
  <c r="U1191" s="1"/>
  <c r="G1191"/>
  <c r="T1191" s="1"/>
  <c r="F1191"/>
  <c r="I1191" s="1"/>
  <c r="L1190"/>
  <c r="K1190"/>
  <c r="J1190"/>
  <c r="H1190"/>
  <c r="G1190"/>
  <c r="F1190"/>
  <c r="L1189"/>
  <c r="K1189"/>
  <c r="J1189"/>
  <c r="H1189"/>
  <c r="U1189" s="1"/>
  <c r="G1189"/>
  <c r="T1189" s="1"/>
  <c r="F1189"/>
  <c r="I1189" s="1"/>
  <c r="V1189" s="1"/>
  <c r="U1188"/>
  <c r="T1188"/>
  <c r="S1188"/>
  <c r="P1188"/>
  <c r="O1188"/>
  <c r="N1188"/>
  <c r="M1188"/>
  <c r="I1188"/>
  <c r="V1188" s="1"/>
  <c r="V1187"/>
  <c r="U1187"/>
  <c r="T1187"/>
  <c r="S1187"/>
  <c r="S1185"/>
  <c r="N1185"/>
  <c r="L1185"/>
  <c r="K1185"/>
  <c r="M1185" s="1"/>
  <c r="H1185"/>
  <c r="U1185" s="1"/>
  <c r="G1185"/>
  <c r="I1185" s="1"/>
  <c r="V1185" s="1"/>
  <c r="L1184"/>
  <c r="K1184"/>
  <c r="J1184"/>
  <c r="H1184"/>
  <c r="F1184"/>
  <c r="V1183"/>
  <c r="U1183"/>
  <c r="T1183"/>
  <c r="S1183"/>
  <c r="L1181"/>
  <c r="K1181"/>
  <c r="J1181"/>
  <c r="H1181"/>
  <c r="U1181" s="1"/>
  <c r="G1181"/>
  <c r="T1181" s="1"/>
  <c r="F1181"/>
  <c r="S1181" s="1"/>
  <c r="L1180"/>
  <c r="K1180"/>
  <c r="J1180"/>
  <c r="H1180"/>
  <c r="U1180" s="1"/>
  <c r="G1180"/>
  <c r="T1180" s="1"/>
  <c r="F1180"/>
  <c r="S1180" s="1"/>
  <c r="L1179"/>
  <c r="K1179"/>
  <c r="J1179"/>
  <c r="H1179"/>
  <c r="G1179"/>
  <c r="F1179"/>
  <c r="L1178"/>
  <c r="K1178"/>
  <c r="J1178"/>
  <c r="M1178" s="1"/>
  <c r="H1178"/>
  <c r="U1178" s="1"/>
  <c r="G1178"/>
  <c r="T1178" s="1"/>
  <c r="F1178"/>
  <c r="S1178" s="1"/>
  <c r="U1177"/>
  <c r="T1177"/>
  <c r="S1177"/>
  <c r="P1177"/>
  <c r="O1177"/>
  <c r="N1177"/>
  <c r="M1177"/>
  <c r="I1177"/>
  <c r="V1177" s="1"/>
  <c r="V1176"/>
  <c r="U1176"/>
  <c r="T1176"/>
  <c r="S1176"/>
  <c r="S1174"/>
  <c r="N1174"/>
  <c r="L1174"/>
  <c r="K1174"/>
  <c r="M1174" s="1"/>
  <c r="H1174"/>
  <c r="U1174" s="1"/>
  <c r="G1174"/>
  <c r="T1174" s="1"/>
  <c r="L1173"/>
  <c r="K1173"/>
  <c r="J1173"/>
  <c r="H1173"/>
  <c r="F1173"/>
  <c r="V1172"/>
  <c r="U1172"/>
  <c r="T1172"/>
  <c r="S1172"/>
  <c r="L1170"/>
  <c r="K1170"/>
  <c r="J1170"/>
  <c r="M1170" s="1"/>
  <c r="H1170"/>
  <c r="U1170" s="1"/>
  <c r="G1170"/>
  <c r="T1170" s="1"/>
  <c r="F1170"/>
  <c r="L1169"/>
  <c r="K1169"/>
  <c r="J1169"/>
  <c r="H1169"/>
  <c r="G1169"/>
  <c r="T1169" s="1"/>
  <c r="F1169"/>
  <c r="L1168"/>
  <c r="K1168"/>
  <c r="J1168"/>
  <c r="H1168"/>
  <c r="G1168"/>
  <c r="F1168"/>
  <c r="L1167"/>
  <c r="K1167"/>
  <c r="J1167"/>
  <c r="M1167" s="1"/>
  <c r="H1167"/>
  <c r="U1167" s="1"/>
  <c r="G1167"/>
  <c r="T1167" s="1"/>
  <c r="F1167"/>
  <c r="U1166"/>
  <c r="T1166"/>
  <c r="S1166"/>
  <c r="P1166"/>
  <c r="O1166"/>
  <c r="N1166"/>
  <c r="M1166"/>
  <c r="I1166"/>
  <c r="V1166" s="1"/>
  <c r="V1165"/>
  <c r="U1165"/>
  <c r="T1165"/>
  <c r="S1165"/>
  <c r="S1163"/>
  <c r="N1163"/>
  <c r="L1163"/>
  <c r="K1163"/>
  <c r="H1163"/>
  <c r="G1163"/>
  <c r="L1162"/>
  <c r="K1162"/>
  <c r="J1162"/>
  <c r="F1162"/>
  <c r="V1161"/>
  <c r="U1161"/>
  <c r="T1161"/>
  <c r="S1161"/>
  <c r="L1159"/>
  <c r="K1159"/>
  <c r="M1159" s="1"/>
  <c r="J1159"/>
  <c r="H1159"/>
  <c r="G1159"/>
  <c r="F1159"/>
  <c r="L1158"/>
  <c r="K1158"/>
  <c r="M1158" s="1"/>
  <c r="J1158"/>
  <c r="H1158"/>
  <c r="U1158" s="1"/>
  <c r="G1158"/>
  <c r="T1158" s="1"/>
  <c r="F1158"/>
  <c r="S1158" s="1"/>
  <c r="L1157"/>
  <c r="K1157"/>
  <c r="J1157"/>
  <c r="H1157"/>
  <c r="G1157"/>
  <c r="F1157"/>
  <c r="L1156"/>
  <c r="K1156"/>
  <c r="M1156" s="1"/>
  <c r="J1156"/>
  <c r="H1156"/>
  <c r="U1156" s="1"/>
  <c r="G1156"/>
  <c r="T1156" s="1"/>
  <c r="F1156"/>
  <c r="S1156" s="1"/>
  <c r="U1155"/>
  <c r="T1155"/>
  <c r="S1155"/>
  <c r="P1155"/>
  <c r="O1155"/>
  <c r="N1155"/>
  <c r="M1155"/>
  <c r="I1155"/>
  <c r="V1155" s="1"/>
  <c r="V1154"/>
  <c r="U1154"/>
  <c r="T1154"/>
  <c r="S1154"/>
  <c r="S1152"/>
  <c r="N1152"/>
  <c r="L1152"/>
  <c r="K1152"/>
  <c r="M1152" s="1"/>
  <c r="H1152"/>
  <c r="U1152" s="1"/>
  <c r="G1152"/>
  <c r="I1152" s="1"/>
  <c r="V1152" s="1"/>
  <c r="L1151"/>
  <c r="K1151"/>
  <c r="J1151"/>
  <c r="H1151"/>
  <c r="F1151"/>
  <c r="V1150"/>
  <c r="U1150"/>
  <c r="T1150"/>
  <c r="S1150"/>
  <c r="L1148"/>
  <c r="K1148"/>
  <c r="J1148"/>
  <c r="M1148" s="1"/>
  <c r="H1148"/>
  <c r="U1148" s="1"/>
  <c r="G1148"/>
  <c r="T1148" s="1"/>
  <c r="F1148"/>
  <c r="S1148" s="1"/>
  <c r="L1147"/>
  <c r="K1147"/>
  <c r="J1147"/>
  <c r="M1147" s="1"/>
  <c r="H1147"/>
  <c r="U1147" s="1"/>
  <c r="G1147"/>
  <c r="T1147" s="1"/>
  <c r="F1147"/>
  <c r="S1147" s="1"/>
  <c r="L1146"/>
  <c r="K1146"/>
  <c r="J1146"/>
  <c r="H1146"/>
  <c r="G1146"/>
  <c r="F1146"/>
  <c r="L1145"/>
  <c r="K1145"/>
  <c r="J1145"/>
  <c r="M1145" s="1"/>
  <c r="H1145"/>
  <c r="U1145" s="1"/>
  <c r="G1145"/>
  <c r="T1145" s="1"/>
  <c r="F1145"/>
  <c r="S1145" s="1"/>
  <c r="U1144"/>
  <c r="T1144"/>
  <c r="S1144"/>
  <c r="P1144"/>
  <c r="O1144"/>
  <c r="N1144"/>
  <c r="M1144"/>
  <c r="I1144"/>
  <c r="V1144" s="1"/>
  <c r="V1143"/>
  <c r="U1143"/>
  <c r="T1143"/>
  <c r="S1143"/>
  <c r="S1141"/>
  <c r="N1141"/>
  <c r="L1141"/>
  <c r="K1141"/>
  <c r="H1141"/>
  <c r="U1141" s="1"/>
  <c r="G1141"/>
  <c r="L1140"/>
  <c r="K1140"/>
  <c r="J1140"/>
  <c r="G1140"/>
  <c r="F1140"/>
  <c r="V1139"/>
  <c r="U1139"/>
  <c r="T1139"/>
  <c r="S1139"/>
  <c r="L1137"/>
  <c r="K1137"/>
  <c r="J1137"/>
  <c r="H1137"/>
  <c r="U1137" s="1"/>
  <c r="G1137"/>
  <c r="T1137" s="1"/>
  <c r="F1137"/>
  <c r="S1137" s="1"/>
  <c r="L1136"/>
  <c r="K1136"/>
  <c r="M1136" s="1"/>
  <c r="J1136"/>
  <c r="H1136"/>
  <c r="U1136" s="1"/>
  <c r="G1136"/>
  <c r="T1136" s="1"/>
  <c r="F1136"/>
  <c r="S1136" s="1"/>
  <c r="L1135"/>
  <c r="K1135"/>
  <c r="J1135"/>
  <c r="H1135"/>
  <c r="G1135"/>
  <c r="F1135"/>
  <c r="L1134"/>
  <c r="K1134"/>
  <c r="M1134" s="1"/>
  <c r="J1134"/>
  <c r="H1134"/>
  <c r="U1134" s="1"/>
  <c r="G1134"/>
  <c r="T1134" s="1"/>
  <c r="F1134"/>
  <c r="S1134" s="1"/>
  <c r="U1133"/>
  <c r="T1133"/>
  <c r="S1133"/>
  <c r="P1133"/>
  <c r="O1133"/>
  <c r="N1133"/>
  <c r="M1133"/>
  <c r="I1133"/>
  <c r="V1133" s="1"/>
  <c r="V1132"/>
  <c r="U1132"/>
  <c r="T1132"/>
  <c r="S1132"/>
  <c r="S1130"/>
  <c r="N1130"/>
  <c r="L1130"/>
  <c r="K1130"/>
  <c r="M1130" s="1"/>
  <c r="H1130"/>
  <c r="U1130" s="1"/>
  <c r="G1130"/>
  <c r="I1130" s="1"/>
  <c r="V1130" s="1"/>
  <c r="L1129"/>
  <c r="K1129"/>
  <c r="J1129"/>
  <c r="H1129"/>
  <c r="F1129"/>
  <c r="V1128"/>
  <c r="U1128"/>
  <c r="T1128"/>
  <c r="S1128"/>
  <c r="L1126"/>
  <c r="K1126"/>
  <c r="J1126"/>
  <c r="M1126" s="1"/>
  <c r="H1126"/>
  <c r="U1126" s="1"/>
  <c r="G1126"/>
  <c r="T1126" s="1"/>
  <c r="F1126"/>
  <c r="S1126" s="1"/>
  <c r="L1125"/>
  <c r="K1125"/>
  <c r="J1125"/>
  <c r="M1125" s="1"/>
  <c r="H1125"/>
  <c r="U1125" s="1"/>
  <c r="G1125"/>
  <c r="T1125" s="1"/>
  <c r="F1125"/>
  <c r="S1125" s="1"/>
  <c r="L1124"/>
  <c r="K1124"/>
  <c r="J1124"/>
  <c r="H1124"/>
  <c r="G1124"/>
  <c r="F1124"/>
  <c r="L1123"/>
  <c r="K1123"/>
  <c r="J1123"/>
  <c r="M1123" s="1"/>
  <c r="H1123"/>
  <c r="G1123"/>
  <c r="T1123" s="1"/>
  <c r="F1123"/>
  <c r="S1123" s="1"/>
  <c r="U1122"/>
  <c r="T1122"/>
  <c r="S1122"/>
  <c r="P1122"/>
  <c r="O1122"/>
  <c r="N1122"/>
  <c r="M1122"/>
  <c r="I1122"/>
  <c r="V1122" s="1"/>
  <c r="V1121"/>
  <c r="U1121"/>
  <c r="T1121"/>
  <c r="S1121"/>
  <c r="S1119"/>
  <c r="N1119"/>
  <c r="L1119"/>
  <c r="K1119"/>
  <c r="H1119"/>
  <c r="U1119" s="1"/>
  <c r="G1119"/>
  <c r="L1118"/>
  <c r="K1118"/>
  <c r="J1118"/>
  <c r="G1118"/>
  <c r="F1118"/>
  <c r="V1117"/>
  <c r="U1117"/>
  <c r="T1117"/>
  <c r="S1117"/>
  <c r="L1115"/>
  <c r="K1115"/>
  <c r="J1115"/>
  <c r="H1115"/>
  <c r="U1115" s="1"/>
  <c r="G1115"/>
  <c r="F1115"/>
  <c r="S1115" s="1"/>
  <c r="L1114"/>
  <c r="K1114"/>
  <c r="J1114"/>
  <c r="H1114"/>
  <c r="G1114"/>
  <c r="F1114"/>
  <c r="S1114" s="1"/>
  <c r="S1113"/>
  <c r="L1113"/>
  <c r="J1113"/>
  <c r="G1113"/>
  <c r="L1112"/>
  <c r="K1112"/>
  <c r="J1112"/>
  <c r="H1112"/>
  <c r="U1112" s="1"/>
  <c r="G1112"/>
  <c r="F1112"/>
  <c r="S1112" s="1"/>
  <c r="U1111"/>
  <c r="T1111"/>
  <c r="S1111"/>
  <c r="P1111"/>
  <c r="O1111"/>
  <c r="N1111"/>
  <c r="M1111"/>
  <c r="I1111"/>
  <c r="V1111" s="1"/>
  <c r="V1110"/>
  <c r="U1110"/>
  <c r="T1110"/>
  <c r="S1110"/>
  <c r="S1108"/>
  <c r="N1108"/>
  <c r="L1108"/>
  <c r="K1108"/>
  <c r="H1108"/>
  <c r="U1108" s="1"/>
  <c r="G1108"/>
  <c r="I1108" s="1"/>
  <c r="L1107"/>
  <c r="K1107"/>
  <c r="J1107"/>
  <c r="G1107"/>
  <c r="F1107"/>
  <c r="V1106"/>
  <c r="U1106"/>
  <c r="T1106"/>
  <c r="S1106"/>
  <c r="L1104"/>
  <c r="K1104"/>
  <c r="J1104"/>
  <c r="H1104"/>
  <c r="U1104" s="1"/>
  <c r="G1104"/>
  <c r="T1104" s="1"/>
  <c r="F1104"/>
  <c r="S1104" s="1"/>
  <c r="L1103"/>
  <c r="K1103"/>
  <c r="J1103"/>
  <c r="H1103"/>
  <c r="U1103" s="1"/>
  <c r="G1103"/>
  <c r="T1103" s="1"/>
  <c r="F1103"/>
  <c r="S1103" s="1"/>
  <c r="L1102"/>
  <c r="K1102"/>
  <c r="J1102"/>
  <c r="H1102"/>
  <c r="G1102"/>
  <c r="F1102"/>
  <c r="L1101"/>
  <c r="K1101"/>
  <c r="J1101"/>
  <c r="H1101"/>
  <c r="U1101" s="1"/>
  <c r="G1101"/>
  <c r="T1101" s="1"/>
  <c r="F1101"/>
  <c r="S1101" s="1"/>
  <c r="U1100"/>
  <c r="T1100"/>
  <c r="S1100"/>
  <c r="P1100"/>
  <c r="O1100"/>
  <c r="N1100"/>
  <c r="M1100"/>
  <c r="I1100"/>
  <c r="V1100" s="1"/>
  <c r="V1099"/>
  <c r="U1099"/>
  <c r="T1099"/>
  <c r="S1099"/>
  <c r="S1097"/>
  <c r="N1097"/>
  <c r="L1097"/>
  <c r="K1097"/>
  <c r="H1097"/>
  <c r="G1097"/>
  <c r="L1096"/>
  <c r="K1096"/>
  <c r="J1096"/>
  <c r="F1096"/>
  <c r="V1095"/>
  <c r="U1095"/>
  <c r="T1095"/>
  <c r="S1095"/>
  <c r="L1093"/>
  <c r="K1093"/>
  <c r="J1093"/>
  <c r="H1093"/>
  <c r="U1093" s="1"/>
  <c r="G1093"/>
  <c r="F1093"/>
  <c r="S1093" s="1"/>
  <c r="L1092"/>
  <c r="K1092"/>
  <c r="J1092"/>
  <c r="H1092"/>
  <c r="U1092" s="1"/>
  <c r="G1092"/>
  <c r="F1092"/>
  <c r="S1092" s="1"/>
  <c r="L1091"/>
  <c r="K1091"/>
  <c r="J1091"/>
  <c r="H1091"/>
  <c r="G1091"/>
  <c r="F1091"/>
  <c r="L1090"/>
  <c r="K1090"/>
  <c r="J1090"/>
  <c r="H1090"/>
  <c r="U1090" s="1"/>
  <c r="G1090"/>
  <c r="F1090"/>
  <c r="S1090" s="1"/>
  <c r="U1089"/>
  <c r="T1089"/>
  <c r="S1089"/>
  <c r="P1089"/>
  <c r="O1089"/>
  <c r="N1089"/>
  <c r="M1089"/>
  <c r="I1089"/>
  <c r="V1089" s="1"/>
  <c r="V1088"/>
  <c r="U1088"/>
  <c r="T1088"/>
  <c r="S1088"/>
  <c r="S1086"/>
  <c r="N1086"/>
  <c r="L1086"/>
  <c r="K1086"/>
  <c r="H1086"/>
  <c r="U1086" s="1"/>
  <c r="G1086"/>
  <c r="I1086" s="1"/>
  <c r="L1085"/>
  <c r="K1085"/>
  <c r="J1085"/>
  <c r="G1085"/>
  <c r="F1085"/>
  <c r="V1084"/>
  <c r="U1084"/>
  <c r="T1084"/>
  <c r="S1084"/>
  <c r="L1082"/>
  <c r="K1082"/>
  <c r="J1082"/>
  <c r="H1082"/>
  <c r="U1082" s="1"/>
  <c r="G1082"/>
  <c r="T1082" s="1"/>
  <c r="F1082"/>
  <c r="S1082" s="1"/>
  <c r="L1081"/>
  <c r="K1081"/>
  <c r="J1081"/>
  <c r="H1081"/>
  <c r="U1081" s="1"/>
  <c r="G1081"/>
  <c r="T1081" s="1"/>
  <c r="F1081"/>
  <c r="S1081" s="1"/>
  <c r="L1080"/>
  <c r="K1080"/>
  <c r="J1080"/>
  <c r="H1080"/>
  <c r="G1080"/>
  <c r="F1080"/>
  <c r="L1079"/>
  <c r="K1079"/>
  <c r="J1079"/>
  <c r="H1079"/>
  <c r="U1079" s="1"/>
  <c r="G1079"/>
  <c r="T1079" s="1"/>
  <c r="F1079"/>
  <c r="S1079" s="1"/>
  <c r="U1078"/>
  <c r="T1078"/>
  <c r="S1078"/>
  <c r="P1078"/>
  <c r="O1078"/>
  <c r="N1078"/>
  <c r="M1078"/>
  <c r="I1078"/>
  <c r="V1078" s="1"/>
  <c r="V1077"/>
  <c r="U1077"/>
  <c r="T1077"/>
  <c r="S1077"/>
  <c r="S1075"/>
  <c r="N1075"/>
  <c r="L1075"/>
  <c r="L1208" s="1"/>
  <c r="L1335" s="1"/>
  <c r="L1361" s="1"/>
  <c r="K1075"/>
  <c r="K1208" s="1"/>
  <c r="H1075"/>
  <c r="H1208" s="1"/>
  <c r="G1075"/>
  <c r="G1208" s="1"/>
  <c r="S1074"/>
  <c r="N1074"/>
  <c r="N1073" s="1"/>
  <c r="L1074"/>
  <c r="K1074"/>
  <c r="H1074"/>
  <c r="G1074"/>
  <c r="K1073"/>
  <c r="J1073"/>
  <c r="H1073"/>
  <c r="U1073" s="1"/>
  <c r="F1073"/>
  <c r="S1073" s="1"/>
  <c r="V1072"/>
  <c r="U1072"/>
  <c r="T1072"/>
  <c r="S1072"/>
  <c r="L1070"/>
  <c r="K1070"/>
  <c r="J1070"/>
  <c r="M1070" s="1"/>
  <c r="H1070"/>
  <c r="G1070"/>
  <c r="F1070"/>
  <c r="L1069"/>
  <c r="K1069"/>
  <c r="J1069"/>
  <c r="M1069" s="1"/>
  <c r="H1069"/>
  <c r="G1069"/>
  <c r="F1069"/>
  <c r="L1068"/>
  <c r="K1068"/>
  <c r="J1068"/>
  <c r="H1068"/>
  <c r="G1068"/>
  <c r="F1068"/>
  <c r="L1067"/>
  <c r="K1067"/>
  <c r="J1067"/>
  <c r="M1067" s="1"/>
  <c r="H1067"/>
  <c r="G1067"/>
  <c r="F1067"/>
  <c r="U1066"/>
  <c r="T1066"/>
  <c r="S1066"/>
  <c r="P1066"/>
  <c r="O1066"/>
  <c r="N1066"/>
  <c r="M1066"/>
  <c r="I1066"/>
  <c r="V1066" s="1"/>
  <c r="U1065"/>
  <c r="T1065"/>
  <c r="S1065"/>
  <c r="P1065"/>
  <c r="O1065"/>
  <c r="N1065"/>
  <c r="M1065"/>
  <c r="I1065"/>
  <c r="V1065" s="1"/>
  <c r="V1064"/>
  <c r="U1064"/>
  <c r="T1064"/>
  <c r="S1064"/>
  <c r="J1062"/>
  <c r="F1062"/>
  <c r="S1062" s="1"/>
  <c r="J1061"/>
  <c r="F1061"/>
  <c r="V1060"/>
  <c r="U1060"/>
  <c r="T1060"/>
  <c r="S1060"/>
  <c r="U1054"/>
  <c r="T1054"/>
  <c r="S1054"/>
  <c r="P1054"/>
  <c r="O1054"/>
  <c r="N1054"/>
  <c r="M1054"/>
  <c r="I1054"/>
  <c r="V1054" s="1"/>
  <c r="V1053"/>
  <c r="U1053"/>
  <c r="T1053"/>
  <c r="S1053"/>
  <c r="S1050"/>
  <c r="N1050"/>
  <c r="L1050"/>
  <c r="K1050"/>
  <c r="H1050"/>
  <c r="U1050" s="1"/>
  <c r="G1050"/>
  <c r="L1049"/>
  <c r="K1049"/>
  <c r="J1049"/>
  <c r="G1049"/>
  <c r="F1049"/>
  <c r="V1048"/>
  <c r="U1048"/>
  <c r="T1048"/>
  <c r="S1048"/>
  <c r="J1046"/>
  <c r="F1046"/>
  <c r="S1046" s="1"/>
  <c r="J1045"/>
  <c r="F1045"/>
  <c r="S1045" s="1"/>
  <c r="J1044"/>
  <c r="F1044"/>
  <c r="J1043"/>
  <c r="F1043"/>
  <c r="S1043" s="1"/>
  <c r="U1042"/>
  <c r="T1042"/>
  <c r="S1042"/>
  <c r="P1042"/>
  <c r="O1042"/>
  <c r="N1042"/>
  <c r="M1042"/>
  <c r="I1042"/>
  <c r="V1042" s="1"/>
  <c r="V1041"/>
  <c r="U1041"/>
  <c r="T1041"/>
  <c r="S1041"/>
  <c r="S1039"/>
  <c r="N1039"/>
  <c r="L1039"/>
  <c r="K1039"/>
  <c r="H1039"/>
  <c r="U1039" s="1"/>
  <c r="G1039"/>
  <c r="T1039" s="1"/>
  <c r="L1038"/>
  <c r="K1038"/>
  <c r="J1038"/>
  <c r="H1038"/>
  <c r="F1038"/>
  <c r="V1037"/>
  <c r="U1037"/>
  <c r="T1037"/>
  <c r="S1037"/>
  <c r="J1035"/>
  <c r="F1035"/>
  <c r="J1034"/>
  <c r="F1034"/>
  <c r="J1033"/>
  <c r="F1033"/>
  <c r="J1032"/>
  <c r="F1032"/>
  <c r="S1032" s="1"/>
  <c r="U1031"/>
  <c r="T1031"/>
  <c r="S1031"/>
  <c r="P1031"/>
  <c r="O1031"/>
  <c r="N1031"/>
  <c r="M1031"/>
  <c r="I1031"/>
  <c r="V1031" s="1"/>
  <c r="U1030"/>
  <c r="T1030"/>
  <c r="S1030"/>
  <c r="P1030"/>
  <c r="O1030"/>
  <c r="N1030"/>
  <c r="M1030"/>
  <c r="I1030"/>
  <c r="V1030" s="1"/>
  <c r="V1029"/>
  <c r="U1029"/>
  <c r="T1029"/>
  <c r="S1029"/>
  <c r="S1027"/>
  <c r="N1027"/>
  <c r="L1027"/>
  <c r="K1027"/>
  <c r="H1027"/>
  <c r="G1027"/>
  <c r="T1027" s="1"/>
  <c r="L1026"/>
  <c r="K1026"/>
  <c r="J1026"/>
  <c r="F1026"/>
  <c r="S1026" s="1"/>
  <c r="V1025"/>
  <c r="U1025"/>
  <c r="T1025"/>
  <c r="S1025"/>
  <c r="J1023"/>
  <c r="F1023"/>
  <c r="J1022"/>
  <c r="F1022"/>
  <c r="J1021"/>
  <c r="F1021"/>
  <c r="L1020"/>
  <c r="K1020"/>
  <c r="J1020"/>
  <c r="H1020"/>
  <c r="U1020" s="1"/>
  <c r="G1020"/>
  <c r="F1020"/>
  <c r="L1019"/>
  <c r="K1019"/>
  <c r="J1019"/>
  <c r="H1019"/>
  <c r="U1019" s="1"/>
  <c r="G1019"/>
  <c r="F1019"/>
  <c r="L1018"/>
  <c r="K1018"/>
  <c r="J1018"/>
  <c r="H1018"/>
  <c r="U1018" s="1"/>
  <c r="G1018"/>
  <c r="F1018"/>
  <c r="I1018" s="1"/>
  <c r="L1017"/>
  <c r="K1017"/>
  <c r="J1017"/>
  <c r="H1017"/>
  <c r="G1017"/>
  <c r="F1017"/>
  <c r="U1016"/>
  <c r="T1016"/>
  <c r="S1016"/>
  <c r="P1016"/>
  <c r="O1016"/>
  <c r="N1016"/>
  <c r="M1016"/>
  <c r="I1016"/>
  <c r="V1016" s="1"/>
  <c r="V1015"/>
  <c r="U1015"/>
  <c r="T1015"/>
  <c r="S1015"/>
  <c r="S1013"/>
  <c r="J1013"/>
  <c r="N1013" s="1"/>
  <c r="F1012"/>
  <c r="V1011"/>
  <c r="U1011"/>
  <c r="T1011"/>
  <c r="S1011"/>
  <c r="S1009"/>
  <c r="S1008"/>
  <c r="F1007"/>
  <c r="U1005"/>
  <c r="T1005"/>
  <c r="S1005"/>
  <c r="P1005"/>
  <c r="O1005"/>
  <c r="N1005"/>
  <c r="M1005"/>
  <c r="I1005"/>
  <c r="V1005" s="1"/>
  <c r="V1004"/>
  <c r="U1004"/>
  <c r="T1004"/>
  <c r="S1004"/>
  <c r="S1001"/>
  <c r="N1001"/>
  <c r="L1001"/>
  <c r="K1001"/>
  <c r="M1001" s="1"/>
  <c r="H1001"/>
  <c r="U1001" s="1"/>
  <c r="G1001"/>
  <c r="L1000"/>
  <c r="K1000"/>
  <c r="J1000"/>
  <c r="H1000"/>
  <c r="F1000"/>
  <c r="V999"/>
  <c r="U999"/>
  <c r="T999"/>
  <c r="S999"/>
  <c r="L997"/>
  <c r="K997"/>
  <c r="J997"/>
  <c r="H997"/>
  <c r="U997" s="1"/>
  <c r="G997"/>
  <c r="F997"/>
  <c r="S997" s="1"/>
  <c r="L996"/>
  <c r="K996"/>
  <c r="J996"/>
  <c r="H996"/>
  <c r="U996" s="1"/>
  <c r="G996"/>
  <c r="F996"/>
  <c r="S996" s="1"/>
  <c r="L995"/>
  <c r="K995"/>
  <c r="J995"/>
  <c r="H995"/>
  <c r="G995"/>
  <c r="F995"/>
  <c r="L994"/>
  <c r="K994"/>
  <c r="J994"/>
  <c r="H994"/>
  <c r="U994" s="1"/>
  <c r="G994"/>
  <c r="F994"/>
  <c r="S994" s="1"/>
  <c r="U993"/>
  <c r="T993"/>
  <c r="S993"/>
  <c r="P993"/>
  <c r="O993"/>
  <c r="N993"/>
  <c r="M993"/>
  <c r="I993"/>
  <c r="V993" s="1"/>
  <c r="V992"/>
  <c r="U992"/>
  <c r="T992"/>
  <c r="S992"/>
  <c r="S990"/>
  <c r="N990"/>
  <c r="L990"/>
  <c r="K990"/>
  <c r="M990" s="1"/>
  <c r="H990"/>
  <c r="U990" s="1"/>
  <c r="G990"/>
  <c r="L989"/>
  <c r="K989"/>
  <c r="J989"/>
  <c r="H989"/>
  <c r="F989"/>
  <c r="V988"/>
  <c r="U988"/>
  <c r="T988"/>
  <c r="S988"/>
  <c r="L986"/>
  <c r="K986"/>
  <c r="J986"/>
  <c r="H986"/>
  <c r="U986" s="1"/>
  <c r="G986"/>
  <c r="F986"/>
  <c r="L985"/>
  <c r="K985"/>
  <c r="J985"/>
  <c r="H985"/>
  <c r="U985" s="1"/>
  <c r="G985"/>
  <c r="F985"/>
  <c r="I985" s="1"/>
  <c r="L984"/>
  <c r="K984"/>
  <c r="J984"/>
  <c r="H984"/>
  <c r="G984"/>
  <c r="F984"/>
  <c r="L983"/>
  <c r="K983"/>
  <c r="J983"/>
  <c r="H983"/>
  <c r="U983" s="1"/>
  <c r="G983"/>
  <c r="F983"/>
  <c r="I983" s="1"/>
  <c r="U982"/>
  <c r="T982"/>
  <c r="S982"/>
  <c r="P982"/>
  <c r="O982"/>
  <c r="N982"/>
  <c r="M982"/>
  <c r="I982"/>
  <c r="V982" s="1"/>
  <c r="U981"/>
  <c r="T981"/>
  <c r="S981"/>
  <c r="P981"/>
  <c r="O981"/>
  <c r="N981"/>
  <c r="M981"/>
  <c r="I981"/>
  <c r="V981" s="1"/>
  <c r="V980"/>
  <c r="U980"/>
  <c r="T980"/>
  <c r="S980"/>
  <c r="S978"/>
  <c r="N978"/>
  <c r="L978"/>
  <c r="L1013" s="1"/>
  <c r="L1012" s="1"/>
  <c r="K978"/>
  <c r="H978"/>
  <c r="H1013" s="1"/>
  <c r="G978"/>
  <c r="I978" s="1"/>
  <c r="V978" s="1"/>
  <c r="L977"/>
  <c r="K977"/>
  <c r="J977"/>
  <c r="H977"/>
  <c r="U977" s="1"/>
  <c r="F977"/>
  <c r="S977" s="1"/>
  <c r="V976"/>
  <c r="U976"/>
  <c r="T976"/>
  <c r="S976"/>
  <c r="L974"/>
  <c r="L1009" s="1"/>
  <c r="K974"/>
  <c r="J974"/>
  <c r="J1009" s="1"/>
  <c r="H974"/>
  <c r="G974"/>
  <c r="G1009" s="1"/>
  <c r="F974"/>
  <c r="S974" s="1"/>
  <c r="L973"/>
  <c r="L1008" s="1"/>
  <c r="L1007" s="1"/>
  <c r="K973"/>
  <c r="J973"/>
  <c r="J1008" s="1"/>
  <c r="H973"/>
  <c r="G973"/>
  <c r="G1008" s="1"/>
  <c r="F973"/>
  <c r="S973" s="1"/>
  <c r="L972"/>
  <c r="K972"/>
  <c r="J972"/>
  <c r="H972"/>
  <c r="G972"/>
  <c r="F972"/>
  <c r="L971"/>
  <c r="K971"/>
  <c r="J971"/>
  <c r="H971"/>
  <c r="U971" s="1"/>
  <c r="G971"/>
  <c r="T971" s="1"/>
  <c r="F971"/>
  <c r="S971" s="1"/>
  <c r="L970"/>
  <c r="K970"/>
  <c r="J970"/>
  <c r="H970"/>
  <c r="U970" s="1"/>
  <c r="G970"/>
  <c r="F970"/>
  <c r="S970" s="1"/>
  <c r="L969"/>
  <c r="K969"/>
  <c r="J969"/>
  <c r="H969"/>
  <c r="U969" s="1"/>
  <c r="G969"/>
  <c r="F969"/>
  <c r="S969" s="1"/>
  <c r="L968"/>
  <c r="L1006" s="1"/>
  <c r="K968"/>
  <c r="J968"/>
  <c r="J1006" s="1"/>
  <c r="H968"/>
  <c r="U968" s="1"/>
  <c r="G968"/>
  <c r="G1006" s="1"/>
  <c r="F968"/>
  <c r="S968" s="1"/>
  <c r="V967"/>
  <c r="U967"/>
  <c r="T967"/>
  <c r="S967"/>
  <c r="V966"/>
  <c r="U966"/>
  <c r="T966"/>
  <c r="S966"/>
  <c r="J964"/>
  <c r="F964"/>
  <c r="J963"/>
  <c r="F963"/>
  <c r="V962"/>
  <c r="U962"/>
  <c r="T962"/>
  <c r="S962"/>
  <c r="U956"/>
  <c r="T956"/>
  <c r="S956"/>
  <c r="P956"/>
  <c r="O956"/>
  <c r="N956"/>
  <c r="M956"/>
  <c r="I956"/>
  <c r="V956" s="1"/>
  <c r="V955"/>
  <c r="U955"/>
  <c r="T955"/>
  <c r="S955"/>
  <c r="S952"/>
  <c r="N952"/>
  <c r="L952"/>
  <c r="K952"/>
  <c r="H952"/>
  <c r="G952"/>
  <c r="L951"/>
  <c r="K951"/>
  <c r="J951"/>
  <c r="F951"/>
  <c r="V950"/>
  <c r="U950"/>
  <c r="T950"/>
  <c r="S950"/>
  <c r="L948"/>
  <c r="K948"/>
  <c r="J948"/>
  <c r="H948"/>
  <c r="U948" s="1"/>
  <c r="G948"/>
  <c r="F948"/>
  <c r="S948" s="1"/>
  <c r="L947"/>
  <c r="K947"/>
  <c r="J947"/>
  <c r="H947"/>
  <c r="U947" s="1"/>
  <c r="G947"/>
  <c r="F947"/>
  <c r="S947" s="1"/>
  <c r="L946"/>
  <c r="K946"/>
  <c r="J946"/>
  <c r="H946"/>
  <c r="G946"/>
  <c r="F946"/>
  <c r="L945"/>
  <c r="K945"/>
  <c r="J945"/>
  <c r="H945"/>
  <c r="U945" s="1"/>
  <c r="G945"/>
  <c r="F945"/>
  <c r="S945" s="1"/>
  <c r="U944"/>
  <c r="T944"/>
  <c r="S944"/>
  <c r="P944"/>
  <c r="O944"/>
  <c r="N944"/>
  <c r="M944"/>
  <c r="I944"/>
  <c r="V944" s="1"/>
  <c r="V943"/>
  <c r="U943"/>
  <c r="T943"/>
  <c r="S943"/>
  <c r="S941"/>
  <c r="N941"/>
  <c r="L941"/>
  <c r="K941"/>
  <c r="M941" s="1"/>
  <c r="H941"/>
  <c r="U941" s="1"/>
  <c r="G941"/>
  <c r="L940"/>
  <c r="K940"/>
  <c r="J940"/>
  <c r="H940"/>
  <c r="F940"/>
  <c r="V939"/>
  <c r="U939"/>
  <c r="T939"/>
  <c r="S939"/>
  <c r="L937"/>
  <c r="K937"/>
  <c r="J937"/>
  <c r="H937"/>
  <c r="U937" s="1"/>
  <c r="G937"/>
  <c r="F937"/>
  <c r="S937" s="1"/>
  <c r="L936"/>
  <c r="K936"/>
  <c r="M936" s="1"/>
  <c r="J936"/>
  <c r="H936"/>
  <c r="U936" s="1"/>
  <c r="G936"/>
  <c r="T936" s="1"/>
  <c r="F936"/>
  <c r="S936" s="1"/>
  <c r="L935"/>
  <c r="K935"/>
  <c r="J935"/>
  <c r="H935"/>
  <c r="G935"/>
  <c r="F935"/>
  <c r="L934"/>
  <c r="K934"/>
  <c r="M934" s="1"/>
  <c r="J934"/>
  <c r="H934"/>
  <c r="U934" s="1"/>
  <c r="G934"/>
  <c r="F934"/>
  <c r="S934" s="1"/>
  <c r="U933"/>
  <c r="T933"/>
  <c r="S933"/>
  <c r="P933"/>
  <c r="O933"/>
  <c r="N933"/>
  <c r="M933"/>
  <c r="I933"/>
  <c r="V933" s="1"/>
  <c r="U932"/>
  <c r="T932"/>
  <c r="S932"/>
  <c r="P932"/>
  <c r="O932"/>
  <c r="N932"/>
  <c r="M932"/>
  <c r="I932"/>
  <c r="V932" s="1"/>
  <c r="V931"/>
  <c r="U931"/>
  <c r="T931"/>
  <c r="S931"/>
  <c r="S929"/>
  <c r="N929"/>
  <c r="L929"/>
  <c r="K929"/>
  <c r="H929"/>
  <c r="G929"/>
  <c r="L928"/>
  <c r="K928"/>
  <c r="J928"/>
  <c r="F928"/>
  <c r="S928" s="1"/>
  <c r="V927"/>
  <c r="U927"/>
  <c r="T927"/>
  <c r="S927"/>
  <c r="L925"/>
  <c r="L960" s="1"/>
  <c r="K925"/>
  <c r="K960" s="1"/>
  <c r="J925"/>
  <c r="J960" s="1"/>
  <c r="H925"/>
  <c r="U925" s="1"/>
  <c r="G925"/>
  <c r="G960" s="1"/>
  <c r="F925"/>
  <c r="S925" s="1"/>
  <c r="L924"/>
  <c r="L959" s="1"/>
  <c r="L958" s="1"/>
  <c r="K924"/>
  <c r="J924"/>
  <c r="J959" s="1"/>
  <c r="H924"/>
  <c r="H959" s="1"/>
  <c r="G924"/>
  <c r="G959" s="1"/>
  <c r="F924"/>
  <c r="F959" s="1"/>
  <c r="G923"/>
  <c r="L922"/>
  <c r="K922"/>
  <c r="J922"/>
  <c r="H922"/>
  <c r="U922" s="1"/>
  <c r="G922"/>
  <c r="F922"/>
  <c r="L921"/>
  <c r="K921"/>
  <c r="J921"/>
  <c r="H921"/>
  <c r="U921" s="1"/>
  <c r="G921"/>
  <c r="F921"/>
  <c r="L920"/>
  <c r="K920"/>
  <c r="J920"/>
  <c r="H920"/>
  <c r="U920" s="1"/>
  <c r="G920"/>
  <c r="F920"/>
  <c r="L919"/>
  <c r="L957" s="1"/>
  <c r="K919"/>
  <c r="K957" s="1"/>
  <c r="J919"/>
  <c r="J957" s="1"/>
  <c r="H919"/>
  <c r="H957" s="1"/>
  <c r="G919"/>
  <c r="G957" s="1"/>
  <c r="F919"/>
  <c r="F957" s="1"/>
  <c r="U918"/>
  <c r="T918"/>
  <c r="S918"/>
  <c r="P918"/>
  <c r="O918"/>
  <c r="N918"/>
  <c r="M918"/>
  <c r="I918"/>
  <c r="V918" s="1"/>
  <c r="V917"/>
  <c r="U917"/>
  <c r="T917"/>
  <c r="S917"/>
  <c r="J915"/>
  <c r="F915"/>
  <c r="S915" s="1"/>
  <c r="J914"/>
  <c r="F914"/>
  <c r="V913"/>
  <c r="U913"/>
  <c r="T913"/>
  <c r="S913"/>
  <c r="U907"/>
  <c r="T907"/>
  <c r="S907"/>
  <c r="P907"/>
  <c r="O907"/>
  <c r="N907"/>
  <c r="M907"/>
  <c r="I907"/>
  <c r="V907" s="1"/>
  <c r="V906"/>
  <c r="U906"/>
  <c r="T906"/>
  <c r="S906"/>
  <c r="S903"/>
  <c r="N903"/>
  <c r="L903"/>
  <c r="K903"/>
  <c r="H903"/>
  <c r="U903" s="1"/>
  <c r="G903"/>
  <c r="I903" s="1"/>
  <c r="L902"/>
  <c r="K902"/>
  <c r="J902"/>
  <c r="G902"/>
  <c r="F902"/>
  <c r="V901"/>
  <c r="U901"/>
  <c r="T901"/>
  <c r="S901"/>
  <c r="L899"/>
  <c r="K899"/>
  <c r="J899"/>
  <c r="H899"/>
  <c r="U899" s="1"/>
  <c r="G899"/>
  <c r="T899" s="1"/>
  <c r="F899"/>
  <c r="S899" s="1"/>
  <c r="L898"/>
  <c r="K898"/>
  <c r="J898"/>
  <c r="H898"/>
  <c r="U898" s="1"/>
  <c r="G898"/>
  <c r="T898" s="1"/>
  <c r="F898"/>
  <c r="S898" s="1"/>
  <c r="L897"/>
  <c r="K897"/>
  <c r="J897"/>
  <c r="H897"/>
  <c r="G897"/>
  <c r="F897"/>
  <c r="L896"/>
  <c r="K896"/>
  <c r="J896"/>
  <c r="H896"/>
  <c r="U896" s="1"/>
  <c r="G896"/>
  <c r="T896" s="1"/>
  <c r="F896"/>
  <c r="S896" s="1"/>
  <c r="U895"/>
  <c r="T895"/>
  <c r="S895"/>
  <c r="P895"/>
  <c r="O895"/>
  <c r="N895"/>
  <c r="M895"/>
  <c r="I895"/>
  <c r="V895" s="1"/>
  <c r="V894"/>
  <c r="U894"/>
  <c r="T894"/>
  <c r="S894"/>
  <c r="S892"/>
  <c r="N892"/>
  <c r="L892"/>
  <c r="K892"/>
  <c r="H892"/>
  <c r="G892"/>
  <c r="L891"/>
  <c r="K891"/>
  <c r="J891"/>
  <c r="F891"/>
  <c r="V890"/>
  <c r="U890"/>
  <c r="T890"/>
  <c r="S890"/>
  <c r="L888"/>
  <c r="K888"/>
  <c r="J888"/>
  <c r="H888"/>
  <c r="U888" s="1"/>
  <c r="G888"/>
  <c r="F888"/>
  <c r="S888" s="1"/>
  <c r="L887"/>
  <c r="K887"/>
  <c r="J887"/>
  <c r="H887"/>
  <c r="G887"/>
  <c r="F887"/>
  <c r="S887" s="1"/>
  <c r="L886"/>
  <c r="K886"/>
  <c r="J886"/>
  <c r="H886"/>
  <c r="G886"/>
  <c r="F886"/>
  <c r="L885"/>
  <c r="K885"/>
  <c r="J885"/>
  <c r="H885"/>
  <c r="U885" s="1"/>
  <c r="G885"/>
  <c r="T885" s="1"/>
  <c r="F885"/>
  <c r="S885" s="1"/>
  <c r="U884"/>
  <c r="T884"/>
  <c r="S884"/>
  <c r="P884"/>
  <c r="O884"/>
  <c r="N884"/>
  <c r="M884"/>
  <c r="I884"/>
  <c r="V884" s="1"/>
  <c r="V883"/>
  <c r="U883"/>
  <c r="T883"/>
  <c r="S883"/>
  <c r="S881"/>
  <c r="N881"/>
  <c r="L881"/>
  <c r="K881"/>
  <c r="H881"/>
  <c r="U881" s="1"/>
  <c r="G881"/>
  <c r="I881" s="1"/>
  <c r="L880"/>
  <c r="K880"/>
  <c r="J880"/>
  <c r="G880"/>
  <c r="F880"/>
  <c r="V879"/>
  <c r="U879"/>
  <c r="T879"/>
  <c r="S879"/>
  <c r="L877"/>
  <c r="K877"/>
  <c r="J877"/>
  <c r="H877"/>
  <c r="U877" s="1"/>
  <c r="G877"/>
  <c r="T877" s="1"/>
  <c r="F877"/>
  <c r="S877" s="1"/>
  <c r="L876"/>
  <c r="K876"/>
  <c r="J876"/>
  <c r="H876"/>
  <c r="U876" s="1"/>
  <c r="G876"/>
  <c r="F876"/>
  <c r="S876" s="1"/>
  <c r="L875"/>
  <c r="K875"/>
  <c r="J875"/>
  <c r="H875"/>
  <c r="G875"/>
  <c r="F875"/>
  <c r="L874"/>
  <c r="K874"/>
  <c r="J874"/>
  <c r="H874"/>
  <c r="U874" s="1"/>
  <c r="G874"/>
  <c r="T874" s="1"/>
  <c r="F874"/>
  <c r="S874" s="1"/>
  <c r="U873"/>
  <c r="T873"/>
  <c r="S873"/>
  <c r="P873"/>
  <c r="O873"/>
  <c r="N873"/>
  <c r="M873"/>
  <c r="I873"/>
  <c r="V873" s="1"/>
  <c r="U872"/>
  <c r="T872"/>
  <c r="S872"/>
  <c r="P872"/>
  <c r="O872"/>
  <c r="N872"/>
  <c r="M872"/>
  <c r="I872"/>
  <c r="V872" s="1"/>
  <c r="V871"/>
  <c r="U871"/>
  <c r="T871"/>
  <c r="S871"/>
  <c r="S869"/>
  <c r="N869"/>
  <c r="L869"/>
  <c r="L915" s="1"/>
  <c r="L914" s="1"/>
  <c r="K869"/>
  <c r="H869"/>
  <c r="H915" s="1"/>
  <c r="G869"/>
  <c r="L868"/>
  <c r="K868"/>
  <c r="J868"/>
  <c r="F868"/>
  <c r="S868" s="1"/>
  <c r="V867"/>
  <c r="U867"/>
  <c r="T867"/>
  <c r="S867"/>
  <c r="L865"/>
  <c r="L911" s="1"/>
  <c r="K865"/>
  <c r="J865"/>
  <c r="J911" s="1"/>
  <c r="H865"/>
  <c r="G865"/>
  <c r="G911" s="1"/>
  <c r="F865"/>
  <c r="L864"/>
  <c r="L910" s="1"/>
  <c r="L909" s="1"/>
  <c r="K864"/>
  <c r="J864"/>
  <c r="J910" s="1"/>
  <c r="H864"/>
  <c r="G864"/>
  <c r="G910" s="1"/>
  <c r="F864"/>
  <c r="L863"/>
  <c r="K863"/>
  <c r="J863"/>
  <c r="H863"/>
  <c r="G863"/>
  <c r="F863"/>
  <c r="S862"/>
  <c r="N862"/>
  <c r="L862"/>
  <c r="K862"/>
  <c r="H862"/>
  <c r="U862" s="1"/>
  <c r="G862"/>
  <c r="S861"/>
  <c r="N861"/>
  <c r="L861"/>
  <c r="K861"/>
  <c r="H861"/>
  <c r="U861" s="1"/>
  <c r="G861"/>
  <c r="S860"/>
  <c r="N860"/>
  <c r="L860"/>
  <c r="K860"/>
  <c r="H860"/>
  <c r="U860" s="1"/>
  <c r="G860"/>
  <c r="L859"/>
  <c r="L908" s="1"/>
  <c r="K859"/>
  <c r="J859"/>
  <c r="J908" s="1"/>
  <c r="H859"/>
  <c r="G859"/>
  <c r="G908" s="1"/>
  <c r="F859"/>
  <c r="U858"/>
  <c r="T858"/>
  <c r="S858"/>
  <c r="P858"/>
  <c r="O858"/>
  <c r="N858"/>
  <c r="M858"/>
  <c r="I858"/>
  <c r="V858" s="1"/>
  <c r="V857"/>
  <c r="U857"/>
  <c r="T857"/>
  <c r="S857"/>
  <c r="J855"/>
  <c r="F855"/>
  <c r="S855" s="1"/>
  <c r="J854"/>
  <c r="F854"/>
  <c r="V853"/>
  <c r="U853"/>
  <c r="T853"/>
  <c r="S853"/>
  <c r="U847"/>
  <c r="T847"/>
  <c r="S847"/>
  <c r="P847"/>
  <c r="O847"/>
  <c r="N847"/>
  <c r="M847"/>
  <c r="I847"/>
  <c r="V847" s="1"/>
  <c r="V846"/>
  <c r="U846"/>
  <c r="T846"/>
  <c r="S846"/>
  <c r="S843"/>
  <c r="N843"/>
  <c r="L843"/>
  <c r="K843"/>
  <c r="H843"/>
  <c r="G843"/>
  <c r="L842"/>
  <c r="K842"/>
  <c r="J842"/>
  <c r="G842"/>
  <c r="F842"/>
  <c r="V841"/>
  <c r="U841"/>
  <c r="T841"/>
  <c r="S841"/>
  <c r="L839"/>
  <c r="K839"/>
  <c r="J839"/>
  <c r="H839"/>
  <c r="U839" s="1"/>
  <c r="G839"/>
  <c r="T839" s="1"/>
  <c r="F839"/>
  <c r="S839" s="1"/>
  <c r="L838"/>
  <c r="K838"/>
  <c r="J838"/>
  <c r="H838"/>
  <c r="U838" s="1"/>
  <c r="G838"/>
  <c r="T838" s="1"/>
  <c r="F838"/>
  <c r="S838" s="1"/>
  <c r="L837"/>
  <c r="K837"/>
  <c r="J837"/>
  <c r="H837"/>
  <c r="G837"/>
  <c r="F837"/>
  <c r="L836"/>
  <c r="K836"/>
  <c r="J836"/>
  <c r="M836" s="1"/>
  <c r="H836"/>
  <c r="U836" s="1"/>
  <c r="G836"/>
  <c r="T836" s="1"/>
  <c r="F836"/>
  <c r="U835"/>
  <c r="T835"/>
  <c r="S835"/>
  <c r="P835"/>
  <c r="O835"/>
  <c r="N835"/>
  <c r="M835"/>
  <c r="I835"/>
  <c r="V835" s="1"/>
  <c r="V834"/>
  <c r="U834"/>
  <c r="T834"/>
  <c r="S834"/>
  <c r="S832"/>
  <c r="N832"/>
  <c r="L832"/>
  <c r="K832"/>
  <c r="H832"/>
  <c r="U832" s="1"/>
  <c r="G832"/>
  <c r="L831"/>
  <c r="K831"/>
  <c r="J831"/>
  <c r="G831"/>
  <c r="F831"/>
  <c r="V830"/>
  <c r="U830"/>
  <c r="T830"/>
  <c r="S830"/>
  <c r="L828"/>
  <c r="K828"/>
  <c r="M828" s="1"/>
  <c r="J828"/>
  <c r="H828"/>
  <c r="U828" s="1"/>
  <c r="G828"/>
  <c r="F828"/>
  <c r="S828" s="1"/>
  <c r="L827"/>
  <c r="K827"/>
  <c r="M827" s="1"/>
  <c r="J827"/>
  <c r="H827"/>
  <c r="U827" s="1"/>
  <c r="G827"/>
  <c r="F827"/>
  <c r="S827" s="1"/>
  <c r="L826"/>
  <c r="K826"/>
  <c r="J826"/>
  <c r="H826"/>
  <c r="G826"/>
  <c r="F826"/>
  <c r="L825"/>
  <c r="K825"/>
  <c r="M825" s="1"/>
  <c r="J825"/>
  <c r="H825"/>
  <c r="U825" s="1"/>
  <c r="G825"/>
  <c r="F825"/>
  <c r="S825" s="1"/>
  <c r="U824"/>
  <c r="T824"/>
  <c r="S824"/>
  <c r="P824"/>
  <c r="O824"/>
  <c r="N824"/>
  <c r="M824"/>
  <c r="I824"/>
  <c r="V824" s="1"/>
  <c r="V823"/>
  <c r="U823"/>
  <c r="T823"/>
  <c r="S823"/>
  <c r="S821"/>
  <c r="N821"/>
  <c r="L821"/>
  <c r="K821"/>
  <c r="H821"/>
  <c r="G821"/>
  <c r="T821" s="1"/>
  <c r="L820"/>
  <c r="K820"/>
  <c r="J820"/>
  <c r="F820"/>
  <c r="V819"/>
  <c r="U819"/>
  <c r="T819"/>
  <c r="S819"/>
  <c r="L817"/>
  <c r="K817"/>
  <c r="J817"/>
  <c r="H817"/>
  <c r="U817" s="1"/>
  <c r="G817"/>
  <c r="F817"/>
  <c r="L816"/>
  <c r="K816"/>
  <c r="J816"/>
  <c r="H816"/>
  <c r="U816" s="1"/>
  <c r="G816"/>
  <c r="T816" s="1"/>
  <c r="F816"/>
  <c r="L815"/>
  <c r="K815"/>
  <c r="J815"/>
  <c r="H815"/>
  <c r="G815"/>
  <c r="F815"/>
  <c r="L814"/>
  <c r="K814"/>
  <c r="J814"/>
  <c r="H814"/>
  <c r="U814" s="1"/>
  <c r="G814"/>
  <c r="T814" s="1"/>
  <c r="F814"/>
  <c r="U813"/>
  <c r="T813"/>
  <c r="S813"/>
  <c r="P813"/>
  <c r="O813"/>
  <c r="N813"/>
  <c r="M813"/>
  <c r="I813"/>
  <c r="V813" s="1"/>
  <c r="V812"/>
  <c r="U812"/>
  <c r="T812"/>
  <c r="S812"/>
  <c r="S810"/>
  <c r="N810"/>
  <c r="L810"/>
  <c r="K810"/>
  <c r="H810"/>
  <c r="U810" s="1"/>
  <c r="G810"/>
  <c r="I810" s="1"/>
  <c r="L809"/>
  <c r="K809"/>
  <c r="J809"/>
  <c r="G809"/>
  <c r="F809"/>
  <c r="V808"/>
  <c r="U808"/>
  <c r="T808"/>
  <c r="S808"/>
  <c r="L806"/>
  <c r="K806"/>
  <c r="J806"/>
  <c r="H806"/>
  <c r="U806" s="1"/>
  <c r="G806"/>
  <c r="T806" s="1"/>
  <c r="F806"/>
  <c r="S806" s="1"/>
  <c r="L805"/>
  <c r="K805"/>
  <c r="J805"/>
  <c r="H805"/>
  <c r="G805"/>
  <c r="T805" s="1"/>
  <c r="F805"/>
  <c r="S805" s="1"/>
  <c r="L804"/>
  <c r="K804"/>
  <c r="J804"/>
  <c r="H804"/>
  <c r="G804"/>
  <c r="F804"/>
  <c r="L803"/>
  <c r="K803"/>
  <c r="J803"/>
  <c r="H803"/>
  <c r="U803" s="1"/>
  <c r="G803"/>
  <c r="T803" s="1"/>
  <c r="F803"/>
  <c r="S803" s="1"/>
  <c r="U802"/>
  <c r="T802"/>
  <c r="S802"/>
  <c r="P802"/>
  <c r="O802"/>
  <c r="N802"/>
  <c r="M802"/>
  <c r="I802"/>
  <c r="V802" s="1"/>
  <c r="V801"/>
  <c r="U801"/>
  <c r="T801"/>
  <c r="S801"/>
  <c r="S799"/>
  <c r="N799"/>
  <c r="L799"/>
  <c r="K799"/>
  <c r="H799"/>
  <c r="G799"/>
  <c r="T799" s="1"/>
  <c r="L798"/>
  <c r="K798"/>
  <c r="J798"/>
  <c r="F798"/>
  <c r="V797"/>
  <c r="U797"/>
  <c r="T797"/>
  <c r="S797"/>
  <c r="L795"/>
  <c r="K795"/>
  <c r="J795"/>
  <c r="H795"/>
  <c r="U795" s="1"/>
  <c r="G795"/>
  <c r="F795"/>
  <c r="L794"/>
  <c r="K794"/>
  <c r="J794"/>
  <c r="H794"/>
  <c r="U794" s="1"/>
  <c r="G794"/>
  <c r="F794"/>
  <c r="L793"/>
  <c r="K793"/>
  <c r="J793"/>
  <c r="H793"/>
  <c r="G793"/>
  <c r="F793"/>
  <c r="L792"/>
  <c r="K792"/>
  <c r="J792"/>
  <c r="H792"/>
  <c r="U792" s="1"/>
  <c r="G792"/>
  <c r="T792" s="1"/>
  <c r="F792"/>
  <c r="U791"/>
  <c r="T791"/>
  <c r="S791"/>
  <c r="P791"/>
  <c r="O791"/>
  <c r="N791"/>
  <c r="M791"/>
  <c r="I791"/>
  <c r="V791" s="1"/>
  <c r="V790"/>
  <c r="U790"/>
  <c r="T790"/>
  <c r="S790"/>
  <c r="S788"/>
  <c r="N788"/>
  <c r="L788"/>
  <c r="K788"/>
  <c r="H788"/>
  <c r="U788" s="1"/>
  <c r="G788"/>
  <c r="I788" s="1"/>
  <c r="V788" s="1"/>
  <c r="L787"/>
  <c r="K787"/>
  <c r="J787"/>
  <c r="G787"/>
  <c r="F787"/>
  <c r="V786"/>
  <c r="U786"/>
  <c r="T786"/>
  <c r="S786"/>
  <c r="L784"/>
  <c r="K784"/>
  <c r="J784"/>
  <c r="H784"/>
  <c r="U784" s="1"/>
  <c r="G784"/>
  <c r="T784" s="1"/>
  <c r="F784"/>
  <c r="S784" s="1"/>
  <c r="L783"/>
  <c r="K783"/>
  <c r="J783"/>
  <c r="H783"/>
  <c r="U783" s="1"/>
  <c r="G783"/>
  <c r="T783" s="1"/>
  <c r="F783"/>
  <c r="S783" s="1"/>
  <c r="L782"/>
  <c r="K782"/>
  <c r="J782"/>
  <c r="H782"/>
  <c r="G782"/>
  <c r="F782"/>
  <c r="L781"/>
  <c r="K781"/>
  <c r="J781"/>
  <c r="H781"/>
  <c r="U781" s="1"/>
  <c r="G781"/>
  <c r="T781" s="1"/>
  <c r="F781"/>
  <c r="S781" s="1"/>
  <c r="U780"/>
  <c r="T780"/>
  <c r="S780"/>
  <c r="P780"/>
  <c r="O780"/>
  <c r="N780"/>
  <c r="M780"/>
  <c r="I780"/>
  <c r="V780" s="1"/>
  <c r="V779"/>
  <c r="U779"/>
  <c r="T779"/>
  <c r="S779"/>
  <c r="S777"/>
  <c r="N777"/>
  <c r="L777"/>
  <c r="K777"/>
  <c r="H777"/>
  <c r="G777"/>
  <c r="T777" s="1"/>
  <c r="L776"/>
  <c r="K776"/>
  <c r="J776"/>
  <c r="F776"/>
  <c r="V775"/>
  <c r="U775"/>
  <c r="T775"/>
  <c r="S775"/>
  <c r="L773"/>
  <c r="K773"/>
  <c r="J773"/>
  <c r="H773"/>
  <c r="U773" s="1"/>
  <c r="G773"/>
  <c r="F773"/>
  <c r="L772"/>
  <c r="K772"/>
  <c r="J772"/>
  <c r="H772"/>
  <c r="U772" s="1"/>
  <c r="G772"/>
  <c r="F772"/>
  <c r="I772" s="1"/>
  <c r="L771"/>
  <c r="K771"/>
  <c r="J771"/>
  <c r="H771"/>
  <c r="G771"/>
  <c r="F771"/>
  <c r="L770"/>
  <c r="K770"/>
  <c r="J770"/>
  <c r="H770"/>
  <c r="U770" s="1"/>
  <c r="G770"/>
  <c r="F770"/>
  <c r="I770" s="1"/>
  <c r="U769"/>
  <c r="T769"/>
  <c r="S769"/>
  <c r="P769"/>
  <c r="O769"/>
  <c r="N769"/>
  <c r="M769"/>
  <c r="I769"/>
  <c r="V769" s="1"/>
  <c r="V768"/>
  <c r="U768"/>
  <c r="T768"/>
  <c r="S768"/>
  <c r="S766"/>
  <c r="N766"/>
  <c r="L766"/>
  <c r="K766"/>
  <c r="H766"/>
  <c r="U766" s="1"/>
  <c r="G766"/>
  <c r="I766" s="1"/>
  <c r="L765"/>
  <c r="K765"/>
  <c r="J765"/>
  <c r="G765"/>
  <c r="F765"/>
  <c r="V764"/>
  <c r="U764"/>
  <c r="T764"/>
  <c r="S764"/>
  <c r="L762"/>
  <c r="K762"/>
  <c r="J762"/>
  <c r="H762"/>
  <c r="U762" s="1"/>
  <c r="G762"/>
  <c r="T762" s="1"/>
  <c r="F762"/>
  <c r="S762" s="1"/>
  <c r="L761"/>
  <c r="K761"/>
  <c r="J761"/>
  <c r="H761"/>
  <c r="U761" s="1"/>
  <c r="G761"/>
  <c r="T761" s="1"/>
  <c r="F761"/>
  <c r="S761" s="1"/>
  <c r="L760"/>
  <c r="K760"/>
  <c r="J760"/>
  <c r="H760"/>
  <c r="G760"/>
  <c r="F760"/>
  <c r="L759"/>
  <c r="K759"/>
  <c r="J759"/>
  <c r="H759"/>
  <c r="U759" s="1"/>
  <c r="G759"/>
  <c r="T759" s="1"/>
  <c r="F759"/>
  <c r="S759" s="1"/>
  <c r="U758"/>
  <c r="T758"/>
  <c r="S758"/>
  <c r="P758"/>
  <c r="O758"/>
  <c r="N758"/>
  <c r="M758"/>
  <c r="I758"/>
  <c r="V758" s="1"/>
  <c r="U757"/>
  <c r="T757"/>
  <c r="S757"/>
  <c r="P757"/>
  <c r="O757"/>
  <c r="N757"/>
  <c r="M757"/>
  <c r="I757"/>
  <c r="V757" s="1"/>
  <c r="V756"/>
  <c r="U756"/>
  <c r="T756"/>
  <c r="S756"/>
  <c r="S754"/>
  <c r="N754"/>
  <c r="L754"/>
  <c r="L855" s="1"/>
  <c r="L854" s="1"/>
  <c r="K754"/>
  <c r="H754"/>
  <c r="G754"/>
  <c r="L753"/>
  <c r="K753"/>
  <c r="J753"/>
  <c r="G753"/>
  <c r="T753" s="1"/>
  <c r="F753"/>
  <c r="V752"/>
  <c r="U752"/>
  <c r="T752"/>
  <c r="S752"/>
  <c r="L750"/>
  <c r="K750"/>
  <c r="J750"/>
  <c r="H750"/>
  <c r="G750"/>
  <c r="F750"/>
  <c r="L749"/>
  <c r="K749"/>
  <c r="J749"/>
  <c r="H749"/>
  <c r="G749"/>
  <c r="F749"/>
  <c r="L748"/>
  <c r="K748"/>
  <c r="J748"/>
  <c r="H748"/>
  <c r="G748"/>
  <c r="F748"/>
  <c r="S747"/>
  <c r="N747"/>
  <c r="L747"/>
  <c r="K747"/>
  <c r="H747"/>
  <c r="U747" s="1"/>
  <c r="G747"/>
  <c r="T747" s="1"/>
  <c r="S746"/>
  <c r="N746"/>
  <c r="L746"/>
  <c r="K746"/>
  <c r="H746"/>
  <c r="U746" s="1"/>
  <c r="G746"/>
  <c r="T746" s="1"/>
  <c r="S745"/>
  <c r="N745"/>
  <c r="L745"/>
  <c r="K745"/>
  <c r="H745"/>
  <c r="U745" s="1"/>
  <c r="G745"/>
  <c r="T745" s="1"/>
  <c r="L744"/>
  <c r="L848" s="1"/>
  <c r="K744"/>
  <c r="J744"/>
  <c r="J848" s="1"/>
  <c r="H744"/>
  <c r="G744"/>
  <c r="G848" s="1"/>
  <c r="F744"/>
  <c r="U743"/>
  <c r="T743"/>
  <c r="S743"/>
  <c r="P743"/>
  <c r="O743"/>
  <c r="N743"/>
  <c r="M743"/>
  <c r="I743"/>
  <c r="V743" s="1"/>
  <c r="V742"/>
  <c r="U742"/>
  <c r="T742"/>
  <c r="S742"/>
  <c r="S740"/>
  <c r="F739"/>
  <c r="V738"/>
  <c r="U738"/>
  <c r="T738"/>
  <c r="S738"/>
  <c r="S736"/>
  <c r="S735"/>
  <c r="F734"/>
  <c r="U732"/>
  <c r="T732"/>
  <c r="S732"/>
  <c r="P732"/>
  <c r="O732"/>
  <c r="N732"/>
  <c r="M732"/>
  <c r="I732"/>
  <c r="V732" s="1"/>
  <c r="V731"/>
  <c r="U731"/>
  <c r="T731"/>
  <c r="S731"/>
  <c r="S728"/>
  <c r="N728"/>
  <c r="L728"/>
  <c r="K728"/>
  <c r="M728" s="1"/>
  <c r="H728"/>
  <c r="U728" s="1"/>
  <c r="G728"/>
  <c r="I728" s="1"/>
  <c r="V728" s="1"/>
  <c r="L727"/>
  <c r="K727"/>
  <c r="H727"/>
  <c r="G727"/>
  <c r="F727"/>
  <c r="V726"/>
  <c r="U726"/>
  <c r="T726"/>
  <c r="S726"/>
  <c r="L724"/>
  <c r="K724"/>
  <c r="J724"/>
  <c r="M724" s="1"/>
  <c r="H724"/>
  <c r="U724" s="1"/>
  <c r="G724"/>
  <c r="T724" s="1"/>
  <c r="F724"/>
  <c r="L723"/>
  <c r="K723"/>
  <c r="J723"/>
  <c r="H723"/>
  <c r="U723" s="1"/>
  <c r="G723"/>
  <c r="T723" s="1"/>
  <c r="F723"/>
  <c r="L722"/>
  <c r="K722"/>
  <c r="J722"/>
  <c r="H722"/>
  <c r="G722"/>
  <c r="F722"/>
  <c r="L721"/>
  <c r="K721"/>
  <c r="H721"/>
  <c r="U721" s="1"/>
  <c r="G721"/>
  <c r="T721" s="1"/>
  <c r="F721"/>
  <c r="S721" s="1"/>
  <c r="U720"/>
  <c r="T720"/>
  <c r="S720"/>
  <c r="P720"/>
  <c r="O720"/>
  <c r="N720"/>
  <c r="M720"/>
  <c r="I720"/>
  <c r="V720" s="1"/>
  <c r="V719"/>
  <c r="U719"/>
  <c r="T719"/>
  <c r="S719"/>
  <c r="S717"/>
  <c r="L717"/>
  <c r="L716" s="1"/>
  <c r="K717"/>
  <c r="J717"/>
  <c r="J1339" s="1"/>
  <c r="H717"/>
  <c r="U717" s="1"/>
  <c r="G717"/>
  <c r="T717" s="1"/>
  <c r="K716"/>
  <c r="H716"/>
  <c r="U716" s="1"/>
  <c r="F716"/>
  <c r="S716" s="1"/>
  <c r="V715"/>
  <c r="U715"/>
  <c r="T715"/>
  <c r="S715"/>
  <c r="L713"/>
  <c r="K713"/>
  <c r="J713"/>
  <c r="M713" s="1"/>
  <c r="H713"/>
  <c r="U713" s="1"/>
  <c r="G713"/>
  <c r="T713" s="1"/>
  <c r="F713"/>
  <c r="L712"/>
  <c r="K712"/>
  <c r="J712"/>
  <c r="M712" s="1"/>
  <c r="H712"/>
  <c r="U712" s="1"/>
  <c r="G712"/>
  <c r="T712" s="1"/>
  <c r="F712"/>
  <c r="L711"/>
  <c r="K711"/>
  <c r="J711"/>
  <c r="H711"/>
  <c r="G711"/>
  <c r="F711"/>
  <c r="L710"/>
  <c r="K710"/>
  <c r="J710"/>
  <c r="M710" s="1"/>
  <c r="H710"/>
  <c r="U710" s="1"/>
  <c r="G710"/>
  <c r="T710" s="1"/>
  <c r="F710"/>
  <c r="U709"/>
  <c r="T709"/>
  <c r="S709"/>
  <c r="P709"/>
  <c r="O709"/>
  <c r="N709"/>
  <c r="M709"/>
  <c r="I709"/>
  <c r="V709" s="1"/>
  <c r="U708"/>
  <c r="T708"/>
  <c r="S708"/>
  <c r="P708"/>
  <c r="O708"/>
  <c r="N708"/>
  <c r="M708"/>
  <c r="I708"/>
  <c r="V708" s="1"/>
  <c r="V707"/>
  <c r="U707"/>
  <c r="T707"/>
  <c r="S707"/>
  <c r="S705"/>
  <c r="L705"/>
  <c r="K705"/>
  <c r="K704" s="1"/>
  <c r="J705"/>
  <c r="H705"/>
  <c r="G705"/>
  <c r="L704"/>
  <c r="G704"/>
  <c r="T704" s="1"/>
  <c r="F704"/>
  <c r="N704" s="1"/>
  <c r="V703"/>
  <c r="U703"/>
  <c r="T703"/>
  <c r="S703"/>
  <c r="L701"/>
  <c r="K701"/>
  <c r="K736" s="1"/>
  <c r="J701"/>
  <c r="H701"/>
  <c r="G701"/>
  <c r="F701"/>
  <c r="S701" s="1"/>
  <c r="L700"/>
  <c r="K700"/>
  <c r="K735" s="1"/>
  <c r="K734" s="1"/>
  <c r="J700"/>
  <c r="H700"/>
  <c r="H735" s="1"/>
  <c r="G700"/>
  <c r="F700"/>
  <c r="S700" s="1"/>
  <c r="L699"/>
  <c r="K699"/>
  <c r="J699"/>
  <c r="H699"/>
  <c r="G699"/>
  <c r="F699"/>
  <c r="S698"/>
  <c r="N698"/>
  <c r="L698"/>
  <c r="K698"/>
  <c r="H698"/>
  <c r="U698" s="1"/>
  <c r="G698"/>
  <c r="S697"/>
  <c r="N697"/>
  <c r="L697"/>
  <c r="K697"/>
  <c r="H697"/>
  <c r="U697" s="1"/>
  <c r="G697"/>
  <c r="S696"/>
  <c r="N696"/>
  <c r="L696"/>
  <c r="K696"/>
  <c r="H696"/>
  <c r="U696" s="1"/>
  <c r="G696"/>
  <c r="L695"/>
  <c r="L733" s="1"/>
  <c r="K695"/>
  <c r="K733" s="1"/>
  <c r="J695"/>
  <c r="J733" s="1"/>
  <c r="H695"/>
  <c r="U695" s="1"/>
  <c r="G695"/>
  <c r="G733" s="1"/>
  <c r="F695"/>
  <c r="S695" s="1"/>
  <c r="U694"/>
  <c r="T694"/>
  <c r="S694"/>
  <c r="P694"/>
  <c r="O694"/>
  <c r="N694"/>
  <c r="M694"/>
  <c r="I694"/>
  <c r="V694" s="1"/>
  <c r="V693"/>
  <c r="U693"/>
  <c r="T693"/>
  <c r="S693"/>
  <c r="J691"/>
  <c r="F691"/>
  <c r="J690"/>
  <c r="F690"/>
  <c r="V689"/>
  <c r="U689"/>
  <c r="T689"/>
  <c r="S689"/>
  <c r="U683"/>
  <c r="T683"/>
  <c r="S683"/>
  <c r="P683"/>
  <c r="O683"/>
  <c r="N683"/>
  <c r="M683"/>
  <c r="I683"/>
  <c r="V683" s="1"/>
  <c r="V682"/>
  <c r="U682"/>
  <c r="T682"/>
  <c r="S682"/>
  <c r="S679"/>
  <c r="N679"/>
  <c r="L679"/>
  <c r="K679"/>
  <c r="H679"/>
  <c r="G679"/>
  <c r="L678"/>
  <c r="K678"/>
  <c r="J678"/>
  <c r="F678"/>
  <c r="V677"/>
  <c r="U677"/>
  <c r="T677"/>
  <c r="S677"/>
  <c r="L675"/>
  <c r="K675"/>
  <c r="J675"/>
  <c r="H675"/>
  <c r="U675" s="1"/>
  <c r="G675"/>
  <c r="F675"/>
  <c r="S675" s="1"/>
  <c r="L674"/>
  <c r="K674"/>
  <c r="J674"/>
  <c r="H674"/>
  <c r="U674" s="1"/>
  <c r="G674"/>
  <c r="F674"/>
  <c r="S674" s="1"/>
  <c r="L673"/>
  <c r="K673"/>
  <c r="J673"/>
  <c r="H673"/>
  <c r="G673"/>
  <c r="F673"/>
  <c r="L672"/>
  <c r="K672"/>
  <c r="J672"/>
  <c r="H672"/>
  <c r="U672" s="1"/>
  <c r="G672"/>
  <c r="F672"/>
  <c r="S672" s="1"/>
  <c r="U671"/>
  <c r="T671"/>
  <c r="S671"/>
  <c r="P671"/>
  <c r="O671"/>
  <c r="N671"/>
  <c r="M671"/>
  <c r="I671"/>
  <c r="V671" s="1"/>
  <c r="V670"/>
  <c r="U670"/>
  <c r="T670"/>
  <c r="S670"/>
  <c r="S668"/>
  <c r="N668"/>
  <c r="L668"/>
  <c r="K668"/>
  <c r="M668" s="1"/>
  <c r="H668"/>
  <c r="U668" s="1"/>
  <c r="G668"/>
  <c r="T668" s="1"/>
  <c r="L667"/>
  <c r="K667"/>
  <c r="J667"/>
  <c r="H667"/>
  <c r="F667"/>
  <c r="V666"/>
  <c r="U666"/>
  <c r="T666"/>
  <c r="S666"/>
  <c r="L664"/>
  <c r="K664"/>
  <c r="J664"/>
  <c r="H664"/>
  <c r="U664" s="1"/>
  <c r="G664"/>
  <c r="F664"/>
  <c r="L663"/>
  <c r="K663"/>
  <c r="J663"/>
  <c r="H663"/>
  <c r="U663" s="1"/>
  <c r="G663"/>
  <c r="T663" s="1"/>
  <c r="F663"/>
  <c r="L662"/>
  <c r="K662"/>
  <c r="J662"/>
  <c r="H662"/>
  <c r="G662"/>
  <c r="F662"/>
  <c r="L661"/>
  <c r="K661"/>
  <c r="J661"/>
  <c r="H661"/>
  <c r="U661" s="1"/>
  <c r="G661"/>
  <c r="F661"/>
  <c r="U660"/>
  <c r="T660"/>
  <c r="S660"/>
  <c r="P660"/>
  <c r="O660"/>
  <c r="N660"/>
  <c r="M660"/>
  <c r="I660"/>
  <c r="V660" s="1"/>
  <c r="V659"/>
  <c r="U659"/>
  <c r="T659"/>
  <c r="S659"/>
  <c r="S657"/>
  <c r="N657"/>
  <c r="L657"/>
  <c r="K657"/>
  <c r="H657"/>
  <c r="G657"/>
  <c r="L656"/>
  <c r="K656"/>
  <c r="J656"/>
  <c r="F656"/>
  <c r="V655"/>
  <c r="U655"/>
  <c r="T655"/>
  <c r="S655"/>
  <c r="L653"/>
  <c r="K653"/>
  <c r="J653"/>
  <c r="H653"/>
  <c r="U653" s="1"/>
  <c r="G653"/>
  <c r="F653"/>
  <c r="S653" s="1"/>
  <c r="L652"/>
  <c r="K652"/>
  <c r="J652"/>
  <c r="H652"/>
  <c r="U652" s="1"/>
  <c r="G652"/>
  <c r="F652"/>
  <c r="S652" s="1"/>
  <c r="L651"/>
  <c r="K651"/>
  <c r="J651"/>
  <c r="H651"/>
  <c r="G651"/>
  <c r="F651"/>
  <c r="L650"/>
  <c r="K650"/>
  <c r="J650"/>
  <c r="H650"/>
  <c r="U650" s="1"/>
  <c r="G650"/>
  <c r="F650"/>
  <c r="S650" s="1"/>
  <c r="U649"/>
  <c r="T649"/>
  <c r="S649"/>
  <c r="P649"/>
  <c r="O649"/>
  <c r="N649"/>
  <c r="M649"/>
  <c r="I649"/>
  <c r="V649" s="1"/>
  <c r="V648"/>
  <c r="U648"/>
  <c r="T648"/>
  <c r="S648"/>
  <c r="S646"/>
  <c r="N646"/>
  <c r="L646"/>
  <c r="K646"/>
  <c r="M646" s="1"/>
  <c r="H646"/>
  <c r="U646" s="1"/>
  <c r="G646"/>
  <c r="T646" s="1"/>
  <c r="L645"/>
  <c r="K645"/>
  <c r="J645"/>
  <c r="H645"/>
  <c r="F645"/>
  <c r="V644"/>
  <c r="U644"/>
  <c r="T644"/>
  <c r="S644"/>
  <c r="L642"/>
  <c r="K642"/>
  <c r="J642"/>
  <c r="H642"/>
  <c r="U642" s="1"/>
  <c r="G642"/>
  <c r="F642"/>
  <c r="L641"/>
  <c r="K641"/>
  <c r="J641"/>
  <c r="H641"/>
  <c r="U641" s="1"/>
  <c r="G641"/>
  <c r="T641" s="1"/>
  <c r="F641"/>
  <c r="L640"/>
  <c r="K640"/>
  <c r="J640"/>
  <c r="H640"/>
  <c r="G640"/>
  <c r="F640"/>
  <c r="L639"/>
  <c r="K639"/>
  <c r="J639"/>
  <c r="H639"/>
  <c r="U639" s="1"/>
  <c r="G639"/>
  <c r="T639" s="1"/>
  <c r="F639"/>
  <c r="U638"/>
  <c r="T638"/>
  <c r="S638"/>
  <c r="P638"/>
  <c r="O638"/>
  <c r="N638"/>
  <c r="M638"/>
  <c r="I638"/>
  <c r="V638" s="1"/>
  <c r="V637"/>
  <c r="U637"/>
  <c r="T637"/>
  <c r="S637"/>
  <c r="S635"/>
  <c r="N635"/>
  <c r="L635"/>
  <c r="K635"/>
  <c r="H635"/>
  <c r="G635"/>
  <c r="L634"/>
  <c r="K634"/>
  <c r="J634"/>
  <c r="F634"/>
  <c r="V633"/>
  <c r="U633"/>
  <c r="T633"/>
  <c r="S633"/>
  <c r="L631"/>
  <c r="K631"/>
  <c r="J631"/>
  <c r="H631"/>
  <c r="U631" s="1"/>
  <c r="G631"/>
  <c r="F631"/>
  <c r="S631" s="1"/>
  <c r="L630"/>
  <c r="K630"/>
  <c r="J630"/>
  <c r="H630"/>
  <c r="U630" s="1"/>
  <c r="G630"/>
  <c r="F630"/>
  <c r="S630" s="1"/>
  <c r="L629"/>
  <c r="K629"/>
  <c r="J629"/>
  <c r="H629"/>
  <c r="G629"/>
  <c r="F629"/>
  <c r="L628"/>
  <c r="K628"/>
  <c r="J628"/>
  <c r="H628"/>
  <c r="U628" s="1"/>
  <c r="G628"/>
  <c r="F628"/>
  <c r="S628" s="1"/>
  <c r="U627"/>
  <c r="T627"/>
  <c r="S627"/>
  <c r="P627"/>
  <c r="O627"/>
  <c r="N627"/>
  <c r="M627"/>
  <c r="I627"/>
  <c r="V627" s="1"/>
  <c r="V626"/>
  <c r="U626"/>
  <c r="T626"/>
  <c r="S626"/>
  <c r="S624"/>
  <c r="N624"/>
  <c r="L624"/>
  <c r="K624"/>
  <c r="M624" s="1"/>
  <c r="H624"/>
  <c r="U624" s="1"/>
  <c r="G624"/>
  <c r="T624" s="1"/>
  <c r="L623"/>
  <c r="K623"/>
  <c r="J623"/>
  <c r="H623"/>
  <c r="F623"/>
  <c r="V622"/>
  <c r="U622"/>
  <c r="T622"/>
  <c r="S622"/>
  <c r="L620"/>
  <c r="K620"/>
  <c r="J620"/>
  <c r="H620"/>
  <c r="U620" s="1"/>
  <c r="G620"/>
  <c r="F620"/>
  <c r="L619"/>
  <c r="K619"/>
  <c r="J619"/>
  <c r="H619"/>
  <c r="U619" s="1"/>
  <c r="G619"/>
  <c r="T619" s="1"/>
  <c r="F619"/>
  <c r="L618"/>
  <c r="K618"/>
  <c r="J618"/>
  <c r="H618"/>
  <c r="G618"/>
  <c r="F618"/>
  <c r="L617"/>
  <c r="K617"/>
  <c r="J617"/>
  <c r="H617"/>
  <c r="U617" s="1"/>
  <c r="G617"/>
  <c r="F617"/>
  <c r="U616"/>
  <c r="T616"/>
  <c r="S616"/>
  <c r="P616"/>
  <c r="O616"/>
  <c r="N616"/>
  <c r="M616"/>
  <c r="I616"/>
  <c r="V616" s="1"/>
  <c r="U615"/>
  <c r="T615"/>
  <c r="S615"/>
  <c r="P615"/>
  <c r="O615"/>
  <c r="N615"/>
  <c r="M615"/>
  <c r="I615"/>
  <c r="V615" s="1"/>
  <c r="V614"/>
  <c r="U614"/>
  <c r="T614"/>
  <c r="S614"/>
  <c r="S612"/>
  <c r="N612"/>
  <c r="L612"/>
  <c r="K612"/>
  <c r="H612"/>
  <c r="G612"/>
  <c r="L611"/>
  <c r="K611"/>
  <c r="J611"/>
  <c r="G611"/>
  <c r="T611" s="1"/>
  <c r="F611"/>
  <c r="S611" s="1"/>
  <c r="V610"/>
  <c r="U610"/>
  <c r="T610"/>
  <c r="S610"/>
  <c r="L608"/>
  <c r="K608"/>
  <c r="K687" s="1"/>
  <c r="J608"/>
  <c r="H608"/>
  <c r="H687" s="1"/>
  <c r="G608"/>
  <c r="F608"/>
  <c r="F687" s="1"/>
  <c r="L607"/>
  <c r="K607"/>
  <c r="K686" s="1"/>
  <c r="K685" s="1"/>
  <c r="J607"/>
  <c r="H607"/>
  <c r="H686" s="1"/>
  <c r="G607"/>
  <c r="F607"/>
  <c r="F686" s="1"/>
  <c r="L606"/>
  <c r="K606"/>
  <c r="J606"/>
  <c r="H606"/>
  <c r="G606"/>
  <c r="F606"/>
  <c r="S605"/>
  <c r="N605"/>
  <c r="L605"/>
  <c r="K605"/>
  <c r="H605"/>
  <c r="U605" s="1"/>
  <c r="G605"/>
  <c r="I605" s="1"/>
  <c r="S604"/>
  <c r="N604"/>
  <c r="L604"/>
  <c r="K604"/>
  <c r="H604"/>
  <c r="U604" s="1"/>
  <c r="G604"/>
  <c r="I604" s="1"/>
  <c r="S603"/>
  <c r="N603"/>
  <c r="L603"/>
  <c r="K603"/>
  <c r="H603"/>
  <c r="U603" s="1"/>
  <c r="G603"/>
  <c r="I603" s="1"/>
  <c r="L602"/>
  <c r="K602"/>
  <c r="K684" s="1"/>
  <c r="J602"/>
  <c r="H602"/>
  <c r="H684" s="1"/>
  <c r="G602"/>
  <c r="F602"/>
  <c r="F684" s="1"/>
  <c r="U601"/>
  <c r="T601"/>
  <c r="S601"/>
  <c r="P601"/>
  <c r="O601"/>
  <c r="N601"/>
  <c r="M601"/>
  <c r="I601"/>
  <c r="V601" s="1"/>
  <c r="V600"/>
  <c r="U600"/>
  <c r="T600"/>
  <c r="S600"/>
  <c r="J598"/>
  <c r="F598"/>
  <c r="J597"/>
  <c r="F597"/>
  <c r="V596"/>
  <c r="U596"/>
  <c r="T596"/>
  <c r="S596"/>
  <c r="U590"/>
  <c r="T590"/>
  <c r="S590"/>
  <c r="P590"/>
  <c r="O590"/>
  <c r="N590"/>
  <c r="M590"/>
  <c r="I590"/>
  <c r="V590" s="1"/>
  <c r="V589"/>
  <c r="U589"/>
  <c r="T589"/>
  <c r="S589"/>
  <c r="S586"/>
  <c r="N586"/>
  <c r="L586"/>
  <c r="K586"/>
  <c r="M586" s="1"/>
  <c r="H586"/>
  <c r="U586" s="1"/>
  <c r="G586"/>
  <c r="L585"/>
  <c r="K585"/>
  <c r="J585"/>
  <c r="H585"/>
  <c r="F585"/>
  <c r="V584"/>
  <c r="U584"/>
  <c r="T584"/>
  <c r="S584"/>
  <c r="L582"/>
  <c r="K582"/>
  <c r="J582"/>
  <c r="H582"/>
  <c r="U582" s="1"/>
  <c r="G582"/>
  <c r="F582"/>
  <c r="S582" s="1"/>
  <c r="L581"/>
  <c r="K581"/>
  <c r="J581"/>
  <c r="H581"/>
  <c r="U581" s="1"/>
  <c r="G581"/>
  <c r="F581"/>
  <c r="S581" s="1"/>
  <c r="L580"/>
  <c r="K580"/>
  <c r="J580"/>
  <c r="H580"/>
  <c r="G580"/>
  <c r="F580"/>
  <c r="L579"/>
  <c r="K579"/>
  <c r="J579"/>
  <c r="H579"/>
  <c r="U579" s="1"/>
  <c r="G579"/>
  <c r="F579"/>
  <c r="S579" s="1"/>
  <c r="U578"/>
  <c r="T578"/>
  <c r="S578"/>
  <c r="P578"/>
  <c r="O578"/>
  <c r="N578"/>
  <c r="M578"/>
  <c r="I578"/>
  <c r="V578" s="1"/>
  <c r="V577"/>
  <c r="U577"/>
  <c r="T577"/>
  <c r="S577"/>
  <c r="S575"/>
  <c r="N575"/>
  <c r="L575"/>
  <c r="K575"/>
  <c r="H575"/>
  <c r="U575" s="1"/>
  <c r="G575"/>
  <c r="I575" s="1"/>
  <c r="V575" s="1"/>
  <c r="L574"/>
  <c r="H574"/>
  <c r="F574"/>
  <c r="V573"/>
  <c r="U573"/>
  <c r="T573"/>
  <c r="S573"/>
  <c r="L571"/>
  <c r="K571"/>
  <c r="J571"/>
  <c r="H571"/>
  <c r="U571" s="1"/>
  <c r="G571"/>
  <c r="F571"/>
  <c r="S571" s="1"/>
  <c r="L570"/>
  <c r="K570"/>
  <c r="J570"/>
  <c r="H570"/>
  <c r="U570" s="1"/>
  <c r="G570"/>
  <c r="F570"/>
  <c r="S570" s="1"/>
  <c r="L569"/>
  <c r="K569"/>
  <c r="J569"/>
  <c r="J572" s="1"/>
  <c r="J576" s="1"/>
  <c r="H569"/>
  <c r="G569"/>
  <c r="F569"/>
  <c r="L568"/>
  <c r="K568"/>
  <c r="H568"/>
  <c r="U568" s="1"/>
  <c r="G568"/>
  <c r="F568"/>
  <c r="N568" s="1"/>
  <c r="U567"/>
  <c r="T567"/>
  <c r="S567"/>
  <c r="P567"/>
  <c r="O567"/>
  <c r="N567"/>
  <c r="M567"/>
  <c r="I567"/>
  <c r="V567" s="1"/>
  <c r="V566"/>
  <c r="U566"/>
  <c r="T566"/>
  <c r="S566"/>
  <c r="S564"/>
  <c r="N564"/>
  <c r="L564"/>
  <c r="K564"/>
  <c r="H564"/>
  <c r="G564"/>
  <c r="L563"/>
  <c r="F563"/>
  <c r="S563" s="1"/>
  <c r="V562"/>
  <c r="U562"/>
  <c r="T562"/>
  <c r="S562"/>
  <c r="L560"/>
  <c r="K560"/>
  <c r="M560" s="1"/>
  <c r="J560"/>
  <c r="H560"/>
  <c r="U560" s="1"/>
  <c r="G560"/>
  <c r="F560"/>
  <c r="S560" s="1"/>
  <c r="L559"/>
  <c r="K559"/>
  <c r="M559" s="1"/>
  <c r="J559"/>
  <c r="H559"/>
  <c r="U559" s="1"/>
  <c r="G559"/>
  <c r="T559" s="1"/>
  <c r="F559"/>
  <c r="S559" s="1"/>
  <c r="L558"/>
  <c r="K558"/>
  <c r="J558"/>
  <c r="J561" s="1"/>
  <c r="J565" s="1"/>
  <c r="H558"/>
  <c r="H561" s="1"/>
  <c r="U561" s="1"/>
  <c r="G558"/>
  <c r="F558"/>
  <c r="F561" s="1"/>
  <c r="S561" s="1"/>
  <c r="L557"/>
  <c r="K557"/>
  <c r="H557"/>
  <c r="U557" s="1"/>
  <c r="G557"/>
  <c r="F557"/>
  <c r="S557" s="1"/>
  <c r="U556"/>
  <c r="T556"/>
  <c r="S556"/>
  <c r="P556"/>
  <c r="O556"/>
  <c r="N556"/>
  <c r="M556"/>
  <c r="I556"/>
  <c r="V556" s="1"/>
  <c r="V555"/>
  <c r="U555"/>
  <c r="T555"/>
  <c r="S555"/>
  <c r="S553"/>
  <c r="N553"/>
  <c r="L553"/>
  <c r="K553"/>
  <c r="H553"/>
  <c r="U553" s="1"/>
  <c r="G553"/>
  <c r="L552"/>
  <c r="K552"/>
  <c r="H552"/>
  <c r="G552"/>
  <c r="F552"/>
  <c r="V551"/>
  <c r="U551"/>
  <c r="T551"/>
  <c r="S551"/>
  <c r="L549"/>
  <c r="K549"/>
  <c r="J549"/>
  <c r="H549"/>
  <c r="U549" s="1"/>
  <c r="G549"/>
  <c r="F549"/>
  <c r="S549" s="1"/>
  <c r="L548"/>
  <c r="K548"/>
  <c r="J548"/>
  <c r="H548"/>
  <c r="U548" s="1"/>
  <c r="G548"/>
  <c r="F548"/>
  <c r="S548" s="1"/>
  <c r="L547"/>
  <c r="K547"/>
  <c r="J547"/>
  <c r="J550" s="1"/>
  <c r="J554" s="1"/>
  <c r="H547"/>
  <c r="G547"/>
  <c r="F547"/>
  <c r="L546"/>
  <c r="K546"/>
  <c r="H546"/>
  <c r="U546" s="1"/>
  <c r="G546"/>
  <c r="F546"/>
  <c r="N546" s="1"/>
  <c r="U545"/>
  <c r="T545"/>
  <c r="S545"/>
  <c r="P545"/>
  <c r="O545"/>
  <c r="N545"/>
  <c r="M545"/>
  <c r="I545"/>
  <c r="V545" s="1"/>
  <c r="U544"/>
  <c r="T544"/>
  <c r="S544"/>
  <c r="P544"/>
  <c r="O544"/>
  <c r="N544"/>
  <c r="M544"/>
  <c r="I544"/>
  <c r="V544" s="1"/>
  <c r="V543"/>
  <c r="U543"/>
  <c r="T543"/>
  <c r="S543"/>
  <c r="S541"/>
  <c r="N541"/>
  <c r="L541"/>
  <c r="K541"/>
  <c r="H541"/>
  <c r="H598" s="1"/>
  <c r="G541"/>
  <c r="K540"/>
  <c r="G540"/>
  <c r="F540"/>
  <c r="N540" s="1"/>
  <c r="V539"/>
  <c r="U539"/>
  <c r="T539"/>
  <c r="S539"/>
  <c r="L537"/>
  <c r="K537"/>
  <c r="K594" s="1"/>
  <c r="J537"/>
  <c r="H537"/>
  <c r="H594" s="1"/>
  <c r="G537"/>
  <c r="F537"/>
  <c r="F594" s="1"/>
  <c r="L536"/>
  <c r="K536"/>
  <c r="K593" s="1"/>
  <c r="K592" s="1"/>
  <c r="J536"/>
  <c r="H536"/>
  <c r="H593" s="1"/>
  <c r="G536"/>
  <c r="F536"/>
  <c r="F593" s="1"/>
  <c r="L535"/>
  <c r="K535"/>
  <c r="J535"/>
  <c r="J538" s="1"/>
  <c r="J542" s="1"/>
  <c r="H535"/>
  <c r="G535"/>
  <c r="F535"/>
  <c r="S534"/>
  <c r="N534"/>
  <c r="L534"/>
  <c r="K534"/>
  <c r="H534"/>
  <c r="U534" s="1"/>
  <c r="G534"/>
  <c r="S533"/>
  <c r="N533"/>
  <c r="L533"/>
  <c r="K533"/>
  <c r="H533"/>
  <c r="U533" s="1"/>
  <c r="G533"/>
  <c r="S532"/>
  <c r="N532"/>
  <c r="L532"/>
  <c r="K532"/>
  <c r="H532"/>
  <c r="U532" s="1"/>
  <c r="G532"/>
  <c r="L531"/>
  <c r="K531"/>
  <c r="K591" s="1"/>
  <c r="H531"/>
  <c r="G531"/>
  <c r="G591" s="1"/>
  <c r="F531"/>
  <c r="U530"/>
  <c r="T530"/>
  <c r="S530"/>
  <c r="P530"/>
  <c r="O530"/>
  <c r="N530"/>
  <c r="M530"/>
  <c r="I530"/>
  <c r="V530" s="1"/>
  <c r="V529"/>
  <c r="U529"/>
  <c r="T529"/>
  <c r="S529"/>
  <c r="J527"/>
  <c r="F527"/>
  <c r="S527" s="1"/>
  <c r="V525"/>
  <c r="U525"/>
  <c r="T525"/>
  <c r="S525"/>
  <c r="U519"/>
  <c r="T519"/>
  <c r="S519"/>
  <c r="P519"/>
  <c r="O519"/>
  <c r="N519"/>
  <c r="M519"/>
  <c r="I519"/>
  <c r="V519" s="1"/>
  <c r="V518"/>
  <c r="U518"/>
  <c r="T518"/>
  <c r="S518"/>
  <c r="S515"/>
  <c r="N515"/>
  <c r="L515"/>
  <c r="K515"/>
  <c r="H515"/>
  <c r="U515" s="1"/>
  <c r="G515"/>
  <c r="T515" s="1"/>
  <c r="L514"/>
  <c r="K514"/>
  <c r="H514"/>
  <c r="G514"/>
  <c r="F514"/>
  <c r="V513"/>
  <c r="U513"/>
  <c r="T513"/>
  <c r="S513"/>
  <c r="L511"/>
  <c r="K511"/>
  <c r="J511"/>
  <c r="H511"/>
  <c r="U511" s="1"/>
  <c r="G511"/>
  <c r="F511"/>
  <c r="S511" s="1"/>
  <c r="L510"/>
  <c r="K510"/>
  <c r="J510"/>
  <c r="H510"/>
  <c r="U510" s="1"/>
  <c r="G510"/>
  <c r="F510"/>
  <c r="S510" s="1"/>
  <c r="L509"/>
  <c r="K509"/>
  <c r="J509"/>
  <c r="J512" s="1"/>
  <c r="J516" s="1"/>
  <c r="H509"/>
  <c r="G509"/>
  <c r="F509"/>
  <c r="L508"/>
  <c r="K508"/>
  <c r="M508" s="1"/>
  <c r="H508"/>
  <c r="U508" s="1"/>
  <c r="G508"/>
  <c r="T508" s="1"/>
  <c r="F508"/>
  <c r="S508" s="1"/>
  <c r="U507"/>
  <c r="T507"/>
  <c r="S507"/>
  <c r="P507"/>
  <c r="O507"/>
  <c r="N507"/>
  <c r="M507"/>
  <c r="I507"/>
  <c r="V507" s="1"/>
  <c r="V506"/>
  <c r="U506"/>
  <c r="T506"/>
  <c r="S506"/>
  <c r="S504"/>
  <c r="N504"/>
  <c r="L504"/>
  <c r="K504"/>
  <c r="H504"/>
  <c r="U504" s="1"/>
  <c r="G504"/>
  <c r="L503"/>
  <c r="K503"/>
  <c r="H503"/>
  <c r="G503"/>
  <c r="F503"/>
  <c r="V502"/>
  <c r="U502"/>
  <c r="T502"/>
  <c r="S502"/>
  <c r="L500"/>
  <c r="K500"/>
  <c r="J500"/>
  <c r="H500"/>
  <c r="U500" s="1"/>
  <c r="G500"/>
  <c r="F500"/>
  <c r="L499"/>
  <c r="K499"/>
  <c r="J499"/>
  <c r="H499"/>
  <c r="U499" s="1"/>
  <c r="G499"/>
  <c r="F499"/>
  <c r="I499" s="1"/>
  <c r="L498"/>
  <c r="K498"/>
  <c r="J498"/>
  <c r="H498"/>
  <c r="G498"/>
  <c r="F498"/>
  <c r="L497"/>
  <c r="K497"/>
  <c r="M497" s="1"/>
  <c r="H497"/>
  <c r="U497" s="1"/>
  <c r="G497"/>
  <c r="T497" s="1"/>
  <c r="F497"/>
  <c r="S497" s="1"/>
  <c r="U496"/>
  <c r="T496"/>
  <c r="S496"/>
  <c r="P496"/>
  <c r="O496"/>
  <c r="N496"/>
  <c r="M496"/>
  <c r="I496"/>
  <c r="V496" s="1"/>
  <c r="V495"/>
  <c r="U495"/>
  <c r="T495"/>
  <c r="S495"/>
  <c r="S493"/>
  <c r="N493"/>
  <c r="L493"/>
  <c r="K493"/>
  <c r="H493"/>
  <c r="G493"/>
  <c r="L492"/>
  <c r="K492"/>
  <c r="H492"/>
  <c r="G492"/>
  <c r="F492"/>
  <c r="V491"/>
  <c r="U491"/>
  <c r="T491"/>
  <c r="S491"/>
  <c r="L489"/>
  <c r="K489"/>
  <c r="J489"/>
  <c r="H489"/>
  <c r="G489"/>
  <c r="F489"/>
  <c r="F523" s="1"/>
  <c r="L488"/>
  <c r="K488"/>
  <c r="J488"/>
  <c r="H488"/>
  <c r="G488"/>
  <c r="F488"/>
  <c r="F522" s="1"/>
  <c r="L487"/>
  <c r="K487"/>
  <c r="J487"/>
  <c r="J490" s="1"/>
  <c r="J494" s="1"/>
  <c r="H487"/>
  <c r="G487"/>
  <c r="F487"/>
  <c r="L486"/>
  <c r="K486"/>
  <c r="H486"/>
  <c r="U486" s="1"/>
  <c r="G486"/>
  <c r="T486" s="1"/>
  <c r="F486"/>
  <c r="S486" s="1"/>
  <c r="U485"/>
  <c r="T485"/>
  <c r="S485"/>
  <c r="P485"/>
  <c r="O485"/>
  <c r="N485"/>
  <c r="M485"/>
  <c r="I485"/>
  <c r="V485" s="1"/>
  <c r="U484"/>
  <c r="T484"/>
  <c r="S484"/>
  <c r="P484"/>
  <c r="O484"/>
  <c r="N484"/>
  <c r="M484"/>
  <c r="I484"/>
  <c r="V484" s="1"/>
  <c r="V483"/>
  <c r="U483"/>
  <c r="T483"/>
  <c r="S483"/>
  <c r="S481"/>
  <c r="N481"/>
  <c r="L481"/>
  <c r="K481"/>
  <c r="H481"/>
  <c r="U481" s="1"/>
  <c r="G481"/>
  <c r="L480"/>
  <c r="K480"/>
  <c r="H480"/>
  <c r="U480" s="1"/>
  <c r="G480"/>
  <c r="T480" s="1"/>
  <c r="F480"/>
  <c r="S480" s="1"/>
  <c r="V479"/>
  <c r="U479"/>
  <c r="T479"/>
  <c r="S479"/>
  <c r="S477"/>
  <c r="L477"/>
  <c r="K477"/>
  <c r="J477"/>
  <c r="H477"/>
  <c r="G477"/>
  <c r="S476"/>
  <c r="L476"/>
  <c r="L475" s="1"/>
  <c r="K476"/>
  <c r="K475" s="1"/>
  <c r="J476"/>
  <c r="N476" s="1"/>
  <c r="H476"/>
  <c r="G476"/>
  <c r="F475"/>
  <c r="S474"/>
  <c r="N474"/>
  <c r="L474"/>
  <c r="K474"/>
  <c r="H474"/>
  <c r="U474" s="1"/>
  <c r="G474"/>
  <c r="T474" s="1"/>
  <c r="S473"/>
  <c r="N473"/>
  <c r="L473"/>
  <c r="K473"/>
  <c r="H473"/>
  <c r="U473" s="1"/>
  <c r="G473"/>
  <c r="T473" s="1"/>
  <c r="S472"/>
  <c r="N472"/>
  <c r="N471" s="1"/>
  <c r="L472"/>
  <c r="K472"/>
  <c r="K471" s="1"/>
  <c r="K520" s="1"/>
  <c r="H472"/>
  <c r="U472" s="1"/>
  <c r="G472"/>
  <c r="T472" s="1"/>
  <c r="L471"/>
  <c r="L520" s="1"/>
  <c r="J471"/>
  <c r="H471"/>
  <c r="H520" s="1"/>
  <c r="F471"/>
  <c r="F520" s="1"/>
  <c r="U470"/>
  <c r="T470"/>
  <c r="S470"/>
  <c r="P470"/>
  <c r="O470"/>
  <c r="N470"/>
  <c r="M470"/>
  <c r="I470"/>
  <c r="V470" s="1"/>
  <c r="V469"/>
  <c r="U469"/>
  <c r="T469"/>
  <c r="S469"/>
  <c r="J467"/>
  <c r="F467"/>
  <c r="S467" s="1"/>
  <c r="V465"/>
  <c r="U465"/>
  <c r="T465"/>
  <c r="S465"/>
  <c r="U459"/>
  <c r="T459"/>
  <c r="S459"/>
  <c r="P459"/>
  <c r="O459"/>
  <c r="N459"/>
  <c r="M459"/>
  <c r="I459"/>
  <c r="V459" s="1"/>
  <c r="V458"/>
  <c r="U458"/>
  <c r="T458"/>
  <c r="S458"/>
  <c r="S455"/>
  <c r="N455"/>
  <c r="L455"/>
  <c r="K455"/>
  <c r="H455"/>
  <c r="U455" s="1"/>
  <c r="G455"/>
  <c r="L454"/>
  <c r="K454"/>
  <c r="H454"/>
  <c r="G454"/>
  <c r="F454"/>
  <c r="V453"/>
  <c r="U453"/>
  <c r="T453"/>
  <c r="S453"/>
  <c r="L451"/>
  <c r="K451"/>
  <c r="J451"/>
  <c r="H451"/>
  <c r="U451" s="1"/>
  <c r="G451"/>
  <c r="F451"/>
  <c r="I451" s="1"/>
  <c r="L450"/>
  <c r="K450"/>
  <c r="J450"/>
  <c r="H450"/>
  <c r="U450" s="1"/>
  <c r="G450"/>
  <c r="F450"/>
  <c r="I450" s="1"/>
  <c r="L449"/>
  <c r="K449"/>
  <c r="J449"/>
  <c r="H449"/>
  <c r="G449"/>
  <c r="F449"/>
  <c r="L448"/>
  <c r="K448"/>
  <c r="M448" s="1"/>
  <c r="H448"/>
  <c r="U448" s="1"/>
  <c r="G448"/>
  <c r="T448" s="1"/>
  <c r="F448"/>
  <c r="S448" s="1"/>
  <c r="U447"/>
  <c r="T447"/>
  <c r="S447"/>
  <c r="P447"/>
  <c r="O447"/>
  <c r="N447"/>
  <c r="M447"/>
  <c r="I447"/>
  <c r="V447" s="1"/>
  <c r="V446"/>
  <c r="U446"/>
  <c r="T446"/>
  <c r="S446"/>
  <c r="S444"/>
  <c r="N444"/>
  <c r="L444"/>
  <c r="K444"/>
  <c r="H444"/>
  <c r="U444" s="1"/>
  <c r="G444"/>
  <c r="T444" s="1"/>
  <c r="L443"/>
  <c r="K443"/>
  <c r="H443"/>
  <c r="G443"/>
  <c r="F443"/>
  <c r="V442"/>
  <c r="U442"/>
  <c r="T442"/>
  <c r="S442"/>
  <c r="L440"/>
  <c r="K440"/>
  <c r="J440"/>
  <c r="H440"/>
  <c r="U440" s="1"/>
  <c r="G440"/>
  <c r="F440"/>
  <c r="S440" s="1"/>
  <c r="L439"/>
  <c r="K439"/>
  <c r="J439"/>
  <c r="H439"/>
  <c r="U439" s="1"/>
  <c r="G439"/>
  <c r="F439"/>
  <c r="S439" s="1"/>
  <c r="L438"/>
  <c r="K438"/>
  <c r="J438"/>
  <c r="J441" s="1"/>
  <c r="J445" s="1"/>
  <c r="H438"/>
  <c r="G438"/>
  <c r="F438"/>
  <c r="L437"/>
  <c r="K437"/>
  <c r="H437"/>
  <c r="U437" s="1"/>
  <c r="G437"/>
  <c r="T437" s="1"/>
  <c r="F437"/>
  <c r="S437" s="1"/>
  <c r="U436"/>
  <c r="T436"/>
  <c r="S436"/>
  <c r="P436"/>
  <c r="O436"/>
  <c r="N436"/>
  <c r="M436"/>
  <c r="I436"/>
  <c r="V436" s="1"/>
  <c r="U435"/>
  <c r="T435"/>
  <c r="S435"/>
  <c r="P435"/>
  <c r="O435"/>
  <c r="N435"/>
  <c r="M435"/>
  <c r="I435"/>
  <c r="V435" s="1"/>
  <c r="V434"/>
  <c r="U434"/>
  <c r="T434"/>
  <c r="S434"/>
  <c r="S432"/>
  <c r="N432"/>
  <c r="L432"/>
  <c r="L467" s="1"/>
  <c r="L466" s="1"/>
  <c r="K432"/>
  <c r="K467" s="1"/>
  <c r="K466" s="1"/>
  <c r="H432"/>
  <c r="H467" s="1"/>
  <c r="G432"/>
  <c r="L431"/>
  <c r="K431"/>
  <c r="H431"/>
  <c r="U431" s="1"/>
  <c r="G431"/>
  <c r="T431" s="1"/>
  <c r="F431"/>
  <c r="S431" s="1"/>
  <c r="V430"/>
  <c r="U430"/>
  <c r="T430"/>
  <c r="S430"/>
  <c r="L428"/>
  <c r="L463" s="1"/>
  <c r="K428"/>
  <c r="K463" s="1"/>
  <c r="J428"/>
  <c r="H428"/>
  <c r="H463" s="1"/>
  <c r="G428"/>
  <c r="G463" s="1"/>
  <c r="F428"/>
  <c r="L427"/>
  <c r="L462" s="1"/>
  <c r="L461" s="1"/>
  <c r="K427"/>
  <c r="K462" s="1"/>
  <c r="K461" s="1"/>
  <c r="J427"/>
  <c r="H427"/>
  <c r="H462" s="1"/>
  <c r="G427"/>
  <c r="G462" s="1"/>
  <c r="F427"/>
  <c r="L426"/>
  <c r="K426"/>
  <c r="J426"/>
  <c r="H426"/>
  <c r="G426"/>
  <c r="F426"/>
  <c r="S425"/>
  <c r="N425"/>
  <c r="L425"/>
  <c r="K425"/>
  <c r="H425"/>
  <c r="U425" s="1"/>
  <c r="G425"/>
  <c r="T425" s="1"/>
  <c r="S424"/>
  <c r="N424"/>
  <c r="L424"/>
  <c r="K424"/>
  <c r="H424"/>
  <c r="U424" s="1"/>
  <c r="G424"/>
  <c r="T424" s="1"/>
  <c r="S423"/>
  <c r="N423"/>
  <c r="L423"/>
  <c r="K423"/>
  <c r="H423"/>
  <c r="U423" s="1"/>
  <c r="G423"/>
  <c r="T423" s="1"/>
  <c r="L422"/>
  <c r="L460" s="1"/>
  <c r="K422"/>
  <c r="K460" s="1"/>
  <c r="H422"/>
  <c r="H460" s="1"/>
  <c r="G422"/>
  <c r="T422" s="1"/>
  <c r="F422"/>
  <c r="F460" s="1"/>
  <c r="U421"/>
  <c r="T421"/>
  <c r="S421"/>
  <c r="P421"/>
  <c r="O421"/>
  <c r="N421"/>
  <c r="M421"/>
  <c r="I421"/>
  <c r="V421" s="1"/>
  <c r="V420"/>
  <c r="U420"/>
  <c r="T420"/>
  <c r="S420"/>
  <c r="J418"/>
  <c r="F418"/>
  <c r="F417" s="1"/>
  <c r="V416"/>
  <c r="U416"/>
  <c r="T416"/>
  <c r="S416"/>
  <c r="U410"/>
  <c r="T410"/>
  <c r="S410"/>
  <c r="P410"/>
  <c r="O410"/>
  <c r="N410"/>
  <c r="M410"/>
  <c r="I410"/>
  <c r="V410" s="1"/>
  <c r="V409"/>
  <c r="U409"/>
  <c r="T409"/>
  <c r="S409"/>
  <c r="S407"/>
  <c r="N407"/>
  <c r="L407"/>
  <c r="K407"/>
  <c r="H407"/>
  <c r="U407" s="1"/>
  <c r="G407"/>
  <c r="L406"/>
  <c r="K406"/>
  <c r="H406"/>
  <c r="G406"/>
  <c r="F406"/>
  <c r="V405"/>
  <c r="U405"/>
  <c r="T405"/>
  <c r="S405"/>
  <c r="L403"/>
  <c r="K403"/>
  <c r="J403"/>
  <c r="H403"/>
  <c r="U403" s="1"/>
  <c r="G403"/>
  <c r="F403"/>
  <c r="I403" s="1"/>
  <c r="L402"/>
  <c r="K402"/>
  <c r="J402"/>
  <c r="H402"/>
  <c r="U402" s="1"/>
  <c r="G402"/>
  <c r="T402" s="1"/>
  <c r="F402"/>
  <c r="I402" s="1"/>
  <c r="V402" s="1"/>
  <c r="L401"/>
  <c r="K401"/>
  <c r="J401"/>
  <c r="H401"/>
  <c r="H404" s="1"/>
  <c r="U404" s="1"/>
  <c r="G401"/>
  <c r="F401"/>
  <c r="I401" s="1"/>
  <c r="L400"/>
  <c r="K400"/>
  <c r="M400" s="1"/>
  <c r="H400"/>
  <c r="U400" s="1"/>
  <c r="G400"/>
  <c r="T400" s="1"/>
  <c r="F400"/>
  <c r="S400" s="1"/>
  <c r="U399"/>
  <c r="T399"/>
  <c r="S399"/>
  <c r="P399"/>
  <c r="O399"/>
  <c r="N399"/>
  <c r="M399"/>
  <c r="I399"/>
  <c r="V399" s="1"/>
  <c r="U398"/>
  <c r="T398"/>
  <c r="S398"/>
  <c r="P398"/>
  <c r="O398"/>
  <c r="N398"/>
  <c r="M398"/>
  <c r="I398"/>
  <c r="V398" s="1"/>
  <c r="V397"/>
  <c r="U397"/>
  <c r="T397"/>
  <c r="S397"/>
  <c r="S395"/>
  <c r="N395"/>
  <c r="L395"/>
  <c r="L418" s="1"/>
  <c r="L417" s="1"/>
  <c r="K395"/>
  <c r="K418" s="1"/>
  <c r="K417" s="1"/>
  <c r="H395"/>
  <c r="H418" s="1"/>
  <c r="G395"/>
  <c r="G418" s="1"/>
  <c r="L394"/>
  <c r="K394"/>
  <c r="H394"/>
  <c r="U394" s="1"/>
  <c r="G394"/>
  <c r="T394" s="1"/>
  <c r="F394"/>
  <c r="S394" s="1"/>
  <c r="V393"/>
  <c r="U393"/>
  <c r="T393"/>
  <c r="S393"/>
  <c r="L391"/>
  <c r="L414" s="1"/>
  <c r="K391"/>
  <c r="K414" s="1"/>
  <c r="J391"/>
  <c r="J414" s="1"/>
  <c r="H391"/>
  <c r="H414" s="1"/>
  <c r="G391"/>
  <c r="G414" s="1"/>
  <c r="F391"/>
  <c r="F414" s="1"/>
  <c r="L390"/>
  <c r="L413" s="1"/>
  <c r="L412" s="1"/>
  <c r="K390"/>
  <c r="K413" s="1"/>
  <c r="K412" s="1"/>
  <c r="J390"/>
  <c r="J413" s="1"/>
  <c r="H390"/>
  <c r="H413" s="1"/>
  <c r="G390"/>
  <c r="G413" s="1"/>
  <c r="F390"/>
  <c r="F413" s="1"/>
  <c r="L389"/>
  <c r="K389"/>
  <c r="J389"/>
  <c r="J392" s="1"/>
  <c r="J396" s="1"/>
  <c r="H389"/>
  <c r="G389"/>
  <c r="F389"/>
  <c r="S388"/>
  <c r="N388"/>
  <c r="L388"/>
  <c r="K388"/>
  <c r="H388"/>
  <c r="U388" s="1"/>
  <c r="G388"/>
  <c r="S387"/>
  <c r="N387"/>
  <c r="L387"/>
  <c r="K387"/>
  <c r="H387"/>
  <c r="U387" s="1"/>
  <c r="G387"/>
  <c r="S386"/>
  <c r="N386"/>
  <c r="L386"/>
  <c r="K386"/>
  <c r="H386"/>
  <c r="U386" s="1"/>
  <c r="G386"/>
  <c r="L385"/>
  <c r="L411" s="1"/>
  <c r="K385"/>
  <c r="K411" s="1"/>
  <c r="H385"/>
  <c r="H411" s="1"/>
  <c r="G385"/>
  <c r="G411" s="1"/>
  <c r="F385"/>
  <c r="F411" s="1"/>
  <c r="V384"/>
  <c r="U384"/>
  <c r="T384"/>
  <c r="S384"/>
  <c r="P384"/>
  <c r="O384"/>
  <c r="N384"/>
  <c r="V383"/>
  <c r="U383"/>
  <c r="T383"/>
  <c r="S383"/>
  <c r="S381"/>
  <c r="N381"/>
  <c r="N380" s="1"/>
  <c r="J380"/>
  <c r="F380"/>
  <c r="V379"/>
  <c r="U379"/>
  <c r="T379"/>
  <c r="S379"/>
  <c r="S377"/>
  <c r="N377"/>
  <c r="S376"/>
  <c r="N376"/>
  <c r="J375"/>
  <c r="J378" s="1"/>
  <c r="F375"/>
  <c r="U373"/>
  <c r="T373"/>
  <c r="S373"/>
  <c r="P373"/>
  <c r="O373"/>
  <c r="N373"/>
  <c r="M373"/>
  <c r="I373"/>
  <c r="V373" s="1"/>
  <c r="V372"/>
  <c r="U372"/>
  <c r="T372"/>
  <c r="S372"/>
  <c r="S369"/>
  <c r="N369"/>
  <c r="L369"/>
  <c r="K369"/>
  <c r="H369"/>
  <c r="U369" s="1"/>
  <c r="G369"/>
  <c r="T369" s="1"/>
  <c r="L368"/>
  <c r="K368"/>
  <c r="H368"/>
  <c r="G368"/>
  <c r="F368"/>
  <c r="V367"/>
  <c r="U367"/>
  <c r="T367"/>
  <c r="S367"/>
  <c r="L365"/>
  <c r="K365"/>
  <c r="J365"/>
  <c r="H365"/>
  <c r="U365" s="1"/>
  <c r="G365"/>
  <c r="F365"/>
  <c r="S365" s="1"/>
  <c r="L364"/>
  <c r="K364"/>
  <c r="J364"/>
  <c r="H364"/>
  <c r="U364" s="1"/>
  <c r="G364"/>
  <c r="F364"/>
  <c r="S364" s="1"/>
  <c r="L363"/>
  <c r="K363"/>
  <c r="J363"/>
  <c r="J366" s="1"/>
  <c r="J370" s="1"/>
  <c r="H363"/>
  <c r="G363"/>
  <c r="F363"/>
  <c r="L362"/>
  <c r="K362"/>
  <c r="M362" s="1"/>
  <c r="H362"/>
  <c r="U362" s="1"/>
  <c r="G362"/>
  <c r="T362" s="1"/>
  <c r="F362"/>
  <c r="S362" s="1"/>
  <c r="U361"/>
  <c r="T361"/>
  <c r="S361"/>
  <c r="P361"/>
  <c r="O361"/>
  <c r="N361"/>
  <c r="M361"/>
  <c r="I361"/>
  <c r="V361" s="1"/>
  <c r="V360"/>
  <c r="U360"/>
  <c r="T360"/>
  <c r="S360"/>
  <c r="S358"/>
  <c r="N358"/>
  <c r="L358"/>
  <c r="K358"/>
  <c r="H358"/>
  <c r="U358" s="1"/>
  <c r="G358"/>
  <c r="L357"/>
  <c r="K357"/>
  <c r="H357"/>
  <c r="G357"/>
  <c r="F357"/>
  <c r="V356"/>
  <c r="U356"/>
  <c r="T356"/>
  <c r="S356"/>
  <c r="L354"/>
  <c r="K354"/>
  <c r="J354"/>
  <c r="H354"/>
  <c r="U354" s="1"/>
  <c r="G354"/>
  <c r="F354"/>
  <c r="L353"/>
  <c r="K353"/>
  <c r="J353"/>
  <c r="H353"/>
  <c r="U353" s="1"/>
  <c r="G353"/>
  <c r="F353"/>
  <c r="L352"/>
  <c r="K352"/>
  <c r="J352"/>
  <c r="H352"/>
  <c r="G352"/>
  <c r="F352"/>
  <c r="L351"/>
  <c r="K351"/>
  <c r="M351" s="1"/>
  <c r="H351"/>
  <c r="U351" s="1"/>
  <c r="G351"/>
  <c r="T351" s="1"/>
  <c r="F351"/>
  <c r="S351" s="1"/>
  <c r="U350"/>
  <c r="T350"/>
  <c r="S350"/>
  <c r="P350"/>
  <c r="O350"/>
  <c r="N350"/>
  <c r="M350"/>
  <c r="I350"/>
  <c r="V350" s="1"/>
  <c r="V349"/>
  <c r="U349"/>
  <c r="T349"/>
  <c r="S349"/>
  <c r="S347"/>
  <c r="N347"/>
  <c r="N346" s="1"/>
  <c r="L347"/>
  <c r="L346" s="1"/>
  <c r="K347"/>
  <c r="H347"/>
  <c r="U347" s="1"/>
  <c r="G347"/>
  <c r="T347" s="1"/>
  <c r="K346"/>
  <c r="J346"/>
  <c r="H346"/>
  <c r="G346"/>
  <c r="F346"/>
  <c r="V345"/>
  <c r="U345"/>
  <c r="T345"/>
  <c r="S345"/>
  <c r="L343"/>
  <c r="K343"/>
  <c r="J343"/>
  <c r="H343"/>
  <c r="U343" s="1"/>
  <c r="G343"/>
  <c r="F343"/>
  <c r="I343" s="1"/>
  <c r="L342"/>
  <c r="K342"/>
  <c r="J342"/>
  <c r="H342"/>
  <c r="U342" s="1"/>
  <c r="G342"/>
  <c r="F342"/>
  <c r="I342" s="1"/>
  <c r="L341"/>
  <c r="K341"/>
  <c r="J341"/>
  <c r="H341"/>
  <c r="H344" s="1"/>
  <c r="U344" s="1"/>
  <c r="G341"/>
  <c r="F341"/>
  <c r="L340"/>
  <c r="K340"/>
  <c r="M340" s="1"/>
  <c r="H340"/>
  <c r="U340" s="1"/>
  <c r="G340"/>
  <c r="T340" s="1"/>
  <c r="F340"/>
  <c r="S340" s="1"/>
  <c r="U339"/>
  <c r="T339"/>
  <c r="S339"/>
  <c r="P339"/>
  <c r="O339"/>
  <c r="N339"/>
  <c r="M339"/>
  <c r="I339"/>
  <c r="V339" s="1"/>
  <c r="V338"/>
  <c r="U338"/>
  <c r="T338"/>
  <c r="S338"/>
  <c r="S336"/>
  <c r="N336"/>
  <c r="L336"/>
  <c r="K336"/>
  <c r="H336"/>
  <c r="U336" s="1"/>
  <c r="G336"/>
  <c r="T336" s="1"/>
  <c r="L335"/>
  <c r="K335"/>
  <c r="H335"/>
  <c r="G335"/>
  <c r="F335"/>
  <c r="V334"/>
  <c r="U334"/>
  <c r="T334"/>
  <c r="S334"/>
  <c r="L332"/>
  <c r="K332"/>
  <c r="J332"/>
  <c r="H332"/>
  <c r="U332" s="1"/>
  <c r="G332"/>
  <c r="F332"/>
  <c r="S332" s="1"/>
  <c r="L331"/>
  <c r="K331"/>
  <c r="J331"/>
  <c r="H331"/>
  <c r="U331" s="1"/>
  <c r="G331"/>
  <c r="T331" s="1"/>
  <c r="F331"/>
  <c r="S331" s="1"/>
  <c r="L330"/>
  <c r="K330"/>
  <c r="J330"/>
  <c r="J333" s="1"/>
  <c r="J337" s="1"/>
  <c r="H330"/>
  <c r="G330"/>
  <c r="F330"/>
  <c r="L329"/>
  <c r="K329"/>
  <c r="M329" s="1"/>
  <c r="H329"/>
  <c r="U329" s="1"/>
  <c r="G329"/>
  <c r="T329" s="1"/>
  <c r="F329"/>
  <c r="S329" s="1"/>
  <c r="U328"/>
  <c r="T328"/>
  <c r="S328"/>
  <c r="P328"/>
  <c r="O328"/>
  <c r="N328"/>
  <c r="M328"/>
  <c r="I328"/>
  <c r="V328" s="1"/>
  <c r="V327"/>
  <c r="U327"/>
  <c r="T327"/>
  <c r="S327"/>
  <c r="S325"/>
  <c r="N325"/>
  <c r="L325"/>
  <c r="K325"/>
  <c r="H325"/>
  <c r="U325" s="1"/>
  <c r="G325"/>
  <c r="L324"/>
  <c r="K324"/>
  <c r="H324"/>
  <c r="G324"/>
  <c r="F324"/>
  <c r="V323"/>
  <c r="U323"/>
  <c r="T323"/>
  <c r="S323"/>
  <c r="L321"/>
  <c r="K321"/>
  <c r="J321"/>
  <c r="H321"/>
  <c r="U321" s="1"/>
  <c r="G321"/>
  <c r="F321"/>
  <c r="L320"/>
  <c r="K320"/>
  <c r="J320"/>
  <c r="H320"/>
  <c r="U320" s="1"/>
  <c r="G320"/>
  <c r="T320" s="1"/>
  <c r="F320"/>
  <c r="I320" s="1"/>
  <c r="L319"/>
  <c r="K319"/>
  <c r="J319"/>
  <c r="H319"/>
  <c r="G319"/>
  <c r="F319"/>
  <c r="L318"/>
  <c r="K318"/>
  <c r="M318" s="1"/>
  <c r="H318"/>
  <c r="U318" s="1"/>
  <c r="G318"/>
  <c r="T318" s="1"/>
  <c r="F318"/>
  <c r="S318" s="1"/>
  <c r="U317"/>
  <c r="T317"/>
  <c r="S317"/>
  <c r="P317"/>
  <c r="O317"/>
  <c r="N317"/>
  <c r="M317"/>
  <c r="I317"/>
  <c r="V317" s="1"/>
  <c r="U316"/>
  <c r="T316"/>
  <c r="S316"/>
  <c r="P316"/>
  <c r="O316"/>
  <c r="N316"/>
  <c r="M316"/>
  <c r="I316"/>
  <c r="V316" s="1"/>
  <c r="V315"/>
  <c r="U315"/>
  <c r="T315"/>
  <c r="S315"/>
  <c r="S313"/>
  <c r="N313"/>
  <c r="L313"/>
  <c r="L381" s="1"/>
  <c r="L380" s="1"/>
  <c r="K313"/>
  <c r="M313" s="1"/>
  <c r="H313"/>
  <c r="H381" s="1"/>
  <c r="G313"/>
  <c r="G381" s="1"/>
  <c r="L312"/>
  <c r="K312"/>
  <c r="H312"/>
  <c r="U312" s="1"/>
  <c r="G312"/>
  <c r="T312" s="1"/>
  <c r="F312"/>
  <c r="S312" s="1"/>
  <c r="V311"/>
  <c r="U311"/>
  <c r="T311"/>
  <c r="S311"/>
  <c r="L309"/>
  <c r="L377" s="1"/>
  <c r="K309"/>
  <c r="K377" s="1"/>
  <c r="J309"/>
  <c r="M309" s="1"/>
  <c r="H309"/>
  <c r="U309" s="1"/>
  <c r="G309"/>
  <c r="G377" s="1"/>
  <c r="F309"/>
  <c r="S309" s="1"/>
  <c r="L308"/>
  <c r="L376" s="1"/>
  <c r="L375" s="1"/>
  <c r="K308"/>
  <c r="K376" s="1"/>
  <c r="J308"/>
  <c r="M308" s="1"/>
  <c r="H308"/>
  <c r="U308" s="1"/>
  <c r="G308"/>
  <c r="G376" s="1"/>
  <c r="F308"/>
  <c r="S308" s="1"/>
  <c r="L307"/>
  <c r="K307"/>
  <c r="J307"/>
  <c r="H307"/>
  <c r="G307"/>
  <c r="F307"/>
  <c r="S306"/>
  <c r="N306"/>
  <c r="L306"/>
  <c r="K306"/>
  <c r="H306"/>
  <c r="U306" s="1"/>
  <c r="G306"/>
  <c r="I306" s="1"/>
  <c r="S305"/>
  <c r="N305"/>
  <c r="L305"/>
  <c r="K305"/>
  <c r="M305" s="1"/>
  <c r="H305"/>
  <c r="U305" s="1"/>
  <c r="G305"/>
  <c r="I305" s="1"/>
  <c r="V305" s="1"/>
  <c r="S304"/>
  <c r="N304"/>
  <c r="N303" s="1"/>
  <c r="L304"/>
  <c r="K304"/>
  <c r="H304"/>
  <c r="U304" s="1"/>
  <c r="G304"/>
  <c r="K303"/>
  <c r="K374" s="1"/>
  <c r="J303"/>
  <c r="H303"/>
  <c r="U303" s="1"/>
  <c r="F303"/>
  <c r="S303" s="1"/>
  <c r="U302"/>
  <c r="T302"/>
  <c r="S302"/>
  <c r="P302"/>
  <c r="O302"/>
  <c r="N302"/>
  <c r="M302"/>
  <c r="I302"/>
  <c r="V302" s="1"/>
  <c r="V301"/>
  <c r="U301"/>
  <c r="T301"/>
  <c r="S301"/>
  <c r="J299"/>
  <c r="F299"/>
  <c r="S299" s="1"/>
  <c r="J298"/>
  <c r="F298"/>
  <c r="V297"/>
  <c r="U297"/>
  <c r="T297"/>
  <c r="S297"/>
  <c r="U291"/>
  <c r="T291"/>
  <c r="S291"/>
  <c r="P291"/>
  <c r="O291"/>
  <c r="N291"/>
  <c r="M291"/>
  <c r="I291"/>
  <c r="V291" s="1"/>
  <c r="V290"/>
  <c r="U290"/>
  <c r="T290"/>
  <c r="S290"/>
  <c r="S287"/>
  <c r="N287"/>
  <c r="L287"/>
  <c r="K287"/>
  <c r="M287" s="1"/>
  <c r="H287"/>
  <c r="U287" s="1"/>
  <c r="G287"/>
  <c r="T287" s="1"/>
  <c r="L286"/>
  <c r="K286"/>
  <c r="H286"/>
  <c r="G286"/>
  <c r="F286"/>
  <c r="V285"/>
  <c r="U285"/>
  <c r="T285"/>
  <c r="S285"/>
  <c r="L283"/>
  <c r="K283"/>
  <c r="J283"/>
  <c r="M283" s="1"/>
  <c r="H283"/>
  <c r="U283" s="1"/>
  <c r="G283"/>
  <c r="T283" s="1"/>
  <c r="F283"/>
  <c r="S283" s="1"/>
  <c r="L282"/>
  <c r="K282"/>
  <c r="J282"/>
  <c r="M282" s="1"/>
  <c r="H282"/>
  <c r="U282" s="1"/>
  <c r="G282"/>
  <c r="T282" s="1"/>
  <c r="F282"/>
  <c r="S282" s="1"/>
  <c r="L281"/>
  <c r="K281"/>
  <c r="J281"/>
  <c r="J284" s="1"/>
  <c r="J288" s="1"/>
  <c r="H281"/>
  <c r="G281"/>
  <c r="F281"/>
  <c r="L280"/>
  <c r="K280"/>
  <c r="M280" s="1"/>
  <c r="H280"/>
  <c r="U280" s="1"/>
  <c r="G280"/>
  <c r="T280" s="1"/>
  <c r="F280"/>
  <c r="S280" s="1"/>
  <c r="U279"/>
  <c r="T279"/>
  <c r="S279"/>
  <c r="P279"/>
  <c r="O279"/>
  <c r="N279"/>
  <c r="M279"/>
  <c r="I279"/>
  <c r="V279" s="1"/>
  <c r="V278"/>
  <c r="U278"/>
  <c r="T278"/>
  <c r="S278"/>
  <c r="S276"/>
  <c r="N276"/>
  <c r="L276"/>
  <c r="K276"/>
  <c r="M276" s="1"/>
  <c r="H276"/>
  <c r="U276" s="1"/>
  <c r="G276"/>
  <c r="I276" s="1"/>
  <c r="V276" s="1"/>
  <c r="L275"/>
  <c r="K275"/>
  <c r="H275"/>
  <c r="G275"/>
  <c r="F275"/>
  <c r="V274"/>
  <c r="U274"/>
  <c r="T274"/>
  <c r="S274"/>
  <c r="L272"/>
  <c r="K272"/>
  <c r="J272"/>
  <c r="M272" s="1"/>
  <c r="H272"/>
  <c r="U272" s="1"/>
  <c r="G272"/>
  <c r="T272" s="1"/>
  <c r="F272"/>
  <c r="L271"/>
  <c r="K271"/>
  <c r="J271"/>
  <c r="M271" s="1"/>
  <c r="H271"/>
  <c r="U271" s="1"/>
  <c r="G271"/>
  <c r="T271" s="1"/>
  <c r="F271"/>
  <c r="L270"/>
  <c r="K270"/>
  <c r="J270"/>
  <c r="H270"/>
  <c r="G270"/>
  <c r="F270"/>
  <c r="L269"/>
  <c r="K269"/>
  <c r="H269"/>
  <c r="U269" s="1"/>
  <c r="G269"/>
  <c r="T269" s="1"/>
  <c r="F269"/>
  <c r="S269" s="1"/>
  <c r="U268"/>
  <c r="T268"/>
  <c r="S268"/>
  <c r="P268"/>
  <c r="O268"/>
  <c r="N268"/>
  <c r="M268"/>
  <c r="I268"/>
  <c r="V268" s="1"/>
  <c r="V267"/>
  <c r="U267"/>
  <c r="T267"/>
  <c r="S267"/>
  <c r="S265"/>
  <c r="N265"/>
  <c r="L265"/>
  <c r="K265"/>
  <c r="M265" s="1"/>
  <c r="H265"/>
  <c r="U265" s="1"/>
  <c r="G265"/>
  <c r="T265" s="1"/>
  <c r="L264"/>
  <c r="K264"/>
  <c r="H264"/>
  <c r="G264"/>
  <c r="F264"/>
  <c r="N264" s="1"/>
  <c r="V263"/>
  <c r="U263"/>
  <c r="T263"/>
  <c r="S263"/>
  <c r="L261"/>
  <c r="K261"/>
  <c r="J261"/>
  <c r="M261" s="1"/>
  <c r="H261"/>
  <c r="U261" s="1"/>
  <c r="G261"/>
  <c r="T261" s="1"/>
  <c r="F261"/>
  <c r="S261" s="1"/>
  <c r="L260"/>
  <c r="K260"/>
  <c r="J260"/>
  <c r="M260" s="1"/>
  <c r="H260"/>
  <c r="U260" s="1"/>
  <c r="G260"/>
  <c r="T260" s="1"/>
  <c r="F260"/>
  <c r="S260" s="1"/>
  <c r="L259"/>
  <c r="K259"/>
  <c r="J259"/>
  <c r="J262" s="1"/>
  <c r="J266" s="1"/>
  <c r="H259"/>
  <c r="G259"/>
  <c r="F259"/>
  <c r="L258"/>
  <c r="K258"/>
  <c r="H258"/>
  <c r="U258" s="1"/>
  <c r="G258"/>
  <c r="T258" s="1"/>
  <c r="F258"/>
  <c r="S258" s="1"/>
  <c r="U257"/>
  <c r="T257"/>
  <c r="S257"/>
  <c r="P257"/>
  <c r="O257"/>
  <c r="N257"/>
  <c r="M257"/>
  <c r="I257"/>
  <c r="V257" s="1"/>
  <c r="V256"/>
  <c r="U256"/>
  <c r="T256"/>
  <c r="S256"/>
  <c r="S254"/>
  <c r="N254"/>
  <c r="L254"/>
  <c r="K254"/>
  <c r="M254" s="1"/>
  <c r="H254"/>
  <c r="U254" s="1"/>
  <c r="G254"/>
  <c r="I254" s="1"/>
  <c r="V254" s="1"/>
  <c r="L253"/>
  <c r="K253"/>
  <c r="H253"/>
  <c r="G253"/>
  <c r="F253"/>
  <c r="V252"/>
  <c r="U252"/>
  <c r="T252"/>
  <c r="S252"/>
  <c r="L250"/>
  <c r="K250"/>
  <c r="J250"/>
  <c r="M250" s="1"/>
  <c r="H250"/>
  <c r="U250" s="1"/>
  <c r="G250"/>
  <c r="T250" s="1"/>
  <c r="F250"/>
  <c r="L249"/>
  <c r="K249"/>
  <c r="J249"/>
  <c r="M249" s="1"/>
  <c r="H249"/>
  <c r="U249" s="1"/>
  <c r="G249"/>
  <c r="T249" s="1"/>
  <c r="F249"/>
  <c r="L248"/>
  <c r="K248"/>
  <c r="J248"/>
  <c r="H248"/>
  <c r="G248"/>
  <c r="G251" s="1"/>
  <c r="F248"/>
  <c r="L247"/>
  <c r="K247"/>
  <c r="H247"/>
  <c r="U247" s="1"/>
  <c r="G247"/>
  <c r="T247" s="1"/>
  <c r="F247"/>
  <c r="S247" s="1"/>
  <c r="U246"/>
  <c r="T246"/>
  <c r="S246"/>
  <c r="P246"/>
  <c r="O246"/>
  <c r="N246"/>
  <c r="M246"/>
  <c r="I246"/>
  <c r="V246" s="1"/>
  <c r="U245"/>
  <c r="T245"/>
  <c r="S245"/>
  <c r="P245"/>
  <c r="O245"/>
  <c r="N245"/>
  <c r="M245"/>
  <c r="I245"/>
  <c r="V245" s="1"/>
  <c r="V244"/>
  <c r="U244"/>
  <c r="T244"/>
  <c r="S244"/>
  <c r="S242"/>
  <c r="N242"/>
  <c r="N241" s="1"/>
  <c r="L242"/>
  <c r="L299" s="1"/>
  <c r="L298" s="1"/>
  <c r="K242"/>
  <c r="K299" s="1"/>
  <c r="H242"/>
  <c r="H299" s="1"/>
  <c r="G242"/>
  <c r="G299" s="1"/>
  <c r="L241"/>
  <c r="K241"/>
  <c r="J241"/>
  <c r="H241"/>
  <c r="F241"/>
  <c r="V240"/>
  <c r="U240"/>
  <c r="T240"/>
  <c r="S240"/>
  <c r="L238"/>
  <c r="L295" s="1"/>
  <c r="K238"/>
  <c r="K295" s="1"/>
  <c r="J238"/>
  <c r="H238"/>
  <c r="H295" s="1"/>
  <c r="G238"/>
  <c r="G295" s="1"/>
  <c r="F238"/>
  <c r="L237"/>
  <c r="L294" s="1"/>
  <c r="L293" s="1"/>
  <c r="K237"/>
  <c r="K294" s="1"/>
  <c r="K293" s="1"/>
  <c r="J237"/>
  <c r="M237" s="1"/>
  <c r="H237"/>
  <c r="H294" s="1"/>
  <c r="G237"/>
  <c r="G294" s="1"/>
  <c r="F237"/>
  <c r="L236"/>
  <c r="K236"/>
  <c r="J236"/>
  <c r="H236"/>
  <c r="G236"/>
  <c r="F236"/>
  <c r="S235"/>
  <c r="N235"/>
  <c r="L235"/>
  <c r="K235"/>
  <c r="H235"/>
  <c r="U235" s="1"/>
  <c r="G235"/>
  <c r="T235" s="1"/>
  <c r="S234"/>
  <c r="N234"/>
  <c r="L234"/>
  <c r="K234"/>
  <c r="H234"/>
  <c r="U234" s="1"/>
  <c r="G234"/>
  <c r="T234" s="1"/>
  <c r="S233"/>
  <c r="N233"/>
  <c r="N232" s="1"/>
  <c r="L233"/>
  <c r="K233"/>
  <c r="H233"/>
  <c r="U233" s="1"/>
  <c r="G233"/>
  <c r="T233" s="1"/>
  <c r="L232"/>
  <c r="L292" s="1"/>
  <c r="K232"/>
  <c r="K292" s="1"/>
  <c r="J232"/>
  <c r="J292" s="1"/>
  <c r="H232"/>
  <c r="H292" s="1"/>
  <c r="F232"/>
  <c r="F292" s="1"/>
  <c r="U231"/>
  <c r="T231"/>
  <c r="S231"/>
  <c r="P231"/>
  <c r="O231"/>
  <c r="N231"/>
  <c r="M231"/>
  <c r="I231"/>
  <c r="V231" s="1"/>
  <c r="V230"/>
  <c r="U230"/>
  <c r="T230"/>
  <c r="S230"/>
  <c r="F228"/>
  <c r="S228" s="1"/>
  <c r="V226"/>
  <c r="U226"/>
  <c r="T226"/>
  <c r="S226"/>
  <c r="J222"/>
  <c r="J225" s="1"/>
  <c r="J229" s="1"/>
  <c r="U220"/>
  <c r="T220"/>
  <c r="S220"/>
  <c r="P220"/>
  <c r="O220"/>
  <c r="N220"/>
  <c r="M220"/>
  <c r="I220"/>
  <c r="V220" s="1"/>
  <c r="V219"/>
  <c r="U219"/>
  <c r="T219"/>
  <c r="S219"/>
  <c r="S216"/>
  <c r="N216"/>
  <c r="L216"/>
  <c r="K216"/>
  <c r="M216" s="1"/>
  <c r="H216"/>
  <c r="U216" s="1"/>
  <c r="G216"/>
  <c r="I216" s="1"/>
  <c r="V216" s="1"/>
  <c r="L215"/>
  <c r="K215"/>
  <c r="H215"/>
  <c r="G215"/>
  <c r="I215" s="1"/>
  <c r="F215"/>
  <c r="V214"/>
  <c r="U214"/>
  <c r="T214"/>
  <c r="S214"/>
  <c r="L212"/>
  <c r="K212"/>
  <c r="J212"/>
  <c r="M212" s="1"/>
  <c r="H212"/>
  <c r="U212" s="1"/>
  <c r="G212"/>
  <c r="T212" s="1"/>
  <c r="F212"/>
  <c r="L211"/>
  <c r="K211"/>
  <c r="J211"/>
  <c r="M211" s="1"/>
  <c r="H211"/>
  <c r="U211" s="1"/>
  <c r="G211"/>
  <c r="T211" s="1"/>
  <c r="F211"/>
  <c r="L210"/>
  <c r="K210"/>
  <c r="J210"/>
  <c r="M210" s="1"/>
  <c r="H210"/>
  <c r="G210"/>
  <c r="F210"/>
  <c r="L209"/>
  <c r="K209"/>
  <c r="H209"/>
  <c r="U209" s="1"/>
  <c r="G209"/>
  <c r="T209" s="1"/>
  <c r="F209"/>
  <c r="S209" s="1"/>
  <c r="U208"/>
  <c r="T208"/>
  <c r="S208"/>
  <c r="P208"/>
  <c r="O208"/>
  <c r="N208"/>
  <c r="Q208" s="1"/>
  <c r="M208"/>
  <c r="I208"/>
  <c r="V208" s="1"/>
  <c r="V207"/>
  <c r="U207"/>
  <c r="T207"/>
  <c r="S207"/>
  <c r="S205"/>
  <c r="N205"/>
  <c r="L205"/>
  <c r="K205"/>
  <c r="M205" s="1"/>
  <c r="H205"/>
  <c r="U205" s="1"/>
  <c r="G205"/>
  <c r="T205" s="1"/>
  <c r="L204"/>
  <c r="K204"/>
  <c r="H204"/>
  <c r="G204"/>
  <c r="F204"/>
  <c r="V203"/>
  <c r="U203"/>
  <c r="T203"/>
  <c r="S203"/>
  <c r="L201"/>
  <c r="K201"/>
  <c r="J201"/>
  <c r="M201" s="1"/>
  <c r="H201"/>
  <c r="U201" s="1"/>
  <c r="G201"/>
  <c r="T201" s="1"/>
  <c r="F201"/>
  <c r="S201" s="1"/>
  <c r="L200"/>
  <c r="K200"/>
  <c r="J200"/>
  <c r="M200" s="1"/>
  <c r="H200"/>
  <c r="U200" s="1"/>
  <c r="G200"/>
  <c r="T200" s="1"/>
  <c r="F200"/>
  <c r="S200" s="1"/>
  <c r="L199"/>
  <c r="K199"/>
  <c r="J199"/>
  <c r="J202" s="1"/>
  <c r="J206" s="1"/>
  <c r="H199"/>
  <c r="G199"/>
  <c r="F199"/>
  <c r="L198"/>
  <c r="K198"/>
  <c r="H198"/>
  <c r="U198" s="1"/>
  <c r="G198"/>
  <c r="T198" s="1"/>
  <c r="F198"/>
  <c r="S198" s="1"/>
  <c r="U197"/>
  <c r="T197"/>
  <c r="S197"/>
  <c r="P197"/>
  <c r="O197"/>
  <c r="N197"/>
  <c r="Q197" s="1"/>
  <c r="M197"/>
  <c r="I197"/>
  <c r="V197" s="1"/>
  <c r="V196"/>
  <c r="U196"/>
  <c r="T196"/>
  <c r="S196"/>
  <c r="S194"/>
  <c r="N194"/>
  <c r="L194"/>
  <c r="K194"/>
  <c r="M194" s="1"/>
  <c r="H194"/>
  <c r="U194" s="1"/>
  <c r="G194"/>
  <c r="I194" s="1"/>
  <c r="V194" s="1"/>
  <c r="L193"/>
  <c r="K193"/>
  <c r="H193"/>
  <c r="G193"/>
  <c r="I193" s="1"/>
  <c r="F193"/>
  <c r="V192"/>
  <c r="U192"/>
  <c r="T192"/>
  <c r="S192"/>
  <c r="L190"/>
  <c r="K190"/>
  <c r="J190"/>
  <c r="M190" s="1"/>
  <c r="H190"/>
  <c r="U190" s="1"/>
  <c r="G190"/>
  <c r="T190" s="1"/>
  <c r="F190"/>
  <c r="L189"/>
  <c r="K189"/>
  <c r="J189"/>
  <c r="M189" s="1"/>
  <c r="H189"/>
  <c r="U189" s="1"/>
  <c r="G189"/>
  <c r="T189" s="1"/>
  <c r="F189"/>
  <c r="L188"/>
  <c r="K188"/>
  <c r="J188"/>
  <c r="M188" s="1"/>
  <c r="H188"/>
  <c r="G188"/>
  <c r="F188"/>
  <c r="L187"/>
  <c r="K187"/>
  <c r="H187"/>
  <c r="U187" s="1"/>
  <c r="G187"/>
  <c r="T187" s="1"/>
  <c r="F187"/>
  <c r="S187" s="1"/>
  <c r="U186"/>
  <c r="T186"/>
  <c r="S186"/>
  <c r="P186"/>
  <c r="O186"/>
  <c r="N186"/>
  <c r="Q186" s="1"/>
  <c r="M186"/>
  <c r="I186"/>
  <c r="V186" s="1"/>
  <c r="U185"/>
  <c r="T185"/>
  <c r="S185"/>
  <c r="P185"/>
  <c r="O185"/>
  <c r="N185"/>
  <c r="Q185" s="1"/>
  <c r="M185"/>
  <c r="I185"/>
  <c r="V185" s="1"/>
  <c r="V184"/>
  <c r="U184"/>
  <c r="T184"/>
  <c r="S184"/>
  <c r="S182"/>
  <c r="N182"/>
  <c r="L182"/>
  <c r="L228" s="1"/>
  <c r="L227" s="1"/>
  <c r="K182"/>
  <c r="M182" s="1"/>
  <c r="H182"/>
  <c r="H228" s="1"/>
  <c r="G182"/>
  <c r="G228" s="1"/>
  <c r="L181"/>
  <c r="K181"/>
  <c r="M181" s="1"/>
  <c r="H181"/>
  <c r="U181" s="1"/>
  <c r="G181"/>
  <c r="T181" s="1"/>
  <c r="F181"/>
  <c r="S181" s="1"/>
  <c r="V180"/>
  <c r="U180"/>
  <c r="T180"/>
  <c r="S180"/>
  <c r="L178"/>
  <c r="L224" s="1"/>
  <c r="K178"/>
  <c r="K224" s="1"/>
  <c r="J178"/>
  <c r="M178" s="1"/>
  <c r="H178"/>
  <c r="G178"/>
  <c r="G224" s="1"/>
  <c r="F178"/>
  <c r="S178" s="1"/>
  <c r="L177"/>
  <c r="L223" s="1"/>
  <c r="L222" s="1"/>
  <c r="K177"/>
  <c r="K223" s="1"/>
  <c r="J177"/>
  <c r="M177" s="1"/>
  <c r="H177"/>
  <c r="H223" s="1"/>
  <c r="G177"/>
  <c r="G223" s="1"/>
  <c r="F177"/>
  <c r="F223" s="1"/>
  <c r="L176"/>
  <c r="K176"/>
  <c r="J176"/>
  <c r="H176"/>
  <c r="G176"/>
  <c r="F176"/>
  <c r="S175"/>
  <c r="N175"/>
  <c r="L175"/>
  <c r="K175"/>
  <c r="H175"/>
  <c r="U175" s="1"/>
  <c r="G175"/>
  <c r="S174"/>
  <c r="N174"/>
  <c r="L174"/>
  <c r="K174"/>
  <c r="H174"/>
  <c r="U174" s="1"/>
  <c r="G174"/>
  <c r="S173"/>
  <c r="N173"/>
  <c r="L173"/>
  <c r="L172" s="1"/>
  <c r="L221" s="1"/>
  <c r="K173"/>
  <c r="H173"/>
  <c r="U173" s="1"/>
  <c r="G173"/>
  <c r="N172"/>
  <c r="K172"/>
  <c r="K221" s="1"/>
  <c r="J172"/>
  <c r="H172"/>
  <c r="H221" s="1"/>
  <c r="G172"/>
  <c r="G221" s="1"/>
  <c r="F172"/>
  <c r="F221" s="1"/>
  <c r="U171"/>
  <c r="T171"/>
  <c r="S171"/>
  <c r="P171"/>
  <c r="O171"/>
  <c r="N171"/>
  <c r="M171"/>
  <c r="I171"/>
  <c r="V171" s="1"/>
  <c r="V170"/>
  <c r="U170"/>
  <c r="T170"/>
  <c r="S170"/>
  <c r="J168"/>
  <c r="F168"/>
  <c r="S168" s="1"/>
  <c r="J167"/>
  <c r="F167"/>
  <c r="V166"/>
  <c r="U166"/>
  <c r="T166"/>
  <c r="S166"/>
  <c r="U160"/>
  <c r="T160"/>
  <c r="S160"/>
  <c r="P160"/>
  <c r="O160"/>
  <c r="N160"/>
  <c r="M160"/>
  <c r="I160"/>
  <c r="V160" s="1"/>
  <c r="V159"/>
  <c r="U159"/>
  <c r="T159"/>
  <c r="S159"/>
  <c r="S156"/>
  <c r="N156"/>
  <c r="N155" s="1"/>
  <c r="L156"/>
  <c r="K156"/>
  <c r="M156" s="1"/>
  <c r="M155" s="1"/>
  <c r="H156"/>
  <c r="P156" s="1"/>
  <c r="P155" s="1"/>
  <c r="G156"/>
  <c r="T156" s="1"/>
  <c r="L155"/>
  <c r="K155"/>
  <c r="J155"/>
  <c r="H155"/>
  <c r="U155" s="1"/>
  <c r="F155"/>
  <c r="S155" s="1"/>
  <c r="V154"/>
  <c r="U154"/>
  <c r="T154"/>
  <c r="S154"/>
  <c r="S152"/>
  <c r="N152"/>
  <c r="L152"/>
  <c r="K152"/>
  <c r="M152" s="1"/>
  <c r="H152"/>
  <c r="U152" s="1"/>
  <c r="G152"/>
  <c r="I152" s="1"/>
  <c r="V152" s="1"/>
  <c r="S151"/>
  <c r="N151"/>
  <c r="K151"/>
  <c r="M151" s="1"/>
  <c r="H151"/>
  <c r="U151" s="1"/>
  <c r="G151"/>
  <c r="T151" s="1"/>
  <c r="L150"/>
  <c r="K150"/>
  <c r="J150"/>
  <c r="J153" s="1"/>
  <c r="G150"/>
  <c r="T150" s="1"/>
  <c r="F150"/>
  <c r="L149"/>
  <c r="K149"/>
  <c r="M149" s="1"/>
  <c r="H149"/>
  <c r="P149" s="1"/>
  <c r="G149"/>
  <c r="T149" s="1"/>
  <c r="F149"/>
  <c r="N149" s="1"/>
  <c r="U148"/>
  <c r="T148"/>
  <c r="S148"/>
  <c r="P148"/>
  <c r="O148"/>
  <c r="N148"/>
  <c r="M148"/>
  <c r="I148"/>
  <c r="V148" s="1"/>
  <c r="V147"/>
  <c r="U147"/>
  <c r="T147"/>
  <c r="S147"/>
  <c r="S145"/>
  <c r="N145"/>
  <c r="L145"/>
  <c r="K145"/>
  <c r="M145" s="1"/>
  <c r="H145"/>
  <c r="U145" s="1"/>
  <c r="G145"/>
  <c r="O145" s="1"/>
  <c r="L144"/>
  <c r="K144"/>
  <c r="H144"/>
  <c r="G144"/>
  <c r="T144" s="1"/>
  <c r="F144"/>
  <c r="V143"/>
  <c r="U143"/>
  <c r="T143"/>
  <c r="S143"/>
  <c r="L141"/>
  <c r="K141"/>
  <c r="J141"/>
  <c r="H141"/>
  <c r="U141" s="1"/>
  <c r="G141"/>
  <c r="T141" s="1"/>
  <c r="F141"/>
  <c r="S141" s="1"/>
  <c r="L140"/>
  <c r="K140"/>
  <c r="M140" s="1"/>
  <c r="J140"/>
  <c r="H140"/>
  <c r="U140" s="1"/>
  <c r="G140"/>
  <c r="T140" s="1"/>
  <c r="F140"/>
  <c r="S140" s="1"/>
  <c r="L139"/>
  <c r="K139"/>
  <c r="J139"/>
  <c r="J142" s="1"/>
  <c r="J146" s="1"/>
  <c r="H139"/>
  <c r="G139"/>
  <c r="F139"/>
  <c r="L138"/>
  <c r="K138"/>
  <c r="M138" s="1"/>
  <c r="H138"/>
  <c r="U138" s="1"/>
  <c r="G138"/>
  <c r="T138" s="1"/>
  <c r="F138"/>
  <c r="S138" s="1"/>
  <c r="U137"/>
  <c r="T137"/>
  <c r="S137"/>
  <c r="P137"/>
  <c r="O137"/>
  <c r="N137"/>
  <c r="M137"/>
  <c r="I137"/>
  <c r="V137" s="1"/>
  <c r="V136"/>
  <c r="U136"/>
  <c r="T136"/>
  <c r="S136"/>
  <c r="S134"/>
  <c r="N134"/>
  <c r="L134"/>
  <c r="K134"/>
  <c r="H134"/>
  <c r="U134" s="1"/>
  <c r="G134"/>
  <c r="T134" s="1"/>
  <c r="L133"/>
  <c r="G133"/>
  <c r="T133" s="1"/>
  <c r="F133"/>
  <c r="S133" s="1"/>
  <c r="V132"/>
  <c r="U132"/>
  <c r="T132"/>
  <c r="S132"/>
  <c r="L130"/>
  <c r="K130"/>
  <c r="J130"/>
  <c r="H130"/>
  <c r="U130" s="1"/>
  <c r="G130"/>
  <c r="T130" s="1"/>
  <c r="F130"/>
  <c r="S130" s="1"/>
  <c r="L129"/>
  <c r="K129"/>
  <c r="J129"/>
  <c r="H129"/>
  <c r="U129" s="1"/>
  <c r="G129"/>
  <c r="T129" s="1"/>
  <c r="F129"/>
  <c r="S129" s="1"/>
  <c r="L128"/>
  <c r="K128"/>
  <c r="J128"/>
  <c r="J131" s="1"/>
  <c r="J135" s="1"/>
  <c r="H128"/>
  <c r="G128"/>
  <c r="F128"/>
  <c r="L127"/>
  <c r="K127"/>
  <c r="H127"/>
  <c r="U127" s="1"/>
  <c r="G127"/>
  <c r="T127" s="1"/>
  <c r="F127"/>
  <c r="S127" s="1"/>
  <c r="U126"/>
  <c r="T126"/>
  <c r="S126"/>
  <c r="P126"/>
  <c r="O126"/>
  <c r="Q126" s="1"/>
  <c r="N126"/>
  <c r="M126"/>
  <c r="I126"/>
  <c r="V126" s="1"/>
  <c r="V125"/>
  <c r="U125"/>
  <c r="T125"/>
  <c r="S125"/>
  <c r="S123"/>
  <c r="N123"/>
  <c r="L123"/>
  <c r="K123"/>
  <c r="H123"/>
  <c r="U123" s="1"/>
  <c r="G123"/>
  <c r="T123" s="1"/>
  <c r="L122"/>
  <c r="F122"/>
  <c r="S122" s="1"/>
  <c r="V121"/>
  <c r="U121"/>
  <c r="T121"/>
  <c r="S121"/>
  <c r="L119"/>
  <c r="K119"/>
  <c r="J119"/>
  <c r="H119"/>
  <c r="U119" s="1"/>
  <c r="G119"/>
  <c r="T119" s="1"/>
  <c r="F119"/>
  <c r="S119" s="1"/>
  <c r="L118"/>
  <c r="K118"/>
  <c r="M118" s="1"/>
  <c r="J118"/>
  <c r="H118"/>
  <c r="U118" s="1"/>
  <c r="G118"/>
  <c r="T118" s="1"/>
  <c r="F118"/>
  <c r="S118" s="1"/>
  <c r="L117"/>
  <c r="K117"/>
  <c r="J117"/>
  <c r="J120" s="1"/>
  <c r="J124" s="1"/>
  <c r="H117"/>
  <c r="G117"/>
  <c r="F117"/>
  <c r="L116"/>
  <c r="K116"/>
  <c r="H116"/>
  <c r="U116" s="1"/>
  <c r="G116"/>
  <c r="T116" s="1"/>
  <c r="F116"/>
  <c r="S116" s="1"/>
  <c r="U115"/>
  <c r="T115"/>
  <c r="S115"/>
  <c r="P115"/>
  <c r="O115"/>
  <c r="N115"/>
  <c r="M115"/>
  <c r="I115"/>
  <c r="V115" s="1"/>
  <c r="U114"/>
  <c r="T114"/>
  <c r="S114"/>
  <c r="P114"/>
  <c r="O114"/>
  <c r="N114"/>
  <c r="M114"/>
  <c r="I114"/>
  <c r="V114" s="1"/>
  <c r="V113"/>
  <c r="U113"/>
  <c r="T113"/>
  <c r="S113"/>
  <c r="S111"/>
  <c r="N111"/>
  <c r="L111"/>
  <c r="L168" s="1"/>
  <c r="L167" s="1"/>
  <c r="K111"/>
  <c r="K168" s="1"/>
  <c r="K167" s="1"/>
  <c r="H111"/>
  <c r="U111" s="1"/>
  <c r="G111"/>
  <c r="G168" s="1"/>
  <c r="L110"/>
  <c r="G110"/>
  <c r="T110" s="1"/>
  <c r="F110"/>
  <c r="S110" s="1"/>
  <c r="V109"/>
  <c r="U109"/>
  <c r="T109"/>
  <c r="S109"/>
  <c r="L107"/>
  <c r="L164" s="1"/>
  <c r="K107"/>
  <c r="K164" s="1"/>
  <c r="J107"/>
  <c r="J164" s="1"/>
  <c r="H107"/>
  <c r="H164" s="1"/>
  <c r="G107"/>
  <c r="G164" s="1"/>
  <c r="F107"/>
  <c r="F164" s="1"/>
  <c r="L106"/>
  <c r="L163" s="1"/>
  <c r="L162" s="1"/>
  <c r="K106"/>
  <c r="K163" s="1"/>
  <c r="K162" s="1"/>
  <c r="J106"/>
  <c r="J163" s="1"/>
  <c r="H106"/>
  <c r="H163" s="1"/>
  <c r="G106"/>
  <c r="G163" s="1"/>
  <c r="F106"/>
  <c r="F163" s="1"/>
  <c r="L105"/>
  <c r="K105"/>
  <c r="J105"/>
  <c r="J108" s="1"/>
  <c r="J112" s="1"/>
  <c r="H105"/>
  <c r="G105"/>
  <c r="F105"/>
  <c r="S104"/>
  <c r="N104"/>
  <c r="L104"/>
  <c r="K104"/>
  <c r="H104"/>
  <c r="U104" s="1"/>
  <c r="G104"/>
  <c r="T104" s="1"/>
  <c r="S103"/>
  <c r="N103"/>
  <c r="L103"/>
  <c r="K103"/>
  <c r="H103"/>
  <c r="P103" s="1"/>
  <c r="G103"/>
  <c r="T103" s="1"/>
  <c r="S102"/>
  <c r="N102"/>
  <c r="L102"/>
  <c r="K102"/>
  <c r="H102"/>
  <c r="U102" s="1"/>
  <c r="G102"/>
  <c r="O102" s="1"/>
  <c r="L101"/>
  <c r="L161" s="1"/>
  <c r="K101"/>
  <c r="K161" s="1"/>
  <c r="H101"/>
  <c r="P101" s="1"/>
  <c r="G101"/>
  <c r="G161" s="1"/>
  <c r="F101"/>
  <c r="N101" s="1"/>
  <c r="U100"/>
  <c r="T100"/>
  <c r="S100"/>
  <c r="P100"/>
  <c r="O100"/>
  <c r="N100"/>
  <c r="M100"/>
  <c r="I100"/>
  <c r="V100" s="1"/>
  <c r="V99"/>
  <c r="U99"/>
  <c r="T99"/>
  <c r="S99"/>
  <c r="J97"/>
  <c r="F97"/>
  <c r="S97" s="1"/>
  <c r="V95"/>
  <c r="U95"/>
  <c r="T95"/>
  <c r="S95"/>
  <c r="U89"/>
  <c r="T89"/>
  <c r="S89"/>
  <c r="P89"/>
  <c r="O89"/>
  <c r="N89"/>
  <c r="M89"/>
  <c r="I89"/>
  <c r="V89" s="1"/>
  <c r="V88"/>
  <c r="U88"/>
  <c r="T88"/>
  <c r="S88"/>
  <c r="S85"/>
  <c r="N85"/>
  <c r="N84" s="1"/>
  <c r="L85"/>
  <c r="K85"/>
  <c r="M85" s="1"/>
  <c r="M84" s="1"/>
  <c r="H85"/>
  <c r="U85" s="1"/>
  <c r="G85"/>
  <c r="O85" s="1"/>
  <c r="O84" s="1"/>
  <c r="L84"/>
  <c r="K84"/>
  <c r="J84"/>
  <c r="H84"/>
  <c r="G84"/>
  <c r="T84" s="1"/>
  <c r="F84"/>
  <c r="V83"/>
  <c r="U83"/>
  <c r="T83"/>
  <c r="S83"/>
  <c r="L81"/>
  <c r="K81"/>
  <c r="J81"/>
  <c r="M81" s="1"/>
  <c r="H81"/>
  <c r="U81" s="1"/>
  <c r="G81"/>
  <c r="T81" s="1"/>
  <c r="F81"/>
  <c r="S81" s="1"/>
  <c r="L80"/>
  <c r="K80"/>
  <c r="J80"/>
  <c r="M80" s="1"/>
  <c r="M79" s="1"/>
  <c r="H80"/>
  <c r="U80" s="1"/>
  <c r="G80"/>
  <c r="T80" s="1"/>
  <c r="F80"/>
  <c r="S80" s="1"/>
  <c r="L79"/>
  <c r="K79"/>
  <c r="J79"/>
  <c r="J82" s="1"/>
  <c r="H79"/>
  <c r="G79"/>
  <c r="F79"/>
  <c r="L78"/>
  <c r="K78"/>
  <c r="M78" s="1"/>
  <c r="H78"/>
  <c r="U78" s="1"/>
  <c r="G78"/>
  <c r="O78" s="1"/>
  <c r="F78"/>
  <c r="S78" s="1"/>
  <c r="U77"/>
  <c r="T77"/>
  <c r="S77"/>
  <c r="P77"/>
  <c r="O77"/>
  <c r="N77"/>
  <c r="Q77" s="1"/>
  <c r="M77"/>
  <c r="I77"/>
  <c r="V77" s="1"/>
  <c r="V76"/>
  <c r="U76"/>
  <c r="T76"/>
  <c r="S76"/>
  <c r="S74"/>
  <c r="N74"/>
  <c r="L74"/>
  <c r="K74"/>
  <c r="M74" s="1"/>
  <c r="H74"/>
  <c r="P74" s="1"/>
  <c r="G74"/>
  <c r="T74" s="1"/>
  <c r="L73"/>
  <c r="K73"/>
  <c r="H73"/>
  <c r="U73" s="1"/>
  <c r="G73"/>
  <c r="F73"/>
  <c r="S73" s="1"/>
  <c r="V72"/>
  <c r="U72"/>
  <c r="T72"/>
  <c r="S72"/>
  <c r="L70"/>
  <c r="K70"/>
  <c r="J70"/>
  <c r="M70" s="1"/>
  <c r="H70"/>
  <c r="U70" s="1"/>
  <c r="G70"/>
  <c r="T70" s="1"/>
  <c r="F70"/>
  <c r="S70" s="1"/>
  <c r="L69"/>
  <c r="K69"/>
  <c r="J69"/>
  <c r="M69" s="1"/>
  <c r="H69"/>
  <c r="U69" s="1"/>
  <c r="G69"/>
  <c r="T69" s="1"/>
  <c r="F69"/>
  <c r="S69" s="1"/>
  <c r="L68"/>
  <c r="K68"/>
  <c r="J68"/>
  <c r="J71" s="1"/>
  <c r="J75" s="1"/>
  <c r="H68"/>
  <c r="G68"/>
  <c r="F68"/>
  <c r="L67"/>
  <c r="K67"/>
  <c r="H67"/>
  <c r="U67" s="1"/>
  <c r="G67"/>
  <c r="O67" s="1"/>
  <c r="F67"/>
  <c r="S67" s="1"/>
  <c r="U66"/>
  <c r="T66"/>
  <c r="S66"/>
  <c r="P66"/>
  <c r="O66"/>
  <c r="N66"/>
  <c r="Q66" s="1"/>
  <c r="M66"/>
  <c r="I66"/>
  <c r="V66" s="1"/>
  <c r="V65"/>
  <c r="U65"/>
  <c r="T65"/>
  <c r="S65"/>
  <c r="S63"/>
  <c r="N63"/>
  <c r="L63"/>
  <c r="K63"/>
  <c r="M63" s="1"/>
  <c r="H63"/>
  <c r="P63" s="1"/>
  <c r="G63"/>
  <c r="T63" s="1"/>
  <c r="L62"/>
  <c r="K62"/>
  <c r="H62"/>
  <c r="U62" s="1"/>
  <c r="G62"/>
  <c r="F62"/>
  <c r="S62" s="1"/>
  <c r="V61"/>
  <c r="U61"/>
  <c r="T61"/>
  <c r="S61"/>
  <c r="L59"/>
  <c r="K59"/>
  <c r="J59"/>
  <c r="M59" s="1"/>
  <c r="H59"/>
  <c r="U59" s="1"/>
  <c r="G59"/>
  <c r="T59" s="1"/>
  <c r="F59"/>
  <c r="S59" s="1"/>
  <c r="L58"/>
  <c r="K58"/>
  <c r="J58"/>
  <c r="M58" s="1"/>
  <c r="H58"/>
  <c r="U58" s="1"/>
  <c r="G58"/>
  <c r="T58" s="1"/>
  <c r="F58"/>
  <c r="S58" s="1"/>
  <c r="L57"/>
  <c r="K57"/>
  <c r="J57"/>
  <c r="J60" s="1"/>
  <c r="J64" s="1"/>
  <c r="H57"/>
  <c r="G57"/>
  <c r="F57"/>
  <c r="L56"/>
  <c r="K56"/>
  <c r="M56" s="1"/>
  <c r="H56"/>
  <c r="U56" s="1"/>
  <c r="G56"/>
  <c r="O56" s="1"/>
  <c r="F56"/>
  <c r="S56" s="1"/>
  <c r="U55"/>
  <c r="T55"/>
  <c r="S55"/>
  <c r="P55"/>
  <c r="O55"/>
  <c r="N55"/>
  <c r="M55"/>
  <c r="I55"/>
  <c r="V55" s="1"/>
  <c r="V54"/>
  <c r="U54"/>
  <c r="T54"/>
  <c r="S54"/>
  <c r="S52"/>
  <c r="N52"/>
  <c r="L52"/>
  <c r="L1339" s="1"/>
  <c r="L1338" s="1"/>
  <c r="K52"/>
  <c r="K1339" s="1"/>
  <c r="K1338" s="1"/>
  <c r="H52"/>
  <c r="H1339" s="1"/>
  <c r="G52"/>
  <c r="G1339" s="1"/>
  <c r="L51"/>
  <c r="K51"/>
  <c r="H51"/>
  <c r="U51" s="1"/>
  <c r="G51"/>
  <c r="F51"/>
  <c r="S51" s="1"/>
  <c r="V50"/>
  <c r="U50"/>
  <c r="T50"/>
  <c r="S50"/>
  <c r="L48"/>
  <c r="K48"/>
  <c r="J48"/>
  <c r="J1312" s="1"/>
  <c r="H48"/>
  <c r="G48"/>
  <c r="F48"/>
  <c r="F1312" s="1"/>
  <c r="L47"/>
  <c r="K47"/>
  <c r="J47"/>
  <c r="J1311" s="1"/>
  <c r="H47"/>
  <c r="G47"/>
  <c r="F47"/>
  <c r="F1311" s="1"/>
  <c r="L46"/>
  <c r="K46"/>
  <c r="J46"/>
  <c r="J49" s="1"/>
  <c r="J53" s="1"/>
  <c r="H46"/>
  <c r="G46"/>
  <c r="F46"/>
  <c r="L45"/>
  <c r="K45"/>
  <c r="H45"/>
  <c r="G45"/>
  <c r="F45"/>
  <c r="F1309" s="1"/>
  <c r="U44"/>
  <c r="T44"/>
  <c r="S44"/>
  <c r="P44"/>
  <c r="O44"/>
  <c r="N44"/>
  <c r="Q44" s="1"/>
  <c r="M44"/>
  <c r="I44"/>
  <c r="V44" s="1"/>
  <c r="V43"/>
  <c r="U43"/>
  <c r="T43"/>
  <c r="S43"/>
  <c r="P43"/>
  <c r="O43"/>
  <c r="N43"/>
  <c r="V42"/>
  <c r="U42"/>
  <c r="T42"/>
  <c r="S42"/>
  <c r="S40"/>
  <c r="N40"/>
  <c r="L40"/>
  <c r="L97" s="1"/>
  <c r="L96" s="1"/>
  <c r="K40"/>
  <c r="K97" s="1"/>
  <c r="K96" s="1"/>
  <c r="H40"/>
  <c r="H97" s="1"/>
  <c r="G40"/>
  <c r="T40" s="1"/>
  <c r="K39"/>
  <c r="J39"/>
  <c r="H39"/>
  <c r="U39" s="1"/>
  <c r="G39"/>
  <c r="F39"/>
  <c r="V38"/>
  <c r="U38"/>
  <c r="T38"/>
  <c r="S38"/>
  <c r="L36"/>
  <c r="K36"/>
  <c r="J36"/>
  <c r="J1306" s="1"/>
  <c r="H36"/>
  <c r="G36"/>
  <c r="F36"/>
  <c r="F93" s="1"/>
  <c r="L35"/>
  <c r="K35"/>
  <c r="J35"/>
  <c r="J1305" s="1"/>
  <c r="H35"/>
  <c r="G35"/>
  <c r="F35"/>
  <c r="I35" s="1"/>
  <c r="L34"/>
  <c r="K34"/>
  <c r="J34"/>
  <c r="H34"/>
  <c r="G34"/>
  <c r="F34"/>
  <c r="S34" s="1"/>
  <c r="S33"/>
  <c r="N33"/>
  <c r="L33"/>
  <c r="L1303" s="1"/>
  <c r="K33"/>
  <c r="K1303" s="1"/>
  <c r="H33"/>
  <c r="G33"/>
  <c r="G1303" s="1"/>
  <c r="S32"/>
  <c r="N32"/>
  <c r="L32"/>
  <c r="L1302" s="1"/>
  <c r="K32"/>
  <c r="K1302" s="1"/>
  <c r="H32"/>
  <c r="G32"/>
  <c r="G1302" s="1"/>
  <c r="S31"/>
  <c r="N31"/>
  <c r="N30" s="1"/>
  <c r="L31"/>
  <c r="L1301" s="1"/>
  <c r="L1300" s="1"/>
  <c r="K31"/>
  <c r="K1301" s="1"/>
  <c r="K1300" s="1"/>
  <c r="H31"/>
  <c r="G31"/>
  <c r="G1301" s="1"/>
  <c r="L30"/>
  <c r="L90" s="1"/>
  <c r="J30"/>
  <c r="J37" s="1"/>
  <c r="J41" s="1"/>
  <c r="H30"/>
  <c r="U30" s="1"/>
  <c r="F30"/>
  <c r="S30" s="1"/>
  <c r="V29"/>
  <c r="U29"/>
  <c r="T29"/>
  <c r="S29"/>
  <c r="U28"/>
  <c r="T28"/>
  <c r="S28"/>
  <c r="P28"/>
  <c r="O28"/>
  <c r="N28"/>
  <c r="M28"/>
  <c r="I28"/>
  <c r="V28" s="1"/>
  <c r="L25"/>
  <c r="K25"/>
  <c r="J25"/>
  <c r="H25"/>
  <c r="G25"/>
  <c r="F25"/>
  <c r="U24"/>
  <c r="T24"/>
  <c r="S24"/>
  <c r="P24"/>
  <c r="O24"/>
  <c r="N24"/>
  <c r="M24"/>
  <c r="I24"/>
  <c r="U23"/>
  <c r="T23"/>
  <c r="S23"/>
  <c r="P23"/>
  <c r="P25" s="1"/>
  <c r="O23"/>
  <c r="O25" s="1"/>
  <c r="N23"/>
  <c r="N25" s="1"/>
  <c r="M23"/>
  <c r="M25" s="1"/>
  <c r="I23"/>
  <c r="I25" s="1"/>
  <c r="L22"/>
  <c r="K22"/>
  <c r="J22"/>
  <c r="H22"/>
  <c r="U22" s="1"/>
  <c r="G22"/>
  <c r="F22"/>
  <c r="S22" s="1"/>
  <c r="V21"/>
  <c r="U21"/>
  <c r="T21"/>
  <c r="S21"/>
  <c r="V20"/>
  <c r="U20"/>
  <c r="T20"/>
  <c r="S20"/>
  <c r="U18"/>
  <c r="T18"/>
  <c r="S18"/>
  <c r="P18"/>
  <c r="O18"/>
  <c r="N18"/>
  <c r="M18"/>
  <c r="I18"/>
  <c r="U17"/>
  <c r="T17"/>
  <c r="S17"/>
  <c r="P17"/>
  <c r="O17"/>
  <c r="N17"/>
  <c r="M17"/>
  <c r="I17"/>
  <c r="I14" s="1"/>
  <c r="U16"/>
  <c r="T16"/>
  <c r="S16"/>
  <c r="P16"/>
  <c r="O16"/>
  <c r="N16"/>
  <c r="I16"/>
  <c r="V16" s="1"/>
  <c r="U15"/>
  <c r="T15"/>
  <c r="S15"/>
  <c r="P15"/>
  <c r="O15"/>
  <c r="N15"/>
  <c r="M15"/>
  <c r="M14" s="1"/>
  <c r="I15"/>
  <c r="O14"/>
  <c r="L14"/>
  <c r="K14"/>
  <c r="J14"/>
  <c r="H14"/>
  <c r="U14" s="1"/>
  <c r="G14"/>
  <c r="F14"/>
  <c r="S14" s="1"/>
  <c r="V13"/>
  <c r="U13"/>
  <c r="T13"/>
  <c r="S13"/>
  <c r="L12"/>
  <c r="K12"/>
  <c r="J12"/>
  <c r="H12"/>
  <c r="G12"/>
  <c r="F12"/>
  <c r="S12" s="1"/>
  <c r="U11"/>
  <c r="T11"/>
  <c r="S11"/>
  <c r="P11"/>
  <c r="O11"/>
  <c r="N11"/>
  <c r="M11"/>
  <c r="I11"/>
  <c r="U10"/>
  <c r="T10"/>
  <c r="S10"/>
  <c r="P10"/>
  <c r="P12" s="1"/>
  <c r="O10"/>
  <c r="O12" s="1"/>
  <c r="N10"/>
  <c r="M10"/>
  <c r="M12" s="1"/>
  <c r="I10"/>
  <c r="I12" s="1"/>
  <c r="V9"/>
  <c r="U9"/>
  <c r="T9"/>
  <c r="S9"/>
  <c r="V8"/>
  <c r="U8"/>
  <c r="T8"/>
  <c r="S8"/>
  <c r="R1849" i="8"/>
  <c r="V1841"/>
  <c r="U1841"/>
  <c r="T1841"/>
  <c r="S1841"/>
  <c r="P1841"/>
  <c r="O1841"/>
  <c r="N1841"/>
  <c r="V1838"/>
  <c r="U1838"/>
  <c r="T1838"/>
  <c r="S1838"/>
  <c r="P1838"/>
  <c r="O1838"/>
  <c r="N1838"/>
  <c r="V1833"/>
  <c r="U1833"/>
  <c r="T1833"/>
  <c r="S1833"/>
  <c r="V1832"/>
  <c r="U1832"/>
  <c r="T1832"/>
  <c r="S1832"/>
  <c r="V1828"/>
  <c r="U1828"/>
  <c r="T1828"/>
  <c r="S1828"/>
  <c r="V1827"/>
  <c r="U1827"/>
  <c r="T1827"/>
  <c r="S1827"/>
  <c r="V1826"/>
  <c r="U1826"/>
  <c r="T1826"/>
  <c r="S1826"/>
  <c r="V1825"/>
  <c r="U1825"/>
  <c r="T1825"/>
  <c r="S1825"/>
  <c r="V1820"/>
  <c r="U1820"/>
  <c r="T1820"/>
  <c r="S1820"/>
  <c r="L1818"/>
  <c r="K1818"/>
  <c r="V1815"/>
  <c r="U1815"/>
  <c r="T1815"/>
  <c r="S1815"/>
  <c r="L1814"/>
  <c r="K1814"/>
  <c r="G1814"/>
  <c r="T1814" s="1"/>
  <c r="F1814"/>
  <c r="U1810"/>
  <c r="T1810"/>
  <c r="S1810"/>
  <c r="P1810"/>
  <c r="O1810"/>
  <c r="N1810"/>
  <c r="M1810"/>
  <c r="I1810"/>
  <c r="V1810" s="1"/>
  <c r="V1807"/>
  <c r="U1807"/>
  <c r="T1807"/>
  <c r="S1807"/>
  <c r="L1805"/>
  <c r="K1805"/>
  <c r="H1805"/>
  <c r="U1805" s="1"/>
  <c r="G1805"/>
  <c r="T1805" s="1"/>
  <c r="V1802"/>
  <c r="U1802"/>
  <c r="T1802"/>
  <c r="S1802"/>
  <c r="U1798"/>
  <c r="T1798"/>
  <c r="S1798"/>
  <c r="P1798"/>
  <c r="O1798"/>
  <c r="N1798"/>
  <c r="Q1798" s="1"/>
  <c r="M1798"/>
  <c r="I1798"/>
  <c r="V1798" s="1"/>
  <c r="V1794"/>
  <c r="U1794"/>
  <c r="T1794"/>
  <c r="S1794"/>
  <c r="V1789"/>
  <c r="U1789"/>
  <c r="T1789"/>
  <c r="S1789"/>
  <c r="V1785"/>
  <c r="U1785"/>
  <c r="T1785"/>
  <c r="S1785"/>
  <c r="P1785"/>
  <c r="O1785"/>
  <c r="N1785"/>
  <c r="V1782"/>
  <c r="U1782"/>
  <c r="T1782"/>
  <c r="S1782"/>
  <c r="L1780"/>
  <c r="K1780"/>
  <c r="H1780"/>
  <c r="U1780" s="1"/>
  <c r="G1780"/>
  <c r="T1780" s="1"/>
  <c r="V1777"/>
  <c r="U1777"/>
  <c r="T1777"/>
  <c r="S1777"/>
  <c r="K1776"/>
  <c r="G1776"/>
  <c r="T1776" s="1"/>
  <c r="K1775"/>
  <c r="G1775"/>
  <c r="T1775" s="1"/>
  <c r="U1773"/>
  <c r="T1773"/>
  <c r="S1773"/>
  <c r="P1773"/>
  <c r="O1773"/>
  <c r="N1773"/>
  <c r="M1773"/>
  <c r="I1773"/>
  <c r="V1773" s="1"/>
  <c r="V1770"/>
  <c r="U1770"/>
  <c r="T1770"/>
  <c r="S1770"/>
  <c r="V1765"/>
  <c r="U1765"/>
  <c r="T1765"/>
  <c r="S1765"/>
  <c r="V1761"/>
  <c r="U1761"/>
  <c r="T1761"/>
  <c r="S1761"/>
  <c r="P1761"/>
  <c r="O1761"/>
  <c r="N1761"/>
  <c r="L1759"/>
  <c r="K1759"/>
  <c r="J1759"/>
  <c r="H1759"/>
  <c r="U1759" s="1"/>
  <c r="G1759"/>
  <c r="T1759" s="1"/>
  <c r="L1758"/>
  <c r="L1760" s="1"/>
  <c r="K1758"/>
  <c r="J1758"/>
  <c r="M1758" s="1"/>
  <c r="H1758"/>
  <c r="G1758"/>
  <c r="G1760" s="1"/>
  <c r="F1758"/>
  <c r="V1757"/>
  <c r="U1757"/>
  <c r="T1757"/>
  <c r="S1757"/>
  <c r="P1757"/>
  <c r="O1757"/>
  <c r="N1757"/>
  <c r="Q1757" s="1"/>
  <c r="L1756"/>
  <c r="L1846" s="1"/>
  <c r="K1756"/>
  <c r="K1846" s="1"/>
  <c r="J1756"/>
  <c r="J1846" s="1"/>
  <c r="H1756"/>
  <c r="H1846" s="1"/>
  <c r="G1756"/>
  <c r="G1846" s="1"/>
  <c r="F1756"/>
  <c r="F1846" s="1"/>
  <c r="L1755"/>
  <c r="L1845" s="1"/>
  <c r="K1755"/>
  <c r="K1845" s="1"/>
  <c r="J1755"/>
  <c r="J1845" s="1"/>
  <c r="H1755"/>
  <c r="H1845" s="1"/>
  <c r="G1755"/>
  <c r="G1845" s="1"/>
  <c r="F1755"/>
  <c r="F1845" s="1"/>
  <c r="L1754"/>
  <c r="K1754"/>
  <c r="J1754"/>
  <c r="H1754"/>
  <c r="U1754" s="1"/>
  <c r="G1754"/>
  <c r="T1754" s="1"/>
  <c r="F1754"/>
  <c r="I1754" s="1"/>
  <c r="V1752"/>
  <c r="U1752"/>
  <c r="T1752"/>
  <c r="S1752"/>
  <c r="L1751"/>
  <c r="L1840" s="1"/>
  <c r="K1751"/>
  <c r="K1840" s="1"/>
  <c r="J1751"/>
  <c r="J1840" s="1"/>
  <c r="H1751"/>
  <c r="H1840" s="1"/>
  <c r="G1751"/>
  <c r="G1840" s="1"/>
  <c r="F1751"/>
  <c r="F1840" s="1"/>
  <c r="L1750"/>
  <c r="L1839" s="1"/>
  <c r="K1750"/>
  <c r="K1839" s="1"/>
  <c r="J1750"/>
  <c r="J1839" s="1"/>
  <c r="H1750"/>
  <c r="H1839" s="1"/>
  <c r="G1750"/>
  <c r="G1839" s="1"/>
  <c r="F1750"/>
  <c r="F1839" s="1"/>
  <c r="L1749"/>
  <c r="K1749"/>
  <c r="J1749"/>
  <c r="H1749"/>
  <c r="U1749" s="1"/>
  <c r="G1749"/>
  <c r="F1749"/>
  <c r="S1749" s="1"/>
  <c r="V1748"/>
  <c r="U1748"/>
  <c r="T1748"/>
  <c r="S1748"/>
  <c r="L1747"/>
  <c r="L1837" s="1"/>
  <c r="K1747"/>
  <c r="K1837" s="1"/>
  <c r="J1747"/>
  <c r="J1837" s="1"/>
  <c r="H1747"/>
  <c r="H1837" s="1"/>
  <c r="G1747"/>
  <c r="G1837" s="1"/>
  <c r="F1747"/>
  <c r="F1837" s="1"/>
  <c r="L1746"/>
  <c r="L1836" s="1"/>
  <c r="K1746"/>
  <c r="K1836" s="1"/>
  <c r="J1746"/>
  <c r="J1836" s="1"/>
  <c r="H1746"/>
  <c r="H1836" s="1"/>
  <c r="G1746"/>
  <c r="G1836" s="1"/>
  <c r="F1746"/>
  <c r="F1836" s="1"/>
  <c r="V1745"/>
  <c r="U1745"/>
  <c r="T1745"/>
  <c r="S1745"/>
  <c r="L1743"/>
  <c r="K1743"/>
  <c r="J1743"/>
  <c r="H1743"/>
  <c r="U1743" s="1"/>
  <c r="G1743"/>
  <c r="T1743" s="1"/>
  <c r="F1743"/>
  <c r="S1743" s="1"/>
  <c r="L1742"/>
  <c r="L1744" s="1"/>
  <c r="K1742"/>
  <c r="K1744" s="1"/>
  <c r="J1742"/>
  <c r="J1744" s="1"/>
  <c r="H1742"/>
  <c r="H1744" s="1"/>
  <c r="G1742"/>
  <c r="G1744" s="1"/>
  <c r="F1742"/>
  <c r="F1744" s="1"/>
  <c r="V1739"/>
  <c r="U1739"/>
  <c r="T1739"/>
  <c r="S1739"/>
  <c r="P1739"/>
  <c r="O1739"/>
  <c r="N1739"/>
  <c r="V1738"/>
  <c r="U1738"/>
  <c r="T1738"/>
  <c r="S1738"/>
  <c r="P1738"/>
  <c r="O1738"/>
  <c r="N1738"/>
  <c r="Q1738" s="1"/>
  <c r="V1733"/>
  <c r="U1733"/>
  <c r="T1733"/>
  <c r="S1733"/>
  <c r="P1733"/>
  <c r="O1733"/>
  <c r="N1733"/>
  <c r="J1732"/>
  <c r="F1732"/>
  <c r="S1732" s="1"/>
  <c r="V1726"/>
  <c r="U1726"/>
  <c r="T1726"/>
  <c r="S1726"/>
  <c r="P1726"/>
  <c r="O1726"/>
  <c r="N1726"/>
  <c r="J1725"/>
  <c r="F1725"/>
  <c r="S1725" s="1"/>
  <c r="V1722"/>
  <c r="U1722"/>
  <c r="T1722"/>
  <c r="S1722"/>
  <c r="P1722"/>
  <c r="O1722"/>
  <c r="N1722"/>
  <c r="L1721"/>
  <c r="L1830" s="1"/>
  <c r="J1721"/>
  <c r="J1830" s="1"/>
  <c r="H1721"/>
  <c r="H1830" s="1"/>
  <c r="F1721"/>
  <c r="F1830" s="1"/>
  <c r="J1720"/>
  <c r="F1720"/>
  <c r="S1720" s="1"/>
  <c r="K1719"/>
  <c r="G1719"/>
  <c r="T1719" s="1"/>
  <c r="V1717"/>
  <c r="U1717"/>
  <c r="T1717"/>
  <c r="S1717"/>
  <c r="P1717"/>
  <c r="O1717"/>
  <c r="N1717"/>
  <c r="V1713"/>
  <c r="U1713"/>
  <c r="T1713"/>
  <c r="S1713"/>
  <c r="P1713"/>
  <c r="O1713"/>
  <c r="N1713"/>
  <c r="L1712"/>
  <c r="K1712"/>
  <c r="J1712"/>
  <c r="H1712"/>
  <c r="G1712"/>
  <c r="F1712"/>
  <c r="S1712" s="1"/>
  <c r="L1711"/>
  <c r="K1711"/>
  <c r="J1711"/>
  <c r="H1711"/>
  <c r="G1711"/>
  <c r="F1711"/>
  <c r="S1711" s="1"/>
  <c r="L1710"/>
  <c r="K1710"/>
  <c r="J1710"/>
  <c r="H1710"/>
  <c r="G1710"/>
  <c r="F1710"/>
  <c r="S1710" s="1"/>
  <c r="V1709"/>
  <c r="U1709"/>
  <c r="T1709"/>
  <c r="S1709"/>
  <c r="P1709"/>
  <c r="O1709"/>
  <c r="N1709"/>
  <c r="L1708"/>
  <c r="K1708"/>
  <c r="J1708"/>
  <c r="H1708"/>
  <c r="G1708"/>
  <c r="F1708"/>
  <c r="L1707"/>
  <c r="K1707"/>
  <c r="J1707"/>
  <c r="H1707"/>
  <c r="G1707"/>
  <c r="F1707"/>
  <c r="L1706"/>
  <c r="K1706"/>
  <c r="J1706"/>
  <c r="H1706"/>
  <c r="G1706"/>
  <c r="F1706"/>
  <c r="V1705"/>
  <c r="U1705"/>
  <c r="T1705"/>
  <c r="S1705"/>
  <c r="P1705"/>
  <c r="O1705"/>
  <c r="N1705"/>
  <c r="U1704"/>
  <c r="T1704"/>
  <c r="S1704"/>
  <c r="P1704"/>
  <c r="O1704"/>
  <c r="N1704"/>
  <c r="M1704"/>
  <c r="I1704"/>
  <c r="V1704" s="1"/>
  <c r="V1703"/>
  <c r="U1703"/>
  <c r="T1703"/>
  <c r="S1703"/>
  <c r="P1703"/>
  <c r="O1703"/>
  <c r="N1703"/>
  <c r="U1702"/>
  <c r="T1702"/>
  <c r="S1702"/>
  <c r="P1702"/>
  <c r="O1702"/>
  <c r="N1702"/>
  <c r="M1702"/>
  <c r="I1702"/>
  <c r="V1702" s="1"/>
  <c r="L1700"/>
  <c r="L1784" s="1"/>
  <c r="K1700"/>
  <c r="K1784" s="1"/>
  <c r="J1700"/>
  <c r="J1784" s="1"/>
  <c r="H1700"/>
  <c r="H1784" s="1"/>
  <c r="G1700"/>
  <c r="G1784" s="1"/>
  <c r="F1700"/>
  <c r="F1784" s="1"/>
  <c r="L1699"/>
  <c r="L1783" s="1"/>
  <c r="K1699"/>
  <c r="K1783" s="1"/>
  <c r="J1699"/>
  <c r="J1783" s="1"/>
  <c r="H1699"/>
  <c r="H1783" s="1"/>
  <c r="G1699"/>
  <c r="G1783" s="1"/>
  <c r="F1699"/>
  <c r="F1783" s="1"/>
  <c r="V1698"/>
  <c r="U1698"/>
  <c r="T1698"/>
  <c r="S1698"/>
  <c r="U1697"/>
  <c r="T1697"/>
  <c r="P1697"/>
  <c r="O1697"/>
  <c r="J1697"/>
  <c r="J1780" s="1"/>
  <c r="F1697"/>
  <c r="F1780" s="1"/>
  <c r="L1696"/>
  <c r="L1779" s="1"/>
  <c r="K1696"/>
  <c r="K1779" s="1"/>
  <c r="K1781" s="1"/>
  <c r="K1778" s="1"/>
  <c r="K1774" s="1"/>
  <c r="J1696"/>
  <c r="J1779" s="1"/>
  <c r="H1696"/>
  <c r="H1779" s="1"/>
  <c r="G1696"/>
  <c r="G1779" s="1"/>
  <c r="F1696"/>
  <c r="F1779" s="1"/>
  <c r="L1695"/>
  <c r="K1695"/>
  <c r="J1695"/>
  <c r="H1695"/>
  <c r="U1695" s="1"/>
  <c r="G1695"/>
  <c r="F1695"/>
  <c r="T1694"/>
  <c r="O1694"/>
  <c r="L1694"/>
  <c r="L1776" s="1"/>
  <c r="L1775" s="1"/>
  <c r="J1694"/>
  <c r="J1776" s="1"/>
  <c r="H1694"/>
  <c r="H1776" s="1"/>
  <c r="F1694"/>
  <c r="F1776" s="1"/>
  <c r="L1693"/>
  <c r="K1693"/>
  <c r="H1693"/>
  <c r="U1693" s="1"/>
  <c r="G1693"/>
  <c r="T1693" s="1"/>
  <c r="V1692"/>
  <c r="U1692"/>
  <c r="T1692"/>
  <c r="S1692"/>
  <c r="P1692"/>
  <c r="O1692"/>
  <c r="N1692"/>
  <c r="U1690"/>
  <c r="S1690"/>
  <c r="P1690"/>
  <c r="N1690"/>
  <c r="K1690"/>
  <c r="M1690" s="1"/>
  <c r="G1690"/>
  <c r="S1689"/>
  <c r="N1689"/>
  <c r="L1689"/>
  <c r="L1720" s="1"/>
  <c r="K1689"/>
  <c r="H1689"/>
  <c r="H1720" s="1"/>
  <c r="G1689"/>
  <c r="G1691" s="1"/>
  <c r="T1688"/>
  <c r="O1688"/>
  <c r="L1688"/>
  <c r="L1719" s="1"/>
  <c r="L1718" s="1"/>
  <c r="J1688"/>
  <c r="J1719" s="1"/>
  <c r="H1688"/>
  <c r="H1719" s="1"/>
  <c r="F1688"/>
  <c r="F1719" s="1"/>
  <c r="U1687"/>
  <c r="T1687"/>
  <c r="S1687"/>
  <c r="P1687"/>
  <c r="O1687"/>
  <c r="N1687"/>
  <c r="M1687"/>
  <c r="I1687"/>
  <c r="V1687" s="1"/>
  <c r="U1686"/>
  <c r="T1686"/>
  <c r="S1686"/>
  <c r="P1686"/>
  <c r="O1686"/>
  <c r="N1686"/>
  <c r="M1686"/>
  <c r="I1686"/>
  <c r="V1686" s="1"/>
  <c r="U1685"/>
  <c r="T1685"/>
  <c r="S1685"/>
  <c r="P1685"/>
  <c r="O1685"/>
  <c r="N1685"/>
  <c r="M1685"/>
  <c r="I1685"/>
  <c r="V1685" s="1"/>
  <c r="V1681"/>
  <c r="U1681"/>
  <c r="T1681"/>
  <c r="S1681"/>
  <c r="L1680"/>
  <c r="L1768" s="1"/>
  <c r="K1680"/>
  <c r="K1768" s="1"/>
  <c r="H1680"/>
  <c r="H1768" s="1"/>
  <c r="G1680"/>
  <c r="G1768" s="1"/>
  <c r="V1675"/>
  <c r="U1675"/>
  <c r="T1675"/>
  <c r="S1675"/>
  <c r="P1675"/>
  <c r="O1675"/>
  <c r="N1675"/>
  <c r="U1671"/>
  <c r="T1671"/>
  <c r="S1671"/>
  <c r="P1671"/>
  <c r="O1671"/>
  <c r="N1671"/>
  <c r="M1671"/>
  <c r="I1671"/>
  <c r="V1671" s="1"/>
  <c r="U1670"/>
  <c r="T1670"/>
  <c r="S1670"/>
  <c r="P1670"/>
  <c r="O1670"/>
  <c r="N1670"/>
  <c r="M1670"/>
  <c r="I1670"/>
  <c r="V1670" s="1"/>
  <c r="L1668"/>
  <c r="K1668"/>
  <c r="J1668"/>
  <c r="H1668"/>
  <c r="P1668" s="1"/>
  <c r="G1668"/>
  <c r="T1668" s="1"/>
  <c r="F1668"/>
  <c r="N1668" s="1"/>
  <c r="L1667"/>
  <c r="K1667"/>
  <c r="J1667"/>
  <c r="H1667"/>
  <c r="U1667" s="1"/>
  <c r="G1667"/>
  <c r="F1667"/>
  <c r="S1667" s="1"/>
  <c r="L1666"/>
  <c r="K1666"/>
  <c r="J1666"/>
  <c r="H1666"/>
  <c r="P1666" s="1"/>
  <c r="G1666"/>
  <c r="T1666" s="1"/>
  <c r="F1666"/>
  <c r="N1666" s="1"/>
  <c r="L1665"/>
  <c r="K1665"/>
  <c r="J1665"/>
  <c r="H1665"/>
  <c r="U1665" s="1"/>
  <c r="G1665"/>
  <c r="T1665" s="1"/>
  <c r="F1665"/>
  <c r="S1665" s="1"/>
  <c r="L1664"/>
  <c r="K1664"/>
  <c r="J1664"/>
  <c r="H1664"/>
  <c r="G1664"/>
  <c r="F1664"/>
  <c r="S1664" s="1"/>
  <c r="L1663"/>
  <c r="K1663"/>
  <c r="J1663"/>
  <c r="H1663"/>
  <c r="U1663" s="1"/>
  <c r="G1663"/>
  <c r="T1663" s="1"/>
  <c r="F1663"/>
  <c r="S1663" s="1"/>
  <c r="V1662"/>
  <c r="U1662"/>
  <c r="T1662"/>
  <c r="S1662"/>
  <c r="P1662"/>
  <c r="O1662"/>
  <c r="N1662"/>
  <c r="L1660"/>
  <c r="K1660"/>
  <c r="J1660"/>
  <c r="M1660" s="1"/>
  <c r="H1660"/>
  <c r="U1660" s="1"/>
  <c r="G1660"/>
  <c r="O1660" s="1"/>
  <c r="F1660"/>
  <c r="S1660" s="1"/>
  <c r="L1659"/>
  <c r="L1661" s="1"/>
  <c r="K1659"/>
  <c r="K1661" s="1"/>
  <c r="J1659"/>
  <c r="J1661" s="1"/>
  <c r="H1659"/>
  <c r="H1661" s="1"/>
  <c r="G1659"/>
  <c r="T1659" s="1"/>
  <c r="F1659"/>
  <c r="F1661" s="1"/>
  <c r="U1658"/>
  <c r="T1658"/>
  <c r="S1658"/>
  <c r="P1658"/>
  <c r="O1658"/>
  <c r="N1658"/>
  <c r="M1658"/>
  <c r="I1658"/>
  <c r="V1658" s="1"/>
  <c r="U1657"/>
  <c r="T1657"/>
  <c r="S1657"/>
  <c r="P1657"/>
  <c r="O1657"/>
  <c r="N1657"/>
  <c r="M1657"/>
  <c r="I1657"/>
  <c r="V1657" s="1"/>
  <c r="L1655"/>
  <c r="K1655"/>
  <c r="J1655"/>
  <c r="H1655"/>
  <c r="G1655"/>
  <c r="T1655" s="1"/>
  <c r="F1655"/>
  <c r="L1654"/>
  <c r="K1654"/>
  <c r="J1654"/>
  <c r="M1654" s="1"/>
  <c r="H1654"/>
  <c r="U1654" s="1"/>
  <c r="G1654"/>
  <c r="O1654" s="1"/>
  <c r="F1654"/>
  <c r="S1654" s="1"/>
  <c r="L1653"/>
  <c r="K1653"/>
  <c r="J1653"/>
  <c r="H1653"/>
  <c r="G1653"/>
  <c r="T1653" s="1"/>
  <c r="F1653"/>
  <c r="L1652"/>
  <c r="K1652"/>
  <c r="J1652"/>
  <c r="H1652"/>
  <c r="U1652" s="1"/>
  <c r="G1652"/>
  <c r="T1652" s="1"/>
  <c r="F1652"/>
  <c r="S1652" s="1"/>
  <c r="L1651"/>
  <c r="L1650" s="1"/>
  <c r="K1651"/>
  <c r="H1651"/>
  <c r="U1651" s="1"/>
  <c r="G1651"/>
  <c r="O1651" s="1"/>
  <c r="F1651"/>
  <c r="F1650" s="1"/>
  <c r="K1650"/>
  <c r="G1650"/>
  <c r="T1650" s="1"/>
  <c r="V1649"/>
  <c r="U1649"/>
  <c r="T1649"/>
  <c r="S1649"/>
  <c r="P1649"/>
  <c r="O1649"/>
  <c r="N1649"/>
  <c r="L1647"/>
  <c r="K1647"/>
  <c r="J1647"/>
  <c r="H1647"/>
  <c r="P1647" s="1"/>
  <c r="G1647"/>
  <c r="T1647" s="1"/>
  <c r="F1647"/>
  <c r="S1647" s="1"/>
  <c r="L1646"/>
  <c r="L1648" s="1"/>
  <c r="H1646"/>
  <c r="U1646" s="1"/>
  <c r="G1646"/>
  <c r="G1648" s="1"/>
  <c r="F1646"/>
  <c r="U1645"/>
  <c r="T1645"/>
  <c r="S1645"/>
  <c r="P1645"/>
  <c r="O1645"/>
  <c r="N1645"/>
  <c r="M1645"/>
  <c r="I1645"/>
  <c r="V1645" s="1"/>
  <c r="U1644"/>
  <c r="T1644"/>
  <c r="S1644"/>
  <c r="P1644"/>
  <c r="O1644"/>
  <c r="N1644"/>
  <c r="M1644"/>
  <c r="I1644"/>
  <c r="V1644" s="1"/>
  <c r="L1642"/>
  <c r="K1642"/>
  <c r="J1642"/>
  <c r="H1642"/>
  <c r="G1642"/>
  <c r="T1642" s="1"/>
  <c r="F1642"/>
  <c r="L1641"/>
  <c r="K1641"/>
  <c r="J1641"/>
  <c r="H1641"/>
  <c r="U1641" s="1"/>
  <c r="G1641"/>
  <c r="V1640"/>
  <c r="U1640"/>
  <c r="T1640"/>
  <c r="S1640"/>
  <c r="U1639"/>
  <c r="T1639"/>
  <c r="P1639"/>
  <c r="O1639"/>
  <c r="J1639"/>
  <c r="J1680" s="1"/>
  <c r="F1639"/>
  <c r="F1680" s="1"/>
  <c r="L1638"/>
  <c r="K1638"/>
  <c r="J1638"/>
  <c r="H1638"/>
  <c r="G1638"/>
  <c r="T1638" s="1"/>
  <c r="F1638"/>
  <c r="L1637"/>
  <c r="K1637"/>
  <c r="J1637"/>
  <c r="H1637"/>
  <c r="U1637" s="1"/>
  <c r="G1637"/>
  <c r="T1637" s="1"/>
  <c r="L1636"/>
  <c r="K1636"/>
  <c r="K1635" s="1"/>
  <c r="H1636"/>
  <c r="G1636"/>
  <c r="G1635" s="1"/>
  <c r="T1635" s="1"/>
  <c r="F1636"/>
  <c r="L1635"/>
  <c r="H1635"/>
  <c r="U1635" s="1"/>
  <c r="F1635"/>
  <c r="V1634"/>
  <c r="U1634"/>
  <c r="T1634"/>
  <c r="S1634"/>
  <c r="P1634"/>
  <c r="O1634"/>
  <c r="N1634"/>
  <c r="Q1634" s="1"/>
  <c r="S1632"/>
  <c r="N1632"/>
  <c r="L1632"/>
  <c r="K1632"/>
  <c r="H1632"/>
  <c r="U1632" s="1"/>
  <c r="G1632"/>
  <c r="L1631"/>
  <c r="L1633" s="1"/>
  <c r="L1643" s="1"/>
  <c r="H1631"/>
  <c r="G1631"/>
  <c r="F1631"/>
  <c r="F1633" s="1"/>
  <c r="U1630"/>
  <c r="T1630"/>
  <c r="S1630"/>
  <c r="P1630"/>
  <c r="O1630"/>
  <c r="N1630"/>
  <c r="M1630"/>
  <c r="I1630"/>
  <c r="V1630" s="1"/>
  <c r="U1629"/>
  <c r="T1629"/>
  <c r="S1629"/>
  <c r="P1629"/>
  <c r="O1629"/>
  <c r="N1629"/>
  <c r="M1629"/>
  <c r="I1629"/>
  <c r="V1629" s="1"/>
  <c r="U1628"/>
  <c r="T1628"/>
  <c r="S1628"/>
  <c r="P1628"/>
  <c r="O1628"/>
  <c r="N1628"/>
  <c r="M1628"/>
  <c r="I1628"/>
  <c r="V1628" s="1"/>
  <c r="V1623"/>
  <c r="U1623"/>
  <c r="T1623"/>
  <c r="S1623"/>
  <c r="L1622"/>
  <c r="L1792" s="1"/>
  <c r="K1622"/>
  <c r="K1792" s="1"/>
  <c r="H1622"/>
  <c r="H1792" s="1"/>
  <c r="G1622"/>
  <c r="G1792" s="1"/>
  <c r="V1617"/>
  <c r="U1617"/>
  <c r="T1617"/>
  <c r="S1617"/>
  <c r="P1617"/>
  <c r="O1617"/>
  <c r="N1617"/>
  <c r="J1615"/>
  <c r="F1615"/>
  <c r="U1613"/>
  <c r="T1613"/>
  <c r="S1613"/>
  <c r="P1613"/>
  <c r="O1613"/>
  <c r="N1613"/>
  <c r="M1613"/>
  <c r="I1613"/>
  <c r="V1613" s="1"/>
  <c r="U1612"/>
  <c r="T1612"/>
  <c r="S1612"/>
  <c r="P1612"/>
  <c r="O1612"/>
  <c r="N1612"/>
  <c r="M1612"/>
  <c r="I1612"/>
  <c r="V1612" s="1"/>
  <c r="L1610"/>
  <c r="K1610"/>
  <c r="J1610"/>
  <c r="M1610" s="1"/>
  <c r="H1610"/>
  <c r="U1610" s="1"/>
  <c r="G1610"/>
  <c r="T1610" s="1"/>
  <c r="F1610"/>
  <c r="S1610" s="1"/>
  <c r="L1609"/>
  <c r="K1609"/>
  <c r="J1609"/>
  <c r="H1609"/>
  <c r="U1609" s="1"/>
  <c r="G1609"/>
  <c r="T1609" s="1"/>
  <c r="F1609"/>
  <c r="S1609" s="1"/>
  <c r="V1608"/>
  <c r="U1608"/>
  <c r="T1608"/>
  <c r="S1608"/>
  <c r="U1607"/>
  <c r="T1607"/>
  <c r="P1607"/>
  <c r="O1607"/>
  <c r="J1607"/>
  <c r="M1607" s="1"/>
  <c r="F1607"/>
  <c r="S1607" s="1"/>
  <c r="L1606"/>
  <c r="K1606"/>
  <c r="J1606"/>
  <c r="H1606"/>
  <c r="U1606" s="1"/>
  <c r="G1606"/>
  <c r="T1606" s="1"/>
  <c r="F1606"/>
  <c r="S1606" s="1"/>
  <c r="L1605"/>
  <c r="K1605"/>
  <c r="J1605"/>
  <c r="H1605"/>
  <c r="U1605" s="1"/>
  <c r="G1605"/>
  <c r="F1605"/>
  <c r="L1604"/>
  <c r="K1604"/>
  <c r="J1604"/>
  <c r="H1604"/>
  <c r="U1604" s="1"/>
  <c r="G1604"/>
  <c r="T1604" s="1"/>
  <c r="F1604"/>
  <c r="S1604" s="1"/>
  <c r="L1603"/>
  <c r="K1603"/>
  <c r="J1603"/>
  <c r="H1603"/>
  <c r="U1603" s="1"/>
  <c r="G1603"/>
  <c r="T1603" s="1"/>
  <c r="F1603"/>
  <c r="V1602"/>
  <c r="U1602"/>
  <c r="T1602"/>
  <c r="S1602"/>
  <c r="P1602"/>
  <c r="O1602"/>
  <c r="N1602"/>
  <c r="S1600"/>
  <c r="N1600"/>
  <c r="L1600"/>
  <c r="K1600"/>
  <c r="H1600"/>
  <c r="U1600" s="1"/>
  <c r="G1600"/>
  <c r="L1599"/>
  <c r="L1601" s="1"/>
  <c r="K1599"/>
  <c r="K1601" s="1"/>
  <c r="K1611" s="1"/>
  <c r="J1599"/>
  <c r="J1601" s="1"/>
  <c r="H1599"/>
  <c r="H1601" s="1"/>
  <c r="G1599"/>
  <c r="G1601" s="1"/>
  <c r="F1599"/>
  <c r="F1601" s="1"/>
  <c r="U1598"/>
  <c r="T1598"/>
  <c r="S1598"/>
  <c r="P1598"/>
  <c r="O1598"/>
  <c r="N1598"/>
  <c r="M1598"/>
  <c r="I1598"/>
  <c r="V1598" s="1"/>
  <c r="U1597"/>
  <c r="T1597"/>
  <c r="S1597"/>
  <c r="P1597"/>
  <c r="O1597"/>
  <c r="N1597"/>
  <c r="M1597"/>
  <c r="I1597"/>
  <c r="V1597" s="1"/>
  <c r="L1595"/>
  <c r="K1595"/>
  <c r="J1595"/>
  <c r="M1595" s="1"/>
  <c r="H1595"/>
  <c r="U1595" s="1"/>
  <c r="G1595"/>
  <c r="T1595" s="1"/>
  <c r="F1595"/>
  <c r="I1595" s="1"/>
  <c r="V1595" s="1"/>
  <c r="L1594"/>
  <c r="K1594"/>
  <c r="J1594"/>
  <c r="H1594"/>
  <c r="U1594" s="1"/>
  <c r="G1594"/>
  <c r="T1594" s="1"/>
  <c r="F1594"/>
  <c r="I1594" s="1"/>
  <c r="V1593"/>
  <c r="U1593"/>
  <c r="T1593"/>
  <c r="S1593"/>
  <c r="U1592"/>
  <c r="T1592"/>
  <c r="P1592"/>
  <c r="O1592"/>
  <c r="J1592"/>
  <c r="M1592" s="1"/>
  <c r="F1592"/>
  <c r="I1592" s="1"/>
  <c r="V1592" s="1"/>
  <c r="L1591"/>
  <c r="K1591"/>
  <c r="J1591"/>
  <c r="H1591"/>
  <c r="U1591" s="1"/>
  <c r="G1591"/>
  <c r="T1591" s="1"/>
  <c r="F1591"/>
  <c r="I1591" s="1"/>
  <c r="L1590"/>
  <c r="K1590"/>
  <c r="J1590"/>
  <c r="H1590"/>
  <c r="U1590" s="1"/>
  <c r="G1590"/>
  <c r="F1590"/>
  <c r="S1590" s="1"/>
  <c r="L1589"/>
  <c r="K1589"/>
  <c r="J1589"/>
  <c r="H1589"/>
  <c r="U1589" s="1"/>
  <c r="G1589"/>
  <c r="T1589" s="1"/>
  <c r="F1589"/>
  <c r="I1589" s="1"/>
  <c r="L1588"/>
  <c r="K1588"/>
  <c r="J1588"/>
  <c r="H1588"/>
  <c r="U1588" s="1"/>
  <c r="G1588"/>
  <c r="T1588" s="1"/>
  <c r="F1588"/>
  <c r="S1588" s="1"/>
  <c r="V1587"/>
  <c r="U1587"/>
  <c r="T1587"/>
  <c r="S1587"/>
  <c r="P1587"/>
  <c r="O1587"/>
  <c r="N1587"/>
  <c r="S1585"/>
  <c r="N1585"/>
  <c r="L1585"/>
  <c r="K1585"/>
  <c r="H1585"/>
  <c r="U1585" s="1"/>
  <c r="G1585"/>
  <c r="T1585" s="1"/>
  <c r="L1584"/>
  <c r="L1586" s="1"/>
  <c r="L1596" s="1"/>
  <c r="K1584"/>
  <c r="K1586" s="1"/>
  <c r="J1584"/>
  <c r="M1584" s="1"/>
  <c r="H1584"/>
  <c r="G1584"/>
  <c r="G1586" s="1"/>
  <c r="F1584"/>
  <c r="U1583"/>
  <c r="T1583"/>
  <c r="S1583"/>
  <c r="P1583"/>
  <c r="O1583"/>
  <c r="N1583"/>
  <c r="M1583"/>
  <c r="I1583"/>
  <c r="V1583" s="1"/>
  <c r="U1582"/>
  <c r="T1582"/>
  <c r="S1582"/>
  <c r="P1582"/>
  <c r="O1582"/>
  <c r="N1582"/>
  <c r="M1582"/>
  <c r="I1582"/>
  <c r="V1582" s="1"/>
  <c r="L1580"/>
  <c r="K1580"/>
  <c r="J1580"/>
  <c r="H1580"/>
  <c r="U1580" s="1"/>
  <c r="G1580"/>
  <c r="T1580" s="1"/>
  <c r="F1580"/>
  <c r="S1580" s="1"/>
  <c r="L1579"/>
  <c r="K1579"/>
  <c r="J1579"/>
  <c r="H1579"/>
  <c r="U1579" s="1"/>
  <c r="G1579"/>
  <c r="T1579" s="1"/>
  <c r="F1579"/>
  <c r="S1579" s="1"/>
  <c r="V1578"/>
  <c r="U1578"/>
  <c r="T1578"/>
  <c r="S1578"/>
  <c r="U1577"/>
  <c r="T1577"/>
  <c r="P1577"/>
  <c r="O1577"/>
  <c r="J1577"/>
  <c r="M1577" s="1"/>
  <c r="F1577"/>
  <c r="L1576"/>
  <c r="K1576"/>
  <c r="J1576"/>
  <c r="H1576"/>
  <c r="U1576" s="1"/>
  <c r="G1576"/>
  <c r="T1576" s="1"/>
  <c r="F1576"/>
  <c r="S1576" s="1"/>
  <c r="L1575"/>
  <c r="K1575"/>
  <c r="J1575"/>
  <c r="H1575"/>
  <c r="U1575" s="1"/>
  <c r="G1575"/>
  <c r="F1575"/>
  <c r="L1574"/>
  <c r="K1574"/>
  <c r="J1574"/>
  <c r="H1574"/>
  <c r="U1574" s="1"/>
  <c r="G1574"/>
  <c r="T1574" s="1"/>
  <c r="F1574"/>
  <c r="S1574" s="1"/>
  <c r="L1573"/>
  <c r="K1573"/>
  <c r="J1573"/>
  <c r="H1573"/>
  <c r="U1573" s="1"/>
  <c r="G1573"/>
  <c r="T1573" s="1"/>
  <c r="F1573"/>
  <c r="V1572"/>
  <c r="U1572"/>
  <c r="T1572"/>
  <c r="S1572"/>
  <c r="P1572"/>
  <c r="O1572"/>
  <c r="N1572"/>
  <c r="S1570"/>
  <c r="N1570"/>
  <c r="L1570"/>
  <c r="K1570"/>
  <c r="H1570"/>
  <c r="U1570" s="1"/>
  <c r="G1570"/>
  <c r="L1569"/>
  <c r="L1571" s="1"/>
  <c r="K1569"/>
  <c r="K1571" s="1"/>
  <c r="K1581" s="1"/>
  <c r="J1569"/>
  <c r="J1571" s="1"/>
  <c r="H1569"/>
  <c r="G1569"/>
  <c r="G1571" s="1"/>
  <c r="F1569"/>
  <c r="F1571" s="1"/>
  <c r="U1568"/>
  <c r="T1568"/>
  <c r="S1568"/>
  <c r="P1568"/>
  <c r="O1568"/>
  <c r="N1568"/>
  <c r="M1568"/>
  <c r="I1568"/>
  <c r="V1568" s="1"/>
  <c r="U1567"/>
  <c r="T1567"/>
  <c r="S1567"/>
  <c r="P1567"/>
  <c r="O1567"/>
  <c r="N1567"/>
  <c r="M1567"/>
  <c r="I1567"/>
  <c r="V1567" s="1"/>
  <c r="L1565"/>
  <c r="K1565"/>
  <c r="J1565"/>
  <c r="M1565" s="1"/>
  <c r="H1565"/>
  <c r="U1565" s="1"/>
  <c r="G1565"/>
  <c r="T1565" s="1"/>
  <c r="F1565"/>
  <c r="L1564"/>
  <c r="K1564"/>
  <c r="J1564"/>
  <c r="M1564" s="1"/>
  <c r="H1564"/>
  <c r="U1564" s="1"/>
  <c r="G1564"/>
  <c r="T1564" s="1"/>
  <c r="F1564"/>
  <c r="V1563"/>
  <c r="U1563"/>
  <c r="T1563"/>
  <c r="S1563"/>
  <c r="U1562"/>
  <c r="T1562"/>
  <c r="P1562"/>
  <c r="O1562"/>
  <c r="J1562"/>
  <c r="M1562" s="1"/>
  <c r="F1562"/>
  <c r="I1562" s="1"/>
  <c r="L1561"/>
  <c r="K1561"/>
  <c r="J1561"/>
  <c r="M1561" s="1"/>
  <c r="M1560" s="1"/>
  <c r="H1561"/>
  <c r="U1561" s="1"/>
  <c r="G1561"/>
  <c r="T1561" s="1"/>
  <c r="F1561"/>
  <c r="L1560"/>
  <c r="K1560"/>
  <c r="J1560"/>
  <c r="H1560"/>
  <c r="U1560" s="1"/>
  <c r="G1560"/>
  <c r="F1560"/>
  <c r="S1560" s="1"/>
  <c r="L1559"/>
  <c r="K1559"/>
  <c r="J1559"/>
  <c r="H1559"/>
  <c r="U1559" s="1"/>
  <c r="G1559"/>
  <c r="T1559" s="1"/>
  <c r="F1559"/>
  <c r="I1559" s="1"/>
  <c r="L1558"/>
  <c r="K1558"/>
  <c r="J1558"/>
  <c r="H1558"/>
  <c r="U1558" s="1"/>
  <c r="G1558"/>
  <c r="T1558" s="1"/>
  <c r="F1558"/>
  <c r="S1558" s="1"/>
  <c r="V1557"/>
  <c r="U1557"/>
  <c r="T1557"/>
  <c r="S1557"/>
  <c r="P1557"/>
  <c r="O1557"/>
  <c r="N1557"/>
  <c r="S1555"/>
  <c r="N1555"/>
  <c r="L1555"/>
  <c r="K1555"/>
  <c r="H1555"/>
  <c r="U1555" s="1"/>
  <c r="G1555"/>
  <c r="T1555" s="1"/>
  <c r="L1554"/>
  <c r="L1556" s="1"/>
  <c r="L1566" s="1"/>
  <c r="K1554"/>
  <c r="K1556" s="1"/>
  <c r="J1554"/>
  <c r="M1554" s="1"/>
  <c r="H1554"/>
  <c r="H1556" s="1"/>
  <c r="G1554"/>
  <c r="G1556" s="1"/>
  <c r="F1554"/>
  <c r="U1553"/>
  <c r="T1553"/>
  <c r="S1553"/>
  <c r="P1553"/>
  <c r="O1553"/>
  <c r="N1553"/>
  <c r="M1553"/>
  <c r="I1553"/>
  <c r="V1553" s="1"/>
  <c r="U1552"/>
  <c r="T1552"/>
  <c r="S1552"/>
  <c r="P1552"/>
  <c r="O1552"/>
  <c r="N1552"/>
  <c r="M1552"/>
  <c r="I1552"/>
  <c r="V1552" s="1"/>
  <c r="L1550"/>
  <c r="K1550"/>
  <c r="J1550"/>
  <c r="M1550" s="1"/>
  <c r="H1550"/>
  <c r="U1550" s="1"/>
  <c r="G1550"/>
  <c r="T1550" s="1"/>
  <c r="F1550"/>
  <c r="S1550" s="1"/>
  <c r="L1549"/>
  <c r="K1549"/>
  <c r="J1549"/>
  <c r="M1549" s="1"/>
  <c r="H1549"/>
  <c r="U1549" s="1"/>
  <c r="G1549"/>
  <c r="T1549" s="1"/>
  <c r="F1549"/>
  <c r="S1549" s="1"/>
  <c r="V1548"/>
  <c r="U1548"/>
  <c r="T1548"/>
  <c r="S1548"/>
  <c r="U1547"/>
  <c r="T1547"/>
  <c r="P1547"/>
  <c r="O1547"/>
  <c r="J1547"/>
  <c r="M1547" s="1"/>
  <c r="F1547"/>
  <c r="S1547" s="1"/>
  <c r="L1546"/>
  <c r="K1546"/>
  <c r="J1546"/>
  <c r="M1546" s="1"/>
  <c r="M1545" s="1"/>
  <c r="H1546"/>
  <c r="U1546" s="1"/>
  <c r="G1546"/>
  <c r="T1546" s="1"/>
  <c r="F1546"/>
  <c r="S1546" s="1"/>
  <c r="L1545"/>
  <c r="K1545"/>
  <c r="J1545"/>
  <c r="H1545"/>
  <c r="U1545" s="1"/>
  <c r="G1545"/>
  <c r="T1545" s="1"/>
  <c r="F1545"/>
  <c r="L1544"/>
  <c r="K1544"/>
  <c r="J1544"/>
  <c r="M1544" s="1"/>
  <c r="M1543" s="1"/>
  <c r="H1544"/>
  <c r="U1544" s="1"/>
  <c r="G1544"/>
  <c r="T1544" s="1"/>
  <c r="F1544"/>
  <c r="S1544" s="1"/>
  <c r="L1543"/>
  <c r="K1543"/>
  <c r="J1543"/>
  <c r="H1543"/>
  <c r="U1543" s="1"/>
  <c r="G1543"/>
  <c r="T1543" s="1"/>
  <c r="F1543"/>
  <c r="V1542"/>
  <c r="U1542"/>
  <c r="T1542"/>
  <c r="S1542"/>
  <c r="P1542"/>
  <c r="O1542"/>
  <c r="N1542"/>
  <c r="S1540"/>
  <c r="N1540"/>
  <c r="L1540"/>
  <c r="K1540"/>
  <c r="H1540"/>
  <c r="G1540"/>
  <c r="L1539"/>
  <c r="L1541" s="1"/>
  <c r="K1539"/>
  <c r="K1541" s="1"/>
  <c r="K1551" s="1"/>
  <c r="J1539"/>
  <c r="J1541" s="1"/>
  <c r="H1539"/>
  <c r="H1541" s="1"/>
  <c r="G1539"/>
  <c r="G1541" s="1"/>
  <c r="F1539"/>
  <c r="F1541" s="1"/>
  <c r="U1538"/>
  <c r="T1538"/>
  <c r="S1538"/>
  <c r="P1538"/>
  <c r="O1538"/>
  <c r="N1538"/>
  <c r="M1538"/>
  <c r="I1538"/>
  <c r="V1538" s="1"/>
  <c r="U1537"/>
  <c r="T1537"/>
  <c r="S1537"/>
  <c r="P1537"/>
  <c r="O1537"/>
  <c r="N1537"/>
  <c r="Q1537" s="1"/>
  <c r="M1537"/>
  <c r="I1537"/>
  <c r="V1537" s="1"/>
  <c r="L1535"/>
  <c r="K1535"/>
  <c r="M1535" s="1"/>
  <c r="J1535"/>
  <c r="H1535"/>
  <c r="U1535" s="1"/>
  <c r="G1535"/>
  <c r="T1535" s="1"/>
  <c r="F1535"/>
  <c r="S1535" s="1"/>
  <c r="L1534"/>
  <c r="K1534"/>
  <c r="M1534" s="1"/>
  <c r="J1534"/>
  <c r="H1534"/>
  <c r="U1534" s="1"/>
  <c r="G1534"/>
  <c r="T1534" s="1"/>
  <c r="F1534"/>
  <c r="S1534" s="1"/>
  <c r="V1533"/>
  <c r="U1533"/>
  <c r="T1533"/>
  <c r="S1533"/>
  <c r="U1532"/>
  <c r="T1532"/>
  <c r="P1532"/>
  <c r="O1532"/>
  <c r="J1532"/>
  <c r="M1532" s="1"/>
  <c r="F1532"/>
  <c r="S1532" s="1"/>
  <c r="L1531"/>
  <c r="K1531"/>
  <c r="M1531" s="1"/>
  <c r="J1531"/>
  <c r="H1531"/>
  <c r="U1531" s="1"/>
  <c r="G1531"/>
  <c r="T1531" s="1"/>
  <c r="F1531"/>
  <c r="S1531" s="1"/>
  <c r="L1530"/>
  <c r="K1530"/>
  <c r="J1530"/>
  <c r="H1530"/>
  <c r="U1530" s="1"/>
  <c r="G1530"/>
  <c r="F1530"/>
  <c r="S1530" s="1"/>
  <c r="L1529"/>
  <c r="K1529"/>
  <c r="M1529" s="1"/>
  <c r="M1528" s="1"/>
  <c r="J1529"/>
  <c r="H1529"/>
  <c r="U1529" s="1"/>
  <c r="G1529"/>
  <c r="T1529" s="1"/>
  <c r="F1529"/>
  <c r="S1529" s="1"/>
  <c r="L1528"/>
  <c r="K1528"/>
  <c r="J1528"/>
  <c r="H1528"/>
  <c r="U1528" s="1"/>
  <c r="G1528"/>
  <c r="T1528" s="1"/>
  <c r="F1528"/>
  <c r="S1528" s="1"/>
  <c r="V1527"/>
  <c r="U1527"/>
  <c r="T1527"/>
  <c r="S1527"/>
  <c r="P1527"/>
  <c r="O1527"/>
  <c r="Q1527" s="1"/>
  <c r="N1527"/>
  <c r="S1525"/>
  <c r="N1525"/>
  <c r="L1525"/>
  <c r="K1525"/>
  <c r="H1525"/>
  <c r="U1525" s="1"/>
  <c r="G1525"/>
  <c r="L1524"/>
  <c r="L1526" s="1"/>
  <c r="L1536" s="1"/>
  <c r="K1524"/>
  <c r="K1526" s="1"/>
  <c r="J1524"/>
  <c r="J1526" s="1"/>
  <c r="J1536" s="1"/>
  <c r="H1524"/>
  <c r="G1524"/>
  <c r="G1526" s="1"/>
  <c r="F1524"/>
  <c r="F1526" s="1"/>
  <c r="U1523"/>
  <c r="T1523"/>
  <c r="S1523"/>
  <c r="P1523"/>
  <c r="O1523"/>
  <c r="N1523"/>
  <c r="M1523"/>
  <c r="I1523"/>
  <c r="V1523" s="1"/>
  <c r="U1522"/>
  <c r="T1522"/>
  <c r="S1522"/>
  <c r="P1522"/>
  <c r="O1522"/>
  <c r="Q1522" s="1"/>
  <c r="N1522"/>
  <c r="M1522"/>
  <c r="I1522"/>
  <c r="V1522" s="1"/>
  <c r="L1520"/>
  <c r="K1520"/>
  <c r="J1520"/>
  <c r="M1520" s="1"/>
  <c r="H1520"/>
  <c r="U1520" s="1"/>
  <c r="G1520"/>
  <c r="T1520" s="1"/>
  <c r="F1520"/>
  <c r="S1520" s="1"/>
  <c r="L1519"/>
  <c r="K1519"/>
  <c r="J1519"/>
  <c r="M1519" s="1"/>
  <c r="H1519"/>
  <c r="U1519" s="1"/>
  <c r="G1519"/>
  <c r="T1519" s="1"/>
  <c r="F1519"/>
  <c r="V1518"/>
  <c r="U1518"/>
  <c r="T1518"/>
  <c r="S1518"/>
  <c r="U1517"/>
  <c r="T1517"/>
  <c r="P1517"/>
  <c r="O1517"/>
  <c r="J1517"/>
  <c r="M1517" s="1"/>
  <c r="F1517"/>
  <c r="L1516"/>
  <c r="K1516"/>
  <c r="J1516"/>
  <c r="M1516" s="1"/>
  <c r="M1515" s="1"/>
  <c r="H1516"/>
  <c r="U1516" s="1"/>
  <c r="G1516"/>
  <c r="T1516" s="1"/>
  <c r="F1516"/>
  <c r="S1516" s="1"/>
  <c r="L1515"/>
  <c r="K1515"/>
  <c r="J1515"/>
  <c r="H1515"/>
  <c r="U1515" s="1"/>
  <c r="G1515"/>
  <c r="T1515" s="1"/>
  <c r="F1515"/>
  <c r="L1514"/>
  <c r="K1514"/>
  <c r="J1514"/>
  <c r="M1514" s="1"/>
  <c r="M1513" s="1"/>
  <c r="H1514"/>
  <c r="U1514" s="1"/>
  <c r="G1514"/>
  <c r="T1514" s="1"/>
  <c r="F1514"/>
  <c r="L1513"/>
  <c r="K1513"/>
  <c r="J1513"/>
  <c r="H1513"/>
  <c r="U1513" s="1"/>
  <c r="G1513"/>
  <c r="T1513" s="1"/>
  <c r="F1513"/>
  <c r="V1512"/>
  <c r="U1512"/>
  <c r="T1512"/>
  <c r="S1512"/>
  <c r="P1512"/>
  <c r="O1512"/>
  <c r="N1512"/>
  <c r="Q1512" s="1"/>
  <c r="S1510"/>
  <c r="N1510"/>
  <c r="L1510"/>
  <c r="K1510"/>
  <c r="M1510" s="1"/>
  <c r="H1510"/>
  <c r="G1510"/>
  <c r="I1510" s="1"/>
  <c r="V1510" s="1"/>
  <c r="L1509"/>
  <c r="L1511" s="1"/>
  <c r="K1509"/>
  <c r="K1511" s="1"/>
  <c r="K1521" s="1"/>
  <c r="J1509"/>
  <c r="J1511" s="1"/>
  <c r="H1509"/>
  <c r="H1511" s="1"/>
  <c r="G1509"/>
  <c r="F1509"/>
  <c r="F1511" s="1"/>
  <c r="U1508"/>
  <c r="T1508"/>
  <c r="S1508"/>
  <c r="P1508"/>
  <c r="O1508"/>
  <c r="N1508"/>
  <c r="M1508"/>
  <c r="I1508"/>
  <c r="V1508" s="1"/>
  <c r="U1507"/>
  <c r="T1507"/>
  <c r="S1507"/>
  <c r="P1507"/>
  <c r="O1507"/>
  <c r="N1507"/>
  <c r="L1505"/>
  <c r="K1505"/>
  <c r="J1505"/>
  <c r="H1505"/>
  <c r="U1505" s="1"/>
  <c r="G1505"/>
  <c r="F1505"/>
  <c r="S1505" s="1"/>
  <c r="L1504"/>
  <c r="K1504"/>
  <c r="J1504"/>
  <c r="H1504"/>
  <c r="U1504" s="1"/>
  <c r="G1504"/>
  <c r="T1504" s="1"/>
  <c r="F1504"/>
  <c r="S1504" s="1"/>
  <c r="V1503"/>
  <c r="U1503"/>
  <c r="T1503"/>
  <c r="S1503"/>
  <c r="U1502"/>
  <c r="T1502"/>
  <c r="P1502"/>
  <c r="O1502"/>
  <c r="J1502"/>
  <c r="M1502" s="1"/>
  <c r="F1502"/>
  <c r="S1502" s="1"/>
  <c r="L1501"/>
  <c r="K1501"/>
  <c r="J1501"/>
  <c r="H1501"/>
  <c r="U1501" s="1"/>
  <c r="G1501"/>
  <c r="T1501" s="1"/>
  <c r="F1501"/>
  <c r="S1501" s="1"/>
  <c r="L1500"/>
  <c r="K1500"/>
  <c r="J1500"/>
  <c r="H1500"/>
  <c r="U1500" s="1"/>
  <c r="G1500"/>
  <c r="F1500"/>
  <c r="S1500" s="1"/>
  <c r="L1499"/>
  <c r="K1499"/>
  <c r="J1499"/>
  <c r="H1499"/>
  <c r="U1499" s="1"/>
  <c r="G1499"/>
  <c r="T1499" s="1"/>
  <c r="F1499"/>
  <c r="S1499" s="1"/>
  <c r="L1498"/>
  <c r="K1498"/>
  <c r="J1498"/>
  <c r="H1498"/>
  <c r="U1498" s="1"/>
  <c r="G1498"/>
  <c r="T1498" s="1"/>
  <c r="F1498"/>
  <c r="S1498" s="1"/>
  <c r="V1497"/>
  <c r="U1497"/>
  <c r="T1497"/>
  <c r="S1497"/>
  <c r="P1497"/>
  <c r="O1497"/>
  <c r="N1497"/>
  <c r="S1495"/>
  <c r="N1495"/>
  <c r="L1495"/>
  <c r="K1495"/>
  <c r="H1495"/>
  <c r="G1495"/>
  <c r="L1494"/>
  <c r="L1496" s="1"/>
  <c r="L1506" s="1"/>
  <c r="K1494"/>
  <c r="K1496" s="1"/>
  <c r="J1494"/>
  <c r="J1496" s="1"/>
  <c r="J1506" s="1"/>
  <c r="H1494"/>
  <c r="G1494"/>
  <c r="G1496" s="1"/>
  <c r="F1494"/>
  <c r="F1496" s="1"/>
  <c r="U1493"/>
  <c r="T1493"/>
  <c r="S1493"/>
  <c r="P1493"/>
  <c r="O1493"/>
  <c r="N1493"/>
  <c r="M1493"/>
  <c r="I1493"/>
  <c r="V1493" s="1"/>
  <c r="U1492"/>
  <c r="T1492"/>
  <c r="S1492"/>
  <c r="P1492"/>
  <c r="O1492"/>
  <c r="N1492"/>
  <c r="M1492"/>
  <c r="I1492"/>
  <c r="V1492" s="1"/>
  <c r="L1490"/>
  <c r="K1490"/>
  <c r="J1490"/>
  <c r="H1490"/>
  <c r="U1490" s="1"/>
  <c r="G1490"/>
  <c r="T1490" s="1"/>
  <c r="F1490"/>
  <c r="S1490" s="1"/>
  <c r="L1489"/>
  <c r="K1489"/>
  <c r="J1489"/>
  <c r="H1489"/>
  <c r="U1489" s="1"/>
  <c r="G1489"/>
  <c r="T1489" s="1"/>
  <c r="F1489"/>
  <c r="V1488"/>
  <c r="U1488"/>
  <c r="T1488"/>
  <c r="S1488"/>
  <c r="U1487"/>
  <c r="T1487"/>
  <c r="P1487"/>
  <c r="O1487"/>
  <c r="J1487"/>
  <c r="M1487" s="1"/>
  <c r="F1487"/>
  <c r="L1486"/>
  <c r="K1486"/>
  <c r="J1486"/>
  <c r="H1486"/>
  <c r="U1486" s="1"/>
  <c r="G1486"/>
  <c r="T1486" s="1"/>
  <c r="F1486"/>
  <c r="S1486" s="1"/>
  <c r="L1485"/>
  <c r="K1485"/>
  <c r="J1485"/>
  <c r="H1485"/>
  <c r="U1485" s="1"/>
  <c r="G1485"/>
  <c r="F1485"/>
  <c r="L1484"/>
  <c r="K1484"/>
  <c r="J1484"/>
  <c r="H1484"/>
  <c r="U1484" s="1"/>
  <c r="G1484"/>
  <c r="T1484" s="1"/>
  <c r="F1484"/>
  <c r="L1483"/>
  <c r="K1483"/>
  <c r="J1483"/>
  <c r="H1483"/>
  <c r="U1483" s="1"/>
  <c r="G1483"/>
  <c r="T1483" s="1"/>
  <c r="F1483"/>
  <c r="V1482"/>
  <c r="U1482"/>
  <c r="T1482"/>
  <c r="S1482"/>
  <c r="P1482"/>
  <c r="O1482"/>
  <c r="N1482"/>
  <c r="S1480"/>
  <c r="N1480"/>
  <c r="L1480"/>
  <c r="K1480"/>
  <c r="H1480"/>
  <c r="U1480" s="1"/>
  <c r="G1480"/>
  <c r="L1479"/>
  <c r="L1481" s="1"/>
  <c r="K1479"/>
  <c r="K1481" s="1"/>
  <c r="J1479"/>
  <c r="J1481" s="1"/>
  <c r="H1479"/>
  <c r="G1479"/>
  <c r="G1481" s="1"/>
  <c r="F1479"/>
  <c r="F1481" s="1"/>
  <c r="U1478"/>
  <c r="T1478"/>
  <c r="S1478"/>
  <c r="P1478"/>
  <c r="O1478"/>
  <c r="N1478"/>
  <c r="M1478"/>
  <c r="I1478"/>
  <c r="V1478" s="1"/>
  <c r="U1477"/>
  <c r="T1477"/>
  <c r="S1477"/>
  <c r="P1477"/>
  <c r="O1477"/>
  <c r="N1477"/>
  <c r="M1477"/>
  <c r="I1477"/>
  <c r="V1477" s="1"/>
  <c r="L1475"/>
  <c r="K1475"/>
  <c r="J1475"/>
  <c r="M1475" s="1"/>
  <c r="H1475"/>
  <c r="U1475" s="1"/>
  <c r="G1475"/>
  <c r="T1475" s="1"/>
  <c r="F1475"/>
  <c r="S1475" s="1"/>
  <c r="L1474"/>
  <c r="K1474"/>
  <c r="J1474"/>
  <c r="H1474"/>
  <c r="U1474" s="1"/>
  <c r="G1474"/>
  <c r="T1474" s="1"/>
  <c r="F1474"/>
  <c r="V1473"/>
  <c r="U1473"/>
  <c r="T1473"/>
  <c r="S1473"/>
  <c r="U1472"/>
  <c r="T1472"/>
  <c r="P1472"/>
  <c r="O1472"/>
  <c r="J1472"/>
  <c r="M1472" s="1"/>
  <c r="F1472"/>
  <c r="L1471"/>
  <c r="K1471"/>
  <c r="J1471"/>
  <c r="M1471" s="1"/>
  <c r="H1471"/>
  <c r="U1471" s="1"/>
  <c r="G1471"/>
  <c r="T1471" s="1"/>
  <c r="F1471"/>
  <c r="S1471" s="1"/>
  <c r="L1470"/>
  <c r="K1470"/>
  <c r="J1470"/>
  <c r="H1470"/>
  <c r="U1470" s="1"/>
  <c r="G1470"/>
  <c r="F1470"/>
  <c r="L1469"/>
  <c r="K1469"/>
  <c r="J1469"/>
  <c r="H1469"/>
  <c r="U1469" s="1"/>
  <c r="G1469"/>
  <c r="T1469" s="1"/>
  <c r="F1469"/>
  <c r="L1468"/>
  <c r="K1468"/>
  <c r="J1468"/>
  <c r="H1468"/>
  <c r="U1468" s="1"/>
  <c r="G1468"/>
  <c r="T1468" s="1"/>
  <c r="F1468"/>
  <c r="V1467"/>
  <c r="U1467"/>
  <c r="T1467"/>
  <c r="S1467"/>
  <c r="P1467"/>
  <c r="O1467"/>
  <c r="N1467"/>
  <c r="S1465"/>
  <c r="N1465"/>
  <c r="L1465"/>
  <c r="K1465"/>
  <c r="H1465"/>
  <c r="U1465" s="1"/>
  <c r="G1465"/>
  <c r="L1464"/>
  <c r="L1466" s="1"/>
  <c r="L1476" s="1"/>
  <c r="K1464"/>
  <c r="K1466" s="1"/>
  <c r="J1464"/>
  <c r="J1466" s="1"/>
  <c r="J1476" s="1"/>
  <c r="H1464"/>
  <c r="H1466" s="1"/>
  <c r="G1464"/>
  <c r="F1464"/>
  <c r="F1466" s="1"/>
  <c r="U1463"/>
  <c r="T1463"/>
  <c r="S1463"/>
  <c r="P1463"/>
  <c r="O1463"/>
  <c r="N1463"/>
  <c r="M1463"/>
  <c r="I1463"/>
  <c r="V1463" s="1"/>
  <c r="U1462"/>
  <c r="T1462"/>
  <c r="S1462"/>
  <c r="P1462"/>
  <c r="O1462"/>
  <c r="N1462"/>
  <c r="M1462"/>
  <c r="I1462"/>
  <c r="V1462" s="1"/>
  <c r="L1460"/>
  <c r="K1460"/>
  <c r="J1460"/>
  <c r="H1460"/>
  <c r="U1460" s="1"/>
  <c r="G1460"/>
  <c r="F1460"/>
  <c r="I1460" s="1"/>
  <c r="L1459"/>
  <c r="K1459"/>
  <c r="M1459" s="1"/>
  <c r="J1459"/>
  <c r="H1459"/>
  <c r="U1459" s="1"/>
  <c r="G1459"/>
  <c r="T1459" s="1"/>
  <c r="F1459"/>
  <c r="S1459" s="1"/>
  <c r="V1458"/>
  <c r="U1458"/>
  <c r="T1458"/>
  <c r="S1458"/>
  <c r="U1457"/>
  <c r="T1457"/>
  <c r="P1457"/>
  <c r="O1457"/>
  <c r="J1457"/>
  <c r="M1457" s="1"/>
  <c r="F1457"/>
  <c r="S1457" s="1"/>
  <c r="L1456"/>
  <c r="K1456"/>
  <c r="M1456" s="1"/>
  <c r="J1456"/>
  <c r="H1456"/>
  <c r="U1456" s="1"/>
  <c r="G1456"/>
  <c r="T1456" s="1"/>
  <c r="F1456"/>
  <c r="S1456" s="1"/>
  <c r="L1455"/>
  <c r="K1455"/>
  <c r="J1455"/>
  <c r="H1455"/>
  <c r="U1455" s="1"/>
  <c r="G1455"/>
  <c r="F1455"/>
  <c r="L1454"/>
  <c r="K1454"/>
  <c r="J1454"/>
  <c r="H1454"/>
  <c r="U1454" s="1"/>
  <c r="G1454"/>
  <c r="F1454"/>
  <c r="S1454" s="1"/>
  <c r="L1453"/>
  <c r="K1453"/>
  <c r="J1453"/>
  <c r="H1453"/>
  <c r="U1453" s="1"/>
  <c r="G1453"/>
  <c r="T1453" s="1"/>
  <c r="F1453"/>
  <c r="V1452"/>
  <c r="U1452"/>
  <c r="T1452"/>
  <c r="S1452"/>
  <c r="P1452"/>
  <c r="O1452"/>
  <c r="N1452"/>
  <c r="S1450"/>
  <c r="N1450"/>
  <c r="L1450"/>
  <c r="K1450"/>
  <c r="H1450"/>
  <c r="U1450" s="1"/>
  <c r="G1450"/>
  <c r="T1450" s="1"/>
  <c r="L1449"/>
  <c r="L1451" s="1"/>
  <c r="K1449"/>
  <c r="K1451" s="1"/>
  <c r="K1461" s="1"/>
  <c r="J1449"/>
  <c r="J1451" s="1"/>
  <c r="H1449"/>
  <c r="G1449"/>
  <c r="G1451" s="1"/>
  <c r="F1449"/>
  <c r="F1451" s="1"/>
  <c r="U1448"/>
  <c r="T1448"/>
  <c r="S1448"/>
  <c r="P1448"/>
  <c r="O1448"/>
  <c r="N1448"/>
  <c r="M1448"/>
  <c r="I1448"/>
  <c r="V1448" s="1"/>
  <c r="U1447"/>
  <c r="T1447"/>
  <c r="S1447"/>
  <c r="P1447"/>
  <c r="O1447"/>
  <c r="N1447"/>
  <c r="M1447"/>
  <c r="I1447"/>
  <c r="V1447" s="1"/>
  <c r="L1445"/>
  <c r="L1626" s="1"/>
  <c r="L1797" s="1"/>
  <c r="L1848" s="1"/>
  <c r="K1445"/>
  <c r="K1626" s="1"/>
  <c r="K1797" s="1"/>
  <c r="K1848" s="1"/>
  <c r="J1445"/>
  <c r="J1626" s="1"/>
  <c r="J1797" s="1"/>
  <c r="J1848" s="1"/>
  <c r="H1445"/>
  <c r="H1626" s="1"/>
  <c r="G1445"/>
  <c r="G1626" s="1"/>
  <c r="F1445"/>
  <c r="F1626" s="1"/>
  <c r="L1444"/>
  <c r="K1444"/>
  <c r="J1444"/>
  <c r="M1444" s="1"/>
  <c r="H1444"/>
  <c r="G1444"/>
  <c r="F1444"/>
  <c r="L1443"/>
  <c r="K1443"/>
  <c r="J1443"/>
  <c r="M1443" s="1"/>
  <c r="H1443"/>
  <c r="G1443"/>
  <c r="F1443"/>
  <c r="V1442"/>
  <c r="U1442"/>
  <c r="T1442"/>
  <c r="S1442"/>
  <c r="U1441"/>
  <c r="T1441"/>
  <c r="P1441"/>
  <c r="O1441"/>
  <c r="J1441"/>
  <c r="J1622" s="1"/>
  <c r="F1441"/>
  <c r="F1622" s="1"/>
  <c r="L1440"/>
  <c r="K1440"/>
  <c r="J1440"/>
  <c r="M1440" s="1"/>
  <c r="H1440"/>
  <c r="G1440"/>
  <c r="F1440"/>
  <c r="L1439"/>
  <c r="K1439"/>
  <c r="J1439"/>
  <c r="H1439"/>
  <c r="U1439" s="1"/>
  <c r="G1439"/>
  <c r="F1439"/>
  <c r="T1438"/>
  <c r="O1438"/>
  <c r="L1438"/>
  <c r="J1438"/>
  <c r="H1438"/>
  <c r="H1437" s="1"/>
  <c r="U1437" s="1"/>
  <c r="F1438"/>
  <c r="L1437"/>
  <c r="K1437"/>
  <c r="J1437"/>
  <c r="G1437"/>
  <c r="T1437" s="1"/>
  <c r="F1437"/>
  <c r="V1436"/>
  <c r="U1436"/>
  <c r="T1436"/>
  <c r="S1436"/>
  <c r="P1436"/>
  <c r="O1436"/>
  <c r="N1436"/>
  <c r="S1434"/>
  <c r="N1434"/>
  <c r="L1434"/>
  <c r="K1434"/>
  <c r="H1434"/>
  <c r="G1434"/>
  <c r="T1434" s="1"/>
  <c r="L1433"/>
  <c r="K1433"/>
  <c r="J1433"/>
  <c r="H1433"/>
  <c r="G1433"/>
  <c r="F1433"/>
  <c r="V1432"/>
  <c r="U1432"/>
  <c r="T1432"/>
  <c r="S1432"/>
  <c r="P1432"/>
  <c r="O1432"/>
  <c r="N1432"/>
  <c r="M1432"/>
  <c r="U1431"/>
  <c r="T1431"/>
  <c r="S1431"/>
  <c r="P1431"/>
  <c r="O1431"/>
  <c r="N1431"/>
  <c r="M1431"/>
  <c r="I1431"/>
  <c r="V1431" s="1"/>
  <c r="U1430"/>
  <c r="T1430"/>
  <c r="S1430"/>
  <c r="P1430"/>
  <c r="O1430"/>
  <c r="N1430"/>
  <c r="M1430"/>
  <c r="I1430"/>
  <c r="V1430" s="1"/>
  <c r="V1426"/>
  <c r="U1426"/>
  <c r="T1426"/>
  <c r="S1426"/>
  <c r="L1425"/>
  <c r="K1425"/>
  <c r="H1425"/>
  <c r="U1425" s="1"/>
  <c r="G1425"/>
  <c r="T1425" s="1"/>
  <c r="V1420"/>
  <c r="U1420"/>
  <c r="T1420"/>
  <c r="S1420"/>
  <c r="P1420"/>
  <c r="O1420"/>
  <c r="N1420"/>
  <c r="J1418"/>
  <c r="F1418"/>
  <c r="S1418" s="1"/>
  <c r="U1416"/>
  <c r="T1416"/>
  <c r="S1416"/>
  <c r="P1416"/>
  <c r="O1416"/>
  <c r="N1416"/>
  <c r="M1416"/>
  <c r="I1416"/>
  <c r="V1416" s="1"/>
  <c r="U1415"/>
  <c r="T1415"/>
  <c r="S1415"/>
  <c r="P1415"/>
  <c r="O1415"/>
  <c r="N1415"/>
  <c r="M1415"/>
  <c r="I1415"/>
  <c r="V1415" s="1"/>
  <c r="L1412"/>
  <c r="K1412"/>
  <c r="J1412"/>
  <c r="H1412"/>
  <c r="U1412" s="1"/>
  <c r="G1412"/>
  <c r="F1412"/>
  <c r="L1411"/>
  <c r="K1411"/>
  <c r="J1411"/>
  <c r="H1411"/>
  <c r="U1411" s="1"/>
  <c r="G1411"/>
  <c r="T1411" s="1"/>
  <c r="F1411"/>
  <c r="I1411" s="1"/>
  <c r="V1411" s="1"/>
  <c r="V1410"/>
  <c r="U1410"/>
  <c r="T1410"/>
  <c r="S1410"/>
  <c r="U1409"/>
  <c r="T1409"/>
  <c r="P1409"/>
  <c r="O1409"/>
  <c r="L1408"/>
  <c r="K1408"/>
  <c r="J1408"/>
  <c r="H1408"/>
  <c r="U1408" s="1"/>
  <c r="G1408"/>
  <c r="T1408" s="1"/>
  <c r="F1408"/>
  <c r="I1408" s="1"/>
  <c r="L1407"/>
  <c r="K1407"/>
  <c r="G1407"/>
  <c r="L1406"/>
  <c r="K1406"/>
  <c r="J1406"/>
  <c r="H1406"/>
  <c r="U1406" s="1"/>
  <c r="G1406"/>
  <c r="T1406" s="1"/>
  <c r="F1406"/>
  <c r="L1405"/>
  <c r="K1405"/>
  <c r="J1405"/>
  <c r="H1405"/>
  <c r="U1405" s="1"/>
  <c r="G1405"/>
  <c r="T1405" s="1"/>
  <c r="F1405"/>
  <c r="V1404"/>
  <c r="U1404"/>
  <c r="T1404"/>
  <c r="S1404"/>
  <c r="P1404"/>
  <c r="O1404"/>
  <c r="N1404"/>
  <c r="S1402"/>
  <c r="N1402"/>
  <c r="U1400"/>
  <c r="T1400"/>
  <c r="S1400"/>
  <c r="P1400"/>
  <c r="O1400"/>
  <c r="N1400"/>
  <c r="M1400"/>
  <c r="I1400"/>
  <c r="V1400" s="1"/>
  <c r="U1399"/>
  <c r="T1399"/>
  <c r="S1399"/>
  <c r="P1399"/>
  <c r="O1399"/>
  <c r="N1399"/>
  <c r="M1399"/>
  <c r="I1399"/>
  <c r="V1399" s="1"/>
  <c r="L1397"/>
  <c r="K1397"/>
  <c r="J1397"/>
  <c r="H1397"/>
  <c r="G1397"/>
  <c r="F1397"/>
  <c r="L1396"/>
  <c r="K1396"/>
  <c r="J1396"/>
  <c r="H1396"/>
  <c r="G1396"/>
  <c r="F1396"/>
  <c r="V1395"/>
  <c r="U1395"/>
  <c r="T1395"/>
  <c r="S1395"/>
  <c r="U1394"/>
  <c r="T1394"/>
  <c r="P1394"/>
  <c r="O1394"/>
  <c r="L1393"/>
  <c r="K1393"/>
  <c r="J1393"/>
  <c r="H1393"/>
  <c r="G1393"/>
  <c r="G1392" s="1"/>
  <c r="F1393"/>
  <c r="L1392"/>
  <c r="K1392"/>
  <c r="H1392"/>
  <c r="U1392" s="1"/>
  <c r="L1391"/>
  <c r="K1391"/>
  <c r="J1391"/>
  <c r="H1391"/>
  <c r="G1391"/>
  <c r="F1391"/>
  <c r="L1390"/>
  <c r="K1390"/>
  <c r="J1390"/>
  <c r="H1390"/>
  <c r="U1390" s="1"/>
  <c r="G1390"/>
  <c r="T1390" s="1"/>
  <c r="F1390"/>
  <c r="V1389"/>
  <c r="U1389"/>
  <c r="T1389"/>
  <c r="S1389"/>
  <c r="P1389"/>
  <c r="O1389"/>
  <c r="N1389"/>
  <c r="S1387"/>
  <c r="N1387"/>
  <c r="V1385"/>
  <c r="U1385"/>
  <c r="T1385"/>
  <c r="S1385"/>
  <c r="P1385"/>
  <c r="O1385"/>
  <c r="N1385"/>
  <c r="Q1385" s="1"/>
  <c r="M1385"/>
  <c r="U1384"/>
  <c r="T1384"/>
  <c r="S1384"/>
  <c r="P1384"/>
  <c r="O1384"/>
  <c r="N1384"/>
  <c r="M1384"/>
  <c r="I1384"/>
  <c r="V1384" s="1"/>
  <c r="U1383"/>
  <c r="T1383"/>
  <c r="S1383"/>
  <c r="P1383"/>
  <c r="O1383"/>
  <c r="N1383"/>
  <c r="M1383"/>
  <c r="I1383"/>
  <c r="V1383" s="1"/>
  <c r="L1381"/>
  <c r="K1381"/>
  <c r="J1381"/>
  <c r="H1381"/>
  <c r="U1381" s="1"/>
  <c r="G1381"/>
  <c r="T1381" s="1"/>
  <c r="F1381"/>
  <c r="S1381" s="1"/>
  <c r="L1380"/>
  <c r="K1380"/>
  <c r="J1380"/>
  <c r="H1380"/>
  <c r="U1380" s="1"/>
  <c r="G1380"/>
  <c r="T1380" s="1"/>
  <c r="F1380"/>
  <c r="S1380" s="1"/>
  <c r="V1379"/>
  <c r="U1379"/>
  <c r="T1379"/>
  <c r="S1379"/>
  <c r="U1378"/>
  <c r="T1378"/>
  <c r="P1378"/>
  <c r="O1378"/>
  <c r="L1377"/>
  <c r="K1377"/>
  <c r="J1377"/>
  <c r="H1377"/>
  <c r="U1377" s="1"/>
  <c r="G1377"/>
  <c r="T1377" s="1"/>
  <c r="F1377"/>
  <c r="S1377" s="1"/>
  <c r="L1376"/>
  <c r="K1376"/>
  <c r="G1376"/>
  <c r="T1376" s="1"/>
  <c r="L1375"/>
  <c r="K1375"/>
  <c r="J1375"/>
  <c r="H1375"/>
  <c r="U1375" s="1"/>
  <c r="G1375"/>
  <c r="T1375" s="1"/>
  <c r="F1375"/>
  <c r="S1375" s="1"/>
  <c r="L1374"/>
  <c r="K1374"/>
  <c r="J1374"/>
  <c r="H1374"/>
  <c r="U1374" s="1"/>
  <c r="G1374"/>
  <c r="T1374" s="1"/>
  <c r="F1374"/>
  <c r="S1374" s="1"/>
  <c r="V1373"/>
  <c r="U1373"/>
  <c r="T1373"/>
  <c r="S1373"/>
  <c r="P1373"/>
  <c r="O1373"/>
  <c r="N1373"/>
  <c r="S1371"/>
  <c r="N1371"/>
  <c r="L1370"/>
  <c r="K1370"/>
  <c r="J1370"/>
  <c r="M1370" s="1"/>
  <c r="H1370"/>
  <c r="U1370" s="1"/>
  <c r="G1370"/>
  <c r="T1370" s="1"/>
  <c r="F1370"/>
  <c r="L1369"/>
  <c r="K1369"/>
  <c r="J1369"/>
  <c r="M1369" s="1"/>
  <c r="H1369"/>
  <c r="U1369" s="1"/>
  <c r="G1369"/>
  <c r="T1369" s="1"/>
  <c r="F1369"/>
  <c r="L1368"/>
  <c r="K1368"/>
  <c r="J1368"/>
  <c r="M1368" s="1"/>
  <c r="M1367" s="1"/>
  <c r="H1368"/>
  <c r="U1368" s="1"/>
  <c r="G1368"/>
  <c r="T1368" s="1"/>
  <c r="F1368"/>
  <c r="L1367"/>
  <c r="K1367"/>
  <c r="J1367"/>
  <c r="H1367"/>
  <c r="G1367"/>
  <c r="F1367"/>
  <c r="U1366"/>
  <c r="T1366"/>
  <c r="S1366"/>
  <c r="P1366"/>
  <c r="O1366"/>
  <c r="N1366"/>
  <c r="M1366"/>
  <c r="I1366"/>
  <c r="V1366" s="1"/>
  <c r="U1365"/>
  <c r="T1365"/>
  <c r="S1365"/>
  <c r="P1365"/>
  <c r="O1365"/>
  <c r="N1365"/>
  <c r="M1365"/>
  <c r="I1365"/>
  <c r="V1365" s="1"/>
  <c r="V1361"/>
  <c r="U1361"/>
  <c r="T1361"/>
  <c r="S1361"/>
  <c r="L1360"/>
  <c r="K1360"/>
  <c r="H1360"/>
  <c r="U1360" s="1"/>
  <c r="G1360"/>
  <c r="T1360" s="1"/>
  <c r="V1355"/>
  <c r="U1355"/>
  <c r="T1355"/>
  <c r="S1355"/>
  <c r="P1355"/>
  <c r="O1355"/>
  <c r="N1355"/>
  <c r="J1353"/>
  <c r="F1353"/>
  <c r="U1351"/>
  <c r="T1351"/>
  <c r="S1351"/>
  <c r="P1351"/>
  <c r="O1351"/>
  <c r="N1351"/>
  <c r="M1351"/>
  <c r="I1351"/>
  <c r="V1351" s="1"/>
  <c r="U1350"/>
  <c r="T1350"/>
  <c r="S1350"/>
  <c r="P1350"/>
  <c r="O1350"/>
  <c r="N1350"/>
  <c r="M1350"/>
  <c r="I1350"/>
  <c r="V1350" s="1"/>
  <c r="L1347"/>
  <c r="K1347"/>
  <c r="J1347"/>
  <c r="H1347"/>
  <c r="U1347" s="1"/>
  <c r="G1347"/>
  <c r="T1347" s="1"/>
  <c r="F1347"/>
  <c r="S1347" s="1"/>
  <c r="L1346"/>
  <c r="K1346"/>
  <c r="J1346"/>
  <c r="H1346"/>
  <c r="U1346" s="1"/>
  <c r="G1346"/>
  <c r="T1346" s="1"/>
  <c r="F1346"/>
  <c r="S1346" s="1"/>
  <c r="V1345"/>
  <c r="U1345"/>
  <c r="T1345"/>
  <c r="S1345"/>
  <c r="U1344"/>
  <c r="T1344"/>
  <c r="P1344"/>
  <c r="O1344"/>
  <c r="J1344"/>
  <c r="M1344" s="1"/>
  <c r="F1344"/>
  <c r="S1344" s="1"/>
  <c r="L1343"/>
  <c r="K1343"/>
  <c r="J1343"/>
  <c r="H1343"/>
  <c r="U1343" s="1"/>
  <c r="G1343"/>
  <c r="T1343" s="1"/>
  <c r="F1343"/>
  <c r="S1343" s="1"/>
  <c r="L1342"/>
  <c r="K1342"/>
  <c r="J1342"/>
  <c r="H1342"/>
  <c r="U1342" s="1"/>
  <c r="G1342"/>
  <c r="T1342" s="1"/>
  <c r="F1342"/>
  <c r="S1342" s="1"/>
  <c r="L1341"/>
  <c r="K1341"/>
  <c r="J1341"/>
  <c r="H1341"/>
  <c r="U1341" s="1"/>
  <c r="G1341"/>
  <c r="T1341" s="1"/>
  <c r="F1341"/>
  <c r="S1341" s="1"/>
  <c r="L1340"/>
  <c r="K1340"/>
  <c r="J1340"/>
  <c r="H1340"/>
  <c r="U1340" s="1"/>
  <c r="G1340"/>
  <c r="T1340" s="1"/>
  <c r="F1340"/>
  <c r="S1340" s="1"/>
  <c r="V1339"/>
  <c r="U1339"/>
  <c r="T1339"/>
  <c r="S1339"/>
  <c r="P1339"/>
  <c r="O1339"/>
  <c r="N1339"/>
  <c r="S1337"/>
  <c r="N1337"/>
  <c r="L1337"/>
  <c r="K1337"/>
  <c r="H1337"/>
  <c r="U1337" s="1"/>
  <c r="G1337"/>
  <c r="L1336"/>
  <c r="L1338" s="1"/>
  <c r="L1348" s="1"/>
  <c r="K1336"/>
  <c r="K1338" s="1"/>
  <c r="J1336"/>
  <c r="J1338" s="1"/>
  <c r="J1348" s="1"/>
  <c r="H1336"/>
  <c r="G1336"/>
  <c r="G1338" s="1"/>
  <c r="F1336"/>
  <c r="F1338" s="1"/>
  <c r="U1335"/>
  <c r="T1335"/>
  <c r="S1335"/>
  <c r="P1335"/>
  <c r="O1335"/>
  <c r="N1335"/>
  <c r="M1335"/>
  <c r="I1335"/>
  <c r="V1335" s="1"/>
  <c r="U1334"/>
  <c r="T1334"/>
  <c r="S1334"/>
  <c r="P1334"/>
  <c r="O1334"/>
  <c r="N1334"/>
  <c r="M1334"/>
  <c r="I1334"/>
  <c r="V1334" s="1"/>
  <c r="L1332"/>
  <c r="K1332"/>
  <c r="J1332"/>
  <c r="M1332" s="1"/>
  <c r="H1332"/>
  <c r="U1332" s="1"/>
  <c r="G1332"/>
  <c r="T1332" s="1"/>
  <c r="F1332"/>
  <c r="L1331"/>
  <c r="K1331"/>
  <c r="J1331"/>
  <c r="H1331"/>
  <c r="U1331" s="1"/>
  <c r="G1331"/>
  <c r="T1331" s="1"/>
  <c r="F1331"/>
  <c r="V1330"/>
  <c r="U1330"/>
  <c r="T1330"/>
  <c r="S1330"/>
  <c r="U1329"/>
  <c r="T1329"/>
  <c r="P1329"/>
  <c r="O1329"/>
  <c r="M1329"/>
  <c r="J1329"/>
  <c r="I1329"/>
  <c r="V1329" s="1"/>
  <c r="F1329"/>
  <c r="S1329" s="1"/>
  <c r="L1328"/>
  <c r="K1328"/>
  <c r="J1328"/>
  <c r="H1328"/>
  <c r="U1328" s="1"/>
  <c r="G1328"/>
  <c r="T1328" s="1"/>
  <c r="F1328"/>
  <c r="S1328" s="1"/>
  <c r="L1327"/>
  <c r="K1327"/>
  <c r="J1327"/>
  <c r="H1327"/>
  <c r="U1327" s="1"/>
  <c r="G1327"/>
  <c r="T1327" s="1"/>
  <c r="F1327"/>
  <c r="L1326"/>
  <c r="K1326"/>
  <c r="J1326"/>
  <c r="H1326"/>
  <c r="U1326" s="1"/>
  <c r="G1326"/>
  <c r="T1326" s="1"/>
  <c r="F1326"/>
  <c r="L1325"/>
  <c r="K1325"/>
  <c r="J1325"/>
  <c r="H1325"/>
  <c r="U1325" s="1"/>
  <c r="G1325"/>
  <c r="T1325" s="1"/>
  <c r="F1325"/>
  <c r="V1324"/>
  <c r="U1324"/>
  <c r="T1324"/>
  <c r="S1324"/>
  <c r="P1324"/>
  <c r="O1324"/>
  <c r="N1324"/>
  <c r="Q1324" s="1"/>
  <c r="S1322"/>
  <c r="N1322"/>
  <c r="L1322"/>
  <c r="K1322"/>
  <c r="H1322"/>
  <c r="G1322"/>
  <c r="L1321"/>
  <c r="L1323" s="1"/>
  <c r="K1321"/>
  <c r="K1323" s="1"/>
  <c r="K1333" s="1"/>
  <c r="J1321"/>
  <c r="J1323" s="1"/>
  <c r="H1321"/>
  <c r="G1321"/>
  <c r="F1321"/>
  <c r="F1323" s="1"/>
  <c r="U1320"/>
  <c r="T1320"/>
  <c r="S1320"/>
  <c r="P1320"/>
  <c r="O1320"/>
  <c r="N1320"/>
  <c r="M1320"/>
  <c r="I1320"/>
  <c r="V1320" s="1"/>
  <c r="U1319"/>
  <c r="T1319"/>
  <c r="S1319"/>
  <c r="P1319"/>
  <c r="O1319"/>
  <c r="N1319"/>
  <c r="M1319"/>
  <c r="I1319"/>
  <c r="V1319" s="1"/>
  <c r="U1318"/>
  <c r="T1318"/>
  <c r="S1318"/>
  <c r="P1318"/>
  <c r="O1318"/>
  <c r="N1318"/>
  <c r="M1318"/>
  <c r="I1318"/>
  <c r="V1318" s="1"/>
  <c r="L1316"/>
  <c r="L1363" s="1"/>
  <c r="K1316"/>
  <c r="K1363" s="1"/>
  <c r="J1316"/>
  <c r="J1363" s="1"/>
  <c r="H1316"/>
  <c r="H1363" s="1"/>
  <c r="G1316"/>
  <c r="G1363" s="1"/>
  <c r="F1316"/>
  <c r="F1363" s="1"/>
  <c r="L1315"/>
  <c r="L1362" s="1"/>
  <c r="K1315"/>
  <c r="K1362" s="1"/>
  <c r="J1315"/>
  <c r="J1362" s="1"/>
  <c r="H1315"/>
  <c r="H1362" s="1"/>
  <c r="G1315"/>
  <c r="G1362" s="1"/>
  <c r="F1315"/>
  <c r="F1362" s="1"/>
  <c r="V1314"/>
  <c r="U1314"/>
  <c r="T1314"/>
  <c r="S1314"/>
  <c r="U1313"/>
  <c r="T1313"/>
  <c r="P1313"/>
  <c r="O1313"/>
  <c r="J1313"/>
  <c r="J1360" s="1"/>
  <c r="F1313"/>
  <c r="F1360" s="1"/>
  <c r="L1312"/>
  <c r="L1359" s="1"/>
  <c r="K1312"/>
  <c r="K1359" s="1"/>
  <c r="K1358" s="1"/>
  <c r="J1312"/>
  <c r="J1359" s="1"/>
  <c r="H1312"/>
  <c r="H1359" s="1"/>
  <c r="G1312"/>
  <c r="G1359" s="1"/>
  <c r="F1312"/>
  <c r="F1359" s="1"/>
  <c r="L1311"/>
  <c r="K1311"/>
  <c r="J1311"/>
  <c r="H1311"/>
  <c r="U1311" s="1"/>
  <c r="G1311"/>
  <c r="T1311" s="1"/>
  <c r="F1311"/>
  <c r="L1310"/>
  <c r="L1357" s="1"/>
  <c r="L1356" s="1"/>
  <c r="K1310"/>
  <c r="K1357" s="1"/>
  <c r="K1356" s="1"/>
  <c r="J1310"/>
  <c r="J1357" s="1"/>
  <c r="H1310"/>
  <c r="H1357" s="1"/>
  <c r="G1310"/>
  <c r="G1357" s="1"/>
  <c r="F1310"/>
  <c r="F1357" s="1"/>
  <c r="L1309"/>
  <c r="K1309"/>
  <c r="J1309"/>
  <c r="H1309"/>
  <c r="U1309" s="1"/>
  <c r="G1309"/>
  <c r="T1309" s="1"/>
  <c r="F1309"/>
  <c r="V1308"/>
  <c r="U1308"/>
  <c r="T1308"/>
  <c r="S1308"/>
  <c r="P1308"/>
  <c r="O1308"/>
  <c r="N1308"/>
  <c r="S1306"/>
  <c r="N1306"/>
  <c r="L1306"/>
  <c r="L1353" s="1"/>
  <c r="K1306"/>
  <c r="K1353" s="1"/>
  <c r="H1306"/>
  <c r="H1353" s="1"/>
  <c r="G1306"/>
  <c r="G1353" s="1"/>
  <c r="L1305"/>
  <c r="K1305"/>
  <c r="J1305"/>
  <c r="H1305"/>
  <c r="U1305" s="1"/>
  <c r="G1305"/>
  <c r="F1305"/>
  <c r="I1305" s="1"/>
  <c r="L1304"/>
  <c r="K1304"/>
  <c r="J1304"/>
  <c r="H1304"/>
  <c r="U1304" s="1"/>
  <c r="G1304"/>
  <c r="F1304"/>
  <c r="I1304" s="1"/>
  <c r="L1303"/>
  <c r="K1303"/>
  <c r="J1303"/>
  <c r="H1303"/>
  <c r="U1303" s="1"/>
  <c r="G1303"/>
  <c r="F1303"/>
  <c r="I1303" s="1"/>
  <c r="L1302"/>
  <c r="L1352" s="1"/>
  <c r="L1354" s="1"/>
  <c r="K1302"/>
  <c r="K1352" s="1"/>
  <c r="K1354" s="1"/>
  <c r="J1302"/>
  <c r="J1352" s="1"/>
  <c r="H1302"/>
  <c r="H1352" s="1"/>
  <c r="G1302"/>
  <c r="G1352" s="1"/>
  <c r="F1302"/>
  <c r="F1352" s="1"/>
  <c r="V1301"/>
  <c r="U1301"/>
  <c r="T1301"/>
  <c r="S1301"/>
  <c r="V1300"/>
  <c r="U1300"/>
  <c r="T1300"/>
  <c r="S1300"/>
  <c r="V1296"/>
  <c r="U1296"/>
  <c r="T1296"/>
  <c r="S1296"/>
  <c r="L1295"/>
  <c r="K1295"/>
  <c r="H1295"/>
  <c r="U1295" s="1"/>
  <c r="G1295"/>
  <c r="T1295" s="1"/>
  <c r="V1290"/>
  <c r="U1290"/>
  <c r="T1290"/>
  <c r="S1290"/>
  <c r="P1290"/>
  <c r="O1290"/>
  <c r="N1290"/>
  <c r="J1288"/>
  <c r="F1288"/>
  <c r="S1288" s="1"/>
  <c r="U1286"/>
  <c r="T1286"/>
  <c r="S1286"/>
  <c r="P1286"/>
  <c r="O1286"/>
  <c r="N1286"/>
  <c r="M1286"/>
  <c r="I1286"/>
  <c r="V1286" s="1"/>
  <c r="U1285"/>
  <c r="T1285"/>
  <c r="S1285"/>
  <c r="P1285"/>
  <c r="O1285"/>
  <c r="N1285"/>
  <c r="M1285"/>
  <c r="I1285"/>
  <c r="V1285" s="1"/>
  <c r="L1282"/>
  <c r="K1282"/>
  <c r="J1282"/>
  <c r="H1282"/>
  <c r="U1282" s="1"/>
  <c r="G1282"/>
  <c r="T1282" s="1"/>
  <c r="F1282"/>
  <c r="I1282" s="1"/>
  <c r="L1281"/>
  <c r="K1281"/>
  <c r="J1281"/>
  <c r="H1281"/>
  <c r="U1281" s="1"/>
  <c r="G1281"/>
  <c r="T1281" s="1"/>
  <c r="F1281"/>
  <c r="I1281" s="1"/>
  <c r="V1280"/>
  <c r="U1280"/>
  <c r="T1280"/>
  <c r="S1280"/>
  <c r="U1279"/>
  <c r="T1279"/>
  <c r="P1279"/>
  <c r="O1279"/>
  <c r="J1279"/>
  <c r="M1279" s="1"/>
  <c r="F1279"/>
  <c r="I1279" s="1"/>
  <c r="V1279" s="1"/>
  <c r="L1278"/>
  <c r="K1278"/>
  <c r="J1278"/>
  <c r="H1278"/>
  <c r="U1278" s="1"/>
  <c r="G1278"/>
  <c r="T1278" s="1"/>
  <c r="F1278"/>
  <c r="I1278" s="1"/>
  <c r="L1277"/>
  <c r="K1277"/>
  <c r="J1277"/>
  <c r="H1277"/>
  <c r="U1277" s="1"/>
  <c r="G1277"/>
  <c r="F1277"/>
  <c r="S1277" s="1"/>
  <c r="L1276"/>
  <c r="K1276"/>
  <c r="J1276"/>
  <c r="H1276"/>
  <c r="U1276" s="1"/>
  <c r="G1276"/>
  <c r="T1276" s="1"/>
  <c r="F1276"/>
  <c r="I1276" s="1"/>
  <c r="L1275"/>
  <c r="K1275"/>
  <c r="J1275"/>
  <c r="H1275"/>
  <c r="U1275" s="1"/>
  <c r="G1275"/>
  <c r="T1275" s="1"/>
  <c r="F1275"/>
  <c r="S1275" s="1"/>
  <c r="V1274"/>
  <c r="U1274"/>
  <c r="T1274"/>
  <c r="S1274"/>
  <c r="P1274"/>
  <c r="O1274"/>
  <c r="N1274"/>
  <c r="S1272"/>
  <c r="N1272"/>
  <c r="L1272"/>
  <c r="K1272"/>
  <c r="H1272"/>
  <c r="U1272" s="1"/>
  <c r="G1272"/>
  <c r="T1272" s="1"/>
  <c r="L1271"/>
  <c r="L1273" s="1"/>
  <c r="L1283" s="1"/>
  <c r="K1271"/>
  <c r="K1273" s="1"/>
  <c r="J1271"/>
  <c r="M1271" s="1"/>
  <c r="H1271"/>
  <c r="G1271"/>
  <c r="G1273" s="1"/>
  <c r="F1271"/>
  <c r="V1270"/>
  <c r="U1270"/>
  <c r="T1270"/>
  <c r="S1270"/>
  <c r="P1270"/>
  <c r="O1270"/>
  <c r="N1270"/>
  <c r="Q1270" s="1"/>
  <c r="U1269"/>
  <c r="T1269"/>
  <c r="S1269"/>
  <c r="P1269"/>
  <c r="O1269"/>
  <c r="N1269"/>
  <c r="Q1269" s="1"/>
  <c r="M1269"/>
  <c r="I1269"/>
  <c r="V1269" s="1"/>
  <c r="L1267"/>
  <c r="K1267"/>
  <c r="J1267"/>
  <c r="H1267"/>
  <c r="U1267" s="1"/>
  <c r="G1267"/>
  <c r="F1267"/>
  <c r="S1267" s="1"/>
  <c r="L1266"/>
  <c r="K1266"/>
  <c r="J1266"/>
  <c r="H1266"/>
  <c r="U1266" s="1"/>
  <c r="G1266"/>
  <c r="T1266" s="1"/>
  <c r="F1266"/>
  <c r="S1266" s="1"/>
  <c r="V1265"/>
  <c r="U1265"/>
  <c r="T1265"/>
  <c r="S1265"/>
  <c r="U1264"/>
  <c r="T1264"/>
  <c r="P1264"/>
  <c r="O1264"/>
  <c r="J1264"/>
  <c r="M1264" s="1"/>
  <c r="F1264"/>
  <c r="S1264" s="1"/>
  <c r="L1263"/>
  <c r="K1263"/>
  <c r="J1263"/>
  <c r="H1263"/>
  <c r="U1263" s="1"/>
  <c r="G1263"/>
  <c r="T1263" s="1"/>
  <c r="F1263"/>
  <c r="S1263" s="1"/>
  <c r="L1262"/>
  <c r="K1262"/>
  <c r="J1262"/>
  <c r="H1262"/>
  <c r="U1262" s="1"/>
  <c r="G1262"/>
  <c r="F1262"/>
  <c r="S1262" s="1"/>
  <c r="L1261"/>
  <c r="K1261"/>
  <c r="J1261"/>
  <c r="H1261"/>
  <c r="U1261" s="1"/>
  <c r="G1261"/>
  <c r="T1261" s="1"/>
  <c r="F1261"/>
  <c r="S1261" s="1"/>
  <c r="L1260"/>
  <c r="K1260"/>
  <c r="J1260"/>
  <c r="H1260"/>
  <c r="U1260" s="1"/>
  <c r="G1260"/>
  <c r="T1260" s="1"/>
  <c r="F1260"/>
  <c r="S1260" s="1"/>
  <c r="V1259"/>
  <c r="U1259"/>
  <c r="T1259"/>
  <c r="S1259"/>
  <c r="P1259"/>
  <c r="O1259"/>
  <c r="Q1259" s="1"/>
  <c r="N1259"/>
  <c r="S1257"/>
  <c r="N1257"/>
  <c r="L1257"/>
  <c r="K1257"/>
  <c r="H1257"/>
  <c r="U1257" s="1"/>
  <c r="G1257"/>
  <c r="L1256"/>
  <c r="L1258" s="1"/>
  <c r="L1268" s="1"/>
  <c r="L1284" s="1"/>
  <c r="K1256"/>
  <c r="K1258" s="1"/>
  <c r="J1256"/>
  <c r="J1258" s="1"/>
  <c r="J1268" s="1"/>
  <c r="H1256"/>
  <c r="G1256"/>
  <c r="G1258" s="1"/>
  <c r="F1256"/>
  <c r="F1258" s="1"/>
  <c r="U1255"/>
  <c r="T1255"/>
  <c r="S1255"/>
  <c r="P1255"/>
  <c r="O1255"/>
  <c r="Q1255" s="1"/>
  <c r="N1255"/>
  <c r="M1255"/>
  <c r="I1255"/>
  <c r="V1255" s="1"/>
  <c r="U1254"/>
  <c r="T1254"/>
  <c r="S1254"/>
  <c r="P1254"/>
  <c r="O1254"/>
  <c r="N1254"/>
  <c r="M1254"/>
  <c r="I1254"/>
  <c r="V1254" s="1"/>
  <c r="U1253"/>
  <c r="T1253"/>
  <c r="S1253"/>
  <c r="P1253"/>
  <c r="O1253"/>
  <c r="N1253"/>
  <c r="M1253"/>
  <c r="I1253"/>
  <c r="V1253" s="1"/>
  <c r="L1251"/>
  <c r="L1298" s="1"/>
  <c r="K1251"/>
  <c r="K1298" s="1"/>
  <c r="J1251"/>
  <c r="J1298" s="1"/>
  <c r="M1298" s="1"/>
  <c r="H1251"/>
  <c r="H1298" s="1"/>
  <c r="G1251"/>
  <c r="T1251" s="1"/>
  <c r="F1251"/>
  <c r="F1298" s="1"/>
  <c r="L1250"/>
  <c r="L1297" s="1"/>
  <c r="K1250"/>
  <c r="J1250"/>
  <c r="J1297" s="1"/>
  <c r="H1250"/>
  <c r="H1297" s="1"/>
  <c r="G1250"/>
  <c r="T1250" s="1"/>
  <c r="F1250"/>
  <c r="F1297" s="1"/>
  <c r="V1249"/>
  <c r="U1249"/>
  <c r="T1249"/>
  <c r="S1249"/>
  <c r="U1248"/>
  <c r="T1248"/>
  <c r="P1248"/>
  <c r="O1248"/>
  <c r="J1248"/>
  <c r="J1295" s="1"/>
  <c r="M1295" s="1"/>
  <c r="F1248"/>
  <c r="F1295" s="1"/>
  <c r="L1247"/>
  <c r="L1294" s="1"/>
  <c r="L1293" s="1"/>
  <c r="K1247"/>
  <c r="J1247"/>
  <c r="J1294" s="1"/>
  <c r="H1247"/>
  <c r="H1294" s="1"/>
  <c r="G1247"/>
  <c r="T1247" s="1"/>
  <c r="F1247"/>
  <c r="F1294" s="1"/>
  <c r="L1246"/>
  <c r="K1246"/>
  <c r="J1246"/>
  <c r="H1246"/>
  <c r="U1246" s="1"/>
  <c r="G1246"/>
  <c r="T1246" s="1"/>
  <c r="F1246"/>
  <c r="L1245"/>
  <c r="L1292" s="1"/>
  <c r="L1291" s="1"/>
  <c r="K1245"/>
  <c r="K1292" s="1"/>
  <c r="K1291" s="1"/>
  <c r="J1245"/>
  <c r="J1292" s="1"/>
  <c r="H1245"/>
  <c r="H1292" s="1"/>
  <c r="G1245"/>
  <c r="T1245" s="1"/>
  <c r="F1245"/>
  <c r="F1292" s="1"/>
  <c r="L1244"/>
  <c r="K1244"/>
  <c r="J1244"/>
  <c r="H1244"/>
  <c r="U1244" s="1"/>
  <c r="G1244"/>
  <c r="T1244" s="1"/>
  <c r="F1244"/>
  <c r="V1243"/>
  <c r="U1243"/>
  <c r="T1243"/>
  <c r="S1243"/>
  <c r="P1243"/>
  <c r="O1243"/>
  <c r="N1243"/>
  <c r="S1241"/>
  <c r="N1241"/>
  <c r="L1241"/>
  <c r="L1288" s="1"/>
  <c r="K1241"/>
  <c r="H1241"/>
  <c r="H1288" s="1"/>
  <c r="G1241"/>
  <c r="L1240"/>
  <c r="K1240"/>
  <c r="J1240"/>
  <c r="H1240"/>
  <c r="U1240" s="1"/>
  <c r="G1240"/>
  <c r="F1240"/>
  <c r="L1239"/>
  <c r="K1239"/>
  <c r="J1239"/>
  <c r="H1239"/>
  <c r="U1239" s="1"/>
  <c r="G1239"/>
  <c r="F1239"/>
  <c r="S1239" s="1"/>
  <c r="L1238"/>
  <c r="K1238"/>
  <c r="J1238"/>
  <c r="H1238"/>
  <c r="U1238" s="1"/>
  <c r="G1238"/>
  <c r="F1238"/>
  <c r="S1238" s="1"/>
  <c r="L1237"/>
  <c r="L1287" s="1"/>
  <c r="L1289" s="1"/>
  <c r="K1237"/>
  <c r="K1287" s="1"/>
  <c r="J1237"/>
  <c r="J1287" s="1"/>
  <c r="H1237"/>
  <c r="H1287" s="1"/>
  <c r="G1237"/>
  <c r="F1237"/>
  <c r="F1287" s="1"/>
  <c r="U1236"/>
  <c r="T1236"/>
  <c r="S1236"/>
  <c r="P1236"/>
  <c r="O1236"/>
  <c r="N1236"/>
  <c r="M1236"/>
  <c r="I1236"/>
  <c r="V1236" s="1"/>
  <c r="U1235"/>
  <c r="T1235"/>
  <c r="S1235"/>
  <c r="P1235"/>
  <c r="O1235"/>
  <c r="N1235"/>
  <c r="M1235"/>
  <c r="I1235"/>
  <c r="V1235" s="1"/>
  <c r="V1231"/>
  <c r="U1231"/>
  <c r="T1231"/>
  <c r="S1231"/>
  <c r="L1230"/>
  <c r="K1230"/>
  <c r="H1230"/>
  <c r="U1230" s="1"/>
  <c r="G1230"/>
  <c r="T1230" s="1"/>
  <c r="V1225"/>
  <c r="U1225"/>
  <c r="T1225"/>
  <c r="S1225"/>
  <c r="P1225"/>
  <c r="O1225"/>
  <c r="N1225"/>
  <c r="J1223"/>
  <c r="F1223"/>
  <c r="S1223" s="1"/>
  <c r="U1221"/>
  <c r="T1221"/>
  <c r="S1221"/>
  <c r="P1221"/>
  <c r="O1221"/>
  <c r="N1221"/>
  <c r="M1221"/>
  <c r="I1221"/>
  <c r="V1221" s="1"/>
  <c r="U1220"/>
  <c r="T1220"/>
  <c r="S1220"/>
  <c r="P1220"/>
  <c r="O1220"/>
  <c r="N1220"/>
  <c r="M1220"/>
  <c r="I1220"/>
  <c r="V1220" s="1"/>
  <c r="L1217"/>
  <c r="K1217"/>
  <c r="J1217"/>
  <c r="M1217" s="1"/>
  <c r="H1217"/>
  <c r="U1217" s="1"/>
  <c r="G1217"/>
  <c r="T1217" s="1"/>
  <c r="F1217"/>
  <c r="L1216"/>
  <c r="K1216"/>
  <c r="J1216"/>
  <c r="H1216"/>
  <c r="U1216" s="1"/>
  <c r="G1216"/>
  <c r="T1216" s="1"/>
  <c r="F1216"/>
  <c r="V1215"/>
  <c r="U1215"/>
  <c r="T1215"/>
  <c r="S1215"/>
  <c r="U1214"/>
  <c r="T1214"/>
  <c r="P1214"/>
  <c r="O1214"/>
  <c r="J1214"/>
  <c r="M1214" s="1"/>
  <c r="F1214"/>
  <c r="I1214" s="1"/>
  <c r="L1213"/>
  <c r="K1213"/>
  <c r="J1213"/>
  <c r="H1213"/>
  <c r="U1213" s="1"/>
  <c r="G1213"/>
  <c r="T1213" s="1"/>
  <c r="F1213"/>
  <c r="L1212"/>
  <c r="K1212"/>
  <c r="J1212"/>
  <c r="H1212"/>
  <c r="U1212" s="1"/>
  <c r="G1212"/>
  <c r="T1212" s="1"/>
  <c r="F1212"/>
  <c r="L1211"/>
  <c r="K1211"/>
  <c r="J1211"/>
  <c r="H1211"/>
  <c r="U1211" s="1"/>
  <c r="G1211"/>
  <c r="T1211" s="1"/>
  <c r="F1211"/>
  <c r="L1210"/>
  <c r="K1210"/>
  <c r="J1210"/>
  <c r="H1210"/>
  <c r="U1210" s="1"/>
  <c r="G1210"/>
  <c r="T1210" s="1"/>
  <c r="F1210"/>
  <c r="V1209"/>
  <c r="U1209"/>
  <c r="T1209"/>
  <c r="S1209"/>
  <c r="P1209"/>
  <c r="O1209"/>
  <c r="N1209"/>
  <c r="S1207"/>
  <c r="N1207"/>
  <c r="L1207"/>
  <c r="K1207"/>
  <c r="H1207"/>
  <c r="U1207" s="1"/>
  <c r="G1207"/>
  <c r="T1207" s="1"/>
  <c r="L1206"/>
  <c r="L1208" s="1"/>
  <c r="K1206"/>
  <c r="K1208" s="1"/>
  <c r="K1218" s="1"/>
  <c r="J1206"/>
  <c r="M1206" s="1"/>
  <c r="H1206"/>
  <c r="H1208" s="1"/>
  <c r="G1206"/>
  <c r="G1208" s="1"/>
  <c r="F1206"/>
  <c r="I1206" s="1"/>
  <c r="U1205"/>
  <c r="T1205"/>
  <c r="S1205"/>
  <c r="P1205"/>
  <c r="O1205"/>
  <c r="N1205"/>
  <c r="M1205"/>
  <c r="I1205"/>
  <c r="V1205" s="1"/>
  <c r="U1204"/>
  <c r="T1204"/>
  <c r="S1204"/>
  <c r="P1204"/>
  <c r="O1204"/>
  <c r="N1204"/>
  <c r="M1204"/>
  <c r="I1204"/>
  <c r="V1204" s="1"/>
  <c r="L1202"/>
  <c r="K1202"/>
  <c r="J1202"/>
  <c r="H1202"/>
  <c r="U1202" s="1"/>
  <c r="G1202"/>
  <c r="T1202" s="1"/>
  <c r="F1202"/>
  <c r="S1202" s="1"/>
  <c r="L1201"/>
  <c r="K1201"/>
  <c r="J1201"/>
  <c r="H1201"/>
  <c r="U1201" s="1"/>
  <c r="G1201"/>
  <c r="T1201" s="1"/>
  <c r="F1201"/>
  <c r="S1201" s="1"/>
  <c r="V1200"/>
  <c r="U1200"/>
  <c r="T1200"/>
  <c r="S1200"/>
  <c r="U1199"/>
  <c r="T1199"/>
  <c r="P1199"/>
  <c r="O1199"/>
  <c r="J1199"/>
  <c r="M1199" s="1"/>
  <c r="F1199"/>
  <c r="S1199" s="1"/>
  <c r="L1198"/>
  <c r="K1198"/>
  <c r="J1198"/>
  <c r="H1198"/>
  <c r="U1198" s="1"/>
  <c r="G1198"/>
  <c r="T1198" s="1"/>
  <c r="F1198"/>
  <c r="S1198" s="1"/>
  <c r="L1197"/>
  <c r="K1197"/>
  <c r="J1197"/>
  <c r="H1197"/>
  <c r="U1197" s="1"/>
  <c r="G1197"/>
  <c r="F1197"/>
  <c r="S1197" s="1"/>
  <c r="L1196"/>
  <c r="K1196"/>
  <c r="J1196"/>
  <c r="H1196"/>
  <c r="U1196" s="1"/>
  <c r="G1196"/>
  <c r="T1196" s="1"/>
  <c r="F1196"/>
  <c r="S1196" s="1"/>
  <c r="L1195"/>
  <c r="K1195"/>
  <c r="J1195"/>
  <c r="H1195"/>
  <c r="U1195" s="1"/>
  <c r="G1195"/>
  <c r="T1195" s="1"/>
  <c r="F1195"/>
  <c r="S1195" s="1"/>
  <c r="V1194"/>
  <c r="U1194"/>
  <c r="T1194"/>
  <c r="S1194"/>
  <c r="P1194"/>
  <c r="O1194"/>
  <c r="Q1194" s="1"/>
  <c r="N1194"/>
  <c r="S1192"/>
  <c r="N1192"/>
  <c r="L1192"/>
  <c r="K1192"/>
  <c r="H1192"/>
  <c r="U1192" s="1"/>
  <c r="G1192"/>
  <c r="L1191"/>
  <c r="L1193" s="1"/>
  <c r="L1203" s="1"/>
  <c r="K1191"/>
  <c r="K1193" s="1"/>
  <c r="J1191"/>
  <c r="J1193" s="1"/>
  <c r="J1203" s="1"/>
  <c r="H1191"/>
  <c r="G1191"/>
  <c r="G1193" s="1"/>
  <c r="F1191"/>
  <c r="F1193" s="1"/>
  <c r="U1190"/>
  <c r="T1190"/>
  <c r="S1190"/>
  <c r="P1190"/>
  <c r="O1190"/>
  <c r="N1190"/>
  <c r="M1190"/>
  <c r="I1190"/>
  <c r="V1190" s="1"/>
  <c r="U1189"/>
  <c r="T1189"/>
  <c r="S1189"/>
  <c r="P1189"/>
  <c r="O1189"/>
  <c r="N1189"/>
  <c r="M1189"/>
  <c r="I1189"/>
  <c r="V1189" s="1"/>
  <c r="L1187"/>
  <c r="K1187"/>
  <c r="J1187"/>
  <c r="M1187" s="1"/>
  <c r="H1187"/>
  <c r="U1187" s="1"/>
  <c r="G1187"/>
  <c r="T1187" s="1"/>
  <c r="F1187"/>
  <c r="L1186"/>
  <c r="K1186"/>
  <c r="J1186"/>
  <c r="M1186" s="1"/>
  <c r="H1186"/>
  <c r="U1186" s="1"/>
  <c r="G1186"/>
  <c r="T1186" s="1"/>
  <c r="F1186"/>
  <c r="V1185"/>
  <c r="U1185"/>
  <c r="T1185"/>
  <c r="S1185"/>
  <c r="U1184"/>
  <c r="T1184"/>
  <c r="P1184"/>
  <c r="O1184"/>
  <c r="J1184"/>
  <c r="M1184" s="1"/>
  <c r="F1184"/>
  <c r="I1184" s="1"/>
  <c r="L1183"/>
  <c r="K1183"/>
  <c r="J1183"/>
  <c r="M1183" s="1"/>
  <c r="M1182" s="1"/>
  <c r="H1183"/>
  <c r="U1183" s="1"/>
  <c r="G1183"/>
  <c r="T1183" s="1"/>
  <c r="F1183"/>
  <c r="L1182"/>
  <c r="K1182"/>
  <c r="J1182"/>
  <c r="H1182"/>
  <c r="U1182" s="1"/>
  <c r="G1182"/>
  <c r="T1182" s="1"/>
  <c r="F1182"/>
  <c r="L1181"/>
  <c r="K1181"/>
  <c r="J1181"/>
  <c r="M1181" s="1"/>
  <c r="M1180" s="1"/>
  <c r="H1181"/>
  <c r="U1181" s="1"/>
  <c r="G1181"/>
  <c r="T1181" s="1"/>
  <c r="F1181"/>
  <c r="L1180"/>
  <c r="K1180"/>
  <c r="J1180"/>
  <c r="H1180"/>
  <c r="U1180" s="1"/>
  <c r="G1180"/>
  <c r="T1180" s="1"/>
  <c r="F1180"/>
  <c r="V1179"/>
  <c r="U1179"/>
  <c r="T1179"/>
  <c r="S1179"/>
  <c r="P1179"/>
  <c r="O1179"/>
  <c r="N1179"/>
  <c r="S1177"/>
  <c r="N1177"/>
  <c r="L1177"/>
  <c r="K1177"/>
  <c r="H1177"/>
  <c r="U1177" s="1"/>
  <c r="G1177"/>
  <c r="T1177" s="1"/>
  <c r="L1176"/>
  <c r="L1178" s="1"/>
  <c r="K1176"/>
  <c r="K1178" s="1"/>
  <c r="K1188" s="1"/>
  <c r="J1176"/>
  <c r="H1176"/>
  <c r="H1178" s="1"/>
  <c r="G1176"/>
  <c r="G1178" s="1"/>
  <c r="F1176"/>
  <c r="U1175"/>
  <c r="T1175"/>
  <c r="S1175"/>
  <c r="P1175"/>
  <c r="O1175"/>
  <c r="N1175"/>
  <c r="M1175"/>
  <c r="I1175"/>
  <c r="V1175" s="1"/>
  <c r="U1174"/>
  <c r="T1174"/>
  <c r="S1174"/>
  <c r="P1174"/>
  <c r="O1174"/>
  <c r="N1174"/>
  <c r="M1174"/>
  <c r="I1174"/>
  <c r="V1174" s="1"/>
  <c r="U1173"/>
  <c r="T1173"/>
  <c r="S1173"/>
  <c r="P1173"/>
  <c r="O1173"/>
  <c r="N1173"/>
  <c r="M1173"/>
  <c r="I1173"/>
  <c r="V1173" s="1"/>
  <c r="L1171"/>
  <c r="L1233" s="1"/>
  <c r="K1171"/>
  <c r="K1233" s="1"/>
  <c r="J1171"/>
  <c r="J1233" s="1"/>
  <c r="H1171"/>
  <c r="H1233" s="1"/>
  <c r="G1171"/>
  <c r="G1233" s="1"/>
  <c r="F1171"/>
  <c r="F1233" s="1"/>
  <c r="L1170"/>
  <c r="L1232" s="1"/>
  <c r="K1170"/>
  <c r="K1232" s="1"/>
  <c r="J1170"/>
  <c r="J1232" s="1"/>
  <c r="H1170"/>
  <c r="H1232" s="1"/>
  <c r="G1170"/>
  <c r="G1232" s="1"/>
  <c r="F1170"/>
  <c r="F1232" s="1"/>
  <c r="V1169"/>
  <c r="U1169"/>
  <c r="T1169"/>
  <c r="S1169"/>
  <c r="U1168"/>
  <c r="T1168"/>
  <c r="P1168"/>
  <c r="O1168"/>
  <c r="J1168"/>
  <c r="J1230" s="1"/>
  <c r="F1168"/>
  <c r="F1230" s="1"/>
  <c r="L1167"/>
  <c r="L1229" s="1"/>
  <c r="L1228" s="1"/>
  <c r="K1167"/>
  <c r="K1229" s="1"/>
  <c r="J1167"/>
  <c r="J1229" s="1"/>
  <c r="H1167"/>
  <c r="H1229" s="1"/>
  <c r="G1167"/>
  <c r="G1229" s="1"/>
  <c r="F1167"/>
  <c r="F1229" s="1"/>
  <c r="L1166"/>
  <c r="K1166"/>
  <c r="J1166"/>
  <c r="H1166"/>
  <c r="U1166" s="1"/>
  <c r="G1166"/>
  <c r="T1166" s="1"/>
  <c r="F1166"/>
  <c r="L1165"/>
  <c r="L1227" s="1"/>
  <c r="L1226" s="1"/>
  <c r="K1165"/>
  <c r="K1227" s="1"/>
  <c r="K1226" s="1"/>
  <c r="J1165"/>
  <c r="J1227" s="1"/>
  <c r="H1165"/>
  <c r="H1227" s="1"/>
  <c r="G1165"/>
  <c r="G1227" s="1"/>
  <c r="F1165"/>
  <c r="F1227" s="1"/>
  <c r="L1164"/>
  <c r="K1164"/>
  <c r="J1164"/>
  <c r="H1164"/>
  <c r="U1164" s="1"/>
  <c r="G1164"/>
  <c r="T1164" s="1"/>
  <c r="F1164"/>
  <c r="S1164" s="1"/>
  <c r="V1163"/>
  <c r="U1163"/>
  <c r="T1163"/>
  <c r="S1163"/>
  <c r="P1163"/>
  <c r="O1163"/>
  <c r="N1163"/>
  <c r="S1161"/>
  <c r="N1161"/>
  <c r="L1161"/>
  <c r="L1223" s="1"/>
  <c r="K1161"/>
  <c r="K1223" s="1"/>
  <c r="H1161"/>
  <c r="H1223" s="1"/>
  <c r="G1161"/>
  <c r="L1160"/>
  <c r="K1160"/>
  <c r="J1160"/>
  <c r="M1160" s="1"/>
  <c r="H1160"/>
  <c r="U1160" s="1"/>
  <c r="G1160"/>
  <c r="T1160" s="1"/>
  <c r="F1160"/>
  <c r="L1159"/>
  <c r="K1159"/>
  <c r="J1159"/>
  <c r="M1159" s="1"/>
  <c r="H1159"/>
  <c r="U1159" s="1"/>
  <c r="G1159"/>
  <c r="T1159" s="1"/>
  <c r="F1159"/>
  <c r="S1159" s="1"/>
  <c r="L1158"/>
  <c r="K1158"/>
  <c r="J1158"/>
  <c r="H1158"/>
  <c r="U1158" s="1"/>
  <c r="G1158"/>
  <c r="T1158" s="1"/>
  <c r="F1158"/>
  <c r="S1158" s="1"/>
  <c r="L1157"/>
  <c r="L1222" s="1"/>
  <c r="L1224" s="1"/>
  <c r="K1157"/>
  <c r="K1222" s="1"/>
  <c r="K1224" s="1"/>
  <c r="J1157"/>
  <c r="J1222" s="1"/>
  <c r="H1157"/>
  <c r="H1222" s="1"/>
  <c r="G1157"/>
  <c r="G1222" s="1"/>
  <c r="F1157"/>
  <c r="F1222" s="1"/>
  <c r="U1156"/>
  <c r="T1156"/>
  <c r="S1156"/>
  <c r="P1156"/>
  <c r="O1156"/>
  <c r="N1156"/>
  <c r="M1156"/>
  <c r="I1156"/>
  <c r="V1156" s="1"/>
  <c r="U1155"/>
  <c r="T1155"/>
  <c r="S1155"/>
  <c r="P1155"/>
  <c r="O1155"/>
  <c r="N1155"/>
  <c r="M1155"/>
  <c r="I1155"/>
  <c r="V1155" s="1"/>
  <c r="V1151"/>
  <c r="U1151"/>
  <c r="T1151"/>
  <c r="S1151"/>
  <c r="L1150"/>
  <c r="K1150"/>
  <c r="H1150"/>
  <c r="U1150" s="1"/>
  <c r="G1150"/>
  <c r="T1150" s="1"/>
  <c r="V1145"/>
  <c r="U1145"/>
  <c r="T1145"/>
  <c r="S1145"/>
  <c r="P1145"/>
  <c r="O1145"/>
  <c r="N1145"/>
  <c r="Q1145" s="1"/>
  <c r="J1143"/>
  <c r="F1143"/>
  <c r="U1141"/>
  <c r="T1141"/>
  <c r="S1141"/>
  <c r="P1141"/>
  <c r="O1141"/>
  <c r="N1141"/>
  <c r="M1141"/>
  <c r="I1141"/>
  <c r="V1141" s="1"/>
  <c r="U1140"/>
  <c r="T1140"/>
  <c r="S1140"/>
  <c r="P1140"/>
  <c r="O1140"/>
  <c r="N1140"/>
  <c r="M1140"/>
  <c r="I1140"/>
  <c r="V1140" s="1"/>
  <c r="L1137"/>
  <c r="K1137"/>
  <c r="J1137"/>
  <c r="M1137" s="1"/>
  <c r="H1137"/>
  <c r="U1137" s="1"/>
  <c r="G1137"/>
  <c r="T1137" s="1"/>
  <c r="F1137"/>
  <c r="S1137" s="1"/>
  <c r="L1136"/>
  <c r="K1136"/>
  <c r="J1136"/>
  <c r="M1136" s="1"/>
  <c r="H1136"/>
  <c r="U1136" s="1"/>
  <c r="G1136"/>
  <c r="T1136" s="1"/>
  <c r="F1136"/>
  <c r="S1136" s="1"/>
  <c r="V1135"/>
  <c r="U1135"/>
  <c r="T1135"/>
  <c r="S1135"/>
  <c r="U1134"/>
  <c r="T1134"/>
  <c r="P1134"/>
  <c r="O1134"/>
  <c r="J1134"/>
  <c r="M1134" s="1"/>
  <c r="F1134"/>
  <c r="S1134" s="1"/>
  <c r="L1133"/>
  <c r="K1133"/>
  <c r="J1133"/>
  <c r="M1133" s="1"/>
  <c r="M1132" s="1"/>
  <c r="H1133"/>
  <c r="U1133" s="1"/>
  <c r="G1133"/>
  <c r="T1133" s="1"/>
  <c r="F1133"/>
  <c r="S1133" s="1"/>
  <c r="L1132"/>
  <c r="K1132"/>
  <c r="J1132"/>
  <c r="H1132"/>
  <c r="U1132" s="1"/>
  <c r="G1132"/>
  <c r="T1132" s="1"/>
  <c r="F1132"/>
  <c r="S1132" s="1"/>
  <c r="L1131"/>
  <c r="K1131"/>
  <c r="J1131"/>
  <c r="H1131"/>
  <c r="U1131" s="1"/>
  <c r="G1131"/>
  <c r="T1131" s="1"/>
  <c r="F1131"/>
  <c r="S1131" s="1"/>
  <c r="L1130"/>
  <c r="K1130"/>
  <c r="J1130"/>
  <c r="H1130"/>
  <c r="U1130" s="1"/>
  <c r="G1130"/>
  <c r="T1130" s="1"/>
  <c r="F1130"/>
  <c r="S1130" s="1"/>
  <c r="V1129"/>
  <c r="U1129"/>
  <c r="T1129"/>
  <c r="S1129"/>
  <c r="P1129"/>
  <c r="O1129"/>
  <c r="N1129"/>
  <c r="S1127"/>
  <c r="N1127"/>
  <c r="L1127"/>
  <c r="K1127"/>
  <c r="H1127"/>
  <c r="U1127" s="1"/>
  <c r="G1127"/>
  <c r="L1126"/>
  <c r="L1128" s="1"/>
  <c r="K1126"/>
  <c r="K1128" s="1"/>
  <c r="J1126"/>
  <c r="J1128" s="1"/>
  <c r="H1126"/>
  <c r="H1128" s="1"/>
  <c r="G1126"/>
  <c r="G1128" s="1"/>
  <c r="F1126"/>
  <c r="F1128" s="1"/>
  <c r="U1125"/>
  <c r="T1125"/>
  <c r="S1125"/>
  <c r="P1125"/>
  <c r="O1125"/>
  <c r="N1125"/>
  <c r="M1125"/>
  <c r="I1125"/>
  <c r="V1125" s="1"/>
  <c r="U1124"/>
  <c r="T1124"/>
  <c r="S1124"/>
  <c r="P1124"/>
  <c r="O1124"/>
  <c r="N1124"/>
  <c r="M1124"/>
  <c r="I1124"/>
  <c r="V1124" s="1"/>
  <c r="L1122"/>
  <c r="K1122"/>
  <c r="J1122"/>
  <c r="H1122"/>
  <c r="U1122" s="1"/>
  <c r="G1122"/>
  <c r="T1122" s="1"/>
  <c r="F1122"/>
  <c r="I1122" s="1"/>
  <c r="V1122" s="1"/>
  <c r="L1121"/>
  <c r="K1121"/>
  <c r="J1121"/>
  <c r="H1121"/>
  <c r="U1121" s="1"/>
  <c r="G1121"/>
  <c r="T1121" s="1"/>
  <c r="F1121"/>
  <c r="S1121" s="1"/>
  <c r="V1120"/>
  <c r="U1120"/>
  <c r="T1120"/>
  <c r="S1120"/>
  <c r="U1119"/>
  <c r="T1119"/>
  <c r="P1119"/>
  <c r="O1119"/>
  <c r="J1119"/>
  <c r="M1119" s="1"/>
  <c r="F1119"/>
  <c r="S1119" s="1"/>
  <c r="L1118"/>
  <c r="K1118"/>
  <c r="J1118"/>
  <c r="H1118"/>
  <c r="U1118" s="1"/>
  <c r="G1118"/>
  <c r="T1118" s="1"/>
  <c r="F1118"/>
  <c r="S1118" s="1"/>
  <c r="L1117"/>
  <c r="K1117"/>
  <c r="J1117"/>
  <c r="H1117"/>
  <c r="U1117" s="1"/>
  <c r="G1117"/>
  <c r="T1117" s="1"/>
  <c r="F1117"/>
  <c r="L1116"/>
  <c r="K1116"/>
  <c r="J1116"/>
  <c r="H1116"/>
  <c r="U1116" s="1"/>
  <c r="G1116"/>
  <c r="T1116" s="1"/>
  <c r="F1116"/>
  <c r="I1116" s="1"/>
  <c r="L1115"/>
  <c r="K1115"/>
  <c r="J1115"/>
  <c r="H1115"/>
  <c r="U1115" s="1"/>
  <c r="G1115"/>
  <c r="T1115" s="1"/>
  <c r="F1115"/>
  <c r="V1114"/>
  <c r="U1114"/>
  <c r="T1114"/>
  <c r="S1114"/>
  <c r="P1114"/>
  <c r="O1114"/>
  <c r="N1114"/>
  <c r="S1112"/>
  <c r="N1112"/>
  <c r="L1112"/>
  <c r="K1112"/>
  <c r="H1112"/>
  <c r="U1112" s="1"/>
  <c r="G1112"/>
  <c r="T1112" s="1"/>
  <c r="L1111"/>
  <c r="L1113" s="1"/>
  <c r="K1111"/>
  <c r="K1113" s="1"/>
  <c r="J1111"/>
  <c r="M1111" s="1"/>
  <c r="H1111"/>
  <c r="H1113" s="1"/>
  <c r="G1111"/>
  <c r="G1113" s="1"/>
  <c r="F1111"/>
  <c r="U1110"/>
  <c r="T1110"/>
  <c r="S1110"/>
  <c r="P1110"/>
  <c r="O1110"/>
  <c r="N1110"/>
  <c r="M1110"/>
  <c r="I1110"/>
  <c r="V1110" s="1"/>
  <c r="U1109"/>
  <c r="T1109"/>
  <c r="S1109"/>
  <c r="P1109"/>
  <c r="O1109"/>
  <c r="N1109"/>
  <c r="M1109"/>
  <c r="I1109"/>
  <c r="V1109" s="1"/>
  <c r="L1107"/>
  <c r="K1107"/>
  <c r="J1107"/>
  <c r="H1107"/>
  <c r="U1107" s="1"/>
  <c r="G1107"/>
  <c r="T1107" s="1"/>
  <c r="F1107"/>
  <c r="S1107" s="1"/>
  <c r="L1106"/>
  <c r="K1106"/>
  <c r="J1106"/>
  <c r="H1106"/>
  <c r="U1106" s="1"/>
  <c r="G1106"/>
  <c r="T1106" s="1"/>
  <c r="F1106"/>
  <c r="S1106" s="1"/>
  <c r="V1105"/>
  <c r="U1105"/>
  <c r="T1105"/>
  <c r="S1105"/>
  <c r="U1104"/>
  <c r="T1104"/>
  <c r="P1104"/>
  <c r="O1104"/>
  <c r="J1104"/>
  <c r="M1104" s="1"/>
  <c r="F1104"/>
  <c r="S1104" s="1"/>
  <c r="L1103"/>
  <c r="K1103"/>
  <c r="J1103"/>
  <c r="H1103"/>
  <c r="U1103" s="1"/>
  <c r="G1103"/>
  <c r="T1103" s="1"/>
  <c r="F1103"/>
  <c r="S1103" s="1"/>
  <c r="L1102"/>
  <c r="K1102"/>
  <c r="J1102"/>
  <c r="H1102"/>
  <c r="U1102" s="1"/>
  <c r="G1102"/>
  <c r="T1102" s="1"/>
  <c r="F1102"/>
  <c r="L1101"/>
  <c r="K1101"/>
  <c r="J1101"/>
  <c r="H1101"/>
  <c r="U1101" s="1"/>
  <c r="G1101"/>
  <c r="T1101" s="1"/>
  <c r="F1101"/>
  <c r="S1101" s="1"/>
  <c r="L1100"/>
  <c r="K1100"/>
  <c r="J1100"/>
  <c r="H1100"/>
  <c r="U1100" s="1"/>
  <c r="G1100"/>
  <c r="T1100" s="1"/>
  <c r="F1100"/>
  <c r="V1099"/>
  <c r="U1099"/>
  <c r="T1099"/>
  <c r="S1099"/>
  <c r="P1099"/>
  <c r="O1099"/>
  <c r="N1099"/>
  <c r="S1097"/>
  <c r="N1097"/>
  <c r="L1097"/>
  <c r="K1097"/>
  <c r="H1097"/>
  <c r="U1097" s="1"/>
  <c r="G1097"/>
  <c r="L1096"/>
  <c r="L1098" s="1"/>
  <c r="K1096"/>
  <c r="K1098" s="1"/>
  <c r="J1096"/>
  <c r="J1098" s="1"/>
  <c r="H1096"/>
  <c r="G1096"/>
  <c r="G1098" s="1"/>
  <c r="F1096"/>
  <c r="F1098" s="1"/>
  <c r="U1095"/>
  <c r="T1095"/>
  <c r="S1095"/>
  <c r="P1095"/>
  <c r="O1095"/>
  <c r="N1095"/>
  <c r="M1095"/>
  <c r="I1095"/>
  <c r="V1095" s="1"/>
  <c r="V1094"/>
  <c r="U1094"/>
  <c r="T1094"/>
  <c r="S1094"/>
  <c r="L1092"/>
  <c r="K1092"/>
  <c r="J1092"/>
  <c r="H1092"/>
  <c r="U1092" s="1"/>
  <c r="G1092"/>
  <c r="F1092"/>
  <c r="S1092" s="1"/>
  <c r="L1091"/>
  <c r="K1091"/>
  <c r="J1091"/>
  <c r="H1091"/>
  <c r="U1091" s="1"/>
  <c r="G1091"/>
  <c r="T1091" s="1"/>
  <c r="F1091"/>
  <c r="S1091" s="1"/>
  <c r="V1090"/>
  <c r="U1090"/>
  <c r="T1090"/>
  <c r="S1090"/>
  <c r="U1089"/>
  <c r="T1089"/>
  <c r="P1089"/>
  <c r="O1089"/>
  <c r="J1089"/>
  <c r="M1089" s="1"/>
  <c r="F1089"/>
  <c r="S1089" s="1"/>
  <c r="L1088"/>
  <c r="K1088"/>
  <c r="J1088"/>
  <c r="H1088"/>
  <c r="U1088" s="1"/>
  <c r="G1088"/>
  <c r="T1088" s="1"/>
  <c r="F1088"/>
  <c r="S1088" s="1"/>
  <c r="L1087"/>
  <c r="K1087"/>
  <c r="J1087"/>
  <c r="H1087"/>
  <c r="U1087" s="1"/>
  <c r="G1087"/>
  <c r="F1087"/>
  <c r="L1086"/>
  <c r="K1086"/>
  <c r="J1086"/>
  <c r="H1086"/>
  <c r="U1086" s="1"/>
  <c r="G1086"/>
  <c r="T1086" s="1"/>
  <c r="F1086"/>
  <c r="S1086" s="1"/>
  <c r="L1085"/>
  <c r="K1085"/>
  <c r="J1085"/>
  <c r="H1085"/>
  <c r="U1085" s="1"/>
  <c r="G1085"/>
  <c r="T1085" s="1"/>
  <c r="F1085"/>
  <c r="V1084"/>
  <c r="U1084"/>
  <c r="T1084"/>
  <c r="S1084"/>
  <c r="P1084"/>
  <c r="O1084"/>
  <c r="N1084"/>
  <c r="S1082"/>
  <c r="N1082"/>
  <c r="L1082"/>
  <c r="K1082"/>
  <c r="H1082"/>
  <c r="G1082"/>
  <c r="L1081"/>
  <c r="L1083" s="1"/>
  <c r="K1081"/>
  <c r="K1083" s="1"/>
  <c r="J1081"/>
  <c r="J1083" s="1"/>
  <c r="H1081"/>
  <c r="G1081"/>
  <c r="G1083" s="1"/>
  <c r="F1081"/>
  <c r="F1083" s="1"/>
  <c r="U1080"/>
  <c r="T1080"/>
  <c r="S1080"/>
  <c r="P1080"/>
  <c r="O1080"/>
  <c r="N1080"/>
  <c r="M1080"/>
  <c r="I1080"/>
  <c r="V1080" s="1"/>
  <c r="V1079"/>
  <c r="U1079"/>
  <c r="T1079"/>
  <c r="S1079"/>
  <c r="L1077"/>
  <c r="K1077"/>
  <c r="J1077"/>
  <c r="H1077"/>
  <c r="U1077" s="1"/>
  <c r="G1077"/>
  <c r="T1077" s="1"/>
  <c r="F1077"/>
  <c r="S1077" s="1"/>
  <c r="L1076"/>
  <c r="K1076"/>
  <c r="J1076"/>
  <c r="H1076"/>
  <c r="U1076" s="1"/>
  <c r="G1076"/>
  <c r="T1076" s="1"/>
  <c r="F1076"/>
  <c r="S1076" s="1"/>
  <c r="V1075"/>
  <c r="U1075"/>
  <c r="T1075"/>
  <c r="S1075"/>
  <c r="U1074"/>
  <c r="T1074"/>
  <c r="P1074"/>
  <c r="O1074"/>
  <c r="J1074"/>
  <c r="M1074" s="1"/>
  <c r="F1074"/>
  <c r="L1073"/>
  <c r="K1073"/>
  <c r="J1073"/>
  <c r="H1073"/>
  <c r="U1073" s="1"/>
  <c r="G1073"/>
  <c r="T1073" s="1"/>
  <c r="F1073"/>
  <c r="S1073" s="1"/>
  <c r="L1072"/>
  <c r="K1072"/>
  <c r="J1072"/>
  <c r="H1072"/>
  <c r="U1072" s="1"/>
  <c r="G1072"/>
  <c r="T1072" s="1"/>
  <c r="F1072"/>
  <c r="L1071"/>
  <c r="K1071"/>
  <c r="J1071"/>
  <c r="H1071"/>
  <c r="U1071" s="1"/>
  <c r="G1071"/>
  <c r="T1071" s="1"/>
  <c r="F1071"/>
  <c r="L1070"/>
  <c r="K1070"/>
  <c r="J1070"/>
  <c r="H1070"/>
  <c r="U1070" s="1"/>
  <c r="G1070"/>
  <c r="T1070" s="1"/>
  <c r="F1070"/>
  <c r="V1069"/>
  <c r="U1069"/>
  <c r="T1069"/>
  <c r="S1069"/>
  <c r="P1069"/>
  <c r="O1069"/>
  <c r="N1069"/>
  <c r="S1067"/>
  <c r="N1067"/>
  <c r="L1067"/>
  <c r="K1067"/>
  <c r="H1067"/>
  <c r="U1067" s="1"/>
  <c r="G1067"/>
  <c r="L1066"/>
  <c r="L1068" s="1"/>
  <c r="K1066"/>
  <c r="K1068" s="1"/>
  <c r="J1066"/>
  <c r="J1068" s="1"/>
  <c r="H1066"/>
  <c r="H1068" s="1"/>
  <c r="G1066"/>
  <c r="G1068" s="1"/>
  <c r="F1066"/>
  <c r="F1068" s="1"/>
  <c r="U1065"/>
  <c r="T1065"/>
  <c r="S1065"/>
  <c r="P1065"/>
  <c r="O1065"/>
  <c r="N1065"/>
  <c r="M1065"/>
  <c r="I1065"/>
  <c r="V1065" s="1"/>
  <c r="U1064"/>
  <c r="T1064"/>
  <c r="S1064"/>
  <c r="P1064"/>
  <c r="O1064"/>
  <c r="N1064"/>
  <c r="M1064"/>
  <c r="I1064"/>
  <c r="V1064" s="1"/>
  <c r="L1062"/>
  <c r="K1062"/>
  <c r="J1062"/>
  <c r="H1062"/>
  <c r="U1062" s="1"/>
  <c r="G1062"/>
  <c r="T1062" s="1"/>
  <c r="F1062"/>
  <c r="S1062" s="1"/>
  <c r="L1061"/>
  <c r="K1061"/>
  <c r="J1061"/>
  <c r="H1061"/>
  <c r="U1061" s="1"/>
  <c r="G1061"/>
  <c r="T1061" s="1"/>
  <c r="F1061"/>
  <c r="S1061" s="1"/>
  <c r="V1060"/>
  <c r="U1060"/>
  <c r="T1060"/>
  <c r="S1060"/>
  <c r="U1059"/>
  <c r="T1059"/>
  <c r="P1059"/>
  <c r="O1059"/>
  <c r="J1059"/>
  <c r="M1059" s="1"/>
  <c r="F1059"/>
  <c r="S1059" s="1"/>
  <c r="L1058"/>
  <c r="K1058"/>
  <c r="J1058"/>
  <c r="H1058"/>
  <c r="U1058" s="1"/>
  <c r="G1058"/>
  <c r="T1058" s="1"/>
  <c r="F1058"/>
  <c r="S1058" s="1"/>
  <c r="L1057"/>
  <c r="K1057"/>
  <c r="J1057"/>
  <c r="H1057"/>
  <c r="U1057" s="1"/>
  <c r="G1057"/>
  <c r="T1057" s="1"/>
  <c r="F1057"/>
  <c r="L1056"/>
  <c r="K1056"/>
  <c r="J1056"/>
  <c r="H1056"/>
  <c r="U1056" s="1"/>
  <c r="G1056"/>
  <c r="T1056" s="1"/>
  <c r="F1056"/>
  <c r="S1056" s="1"/>
  <c r="L1055"/>
  <c r="K1055"/>
  <c r="J1055"/>
  <c r="H1055"/>
  <c r="U1055" s="1"/>
  <c r="G1055"/>
  <c r="T1055" s="1"/>
  <c r="F1055"/>
  <c r="V1054"/>
  <c r="U1054"/>
  <c r="T1054"/>
  <c r="S1054"/>
  <c r="P1054"/>
  <c r="O1054"/>
  <c r="N1054"/>
  <c r="S1052"/>
  <c r="N1052"/>
  <c r="L1052"/>
  <c r="K1052"/>
  <c r="H1052"/>
  <c r="U1052" s="1"/>
  <c r="G1052"/>
  <c r="L1051"/>
  <c r="L1053" s="1"/>
  <c r="K1051"/>
  <c r="K1053" s="1"/>
  <c r="J1051"/>
  <c r="J1053" s="1"/>
  <c r="H1051"/>
  <c r="G1051"/>
  <c r="G1053" s="1"/>
  <c r="F1051"/>
  <c r="F1053" s="1"/>
  <c r="U1050"/>
  <c r="T1050"/>
  <c r="S1050"/>
  <c r="P1050"/>
  <c r="O1050"/>
  <c r="N1050"/>
  <c r="M1050"/>
  <c r="I1050"/>
  <c r="V1050" s="1"/>
  <c r="U1049"/>
  <c r="T1049"/>
  <c r="S1049"/>
  <c r="P1049"/>
  <c r="O1049"/>
  <c r="N1049"/>
  <c r="M1049"/>
  <c r="I1049"/>
  <c r="V1049" s="1"/>
  <c r="L1047"/>
  <c r="K1047"/>
  <c r="J1047"/>
  <c r="H1047"/>
  <c r="U1047" s="1"/>
  <c r="G1047"/>
  <c r="T1047" s="1"/>
  <c r="F1047"/>
  <c r="S1047" s="1"/>
  <c r="L1046"/>
  <c r="K1046"/>
  <c r="J1046"/>
  <c r="H1046"/>
  <c r="U1046" s="1"/>
  <c r="G1046"/>
  <c r="T1046" s="1"/>
  <c r="F1046"/>
  <c r="S1046" s="1"/>
  <c r="V1045"/>
  <c r="U1045"/>
  <c r="T1045"/>
  <c r="S1045"/>
  <c r="U1044"/>
  <c r="T1044"/>
  <c r="P1044"/>
  <c r="O1044"/>
  <c r="J1044"/>
  <c r="M1044" s="1"/>
  <c r="F1044"/>
  <c r="S1044" s="1"/>
  <c r="L1043"/>
  <c r="K1043"/>
  <c r="J1043"/>
  <c r="H1043"/>
  <c r="U1043" s="1"/>
  <c r="G1043"/>
  <c r="T1043" s="1"/>
  <c r="F1043"/>
  <c r="S1043" s="1"/>
  <c r="L1042"/>
  <c r="K1042"/>
  <c r="J1042"/>
  <c r="H1042"/>
  <c r="U1042" s="1"/>
  <c r="G1042"/>
  <c r="T1042" s="1"/>
  <c r="F1042"/>
  <c r="L1041"/>
  <c r="K1041"/>
  <c r="M1041" s="1"/>
  <c r="M1040" s="1"/>
  <c r="J1041"/>
  <c r="H1041"/>
  <c r="U1041" s="1"/>
  <c r="G1041"/>
  <c r="T1041" s="1"/>
  <c r="F1041"/>
  <c r="S1041" s="1"/>
  <c r="L1040"/>
  <c r="K1040"/>
  <c r="J1040"/>
  <c r="H1040"/>
  <c r="U1040" s="1"/>
  <c r="G1040"/>
  <c r="T1040" s="1"/>
  <c r="F1040"/>
  <c r="V1039"/>
  <c r="U1039"/>
  <c r="T1039"/>
  <c r="S1039"/>
  <c r="P1039"/>
  <c r="O1039"/>
  <c r="N1039"/>
  <c r="S1037"/>
  <c r="N1037"/>
  <c r="L1037"/>
  <c r="K1037"/>
  <c r="H1037"/>
  <c r="U1037" s="1"/>
  <c r="G1037"/>
  <c r="T1037" s="1"/>
  <c r="L1036"/>
  <c r="L1038" s="1"/>
  <c r="K1036"/>
  <c r="K1038" s="1"/>
  <c r="J1036"/>
  <c r="J1038" s="1"/>
  <c r="H1036"/>
  <c r="H1038" s="1"/>
  <c r="G1036"/>
  <c r="G1038" s="1"/>
  <c r="F1036"/>
  <c r="F1038" s="1"/>
  <c r="U1035"/>
  <c r="T1035"/>
  <c r="S1035"/>
  <c r="P1035"/>
  <c r="O1035"/>
  <c r="N1035"/>
  <c r="M1035"/>
  <c r="I1035"/>
  <c r="V1035" s="1"/>
  <c r="U1034"/>
  <c r="T1034"/>
  <c r="S1034"/>
  <c r="P1034"/>
  <c r="O1034"/>
  <c r="N1034"/>
  <c r="M1034"/>
  <c r="I1034"/>
  <c r="V1034" s="1"/>
  <c r="L1032"/>
  <c r="K1032"/>
  <c r="J1032"/>
  <c r="M1032" s="1"/>
  <c r="H1032"/>
  <c r="U1032" s="1"/>
  <c r="G1032"/>
  <c r="T1032" s="1"/>
  <c r="F1032"/>
  <c r="S1032" s="1"/>
  <c r="L1031"/>
  <c r="K1031"/>
  <c r="J1031"/>
  <c r="M1031" s="1"/>
  <c r="H1031"/>
  <c r="U1031" s="1"/>
  <c r="G1031"/>
  <c r="T1031" s="1"/>
  <c r="F1031"/>
  <c r="S1031" s="1"/>
  <c r="V1030"/>
  <c r="U1030"/>
  <c r="T1030"/>
  <c r="S1030"/>
  <c r="U1029"/>
  <c r="T1029"/>
  <c r="P1029"/>
  <c r="O1029"/>
  <c r="J1029"/>
  <c r="M1029" s="1"/>
  <c r="F1029"/>
  <c r="S1029" s="1"/>
  <c r="L1028"/>
  <c r="K1028"/>
  <c r="J1028"/>
  <c r="H1028"/>
  <c r="U1028" s="1"/>
  <c r="G1028"/>
  <c r="T1028" s="1"/>
  <c r="F1028"/>
  <c r="S1028" s="1"/>
  <c r="L1027"/>
  <c r="K1027"/>
  <c r="J1027"/>
  <c r="H1027"/>
  <c r="G1027"/>
  <c r="F1027"/>
  <c r="L1026"/>
  <c r="K1026"/>
  <c r="J1026"/>
  <c r="H1026"/>
  <c r="U1026" s="1"/>
  <c r="G1026"/>
  <c r="T1026" s="1"/>
  <c r="F1026"/>
  <c r="S1026" s="1"/>
  <c r="L1025"/>
  <c r="K1025"/>
  <c r="J1025"/>
  <c r="H1025"/>
  <c r="U1025" s="1"/>
  <c r="G1025"/>
  <c r="T1025" s="1"/>
  <c r="F1025"/>
  <c r="V1024"/>
  <c r="U1024"/>
  <c r="T1024"/>
  <c r="S1024"/>
  <c r="P1024"/>
  <c r="O1024"/>
  <c r="N1024"/>
  <c r="S1022"/>
  <c r="N1022"/>
  <c r="L1022"/>
  <c r="K1022"/>
  <c r="H1022"/>
  <c r="U1022" s="1"/>
  <c r="G1022"/>
  <c r="L1021"/>
  <c r="L1023" s="1"/>
  <c r="K1021"/>
  <c r="K1023" s="1"/>
  <c r="J1021"/>
  <c r="J1023" s="1"/>
  <c r="H1021"/>
  <c r="H1023" s="1"/>
  <c r="G1021"/>
  <c r="G1023" s="1"/>
  <c r="F1021"/>
  <c r="F1023" s="1"/>
  <c r="V1020"/>
  <c r="U1020"/>
  <c r="T1020"/>
  <c r="S1020"/>
  <c r="P1020"/>
  <c r="O1020"/>
  <c r="N1020"/>
  <c r="U1019"/>
  <c r="T1019"/>
  <c r="S1019"/>
  <c r="P1019"/>
  <c r="O1019"/>
  <c r="N1019"/>
  <c r="M1019"/>
  <c r="I1019"/>
  <c r="V1019" s="1"/>
  <c r="U1018"/>
  <c r="T1018"/>
  <c r="S1018"/>
  <c r="P1018"/>
  <c r="O1018"/>
  <c r="N1018"/>
  <c r="M1018"/>
  <c r="I1018"/>
  <c r="V1018" s="1"/>
  <c r="L1016"/>
  <c r="L1153" s="1"/>
  <c r="K1016"/>
  <c r="K1153" s="1"/>
  <c r="J1016"/>
  <c r="J1153" s="1"/>
  <c r="H1016"/>
  <c r="H1153" s="1"/>
  <c r="G1016"/>
  <c r="G1153" s="1"/>
  <c r="F1016"/>
  <c r="F1153" s="1"/>
  <c r="L1015"/>
  <c r="L1152" s="1"/>
  <c r="K1015"/>
  <c r="K1152" s="1"/>
  <c r="J1015"/>
  <c r="J1152" s="1"/>
  <c r="H1015"/>
  <c r="H1152" s="1"/>
  <c r="G1015"/>
  <c r="G1152" s="1"/>
  <c r="F1015"/>
  <c r="F1152" s="1"/>
  <c r="V1014"/>
  <c r="U1014"/>
  <c r="T1014"/>
  <c r="S1014"/>
  <c r="U1013"/>
  <c r="T1013"/>
  <c r="P1013"/>
  <c r="O1013"/>
  <c r="J1013"/>
  <c r="J1150" s="1"/>
  <c r="M1150" s="1"/>
  <c r="F1013"/>
  <c r="F1150" s="1"/>
  <c r="L1012"/>
  <c r="L1149" s="1"/>
  <c r="L1148" s="1"/>
  <c r="K1012"/>
  <c r="K1149" s="1"/>
  <c r="K1148" s="1"/>
  <c r="J1012"/>
  <c r="J1149" s="1"/>
  <c r="H1012"/>
  <c r="H1149" s="1"/>
  <c r="G1012"/>
  <c r="G1149" s="1"/>
  <c r="F1012"/>
  <c r="F1149" s="1"/>
  <c r="L1011"/>
  <c r="K1011"/>
  <c r="J1011"/>
  <c r="H1011"/>
  <c r="U1011" s="1"/>
  <c r="G1011"/>
  <c r="T1011" s="1"/>
  <c r="F1011"/>
  <c r="L1010"/>
  <c r="L1147" s="1"/>
  <c r="L1146" s="1"/>
  <c r="K1010"/>
  <c r="K1147" s="1"/>
  <c r="K1146" s="1"/>
  <c r="J1010"/>
  <c r="J1147" s="1"/>
  <c r="H1010"/>
  <c r="H1147" s="1"/>
  <c r="G1010"/>
  <c r="G1147" s="1"/>
  <c r="F1010"/>
  <c r="F1147" s="1"/>
  <c r="L1009"/>
  <c r="K1009"/>
  <c r="J1009"/>
  <c r="H1009"/>
  <c r="U1009" s="1"/>
  <c r="G1009"/>
  <c r="T1009" s="1"/>
  <c r="F1009"/>
  <c r="V1008"/>
  <c r="U1008"/>
  <c r="T1008"/>
  <c r="S1008"/>
  <c r="P1008"/>
  <c r="O1008"/>
  <c r="N1008"/>
  <c r="S1006"/>
  <c r="N1006"/>
  <c r="L1006"/>
  <c r="L1143" s="1"/>
  <c r="K1006"/>
  <c r="K1143" s="1"/>
  <c r="H1006"/>
  <c r="H1143" s="1"/>
  <c r="G1006"/>
  <c r="G1143" s="1"/>
  <c r="L1005"/>
  <c r="K1005"/>
  <c r="J1005"/>
  <c r="M1005" s="1"/>
  <c r="H1005"/>
  <c r="G1005"/>
  <c r="T1005" s="1"/>
  <c r="F1005"/>
  <c r="L1004"/>
  <c r="K1004"/>
  <c r="J1004"/>
  <c r="M1004" s="1"/>
  <c r="H1004"/>
  <c r="U1004" s="1"/>
  <c r="G1004"/>
  <c r="T1004" s="1"/>
  <c r="F1004"/>
  <c r="L1003"/>
  <c r="K1003"/>
  <c r="J1003"/>
  <c r="M1003" s="1"/>
  <c r="M1002" s="1"/>
  <c r="H1003"/>
  <c r="U1003" s="1"/>
  <c r="G1003"/>
  <c r="T1003" s="1"/>
  <c r="F1003"/>
  <c r="L1002"/>
  <c r="L1142" s="1"/>
  <c r="L1144" s="1"/>
  <c r="K1002"/>
  <c r="K1142" s="1"/>
  <c r="K1144" s="1"/>
  <c r="J1002"/>
  <c r="J1142" s="1"/>
  <c r="H1002"/>
  <c r="H1142" s="1"/>
  <c r="G1002"/>
  <c r="G1142" s="1"/>
  <c r="F1002"/>
  <c r="F1142" s="1"/>
  <c r="U1001"/>
  <c r="T1001"/>
  <c r="S1001"/>
  <c r="P1001"/>
  <c r="O1001"/>
  <c r="N1001"/>
  <c r="M1001"/>
  <c r="I1001"/>
  <c r="V1001" s="1"/>
  <c r="U1000"/>
  <c r="T1000"/>
  <c r="S1000"/>
  <c r="P1000"/>
  <c r="O1000"/>
  <c r="N1000"/>
  <c r="M1000"/>
  <c r="I1000"/>
  <c r="V1000" s="1"/>
  <c r="V996"/>
  <c r="U996"/>
  <c r="T996"/>
  <c r="S996"/>
  <c r="L995"/>
  <c r="K995"/>
  <c r="H995"/>
  <c r="U995" s="1"/>
  <c r="G995"/>
  <c r="T995" s="1"/>
  <c r="V990"/>
  <c r="U990"/>
  <c r="T990"/>
  <c r="S990"/>
  <c r="P990"/>
  <c r="O990"/>
  <c r="N990"/>
  <c r="J988"/>
  <c r="F988"/>
  <c r="S988" s="1"/>
  <c r="U986"/>
  <c r="T986"/>
  <c r="S986"/>
  <c r="P986"/>
  <c r="O986"/>
  <c r="N986"/>
  <c r="M986"/>
  <c r="I986"/>
  <c r="V986" s="1"/>
  <c r="U985"/>
  <c r="T985"/>
  <c r="S985"/>
  <c r="P985"/>
  <c r="O985"/>
  <c r="N985"/>
  <c r="M985"/>
  <c r="I985"/>
  <c r="V985" s="1"/>
  <c r="L982"/>
  <c r="K982"/>
  <c r="J982"/>
  <c r="M982" s="1"/>
  <c r="H982"/>
  <c r="U982" s="1"/>
  <c r="G982"/>
  <c r="T982" s="1"/>
  <c r="F982"/>
  <c r="I982" s="1"/>
  <c r="L981"/>
  <c r="K981"/>
  <c r="J981"/>
  <c r="H981"/>
  <c r="U981" s="1"/>
  <c r="G981"/>
  <c r="T981" s="1"/>
  <c r="F981"/>
  <c r="I981" s="1"/>
  <c r="V980"/>
  <c r="U980"/>
  <c r="T980"/>
  <c r="S980"/>
  <c r="U979"/>
  <c r="T979"/>
  <c r="P979"/>
  <c r="O979"/>
  <c r="J979"/>
  <c r="M979" s="1"/>
  <c r="F979"/>
  <c r="I979" s="1"/>
  <c r="L978"/>
  <c r="K978"/>
  <c r="J978"/>
  <c r="H978"/>
  <c r="U978" s="1"/>
  <c r="G978"/>
  <c r="T978" s="1"/>
  <c r="F978"/>
  <c r="I978" s="1"/>
  <c r="L977"/>
  <c r="K977"/>
  <c r="J977"/>
  <c r="H977"/>
  <c r="U977" s="1"/>
  <c r="G977"/>
  <c r="F977"/>
  <c r="L976"/>
  <c r="K976"/>
  <c r="J976"/>
  <c r="H976"/>
  <c r="U976" s="1"/>
  <c r="G976"/>
  <c r="T976" s="1"/>
  <c r="F976"/>
  <c r="I976" s="1"/>
  <c r="L975"/>
  <c r="K975"/>
  <c r="J975"/>
  <c r="H975"/>
  <c r="U975" s="1"/>
  <c r="G975"/>
  <c r="T975" s="1"/>
  <c r="F975"/>
  <c r="V974"/>
  <c r="U974"/>
  <c r="T974"/>
  <c r="S974"/>
  <c r="P974"/>
  <c r="O974"/>
  <c r="N974"/>
  <c r="S972"/>
  <c r="N972"/>
  <c r="L972"/>
  <c r="K972"/>
  <c r="H972"/>
  <c r="U972" s="1"/>
  <c r="G972"/>
  <c r="T972" s="1"/>
  <c r="L971"/>
  <c r="L973" s="1"/>
  <c r="K971"/>
  <c r="K973" s="1"/>
  <c r="J971"/>
  <c r="M971" s="1"/>
  <c r="H971"/>
  <c r="H973" s="1"/>
  <c r="G971"/>
  <c r="G973" s="1"/>
  <c r="F971"/>
  <c r="U970"/>
  <c r="T970"/>
  <c r="S970"/>
  <c r="P970"/>
  <c r="O970"/>
  <c r="N970"/>
  <c r="I970"/>
  <c r="V970" s="1"/>
  <c r="U969"/>
  <c r="T969"/>
  <c r="S969"/>
  <c r="P969"/>
  <c r="O969"/>
  <c r="N969"/>
  <c r="M969"/>
  <c r="I969"/>
  <c r="V969" s="1"/>
  <c r="L967"/>
  <c r="K967"/>
  <c r="J967"/>
  <c r="H967"/>
  <c r="U967" s="1"/>
  <c r="G967"/>
  <c r="F967"/>
  <c r="I967" s="1"/>
  <c r="L966"/>
  <c r="K966"/>
  <c r="J966"/>
  <c r="H966"/>
  <c r="U966" s="1"/>
  <c r="G966"/>
  <c r="T966" s="1"/>
  <c r="F966"/>
  <c r="I966" s="1"/>
  <c r="V965"/>
  <c r="U965"/>
  <c r="T965"/>
  <c r="S965"/>
  <c r="U964"/>
  <c r="T964"/>
  <c r="P964"/>
  <c r="O964"/>
  <c r="J964"/>
  <c r="M964" s="1"/>
  <c r="F964"/>
  <c r="I964" s="1"/>
  <c r="L963"/>
  <c r="K963"/>
  <c r="J963"/>
  <c r="H963"/>
  <c r="U963" s="1"/>
  <c r="G963"/>
  <c r="T963" s="1"/>
  <c r="F963"/>
  <c r="L962"/>
  <c r="K962"/>
  <c r="J962"/>
  <c r="H962"/>
  <c r="U962" s="1"/>
  <c r="G962"/>
  <c r="F962"/>
  <c r="L961"/>
  <c r="K961"/>
  <c r="J961"/>
  <c r="H961"/>
  <c r="U961" s="1"/>
  <c r="G961"/>
  <c r="T961" s="1"/>
  <c r="F961"/>
  <c r="L960"/>
  <c r="K960"/>
  <c r="J960"/>
  <c r="H960"/>
  <c r="U960" s="1"/>
  <c r="G960"/>
  <c r="T960" s="1"/>
  <c r="F960"/>
  <c r="V959"/>
  <c r="U959"/>
  <c r="T959"/>
  <c r="S959"/>
  <c r="P959"/>
  <c r="O959"/>
  <c r="N959"/>
  <c r="S957"/>
  <c r="N957"/>
  <c r="L957"/>
  <c r="K957"/>
  <c r="H957"/>
  <c r="U957" s="1"/>
  <c r="G957"/>
  <c r="T957" s="1"/>
  <c r="L956"/>
  <c r="L958" s="1"/>
  <c r="K956"/>
  <c r="K958" s="1"/>
  <c r="J956"/>
  <c r="M956" s="1"/>
  <c r="H956"/>
  <c r="G956"/>
  <c r="G958" s="1"/>
  <c r="F956"/>
  <c r="U955"/>
  <c r="T955"/>
  <c r="S955"/>
  <c r="P955"/>
  <c r="O955"/>
  <c r="N955"/>
  <c r="M955"/>
  <c r="I955"/>
  <c r="V955" s="1"/>
  <c r="U954"/>
  <c r="T954"/>
  <c r="S954"/>
  <c r="P954"/>
  <c r="O954"/>
  <c r="N954"/>
  <c r="M954"/>
  <c r="I954"/>
  <c r="V954" s="1"/>
  <c r="U953"/>
  <c r="T953"/>
  <c r="S953"/>
  <c r="P953"/>
  <c r="O953"/>
  <c r="N953"/>
  <c r="M953"/>
  <c r="I953"/>
  <c r="V953" s="1"/>
  <c r="L951"/>
  <c r="L998" s="1"/>
  <c r="K951"/>
  <c r="K998" s="1"/>
  <c r="J951"/>
  <c r="J998" s="1"/>
  <c r="H951"/>
  <c r="H998" s="1"/>
  <c r="G951"/>
  <c r="G998" s="1"/>
  <c r="F951"/>
  <c r="F998" s="1"/>
  <c r="L950"/>
  <c r="L997" s="1"/>
  <c r="K950"/>
  <c r="K997" s="1"/>
  <c r="J950"/>
  <c r="J997" s="1"/>
  <c r="H950"/>
  <c r="H997" s="1"/>
  <c r="G950"/>
  <c r="G997" s="1"/>
  <c r="F950"/>
  <c r="F997" s="1"/>
  <c r="V949"/>
  <c r="U949"/>
  <c r="T949"/>
  <c r="S949"/>
  <c r="U948"/>
  <c r="T948"/>
  <c r="P948"/>
  <c r="O948"/>
  <c r="J948"/>
  <c r="J995" s="1"/>
  <c r="F948"/>
  <c r="F995" s="1"/>
  <c r="L947"/>
  <c r="L994" s="1"/>
  <c r="L993" s="1"/>
  <c r="K947"/>
  <c r="K994" s="1"/>
  <c r="K993" s="1"/>
  <c r="J947"/>
  <c r="J994" s="1"/>
  <c r="H947"/>
  <c r="H994" s="1"/>
  <c r="G947"/>
  <c r="G994" s="1"/>
  <c r="F947"/>
  <c r="F994" s="1"/>
  <c r="L946"/>
  <c r="K946"/>
  <c r="J946"/>
  <c r="H946"/>
  <c r="U946" s="1"/>
  <c r="G946"/>
  <c r="T946" s="1"/>
  <c r="F946"/>
  <c r="L945"/>
  <c r="L992" s="1"/>
  <c r="L991" s="1"/>
  <c r="K945"/>
  <c r="K992" s="1"/>
  <c r="K991" s="1"/>
  <c r="J945"/>
  <c r="J992" s="1"/>
  <c r="H945"/>
  <c r="H992" s="1"/>
  <c r="G945"/>
  <c r="G992" s="1"/>
  <c r="F945"/>
  <c r="F992" s="1"/>
  <c r="L944"/>
  <c r="K944"/>
  <c r="J944"/>
  <c r="H944"/>
  <c r="U944" s="1"/>
  <c r="G944"/>
  <c r="T944" s="1"/>
  <c r="F944"/>
  <c r="V943"/>
  <c r="U943"/>
  <c r="T943"/>
  <c r="S943"/>
  <c r="P943"/>
  <c r="O943"/>
  <c r="N943"/>
  <c r="S941"/>
  <c r="N941"/>
  <c r="L941"/>
  <c r="L988" s="1"/>
  <c r="K941"/>
  <c r="K988" s="1"/>
  <c r="H941"/>
  <c r="H988" s="1"/>
  <c r="G941"/>
  <c r="L940"/>
  <c r="K940"/>
  <c r="J940"/>
  <c r="M940" s="1"/>
  <c r="H940"/>
  <c r="U940" s="1"/>
  <c r="G940"/>
  <c r="T940" s="1"/>
  <c r="F940"/>
  <c r="L939"/>
  <c r="K939"/>
  <c r="J939"/>
  <c r="M939" s="1"/>
  <c r="H939"/>
  <c r="U939" s="1"/>
  <c r="G939"/>
  <c r="T939" s="1"/>
  <c r="F939"/>
  <c r="L938"/>
  <c r="K938"/>
  <c r="J938"/>
  <c r="M938" s="1"/>
  <c r="M937" s="1"/>
  <c r="H938"/>
  <c r="U938" s="1"/>
  <c r="G938"/>
  <c r="T938" s="1"/>
  <c r="F938"/>
  <c r="L937"/>
  <c r="L987" s="1"/>
  <c r="L989" s="1"/>
  <c r="K937"/>
  <c r="K987" s="1"/>
  <c r="K989" s="1"/>
  <c r="J937"/>
  <c r="J987" s="1"/>
  <c r="H937"/>
  <c r="H987" s="1"/>
  <c r="G937"/>
  <c r="G987" s="1"/>
  <c r="F937"/>
  <c r="F987" s="1"/>
  <c r="U936"/>
  <c r="T936"/>
  <c r="S936"/>
  <c r="P936"/>
  <c r="O936"/>
  <c r="N936"/>
  <c r="M936"/>
  <c r="I936"/>
  <c r="V936" s="1"/>
  <c r="U935"/>
  <c r="T935"/>
  <c r="S935"/>
  <c r="P935"/>
  <c r="O935"/>
  <c r="N935"/>
  <c r="M935"/>
  <c r="I935"/>
  <c r="V935" s="1"/>
  <c r="V931"/>
  <c r="U931"/>
  <c r="T931"/>
  <c r="S931"/>
  <c r="L930"/>
  <c r="K930"/>
  <c r="H930"/>
  <c r="U930" s="1"/>
  <c r="G930"/>
  <c r="T930" s="1"/>
  <c r="V925"/>
  <c r="U925"/>
  <c r="T925"/>
  <c r="S925"/>
  <c r="P925"/>
  <c r="O925"/>
  <c r="N925"/>
  <c r="J923"/>
  <c r="F923"/>
  <c r="U921"/>
  <c r="T921"/>
  <c r="S921"/>
  <c r="P921"/>
  <c r="O921"/>
  <c r="N921"/>
  <c r="M921"/>
  <c r="I921"/>
  <c r="V921" s="1"/>
  <c r="U920"/>
  <c r="T920"/>
  <c r="S920"/>
  <c r="P920"/>
  <c r="O920"/>
  <c r="N920"/>
  <c r="M920"/>
  <c r="I920"/>
  <c r="V920" s="1"/>
  <c r="L917"/>
  <c r="K917"/>
  <c r="J917"/>
  <c r="H917"/>
  <c r="U917" s="1"/>
  <c r="G917"/>
  <c r="F917"/>
  <c r="S917" s="1"/>
  <c r="L916"/>
  <c r="K916"/>
  <c r="J916"/>
  <c r="H916"/>
  <c r="U916" s="1"/>
  <c r="G916"/>
  <c r="T916" s="1"/>
  <c r="F916"/>
  <c r="S916" s="1"/>
  <c r="V915"/>
  <c r="U915"/>
  <c r="T915"/>
  <c r="S915"/>
  <c r="U914"/>
  <c r="T914"/>
  <c r="P914"/>
  <c r="O914"/>
  <c r="J914"/>
  <c r="M914" s="1"/>
  <c r="F914"/>
  <c r="S914" s="1"/>
  <c r="L913"/>
  <c r="K913"/>
  <c r="J913"/>
  <c r="H913"/>
  <c r="U913" s="1"/>
  <c r="G913"/>
  <c r="T913" s="1"/>
  <c r="F913"/>
  <c r="S913" s="1"/>
  <c r="L912"/>
  <c r="K912"/>
  <c r="J912"/>
  <c r="H912"/>
  <c r="U912" s="1"/>
  <c r="G912"/>
  <c r="F912"/>
  <c r="S912" s="1"/>
  <c r="L911"/>
  <c r="K911"/>
  <c r="J911"/>
  <c r="H911"/>
  <c r="U911" s="1"/>
  <c r="G911"/>
  <c r="T911" s="1"/>
  <c r="F911"/>
  <c r="S911" s="1"/>
  <c r="L910"/>
  <c r="K910"/>
  <c r="J910"/>
  <c r="H910"/>
  <c r="U910" s="1"/>
  <c r="G910"/>
  <c r="T910" s="1"/>
  <c r="F910"/>
  <c r="S910" s="1"/>
  <c r="V909"/>
  <c r="U909"/>
  <c r="T909"/>
  <c r="S909"/>
  <c r="P909"/>
  <c r="O909"/>
  <c r="N909"/>
  <c r="S907"/>
  <c r="N907"/>
  <c r="L907"/>
  <c r="K907"/>
  <c r="H907"/>
  <c r="U907" s="1"/>
  <c r="G907"/>
  <c r="L906"/>
  <c r="L908" s="1"/>
  <c r="L918" s="1"/>
  <c r="K906"/>
  <c r="K908" s="1"/>
  <c r="J906"/>
  <c r="J908" s="1"/>
  <c r="J918" s="1"/>
  <c r="H906"/>
  <c r="G906"/>
  <c r="G908" s="1"/>
  <c r="F906"/>
  <c r="F908" s="1"/>
  <c r="U905"/>
  <c r="T905"/>
  <c r="S905"/>
  <c r="P905"/>
  <c r="O905"/>
  <c r="N905"/>
  <c r="M905"/>
  <c r="I905"/>
  <c r="V905" s="1"/>
  <c r="U904"/>
  <c r="T904"/>
  <c r="S904"/>
  <c r="P904"/>
  <c r="O904"/>
  <c r="N904"/>
  <c r="M904"/>
  <c r="I904"/>
  <c r="V904" s="1"/>
  <c r="L902"/>
  <c r="K902"/>
  <c r="J902"/>
  <c r="M902" s="1"/>
  <c r="H902"/>
  <c r="U902" s="1"/>
  <c r="G902"/>
  <c r="T902" s="1"/>
  <c r="F902"/>
  <c r="S902" s="1"/>
  <c r="L901"/>
  <c r="K901"/>
  <c r="J901"/>
  <c r="H901"/>
  <c r="U901" s="1"/>
  <c r="G901"/>
  <c r="T901" s="1"/>
  <c r="F901"/>
  <c r="S901" s="1"/>
  <c r="V900"/>
  <c r="U900"/>
  <c r="T900"/>
  <c r="S900"/>
  <c r="U899"/>
  <c r="T899"/>
  <c r="P899"/>
  <c r="O899"/>
  <c r="J899"/>
  <c r="M899" s="1"/>
  <c r="F899"/>
  <c r="L898"/>
  <c r="K898"/>
  <c r="J898"/>
  <c r="H898"/>
  <c r="U898" s="1"/>
  <c r="G898"/>
  <c r="T898" s="1"/>
  <c r="F898"/>
  <c r="L897"/>
  <c r="K897"/>
  <c r="J897"/>
  <c r="H897"/>
  <c r="U897" s="1"/>
  <c r="G897"/>
  <c r="T897" s="1"/>
  <c r="F897"/>
  <c r="L896"/>
  <c r="K896"/>
  <c r="J896"/>
  <c r="H896"/>
  <c r="U896" s="1"/>
  <c r="G896"/>
  <c r="T896" s="1"/>
  <c r="F896"/>
  <c r="S896" s="1"/>
  <c r="L895"/>
  <c r="K895"/>
  <c r="J895"/>
  <c r="H895"/>
  <c r="U895" s="1"/>
  <c r="G895"/>
  <c r="T895" s="1"/>
  <c r="F895"/>
  <c r="V894"/>
  <c r="U894"/>
  <c r="T894"/>
  <c r="S894"/>
  <c r="P894"/>
  <c r="O894"/>
  <c r="N894"/>
  <c r="S892"/>
  <c r="N892"/>
  <c r="L892"/>
  <c r="K892"/>
  <c r="H892"/>
  <c r="U892" s="1"/>
  <c r="G892"/>
  <c r="T892" s="1"/>
  <c r="L891"/>
  <c r="L893" s="1"/>
  <c r="K891"/>
  <c r="K893" s="1"/>
  <c r="K903" s="1"/>
  <c r="J891"/>
  <c r="M891" s="1"/>
  <c r="H891"/>
  <c r="H893" s="1"/>
  <c r="G891"/>
  <c r="G893" s="1"/>
  <c r="F891"/>
  <c r="U890"/>
  <c r="T890"/>
  <c r="S890"/>
  <c r="P890"/>
  <c r="O890"/>
  <c r="N890"/>
  <c r="M890"/>
  <c r="I890"/>
  <c r="V890" s="1"/>
  <c r="V889"/>
  <c r="U889"/>
  <c r="T889"/>
  <c r="S889"/>
  <c r="P889"/>
  <c r="O889"/>
  <c r="N889"/>
  <c r="L887"/>
  <c r="K887"/>
  <c r="J887"/>
  <c r="H887"/>
  <c r="U887" s="1"/>
  <c r="G887"/>
  <c r="T887" s="1"/>
  <c r="F887"/>
  <c r="S887" s="1"/>
  <c r="L886"/>
  <c r="K886"/>
  <c r="J886"/>
  <c r="H886"/>
  <c r="U886" s="1"/>
  <c r="G886"/>
  <c r="T886" s="1"/>
  <c r="F886"/>
  <c r="S886" s="1"/>
  <c r="V885"/>
  <c r="U885"/>
  <c r="T885"/>
  <c r="S885"/>
  <c r="U884"/>
  <c r="T884"/>
  <c r="P884"/>
  <c r="O884"/>
  <c r="J884"/>
  <c r="M884" s="1"/>
  <c r="F884"/>
  <c r="S884" s="1"/>
  <c r="L883"/>
  <c r="K883"/>
  <c r="J883"/>
  <c r="H883"/>
  <c r="U883" s="1"/>
  <c r="G883"/>
  <c r="T883" s="1"/>
  <c r="F883"/>
  <c r="S883" s="1"/>
  <c r="L882"/>
  <c r="K882"/>
  <c r="J882"/>
  <c r="H882"/>
  <c r="U882" s="1"/>
  <c r="G882"/>
  <c r="F882"/>
  <c r="L881"/>
  <c r="K881"/>
  <c r="J881"/>
  <c r="H881"/>
  <c r="U881" s="1"/>
  <c r="G881"/>
  <c r="T881" s="1"/>
  <c r="F881"/>
  <c r="S881" s="1"/>
  <c r="L880"/>
  <c r="K880"/>
  <c r="J880"/>
  <c r="H880"/>
  <c r="U880" s="1"/>
  <c r="G880"/>
  <c r="T880" s="1"/>
  <c r="F880"/>
  <c r="V879"/>
  <c r="U879"/>
  <c r="T879"/>
  <c r="S879"/>
  <c r="P879"/>
  <c r="O879"/>
  <c r="N879"/>
  <c r="S877"/>
  <c r="N877"/>
  <c r="L877"/>
  <c r="K877"/>
  <c r="H877"/>
  <c r="U877" s="1"/>
  <c r="G877"/>
  <c r="L876"/>
  <c r="L878" s="1"/>
  <c r="K876"/>
  <c r="K878" s="1"/>
  <c r="K888" s="1"/>
  <c r="J876"/>
  <c r="J878" s="1"/>
  <c r="H876"/>
  <c r="G876"/>
  <c r="G878" s="1"/>
  <c r="F876"/>
  <c r="F878" s="1"/>
  <c r="U875"/>
  <c r="T875"/>
  <c r="S875"/>
  <c r="P875"/>
  <c r="O875"/>
  <c r="N875"/>
  <c r="M875"/>
  <c r="I875"/>
  <c r="V875" s="1"/>
  <c r="U874"/>
  <c r="T874"/>
  <c r="S874"/>
  <c r="P874"/>
  <c r="O874"/>
  <c r="N874"/>
  <c r="M874"/>
  <c r="I874"/>
  <c r="V874" s="1"/>
  <c r="L872"/>
  <c r="K872"/>
  <c r="J872"/>
  <c r="M872" s="1"/>
  <c r="H872"/>
  <c r="U872" s="1"/>
  <c r="G872"/>
  <c r="T872" s="1"/>
  <c r="F872"/>
  <c r="L871"/>
  <c r="K871"/>
  <c r="J871"/>
  <c r="M871" s="1"/>
  <c r="H871"/>
  <c r="U871" s="1"/>
  <c r="G871"/>
  <c r="T871" s="1"/>
  <c r="F871"/>
  <c r="V870"/>
  <c r="U870"/>
  <c r="T870"/>
  <c r="S870"/>
  <c r="U869"/>
  <c r="T869"/>
  <c r="P869"/>
  <c r="O869"/>
  <c r="J869"/>
  <c r="M869" s="1"/>
  <c r="F869"/>
  <c r="L868"/>
  <c r="K868"/>
  <c r="J868"/>
  <c r="H868"/>
  <c r="U868" s="1"/>
  <c r="G868"/>
  <c r="T868" s="1"/>
  <c r="F868"/>
  <c r="L867"/>
  <c r="K867"/>
  <c r="H867"/>
  <c r="U867" s="1"/>
  <c r="G867"/>
  <c r="T867" s="1"/>
  <c r="F867"/>
  <c r="L866"/>
  <c r="K866"/>
  <c r="J866"/>
  <c r="H866"/>
  <c r="U866" s="1"/>
  <c r="G866"/>
  <c r="T866" s="1"/>
  <c r="F866"/>
  <c r="I866" s="1"/>
  <c r="L865"/>
  <c r="K865"/>
  <c r="J865"/>
  <c r="H865"/>
  <c r="U865" s="1"/>
  <c r="G865"/>
  <c r="T865" s="1"/>
  <c r="F865"/>
  <c r="V864"/>
  <c r="U864"/>
  <c r="T864"/>
  <c r="S864"/>
  <c r="P864"/>
  <c r="O864"/>
  <c r="N864"/>
  <c r="S862"/>
  <c r="N862"/>
  <c r="L862"/>
  <c r="K862"/>
  <c r="H862"/>
  <c r="U862" s="1"/>
  <c r="G862"/>
  <c r="T862" s="1"/>
  <c r="L861"/>
  <c r="L863" s="1"/>
  <c r="K861"/>
  <c r="K863" s="1"/>
  <c r="K873" s="1"/>
  <c r="J861"/>
  <c r="M861" s="1"/>
  <c r="H861"/>
  <c r="G861"/>
  <c r="G863" s="1"/>
  <c r="F861"/>
  <c r="U860"/>
  <c r="T860"/>
  <c r="S860"/>
  <c r="P860"/>
  <c r="O860"/>
  <c r="N860"/>
  <c r="M860"/>
  <c r="I860"/>
  <c r="V860" s="1"/>
  <c r="U859"/>
  <c r="T859"/>
  <c r="S859"/>
  <c r="P859"/>
  <c r="O859"/>
  <c r="N859"/>
  <c r="M859"/>
  <c r="I859"/>
  <c r="V859" s="1"/>
  <c r="L857"/>
  <c r="K857"/>
  <c r="J857"/>
  <c r="M857" s="1"/>
  <c r="H857"/>
  <c r="U857" s="1"/>
  <c r="G857"/>
  <c r="T857" s="1"/>
  <c r="F857"/>
  <c r="S857" s="1"/>
  <c r="L856"/>
  <c r="K856"/>
  <c r="J856"/>
  <c r="H856"/>
  <c r="U856" s="1"/>
  <c r="G856"/>
  <c r="T856" s="1"/>
  <c r="F856"/>
  <c r="S856" s="1"/>
  <c r="V855"/>
  <c r="U855"/>
  <c r="T855"/>
  <c r="S855"/>
  <c r="U854"/>
  <c r="T854"/>
  <c r="P854"/>
  <c r="O854"/>
  <c r="J854"/>
  <c r="M854" s="1"/>
  <c r="F854"/>
  <c r="S854" s="1"/>
  <c r="L853"/>
  <c r="K853"/>
  <c r="J853"/>
  <c r="H853"/>
  <c r="U853" s="1"/>
  <c r="G853"/>
  <c r="T853" s="1"/>
  <c r="F853"/>
  <c r="S853" s="1"/>
  <c r="L852"/>
  <c r="K852"/>
  <c r="J852"/>
  <c r="H852"/>
  <c r="U852" s="1"/>
  <c r="G852"/>
  <c r="F852"/>
  <c r="S852" s="1"/>
  <c r="L851"/>
  <c r="K851"/>
  <c r="J851"/>
  <c r="H851"/>
  <c r="U851" s="1"/>
  <c r="G851"/>
  <c r="T851" s="1"/>
  <c r="F851"/>
  <c r="S851" s="1"/>
  <c r="L850"/>
  <c r="K850"/>
  <c r="J850"/>
  <c r="H850"/>
  <c r="U850" s="1"/>
  <c r="G850"/>
  <c r="T850" s="1"/>
  <c r="F850"/>
  <c r="S850" s="1"/>
  <c r="V849"/>
  <c r="U849"/>
  <c r="T849"/>
  <c r="S849"/>
  <c r="P849"/>
  <c r="O849"/>
  <c r="N849"/>
  <c r="S847"/>
  <c r="N847"/>
  <c r="L847"/>
  <c r="K847"/>
  <c r="H847"/>
  <c r="U847" s="1"/>
  <c r="G847"/>
  <c r="L846"/>
  <c r="L848" s="1"/>
  <c r="L858" s="1"/>
  <c r="K846"/>
  <c r="K848" s="1"/>
  <c r="J846"/>
  <c r="J848" s="1"/>
  <c r="J858" s="1"/>
  <c r="H846"/>
  <c r="G846"/>
  <c r="G848" s="1"/>
  <c r="F846"/>
  <c r="F848" s="1"/>
  <c r="U845"/>
  <c r="T845"/>
  <c r="S845"/>
  <c r="P845"/>
  <c r="O845"/>
  <c r="N845"/>
  <c r="M845"/>
  <c r="I845"/>
  <c r="V845" s="1"/>
  <c r="V844"/>
  <c r="U844"/>
  <c r="T844"/>
  <c r="S844"/>
  <c r="P844"/>
  <c r="O844"/>
  <c r="N844"/>
  <c r="Q844" s="1"/>
  <c r="M844"/>
  <c r="L842"/>
  <c r="K842"/>
  <c r="J842"/>
  <c r="M842" s="1"/>
  <c r="H842"/>
  <c r="U842" s="1"/>
  <c r="G842"/>
  <c r="T842" s="1"/>
  <c r="F842"/>
  <c r="S842" s="1"/>
  <c r="L841"/>
  <c r="K841"/>
  <c r="J841"/>
  <c r="H841"/>
  <c r="U841" s="1"/>
  <c r="G841"/>
  <c r="T841" s="1"/>
  <c r="F841"/>
  <c r="V840"/>
  <c r="U840"/>
  <c r="T840"/>
  <c r="S840"/>
  <c r="U839"/>
  <c r="T839"/>
  <c r="P839"/>
  <c r="O839"/>
  <c r="J839"/>
  <c r="M839" s="1"/>
  <c r="F839"/>
  <c r="L838"/>
  <c r="K838"/>
  <c r="J838"/>
  <c r="M838" s="1"/>
  <c r="H838"/>
  <c r="U838" s="1"/>
  <c r="G838"/>
  <c r="T838" s="1"/>
  <c r="F838"/>
  <c r="S838" s="1"/>
  <c r="L837"/>
  <c r="K837"/>
  <c r="J837"/>
  <c r="H837"/>
  <c r="U837" s="1"/>
  <c r="G837"/>
  <c r="T837" s="1"/>
  <c r="F837"/>
  <c r="L836"/>
  <c r="K836"/>
  <c r="M836" s="1"/>
  <c r="M835" s="1"/>
  <c r="J836"/>
  <c r="H836"/>
  <c r="U836" s="1"/>
  <c r="G836"/>
  <c r="T836" s="1"/>
  <c r="F836"/>
  <c r="S836" s="1"/>
  <c r="L835"/>
  <c r="K835"/>
  <c r="J835"/>
  <c r="H835"/>
  <c r="U835" s="1"/>
  <c r="G835"/>
  <c r="T835" s="1"/>
  <c r="F835"/>
  <c r="V834"/>
  <c r="U834"/>
  <c r="T834"/>
  <c r="S834"/>
  <c r="P834"/>
  <c r="O834"/>
  <c r="N834"/>
  <c r="S832"/>
  <c r="N832"/>
  <c r="L832"/>
  <c r="K832"/>
  <c r="H832"/>
  <c r="U832" s="1"/>
  <c r="G832"/>
  <c r="L831"/>
  <c r="L833" s="1"/>
  <c r="K831"/>
  <c r="K833" s="1"/>
  <c r="K843" s="1"/>
  <c r="J831"/>
  <c r="J833" s="1"/>
  <c r="H831"/>
  <c r="H833" s="1"/>
  <c r="G831"/>
  <c r="G833" s="1"/>
  <c r="F831"/>
  <c r="F833" s="1"/>
  <c r="U830"/>
  <c r="T830"/>
  <c r="S830"/>
  <c r="P830"/>
  <c r="O830"/>
  <c r="N830"/>
  <c r="M830"/>
  <c r="I830"/>
  <c r="V830" s="1"/>
  <c r="U829"/>
  <c r="T829"/>
  <c r="S829"/>
  <c r="P829"/>
  <c r="O829"/>
  <c r="N829"/>
  <c r="M829"/>
  <c r="I829"/>
  <c r="V829" s="1"/>
  <c r="U828"/>
  <c r="T828"/>
  <c r="S828"/>
  <c r="P828"/>
  <c r="O828"/>
  <c r="N828"/>
  <c r="M828"/>
  <c r="I828"/>
  <c r="V828" s="1"/>
  <c r="L826"/>
  <c r="L933" s="1"/>
  <c r="K826"/>
  <c r="K933" s="1"/>
  <c r="J826"/>
  <c r="M826" s="1"/>
  <c r="H826"/>
  <c r="H933" s="1"/>
  <c r="G826"/>
  <c r="G933" s="1"/>
  <c r="F826"/>
  <c r="L825"/>
  <c r="L932" s="1"/>
  <c r="K825"/>
  <c r="K932" s="1"/>
  <c r="J825"/>
  <c r="M825" s="1"/>
  <c r="H825"/>
  <c r="H932" s="1"/>
  <c r="G825"/>
  <c r="G932" s="1"/>
  <c r="F825"/>
  <c r="V824"/>
  <c r="U824"/>
  <c r="T824"/>
  <c r="S824"/>
  <c r="U823"/>
  <c r="T823"/>
  <c r="P823"/>
  <c r="O823"/>
  <c r="J823"/>
  <c r="M823" s="1"/>
  <c r="F823"/>
  <c r="I823" s="1"/>
  <c r="L822"/>
  <c r="L929" s="1"/>
  <c r="K822"/>
  <c r="K929" s="1"/>
  <c r="K928" s="1"/>
  <c r="J822"/>
  <c r="M822" s="1"/>
  <c r="M821" s="1"/>
  <c r="H822"/>
  <c r="H929" s="1"/>
  <c r="G822"/>
  <c r="G929" s="1"/>
  <c r="F822"/>
  <c r="L821"/>
  <c r="K821"/>
  <c r="J821"/>
  <c r="H821"/>
  <c r="U821" s="1"/>
  <c r="G821"/>
  <c r="T821" s="1"/>
  <c r="F821"/>
  <c r="L820"/>
  <c r="L927" s="1"/>
  <c r="L926" s="1"/>
  <c r="K820"/>
  <c r="K927" s="1"/>
  <c r="K926" s="1"/>
  <c r="J820"/>
  <c r="M820" s="1"/>
  <c r="M819" s="1"/>
  <c r="H820"/>
  <c r="H927" s="1"/>
  <c r="G820"/>
  <c r="G927" s="1"/>
  <c r="F820"/>
  <c r="L819"/>
  <c r="K819"/>
  <c r="J819"/>
  <c r="H819"/>
  <c r="U819" s="1"/>
  <c r="G819"/>
  <c r="T819" s="1"/>
  <c r="F819"/>
  <c r="S819" s="1"/>
  <c r="V818"/>
  <c r="U818"/>
  <c r="T818"/>
  <c r="S818"/>
  <c r="P818"/>
  <c r="O818"/>
  <c r="N818"/>
  <c r="S816"/>
  <c r="N816"/>
  <c r="L816"/>
  <c r="L923" s="1"/>
  <c r="K816"/>
  <c r="K923" s="1"/>
  <c r="H816"/>
  <c r="H923" s="1"/>
  <c r="G816"/>
  <c r="G923" s="1"/>
  <c r="L815"/>
  <c r="K815"/>
  <c r="J815"/>
  <c r="H815"/>
  <c r="U815" s="1"/>
  <c r="G815"/>
  <c r="T815" s="1"/>
  <c r="F815"/>
  <c r="I815" s="1"/>
  <c r="L814"/>
  <c r="K814"/>
  <c r="J814"/>
  <c r="H814"/>
  <c r="U814" s="1"/>
  <c r="G814"/>
  <c r="F814"/>
  <c r="I814" s="1"/>
  <c r="L813"/>
  <c r="K813"/>
  <c r="M813" s="1"/>
  <c r="J813"/>
  <c r="H813"/>
  <c r="U813" s="1"/>
  <c r="G813"/>
  <c r="F813"/>
  <c r="S813" s="1"/>
  <c r="L812"/>
  <c r="L922" s="1"/>
  <c r="L924" s="1"/>
  <c r="K812"/>
  <c r="K922" s="1"/>
  <c r="K924" s="1"/>
  <c r="J812"/>
  <c r="J922" s="1"/>
  <c r="H812"/>
  <c r="H922" s="1"/>
  <c r="G812"/>
  <c r="G922" s="1"/>
  <c r="F812"/>
  <c r="F922" s="1"/>
  <c r="U811"/>
  <c r="T811"/>
  <c r="S811"/>
  <c r="P811"/>
  <c r="O811"/>
  <c r="N811"/>
  <c r="M811"/>
  <c r="I811"/>
  <c r="V811" s="1"/>
  <c r="U810"/>
  <c r="T810"/>
  <c r="S810"/>
  <c r="P810"/>
  <c r="O810"/>
  <c r="N810"/>
  <c r="M810"/>
  <c r="I810"/>
  <c r="V810" s="1"/>
  <c r="V806"/>
  <c r="U806"/>
  <c r="T806"/>
  <c r="S806"/>
  <c r="L805"/>
  <c r="K805"/>
  <c r="H805"/>
  <c r="U805" s="1"/>
  <c r="G805"/>
  <c r="T805" s="1"/>
  <c r="V800"/>
  <c r="U800"/>
  <c r="T800"/>
  <c r="S800"/>
  <c r="P800"/>
  <c r="O800"/>
  <c r="N800"/>
  <c r="J798"/>
  <c r="F798"/>
  <c r="S798" s="1"/>
  <c r="U796"/>
  <c r="T796"/>
  <c r="S796"/>
  <c r="P796"/>
  <c r="O796"/>
  <c r="N796"/>
  <c r="M796"/>
  <c r="I796"/>
  <c r="V796" s="1"/>
  <c r="U795"/>
  <c r="T795"/>
  <c r="S795"/>
  <c r="P795"/>
  <c r="O795"/>
  <c r="N795"/>
  <c r="M795"/>
  <c r="I795"/>
  <c r="V795" s="1"/>
  <c r="L792"/>
  <c r="K792"/>
  <c r="J792"/>
  <c r="M792" s="1"/>
  <c r="H792"/>
  <c r="U792" s="1"/>
  <c r="G792"/>
  <c r="T792" s="1"/>
  <c r="F792"/>
  <c r="L791"/>
  <c r="K791"/>
  <c r="J791"/>
  <c r="M791" s="1"/>
  <c r="H791"/>
  <c r="U791" s="1"/>
  <c r="G791"/>
  <c r="T791" s="1"/>
  <c r="F791"/>
  <c r="V790"/>
  <c r="U790"/>
  <c r="T790"/>
  <c r="S790"/>
  <c r="U789"/>
  <c r="T789"/>
  <c r="P789"/>
  <c r="O789"/>
  <c r="J789"/>
  <c r="M789" s="1"/>
  <c r="F789"/>
  <c r="I789" s="1"/>
  <c r="L788"/>
  <c r="K788"/>
  <c r="J788"/>
  <c r="M788" s="1"/>
  <c r="M787" s="1"/>
  <c r="H788"/>
  <c r="U788" s="1"/>
  <c r="G788"/>
  <c r="T788" s="1"/>
  <c r="F788"/>
  <c r="L787"/>
  <c r="K787"/>
  <c r="J787"/>
  <c r="H787"/>
  <c r="U787" s="1"/>
  <c r="G787"/>
  <c r="F787"/>
  <c r="S787" s="1"/>
  <c r="L786"/>
  <c r="K786"/>
  <c r="J786"/>
  <c r="H786"/>
  <c r="U786" s="1"/>
  <c r="G786"/>
  <c r="T786" s="1"/>
  <c r="F786"/>
  <c r="I786" s="1"/>
  <c r="L785"/>
  <c r="K785"/>
  <c r="J785"/>
  <c r="H785"/>
  <c r="U785" s="1"/>
  <c r="G785"/>
  <c r="T785" s="1"/>
  <c r="F785"/>
  <c r="S785" s="1"/>
  <c r="V784"/>
  <c r="U784"/>
  <c r="T784"/>
  <c r="S784"/>
  <c r="P784"/>
  <c r="O784"/>
  <c r="N784"/>
  <c r="S782"/>
  <c r="N782"/>
  <c r="L782"/>
  <c r="K782"/>
  <c r="H782"/>
  <c r="U782" s="1"/>
  <c r="G782"/>
  <c r="T782" s="1"/>
  <c r="L781"/>
  <c r="L783" s="1"/>
  <c r="L793" s="1"/>
  <c r="K781"/>
  <c r="K783" s="1"/>
  <c r="J781"/>
  <c r="M781" s="1"/>
  <c r="H781"/>
  <c r="H783" s="1"/>
  <c r="G781"/>
  <c r="G783" s="1"/>
  <c r="F781"/>
  <c r="U780"/>
  <c r="T780"/>
  <c r="S780"/>
  <c r="P780"/>
  <c r="O780"/>
  <c r="N780"/>
  <c r="M780"/>
  <c r="I780"/>
  <c r="V780" s="1"/>
  <c r="U779"/>
  <c r="T779"/>
  <c r="S779"/>
  <c r="P779"/>
  <c r="O779"/>
  <c r="N779"/>
  <c r="M779"/>
  <c r="I779"/>
  <c r="V779" s="1"/>
  <c r="L777"/>
  <c r="K777"/>
  <c r="J777"/>
  <c r="M777" s="1"/>
  <c r="H777"/>
  <c r="U777" s="1"/>
  <c r="G777"/>
  <c r="T777" s="1"/>
  <c r="F777"/>
  <c r="S777" s="1"/>
  <c r="L776"/>
  <c r="K776"/>
  <c r="J776"/>
  <c r="H776"/>
  <c r="U776" s="1"/>
  <c r="G776"/>
  <c r="T776" s="1"/>
  <c r="F776"/>
  <c r="S776" s="1"/>
  <c r="V775"/>
  <c r="U775"/>
  <c r="T775"/>
  <c r="S775"/>
  <c r="U774"/>
  <c r="T774"/>
  <c r="P774"/>
  <c r="O774"/>
  <c r="J774"/>
  <c r="M774" s="1"/>
  <c r="F774"/>
  <c r="S774" s="1"/>
  <c r="L773"/>
  <c r="K773"/>
  <c r="J773"/>
  <c r="M773" s="1"/>
  <c r="H773"/>
  <c r="U773" s="1"/>
  <c r="G773"/>
  <c r="T773" s="1"/>
  <c r="F773"/>
  <c r="S773" s="1"/>
  <c r="L772"/>
  <c r="K772"/>
  <c r="J772"/>
  <c r="H772"/>
  <c r="U772" s="1"/>
  <c r="G772"/>
  <c r="T772" s="1"/>
  <c r="F772"/>
  <c r="L771"/>
  <c r="K771"/>
  <c r="J771"/>
  <c r="M771" s="1"/>
  <c r="M770" s="1"/>
  <c r="H771"/>
  <c r="U771" s="1"/>
  <c r="G771"/>
  <c r="T771" s="1"/>
  <c r="F771"/>
  <c r="S771" s="1"/>
  <c r="L770"/>
  <c r="K770"/>
  <c r="J770"/>
  <c r="H770"/>
  <c r="U770" s="1"/>
  <c r="G770"/>
  <c r="T770" s="1"/>
  <c r="F770"/>
  <c r="V769"/>
  <c r="U769"/>
  <c r="T769"/>
  <c r="S769"/>
  <c r="P769"/>
  <c r="O769"/>
  <c r="N769"/>
  <c r="S767"/>
  <c r="N767"/>
  <c r="L767"/>
  <c r="K767"/>
  <c r="H767"/>
  <c r="U767" s="1"/>
  <c r="G767"/>
  <c r="L766"/>
  <c r="L768" s="1"/>
  <c r="K766"/>
  <c r="K768" s="1"/>
  <c r="K778" s="1"/>
  <c r="J766"/>
  <c r="J768" s="1"/>
  <c r="H766"/>
  <c r="H768" s="1"/>
  <c r="G766"/>
  <c r="G768" s="1"/>
  <c r="F766"/>
  <c r="F768" s="1"/>
  <c r="U765"/>
  <c r="T765"/>
  <c r="S765"/>
  <c r="P765"/>
  <c r="O765"/>
  <c r="N765"/>
  <c r="M765"/>
  <c r="I765"/>
  <c r="V765" s="1"/>
  <c r="U764"/>
  <c r="T764"/>
  <c r="S764"/>
  <c r="P764"/>
  <c r="O764"/>
  <c r="N764"/>
  <c r="M764"/>
  <c r="I764"/>
  <c r="V764" s="1"/>
  <c r="L762"/>
  <c r="K762"/>
  <c r="J762"/>
  <c r="M762" s="1"/>
  <c r="H762"/>
  <c r="U762" s="1"/>
  <c r="G762"/>
  <c r="T762" s="1"/>
  <c r="F762"/>
  <c r="I762" s="1"/>
  <c r="L761"/>
  <c r="K761"/>
  <c r="J761"/>
  <c r="H761"/>
  <c r="U761" s="1"/>
  <c r="G761"/>
  <c r="T761" s="1"/>
  <c r="F761"/>
  <c r="I761" s="1"/>
  <c r="V760"/>
  <c r="U760"/>
  <c r="T760"/>
  <c r="S760"/>
  <c r="U759"/>
  <c r="T759"/>
  <c r="P759"/>
  <c r="O759"/>
  <c r="J759"/>
  <c r="M759" s="1"/>
  <c r="F759"/>
  <c r="I759" s="1"/>
  <c r="L758"/>
  <c r="K758"/>
  <c r="J758"/>
  <c r="H758"/>
  <c r="U758" s="1"/>
  <c r="G758"/>
  <c r="T758" s="1"/>
  <c r="F758"/>
  <c r="L757"/>
  <c r="K757"/>
  <c r="J757"/>
  <c r="H757"/>
  <c r="U757" s="1"/>
  <c r="G757"/>
  <c r="F757"/>
  <c r="S757" s="1"/>
  <c r="L756"/>
  <c r="K756"/>
  <c r="J756"/>
  <c r="H756"/>
  <c r="U756" s="1"/>
  <c r="G756"/>
  <c r="T756" s="1"/>
  <c r="F756"/>
  <c r="I756" s="1"/>
  <c r="L755"/>
  <c r="K755"/>
  <c r="J755"/>
  <c r="H755"/>
  <c r="U755" s="1"/>
  <c r="G755"/>
  <c r="T755" s="1"/>
  <c r="F755"/>
  <c r="S755" s="1"/>
  <c r="V754"/>
  <c r="U754"/>
  <c r="T754"/>
  <c r="S754"/>
  <c r="P754"/>
  <c r="O754"/>
  <c r="Q754" s="1"/>
  <c r="N754"/>
  <c r="S752"/>
  <c r="N752"/>
  <c r="L752"/>
  <c r="K752"/>
  <c r="H752"/>
  <c r="U752" s="1"/>
  <c r="G752"/>
  <c r="T752" s="1"/>
  <c r="L751"/>
  <c r="L753" s="1"/>
  <c r="L763" s="1"/>
  <c r="K751"/>
  <c r="K753" s="1"/>
  <c r="J751"/>
  <c r="J753" s="1"/>
  <c r="J763" s="1"/>
  <c r="H751"/>
  <c r="H753" s="1"/>
  <c r="G751"/>
  <c r="G753" s="1"/>
  <c r="F751"/>
  <c r="F753" s="1"/>
  <c r="U750"/>
  <c r="T750"/>
  <c r="S750"/>
  <c r="P750"/>
  <c r="O750"/>
  <c r="Q750" s="1"/>
  <c r="N750"/>
  <c r="M750"/>
  <c r="I750"/>
  <c r="V750" s="1"/>
  <c r="U749"/>
  <c r="T749"/>
  <c r="S749"/>
  <c r="P749"/>
  <c r="O749"/>
  <c r="Q749" s="1"/>
  <c r="N749"/>
  <c r="M749"/>
  <c r="I749"/>
  <c r="V749" s="1"/>
  <c r="L747"/>
  <c r="K747"/>
  <c r="J747"/>
  <c r="M747" s="1"/>
  <c r="H747"/>
  <c r="U747" s="1"/>
  <c r="G747"/>
  <c r="T747" s="1"/>
  <c r="F747"/>
  <c r="S747" s="1"/>
  <c r="L746"/>
  <c r="K746"/>
  <c r="J746"/>
  <c r="H746"/>
  <c r="U746" s="1"/>
  <c r="G746"/>
  <c r="T746" s="1"/>
  <c r="F746"/>
  <c r="S746" s="1"/>
  <c r="V745"/>
  <c r="U745"/>
  <c r="T745"/>
  <c r="S745"/>
  <c r="U744"/>
  <c r="T744"/>
  <c r="P744"/>
  <c r="O744"/>
  <c r="J744"/>
  <c r="M744" s="1"/>
  <c r="F744"/>
  <c r="L743"/>
  <c r="K743"/>
  <c r="J743"/>
  <c r="M743" s="1"/>
  <c r="H743"/>
  <c r="U743" s="1"/>
  <c r="G743"/>
  <c r="T743" s="1"/>
  <c r="F743"/>
  <c r="S743" s="1"/>
  <c r="L742"/>
  <c r="K742"/>
  <c r="J742"/>
  <c r="H742"/>
  <c r="U742" s="1"/>
  <c r="G742"/>
  <c r="T742" s="1"/>
  <c r="F742"/>
  <c r="L741"/>
  <c r="K741"/>
  <c r="J741"/>
  <c r="H741"/>
  <c r="U741" s="1"/>
  <c r="G741"/>
  <c r="T741" s="1"/>
  <c r="F741"/>
  <c r="S741" s="1"/>
  <c r="L740"/>
  <c r="K740"/>
  <c r="J740"/>
  <c r="H740"/>
  <c r="U740" s="1"/>
  <c r="G740"/>
  <c r="T740" s="1"/>
  <c r="F740"/>
  <c r="V739"/>
  <c r="U739"/>
  <c r="T739"/>
  <c r="S739"/>
  <c r="P739"/>
  <c r="O739"/>
  <c r="N739"/>
  <c r="S737"/>
  <c r="N737"/>
  <c r="L737"/>
  <c r="K737"/>
  <c r="H737"/>
  <c r="U737" s="1"/>
  <c r="G737"/>
  <c r="L736"/>
  <c r="L738" s="1"/>
  <c r="K736"/>
  <c r="K738" s="1"/>
  <c r="K748" s="1"/>
  <c r="J736"/>
  <c r="J738" s="1"/>
  <c r="H736"/>
  <c r="H738" s="1"/>
  <c r="G736"/>
  <c r="G738" s="1"/>
  <c r="F736"/>
  <c r="F738" s="1"/>
  <c r="U735"/>
  <c r="T735"/>
  <c r="S735"/>
  <c r="P735"/>
  <c r="O735"/>
  <c r="N735"/>
  <c r="M735"/>
  <c r="I735"/>
  <c r="V735" s="1"/>
  <c r="U734"/>
  <c r="T734"/>
  <c r="S734"/>
  <c r="P734"/>
  <c r="O734"/>
  <c r="N734"/>
  <c r="M734"/>
  <c r="I734"/>
  <c r="V734" s="1"/>
  <c r="U733"/>
  <c r="T733"/>
  <c r="S733"/>
  <c r="P733"/>
  <c r="O733"/>
  <c r="N733"/>
  <c r="M733"/>
  <c r="I733"/>
  <c r="V733" s="1"/>
  <c r="L731"/>
  <c r="L808" s="1"/>
  <c r="K731"/>
  <c r="K808" s="1"/>
  <c r="J731"/>
  <c r="J808" s="1"/>
  <c r="H731"/>
  <c r="H808" s="1"/>
  <c r="G731"/>
  <c r="T731" s="1"/>
  <c r="F731"/>
  <c r="F808" s="1"/>
  <c r="L730"/>
  <c r="L807" s="1"/>
  <c r="K730"/>
  <c r="J730"/>
  <c r="J807" s="1"/>
  <c r="H730"/>
  <c r="H807" s="1"/>
  <c r="G730"/>
  <c r="T730" s="1"/>
  <c r="F730"/>
  <c r="F807" s="1"/>
  <c r="V729"/>
  <c r="U729"/>
  <c r="T729"/>
  <c r="S729"/>
  <c r="U728"/>
  <c r="T728"/>
  <c r="P728"/>
  <c r="O728"/>
  <c r="M728"/>
  <c r="J728"/>
  <c r="J805" s="1"/>
  <c r="M805" s="1"/>
  <c r="F728"/>
  <c r="F805" s="1"/>
  <c r="L727"/>
  <c r="L804" s="1"/>
  <c r="L803" s="1"/>
  <c r="K727"/>
  <c r="J727"/>
  <c r="J804" s="1"/>
  <c r="H727"/>
  <c r="H804" s="1"/>
  <c r="G727"/>
  <c r="T727" s="1"/>
  <c r="F727"/>
  <c r="F804" s="1"/>
  <c r="L726"/>
  <c r="K726"/>
  <c r="J726"/>
  <c r="H726"/>
  <c r="U726" s="1"/>
  <c r="G726"/>
  <c r="T726" s="1"/>
  <c r="F726"/>
  <c r="L725"/>
  <c r="L802" s="1"/>
  <c r="L801" s="1"/>
  <c r="K725"/>
  <c r="J725"/>
  <c r="J802" s="1"/>
  <c r="H725"/>
  <c r="H802" s="1"/>
  <c r="G725"/>
  <c r="T725" s="1"/>
  <c r="F725"/>
  <c r="F802" s="1"/>
  <c r="L724"/>
  <c r="K724"/>
  <c r="J724"/>
  <c r="H724"/>
  <c r="U724" s="1"/>
  <c r="G724"/>
  <c r="T724" s="1"/>
  <c r="F724"/>
  <c r="V723"/>
  <c r="U723"/>
  <c r="T723"/>
  <c r="S723"/>
  <c r="P723"/>
  <c r="O723"/>
  <c r="N723"/>
  <c r="S721"/>
  <c r="N721"/>
  <c r="L721"/>
  <c r="L798" s="1"/>
  <c r="K721"/>
  <c r="H721"/>
  <c r="H798" s="1"/>
  <c r="G721"/>
  <c r="L720"/>
  <c r="K720"/>
  <c r="J720"/>
  <c r="M720" s="1"/>
  <c r="H720"/>
  <c r="U720" s="1"/>
  <c r="G720"/>
  <c r="T720" s="1"/>
  <c r="F720"/>
  <c r="I720" s="1"/>
  <c r="L719"/>
  <c r="K719"/>
  <c r="M719" s="1"/>
  <c r="J719"/>
  <c r="H719"/>
  <c r="U719" s="1"/>
  <c r="G719"/>
  <c r="F719"/>
  <c r="S719" s="1"/>
  <c r="L718"/>
  <c r="K718"/>
  <c r="M718" s="1"/>
  <c r="J718"/>
  <c r="H718"/>
  <c r="U718" s="1"/>
  <c r="G718"/>
  <c r="F718"/>
  <c r="S718" s="1"/>
  <c r="L717"/>
  <c r="L797" s="1"/>
  <c r="L799" s="1"/>
  <c r="K717"/>
  <c r="K797" s="1"/>
  <c r="J717"/>
  <c r="J797" s="1"/>
  <c r="H717"/>
  <c r="H797" s="1"/>
  <c r="G717"/>
  <c r="F717"/>
  <c r="F797" s="1"/>
  <c r="U716"/>
  <c r="T716"/>
  <c r="S716"/>
  <c r="P716"/>
  <c r="O716"/>
  <c r="N716"/>
  <c r="M716"/>
  <c r="I716"/>
  <c r="V716" s="1"/>
  <c r="U715"/>
  <c r="T715"/>
  <c r="S715"/>
  <c r="P715"/>
  <c r="O715"/>
  <c r="N715"/>
  <c r="M715"/>
  <c r="I715"/>
  <c r="V715" s="1"/>
  <c r="V711"/>
  <c r="U711"/>
  <c r="T711"/>
  <c r="S711"/>
  <c r="L710"/>
  <c r="K710"/>
  <c r="H710"/>
  <c r="U710" s="1"/>
  <c r="G710"/>
  <c r="T710" s="1"/>
  <c r="V705"/>
  <c r="U705"/>
  <c r="T705"/>
  <c r="S705"/>
  <c r="P705"/>
  <c r="O705"/>
  <c r="N705"/>
  <c r="J703"/>
  <c r="F703"/>
  <c r="S703" s="1"/>
  <c r="U701"/>
  <c r="T701"/>
  <c r="S701"/>
  <c r="P701"/>
  <c r="O701"/>
  <c r="N701"/>
  <c r="M701"/>
  <c r="I701"/>
  <c r="V701" s="1"/>
  <c r="U700"/>
  <c r="T700"/>
  <c r="S700"/>
  <c r="P700"/>
  <c r="O700"/>
  <c r="N700"/>
  <c r="M700"/>
  <c r="I700"/>
  <c r="V700" s="1"/>
  <c r="L697"/>
  <c r="K697"/>
  <c r="J697"/>
  <c r="M697" s="1"/>
  <c r="H697"/>
  <c r="U697" s="1"/>
  <c r="G697"/>
  <c r="T697" s="1"/>
  <c r="F697"/>
  <c r="L696"/>
  <c r="K696"/>
  <c r="J696"/>
  <c r="M696" s="1"/>
  <c r="H696"/>
  <c r="U696" s="1"/>
  <c r="G696"/>
  <c r="T696" s="1"/>
  <c r="F696"/>
  <c r="V695"/>
  <c r="U695"/>
  <c r="T695"/>
  <c r="S695"/>
  <c r="U694"/>
  <c r="T694"/>
  <c r="P694"/>
  <c r="O694"/>
  <c r="J694"/>
  <c r="M694" s="1"/>
  <c r="F694"/>
  <c r="I694" s="1"/>
  <c r="L693"/>
  <c r="K693"/>
  <c r="J693"/>
  <c r="M693" s="1"/>
  <c r="M692" s="1"/>
  <c r="H693"/>
  <c r="U693" s="1"/>
  <c r="G693"/>
  <c r="T693" s="1"/>
  <c r="F693"/>
  <c r="I693" s="1"/>
  <c r="L692"/>
  <c r="K692"/>
  <c r="J692"/>
  <c r="H692"/>
  <c r="U692" s="1"/>
  <c r="G692"/>
  <c r="F692"/>
  <c r="L691"/>
  <c r="K691"/>
  <c r="J691"/>
  <c r="M691" s="1"/>
  <c r="M690" s="1"/>
  <c r="H691"/>
  <c r="U691" s="1"/>
  <c r="G691"/>
  <c r="T691" s="1"/>
  <c r="F691"/>
  <c r="I691" s="1"/>
  <c r="L690"/>
  <c r="K690"/>
  <c r="J690"/>
  <c r="H690"/>
  <c r="U690" s="1"/>
  <c r="G690"/>
  <c r="T690" s="1"/>
  <c r="F690"/>
  <c r="V689"/>
  <c r="U689"/>
  <c r="T689"/>
  <c r="S689"/>
  <c r="P689"/>
  <c r="O689"/>
  <c r="N689"/>
  <c r="S687"/>
  <c r="N687"/>
  <c r="L687"/>
  <c r="K687"/>
  <c r="H687"/>
  <c r="U687" s="1"/>
  <c r="G687"/>
  <c r="T687" s="1"/>
  <c r="L686"/>
  <c r="L688" s="1"/>
  <c r="K686"/>
  <c r="K688" s="1"/>
  <c r="J686"/>
  <c r="M686" s="1"/>
  <c r="H686"/>
  <c r="H688" s="1"/>
  <c r="G686"/>
  <c r="G688" s="1"/>
  <c r="F686"/>
  <c r="U685"/>
  <c r="T685"/>
  <c r="S685"/>
  <c r="P685"/>
  <c r="O685"/>
  <c r="N685"/>
  <c r="M685"/>
  <c r="I685"/>
  <c r="V685" s="1"/>
  <c r="U684"/>
  <c r="T684"/>
  <c r="S684"/>
  <c r="P684"/>
  <c r="O684"/>
  <c r="N684"/>
  <c r="M684"/>
  <c r="I684"/>
  <c r="V684" s="1"/>
  <c r="L682"/>
  <c r="K682"/>
  <c r="J682"/>
  <c r="M682" s="1"/>
  <c r="H682"/>
  <c r="U682" s="1"/>
  <c r="G682"/>
  <c r="T682" s="1"/>
  <c r="F682"/>
  <c r="S682" s="1"/>
  <c r="L681"/>
  <c r="K681"/>
  <c r="J681"/>
  <c r="H681"/>
  <c r="U681" s="1"/>
  <c r="G681"/>
  <c r="T681" s="1"/>
  <c r="F681"/>
  <c r="S681" s="1"/>
  <c r="V680"/>
  <c r="U680"/>
  <c r="T680"/>
  <c r="S680"/>
  <c r="U679"/>
  <c r="T679"/>
  <c r="P679"/>
  <c r="O679"/>
  <c r="J679"/>
  <c r="M679" s="1"/>
  <c r="F679"/>
  <c r="S679" s="1"/>
  <c r="L678"/>
  <c r="K678"/>
  <c r="J678"/>
  <c r="M678" s="1"/>
  <c r="H678"/>
  <c r="U678" s="1"/>
  <c r="G678"/>
  <c r="T678" s="1"/>
  <c r="F678"/>
  <c r="S678" s="1"/>
  <c r="L677"/>
  <c r="K677"/>
  <c r="J677"/>
  <c r="H677"/>
  <c r="G677"/>
  <c r="F677"/>
  <c r="L676"/>
  <c r="K676"/>
  <c r="J676"/>
  <c r="H676"/>
  <c r="U676" s="1"/>
  <c r="G676"/>
  <c r="T676" s="1"/>
  <c r="F676"/>
  <c r="S676" s="1"/>
  <c r="L675"/>
  <c r="K675"/>
  <c r="J675"/>
  <c r="H675"/>
  <c r="U675" s="1"/>
  <c r="G675"/>
  <c r="T675" s="1"/>
  <c r="F675"/>
  <c r="V674"/>
  <c r="U674"/>
  <c r="T674"/>
  <c r="S674"/>
  <c r="P674"/>
  <c r="O674"/>
  <c r="N674"/>
  <c r="S672"/>
  <c r="N672"/>
  <c r="L672"/>
  <c r="K672"/>
  <c r="H672"/>
  <c r="U672" s="1"/>
  <c r="G672"/>
  <c r="L671"/>
  <c r="L673" s="1"/>
  <c r="K671"/>
  <c r="K673" s="1"/>
  <c r="J671"/>
  <c r="J673" s="1"/>
  <c r="H671"/>
  <c r="H673" s="1"/>
  <c r="G671"/>
  <c r="G673" s="1"/>
  <c r="F671"/>
  <c r="F673" s="1"/>
  <c r="U670"/>
  <c r="T670"/>
  <c r="S670"/>
  <c r="P670"/>
  <c r="O670"/>
  <c r="N670"/>
  <c r="M670"/>
  <c r="I670"/>
  <c r="V670" s="1"/>
  <c r="U669"/>
  <c r="T669"/>
  <c r="S669"/>
  <c r="P669"/>
  <c r="O669"/>
  <c r="N669"/>
  <c r="M669"/>
  <c r="I669"/>
  <c r="V669" s="1"/>
  <c r="L667"/>
  <c r="K667"/>
  <c r="J667"/>
  <c r="H667"/>
  <c r="G667"/>
  <c r="T667" s="1"/>
  <c r="F667"/>
  <c r="L666"/>
  <c r="K666"/>
  <c r="J666"/>
  <c r="H666"/>
  <c r="G666"/>
  <c r="T666" s="1"/>
  <c r="F666"/>
  <c r="V665"/>
  <c r="U665"/>
  <c r="T665"/>
  <c r="S665"/>
  <c r="U664"/>
  <c r="T664"/>
  <c r="P664"/>
  <c r="O664"/>
  <c r="M664"/>
  <c r="J664"/>
  <c r="F664"/>
  <c r="L663"/>
  <c r="K663"/>
  <c r="J663"/>
  <c r="H663"/>
  <c r="G663"/>
  <c r="T663" s="1"/>
  <c r="F663"/>
  <c r="L662"/>
  <c r="K662"/>
  <c r="J662"/>
  <c r="H662"/>
  <c r="U662" s="1"/>
  <c r="G662"/>
  <c r="F662"/>
  <c r="L661"/>
  <c r="K661"/>
  <c r="M661" s="1"/>
  <c r="M660" s="1"/>
  <c r="J661"/>
  <c r="H661"/>
  <c r="G661"/>
  <c r="T661" s="1"/>
  <c r="F661"/>
  <c r="L660"/>
  <c r="K660"/>
  <c r="J660"/>
  <c r="H660"/>
  <c r="U660" s="1"/>
  <c r="G660"/>
  <c r="T660" s="1"/>
  <c r="F660"/>
  <c r="V659"/>
  <c r="U659"/>
  <c r="T659"/>
  <c r="S659"/>
  <c r="P659"/>
  <c r="O659"/>
  <c r="N659"/>
  <c r="S657"/>
  <c r="N657"/>
  <c r="L657"/>
  <c r="K657"/>
  <c r="H657"/>
  <c r="U657" s="1"/>
  <c r="G657"/>
  <c r="T657" s="1"/>
  <c r="L656"/>
  <c r="L658" s="1"/>
  <c r="K656"/>
  <c r="K658" s="1"/>
  <c r="J656"/>
  <c r="J658" s="1"/>
  <c r="H656"/>
  <c r="H658" s="1"/>
  <c r="G656"/>
  <c r="G658" s="1"/>
  <c r="F656"/>
  <c r="F658" s="1"/>
  <c r="U655"/>
  <c r="T655"/>
  <c r="S655"/>
  <c r="P655"/>
  <c r="O655"/>
  <c r="N655"/>
  <c r="M655"/>
  <c r="I655"/>
  <c r="V655" s="1"/>
  <c r="U654"/>
  <c r="T654"/>
  <c r="S654"/>
  <c r="P654"/>
  <c r="O654"/>
  <c r="N654"/>
  <c r="M654"/>
  <c r="I654"/>
  <c r="V654" s="1"/>
  <c r="U653"/>
  <c r="T653"/>
  <c r="S653"/>
  <c r="P653"/>
  <c r="O653"/>
  <c r="N653"/>
  <c r="M653"/>
  <c r="I653"/>
  <c r="V653" s="1"/>
  <c r="L651"/>
  <c r="K651"/>
  <c r="J651"/>
  <c r="H651"/>
  <c r="U651" s="1"/>
  <c r="G651"/>
  <c r="T651" s="1"/>
  <c r="F651"/>
  <c r="S651" s="1"/>
  <c r="L650"/>
  <c r="K650"/>
  <c r="J650"/>
  <c r="H650"/>
  <c r="U650" s="1"/>
  <c r="G650"/>
  <c r="T650" s="1"/>
  <c r="F650"/>
  <c r="S650" s="1"/>
  <c r="V649"/>
  <c r="U649"/>
  <c r="T649"/>
  <c r="S649"/>
  <c r="U648"/>
  <c r="T648"/>
  <c r="P648"/>
  <c r="O648"/>
  <c r="J648"/>
  <c r="M648" s="1"/>
  <c r="F648"/>
  <c r="S648" s="1"/>
  <c r="L647"/>
  <c r="K647"/>
  <c r="J647"/>
  <c r="H647"/>
  <c r="U647" s="1"/>
  <c r="G647"/>
  <c r="T647" s="1"/>
  <c r="F647"/>
  <c r="S647" s="1"/>
  <c r="L646"/>
  <c r="K646"/>
  <c r="J646"/>
  <c r="H646"/>
  <c r="U646" s="1"/>
  <c r="G646"/>
  <c r="T646" s="1"/>
  <c r="F646"/>
  <c r="L645"/>
  <c r="K645"/>
  <c r="J645"/>
  <c r="H645"/>
  <c r="U645" s="1"/>
  <c r="G645"/>
  <c r="T645" s="1"/>
  <c r="F645"/>
  <c r="S645" s="1"/>
  <c r="L644"/>
  <c r="K644"/>
  <c r="J644"/>
  <c r="H644"/>
  <c r="U644" s="1"/>
  <c r="G644"/>
  <c r="T644" s="1"/>
  <c r="F644"/>
  <c r="V643"/>
  <c r="U643"/>
  <c r="T643"/>
  <c r="S643"/>
  <c r="S641"/>
  <c r="N641"/>
  <c r="L641"/>
  <c r="L703" s="1"/>
  <c r="K641"/>
  <c r="K703" s="1"/>
  <c r="H641"/>
  <c r="H703" s="1"/>
  <c r="G641"/>
  <c r="L640"/>
  <c r="K640"/>
  <c r="J640"/>
  <c r="M640" s="1"/>
  <c r="H640"/>
  <c r="U640" s="1"/>
  <c r="G640"/>
  <c r="T640" s="1"/>
  <c r="F640"/>
  <c r="S640" s="1"/>
  <c r="L639"/>
  <c r="K639"/>
  <c r="J639"/>
  <c r="M639" s="1"/>
  <c r="H639"/>
  <c r="U639" s="1"/>
  <c r="G639"/>
  <c r="T639" s="1"/>
  <c r="F639"/>
  <c r="S639" s="1"/>
  <c r="L638"/>
  <c r="K638"/>
  <c r="J638"/>
  <c r="M638" s="1"/>
  <c r="M637" s="1"/>
  <c r="H638"/>
  <c r="U638" s="1"/>
  <c r="G638"/>
  <c r="T638" s="1"/>
  <c r="F638"/>
  <c r="S638" s="1"/>
  <c r="L637"/>
  <c r="L702" s="1"/>
  <c r="L704" s="1"/>
  <c r="K637"/>
  <c r="K702" s="1"/>
  <c r="K704" s="1"/>
  <c r="J637"/>
  <c r="J702" s="1"/>
  <c r="H637"/>
  <c r="H702" s="1"/>
  <c r="G637"/>
  <c r="G702" s="1"/>
  <c r="F637"/>
  <c r="F702" s="1"/>
  <c r="U636"/>
  <c r="T636"/>
  <c r="S636"/>
  <c r="P636"/>
  <c r="O636"/>
  <c r="N636"/>
  <c r="M636"/>
  <c r="I636"/>
  <c r="V636" s="1"/>
  <c r="U635"/>
  <c r="T635"/>
  <c r="S635"/>
  <c r="P635"/>
  <c r="O635"/>
  <c r="N635"/>
  <c r="M635"/>
  <c r="I635"/>
  <c r="V635" s="1"/>
  <c r="U631"/>
  <c r="T631"/>
  <c r="S631"/>
  <c r="P631"/>
  <c r="O631"/>
  <c r="N631"/>
  <c r="M631"/>
  <c r="I631"/>
  <c r="V631" s="1"/>
  <c r="L630"/>
  <c r="K630"/>
  <c r="H630"/>
  <c r="U630" s="1"/>
  <c r="G630"/>
  <c r="T630" s="1"/>
  <c r="V625"/>
  <c r="U625"/>
  <c r="T625"/>
  <c r="S625"/>
  <c r="P625"/>
  <c r="O625"/>
  <c r="N625"/>
  <c r="J623"/>
  <c r="F623"/>
  <c r="S623" s="1"/>
  <c r="U621"/>
  <c r="T621"/>
  <c r="S621"/>
  <c r="P621"/>
  <c r="O621"/>
  <c r="N621"/>
  <c r="M621"/>
  <c r="I621"/>
  <c r="V621" s="1"/>
  <c r="U620"/>
  <c r="T620"/>
  <c r="S620"/>
  <c r="P620"/>
  <c r="O620"/>
  <c r="N620"/>
  <c r="M620"/>
  <c r="I620"/>
  <c r="V620" s="1"/>
  <c r="L617"/>
  <c r="K617"/>
  <c r="J617"/>
  <c r="H617"/>
  <c r="U617" s="1"/>
  <c r="G617"/>
  <c r="T617" s="1"/>
  <c r="F617"/>
  <c r="L616"/>
  <c r="K616"/>
  <c r="J616"/>
  <c r="H616"/>
  <c r="U616" s="1"/>
  <c r="G616"/>
  <c r="T616" s="1"/>
  <c r="F616"/>
  <c r="U615"/>
  <c r="T615"/>
  <c r="S615"/>
  <c r="P615"/>
  <c r="O615"/>
  <c r="N615"/>
  <c r="M615"/>
  <c r="I615"/>
  <c r="V615" s="1"/>
  <c r="U614"/>
  <c r="T614"/>
  <c r="P614"/>
  <c r="O614"/>
  <c r="J614"/>
  <c r="M614" s="1"/>
  <c r="F614"/>
  <c r="I614" s="1"/>
  <c r="L613"/>
  <c r="K613"/>
  <c r="J613"/>
  <c r="H613"/>
  <c r="U613" s="1"/>
  <c r="G613"/>
  <c r="T613" s="1"/>
  <c r="F613"/>
  <c r="I613" s="1"/>
  <c r="L612"/>
  <c r="K612"/>
  <c r="J612"/>
  <c r="H612"/>
  <c r="U612" s="1"/>
  <c r="G612"/>
  <c r="T612" s="1"/>
  <c r="F612"/>
  <c r="L611"/>
  <c r="K611"/>
  <c r="J611"/>
  <c r="H611"/>
  <c r="U611" s="1"/>
  <c r="G611"/>
  <c r="T611" s="1"/>
  <c r="F611"/>
  <c r="I611" s="1"/>
  <c r="L610"/>
  <c r="K610"/>
  <c r="J610"/>
  <c r="H610"/>
  <c r="U610" s="1"/>
  <c r="G610"/>
  <c r="T610" s="1"/>
  <c r="F610"/>
  <c r="V609"/>
  <c r="U609"/>
  <c r="T609"/>
  <c r="S609"/>
  <c r="P609"/>
  <c r="O609"/>
  <c r="N609"/>
  <c r="S607"/>
  <c r="N607"/>
  <c r="L607"/>
  <c r="K607"/>
  <c r="M607" s="1"/>
  <c r="H607"/>
  <c r="G607"/>
  <c r="T607" s="1"/>
  <c r="L606"/>
  <c r="L608" s="1"/>
  <c r="K606"/>
  <c r="K608" s="1"/>
  <c r="J606"/>
  <c r="M606" s="1"/>
  <c r="H606"/>
  <c r="H608" s="1"/>
  <c r="G606"/>
  <c r="G608" s="1"/>
  <c r="F606"/>
  <c r="U605"/>
  <c r="T605"/>
  <c r="S605"/>
  <c r="P605"/>
  <c r="O605"/>
  <c r="N605"/>
  <c r="M605"/>
  <c r="I605"/>
  <c r="V605" s="1"/>
  <c r="U604"/>
  <c r="T604"/>
  <c r="S604"/>
  <c r="P604"/>
  <c r="O604"/>
  <c r="N604"/>
  <c r="M604"/>
  <c r="I604"/>
  <c r="V604" s="1"/>
  <c r="L602"/>
  <c r="K602"/>
  <c r="J602"/>
  <c r="H602"/>
  <c r="U602" s="1"/>
  <c r="G602"/>
  <c r="T602" s="1"/>
  <c r="F602"/>
  <c r="S602" s="1"/>
  <c r="L601"/>
  <c r="K601"/>
  <c r="M601" s="1"/>
  <c r="J601"/>
  <c r="H601"/>
  <c r="U601" s="1"/>
  <c r="G601"/>
  <c r="T601" s="1"/>
  <c r="F601"/>
  <c r="S601" s="1"/>
  <c r="U600"/>
  <c r="T600"/>
  <c r="S600"/>
  <c r="P600"/>
  <c r="O600"/>
  <c r="N600"/>
  <c r="M600"/>
  <c r="I600"/>
  <c r="V600" s="1"/>
  <c r="U599"/>
  <c r="T599"/>
  <c r="P599"/>
  <c r="O599"/>
  <c r="J599"/>
  <c r="M599" s="1"/>
  <c r="F599"/>
  <c r="S599" s="1"/>
  <c r="L598"/>
  <c r="K598"/>
  <c r="J598"/>
  <c r="H598"/>
  <c r="U598" s="1"/>
  <c r="G598"/>
  <c r="T598" s="1"/>
  <c r="F598"/>
  <c r="S598" s="1"/>
  <c r="L597"/>
  <c r="K597"/>
  <c r="J597"/>
  <c r="H597"/>
  <c r="U597" s="1"/>
  <c r="G597"/>
  <c r="T597" s="1"/>
  <c r="F597"/>
  <c r="L596"/>
  <c r="K596"/>
  <c r="M596" s="1"/>
  <c r="M595" s="1"/>
  <c r="J596"/>
  <c r="H596"/>
  <c r="U596" s="1"/>
  <c r="G596"/>
  <c r="T596" s="1"/>
  <c r="F596"/>
  <c r="S596" s="1"/>
  <c r="L595"/>
  <c r="K595"/>
  <c r="J595"/>
  <c r="H595"/>
  <c r="U595" s="1"/>
  <c r="G595"/>
  <c r="T595" s="1"/>
  <c r="F595"/>
  <c r="V594"/>
  <c r="U594"/>
  <c r="T594"/>
  <c r="S594"/>
  <c r="P594"/>
  <c r="O594"/>
  <c r="N594"/>
  <c r="S592"/>
  <c r="N592"/>
  <c r="L592"/>
  <c r="K592"/>
  <c r="H592"/>
  <c r="U592" s="1"/>
  <c r="G592"/>
  <c r="L591"/>
  <c r="L593" s="1"/>
  <c r="K591"/>
  <c r="K593" s="1"/>
  <c r="J591"/>
  <c r="J593" s="1"/>
  <c r="H591"/>
  <c r="G591"/>
  <c r="G593" s="1"/>
  <c r="F591"/>
  <c r="F593" s="1"/>
  <c r="U590"/>
  <c r="T590"/>
  <c r="S590"/>
  <c r="P590"/>
  <c r="O590"/>
  <c r="N590"/>
  <c r="M590"/>
  <c r="I590"/>
  <c r="V590" s="1"/>
  <c r="U589"/>
  <c r="T589"/>
  <c r="S589"/>
  <c r="P589"/>
  <c r="O589"/>
  <c r="N589"/>
  <c r="M589"/>
  <c r="I589"/>
  <c r="V589" s="1"/>
  <c r="V588"/>
  <c r="U588"/>
  <c r="T588"/>
  <c r="S588"/>
  <c r="P588"/>
  <c r="O588"/>
  <c r="N588"/>
  <c r="L586"/>
  <c r="L633" s="1"/>
  <c r="K586"/>
  <c r="K633" s="1"/>
  <c r="J586"/>
  <c r="J633" s="1"/>
  <c r="H586"/>
  <c r="H633" s="1"/>
  <c r="G586"/>
  <c r="G633" s="1"/>
  <c r="F586"/>
  <c r="F633" s="1"/>
  <c r="L585"/>
  <c r="L632" s="1"/>
  <c r="K585"/>
  <c r="K632" s="1"/>
  <c r="J585"/>
  <c r="J632" s="1"/>
  <c r="H585"/>
  <c r="H632" s="1"/>
  <c r="G585"/>
  <c r="G632" s="1"/>
  <c r="F585"/>
  <c r="F632" s="1"/>
  <c r="U584"/>
  <c r="T584"/>
  <c r="S584"/>
  <c r="P584"/>
  <c r="O584"/>
  <c r="N584"/>
  <c r="M584"/>
  <c r="I584"/>
  <c r="V584" s="1"/>
  <c r="U583"/>
  <c r="T583"/>
  <c r="P583"/>
  <c r="O583"/>
  <c r="J583"/>
  <c r="J630" s="1"/>
  <c r="M630" s="1"/>
  <c r="F583"/>
  <c r="F630" s="1"/>
  <c r="L582"/>
  <c r="L629" s="1"/>
  <c r="L628" s="1"/>
  <c r="K582"/>
  <c r="K629" s="1"/>
  <c r="K628" s="1"/>
  <c r="J582"/>
  <c r="J629" s="1"/>
  <c r="H582"/>
  <c r="H629" s="1"/>
  <c r="G582"/>
  <c r="G629" s="1"/>
  <c r="G628" s="1"/>
  <c r="F582"/>
  <c r="F629" s="1"/>
  <c r="L581"/>
  <c r="K581"/>
  <c r="J581"/>
  <c r="H581"/>
  <c r="U581" s="1"/>
  <c r="G581"/>
  <c r="T581" s="1"/>
  <c r="F581"/>
  <c r="L580"/>
  <c r="L627" s="1"/>
  <c r="L626" s="1"/>
  <c r="K580"/>
  <c r="K627" s="1"/>
  <c r="K626" s="1"/>
  <c r="J580"/>
  <c r="J627" s="1"/>
  <c r="H580"/>
  <c r="H627" s="1"/>
  <c r="G580"/>
  <c r="T580" s="1"/>
  <c r="F580"/>
  <c r="F627" s="1"/>
  <c r="L579"/>
  <c r="K579"/>
  <c r="J579"/>
  <c r="H579"/>
  <c r="U579" s="1"/>
  <c r="G579"/>
  <c r="T579" s="1"/>
  <c r="F579"/>
  <c r="V578"/>
  <c r="U578"/>
  <c r="T578"/>
  <c r="S578"/>
  <c r="P578"/>
  <c r="O578"/>
  <c r="N578"/>
  <c r="S576"/>
  <c r="N576"/>
  <c r="L576"/>
  <c r="L623" s="1"/>
  <c r="K576"/>
  <c r="H576"/>
  <c r="H623" s="1"/>
  <c r="G576"/>
  <c r="L575"/>
  <c r="K575"/>
  <c r="J575"/>
  <c r="M575" s="1"/>
  <c r="H575"/>
  <c r="U575" s="1"/>
  <c r="G575"/>
  <c r="T575" s="1"/>
  <c r="F575"/>
  <c r="L574"/>
  <c r="K574"/>
  <c r="J574"/>
  <c r="M574" s="1"/>
  <c r="H574"/>
  <c r="U574" s="1"/>
  <c r="G574"/>
  <c r="T574" s="1"/>
  <c r="F574"/>
  <c r="L573"/>
  <c r="K573"/>
  <c r="J573"/>
  <c r="M573" s="1"/>
  <c r="M572" s="1"/>
  <c r="H573"/>
  <c r="U573" s="1"/>
  <c r="G573"/>
  <c r="T573" s="1"/>
  <c r="F573"/>
  <c r="L572"/>
  <c r="L622" s="1"/>
  <c r="L624" s="1"/>
  <c r="K572"/>
  <c r="K622" s="1"/>
  <c r="J572"/>
  <c r="J622" s="1"/>
  <c r="H572"/>
  <c r="H622" s="1"/>
  <c r="G572"/>
  <c r="F572"/>
  <c r="F622" s="1"/>
  <c r="U571"/>
  <c r="T571"/>
  <c r="S571"/>
  <c r="P571"/>
  <c r="O571"/>
  <c r="N571"/>
  <c r="M571"/>
  <c r="I571"/>
  <c r="V571" s="1"/>
  <c r="U570"/>
  <c r="T570"/>
  <c r="S570"/>
  <c r="P570"/>
  <c r="O570"/>
  <c r="N570"/>
  <c r="M570"/>
  <c r="I570"/>
  <c r="V570" s="1"/>
  <c r="U566"/>
  <c r="T566"/>
  <c r="S566"/>
  <c r="P566"/>
  <c r="O566"/>
  <c r="N566"/>
  <c r="M566"/>
  <c r="I566"/>
  <c r="V566" s="1"/>
  <c r="L565"/>
  <c r="K565"/>
  <c r="H565"/>
  <c r="U565" s="1"/>
  <c r="G565"/>
  <c r="T565" s="1"/>
  <c r="V560"/>
  <c r="U560"/>
  <c r="T560"/>
  <c r="S560"/>
  <c r="P560"/>
  <c r="O560"/>
  <c r="N560"/>
  <c r="J558"/>
  <c r="F558"/>
  <c r="S558" s="1"/>
  <c r="U556"/>
  <c r="T556"/>
  <c r="S556"/>
  <c r="P556"/>
  <c r="O556"/>
  <c r="N556"/>
  <c r="M556"/>
  <c r="I556"/>
  <c r="V556" s="1"/>
  <c r="U555"/>
  <c r="T555"/>
  <c r="S555"/>
  <c r="P555"/>
  <c r="O555"/>
  <c r="N555"/>
  <c r="M555"/>
  <c r="I555"/>
  <c r="V555" s="1"/>
  <c r="L553"/>
  <c r="K553"/>
  <c r="J553"/>
  <c r="M553" s="1"/>
  <c r="H553"/>
  <c r="U553" s="1"/>
  <c r="G553"/>
  <c r="T553" s="1"/>
  <c r="F553"/>
  <c r="L552"/>
  <c r="K552"/>
  <c r="J552"/>
  <c r="H552"/>
  <c r="U552" s="1"/>
  <c r="G552"/>
  <c r="T552" s="1"/>
  <c r="F552"/>
  <c r="I552" s="1"/>
  <c r="U551"/>
  <c r="T551"/>
  <c r="S551"/>
  <c r="P551"/>
  <c r="O551"/>
  <c r="N551"/>
  <c r="M551"/>
  <c r="I551"/>
  <c r="V551" s="1"/>
  <c r="U550"/>
  <c r="T550"/>
  <c r="P550"/>
  <c r="O550"/>
  <c r="J550"/>
  <c r="M550" s="1"/>
  <c r="F550"/>
  <c r="I550" s="1"/>
  <c r="L549"/>
  <c r="K549"/>
  <c r="J549"/>
  <c r="H549"/>
  <c r="U549" s="1"/>
  <c r="G549"/>
  <c r="T549" s="1"/>
  <c r="F549"/>
  <c r="L548"/>
  <c r="K548"/>
  <c r="J548"/>
  <c r="H548"/>
  <c r="U548" s="1"/>
  <c r="G548"/>
  <c r="F548"/>
  <c r="L547"/>
  <c r="K547"/>
  <c r="J547"/>
  <c r="H547"/>
  <c r="U547" s="1"/>
  <c r="G547"/>
  <c r="T547" s="1"/>
  <c r="F547"/>
  <c r="L546"/>
  <c r="K546"/>
  <c r="J546"/>
  <c r="H546"/>
  <c r="U546" s="1"/>
  <c r="G546"/>
  <c r="T546" s="1"/>
  <c r="F546"/>
  <c r="V545"/>
  <c r="U545"/>
  <c r="T545"/>
  <c r="S545"/>
  <c r="P545"/>
  <c r="O545"/>
  <c r="N545"/>
  <c r="S543"/>
  <c r="N543"/>
  <c r="L543"/>
  <c r="K543"/>
  <c r="H543"/>
  <c r="G543"/>
  <c r="L542"/>
  <c r="L544" s="1"/>
  <c r="K542"/>
  <c r="K544" s="1"/>
  <c r="J542"/>
  <c r="M542" s="1"/>
  <c r="H542"/>
  <c r="H544" s="1"/>
  <c r="G542"/>
  <c r="G544" s="1"/>
  <c r="F542"/>
  <c r="I542" s="1"/>
  <c r="U541"/>
  <c r="T541"/>
  <c r="S541"/>
  <c r="P541"/>
  <c r="O541"/>
  <c r="N541"/>
  <c r="M541"/>
  <c r="I541"/>
  <c r="V541" s="1"/>
  <c r="U540"/>
  <c r="T540"/>
  <c r="S540"/>
  <c r="P540"/>
  <c r="O540"/>
  <c r="N540"/>
  <c r="M540"/>
  <c r="I540"/>
  <c r="V540" s="1"/>
  <c r="U539"/>
  <c r="T539"/>
  <c r="S539"/>
  <c r="P539"/>
  <c r="O539"/>
  <c r="N539"/>
  <c r="M539"/>
  <c r="I539"/>
  <c r="V539" s="1"/>
  <c r="L537"/>
  <c r="L568" s="1"/>
  <c r="K537"/>
  <c r="K568" s="1"/>
  <c r="J537"/>
  <c r="J568" s="1"/>
  <c r="H537"/>
  <c r="H568" s="1"/>
  <c r="G537"/>
  <c r="G568" s="1"/>
  <c r="F537"/>
  <c r="F568" s="1"/>
  <c r="L536"/>
  <c r="L567" s="1"/>
  <c r="K536"/>
  <c r="K567" s="1"/>
  <c r="J536"/>
  <c r="J567" s="1"/>
  <c r="H536"/>
  <c r="H567" s="1"/>
  <c r="G536"/>
  <c r="G567" s="1"/>
  <c r="F536"/>
  <c r="F567" s="1"/>
  <c r="U535"/>
  <c r="T535"/>
  <c r="S535"/>
  <c r="P535"/>
  <c r="O535"/>
  <c r="N535"/>
  <c r="M535"/>
  <c r="I535"/>
  <c r="V535" s="1"/>
  <c r="U534"/>
  <c r="T534"/>
  <c r="P534"/>
  <c r="O534"/>
  <c r="J534"/>
  <c r="J565" s="1"/>
  <c r="F534"/>
  <c r="F565" s="1"/>
  <c r="L533"/>
  <c r="L564" s="1"/>
  <c r="L563" s="1"/>
  <c r="K533"/>
  <c r="K564" s="1"/>
  <c r="K563" s="1"/>
  <c r="J533"/>
  <c r="J564" s="1"/>
  <c r="H533"/>
  <c r="H564" s="1"/>
  <c r="G533"/>
  <c r="G564" s="1"/>
  <c r="F533"/>
  <c r="F564" s="1"/>
  <c r="L532"/>
  <c r="K532"/>
  <c r="J532"/>
  <c r="H532"/>
  <c r="U532" s="1"/>
  <c r="G532"/>
  <c r="T532" s="1"/>
  <c r="F532"/>
  <c r="L531"/>
  <c r="L562" s="1"/>
  <c r="L561" s="1"/>
  <c r="K531"/>
  <c r="K562" s="1"/>
  <c r="K561" s="1"/>
  <c r="J531"/>
  <c r="J562" s="1"/>
  <c r="H531"/>
  <c r="H562" s="1"/>
  <c r="G531"/>
  <c r="G562" s="1"/>
  <c r="F531"/>
  <c r="F562" s="1"/>
  <c r="L530"/>
  <c r="K530"/>
  <c r="J530"/>
  <c r="H530"/>
  <c r="U530" s="1"/>
  <c r="G530"/>
  <c r="T530" s="1"/>
  <c r="F530"/>
  <c r="V529"/>
  <c r="U529"/>
  <c r="T529"/>
  <c r="S529"/>
  <c r="P529"/>
  <c r="O529"/>
  <c r="N529"/>
  <c r="S527"/>
  <c r="N527"/>
  <c r="L527"/>
  <c r="L558" s="1"/>
  <c r="K527"/>
  <c r="K558" s="1"/>
  <c r="H527"/>
  <c r="H558" s="1"/>
  <c r="G527"/>
  <c r="L526"/>
  <c r="K526"/>
  <c r="J526"/>
  <c r="M526" s="1"/>
  <c r="H526"/>
  <c r="U526" s="1"/>
  <c r="G526"/>
  <c r="T526" s="1"/>
  <c r="F526"/>
  <c r="L525"/>
  <c r="K525"/>
  <c r="J525"/>
  <c r="M525" s="1"/>
  <c r="H525"/>
  <c r="U525" s="1"/>
  <c r="G525"/>
  <c r="T525" s="1"/>
  <c r="F525"/>
  <c r="L524"/>
  <c r="K524"/>
  <c r="J524"/>
  <c r="M524" s="1"/>
  <c r="M523" s="1"/>
  <c r="H524"/>
  <c r="U524" s="1"/>
  <c r="G524"/>
  <c r="T524" s="1"/>
  <c r="F524"/>
  <c r="L523"/>
  <c r="L557" s="1"/>
  <c r="L559" s="1"/>
  <c r="K523"/>
  <c r="K557" s="1"/>
  <c r="K559" s="1"/>
  <c r="J523"/>
  <c r="J557" s="1"/>
  <c r="H523"/>
  <c r="H557" s="1"/>
  <c r="G523"/>
  <c r="G557" s="1"/>
  <c r="F523"/>
  <c r="F557" s="1"/>
  <c r="V522"/>
  <c r="U522"/>
  <c r="T522"/>
  <c r="S522"/>
  <c r="P522"/>
  <c r="O522"/>
  <c r="N522"/>
  <c r="U521"/>
  <c r="T521"/>
  <c r="S521"/>
  <c r="P521"/>
  <c r="O521"/>
  <c r="N521"/>
  <c r="M521"/>
  <c r="I521"/>
  <c r="V521" s="1"/>
  <c r="U517"/>
  <c r="T517"/>
  <c r="S517"/>
  <c r="P517"/>
  <c r="O517"/>
  <c r="N517"/>
  <c r="M517"/>
  <c r="I517"/>
  <c r="V517" s="1"/>
  <c r="L516"/>
  <c r="K516"/>
  <c r="L513"/>
  <c r="K513"/>
  <c r="G513"/>
  <c r="T513" s="1"/>
  <c r="F513"/>
  <c r="V510"/>
  <c r="U510"/>
  <c r="T510"/>
  <c r="S510"/>
  <c r="P510"/>
  <c r="O510"/>
  <c r="N510"/>
  <c r="U506"/>
  <c r="T506"/>
  <c r="S506"/>
  <c r="P506"/>
  <c r="O506"/>
  <c r="N506"/>
  <c r="M506"/>
  <c r="I506"/>
  <c r="V506" s="1"/>
  <c r="U505"/>
  <c r="T505"/>
  <c r="S505"/>
  <c r="P505"/>
  <c r="O505"/>
  <c r="N505"/>
  <c r="M505"/>
  <c r="I505"/>
  <c r="V505" s="1"/>
  <c r="L502"/>
  <c r="K502"/>
  <c r="J502"/>
  <c r="M502" s="1"/>
  <c r="H502"/>
  <c r="U502" s="1"/>
  <c r="G502"/>
  <c r="T502" s="1"/>
  <c r="F502"/>
  <c r="S502" s="1"/>
  <c r="L501"/>
  <c r="K501"/>
  <c r="J501"/>
  <c r="H501"/>
  <c r="U501" s="1"/>
  <c r="G501"/>
  <c r="T501" s="1"/>
  <c r="F501"/>
  <c r="V500"/>
  <c r="U500"/>
  <c r="T500"/>
  <c r="S500"/>
  <c r="J499"/>
  <c r="S499" s="1"/>
  <c r="H499"/>
  <c r="H1818" s="1"/>
  <c r="G499"/>
  <c r="G1818" s="1"/>
  <c r="L498"/>
  <c r="K498"/>
  <c r="J498"/>
  <c r="M498" s="1"/>
  <c r="H498"/>
  <c r="U498" s="1"/>
  <c r="G498"/>
  <c r="T498" s="1"/>
  <c r="F498"/>
  <c r="I498" s="1"/>
  <c r="L497"/>
  <c r="K497"/>
  <c r="J497"/>
  <c r="H497"/>
  <c r="U497" s="1"/>
  <c r="G497"/>
  <c r="F497"/>
  <c r="V496"/>
  <c r="U496"/>
  <c r="T496"/>
  <c r="S496"/>
  <c r="P496"/>
  <c r="O496"/>
  <c r="N496"/>
  <c r="T495"/>
  <c r="O495"/>
  <c r="M495"/>
  <c r="J495"/>
  <c r="J1814" s="1"/>
  <c r="H495"/>
  <c r="H1814" s="1"/>
  <c r="L494"/>
  <c r="K494"/>
  <c r="J494"/>
  <c r="H494"/>
  <c r="U494" s="1"/>
  <c r="G494"/>
  <c r="T494" s="1"/>
  <c r="F494"/>
  <c r="L493"/>
  <c r="K493"/>
  <c r="J493"/>
  <c r="H493"/>
  <c r="U493" s="1"/>
  <c r="G493"/>
  <c r="T493" s="1"/>
  <c r="F493"/>
  <c r="V492"/>
  <c r="U492"/>
  <c r="T492"/>
  <c r="S492"/>
  <c r="P492"/>
  <c r="O492"/>
  <c r="N492"/>
  <c r="L490"/>
  <c r="K490"/>
  <c r="J490"/>
  <c r="J1736" s="1"/>
  <c r="H490"/>
  <c r="U490" s="1"/>
  <c r="G490"/>
  <c r="T490" s="1"/>
  <c r="F490"/>
  <c r="F1736" s="1"/>
  <c r="L489"/>
  <c r="L491" s="1"/>
  <c r="K489"/>
  <c r="K491" s="1"/>
  <c r="J489"/>
  <c r="M489" s="1"/>
  <c r="H489"/>
  <c r="H491" s="1"/>
  <c r="G489"/>
  <c r="G491" s="1"/>
  <c r="F489"/>
  <c r="I489" s="1"/>
  <c r="U488"/>
  <c r="T488"/>
  <c r="S488"/>
  <c r="P488"/>
  <c r="O488"/>
  <c r="N488"/>
  <c r="M488"/>
  <c r="I488"/>
  <c r="V488" s="1"/>
  <c r="U487"/>
  <c r="T487"/>
  <c r="S487"/>
  <c r="P487"/>
  <c r="O487"/>
  <c r="N487"/>
  <c r="M487"/>
  <c r="I487"/>
  <c r="V487" s="1"/>
  <c r="L485"/>
  <c r="K485"/>
  <c r="M485" s="1"/>
  <c r="J485"/>
  <c r="H485"/>
  <c r="U485" s="1"/>
  <c r="G485"/>
  <c r="T485" s="1"/>
  <c r="F485"/>
  <c r="S485" s="1"/>
  <c r="L484"/>
  <c r="K484"/>
  <c r="M484" s="1"/>
  <c r="J484"/>
  <c r="H484"/>
  <c r="U484" s="1"/>
  <c r="G484"/>
  <c r="T484" s="1"/>
  <c r="F484"/>
  <c r="S484" s="1"/>
  <c r="V483"/>
  <c r="U483"/>
  <c r="T483"/>
  <c r="S483"/>
  <c r="U482"/>
  <c r="T482"/>
  <c r="P482"/>
  <c r="O482"/>
  <c r="J482"/>
  <c r="M482" s="1"/>
  <c r="F482"/>
  <c r="S482" s="1"/>
  <c r="L481"/>
  <c r="K481"/>
  <c r="M481" s="1"/>
  <c r="J481"/>
  <c r="H481"/>
  <c r="U481" s="1"/>
  <c r="G481"/>
  <c r="T481" s="1"/>
  <c r="F481"/>
  <c r="S481" s="1"/>
  <c r="L480"/>
  <c r="K480"/>
  <c r="J480"/>
  <c r="H480"/>
  <c r="U480" s="1"/>
  <c r="G480"/>
  <c r="F480"/>
  <c r="L479"/>
  <c r="K479"/>
  <c r="M479" s="1"/>
  <c r="M478" s="1"/>
  <c r="J479"/>
  <c r="H479"/>
  <c r="U479" s="1"/>
  <c r="G479"/>
  <c r="T479" s="1"/>
  <c r="F479"/>
  <c r="S479" s="1"/>
  <c r="L478"/>
  <c r="K478"/>
  <c r="J478"/>
  <c r="H478"/>
  <c r="U478" s="1"/>
  <c r="G478"/>
  <c r="T478" s="1"/>
  <c r="F478"/>
  <c r="V477"/>
  <c r="U477"/>
  <c r="T477"/>
  <c r="S477"/>
  <c r="P477"/>
  <c r="O477"/>
  <c r="N477"/>
  <c r="S475"/>
  <c r="N475"/>
  <c r="L475"/>
  <c r="K475"/>
  <c r="H475"/>
  <c r="U475" s="1"/>
  <c r="G475"/>
  <c r="L474"/>
  <c r="L476" s="1"/>
  <c r="K474"/>
  <c r="K476" s="1"/>
  <c r="J474"/>
  <c r="J476" s="1"/>
  <c r="H474"/>
  <c r="G474"/>
  <c r="G476" s="1"/>
  <c r="F474"/>
  <c r="F476" s="1"/>
  <c r="U473"/>
  <c r="T473"/>
  <c r="S473"/>
  <c r="P473"/>
  <c r="O473"/>
  <c r="N473"/>
  <c r="M473"/>
  <c r="I473"/>
  <c r="V473" s="1"/>
  <c r="U472"/>
  <c r="T472"/>
  <c r="S472"/>
  <c r="P472"/>
  <c r="O472"/>
  <c r="N472"/>
  <c r="M472"/>
  <c r="I472"/>
  <c r="V472" s="1"/>
  <c r="L470"/>
  <c r="K470"/>
  <c r="J470"/>
  <c r="M470" s="1"/>
  <c r="H470"/>
  <c r="U470" s="1"/>
  <c r="G470"/>
  <c r="T470" s="1"/>
  <c r="F470"/>
  <c r="L469"/>
  <c r="K469"/>
  <c r="J469"/>
  <c r="M469" s="1"/>
  <c r="H469"/>
  <c r="U469" s="1"/>
  <c r="G469"/>
  <c r="T469" s="1"/>
  <c r="F469"/>
  <c r="V468"/>
  <c r="U468"/>
  <c r="T468"/>
  <c r="S468"/>
  <c r="U467"/>
  <c r="T467"/>
  <c r="P467"/>
  <c r="O467"/>
  <c r="J467"/>
  <c r="M467" s="1"/>
  <c r="F467"/>
  <c r="I467" s="1"/>
  <c r="N466"/>
  <c r="L466"/>
  <c r="K466"/>
  <c r="M466" s="1"/>
  <c r="M465" s="1"/>
  <c r="H466"/>
  <c r="U466" s="1"/>
  <c r="G466"/>
  <c r="T466" s="1"/>
  <c r="F466"/>
  <c r="S466" s="1"/>
  <c r="L465"/>
  <c r="H465"/>
  <c r="U465" s="1"/>
  <c r="F465"/>
  <c r="U464"/>
  <c r="S464"/>
  <c r="P464"/>
  <c r="N464"/>
  <c r="K464"/>
  <c r="M464" s="1"/>
  <c r="G464"/>
  <c r="T464" s="1"/>
  <c r="T463"/>
  <c r="O463"/>
  <c r="L463"/>
  <c r="J463"/>
  <c r="J462" s="1"/>
  <c r="H463"/>
  <c r="U463" s="1"/>
  <c r="F463"/>
  <c r="S463" s="1"/>
  <c r="L462"/>
  <c r="G462"/>
  <c r="T462" s="1"/>
  <c r="V461"/>
  <c r="U461"/>
  <c r="T461"/>
  <c r="S461"/>
  <c r="P461"/>
  <c r="O461"/>
  <c r="N461"/>
  <c r="S459"/>
  <c r="N459"/>
  <c r="L459"/>
  <c r="K459"/>
  <c r="H459"/>
  <c r="U459" s="1"/>
  <c r="G459"/>
  <c r="L458"/>
  <c r="L460" s="1"/>
  <c r="K458"/>
  <c r="K460" s="1"/>
  <c r="J458"/>
  <c r="J460" s="1"/>
  <c r="H458"/>
  <c r="G458"/>
  <c r="F458"/>
  <c r="F460" s="1"/>
  <c r="U457"/>
  <c r="T457"/>
  <c r="S457"/>
  <c r="P457"/>
  <c r="O457"/>
  <c r="N457"/>
  <c r="Q457" s="1"/>
  <c r="M457"/>
  <c r="I457"/>
  <c r="V457" s="1"/>
  <c r="U456"/>
  <c r="T456"/>
  <c r="S456"/>
  <c r="P456"/>
  <c r="O456"/>
  <c r="N456"/>
  <c r="Q456" s="1"/>
  <c r="M456"/>
  <c r="I456"/>
  <c r="V456" s="1"/>
  <c r="L454"/>
  <c r="K454"/>
  <c r="J454"/>
  <c r="H454"/>
  <c r="U454" s="1"/>
  <c r="G454"/>
  <c r="T454" s="1"/>
  <c r="F454"/>
  <c r="L453"/>
  <c r="K453"/>
  <c r="J453"/>
  <c r="H453"/>
  <c r="U453" s="1"/>
  <c r="G453"/>
  <c r="T453" s="1"/>
  <c r="F453"/>
  <c r="V452"/>
  <c r="U452"/>
  <c r="T452"/>
  <c r="S452"/>
  <c r="U451"/>
  <c r="T451"/>
  <c r="P451"/>
  <c r="O451"/>
  <c r="J451"/>
  <c r="M451" s="1"/>
  <c r="F451"/>
  <c r="L450"/>
  <c r="K450"/>
  <c r="J450"/>
  <c r="H450"/>
  <c r="U450" s="1"/>
  <c r="G450"/>
  <c r="T450" s="1"/>
  <c r="F450"/>
  <c r="S450" s="1"/>
  <c r="L449"/>
  <c r="K449"/>
  <c r="J449"/>
  <c r="H449"/>
  <c r="U449" s="1"/>
  <c r="G449"/>
  <c r="T449" s="1"/>
  <c r="F449"/>
  <c r="L448"/>
  <c r="K448"/>
  <c r="J448"/>
  <c r="H448"/>
  <c r="U448" s="1"/>
  <c r="G448"/>
  <c r="T448" s="1"/>
  <c r="F448"/>
  <c r="L447"/>
  <c r="K447"/>
  <c r="J447"/>
  <c r="H447"/>
  <c r="U447" s="1"/>
  <c r="G447"/>
  <c r="T447" s="1"/>
  <c r="F447"/>
  <c r="S447" s="1"/>
  <c r="V446"/>
  <c r="U446"/>
  <c r="T446"/>
  <c r="S446"/>
  <c r="P446"/>
  <c r="O446"/>
  <c r="N446"/>
  <c r="S444"/>
  <c r="N444"/>
  <c r="L444"/>
  <c r="K444"/>
  <c r="H444"/>
  <c r="U444" s="1"/>
  <c r="G444"/>
  <c r="L443"/>
  <c r="L445" s="1"/>
  <c r="L455" s="1"/>
  <c r="K443"/>
  <c r="K445" s="1"/>
  <c r="J443"/>
  <c r="J445" s="1"/>
  <c r="J455" s="1"/>
  <c r="H443"/>
  <c r="G443"/>
  <c r="G445" s="1"/>
  <c r="F443"/>
  <c r="F445" s="1"/>
  <c r="U442"/>
  <c r="T442"/>
  <c r="S442"/>
  <c r="P442"/>
  <c r="O442"/>
  <c r="N442"/>
  <c r="M442"/>
  <c r="I442"/>
  <c r="V442" s="1"/>
  <c r="U441"/>
  <c r="T441"/>
  <c r="S441"/>
  <c r="P441"/>
  <c r="O441"/>
  <c r="Q441" s="1"/>
  <c r="N441"/>
  <c r="M441"/>
  <c r="I441"/>
  <c r="V441" s="1"/>
  <c r="L439"/>
  <c r="K439"/>
  <c r="J439"/>
  <c r="M439" s="1"/>
  <c r="H439"/>
  <c r="U439" s="1"/>
  <c r="G439"/>
  <c r="T439" s="1"/>
  <c r="F439"/>
  <c r="S439" s="1"/>
  <c r="L438"/>
  <c r="K438"/>
  <c r="J438"/>
  <c r="M438" s="1"/>
  <c r="H438"/>
  <c r="U438" s="1"/>
  <c r="G438"/>
  <c r="T438" s="1"/>
  <c r="F438"/>
  <c r="V437"/>
  <c r="U437"/>
  <c r="T437"/>
  <c r="S437"/>
  <c r="U436"/>
  <c r="T436"/>
  <c r="P436"/>
  <c r="O436"/>
  <c r="J436"/>
  <c r="M436" s="1"/>
  <c r="F436"/>
  <c r="L435"/>
  <c r="K435"/>
  <c r="J435"/>
  <c r="M435" s="1"/>
  <c r="M434" s="1"/>
  <c r="H435"/>
  <c r="U435" s="1"/>
  <c r="G435"/>
  <c r="T435" s="1"/>
  <c r="F435"/>
  <c r="S435" s="1"/>
  <c r="L434"/>
  <c r="K434"/>
  <c r="J434"/>
  <c r="H434"/>
  <c r="U434" s="1"/>
  <c r="G434"/>
  <c r="T434" s="1"/>
  <c r="F434"/>
  <c r="L433"/>
  <c r="K433"/>
  <c r="J433"/>
  <c r="M433" s="1"/>
  <c r="M432" s="1"/>
  <c r="H433"/>
  <c r="U433" s="1"/>
  <c r="G433"/>
  <c r="T433" s="1"/>
  <c r="F433"/>
  <c r="L432"/>
  <c r="K432"/>
  <c r="J432"/>
  <c r="H432"/>
  <c r="U432" s="1"/>
  <c r="G432"/>
  <c r="T432" s="1"/>
  <c r="F432"/>
  <c r="V431"/>
  <c r="U431"/>
  <c r="T431"/>
  <c r="S431"/>
  <c r="P431"/>
  <c r="O431"/>
  <c r="N431"/>
  <c r="Q431" s="1"/>
  <c r="S429"/>
  <c r="N429"/>
  <c r="L429"/>
  <c r="K429"/>
  <c r="M429" s="1"/>
  <c r="H429"/>
  <c r="G429"/>
  <c r="I429" s="1"/>
  <c r="V429" s="1"/>
  <c r="L428"/>
  <c r="L430" s="1"/>
  <c r="K428"/>
  <c r="K430" s="1"/>
  <c r="K440" s="1"/>
  <c r="J428"/>
  <c r="J430" s="1"/>
  <c r="H428"/>
  <c r="H430" s="1"/>
  <c r="G428"/>
  <c r="F428"/>
  <c r="F430" s="1"/>
  <c r="U427"/>
  <c r="T427"/>
  <c r="S427"/>
  <c r="P427"/>
  <c r="O427"/>
  <c r="N427"/>
  <c r="Q427" s="1"/>
  <c r="M427"/>
  <c r="I427"/>
  <c r="V427" s="1"/>
  <c r="U426"/>
  <c r="T426"/>
  <c r="S426"/>
  <c r="P426"/>
  <c r="O426"/>
  <c r="N426"/>
  <c r="Q426" s="1"/>
  <c r="M426"/>
  <c r="I426"/>
  <c r="V426" s="1"/>
  <c r="U425"/>
  <c r="T425"/>
  <c r="S425"/>
  <c r="P425"/>
  <c r="O425"/>
  <c r="N425"/>
  <c r="Q425" s="1"/>
  <c r="M425"/>
  <c r="I425"/>
  <c r="V425" s="1"/>
  <c r="L423"/>
  <c r="L519" s="1"/>
  <c r="K423"/>
  <c r="K519" s="1"/>
  <c r="J423"/>
  <c r="J519" s="1"/>
  <c r="H423"/>
  <c r="H519" s="1"/>
  <c r="G423"/>
  <c r="G519" s="1"/>
  <c r="F423"/>
  <c r="F519" s="1"/>
  <c r="L422"/>
  <c r="L518" s="1"/>
  <c r="K422"/>
  <c r="K518" s="1"/>
  <c r="J422"/>
  <c r="J518" s="1"/>
  <c r="H422"/>
  <c r="H518" s="1"/>
  <c r="G422"/>
  <c r="G518" s="1"/>
  <c r="F422"/>
  <c r="F518" s="1"/>
  <c r="V421"/>
  <c r="U421"/>
  <c r="T421"/>
  <c r="S421"/>
  <c r="U420"/>
  <c r="T420"/>
  <c r="P420"/>
  <c r="O420"/>
  <c r="J420"/>
  <c r="J516" s="1"/>
  <c r="F420"/>
  <c r="F516" s="1"/>
  <c r="L419"/>
  <c r="L515" s="1"/>
  <c r="L514" s="1"/>
  <c r="K419"/>
  <c r="K515" s="1"/>
  <c r="K514" s="1"/>
  <c r="J419"/>
  <c r="J515" s="1"/>
  <c r="H419"/>
  <c r="H515" s="1"/>
  <c r="G419"/>
  <c r="G515" s="1"/>
  <c r="F419"/>
  <c r="F515" s="1"/>
  <c r="L418"/>
  <c r="K418"/>
  <c r="J418"/>
  <c r="H418"/>
  <c r="U418" s="1"/>
  <c r="G418"/>
  <c r="T418" s="1"/>
  <c r="F418"/>
  <c r="S418" s="1"/>
  <c r="L417"/>
  <c r="L512" s="1"/>
  <c r="L511" s="1"/>
  <c r="K417"/>
  <c r="K512" s="1"/>
  <c r="K511" s="1"/>
  <c r="J417"/>
  <c r="J512" s="1"/>
  <c r="H417"/>
  <c r="H512" s="1"/>
  <c r="G417"/>
  <c r="G512" s="1"/>
  <c r="F417"/>
  <c r="F512" s="1"/>
  <c r="L416"/>
  <c r="K416"/>
  <c r="J416"/>
  <c r="H416"/>
  <c r="U416" s="1"/>
  <c r="G416"/>
  <c r="T416" s="1"/>
  <c r="F416"/>
  <c r="S416" s="1"/>
  <c r="V415"/>
  <c r="U415"/>
  <c r="T415"/>
  <c r="S415"/>
  <c r="P415"/>
  <c r="O415"/>
  <c r="Q415" s="1"/>
  <c r="N415"/>
  <c r="S413"/>
  <c r="N413"/>
  <c r="L413"/>
  <c r="L508" s="1"/>
  <c r="K413"/>
  <c r="K508" s="1"/>
  <c r="H413"/>
  <c r="H508" s="1"/>
  <c r="G413"/>
  <c r="G508" s="1"/>
  <c r="L412"/>
  <c r="K412"/>
  <c r="J412"/>
  <c r="H412"/>
  <c r="U412" s="1"/>
  <c r="G412"/>
  <c r="T412" s="1"/>
  <c r="F412"/>
  <c r="L411"/>
  <c r="K411"/>
  <c r="J411"/>
  <c r="H411"/>
  <c r="U411" s="1"/>
  <c r="G411"/>
  <c r="T411" s="1"/>
  <c r="F411"/>
  <c r="L410"/>
  <c r="K410"/>
  <c r="J410"/>
  <c r="H410"/>
  <c r="U410" s="1"/>
  <c r="G410"/>
  <c r="F410"/>
  <c r="L409"/>
  <c r="L507" s="1"/>
  <c r="L509" s="1"/>
  <c r="K409"/>
  <c r="K507" s="1"/>
  <c r="K509" s="1"/>
  <c r="J409"/>
  <c r="J507" s="1"/>
  <c r="H409"/>
  <c r="H507" s="1"/>
  <c r="G409"/>
  <c r="G507" s="1"/>
  <c r="F409"/>
  <c r="F507" s="1"/>
  <c r="U408"/>
  <c r="T408"/>
  <c r="S408"/>
  <c r="P408"/>
  <c r="O408"/>
  <c r="N408"/>
  <c r="M408"/>
  <c r="I408"/>
  <c r="V408" s="1"/>
  <c r="U407"/>
  <c r="T407"/>
  <c r="S407"/>
  <c r="P407"/>
  <c r="O407"/>
  <c r="Q407" s="1"/>
  <c r="N407"/>
  <c r="M407"/>
  <c r="I407"/>
  <c r="V407" s="1"/>
  <c r="V403"/>
  <c r="U403"/>
  <c r="T403"/>
  <c r="S403"/>
  <c r="L402"/>
  <c r="K402"/>
  <c r="H402"/>
  <c r="U402" s="1"/>
  <c r="G402"/>
  <c r="T402" s="1"/>
  <c r="V397"/>
  <c r="U397"/>
  <c r="T397"/>
  <c r="S397"/>
  <c r="P397"/>
  <c r="O397"/>
  <c r="N397"/>
  <c r="Q397" s="1"/>
  <c r="J395"/>
  <c r="F395"/>
  <c r="S395" s="1"/>
  <c r="U393"/>
  <c r="T393"/>
  <c r="S393"/>
  <c r="P393"/>
  <c r="O393"/>
  <c r="N393"/>
  <c r="M393"/>
  <c r="I393"/>
  <c r="V393" s="1"/>
  <c r="U392"/>
  <c r="T392"/>
  <c r="S392"/>
  <c r="P392"/>
  <c r="O392"/>
  <c r="N392"/>
  <c r="M392"/>
  <c r="I392"/>
  <c r="V392" s="1"/>
  <c r="L389"/>
  <c r="K389"/>
  <c r="J389"/>
  <c r="H389"/>
  <c r="U389" s="1"/>
  <c r="G389"/>
  <c r="T389" s="1"/>
  <c r="F389"/>
  <c r="S389" s="1"/>
  <c r="L388"/>
  <c r="K388"/>
  <c r="J388"/>
  <c r="H388"/>
  <c r="U388" s="1"/>
  <c r="G388"/>
  <c r="T388" s="1"/>
  <c r="F388"/>
  <c r="S388" s="1"/>
  <c r="V387"/>
  <c r="U387"/>
  <c r="T387"/>
  <c r="S387"/>
  <c r="U386"/>
  <c r="T386"/>
  <c r="P386"/>
  <c r="O386"/>
  <c r="J386"/>
  <c r="M386" s="1"/>
  <c r="F386"/>
  <c r="S386" s="1"/>
  <c r="L385"/>
  <c r="K385"/>
  <c r="J385"/>
  <c r="H385"/>
  <c r="U385" s="1"/>
  <c r="G385"/>
  <c r="T385" s="1"/>
  <c r="F385"/>
  <c r="S385" s="1"/>
  <c r="L384"/>
  <c r="K384"/>
  <c r="J384"/>
  <c r="H384"/>
  <c r="U384" s="1"/>
  <c r="G384"/>
  <c r="T384" s="1"/>
  <c r="F384"/>
  <c r="S384" s="1"/>
  <c r="L383"/>
  <c r="K383"/>
  <c r="J383"/>
  <c r="H383"/>
  <c r="U383" s="1"/>
  <c r="G383"/>
  <c r="T383" s="1"/>
  <c r="F383"/>
  <c r="S383" s="1"/>
  <c r="L382"/>
  <c r="K382"/>
  <c r="J382"/>
  <c r="H382"/>
  <c r="U382" s="1"/>
  <c r="G382"/>
  <c r="T382" s="1"/>
  <c r="F382"/>
  <c r="S382" s="1"/>
  <c r="V381"/>
  <c r="U381"/>
  <c r="T381"/>
  <c r="S381"/>
  <c r="P381"/>
  <c r="O381"/>
  <c r="N381"/>
  <c r="S379"/>
  <c r="N379"/>
  <c r="L379"/>
  <c r="K379"/>
  <c r="H379"/>
  <c r="G379"/>
  <c r="L378"/>
  <c r="L380" s="1"/>
  <c r="L390" s="1"/>
  <c r="K378"/>
  <c r="K380" s="1"/>
  <c r="J378"/>
  <c r="J380" s="1"/>
  <c r="J390" s="1"/>
  <c r="H378"/>
  <c r="H380" s="1"/>
  <c r="G378"/>
  <c r="G380" s="1"/>
  <c r="F378"/>
  <c r="F380" s="1"/>
  <c r="U377"/>
  <c r="T377"/>
  <c r="S377"/>
  <c r="P377"/>
  <c r="O377"/>
  <c r="N377"/>
  <c r="M377"/>
  <c r="I377"/>
  <c r="V377" s="1"/>
  <c r="U376"/>
  <c r="T376"/>
  <c r="S376"/>
  <c r="P376"/>
  <c r="O376"/>
  <c r="N376"/>
  <c r="M376"/>
  <c r="I376"/>
  <c r="V376" s="1"/>
  <c r="L374"/>
  <c r="K374"/>
  <c r="J374"/>
  <c r="H374"/>
  <c r="U374" s="1"/>
  <c r="G374"/>
  <c r="T374" s="1"/>
  <c r="F374"/>
  <c r="S374" s="1"/>
  <c r="L373"/>
  <c r="K373"/>
  <c r="M373" s="1"/>
  <c r="J373"/>
  <c r="H373"/>
  <c r="U373" s="1"/>
  <c r="G373"/>
  <c r="T373" s="1"/>
  <c r="F373"/>
  <c r="S373" s="1"/>
  <c r="V372"/>
  <c r="U372"/>
  <c r="T372"/>
  <c r="S372"/>
  <c r="U371"/>
  <c r="T371"/>
  <c r="P371"/>
  <c r="O371"/>
  <c r="J371"/>
  <c r="M371" s="1"/>
  <c r="F371"/>
  <c r="S371" s="1"/>
  <c r="L370"/>
  <c r="K370"/>
  <c r="M370" s="1"/>
  <c r="J370"/>
  <c r="H370"/>
  <c r="U370" s="1"/>
  <c r="G370"/>
  <c r="T370" s="1"/>
  <c r="F370"/>
  <c r="S370" s="1"/>
  <c r="L369"/>
  <c r="K369"/>
  <c r="J369"/>
  <c r="H369"/>
  <c r="U369" s="1"/>
  <c r="G369"/>
  <c r="F369"/>
  <c r="L368"/>
  <c r="K368"/>
  <c r="M368" s="1"/>
  <c r="M367" s="1"/>
  <c r="J368"/>
  <c r="H368"/>
  <c r="U368" s="1"/>
  <c r="G368"/>
  <c r="T368" s="1"/>
  <c r="F368"/>
  <c r="S368" s="1"/>
  <c r="L367"/>
  <c r="K367"/>
  <c r="J367"/>
  <c r="H367"/>
  <c r="U367" s="1"/>
  <c r="G367"/>
  <c r="T367" s="1"/>
  <c r="F367"/>
  <c r="V366"/>
  <c r="U366"/>
  <c r="T366"/>
  <c r="S366"/>
  <c r="P366"/>
  <c r="O366"/>
  <c r="N366"/>
  <c r="S364"/>
  <c r="N364"/>
  <c r="L364"/>
  <c r="K364"/>
  <c r="H364"/>
  <c r="G364"/>
  <c r="L363"/>
  <c r="L365" s="1"/>
  <c r="K363"/>
  <c r="K365" s="1"/>
  <c r="J363"/>
  <c r="J365" s="1"/>
  <c r="H363"/>
  <c r="G363"/>
  <c r="G365" s="1"/>
  <c r="F363"/>
  <c r="F365" s="1"/>
  <c r="U362"/>
  <c r="T362"/>
  <c r="S362"/>
  <c r="P362"/>
  <c r="O362"/>
  <c r="N362"/>
  <c r="M362"/>
  <c r="I362"/>
  <c r="V362" s="1"/>
  <c r="V361"/>
  <c r="U361"/>
  <c r="T361"/>
  <c r="S361"/>
  <c r="L359"/>
  <c r="P359" s="1"/>
  <c r="K359"/>
  <c r="J359"/>
  <c r="M359" s="1"/>
  <c r="H359"/>
  <c r="U359" s="1"/>
  <c r="G359"/>
  <c r="T359" s="1"/>
  <c r="F359"/>
  <c r="L358"/>
  <c r="K358"/>
  <c r="J358"/>
  <c r="H358"/>
  <c r="G358"/>
  <c r="T358" s="1"/>
  <c r="F358"/>
  <c r="V357"/>
  <c r="U357"/>
  <c r="T357"/>
  <c r="S357"/>
  <c r="U356"/>
  <c r="T356"/>
  <c r="P356"/>
  <c r="O356"/>
  <c r="J356"/>
  <c r="F356"/>
  <c r="L355"/>
  <c r="P355" s="1"/>
  <c r="K355"/>
  <c r="J355"/>
  <c r="M355" s="1"/>
  <c r="H355"/>
  <c r="U355" s="1"/>
  <c r="G355"/>
  <c r="T355" s="1"/>
  <c r="F355"/>
  <c r="L354"/>
  <c r="K354"/>
  <c r="J354"/>
  <c r="H354"/>
  <c r="U354" s="1"/>
  <c r="G354"/>
  <c r="F354"/>
  <c r="L353"/>
  <c r="P353" s="1"/>
  <c r="K353"/>
  <c r="J353"/>
  <c r="M353" s="1"/>
  <c r="M352" s="1"/>
  <c r="H353"/>
  <c r="U353" s="1"/>
  <c r="G353"/>
  <c r="T353" s="1"/>
  <c r="F353"/>
  <c r="L352"/>
  <c r="K352"/>
  <c r="J352"/>
  <c r="H352"/>
  <c r="U352" s="1"/>
  <c r="G352"/>
  <c r="T352" s="1"/>
  <c r="F352"/>
  <c r="V351"/>
  <c r="U351"/>
  <c r="T351"/>
  <c r="S351"/>
  <c r="P351"/>
  <c r="O351"/>
  <c r="N351"/>
  <c r="S349"/>
  <c r="N349"/>
  <c r="L349"/>
  <c r="K349"/>
  <c r="M349" s="1"/>
  <c r="H349"/>
  <c r="G349"/>
  <c r="L348"/>
  <c r="L350" s="1"/>
  <c r="L360" s="1"/>
  <c r="K348"/>
  <c r="K350" s="1"/>
  <c r="J348"/>
  <c r="H348"/>
  <c r="H350" s="1"/>
  <c r="G348"/>
  <c r="F348"/>
  <c r="I348" s="1"/>
  <c r="U347"/>
  <c r="T347"/>
  <c r="S347"/>
  <c r="P347"/>
  <c r="O347"/>
  <c r="N347"/>
  <c r="M347"/>
  <c r="I347"/>
  <c r="V347" s="1"/>
  <c r="U346"/>
  <c r="T346"/>
  <c r="S346"/>
  <c r="P346"/>
  <c r="O346"/>
  <c r="N346"/>
  <c r="M346"/>
  <c r="I346"/>
  <c r="V346" s="1"/>
  <c r="L344"/>
  <c r="K344"/>
  <c r="M344" s="1"/>
  <c r="J344"/>
  <c r="H344"/>
  <c r="U344" s="1"/>
  <c r="G344"/>
  <c r="F344"/>
  <c r="S344" s="1"/>
  <c r="L343"/>
  <c r="K343"/>
  <c r="M343" s="1"/>
  <c r="J343"/>
  <c r="H343"/>
  <c r="U343" s="1"/>
  <c r="G343"/>
  <c r="T343" s="1"/>
  <c r="F343"/>
  <c r="S343" s="1"/>
  <c r="V342"/>
  <c r="U342"/>
  <c r="T342"/>
  <c r="S342"/>
  <c r="U341"/>
  <c r="T341"/>
  <c r="P341"/>
  <c r="O341"/>
  <c r="J341"/>
  <c r="M341" s="1"/>
  <c r="F341"/>
  <c r="S341" s="1"/>
  <c r="L340"/>
  <c r="K340"/>
  <c r="M340" s="1"/>
  <c r="J340"/>
  <c r="H340"/>
  <c r="U340" s="1"/>
  <c r="G340"/>
  <c r="T340" s="1"/>
  <c r="F340"/>
  <c r="S340" s="1"/>
  <c r="L339"/>
  <c r="K339"/>
  <c r="J339"/>
  <c r="H339"/>
  <c r="U339" s="1"/>
  <c r="G339"/>
  <c r="F339"/>
  <c r="L338"/>
  <c r="K338"/>
  <c r="M338" s="1"/>
  <c r="M337" s="1"/>
  <c r="J338"/>
  <c r="H338"/>
  <c r="U338" s="1"/>
  <c r="G338"/>
  <c r="T338" s="1"/>
  <c r="F338"/>
  <c r="S338" s="1"/>
  <c r="L337"/>
  <c r="K337"/>
  <c r="J337"/>
  <c r="H337"/>
  <c r="U337" s="1"/>
  <c r="G337"/>
  <c r="T337" s="1"/>
  <c r="F337"/>
  <c r="V336"/>
  <c r="U336"/>
  <c r="T336"/>
  <c r="S336"/>
  <c r="P336"/>
  <c r="O336"/>
  <c r="N336"/>
  <c r="S334"/>
  <c r="N334"/>
  <c r="L334"/>
  <c r="K334"/>
  <c r="H334"/>
  <c r="G334"/>
  <c r="L333"/>
  <c r="L335" s="1"/>
  <c r="K333"/>
  <c r="J333"/>
  <c r="H333"/>
  <c r="G333"/>
  <c r="O333" s="1"/>
  <c r="F333"/>
  <c r="U332"/>
  <c r="T332"/>
  <c r="S332"/>
  <c r="P332"/>
  <c r="O332"/>
  <c r="N332"/>
  <c r="M332"/>
  <c r="I332"/>
  <c r="V332" s="1"/>
  <c r="U331"/>
  <c r="T331"/>
  <c r="S331"/>
  <c r="P331"/>
  <c r="O331"/>
  <c r="N331"/>
  <c r="M331"/>
  <c r="I331"/>
  <c r="V331" s="1"/>
  <c r="U330"/>
  <c r="T330"/>
  <c r="S330"/>
  <c r="P330"/>
  <c r="O330"/>
  <c r="N330"/>
  <c r="M330"/>
  <c r="I330"/>
  <c r="V330" s="1"/>
  <c r="T328"/>
  <c r="L328"/>
  <c r="L405" s="1"/>
  <c r="K328"/>
  <c r="K405" s="1"/>
  <c r="J328"/>
  <c r="H328"/>
  <c r="G328"/>
  <c r="G405" s="1"/>
  <c r="F328"/>
  <c r="L327"/>
  <c r="K327"/>
  <c r="J327"/>
  <c r="H327"/>
  <c r="G327"/>
  <c r="F327"/>
  <c r="V326"/>
  <c r="U326"/>
  <c r="T326"/>
  <c r="S326"/>
  <c r="U325"/>
  <c r="T325"/>
  <c r="P325"/>
  <c r="O325"/>
  <c r="J325"/>
  <c r="M325" s="1"/>
  <c r="F325"/>
  <c r="S325" s="1"/>
  <c r="L324"/>
  <c r="L401" s="1"/>
  <c r="K324"/>
  <c r="K401" s="1"/>
  <c r="J324"/>
  <c r="H324"/>
  <c r="G324"/>
  <c r="G401" s="1"/>
  <c r="F324"/>
  <c r="L323"/>
  <c r="H323"/>
  <c r="U323" s="1"/>
  <c r="L322"/>
  <c r="L399" s="1"/>
  <c r="L398" s="1"/>
  <c r="K322"/>
  <c r="K399" s="1"/>
  <c r="K398" s="1"/>
  <c r="J322"/>
  <c r="J321" s="1"/>
  <c r="H322"/>
  <c r="H399" s="1"/>
  <c r="G322"/>
  <c r="G399" s="1"/>
  <c r="F322"/>
  <c r="F321" s="1"/>
  <c r="K321"/>
  <c r="H321"/>
  <c r="U321" s="1"/>
  <c r="V320"/>
  <c r="U320"/>
  <c r="T320"/>
  <c r="S320"/>
  <c r="P320"/>
  <c r="O320"/>
  <c r="N320"/>
  <c r="S318"/>
  <c r="N318"/>
  <c r="L318"/>
  <c r="K318"/>
  <c r="H318"/>
  <c r="G318"/>
  <c r="G395" s="1"/>
  <c r="L317"/>
  <c r="K317"/>
  <c r="J317"/>
  <c r="H317"/>
  <c r="U317" s="1"/>
  <c r="G317"/>
  <c r="F317"/>
  <c r="L316"/>
  <c r="K316"/>
  <c r="J316"/>
  <c r="H316"/>
  <c r="P316" s="1"/>
  <c r="G316"/>
  <c r="F316"/>
  <c r="N316" s="1"/>
  <c r="L315"/>
  <c r="K315"/>
  <c r="K314" s="1"/>
  <c r="K394" s="1"/>
  <c r="J315"/>
  <c r="H315"/>
  <c r="G315"/>
  <c r="F315"/>
  <c r="U313"/>
  <c r="T313"/>
  <c r="S313"/>
  <c r="P313"/>
  <c r="O313"/>
  <c r="N313"/>
  <c r="M313"/>
  <c r="I313"/>
  <c r="V313" s="1"/>
  <c r="V312"/>
  <c r="U312"/>
  <c r="T312"/>
  <c r="S312"/>
  <c r="V308"/>
  <c r="U308"/>
  <c r="T308"/>
  <c r="S308"/>
  <c r="L307"/>
  <c r="K307"/>
  <c r="H307"/>
  <c r="U307" s="1"/>
  <c r="G307"/>
  <c r="T307" s="1"/>
  <c r="V302"/>
  <c r="U302"/>
  <c r="T302"/>
  <c r="S302"/>
  <c r="P302"/>
  <c r="O302"/>
  <c r="N302"/>
  <c r="J300"/>
  <c r="F300"/>
  <c r="U298"/>
  <c r="T298"/>
  <c r="S298"/>
  <c r="P298"/>
  <c r="O298"/>
  <c r="N298"/>
  <c r="M298"/>
  <c r="I298"/>
  <c r="V298" s="1"/>
  <c r="U297"/>
  <c r="T297"/>
  <c r="S297"/>
  <c r="P297"/>
  <c r="O297"/>
  <c r="Q297" s="1"/>
  <c r="N297"/>
  <c r="M297"/>
  <c r="I297"/>
  <c r="V297" s="1"/>
  <c r="L294"/>
  <c r="K294"/>
  <c r="J294"/>
  <c r="H294"/>
  <c r="G294"/>
  <c r="O294" s="1"/>
  <c r="F294"/>
  <c r="L293"/>
  <c r="P293" s="1"/>
  <c r="K293"/>
  <c r="J293"/>
  <c r="M293" s="1"/>
  <c r="H293"/>
  <c r="U293" s="1"/>
  <c r="G293"/>
  <c r="O293" s="1"/>
  <c r="F293"/>
  <c r="V292"/>
  <c r="U292"/>
  <c r="T292"/>
  <c r="S292"/>
  <c r="U291"/>
  <c r="T291"/>
  <c r="P291"/>
  <c r="O291"/>
  <c r="J291"/>
  <c r="M291" s="1"/>
  <c r="F291"/>
  <c r="I291" s="1"/>
  <c r="L290"/>
  <c r="K290"/>
  <c r="J290"/>
  <c r="H290"/>
  <c r="U290" s="1"/>
  <c r="G290"/>
  <c r="T290" s="1"/>
  <c r="F290"/>
  <c r="L289"/>
  <c r="H289"/>
  <c r="U289" s="1"/>
  <c r="L288"/>
  <c r="K288"/>
  <c r="J288"/>
  <c r="H288"/>
  <c r="U288" s="1"/>
  <c r="G288"/>
  <c r="T288" s="1"/>
  <c r="F288"/>
  <c r="I288" s="1"/>
  <c r="L287"/>
  <c r="K287"/>
  <c r="J287"/>
  <c r="H287"/>
  <c r="U287" s="1"/>
  <c r="G287"/>
  <c r="T287" s="1"/>
  <c r="F287"/>
  <c r="V286"/>
  <c r="U286"/>
  <c r="T286"/>
  <c r="S286"/>
  <c r="P286"/>
  <c r="O286"/>
  <c r="N286"/>
  <c r="S284"/>
  <c r="N284"/>
  <c r="L284"/>
  <c r="K284"/>
  <c r="H284"/>
  <c r="P284" s="1"/>
  <c r="G284"/>
  <c r="T284" s="1"/>
  <c r="L283"/>
  <c r="L285" s="1"/>
  <c r="K283"/>
  <c r="J283"/>
  <c r="M283" s="1"/>
  <c r="H283"/>
  <c r="U283" s="1"/>
  <c r="G283"/>
  <c r="G285" s="1"/>
  <c r="F283"/>
  <c r="F285" s="1"/>
  <c r="U282"/>
  <c r="T282"/>
  <c r="S282"/>
  <c r="P282"/>
  <c r="O282"/>
  <c r="N282"/>
  <c r="M282"/>
  <c r="I282"/>
  <c r="V282" s="1"/>
  <c r="U281"/>
  <c r="T281"/>
  <c r="S281"/>
  <c r="P281"/>
  <c r="O281"/>
  <c r="N281"/>
  <c r="M281"/>
  <c r="I281"/>
  <c r="V281" s="1"/>
  <c r="L279"/>
  <c r="K279"/>
  <c r="J279"/>
  <c r="H279"/>
  <c r="U279" s="1"/>
  <c r="G279"/>
  <c r="O279" s="1"/>
  <c r="F279"/>
  <c r="L278"/>
  <c r="K278"/>
  <c r="J278"/>
  <c r="H278"/>
  <c r="P278" s="1"/>
  <c r="G278"/>
  <c r="O278" s="1"/>
  <c r="F278"/>
  <c r="N278" s="1"/>
  <c r="V277"/>
  <c r="U277"/>
  <c r="T277"/>
  <c r="S277"/>
  <c r="U276"/>
  <c r="T276"/>
  <c r="P276"/>
  <c r="O276"/>
  <c r="J276"/>
  <c r="M276" s="1"/>
  <c r="F276"/>
  <c r="S276" s="1"/>
  <c r="L275"/>
  <c r="K275"/>
  <c r="J275"/>
  <c r="H275"/>
  <c r="U275" s="1"/>
  <c r="G275"/>
  <c r="O275" s="1"/>
  <c r="F275"/>
  <c r="L274"/>
  <c r="H274"/>
  <c r="U274" s="1"/>
  <c r="L273"/>
  <c r="K273"/>
  <c r="J273"/>
  <c r="H273"/>
  <c r="P273" s="1"/>
  <c r="G273"/>
  <c r="T273" s="1"/>
  <c r="F273"/>
  <c r="N273" s="1"/>
  <c r="L272"/>
  <c r="K272"/>
  <c r="J272"/>
  <c r="H272"/>
  <c r="U272" s="1"/>
  <c r="G272"/>
  <c r="T272" s="1"/>
  <c r="F272"/>
  <c r="S272" s="1"/>
  <c r="V271"/>
  <c r="U271"/>
  <c r="T271"/>
  <c r="S271"/>
  <c r="P271"/>
  <c r="O271"/>
  <c r="Q271" s="1"/>
  <c r="N271"/>
  <c r="S269"/>
  <c r="N269"/>
  <c r="L269"/>
  <c r="K269"/>
  <c r="H269"/>
  <c r="G269"/>
  <c r="O269" s="1"/>
  <c r="L268"/>
  <c r="L270" s="1"/>
  <c r="L280" s="1"/>
  <c r="K268"/>
  <c r="K270" s="1"/>
  <c r="J268"/>
  <c r="J270" s="1"/>
  <c r="H268"/>
  <c r="H270" s="1"/>
  <c r="G268"/>
  <c r="T268" s="1"/>
  <c r="F268"/>
  <c r="F270" s="1"/>
  <c r="U267"/>
  <c r="T267"/>
  <c r="S267"/>
  <c r="P267"/>
  <c r="O267"/>
  <c r="N267"/>
  <c r="M267"/>
  <c r="I267"/>
  <c r="V267" s="1"/>
  <c r="U266"/>
  <c r="T266"/>
  <c r="S266"/>
  <c r="P266"/>
  <c r="O266"/>
  <c r="Q266" s="1"/>
  <c r="N266"/>
  <c r="M266"/>
  <c r="I266"/>
  <c r="V266" s="1"/>
  <c r="L264"/>
  <c r="K264"/>
  <c r="J264"/>
  <c r="H264"/>
  <c r="P264" s="1"/>
  <c r="G264"/>
  <c r="T264" s="1"/>
  <c r="F264"/>
  <c r="N264" s="1"/>
  <c r="L263"/>
  <c r="K263"/>
  <c r="J263"/>
  <c r="M263" s="1"/>
  <c r="H263"/>
  <c r="G263"/>
  <c r="O263" s="1"/>
  <c r="F263"/>
  <c r="V262"/>
  <c r="U262"/>
  <c r="T262"/>
  <c r="S262"/>
  <c r="U261"/>
  <c r="T261"/>
  <c r="P261"/>
  <c r="O261"/>
  <c r="J261"/>
  <c r="F261"/>
  <c r="L260"/>
  <c r="K260"/>
  <c r="J260"/>
  <c r="H260"/>
  <c r="G260"/>
  <c r="T260" s="1"/>
  <c r="F260"/>
  <c r="K259"/>
  <c r="G259"/>
  <c r="L258"/>
  <c r="K258"/>
  <c r="J258"/>
  <c r="M258" s="1"/>
  <c r="M257" s="1"/>
  <c r="H258"/>
  <c r="U258" s="1"/>
  <c r="G258"/>
  <c r="O258" s="1"/>
  <c r="F258"/>
  <c r="L257"/>
  <c r="K257"/>
  <c r="J257"/>
  <c r="H257"/>
  <c r="U257" s="1"/>
  <c r="G257"/>
  <c r="T257" s="1"/>
  <c r="F257"/>
  <c r="V256"/>
  <c r="U256"/>
  <c r="T256"/>
  <c r="S256"/>
  <c r="P256"/>
  <c r="O256"/>
  <c r="N256"/>
  <c r="S254"/>
  <c r="N254"/>
  <c r="L254"/>
  <c r="K254"/>
  <c r="H254"/>
  <c r="P254" s="1"/>
  <c r="G254"/>
  <c r="T254" s="1"/>
  <c r="L253"/>
  <c r="L255" s="1"/>
  <c r="K253"/>
  <c r="J253"/>
  <c r="M253" s="1"/>
  <c r="H253"/>
  <c r="U253" s="1"/>
  <c r="G253"/>
  <c r="G255" s="1"/>
  <c r="F253"/>
  <c r="F255" s="1"/>
  <c r="U252"/>
  <c r="T252"/>
  <c r="S252"/>
  <c r="P252"/>
  <c r="O252"/>
  <c r="N252"/>
  <c r="M252"/>
  <c r="I252"/>
  <c r="V252" s="1"/>
  <c r="U251"/>
  <c r="T251"/>
  <c r="S251"/>
  <c r="P251"/>
  <c r="O251"/>
  <c r="N251"/>
  <c r="M251"/>
  <c r="I251"/>
  <c r="V251" s="1"/>
  <c r="V250"/>
  <c r="U250"/>
  <c r="T250"/>
  <c r="S250"/>
  <c r="P250"/>
  <c r="O250"/>
  <c r="N250"/>
  <c r="M250"/>
  <c r="L248"/>
  <c r="L310" s="1"/>
  <c r="K248"/>
  <c r="K310" s="1"/>
  <c r="J248"/>
  <c r="J310" s="1"/>
  <c r="H248"/>
  <c r="H310" s="1"/>
  <c r="P310" s="1"/>
  <c r="G248"/>
  <c r="T248" s="1"/>
  <c r="F248"/>
  <c r="F310" s="1"/>
  <c r="N310" s="1"/>
  <c r="L247"/>
  <c r="K247"/>
  <c r="K309" s="1"/>
  <c r="J247"/>
  <c r="H247"/>
  <c r="G247"/>
  <c r="G309" s="1"/>
  <c r="F247"/>
  <c r="F309" s="1"/>
  <c r="V246"/>
  <c r="U246"/>
  <c r="T246"/>
  <c r="S246"/>
  <c r="U245"/>
  <c r="T245"/>
  <c r="P245"/>
  <c r="O245"/>
  <c r="J245"/>
  <c r="F245"/>
  <c r="F307" s="1"/>
  <c r="L244"/>
  <c r="L306" s="1"/>
  <c r="K244"/>
  <c r="K243" s="1"/>
  <c r="J244"/>
  <c r="J306" s="1"/>
  <c r="H244"/>
  <c r="H306" s="1"/>
  <c r="G244"/>
  <c r="T244" s="1"/>
  <c r="F244"/>
  <c r="F306" s="1"/>
  <c r="S306" s="1"/>
  <c r="L242"/>
  <c r="L304" s="1"/>
  <c r="L303" s="1"/>
  <c r="K242"/>
  <c r="K304" s="1"/>
  <c r="K303" s="1"/>
  <c r="J242"/>
  <c r="J304" s="1"/>
  <c r="J303" s="1"/>
  <c r="H242"/>
  <c r="H304" s="1"/>
  <c r="G242"/>
  <c r="T242" s="1"/>
  <c r="F242"/>
  <c r="F304" s="1"/>
  <c r="L241"/>
  <c r="K241"/>
  <c r="J241"/>
  <c r="H241"/>
  <c r="U241" s="1"/>
  <c r="G241"/>
  <c r="T241" s="1"/>
  <c r="F241"/>
  <c r="S241" s="1"/>
  <c r="V240"/>
  <c r="U240"/>
  <c r="T240"/>
  <c r="S240"/>
  <c r="P240"/>
  <c r="O240"/>
  <c r="N240"/>
  <c r="S238"/>
  <c r="N238"/>
  <c r="L238"/>
  <c r="K238"/>
  <c r="K300" s="1"/>
  <c r="H238"/>
  <c r="G238"/>
  <c r="L237"/>
  <c r="K237"/>
  <c r="J237"/>
  <c r="H237"/>
  <c r="P237" s="1"/>
  <c r="G237"/>
  <c r="T237" s="1"/>
  <c r="F237"/>
  <c r="N237" s="1"/>
  <c r="L236"/>
  <c r="K236"/>
  <c r="J236"/>
  <c r="H236"/>
  <c r="U236" s="1"/>
  <c r="G236"/>
  <c r="F236"/>
  <c r="L235"/>
  <c r="K235"/>
  <c r="K234" s="1"/>
  <c r="K299" s="1"/>
  <c r="K301" s="1"/>
  <c r="J235"/>
  <c r="H235"/>
  <c r="P235" s="1"/>
  <c r="G235"/>
  <c r="F235"/>
  <c r="N235" s="1"/>
  <c r="J234"/>
  <c r="H234"/>
  <c r="U233"/>
  <c r="T233"/>
  <c r="S233"/>
  <c r="P233"/>
  <c r="O233"/>
  <c r="N233"/>
  <c r="M233"/>
  <c r="I233"/>
  <c r="V233" s="1"/>
  <c r="U232"/>
  <c r="T232"/>
  <c r="S232"/>
  <c r="P232"/>
  <c r="O232"/>
  <c r="N232"/>
  <c r="M232"/>
  <c r="I232"/>
  <c r="V232" s="1"/>
  <c r="V228"/>
  <c r="U228"/>
  <c r="T228"/>
  <c r="S228"/>
  <c r="L227"/>
  <c r="K227"/>
  <c r="H227"/>
  <c r="U227" s="1"/>
  <c r="G227"/>
  <c r="T227" s="1"/>
  <c r="V222"/>
  <c r="U222"/>
  <c r="T222"/>
  <c r="S222"/>
  <c r="P222"/>
  <c r="O222"/>
  <c r="N222"/>
  <c r="J220"/>
  <c r="F220"/>
  <c r="N220" s="1"/>
  <c r="U218"/>
  <c r="T218"/>
  <c r="S218"/>
  <c r="P218"/>
  <c r="O218"/>
  <c r="N218"/>
  <c r="M218"/>
  <c r="I218"/>
  <c r="V218" s="1"/>
  <c r="U217"/>
  <c r="T217"/>
  <c r="S217"/>
  <c r="P217"/>
  <c r="O217"/>
  <c r="N217"/>
  <c r="M217"/>
  <c r="I217"/>
  <c r="V217" s="1"/>
  <c r="L214"/>
  <c r="K214"/>
  <c r="J214"/>
  <c r="M214" s="1"/>
  <c r="H214"/>
  <c r="U214" s="1"/>
  <c r="G214"/>
  <c r="O214" s="1"/>
  <c r="F214"/>
  <c r="L213"/>
  <c r="K213"/>
  <c r="J213"/>
  <c r="H213"/>
  <c r="U213" s="1"/>
  <c r="G213"/>
  <c r="F213"/>
  <c r="V212"/>
  <c r="U212"/>
  <c r="T212"/>
  <c r="S212"/>
  <c r="U211"/>
  <c r="T211"/>
  <c r="P211"/>
  <c r="O211"/>
  <c r="J211"/>
  <c r="M211" s="1"/>
  <c r="F211"/>
  <c r="S211" s="1"/>
  <c r="L210"/>
  <c r="K210"/>
  <c r="J210"/>
  <c r="H210"/>
  <c r="U210" s="1"/>
  <c r="G210"/>
  <c r="O210" s="1"/>
  <c r="F210"/>
  <c r="J209"/>
  <c r="F209"/>
  <c r="S209" s="1"/>
  <c r="L208"/>
  <c r="K208"/>
  <c r="J208"/>
  <c r="M208" s="1"/>
  <c r="M207" s="1"/>
  <c r="H208"/>
  <c r="U208" s="1"/>
  <c r="G208"/>
  <c r="T208" s="1"/>
  <c r="F208"/>
  <c r="I208" s="1"/>
  <c r="L207"/>
  <c r="K207"/>
  <c r="J207"/>
  <c r="H207"/>
  <c r="U207" s="1"/>
  <c r="G207"/>
  <c r="T207" s="1"/>
  <c r="F207"/>
  <c r="V206"/>
  <c r="U206"/>
  <c r="T206"/>
  <c r="S206"/>
  <c r="P206"/>
  <c r="O206"/>
  <c r="N206"/>
  <c r="S204"/>
  <c r="N204"/>
  <c r="L204"/>
  <c r="K204"/>
  <c r="H204"/>
  <c r="U204" s="1"/>
  <c r="G204"/>
  <c r="L203"/>
  <c r="K203"/>
  <c r="K205" s="1"/>
  <c r="J203"/>
  <c r="J205" s="1"/>
  <c r="H203"/>
  <c r="P203" s="1"/>
  <c r="G203"/>
  <c r="O203" s="1"/>
  <c r="F203"/>
  <c r="N203" s="1"/>
  <c r="U202"/>
  <c r="T202"/>
  <c r="S202"/>
  <c r="P202"/>
  <c r="O202"/>
  <c r="N202"/>
  <c r="I202"/>
  <c r="V202" s="1"/>
  <c r="U201"/>
  <c r="T201"/>
  <c r="S201"/>
  <c r="P201"/>
  <c r="O201"/>
  <c r="N201"/>
  <c r="M201"/>
  <c r="I201"/>
  <c r="V201" s="1"/>
  <c r="L199"/>
  <c r="K199"/>
  <c r="J199"/>
  <c r="H199"/>
  <c r="U199" s="1"/>
  <c r="G199"/>
  <c r="F199"/>
  <c r="L198"/>
  <c r="K198"/>
  <c r="J198"/>
  <c r="H198"/>
  <c r="P198" s="1"/>
  <c r="G198"/>
  <c r="F198"/>
  <c r="N198" s="1"/>
  <c r="V197"/>
  <c r="U197"/>
  <c r="T197"/>
  <c r="S197"/>
  <c r="U196"/>
  <c r="T196"/>
  <c r="P196"/>
  <c r="O196"/>
  <c r="J196"/>
  <c r="M196" s="1"/>
  <c r="F196"/>
  <c r="S196" s="1"/>
  <c r="L195"/>
  <c r="K195"/>
  <c r="J195"/>
  <c r="H195"/>
  <c r="U195" s="1"/>
  <c r="G195"/>
  <c r="F195"/>
  <c r="L194"/>
  <c r="H194"/>
  <c r="U194" s="1"/>
  <c r="L193"/>
  <c r="K193"/>
  <c r="J193"/>
  <c r="H193"/>
  <c r="G193"/>
  <c r="T193" s="1"/>
  <c r="F193"/>
  <c r="N193" s="1"/>
  <c r="L192"/>
  <c r="K192"/>
  <c r="J192"/>
  <c r="H192"/>
  <c r="U192" s="1"/>
  <c r="G192"/>
  <c r="T192" s="1"/>
  <c r="F192"/>
  <c r="V191"/>
  <c r="U191"/>
  <c r="T191"/>
  <c r="S191"/>
  <c r="P191"/>
  <c r="O191"/>
  <c r="N191"/>
  <c r="S189"/>
  <c r="N189"/>
  <c r="L189"/>
  <c r="K189"/>
  <c r="H189"/>
  <c r="U189" s="1"/>
  <c r="G189"/>
  <c r="O189" s="1"/>
  <c r="L188"/>
  <c r="L190" s="1"/>
  <c r="K188"/>
  <c r="K190" s="1"/>
  <c r="J188"/>
  <c r="J190" s="1"/>
  <c r="H188"/>
  <c r="G188"/>
  <c r="T188" s="1"/>
  <c r="F188"/>
  <c r="F190" s="1"/>
  <c r="V187"/>
  <c r="U187"/>
  <c r="T187"/>
  <c r="S187"/>
  <c r="P187"/>
  <c r="O187"/>
  <c r="N187"/>
  <c r="M187"/>
  <c r="U186"/>
  <c r="T186"/>
  <c r="S186"/>
  <c r="P186"/>
  <c r="O186"/>
  <c r="N186"/>
  <c r="M186"/>
  <c r="I186"/>
  <c r="V186" s="1"/>
  <c r="L184"/>
  <c r="K184"/>
  <c r="J184"/>
  <c r="H184"/>
  <c r="U184" s="1"/>
  <c r="G184"/>
  <c r="O184" s="1"/>
  <c r="F184"/>
  <c r="S184" s="1"/>
  <c r="L183"/>
  <c r="K183"/>
  <c r="J183"/>
  <c r="H183"/>
  <c r="U183" s="1"/>
  <c r="G183"/>
  <c r="F183"/>
  <c r="V182"/>
  <c r="U182"/>
  <c r="T182"/>
  <c r="S182"/>
  <c r="U181"/>
  <c r="T181"/>
  <c r="P181"/>
  <c r="O181"/>
  <c r="J181"/>
  <c r="M181" s="1"/>
  <c r="F181"/>
  <c r="I181" s="1"/>
  <c r="L180"/>
  <c r="K180"/>
  <c r="J180"/>
  <c r="H180"/>
  <c r="P180" s="1"/>
  <c r="G180"/>
  <c r="T180" s="1"/>
  <c r="F180"/>
  <c r="N180" s="1"/>
  <c r="L179"/>
  <c r="K179"/>
  <c r="H179"/>
  <c r="U179" s="1"/>
  <c r="G179"/>
  <c r="T179" s="1"/>
  <c r="L178"/>
  <c r="K178"/>
  <c r="J178"/>
  <c r="H178"/>
  <c r="U178" s="1"/>
  <c r="G178"/>
  <c r="F178"/>
  <c r="S178" s="1"/>
  <c r="L177"/>
  <c r="K177"/>
  <c r="J177"/>
  <c r="H177"/>
  <c r="U177" s="1"/>
  <c r="G177"/>
  <c r="T177" s="1"/>
  <c r="F177"/>
  <c r="V176"/>
  <c r="U176"/>
  <c r="T176"/>
  <c r="S176"/>
  <c r="P176"/>
  <c r="O176"/>
  <c r="N176"/>
  <c r="S174"/>
  <c r="N174"/>
  <c r="L174"/>
  <c r="K174"/>
  <c r="H174"/>
  <c r="P174" s="1"/>
  <c r="G174"/>
  <c r="T174" s="1"/>
  <c r="L173"/>
  <c r="L175" s="1"/>
  <c r="K173"/>
  <c r="K175" s="1"/>
  <c r="K185" s="1"/>
  <c r="J173"/>
  <c r="M173" s="1"/>
  <c r="H173"/>
  <c r="U173" s="1"/>
  <c r="G173"/>
  <c r="G175" s="1"/>
  <c r="F173"/>
  <c r="S173" s="1"/>
  <c r="U172"/>
  <c r="T172"/>
  <c r="S172"/>
  <c r="P172"/>
  <c r="O172"/>
  <c r="N172"/>
  <c r="M172"/>
  <c r="I172"/>
  <c r="V172" s="1"/>
  <c r="U171"/>
  <c r="T171"/>
  <c r="S171"/>
  <c r="P171"/>
  <c r="O171"/>
  <c r="N171"/>
  <c r="M171"/>
  <c r="I171"/>
  <c r="V171" s="1"/>
  <c r="L169"/>
  <c r="K169"/>
  <c r="J169"/>
  <c r="M169" s="1"/>
  <c r="H169"/>
  <c r="U169" s="1"/>
  <c r="G169"/>
  <c r="O169" s="1"/>
  <c r="F169"/>
  <c r="S169" s="1"/>
  <c r="L168"/>
  <c r="K168"/>
  <c r="M168" s="1"/>
  <c r="J168"/>
  <c r="H168"/>
  <c r="P168" s="1"/>
  <c r="G168"/>
  <c r="T168" s="1"/>
  <c r="F168"/>
  <c r="N168" s="1"/>
  <c r="V167"/>
  <c r="U167"/>
  <c r="T167"/>
  <c r="S167"/>
  <c r="U166"/>
  <c r="T166"/>
  <c r="P166"/>
  <c r="O166"/>
  <c r="J166"/>
  <c r="M166" s="1"/>
  <c r="F166"/>
  <c r="S166" s="1"/>
  <c r="L165"/>
  <c r="K165"/>
  <c r="J165"/>
  <c r="H165"/>
  <c r="U165" s="1"/>
  <c r="G165"/>
  <c r="F165"/>
  <c r="S165" s="1"/>
  <c r="L164"/>
  <c r="K164"/>
  <c r="J164"/>
  <c r="H164"/>
  <c r="U164" s="1"/>
  <c r="G164"/>
  <c r="F164"/>
  <c r="L163"/>
  <c r="K163"/>
  <c r="J163"/>
  <c r="H163"/>
  <c r="P163" s="1"/>
  <c r="G163"/>
  <c r="T163" s="1"/>
  <c r="F163"/>
  <c r="N163" s="1"/>
  <c r="L162"/>
  <c r="K162"/>
  <c r="J162"/>
  <c r="H162"/>
  <c r="U162" s="1"/>
  <c r="G162"/>
  <c r="T162" s="1"/>
  <c r="F162"/>
  <c r="S162" s="1"/>
  <c r="V161"/>
  <c r="U161"/>
  <c r="T161"/>
  <c r="S161"/>
  <c r="P161"/>
  <c r="O161"/>
  <c r="Q161" s="1"/>
  <c r="N161"/>
  <c r="S159"/>
  <c r="N159"/>
  <c r="L159"/>
  <c r="K159"/>
  <c r="H159"/>
  <c r="U159" s="1"/>
  <c r="G159"/>
  <c r="O159" s="1"/>
  <c r="L158"/>
  <c r="L160" s="1"/>
  <c r="L170" s="1"/>
  <c r="K158"/>
  <c r="K160" s="1"/>
  <c r="J158"/>
  <c r="J160" s="1"/>
  <c r="J170" s="1"/>
  <c r="H158"/>
  <c r="G158"/>
  <c r="T158" s="1"/>
  <c r="F158"/>
  <c r="F160" s="1"/>
  <c r="U157"/>
  <c r="T157"/>
  <c r="S157"/>
  <c r="P157"/>
  <c r="O157"/>
  <c r="N157"/>
  <c r="M157"/>
  <c r="I157"/>
  <c r="V157" s="1"/>
  <c r="U156"/>
  <c r="T156"/>
  <c r="S156"/>
  <c r="P156"/>
  <c r="O156"/>
  <c r="N156"/>
  <c r="M156"/>
  <c r="I156"/>
  <c r="V156" s="1"/>
  <c r="U155"/>
  <c r="T155"/>
  <c r="S155"/>
  <c r="P155"/>
  <c r="O155"/>
  <c r="N155"/>
  <c r="M155"/>
  <c r="I155"/>
  <c r="V155" s="1"/>
  <c r="L153"/>
  <c r="L230" s="1"/>
  <c r="K153"/>
  <c r="K230" s="1"/>
  <c r="J153"/>
  <c r="J230" s="1"/>
  <c r="M230" s="1"/>
  <c r="H153"/>
  <c r="G153"/>
  <c r="G230" s="1"/>
  <c r="O230" s="1"/>
  <c r="F153"/>
  <c r="F230" s="1"/>
  <c r="L152"/>
  <c r="L229" s="1"/>
  <c r="K152"/>
  <c r="K229" s="1"/>
  <c r="J152"/>
  <c r="J229" s="1"/>
  <c r="H152"/>
  <c r="H229" s="1"/>
  <c r="G152"/>
  <c r="G229" s="1"/>
  <c r="F152"/>
  <c r="F229" s="1"/>
  <c r="V151"/>
  <c r="U151"/>
  <c r="T151"/>
  <c r="S151"/>
  <c r="U150"/>
  <c r="T150"/>
  <c r="P150"/>
  <c r="O150"/>
  <c r="J150"/>
  <c r="J227" s="1"/>
  <c r="M227" s="1"/>
  <c r="F150"/>
  <c r="F227" s="1"/>
  <c r="L149"/>
  <c r="L226" s="1"/>
  <c r="L225" s="1"/>
  <c r="K149"/>
  <c r="K226" s="1"/>
  <c r="J149"/>
  <c r="J226" s="1"/>
  <c r="H149"/>
  <c r="H226" s="1"/>
  <c r="G149"/>
  <c r="G226" s="1"/>
  <c r="F149"/>
  <c r="L148"/>
  <c r="K148"/>
  <c r="H148"/>
  <c r="U148" s="1"/>
  <c r="L147"/>
  <c r="L224" s="1"/>
  <c r="L223" s="1"/>
  <c r="K147"/>
  <c r="K224" s="1"/>
  <c r="K223" s="1"/>
  <c r="J147"/>
  <c r="J224" s="1"/>
  <c r="H147"/>
  <c r="H224" s="1"/>
  <c r="G147"/>
  <c r="G224" s="1"/>
  <c r="F147"/>
  <c r="L146"/>
  <c r="K146"/>
  <c r="J146"/>
  <c r="H146"/>
  <c r="U146" s="1"/>
  <c r="G146"/>
  <c r="T146" s="1"/>
  <c r="F146"/>
  <c r="V145"/>
  <c r="U145"/>
  <c r="S145"/>
  <c r="P145"/>
  <c r="N145"/>
  <c r="S143"/>
  <c r="N143"/>
  <c r="L143"/>
  <c r="L220" s="1"/>
  <c r="K143"/>
  <c r="K220" s="1"/>
  <c r="H143"/>
  <c r="H220" s="1"/>
  <c r="P220" s="1"/>
  <c r="G143"/>
  <c r="T143" s="1"/>
  <c r="L142"/>
  <c r="K142"/>
  <c r="J142"/>
  <c r="H142"/>
  <c r="U142" s="1"/>
  <c r="G142"/>
  <c r="F142"/>
  <c r="S142" s="1"/>
  <c r="L141"/>
  <c r="K141"/>
  <c r="M141" s="1"/>
  <c r="J141"/>
  <c r="H141"/>
  <c r="P141" s="1"/>
  <c r="G141"/>
  <c r="F141"/>
  <c r="N141" s="1"/>
  <c r="L140"/>
  <c r="L139" s="1"/>
  <c r="K140"/>
  <c r="K139" s="1"/>
  <c r="K219" s="1"/>
  <c r="J140"/>
  <c r="H140"/>
  <c r="U140" s="1"/>
  <c r="G140"/>
  <c r="F140"/>
  <c r="U138"/>
  <c r="T138"/>
  <c r="S138"/>
  <c r="P138"/>
  <c r="O138"/>
  <c r="N138"/>
  <c r="M138"/>
  <c r="I138"/>
  <c r="V138" s="1"/>
  <c r="V137"/>
  <c r="U137"/>
  <c r="T137"/>
  <c r="S137"/>
  <c r="V133"/>
  <c r="U133"/>
  <c r="T133"/>
  <c r="S133"/>
  <c r="L132"/>
  <c r="K132"/>
  <c r="H132"/>
  <c r="U132" s="1"/>
  <c r="G132"/>
  <c r="T132" s="1"/>
  <c r="V127"/>
  <c r="U127"/>
  <c r="T127"/>
  <c r="S127"/>
  <c r="P127"/>
  <c r="O127"/>
  <c r="N127"/>
  <c r="J125"/>
  <c r="F125"/>
  <c r="S125" s="1"/>
  <c r="U123"/>
  <c r="T123"/>
  <c r="S123"/>
  <c r="P123"/>
  <c r="O123"/>
  <c r="N123"/>
  <c r="M123"/>
  <c r="I123"/>
  <c r="V123" s="1"/>
  <c r="U122"/>
  <c r="T122"/>
  <c r="S122"/>
  <c r="P122"/>
  <c r="O122"/>
  <c r="N122"/>
  <c r="M122"/>
  <c r="I122"/>
  <c r="V122" s="1"/>
  <c r="L119"/>
  <c r="K119"/>
  <c r="J119"/>
  <c r="M119" s="1"/>
  <c r="H119"/>
  <c r="P119" s="1"/>
  <c r="G119"/>
  <c r="T119" s="1"/>
  <c r="F119"/>
  <c r="N119" s="1"/>
  <c r="L118"/>
  <c r="K118"/>
  <c r="J118"/>
  <c r="M118" s="1"/>
  <c r="H118"/>
  <c r="U118" s="1"/>
  <c r="G118"/>
  <c r="O118" s="1"/>
  <c r="F118"/>
  <c r="S118" s="1"/>
  <c r="V117"/>
  <c r="U117"/>
  <c r="T117"/>
  <c r="S117"/>
  <c r="U116"/>
  <c r="T116"/>
  <c r="P116"/>
  <c r="O116"/>
  <c r="J116"/>
  <c r="M116" s="1"/>
  <c r="F116"/>
  <c r="I116" s="1"/>
  <c r="V116" s="1"/>
  <c r="L115"/>
  <c r="K115"/>
  <c r="J115"/>
  <c r="H115"/>
  <c r="P115" s="1"/>
  <c r="G115"/>
  <c r="T115" s="1"/>
  <c r="F115"/>
  <c r="N115" s="1"/>
  <c r="L114"/>
  <c r="K114"/>
  <c r="J114"/>
  <c r="H114"/>
  <c r="U114" s="1"/>
  <c r="G114"/>
  <c r="F114"/>
  <c r="S114" s="1"/>
  <c r="L113"/>
  <c r="K113"/>
  <c r="J113"/>
  <c r="H113"/>
  <c r="U113" s="1"/>
  <c r="G113"/>
  <c r="F113"/>
  <c r="S113" s="1"/>
  <c r="L112"/>
  <c r="K112"/>
  <c r="J112"/>
  <c r="H112"/>
  <c r="U112" s="1"/>
  <c r="G112"/>
  <c r="T112" s="1"/>
  <c r="F112"/>
  <c r="S112" s="1"/>
  <c r="V111"/>
  <c r="U111"/>
  <c r="T111"/>
  <c r="S111"/>
  <c r="P111"/>
  <c r="O111"/>
  <c r="N111"/>
  <c r="S109"/>
  <c r="N109"/>
  <c r="L109"/>
  <c r="K109"/>
  <c r="H109"/>
  <c r="U109" s="1"/>
  <c r="G109"/>
  <c r="T109" s="1"/>
  <c r="L108"/>
  <c r="L110" s="1"/>
  <c r="L120" s="1"/>
  <c r="K108"/>
  <c r="K110" s="1"/>
  <c r="J108"/>
  <c r="J110" s="1"/>
  <c r="J120" s="1"/>
  <c r="H108"/>
  <c r="G108"/>
  <c r="G110" s="1"/>
  <c r="F108"/>
  <c r="U107"/>
  <c r="T107"/>
  <c r="S107"/>
  <c r="P107"/>
  <c r="O107"/>
  <c r="N107"/>
  <c r="M107"/>
  <c r="I107"/>
  <c r="V107" s="1"/>
  <c r="U106"/>
  <c r="T106"/>
  <c r="S106"/>
  <c r="P106"/>
  <c r="O106"/>
  <c r="N106"/>
  <c r="M106"/>
  <c r="I106"/>
  <c r="V106" s="1"/>
  <c r="L104"/>
  <c r="K104"/>
  <c r="J104"/>
  <c r="M104" s="1"/>
  <c r="H104"/>
  <c r="G104"/>
  <c r="T104" s="1"/>
  <c r="F104"/>
  <c r="L103"/>
  <c r="K103"/>
  <c r="J103"/>
  <c r="M103" s="1"/>
  <c r="H103"/>
  <c r="U103" s="1"/>
  <c r="G103"/>
  <c r="O103" s="1"/>
  <c r="F103"/>
  <c r="S103" s="1"/>
  <c r="V102"/>
  <c r="U102"/>
  <c r="T102"/>
  <c r="S102"/>
  <c r="U101"/>
  <c r="T101"/>
  <c r="P101"/>
  <c r="O101"/>
  <c r="J101"/>
  <c r="M101" s="1"/>
  <c r="F101"/>
  <c r="I101" s="1"/>
  <c r="L100"/>
  <c r="K100"/>
  <c r="J100"/>
  <c r="H100"/>
  <c r="G100"/>
  <c r="T100" s="1"/>
  <c r="F100"/>
  <c r="L99"/>
  <c r="K99"/>
  <c r="J99"/>
  <c r="H99"/>
  <c r="U99" s="1"/>
  <c r="G99"/>
  <c r="T99" s="1"/>
  <c r="F99"/>
  <c r="L98"/>
  <c r="K98"/>
  <c r="J98"/>
  <c r="H98"/>
  <c r="U98" s="1"/>
  <c r="G98"/>
  <c r="F98"/>
  <c r="L97"/>
  <c r="K97"/>
  <c r="J97"/>
  <c r="H97"/>
  <c r="U97" s="1"/>
  <c r="G97"/>
  <c r="T97" s="1"/>
  <c r="F97"/>
  <c r="V96"/>
  <c r="U96"/>
  <c r="T96"/>
  <c r="S96"/>
  <c r="P96"/>
  <c r="O96"/>
  <c r="N96"/>
  <c r="S94"/>
  <c r="N94"/>
  <c r="L94"/>
  <c r="K94"/>
  <c r="H94"/>
  <c r="P94" s="1"/>
  <c r="G94"/>
  <c r="T94" s="1"/>
  <c r="L93"/>
  <c r="L95" s="1"/>
  <c r="K93"/>
  <c r="K95" s="1"/>
  <c r="K105" s="1"/>
  <c r="J93"/>
  <c r="M93" s="1"/>
  <c r="H93"/>
  <c r="U93" s="1"/>
  <c r="G93"/>
  <c r="G95" s="1"/>
  <c r="F93"/>
  <c r="S93" s="1"/>
  <c r="U92"/>
  <c r="T92"/>
  <c r="S92"/>
  <c r="P92"/>
  <c r="O92"/>
  <c r="N92"/>
  <c r="M92"/>
  <c r="I92"/>
  <c r="V92" s="1"/>
  <c r="U91"/>
  <c r="T91"/>
  <c r="S91"/>
  <c r="P91"/>
  <c r="O91"/>
  <c r="N91"/>
  <c r="M91"/>
  <c r="I91"/>
  <c r="V91" s="1"/>
  <c r="L89"/>
  <c r="K89"/>
  <c r="J89"/>
  <c r="H89"/>
  <c r="U89" s="1"/>
  <c r="G89"/>
  <c r="O89" s="1"/>
  <c r="F89"/>
  <c r="S89" s="1"/>
  <c r="L88"/>
  <c r="K88"/>
  <c r="J88"/>
  <c r="H88"/>
  <c r="U88" s="1"/>
  <c r="G88"/>
  <c r="T88" s="1"/>
  <c r="F88"/>
  <c r="V87"/>
  <c r="U87"/>
  <c r="T87"/>
  <c r="S87"/>
  <c r="U86"/>
  <c r="T86"/>
  <c r="P86"/>
  <c r="O86"/>
  <c r="J86"/>
  <c r="M86" s="1"/>
  <c r="F86"/>
  <c r="I86" s="1"/>
  <c r="L85"/>
  <c r="K85"/>
  <c r="J85"/>
  <c r="H85"/>
  <c r="G85"/>
  <c r="T85" s="1"/>
  <c r="F85"/>
  <c r="L84"/>
  <c r="K84"/>
  <c r="J84"/>
  <c r="H84"/>
  <c r="U84" s="1"/>
  <c r="G84"/>
  <c r="F84"/>
  <c r="L83"/>
  <c r="K83"/>
  <c r="J83"/>
  <c r="H83"/>
  <c r="U83" s="1"/>
  <c r="G83"/>
  <c r="T83" s="1"/>
  <c r="F83"/>
  <c r="L82"/>
  <c r="K82"/>
  <c r="J82"/>
  <c r="H82"/>
  <c r="U82" s="1"/>
  <c r="G82"/>
  <c r="T82" s="1"/>
  <c r="F82"/>
  <c r="V81"/>
  <c r="U81"/>
  <c r="T81"/>
  <c r="S81"/>
  <c r="P81"/>
  <c r="O81"/>
  <c r="Q81" s="1"/>
  <c r="N81"/>
  <c r="S79"/>
  <c r="N79"/>
  <c r="L79"/>
  <c r="K79"/>
  <c r="H79"/>
  <c r="U79" s="1"/>
  <c r="G79"/>
  <c r="O79" s="1"/>
  <c r="L78"/>
  <c r="L80" s="1"/>
  <c r="K78"/>
  <c r="K80" s="1"/>
  <c r="J78"/>
  <c r="J80" s="1"/>
  <c r="H78"/>
  <c r="H80" s="1"/>
  <c r="G78"/>
  <c r="F78"/>
  <c r="F80" s="1"/>
  <c r="U77"/>
  <c r="T77"/>
  <c r="S77"/>
  <c r="P77"/>
  <c r="O77"/>
  <c r="N77"/>
  <c r="M77"/>
  <c r="I77"/>
  <c r="V77" s="1"/>
  <c r="V76"/>
  <c r="U76"/>
  <c r="T76"/>
  <c r="S76"/>
  <c r="P76"/>
  <c r="O76"/>
  <c r="N76"/>
  <c r="Q76" s="1"/>
  <c r="L74"/>
  <c r="L1822" s="1"/>
  <c r="K74"/>
  <c r="K1822" s="1"/>
  <c r="J74"/>
  <c r="J1822" s="1"/>
  <c r="H74"/>
  <c r="H1822" s="1"/>
  <c r="G74"/>
  <c r="G1822" s="1"/>
  <c r="F74"/>
  <c r="F1822" s="1"/>
  <c r="L73"/>
  <c r="L1821" s="1"/>
  <c r="K73"/>
  <c r="K1821" s="1"/>
  <c r="J73"/>
  <c r="J1821" s="1"/>
  <c r="H73"/>
  <c r="H1821" s="1"/>
  <c r="G73"/>
  <c r="G1821" s="1"/>
  <c r="F73"/>
  <c r="F1821" s="1"/>
  <c r="V72"/>
  <c r="U72"/>
  <c r="T72"/>
  <c r="S72"/>
  <c r="U71"/>
  <c r="T71"/>
  <c r="P71"/>
  <c r="O71"/>
  <c r="J71"/>
  <c r="F71"/>
  <c r="L70"/>
  <c r="L1817" s="1"/>
  <c r="L1819" s="1"/>
  <c r="L1816" s="1"/>
  <c r="K70"/>
  <c r="K1817" s="1"/>
  <c r="K1819" s="1"/>
  <c r="K1816" s="1"/>
  <c r="J70"/>
  <c r="J1817" s="1"/>
  <c r="H70"/>
  <c r="H1817" s="1"/>
  <c r="G70"/>
  <c r="G1817" s="1"/>
  <c r="F70"/>
  <c r="F1817" s="1"/>
  <c r="L69"/>
  <c r="K69"/>
  <c r="J69"/>
  <c r="H69"/>
  <c r="U69" s="1"/>
  <c r="G69"/>
  <c r="L68"/>
  <c r="L1813" s="1"/>
  <c r="L1812" s="1"/>
  <c r="L1811" s="1"/>
  <c r="K68"/>
  <c r="K1813" s="1"/>
  <c r="J68"/>
  <c r="J1813" s="1"/>
  <c r="H68"/>
  <c r="H1813" s="1"/>
  <c r="G68"/>
  <c r="G1813" s="1"/>
  <c r="F68"/>
  <c r="F1813" s="1"/>
  <c r="L67"/>
  <c r="K67"/>
  <c r="J67"/>
  <c r="H67"/>
  <c r="U67" s="1"/>
  <c r="G67"/>
  <c r="T67" s="1"/>
  <c r="F67"/>
  <c r="V66"/>
  <c r="U66"/>
  <c r="T66"/>
  <c r="S66"/>
  <c r="P66"/>
  <c r="O66"/>
  <c r="N66"/>
  <c r="S64"/>
  <c r="N64"/>
  <c r="L64"/>
  <c r="K64"/>
  <c r="H64"/>
  <c r="G64"/>
  <c r="L63"/>
  <c r="K63"/>
  <c r="J63"/>
  <c r="H63"/>
  <c r="G63"/>
  <c r="F63"/>
  <c r="U62"/>
  <c r="T62"/>
  <c r="S62"/>
  <c r="P62"/>
  <c r="O62"/>
  <c r="N62"/>
  <c r="M62"/>
  <c r="I62"/>
  <c r="V62" s="1"/>
  <c r="V61"/>
  <c r="U61"/>
  <c r="T61"/>
  <c r="S61"/>
  <c r="P61"/>
  <c r="O61"/>
  <c r="N61"/>
  <c r="V60"/>
  <c r="U60"/>
  <c r="T60"/>
  <c r="S60"/>
  <c r="P60"/>
  <c r="O60"/>
  <c r="N60"/>
  <c r="L58"/>
  <c r="L1809" s="1"/>
  <c r="K58"/>
  <c r="K1809" s="1"/>
  <c r="J58"/>
  <c r="J1809" s="1"/>
  <c r="H58"/>
  <c r="H1809" s="1"/>
  <c r="G58"/>
  <c r="G1809" s="1"/>
  <c r="F58"/>
  <c r="F1809" s="1"/>
  <c r="L57"/>
  <c r="L1808" s="1"/>
  <c r="K57"/>
  <c r="K1808" s="1"/>
  <c r="J57"/>
  <c r="J1808" s="1"/>
  <c r="H57"/>
  <c r="H1808" s="1"/>
  <c r="G57"/>
  <c r="G1808" s="1"/>
  <c r="F57"/>
  <c r="F1808" s="1"/>
  <c r="V56"/>
  <c r="U56"/>
  <c r="T56"/>
  <c r="S56"/>
  <c r="U55"/>
  <c r="T55"/>
  <c r="P55"/>
  <c r="O55"/>
  <c r="J55"/>
  <c r="M55" s="1"/>
  <c r="F55"/>
  <c r="L54"/>
  <c r="L1804" s="1"/>
  <c r="L1806" s="1"/>
  <c r="K54"/>
  <c r="K1804" s="1"/>
  <c r="K1806" s="1"/>
  <c r="K1803" s="1"/>
  <c r="J54"/>
  <c r="J1804" s="1"/>
  <c r="H54"/>
  <c r="H1804" s="1"/>
  <c r="G54"/>
  <c r="G1804" s="1"/>
  <c r="F54"/>
  <c r="F1804" s="1"/>
  <c r="H53"/>
  <c r="U53" s="1"/>
  <c r="V52"/>
  <c r="U52"/>
  <c r="T52"/>
  <c r="S52"/>
  <c r="L51"/>
  <c r="L1801" s="1"/>
  <c r="L1800" s="1"/>
  <c r="K51"/>
  <c r="K1801" s="1"/>
  <c r="K1800" s="1"/>
  <c r="J51"/>
  <c r="J1801" s="1"/>
  <c r="H51"/>
  <c r="H1801" s="1"/>
  <c r="G51"/>
  <c r="G1801" s="1"/>
  <c r="F51"/>
  <c r="F1801" s="1"/>
  <c r="L50"/>
  <c r="K50"/>
  <c r="J50"/>
  <c r="H50"/>
  <c r="U50" s="1"/>
  <c r="G50"/>
  <c r="T50" s="1"/>
  <c r="F50"/>
  <c r="V49"/>
  <c r="U49"/>
  <c r="T49"/>
  <c r="S49"/>
  <c r="P49"/>
  <c r="O49"/>
  <c r="N49"/>
  <c r="S47"/>
  <c r="N47"/>
  <c r="L47"/>
  <c r="K47"/>
  <c r="H47"/>
  <c r="G47"/>
  <c r="L46"/>
  <c r="L1731" s="1"/>
  <c r="K46"/>
  <c r="K1731" s="1"/>
  <c r="J46"/>
  <c r="J1731" s="1"/>
  <c r="H46"/>
  <c r="H1731" s="1"/>
  <c r="G46"/>
  <c r="G1731" s="1"/>
  <c r="F46"/>
  <c r="F1731" s="1"/>
  <c r="L45"/>
  <c r="L1730" s="1"/>
  <c r="K45"/>
  <c r="K1730" s="1"/>
  <c r="J45"/>
  <c r="J1730" s="1"/>
  <c r="H45"/>
  <c r="H1730" s="1"/>
  <c r="G45"/>
  <c r="G1730" s="1"/>
  <c r="F45"/>
  <c r="F1730" s="1"/>
  <c r="L44"/>
  <c r="L1729" s="1"/>
  <c r="L1728" s="1"/>
  <c r="K44"/>
  <c r="K1729" s="1"/>
  <c r="K1728" s="1"/>
  <c r="J44"/>
  <c r="J1729" s="1"/>
  <c r="H44"/>
  <c r="H1729" s="1"/>
  <c r="G44"/>
  <c r="G1729" s="1"/>
  <c r="F44"/>
  <c r="F1729" s="1"/>
  <c r="L43"/>
  <c r="K43"/>
  <c r="K48" s="1"/>
  <c r="J43"/>
  <c r="H43"/>
  <c r="H124" s="1"/>
  <c r="G43"/>
  <c r="F43"/>
  <c r="F124" s="1"/>
  <c r="V42"/>
  <c r="U42"/>
  <c r="T42"/>
  <c r="S42"/>
  <c r="V41"/>
  <c r="U41"/>
  <c r="T41"/>
  <c r="S41"/>
  <c r="V40"/>
  <c r="U40"/>
  <c r="T40"/>
  <c r="S40"/>
  <c r="L38"/>
  <c r="K38"/>
  <c r="J38"/>
  <c r="H38"/>
  <c r="G38"/>
  <c r="F38"/>
  <c r="U37"/>
  <c r="T37"/>
  <c r="S37"/>
  <c r="P37"/>
  <c r="O37"/>
  <c r="N37"/>
  <c r="M37"/>
  <c r="I37"/>
  <c r="U36"/>
  <c r="T36"/>
  <c r="S36"/>
  <c r="P36"/>
  <c r="P38" s="1"/>
  <c r="O36"/>
  <c r="O38" s="1"/>
  <c r="N36"/>
  <c r="N35" s="1"/>
  <c r="M36"/>
  <c r="M38" s="1"/>
  <c r="I36"/>
  <c r="I38" s="1"/>
  <c r="O35"/>
  <c r="M35"/>
  <c r="L35"/>
  <c r="K35"/>
  <c r="J35"/>
  <c r="I35"/>
  <c r="V35" s="1"/>
  <c r="H35"/>
  <c r="U35" s="1"/>
  <c r="G35"/>
  <c r="T35" s="1"/>
  <c r="F35"/>
  <c r="S35" s="1"/>
  <c r="U34"/>
  <c r="T34"/>
  <c r="S34"/>
  <c r="P34"/>
  <c r="O34"/>
  <c r="N34"/>
  <c r="M34"/>
  <c r="I34"/>
  <c r="V34" s="1"/>
  <c r="V33"/>
  <c r="U33"/>
  <c r="T33"/>
  <c r="S33"/>
  <c r="L31"/>
  <c r="K31"/>
  <c r="J31"/>
  <c r="H31"/>
  <c r="U31" s="1"/>
  <c r="G31"/>
  <c r="T31" s="1"/>
  <c r="U30"/>
  <c r="T30"/>
  <c r="P30"/>
  <c r="O30"/>
  <c r="M30"/>
  <c r="F30"/>
  <c r="F1759" s="1"/>
  <c r="U29"/>
  <c r="T29"/>
  <c r="S29"/>
  <c r="P29"/>
  <c r="P31" s="1"/>
  <c r="O29"/>
  <c r="N29"/>
  <c r="M29"/>
  <c r="M31" s="1"/>
  <c r="I29"/>
  <c r="V29" s="1"/>
  <c r="V28"/>
  <c r="U28"/>
  <c r="T28"/>
  <c r="S28"/>
  <c r="P28"/>
  <c r="O28"/>
  <c r="N28"/>
  <c r="U27"/>
  <c r="T27"/>
  <c r="S27"/>
  <c r="P27"/>
  <c r="O27"/>
  <c r="N27"/>
  <c r="M27"/>
  <c r="I27"/>
  <c r="U26"/>
  <c r="T26"/>
  <c r="S26"/>
  <c r="P26"/>
  <c r="O26"/>
  <c r="N26"/>
  <c r="M26"/>
  <c r="I26"/>
  <c r="U25"/>
  <c r="T25"/>
  <c r="S25"/>
  <c r="P25"/>
  <c r="O25"/>
  <c r="N25"/>
  <c r="M25"/>
  <c r="I25"/>
  <c r="L24"/>
  <c r="K24"/>
  <c r="J24"/>
  <c r="H24"/>
  <c r="G24"/>
  <c r="T24" s="1"/>
  <c r="V23"/>
  <c r="U23"/>
  <c r="T23"/>
  <c r="S23"/>
  <c r="U22"/>
  <c r="T22"/>
  <c r="S22"/>
  <c r="P22"/>
  <c r="O22"/>
  <c r="N22"/>
  <c r="M22"/>
  <c r="I22"/>
  <c r="U21"/>
  <c r="T21"/>
  <c r="S21"/>
  <c r="P21"/>
  <c r="O21"/>
  <c r="N21"/>
  <c r="M21"/>
  <c r="I21"/>
  <c r="U20"/>
  <c r="T20"/>
  <c r="S20"/>
  <c r="P20"/>
  <c r="P1747" s="1"/>
  <c r="O20"/>
  <c r="O1747" s="1"/>
  <c r="N20"/>
  <c r="N1747" s="1"/>
  <c r="M20"/>
  <c r="I20"/>
  <c r="U19"/>
  <c r="T19"/>
  <c r="S19"/>
  <c r="P19"/>
  <c r="P1746" s="1"/>
  <c r="O19"/>
  <c r="O1746" s="1"/>
  <c r="N19"/>
  <c r="N1746" s="1"/>
  <c r="M19"/>
  <c r="I19"/>
  <c r="V18"/>
  <c r="U18"/>
  <c r="T18"/>
  <c r="S18"/>
  <c r="L17"/>
  <c r="K17"/>
  <c r="J17"/>
  <c r="H17"/>
  <c r="U17" s="1"/>
  <c r="G17"/>
  <c r="T17" s="1"/>
  <c r="F17"/>
  <c r="U16"/>
  <c r="T16"/>
  <c r="S16"/>
  <c r="P16"/>
  <c r="O16"/>
  <c r="N16"/>
  <c r="M16"/>
  <c r="I16"/>
  <c r="U15"/>
  <c r="T15"/>
  <c r="S15"/>
  <c r="P15"/>
  <c r="P17" s="1"/>
  <c r="P14" s="1"/>
  <c r="O15"/>
  <c r="O17" s="1"/>
  <c r="O14" s="1"/>
  <c r="N15"/>
  <c r="N17" s="1"/>
  <c r="N14" s="1"/>
  <c r="M15"/>
  <c r="M17" s="1"/>
  <c r="M14" s="1"/>
  <c r="I15"/>
  <c r="I17" s="1"/>
  <c r="I14" s="1"/>
  <c r="L14"/>
  <c r="K14"/>
  <c r="J14"/>
  <c r="H14"/>
  <c r="U14" s="1"/>
  <c r="G14"/>
  <c r="F14"/>
  <c r="V13"/>
  <c r="U13"/>
  <c r="T13"/>
  <c r="S13"/>
  <c r="L12"/>
  <c r="K12"/>
  <c r="J12"/>
  <c r="H12"/>
  <c r="G12"/>
  <c r="F12"/>
  <c r="U11"/>
  <c r="T11"/>
  <c r="S11"/>
  <c r="P11"/>
  <c r="O11"/>
  <c r="N11"/>
  <c r="M11"/>
  <c r="I11"/>
  <c r="U10"/>
  <c r="T10"/>
  <c r="S10"/>
  <c r="P10"/>
  <c r="O10"/>
  <c r="N10"/>
  <c r="M10"/>
  <c r="M12" s="1"/>
  <c r="I10"/>
  <c r="I12" s="1"/>
  <c r="V9"/>
  <c r="U9"/>
  <c r="T9"/>
  <c r="S9"/>
  <c r="U8"/>
  <c r="T8"/>
  <c r="S8"/>
  <c r="P8"/>
  <c r="O8"/>
  <c r="N8"/>
  <c r="M8"/>
  <c r="I8"/>
  <c r="V8" s="1"/>
  <c r="H237" i="15"/>
  <c r="H219"/>
  <c r="V15" i="11" l="1"/>
  <c r="Q15"/>
  <c r="P14"/>
  <c r="T22"/>
  <c r="M22"/>
  <c r="Q100"/>
  <c r="M164"/>
  <c r="N110"/>
  <c r="Q114"/>
  <c r="Q115"/>
  <c r="Q245"/>
  <c r="Q246"/>
  <c r="M248"/>
  <c r="Q268"/>
  <c r="M270"/>
  <c r="Q291"/>
  <c r="Q302"/>
  <c r="Q373"/>
  <c r="Q567"/>
  <c r="Q627"/>
  <c r="Q638"/>
  <c r="Q671"/>
  <c r="M711"/>
  <c r="M714" s="1"/>
  <c r="Q757"/>
  <c r="Q981"/>
  <c r="Q982"/>
  <c r="I984"/>
  <c r="Q1016"/>
  <c r="Q1089"/>
  <c r="Q1177"/>
  <c r="Q1245"/>
  <c r="I1258"/>
  <c r="N122"/>
  <c r="V12"/>
  <c r="Q10"/>
  <c r="V11"/>
  <c r="Q11"/>
  <c r="U12"/>
  <c r="N14"/>
  <c r="Q16"/>
  <c r="V17"/>
  <c r="Q17"/>
  <c r="V18"/>
  <c r="Q18"/>
  <c r="V24"/>
  <c r="Q24"/>
  <c r="Q28"/>
  <c r="Q160"/>
  <c r="Q171"/>
  <c r="F227"/>
  <c r="S227" s="1"/>
  <c r="M377"/>
  <c r="I319"/>
  <c r="I341"/>
  <c r="Q350"/>
  <c r="Q384"/>
  <c r="Q421"/>
  <c r="Q435"/>
  <c r="Q436"/>
  <c r="Q447"/>
  <c r="Q470"/>
  <c r="I498"/>
  <c r="V498" s="1"/>
  <c r="Q544"/>
  <c r="Q545"/>
  <c r="Q601"/>
  <c r="Q615"/>
  <c r="Q649"/>
  <c r="Q694"/>
  <c r="Q944"/>
  <c r="Q956"/>
  <c r="Q993"/>
  <c r="Q1054"/>
  <c r="Q1111"/>
  <c r="Q1188"/>
  <c r="I1190"/>
  <c r="V1191"/>
  <c r="V1192"/>
  <c r="Q1223"/>
  <c r="Q1234"/>
  <c r="I1236"/>
  <c r="I1239" s="1"/>
  <c r="I1243" s="1"/>
  <c r="M89" i="8"/>
  <c r="S98"/>
  <c r="N100"/>
  <c r="P100"/>
  <c r="M100"/>
  <c r="O113"/>
  <c r="O140"/>
  <c r="M140"/>
  <c r="T141"/>
  <c r="O142"/>
  <c r="M142"/>
  <c r="S147"/>
  <c r="G148"/>
  <c r="T148" s="1"/>
  <c r="N149"/>
  <c r="P153"/>
  <c r="H160"/>
  <c r="O165"/>
  <c r="M180"/>
  <c r="S183"/>
  <c r="H190"/>
  <c r="M247"/>
  <c r="M494"/>
  <c r="M616"/>
  <c r="M617"/>
  <c r="M676"/>
  <c r="M675" s="1"/>
  <c r="S744"/>
  <c r="M756"/>
  <c r="M755" s="1"/>
  <c r="M758"/>
  <c r="S839"/>
  <c r="S841"/>
  <c r="H848"/>
  <c r="M896"/>
  <c r="M895" s="1"/>
  <c r="I898"/>
  <c r="M1176"/>
  <c r="I1181"/>
  <c r="I1211"/>
  <c r="I1213"/>
  <c r="I1216"/>
  <c r="V1216" s="1"/>
  <c r="I1465"/>
  <c r="M1465"/>
  <c r="M1474"/>
  <c r="M1470" s="1"/>
  <c r="S1484"/>
  <c r="S1577"/>
  <c r="H1586"/>
  <c r="M102" i="11"/>
  <c r="G155"/>
  <c r="M173"/>
  <c r="M174"/>
  <c r="I175"/>
  <c r="M175"/>
  <c r="M209"/>
  <c r="M213" s="1"/>
  <c r="I211"/>
  <c r="I212"/>
  <c r="V212" s="1"/>
  <c r="M233"/>
  <c r="M234"/>
  <c r="M235"/>
  <c r="M306"/>
  <c r="V306" s="1"/>
  <c r="G735"/>
  <c r="J735"/>
  <c r="L735"/>
  <c r="G736"/>
  <c r="J736"/>
  <c r="L736"/>
  <c r="M736" s="1"/>
  <c r="M838"/>
  <c r="M839"/>
  <c r="Q217" i="8"/>
  <c r="O236"/>
  <c r="M316"/>
  <c r="T317"/>
  <c r="Q446"/>
  <c r="S448"/>
  <c r="S449"/>
  <c r="M501"/>
  <c r="M547"/>
  <c r="M546" s="1"/>
  <c r="M549"/>
  <c r="I868"/>
  <c r="H878"/>
  <c r="I1022"/>
  <c r="M1026"/>
  <c r="M1025" s="1"/>
  <c r="M1322"/>
  <c r="M119" i="11"/>
  <c r="I386"/>
  <c r="M386"/>
  <c r="I387"/>
  <c r="M387"/>
  <c r="I388"/>
  <c r="M937"/>
  <c r="I986"/>
  <c r="G1173"/>
  <c r="I1173" s="1"/>
  <c r="O12" i="8"/>
  <c r="T14"/>
  <c r="V16"/>
  <c r="Q16"/>
  <c r="V25"/>
  <c r="Q25"/>
  <c r="Q28"/>
  <c r="O31"/>
  <c r="Q34"/>
  <c r="P35"/>
  <c r="S67"/>
  <c r="K1812"/>
  <c r="K1811" s="1"/>
  <c r="K90"/>
  <c r="L105"/>
  <c r="S97"/>
  <c r="S99"/>
  <c r="M99"/>
  <c r="V101"/>
  <c r="Q106"/>
  <c r="K120"/>
  <c r="T114"/>
  <c r="M139"/>
  <c r="S146"/>
  <c r="N229"/>
  <c r="P229"/>
  <c r="K170"/>
  <c r="L185"/>
  <c r="S177"/>
  <c r="V181"/>
  <c r="O309"/>
  <c r="S257"/>
  <c r="L295"/>
  <c r="L345"/>
  <c r="Q336"/>
  <c r="S337"/>
  <c r="S339"/>
  <c r="K360"/>
  <c r="J375"/>
  <c r="L375"/>
  <c r="M516"/>
  <c r="Q472"/>
  <c r="J486"/>
  <c r="L486"/>
  <c r="Q477"/>
  <c r="S478"/>
  <c r="S480"/>
  <c r="K503"/>
  <c r="Q492"/>
  <c r="M493"/>
  <c r="M1814"/>
  <c r="T497"/>
  <c r="Q505"/>
  <c r="M565"/>
  <c r="Q551"/>
  <c r="T572"/>
  <c r="S579"/>
  <c r="S581"/>
  <c r="Q584"/>
  <c r="Q589"/>
  <c r="J603"/>
  <c r="L603"/>
  <c r="Q594"/>
  <c r="S595"/>
  <c r="S597"/>
  <c r="K618"/>
  <c r="Q620"/>
  <c r="Q625"/>
  <c r="S644"/>
  <c r="S646"/>
  <c r="K668"/>
  <c r="T662"/>
  <c r="K683"/>
  <c r="T677"/>
  <c r="L698"/>
  <c r="S690"/>
  <c r="S692"/>
  <c r="L928"/>
  <c r="S882"/>
  <c r="L903"/>
  <c r="Q894"/>
  <c r="S895"/>
  <c r="S897"/>
  <c r="K918"/>
  <c r="M995"/>
  <c r="L968"/>
  <c r="S960"/>
  <c r="S962"/>
  <c r="Q969"/>
  <c r="L983"/>
  <c r="Q974"/>
  <c r="S975"/>
  <c r="S977"/>
  <c r="V979"/>
  <c r="V982"/>
  <c r="Q985"/>
  <c r="S1009"/>
  <c r="S1011"/>
  <c r="Q1018"/>
  <c r="Q1019"/>
  <c r="Q1020"/>
  <c r="J1033"/>
  <c r="L1033"/>
  <c r="K1048"/>
  <c r="J1063"/>
  <c r="L1063"/>
  <c r="S1055"/>
  <c r="S1057"/>
  <c r="K1078"/>
  <c r="J1093"/>
  <c r="L1093"/>
  <c r="S1085"/>
  <c r="S1087"/>
  <c r="K1108"/>
  <c r="L1123"/>
  <c r="Q1114"/>
  <c r="S1115"/>
  <c r="S1117"/>
  <c r="K1138"/>
  <c r="M1230"/>
  <c r="L1188"/>
  <c r="S1180"/>
  <c r="S1182"/>
  <c r="K1203"/>
  <c r="K1219" s="1"/>
  <c r="L1218"/>
  <c r="S1210"/>
  <c r="S1212"/>
  <c r="L1358"/>
  <c r="M1360"/>
  <c r="Q1671"/>
  <c r="L1781"/>
  <c r="L1778" s="1"/>
  <c r="L1774" s="1"/>
  <c r="M1780"/>
  <c r="M1784"/>
  <c r="Q1704"/>
  <c r="Q1705"/>
  <c r="T1707"/>
  <c r="M1707"/>
  <c r="T1708"/>
  <c r="M1708"/>
  <c r="U1710"/>
  <c r="U1711"/>
  <c r="U1712"/>
  <c r="Q1713"/>
  <c r="Q1722"/>
  <c r="M1743"/>
  <c r="M1836"/>
  <c r="M1837"/>
  <c r="T1749"/>
  <c r="M1839"/>
  <c r="M1840"/>
  <c r="M1754"/>
  <c r="M1845"/>
  <c r="M1846"/>
  <c r="H1760"/>
  <c r="K1760"/>
  <c r="M1759"/>
  <c r="M1760" s="1"/>
  <c r="Q1773"/>
  <c r="Q1841"/>
  <c r="U564" i="11"/>
  <c r="H563"/>
  <c r="U563" s="1"/>
  <c r="I586"/>
  <c r="V586" s="1"/>
  <c r="G585"/>
  <c r="U657"/>
  <c r="H656"/>
  <c r="H740"/>
  <c r="H704"/>
  <c r="U704" s="1"/>
  <c r="H855"/>
  <c r="I855" s="1"/>
  <c r="H753"/>
  <c r="U753" s="1"/>
  <c r="U799"/>
  <c r="H798"/>
  <c r="U892"/>
  <c r="H891"/>
  <c r="T941"/>
  <c r="G940"/>
  <c r="T990"/>
  <c r="G989"/>
  <c r="U1027"/>
  <c r="H1026"/>
  <c r="U1026" s="1"/>
  <c r="U1097"/>
  <c r="H1096"/>
  <c r="U1114"/>
  <c r="H1113"/>
  <c r="M1114"/>
  <c r="K1113"/>
  <c r="N104" i="8"/>
  <c r="P104"/>
  <c r="N108"/>
  <c r="P108"/>
  <c r="M165"/>
  <c r="O195"/>
  <c r="M195"/>
  <c r="O198"/>
  <c r="O199"/>
  <c r="M210"/>
  <c r="T259"/>
  <c r="N260"/>
  <c r="P260"/>
  <c r="M275"/>
  <c r="I290"/>
  <c r="N294"/>
  <c r="P294"/>
  <c r="T344"/>
  <c r="G350"/>
  <c r="T410"/>
  <c r="M448"/>
  <c r="M447" s="1"/>
  <c r="S451"/>
  <c r="I453"/>
  <c r="V453" s="1"/>
  <c r="M453"/>
  <c r="I454"/>
  <c r="V454" s="1"/>
  <c r="H460"/>
  <c r="I459"/>
  <c r="V459" s="1"/>
  <c r="M459"/>
  <c r="K462"/>
  <c r="J465"/>
  <c r="I494"/>
  <c r="M552"/>
  <c r="M548" s="1"/>
  <c r="M645"/>
  <c r="M644" s="1"/>
  <c r="M647"/>
  <c r="M650"/>
  <c r="M651"/>
  <c r="I788"/>
  <c r="S869"/>
  <c r="M887"/>
  <c r="H958"/>
  <c r="M981"/>
  <c r="M1028"/>
  <c r="M1027" s="1"/>
  <c r="S1074"/>
  <c r="M1326"/>
  <c r="M1325" s="1"/>
  <c r="Q1350"/>
  <c r="I1406"/>
  <c r="G30" i="11"/>
  <c r="M103"/>
  <c r="M104"/>
  <c r="G122"/>
  <c r="T122" s="1"/>
  <c r="M127"/>
  <c r="M129"/>
  <c r="M238"/>
  <c r="M236" s="1"/>
  <c r="G241"/>
  <c r="M258"/>
  <c r="G471"/>
  <c r="G520" s="1"/>
  <c r="J475"/>
  <c r="M475" s="1"/>
  <c r="H691"/>
  <c r="L691"/>
  <c r="G716"/>
  <c r="T476"/>
  <c r="G475"/>
  <c r="U635"/>
  <c r="H634"/>
  <c r="U679"/>
  <c r="H678"/>
  <c r="U777"/>
  <c r="H776"/>
  <c r="U821"/>
  <c r="H820"/>
  <c r="U843"/>
  <c r="H842"/>
  <c r="K959"/>
  <c r="K958" s="1"/>
  <c r="K923"/>
  <c r="T923" s="1"/>
  <c r="U952"/>
  <c r="H951"/>
  <c r="I1001"/>
  <c r="V1001" s="1"/>
  <c r="G1000"/>
  <c r="L1207"/>
  <c r="U1207" s="1"/>
  <c r="L1073"/>
  <c r="U1163"/>
  <c r="H1162"/>
  <c r="O98" i="8"/>
  <c r="O178"/>
  <c r="O183"/>
  <c r="Q222"/>
  <c r="M236"/>
  <c r="M385"/>
  <c r="M388"/>
  <c r="M389"/>
  <c r="I672"/>
  <c r="M752"/>
  <c r="M761"/>
  <c r="M757" s="1"/>
  <c r="I781"/>
  <c r="I847"/>
  <c r="M853"/>
  <c r="S899"/>
  <c r="H908"/>
  <c r="V981"/>
  <c r="I1067"/>
  <c r="M1131"/>
  <c r="M1130" s="1"/>
  <c r="I1186"/>
  <c r="I1187"/>
  <c r="H1193"/>
  <c r="I1217"/>
  <c r="V1217" s="1"/>
  <c r="T1267"/>
  <c r="M1469"/>
  <c r="M1468" s="1"/>
  <c r="M1484"/>
  <c r="M1483" s="1"/>
  <c r="M1486"/>
  <c r="S1487"/>
  <c r="S1489"/>
  <c r="M1489"/>
  <c r="H1496"/>
  <c r="M1579"/>
  <c r="G49" i="11"/>
  <c r="U178"/>
  <c r="M187"/>
  <c r="I189"/>
  <c r="M198"/>
  <c r="M320"/>
  <c r="V320" s="1"/>
  <c r="T321"/>
  <c r="M321"/>
  <c r="I325"/>
  <c r="M325"/>
  <c r="T332"/>
  <c r="M332"/>
  <c r="T342"/>
  <c r="T343"/>
  <c r="M343"/>
  <c r="V343" s="1"/>
  <c r="M347"/>
  <c r="M346" s="1"/>
  <c r="M352"/>
  <c r="K550"/>
  <c r="G850"/>
  <c r="J850"/>
  <c r="L850"/>
  <c r="G851"/>
  <c r="J851"/>
  <c r="L851"/>
  <c r="G964"/>
  <c r="K964"/>
  <c r="K963" s="1"/>
  <c r="I940"/>
  <c r="K1013"/>
  <c r="K1012" s="1"/>
  <c r="I989"/>
  <c r="F1055"/>
  <c r="S1055" s="1"/>
  <c r="H1207"/>
  <c r="G1219"/>
  <c r="I1219" s="1"/>
  <c r="T1235"/>
  <c r="M1235"/>
  <c r="V1235" s="1"/>
  <c r="M1237"/>
  <c r="M1238"/>
  <c r="G1241"/>
  <c r="G1265"/>
  <c r="G1267" s="1"/>
  <c r="T1267" s="1"/>
  <c r="T353"/>
  <c r="M353"/>
  <c r="T354"/>
  <c r="M354"/>
  <c r="I358"/>
  <c r="M358"/>
  <c r="T364"/>
  <c r="T365"/>
  <c r="M365"/>
  <c r="M369"/>
  <c r="T403"/>
  <c r="M426"/>
  <c r="M427"/>
  <c r="M428"/>
  <c r="M431"/>
  <c r="I432"/>
  <c r="V432" s="1"/>
  <c r="G441"/>
  <c r="T439"/>
  <c r="M439"/>
  <c r="T440"/>
  <c r="M440"/>
  <c r="M444"/>
  <c r="T450"/>
  <c r="M450"/>
  <c r="V450" s="1"/>
  <c r="T451"/>
  <c r="M451"/>
  <c r="V451" s="1"/>
  <c r="I455"/>
  <c r="V455" s="1"/>
  <c r="M455"/>
  <c r="U476"/>
  <c r="U477"/>
  <c r="M480"/>
  <c r="I481"/>
  <c r="V481" s="1"/>
  <c r="M481"/>
  <c r="T499"/>
  <c r="M499"/>
  <c r="V499" s="1"/>
  <c r="T500"/>
  <c r="M500"/>
  <c r="I504"/>
  <c r="M504"/>
  <c r="F591"/>
  <c r="S591" s="1"/>
  <c r="H591"/>
  <c r="L591"/>
  <c r="P591" s="1"/>
  <c r="G593"/>
  <c r="J593"/>
  <c r="L593"/>
  <c r="G594"/>
  <c r="T594" s="1"/>
  <c r="J594"/>
  <c r="L594"/>
  <c r="G598"/>
  <c r="K598"/>
  <c r="I564"/>
  <c r="V564" s="1"/>
  <c r="M564"/>
  <c r="K572"/>
  <c r="T579"/>
  <c r="J1309"/>
  <c r="T581"/>
  <c r="T582"/>
  <c r="M582"/>
  <c r="G684"/>
  <c r="J684"/>
  <c r="L684"/>
  <c r="G686"/>
  <c r="O686" s="1"/>
  <c r="J686"/>
  <c r="L686"/>
  <c r="G687"/>
  <c r="J687"/>
  <c r="L687"/>
  <c r="G691"/>
  <c r="K691"/>
  <c r="K690" s="1"/>
  <c r="I617"/>
  <c r="I619"/>
  <c r="V619" s="1"/>
  <c r="I620"/>
  <c r="I635"/>
  <c r="M635"/>
  <c r="I639"/>
  <c r="V639" s="1"/>
  <c r="I640"/>
  <c r="V640" s="1"/>
  <c r="I641"/>
  <c r="V641" s="1"/>
  <c r="I642"/>
  <c r="I657"/>
  <c r="M657"/>
  <c r="I661"/>
  <c r="I663"/>
  <c r="V663" s="1"/>
  <c r="I664"/>
  <c r="I679"/>
  <c r="M679"/>
  <c r="I696"/>
  <c r="I697"/>
  <c r="I698"/>
  <c r="U701"/>
  <c r="G740"/>
  <c r="I740" s="1"/>
  <c r="J740"/>
  <c r="L740"/>
  <c r="L739" s="1"/>
  <c r="M721"/>
  <c r="I722"/>
  <c r="I723"/>
  <c r="V723" s="1"/>
  <c r="I724"/>
  <c r="V724" s="1"/>
  <c r="F848"/>
  <c r="H848"/>
  <c r="K848"/>
  <c r="M848" s="1"/>
  <c r="M745"/>
  <c r="M747"/>
  <c r="F850"/>
  <c r="H850"/>
  <c r="K850"/>
  <c r="O850" s="1"/>
  <c r="F851"/>
  <c r="H851"/>
  <c r="P851" s="1"/>
  <c r="K851"/>
  <c r="I753"/>
  <c r="V753" s="1"/>
  <c r="G855"/>
  <c r="K855"/>
  <c r="O855" s="1"/>
  <c r="M759"/>
  <c r="T770"/>
  <c r="M770"/>
  <c r="M771"/>
  <c r="M774" s="1"/>
  <c r="T772"/>
  <c r="M772"/>
  <c r="T773"/>
  <c r="M773"/>
  <c r="M777"/>
  <c r="M781"/>
  <c r="M783"/>
  <c r="M792"/>
  <c r="M796" s="1"/>
  <c r="M800" s="1"/>
  <c r="M793"/>
  <c r="T794"/>
  <c r="M794"/>
  <c r="T795"/>
  <c r="M795"/>
  <c r="M799"/>
  <c r="M803"/>
  <c r="U805"/>
  <c r="M805"/>
  <c r="M806"/>
  <c r="M814"/>
  <c r="M816"/>
  <c r="T817"/>
  <c r="M817"/>
  <c r="M821"/>
  <c r="Q835"/>
  <c r="I836"/>
  <c r="V836" s="1"/>
  <c r="I843"/>
  <c r="V843" s="1"/>
  <c r="M843"/>
  <c r="F908"/>
  <c r="N908" s="1"/>
  <c r="H908"/>
  <c r="K908"/>
  <c r="I861"/>
  <c r="M861"/>
  <c r="F910"/>
  <c r="H910"/>
  <c r="K910"/>
  <c r="F911"/>
  <c r="H911"/>
  <c r="K911"/>
  <c r="T911" s="1"/>
  <c r="K915"/>
  <c r="K914" s="1"/>
  <c r="M874"/>
  <c r="M876"/>
  <c r="M877"/>
  <c r="M885"/>
  <c r="T887"/>
  <c r="M887"/>
  <c r="T888"/>
  <c r="M888"/>
  <c r="I892"/>
  <c r="M892"/>
  <c r="M896"/>
  <c r="M898"/>
  <c r="T920"/>
  <c r="J1301"/>
  <c r="T921"/>
  <c r="J1302"/>
  <c r="T922"/>
  <c r="J1303"/>
  <c r="H964"/>
  <c r="U964" s="1"/>
  <c r="T937"/>
  <c r="T945"/>
  <c r="M945"/>
  <c r="T948"/>
  <c r="M948"/>
  <c r="I952"/>
  <c r="M952"/>
  <c r="K1006"/>
  <c r="T1006" s="1"/>
  <c r="H1008"/>
  <c r="K1008"/>
  <c r="O1008" s="1"/>
  <c r="U974"/>
  <c r="K1009"/>
  <c r="O1009" s="1"/>
  <c r="T983"/>
  <c r="M983"/>
  <c r="V983" s="1"/>
  <c r="T985"/>
  <c r="T986"/>
  <c r="T994"/>
  <c r="M994"/>
  <c r="T996"/>
  <c r="T997"/>
  <c r="M997"/>
  <c r="J1055"/>
  <c r="G1207"/>
  <c r="K1207"/>
  <c r="K1206" s="1"/>
  <c r="M1079"/>
  <c r="T1090"/>
  <c r="M1090"/>
  <c r="T1092"/>
  <c r="M1092"/>
  <c r="T1093"/>
  <c r="M1093"/>
  <c r="I1097"/>
  <c r="M1097"/>
  <c r="M1101"/>
  <c r="T1112"/>
  <c r="T1114"/>
  <c r="T1115"/>
  <c r="I1119"/>
  <c r="U1123"/>
  <c r="I1141"/>
  <c r="Q1144"/>
  <c r="Q1155"/>
  <c r="T1159"/>
  <c r="I1163"/>
  <c r="M1163"/>
  <c r="Q1166"/>
  <c r="I1167"/>
  <c r="V1167" s="1"/>
  <c r="I1168"/>
  <c r="I1171" s="1"/>
  <c r="I1169"/>
  <c r="U1169"/>
  <c r="I1170"/>
  <c r="V1170" s="1"/>
  <c r="M1189"/>
  <c r="M1193" s="1"/>
  <c r="I1241"/>
  <c r="N227"/>
  <c r="Q279"/>
  <c r="I357"/>
  <c r="Q484"/>
  <c r="Q530"/>
  <c r="Q556"/>
  <c r="N563"/>
  <c r="V770"/>
  <c r="Q907"/>
  <c r="I1273"/>
  <c r="U1273"/>
  <c r="I1274"/>
  <c r="U1274"/>
  <c r="I1277"/>
  <c r="V1277" s="1"/>
  <c r="I1278"/>
  <c r="M1356"/>
  <c r="M1357"/>
  <c r="M411"/>
  <c r="Q660"/>
  <c r="Q933"/>
  <c r="Q1030"/>
  <c r="Q1256"/>
  <c r="J19"/>
  <c r="L19"/>
  <c r="L26" s="1"/>
  <c r="U34"/>
  <c r="M34"/>
  <c r="N39"/>
  <c r="Q43"/>
  <c r="N133"/>
  <c r="Q137"/>
  <c r="I188"/>
  <c r="I210"/>
  <c r="Q231"/>
  <c r="F239"/>
  <c r="S239" s="1"/>
  <c r="M312"/>
  <c r="Q316"/>
  <c r="Q317"/>
  <c r="Q328"/>
  <c r="Q339"/>
  <c r="Q361"/>
  <c r="M394"/>
  <c r="Q398"/>
  <c r="Q399"/>
  <c r="Q410"/>
  <c r="K478"/>
  <c r="K482" s="1"/>
  <c r="Q485"/>
  <c r="Q496"/>
  <c r="I503"/>
  <c r="Q507"/>
  <c r="Q519"/>
  <c r="F526"/>
  <c r="S540"/>
  <c r="Q578"/>
  <c r="Q590"/>
  <c r="S704"/>
  <c r="M704"/>
  <c r="Q720"/>
  <c r="Q732"/>
  <c r="M748"/>
  <c r="M851"/>
  <c r="Q758"/>
  <c r="Q769"/>
  <c r="I771"/>
  <c r="V772"/>
  <c r="Q780"/>
  <c r="Q802"/>
  <c r="M868"/>
  <c r="Q872"/>
  <c r="Q873"/>
  <c r="Q884"/>
  <c r="Q895"/>
  <c r="M928"/>
  <c r="Q932"/>
  <c r="Q1078"/>
  <c r="Q1100"/>
  <c r="M1168"/>
  <c r="Q1211"/>
  <c r="Q1212"/>
  <c r="M1214"/>
  <c r="M1284"/>
  <c r="M1290"/>
  <c r="T1272"/>
  <c r="T1273"/>
  <c r="M1273"/>
  <c r="T1274"/>
  <c r="M1274"/>
  <c r="T1276"/>
  <c r="T1277"/>
  <c r="M1277"/>
  <c r="T1278"/>
  <c r="M1278"/>
  <c r="U1319"/>
  <c r="F1338"/>
  <c r="S1338" s="1"/>
  <c r="T12"/>
  <c r="G19"/>
  <c r="K19"/>
  <c r="K26" s="1"/>
  <c r="S39"/>
  <c r="Q55"/>
  <c r="Q89"/>
  <c r="F96"/>
  <c r="S96" s="1"/>
  <c r="M161"/>
  <c r="Q148"/>
  <c r="Q257"/>
  <c r="F310"/>
  <c r="S310" s="1"/>
  <c r="I352"/>
  <c r="M449"/>
  <c r="V449" s="1"/>
  <c r="I454"/>
  <c r="Q459"/>
  <c r="F466"/>
  <c r="F478"/>
  <c r="S478" s="1"/>
  <c r="Q616"/>
  <c r="I662"/>
  <c r="V662" s="1"/>
  <c r="Q683"/>
  <c r="Q708"/>
  <c r="Q709"/>
  <c r="Q743"/>
  <c r="M815"/>
  <c r="Q824"/>
  <c r="Q847"/>
  <c r="Q858"/>
  <c r="Q918"/>
  <c r="Q1005"/>
  <c r="J1012"/>
  <c r="Q1031"/>
  <c r="Q1042"/>
  <c r="Q1065"/>
  <c r="Q1066"/>
  <c r="Q1133"/>
  <c r="M1190"/>
  <c r="V1273"/>
  <c r="V1278"/>
  <c r="T78" i="8"/>
  <c r="J90"/>
  <c r="L90"/>
  <c r="S82"/>
  <c r="S83"/>
  <c r="S84"/>
  <c r="N85"/>
  <c r="P85"/>
  <c r="V86"/>
  <c r="I88"/>
  <c r="V88" s="1"/>
  <c r="M98"/>
  <c r="M97" s="1"/>
  <c r="M178"/>
  <c r="M177" s="1"/>
  <c r="M183"/>
  <c r="M260"/>
  <c r="P275"/>
  <c r="T324"/>
  <c r="I325"/>
  <c r="V325" s="1"/>
  <c r="O327"/>
  <c r="S327"/>
  <c r="I334"/>
  <c r="K335"/>
  <c r="K345" s="1"/>
  <c r="M348"/>
  <c r="V348" s="1"/>
  <c r="K375"/>
  <c r="S501"/>
  <c r="I549"/>
  <c r="I553"/>
  <c r="M602"/>
  <c r="I696"/>
  <c r="V696" s="1"/>
  <c r="M746"/>
  <c r="M742" s="1"/>
  <c r="M841"/>
  <c r="I877"/>
  <c r="M877"/>
  <c r="M881"/>
  <c r="M880" s="1"/>
  <c r="M883"/>
  <c r="M886"/>
  <c r="I891"/>
  <c r="V891" s="1"/>
  <c r="I956"/>
  <c r="M961"/>
  <c r="M960" s="1"/>
  <c r="M963"/>
  <c r="M1043"/>
  <c r="M1046"/>
  <c r="H1053"/>
  <c r="I1111"/>
  <c r="M1168"/>
  <c r="T1238"/>
  <c r="T1239"/>
  <c r="M1239"/>
  <c r="T1240"/>
  <c r="M1240"/>
  <c r="M1247"/>
  <c r="H1258"/>
  <c r="I1271"/>
  <c r="V1271" s="1"/>
  <c r="H1273"/>
  <c r="M1490"/>
  <c r="M1485" s="1"/>
  <c r="I1495"/>
  <c r="M1495"/>
  <c r="M1499"/>
  <c r="M1498" s="1"/>
  <c r="M1501"/>
  <c r="M1504"/>
  <c r="T1505"/>
  <c r="M1505"/>
  <c r="G1511"/>
  <c r="M1555"/>
  <c r="M1559"/>
  <c r="M1558" s="1"/>
  <c r="I1584"/>
  <c r="M1585"/>
  <c r="M1586" s="1"/>
  <c r="F1693"/>
  <c r="F69"/>
  <c r="S69" s="1"/>
  <c r="G48"/>
  <c r="J124"/>
  <c r="L124"/>
  <c r="S50"/>
  <c r="F53"/>
  <c r="K53"/>
  <c r="K59" s="1"/>
  <c r="M113"/>
  <c r="M112" s="1"/>
  <c r="P195"/>
  <c r="F234"/>
  <c r="P258"/>
  <c r="O315"/>
  <c r="M374"/>
  <c r="M369" s="1"/>
  <c r="G430"/>
  <c r="G460"/>
  <c r="F462"/>
  <c r="I464"/>
  <c r="V464" s="1"/>
  <c r="G465"/>
  <c r="H593"/>
  <c r="U593" s="1"/>
  <c r="I599"/>
  <c r="V599" s="1"/>
  <c r="I616"/>
  <c r="V616" s="1"/>
  <c r="I617"/>
  <c r="V617" s="1"/>
  <c r="I686"/>
  <c r="V686" s="1"/>
  <c r="I728"/>
  <c r="V728" s="1"/>
  <c r="M782"/>
  <c r="M783" s="1"/>
  <c r="M793" s="1"/>
  <c r="M786"/>
  <c r="M785" s="1"/>
  <c r="M851"/>
  <c r="M850" s="1"/>
  <c r="M856"/>
  <c r="M852" s="1"/>
  <c r="M901"/>
  <c r="I1074"/>
  <c r="V1074" s="1"/>
  <c r="I1433"/>
  <c r="K1491"/>
  <c r="M1556"/>
  <c r="H1633"/>
  <c r="M1641"/>
  <c r="L1656"/>
  <c r="M1647"/>
  <c r="H1650"/>
  <c r="U1650" s="1"/>
  <c r="N1653"/>
  <c r="P1653"/>
  <c r="N1655"/>
  <c r="P1655"/>
  <c r="K1669"/>
  <c r="Q36"/>
  <c r="L200"/>
  <c r="Q191"/>
  <c r="S192"/>
  <c r="S207"/>
  <c r="Q487"/>
  <c r="Q621"/>
  <c r="Q631"/>
  <c r="T882"/>
  <c r="V26"/>
  <c r="Q1675"/>
  <c r="Q1692"/>
  <c r="S1695"/>
  <c r="Q1785"/>
  <c r="V37"/>
  <c r="Q91"/>
  <c r="Q96"/>
  <c r="Q176"/>
  <c r="Q920"/>
  <c r="S944"/>
  <c r="S946"/>
  <c r="K968"/>
  <c r="K983"/>
  <c r="K1033"/>
  <c r="T1027"/>
  <c r="Q1035"/>
  <c r="J1048"/>
  <c r="L1048"/>
  <c r="Q1039"/>
  <c r="S1040"/>
  <c r="S1042"/>
  <c r="K1063"/>
  <c r="Q1065"/>
  <c r="J1078"/>
  <c r="L1078"/>
  <c r="J1108"/>
  <c r="L1108"/>
  <c r="S1100"/>
  <c r="S1102"/>
  <c r="K1123"/>
  <c r="J1138"/>
  <c r="L1138"/>
  <c r="Q26"/>
  <c r="V27"/>
  <c r="Q60"/>
  <c r="Q251"/>
  <c r="Q302"/>
  <c r="Q366"/>
  <c r="S367"/>
  <c r="S369"/>
  <c r="Q376"/>
  <c r="K390"/>
  <c r="K391" s="1"/>
  <c r="L503"/>
  <c r="S493"/>
  <c r="S497"/>
  <c r="Q517"/>
  <c r="Q522"/>
  <c r="S530"/>
  <c r="S532"/>
  <c r="Q539"/>
  <c r="Q540"/>
  <c r="Q545"/>
  <c r="T548"/>
  <c r="K603"/>
  <c r="K619" s="1"/>
  <c r="M608"/>
  <c r="L618"/>
  <c r="L619" s="1"/>
  <c r="S610"/>
  <c r="S612"/>
  <c r="V614"/>
  <c r="Q615"/>
  <c r="Q654"/>
  <c r="Q655"/>
  <c r="J668"/>
  <c r="L668"/>
  <c r="Q659"/>
  <c r="S660"/>
  <c r="S662"/>
  <c r="J683"/>
  <c r="L683"/>
  <c r="S675"/>
  <c r="S677"/>
  <c r="U677"/>
  <c r="K698"/>
  <c r="T692"/>
  <c r="M717"/>
  <c r="V720"/>
  <c r="M808"/>
  <c r="J748"/>
  <c r="L748"/>
  <c r="Q739"/>
  <c r="S740"/>
  <c r="S742"/>
  <c r="K763"/>
  <c r="T757"/>
  <c r="J778"/>
  <c r="L778"/>
  <c r="Q769"/>
  <c r="S770"/>
  <c r="S772"/>
  <c r="K793"/>
  <c r="K794" s="1"/>
  <c r="Q784"/>
  <c r="T787"/>
  <c r="Q800"/>
  <c r="Q810"/>
  <c r="Q818"/>
  <c r="J843"/>
  <c r="L843"/>
  <c r="Q834"/>
  <c r="S835"/>
  <c r="S837"/>
  <c r="K858"/>
  <c r="T852"/>
  <c r="L873"/>
  <c r="Q864"/>
  <c r="S865"/>
  <c r="J888"/>
  <c r="L888"/>
  <c r="S880"/>
  <c r="Q1173"/>
  <c r="V1562"/>
  <c r="Q1628"/>
  <c r="S1707"/>
  <c r="S1708"/>
  <c r="T1712"/>
  <c r="Q8"/>
  <c r="Q10"/>
  <c r="V11"/>
  <c r="S14"/>
  <c r="S17"/>
  <c r="Q37"/>
  <c r="Q92"/>
  <c r="Q171"/>
  <c r="M350"/>
  <c r="S352"/>
  <c r="S354"/>
  <c r="Q488"/>
  <c r="Q506"/>
  <c r="Q604"/>
  <c r="Q635"/>
  <c r="Q669"/>
  <c r="Q674"/>
  <c r="Q700"/>
  <c r="Q849"/>
  <c r="Q921"/>
  <c r="Q953"/>
  <c r="Q954"/>
  <c r="Q1140"/>
  <c r="Q1220"/>
  <c r="Q1221"/>
  <c r="Q1236"/>
  <c r="T1237"/>
  <c r="K1268"/>
  <c r="K1283"/>
  <c r="T1277"/>
  <c r="Q1290"/>
  <c r="Q1308"/>
  <c r="M1362"/>
  <c r="M1363"/>
  <c r="Q1318"/>
  <c r="Q1320"/>
  <c r="Q1399"/>
  <c r="Q1400"/>
  <c r="Q1404"/>
  <c r="Q1415"/>
  <c r="Q1416"/>
  <c r="Q1432"/>
  <c r="T1439"/>
  <c r="Q1448"/>
  <c r="J1461"/>
  <c r="L1461"/>
  <c r="Q1452"/>
  <c r="S1453"/>
  <c r="S1455"/>
  <c r="Q1462"/>
  <c r="Q1463"/>
  <c r="K1476"/>
  <c r="Q1467"/>
  <c r="T1470"/>
  <c r="Q1477"/>
  <c r="J1491"/>
  <c r="L1491"/>
  <c r="J1581"/>
  <c r="L1581"/>
  <c r="S1573"/>
  <c r="S1575"/>
  <c r="K1596"/>
  <c r="J1611"/>
  <c r="L1611"/>
  <c r="S1603"/>
  <c r="S1605"/>
  <c r="Q1612"/>
  <c r="Q1617"/>
  <c r="J1669"/>
  <c r="L1669"/>
  <c r="Q111"/>
  <c r="Q123"/>
  <c r="Q240"/>
  <c r="Q252"/>
  <c r="Q256"/>
  <c r="J440"/>
  <c r="L440"/>
  <c r="K486"/>
  <c r="Q521"/>
  <c r="Q684"/>
  <c r="Q689"/>
  <c r="Q779"/>
  <c r="Q935"/>
  <c r="Q943"/>
  <c r="S1025"/>
  <c r="Q1174"/>
  <c r="Q1685"/>
  <c r="U1707"/>
  <c r="U1708"/>
  <c r="T1710"/>
  <c r="T1711"/>
  <c r="Q1726"/>
  <c r="Q11"/>
  <c r="S12"/>
  <c r="U12"/>
  <c r="T12"/>
  <c r="H32"/>
  <c r="K32"/>
  <c r="Q27"/>
  <c r="M24"/>
  <c r="O24"/>
  <c r="Q61"/>
  <c r="Q218"/>
  <c r="S220"/>
  <c r="Q232"/>
  <c r="Q233"/>
  <c r="Q281"/>
  <c r="Q282"/>
  <c r="Q286"/>
  <c r="P287"/>
  <c r="Q393"/>
  <c r="K455"/>
  <c r="Q461"/>
  <c r="Q473"/>
  <c r="Q510"/>
  <c r="Q560"/>
  <c r="Q605"/>
  <c r="Q609"/>
  <c r="Q636"/>
  <c r="Q653"/>
  <c r="Q670"/>
  <c r="Q701"/>
  <c r="Q705"/>
  <c r="Q715"/>
  <c r="Q716"/>
  <c r="Q879"/>
  <c r="Q889"/>
  <c r="Q955"/>
  <c r="Q959"/>
  <c r="T962"/>
  <c r="Q970"/>
  <c r="T977"/>
  <c r="Q986"/>
  <c r="Q990"/>
  <c r="Q1129"/>
  <c r="Q1155"/>
  <c r="Q1175"/>
  <c r="Q1204"/>
  <c r="Q1351"/>
  <c r="T1392"/>
  <c r="S1405"/>
  <c r="Q1420"/>
  <c r="Q1430"/>
  <c r="Q1431"/>
  <c r="Q1436"/>
  <c r="Q1447"/>
  <c r="Q1597"/>
  <c r="T1605"/>
  <c r="Q1629"/>
  <c r="Q1657"/>
  <c r="Q1658"/>
  <c r="Q1686"/>
  <c r="Q1687"/>
  <c r="Q1702"/>
  <c r="Q1703"/>
  <c r="Q1709"/>
  <c r="M1711"/>
  <c r="M1712"/>
  <c r="Q1717"/>
  <c r="Q1739"/>
  <c r="L1753"/>
  <c r="Q1761"/>
  <c r="Q1810"/>
  <c r="V19"/>
  <c r="Q1746"/>
  <c r="V20"/>
  <c r="Q1747"/>
  <c r="V21"/>
  <c r="Q21"/>
  <c r="V22"/>
  <c r="Q22"/>
  <c r="J32"/>
  <c r="L32"/>
  <c r="P24"/>
  <c r="U43"/>
  <c r="Q62"/>
  <c r="Q66"/>
  <c r="Q77"/>
  <c r="T84"/>
  <c r="Q107"/>
  <c r="Q122"/>
  <c r="Q127"/>
  <c r="M220"/>
  <c r="Q155"/>
  <c r="T164"/>
  <c r="Q186"/>
  <c r="Q187"/>
  <c r="Q250"/>
  <c r="Q267"/>
  <c r="Q298"/>
  <c r="Q313"/>
  <c r="Q346"/>
  <c r="Q347"/>
  <c r="Q496"/>
  <c r="Q588"/>
  <c r="Q590"/>
  <c r="Q600"/>
  <c r="Q685"/>
  <c r="Q780"/>
  <c r="Q925"/>
  <c r="Q936"/>
  <c r="S1027"/>
  <c r="U1027"/>
  <c r="Q1109"/>
  <c r="Q1141"/>
  <c r="Q1156"/>
  <c r="Q1163"/>
  <c r="S1166"/>
  <c r="Q1179"/>
  <c r="Q1189"/>
  <c r="Q1190"/>
  <c r="Q1243"/>
  <c r="S1244"/>
  <c r="S1246"/>
  <c r="Q1253"/>
  <c r="Q1254"/>
  <c r="T1262"/>
  <c r="Q1482"/>
  <c r="S1483"/>
  <c r="S1485"/>
  <c r="Q1492"/>
  <c r="Q1493"/>
  <c r="K1506"/>
  <c r="Q1497"/>
  <c r="T1500"/>
  <c r="J1521"/>
  <c r="L1521"/>
  <c r="S1513"/>
  <c r="K1536"/>
  <c r="J1551"/>
  <c r="L1551"/>
  <c r="S1543"/>
  <c r="S1545"/>
  <c r="Q1552"/>
  <c r="K1566"/>
  <c r="Q1557"/>
  <c r="T1560"/>
  <c r="Q1572"/>
  <c r="Q1582"/>
  <c r="Q1583"/>
  <c r="T1590"/>
  <c r="Q1613"/>
  <c r="Q1644"/>
  <c r="Q1645"/>
  <c r="Q1649"/>
  <c r="Q1670"/>
  <c r="Q1733"/>
  <c r="I1758"/>
  <c r="K1753"/>
  <c r="I1050" i="11"/>
  <c r="M1730" i="8"/>
  <c r="M1731"/>
  <c r="K1799"/>
  <c r="M1822"/>
  <c r="H1376"/>
  <c r="U1376" s="1"/>
  <c r="M1381"/>
  <c r="S1390"/>
  <c r="H1407"/>
  <c r="U1407" s="1"/>
  <c r="T1412"/>
  <c r="M1412"/>
  <c r="H1301" i="11"/>
  <c r="H1302"/>
  <c r="H1303"/>
  <c r="F1301"/>
  <c r="F1302"/>
  <c r="F1303"/>
  <c r="T1019"/>
  <c r="T1020"/>
  <c r="M1020"/>
  <c r="G1026"/>
  <c r="T1026" s="1"/>
  <c r="I1019"/>
  <c r="T1018"/>
  <c r="I1020"/>
  <c r="V1020" s="1"/>
  <c r="M1406" i="8"/>
  <c r="M1405" s="1"/>
  <c r="T1407"/>
  <c r="M1408"/>
  <c r="M1411"/>
  <c r="M1026" i="11"/>
  <c r="M94" i="8"/>
  <c r="M95" s="1"/>
  <c r="M105" s="1"/>
  <c r="Q138"/>
  <c r="G139"/>
  <c r="S140"/>
  <c r="T140"/>
  <c r="U141"/>
  <c r="G145"/>
  <c r="S149"/>
  <c r="T152"/>
  <c r="U153"/>
  <c r="Q157"/>
  <c r="S158"/>
  <c r="M159"/>
  <c r="U163"/>
  <c r="M164"/>
  <c r="S168"/>
  <c r="T169"/>
  <c r="O174"/>
  <c r="Q174" s="1"/>
  <c r="S180"/>
  <c r="T183"/>
  <c r="O188"/>
  <c r="U188"/>
  <c r="P189"/>
  <c r="P193"/>
  <c r="M193"/>
  <c r="M192" s="1"/>
  <c r="S193"/>
  <c r="T195"/>
  <c r="I196"/>
  <c r="V196" s="1"/>
  <c r="S198"/>
  <c r="T199"/>
  <c r="Q203"/>
  <c r="R203" s="1"/>
  <c r="U203"/>
  <c r="L205"/>
  <c r="F205"/>
  <c r="T210"/>
  <c r="I211"/>
  <c r="V211" s="1"/>
  <c r="L209"/>
  <c r="U235"/>
  <c r="L234"/>
  <c r="M237"/>
  <c r="O237"/>
  <c r="Q237" s="1"/>
  <c r="R237" s="1"/>
  <c r="U237"/>
  <c r="S244"/>
  <c r="T247"/>
  <c r="S248"/>
  <c r="T253"/>
  <c r="P257"/>
  <c r="T258"/>
  <c r="S260"/>
  <c r="T263"/>
  <c r="U264"/>
  <c r="S268"/>
  <c r="U273"/>
  <c r="Q278"/>
  <c r="R278" s="1"/>
  <c r="K274"/>
  <c r="K280" s="1"/>
  <c r="U278"/>
  <c r="M279"/>
  <c r="T283"/>
  <c r="Q294"/>
  <c r="R294" s="1"/>
  <c r="K289"/>
  <c r="U294"/>
  <c r="S316"/>
  <c r="S321"/>
  <c r="G335"/>
  <c r="G345" s="1"/>
  <c r="M339"/>
  <c r="U348"/>
  <c r="L395"/>
  <c r="Q351"/>
  <c r="P352"/>
  <c r="I353"/>
  <c r="T354"/>
  <c r="P354"/>
  <c r="I355"/>
  <c r="L404"/>
  <c r="I359"/>
  <c r="V359" s="1"/>
  <c r="Q362"/>
  <c r="H365"/>
  <c r="O363"/>
  <c r="I364"/>
  <c r="T364"/>
  <c r="T369"/>
  <c r="I371"/>
  <c r="V371" s="1"/>
  <c r="U379"/>
  <c r="M480"/>
  <c r="I495"/>
  <c r="V495" s="1"/>
  <c r="Q541"/>
  <c r="G554"/>
  <c r="O554" s="1"/>
  <c r="K554"/>
  <c r="J554"/>
  <c r="M598"/>
  <c r="M597" s="1"/>
  <c r="U607"/>
  <c r="M646"/>
  <c r="I648"/>
  <c r="V648" s="1"/>
  <c r="F707"/>
  <c r="H707"/>
  <c r="F709"/>
  <c r="H709"/>
  <c r="M663"/>
  <c r="F710"/>
  <c r="N710" s="1"/>
  <c r="J710"/>
  <c r="M710" s="1"/>
  <c r="F712"/>
  <c r="H712"/>
  <c r="M666"/>
  <c r="F713"/>
  <c r="H713"/>
  <c r="M667"/>
  <c r="M672"/>
  <c r="V672" s="1"/>
  <c r="I679"/>
  <c r="V679" s="1"/>
  <c r="M687"/>
  <c r="M688" s="1"/>
  <c r="M698" s="1"/>
  <c r="G722"/>
  <c r="K722"/>
  <c r="Q859"/>
  <c r="Q860"/>
  <c r="I861"/>
  <c r="H863"/>
  <c r="U863" s="1"/>
  <c r="M862"/>
  <c r="M866"/>
  <c r="M865" s="1"/>
  <c r="J867"/>
  <c r="M868"/>
  <c r="M867" s="1"/>
  <c r="I869"/>
  <c r="V869" s="1"/>
  <c r="I871"/>
  <c r="I872"/>
  <c r="V872" s="1"/>
  <c r="Q874"/>
  <c r="Q875"/>
  <c r="Q890"/>
  <c r="M892"/>
  <c r="M898"/>
  <c r="M897" s="1"/>
  <c r="I899"/>
  <c r="V899" s="1"/>
  <c r="P907"/>
  <c r="M957"/>
  <c r="Q1034"/>
  <c r="S43"/>
  <c r="Q49"/>
  <c r="G53"/>
  <c r="T53" s="1"/>
  <c r="J53"/>
  <c r="S53" s="1"/>
  <c r="L53"/>
  <c r="L1803"/>
  <c r="L1799" s="1"/>
  <c r="T69"/>
  <c r="M1821"/>
  <c r="M79"/>
  <c r="M83"/>
  <c r="M82" s="1"/>
  <c r="M85"/>
  <c r="M88"/>
  <c r="M109"/>
  <c r="M115"/>
  <c r="M114" s="1"/>
  <c r="S141"/>
  <c r="T142"/>
  <c r="U149"/>
  <c r="S153"/>
  <c r="Q156"/>
  <c r="U158"/>
  <c r="P159"/>
  <c r="Q159" s="1"/>
  <c r="M163"/>
  <c r="M162" s="1"/>
  <c r="S163"/>
  <c r="S164"/>
  <c r="T165"/>
  <c r="I166"/>
  <c r="V166" s="1"/>
  <c r="U168"/>
  <c r="Q172"/>
  <c r="T173"/>
  <c r="T178"/>
  <c r="U180"/>
  <c r="N184"/>
  <c r="S188"/>
  <c r="U193"/>
  <c r="Q198"/>
  <c r="R198" s="1"/>
  <c r="K194"/>
  <c r="K200" s="1"/>
  <c r="U198"/>
  <c r="M199"/>
  <c r="Q201"/>
  <c r="Q202"/>
  <c r="S203"/>
  <c r="H205"/>
  <c r="Q206"/>
  <c r="N213"/>
  <c r="P213"/>
  <c r="K209"/>
  <c r="K215" s="1"/>
  <c r="K216" s="1"/>
  <c r="S213"/>
  <c r="T214"/>
  <c r="S235"/>
  <c r="T236"/>
  <c r="S237"/>
  <c r="U244"/>
  <c r="L243"/>
  <c r="O248"/>
  <c r="U248"/>
  <c r="O254"/>
  <c r="Q254" s="1"/>
  <c r="O260"/>
  <c r="Q260" s="1"/>
  <c r="R260" s="1"/>
  <c r="U260"/>
  <c r="L259"/>
  <c r="L265" s="1"/>
  <c r="L296" s="1"/>
  <c r="M264"/>
  <c r="S264"/>
  <c r="O268"/>
  <c r="U268"/>
  <c r="P269"/>
  <c r="M273"/>
  <c r="M272" s="1"/>
  <c r="S273"/>
  <c r="T275"/>
  <c r="I276"/>
  <c r="V276" s="1"/>
  <c r="S278"/>
  <c r="T279"/>
  <c r="O284"/>
  <c r="Q284" s="1"/>
  <c r="S287"/>
  <c r="M288"/>
  <c r="M287" s="1"/>
  <c r="P288"/>
  <c r="F289"/>
  <c r="F295" s="1"/>
  <c r="M290"/>
  <c r="P290"/>
  <c r="T293"/>
  <c r="S294"/>
  <c r="G314"/>
  <c r="T315"/>
  <c r="T316"/>
  <c r="U316"/>
  <c r="O317"/>
  <c r="M317"/>
  <c r="P317"/>
  <c r="Q320"/>
  <c r="G321"/>
  <c r="T321" s="1"/>
  <c r="L321"/>
  <c r="P321" s="1"/>
  <c r="U322"/>
  <c r="L400"/>
  <c r="N327"/>
  <c r="P327"/>
  <c r="U327"/>
  <c r="Q330"/>
  <c r="Q331"/>
  <c r="Q332"/>
  <c r="T333"/>
  <c r="T339"/>
  <c r="I341"/>
  <c r="V341" s="1"/>
  <c r="F350"/>
  <c r="F360" s="1"/>
  <c r="H404"/>
  <c r="U404" s="1"/>
  <c r="U358"/>
  <c r="T363"/>
  <c r="Q377"/>
  <c r="I379"/>
  <c r="M379"/>
  <c r="Q381"/>
  <c r="M383"/>
  <c r="M382" s="1"/>
  <c r="Q392"/>
  <c r="Q408"/>
  <c r="S410"/>
  <c r="M410"/>
  <c r="S411"/>
  <c r="M411"/>
  <c r="S412"/>
  <c r="M412"/>
  <c r="I420"/>
  <c r="M420"/>
  <c r="U429"/>
  <c r="S432"/>
  <c r="S433"/>
  <c r="S434"/>
  <c r="S436"/>
  <c r="S438"/>
  <c r="Q442"/>
  <c r="H445"/>
  <c r="I444"/>
  <c r="T444"/>
  <c r="M450"/>
  <c r="I451"/>
  <c r="V451" s="1"/>
  <c r="M454"/>
  <c r="S462"/>
  <c r="H462"/>
  <c r="U462" s="1"/>
  <c r="M463"/>
  <c r="M462" s="1"/>
  <c r="S465"/>
  <c r="K465"/>
  <c r="O465" s="1"/>
  <c r="P466"/>
  <c r="I469"/>
  <c r="I470"/>
  <c r="H476"/>
  <c r="I475"/>
  <c r="T475"/>
  <c r="T480"/>
  <c r="I482"/>
  <c r="V482" s="1"/>
  <c r="S524"/>
  <c r="S525"/>
  <c r="S526"/>
  <c r="I527"/>
  <c r="Q529"/>
  <c r="I534"/>
  <c r="M534"/>
  <c r="Q535"/>
  <c r="H554"/>
  <c r="L554"/>
  <c r="P554" s="1"/>
  <c r="S546"/>
  <c r="I547"/>
  <c r="I546" s="1"/>
  <c r="V546" s="1"/>
  <c r="F554"/>
  <c r="Q555"/>
  <c r="Q556"/>
  <c r="Q566"/>
  <c r="Q570"/>
  <c r="Q571"/>
  <c r="I573"/>
  <c r="I574"/>
  <c r="I575"/>
  <c r="G577"/>
  <c r="T577" s="1"/>
  <c r="K577"/>
  <c r="K587" s="1"/>
  <c r="Q578"/>
  <c r="M629"/>
  <c r="M632"/>
  <c r="M633"/>
  <c r="I592"/>
  <c r="T592"/>
  <c r="I606"/>
  <c r="V606" s="1"/>
  <c r="M611"/>
  <c r="M610" s="1"/>
  <c r="M613"/>
  <c r="M612" s="1"/>
  <c r="I641"/>
  <c r="O657"/>
  <c r="J707"/>
  <c r="L707"/>
  <c r="L706" s="1"/>
  <c r="J709"/>
  <c r="L709"/>
  <c r="I664"/>
  <c r="V664" s="1"/>
  <c r="J712"/>
  <c r="L712"/>
  <c r="J713"/>
  <c r="L713"/>
  <c r="M681"/>
  <c r="M677" s="1"/>
  <c r="I697"/>
  <c r="T717"/>
  <c r="T718"/>
  <c r="T719"/>
  <c r="Q723"/>
  <c r="S724"/>
  <c r="M725"/>
  <c r="M724" s="1"/>
  <c r="S726"/>
  <c r="M727"/>
  <c r="M730"/>
  <c r="Q733"/>
  <c r="Q734"/>
  <c r="Q735"/>
  <c r="I737"/>
  <c r="M737"/>
  <c r="M741"/>
  <c r="M740" s="1"/>
  <c r="I758"/>
  <c r="Q764"/>
  <c r="Q765"/>
  <c r="I767"/>
  <c r="M767"/>
  <c r="M776"/>
  <c r="M772" s="1"/>
  <c r="I791"/>
  <c r="I792"/>
  <c r="I787" s="1"/>
  <c r="V787" s="1"/>
  <c r="Q795"/>
  <c r="Q796"/>
  <c r="Q811"/>
  <c r="T813"/>
  <c r="T814"/>
  <c r="M814"/>
  <c r="M815"/>
  <c r="V815" s="1"/>
  <c r="I820"/>
  <c r="V820" s="1"/>
  <c r="S821"/>
  <c r="I822"/>
  <c r="I825"/>
  <c r="V825" s="1"/>
  <c r="I826"/>
  <c r="V826" s="1"/>
  <c r="Q828"/>
  <c r="Q829"/>
  <c r="Q830"/>
  <c r="I832"/>
  <c r="M832"/>
  <c r="Q845"/>
  <c r="M847"/>
  <c r="V847" s="1"/>
  <c r="S867"/>
  <c r="Q904"/>
  <c r="Q905"/>
  <c r="I907"/>
  <c r="M907"/>
  <c r="Q909"/>
  <c r="M911"/>
  <c r="M910" s="1"/>
  <c r="T912"/>
  <c r="M913"/>
  <c r="M916"/>
  <c r="T917"/>
  <c r="M917"/>
  <c r="S938"/>
  <c r="S939"/>
  <c r="S940"/>
  <c r="I941"/>
  <c r="I961"/>
  <c r="V961" s="1"/>
  <c r="I963"/>
  <c r="V964"/>
  <c r="M966"/>
  <c r="T967"/>
  <c r="M967"/>
  <c r="V967" s="1"/>
  <c r="I971"/>
  <c r="V971" s="1"/>
  <c r="M972"/>
  <c r="M973" s="1"/>
  <c r="M976"/>
  <c r="M975" s="1"/>
  <c r="M978"/>
  <c r="M977" s="1"/>
  <c r="Q1000"/>
  <c r="Q1001"/>
  <c r="I1003"/>
  <c r="V1003" s="1"/>
  <c r="I1004"/>
  <c r="I1005"/>
  <c r="V1005" s="1"/>
  <c r="U1005"/>
  <c r="Q1008"/>
  <c r="M1152"/>
  <c r="M1022"/>
  <c r="V1022" s="1"/>
  <c r="Q1024"/>
  <c r="M1037"/>
  <c r="I1044"/>
  <c r="V1044" s="1"/>
  <c r="P1052"/>
  <c r="T1067"/>
  <c r="U1082"/>
  <c r="Q1110"/>
  <c r="M1112"/>
  <c r="M1116"/>
  <c r="M1115" s="1"/>
  <c r="M1118"/>
  <c r="I1119"/>
  <c r="V1119" s="1"/>
  <c r="M1121"/>
  <c r="M1122"/>
  <c r="P1127"/>
  <c r="I1183"/>
  <c r="I1192"/>
  <c r="M1192"/>
  <c r="M1196"/>
  <c r="M1195" s="1"/>
  <c r="T1197"/>
  <c r="M1198"/>
  <c r="I1199"/>
  <c r="V1199" s="1"/>
  <c r="M1201"/>
  <c r="M1202"/>
  <c r="P1207"/>
  <c r="M1250"/>
  <c r="I1257"/>
  <c r="M1257"/>
  <c r="M1261"/>
  <c r="M1260" s="1"/>
  <c r="M1263"/>
  <c r="I1264"/>
  <c r="V1264" s="1"/>
  <c r="M1266"/>
  <c r="M1267"/>
  <c r="M1272"/>
  <c r="Q1274"/>
  <c r="M1276"/>
  <c r="M1275" s="1"/>
  <c r="M1278"/>
  <c r="M1281"/>
  <c r="M1282"/>
  <c r="Q1285"/>
  <c r="Q1286"/>
  <c r="T1303"/>
  <c r="M1303"/>
  <c r="V1303" s="1"/>
  <c r="T1304"/>
  <c r="M1304"/>
  <c r="V1304" s="1"/>
  <c r="T1305"/>
  <c r="M1305"/>
  <c r="S1309"/>
  <c r="S1311"/>
  <c r="Q1319"/>
  <c r="G1323"/>
  <c r="T1323" s="1"/>
  <c r="J1333"/>
  <c r="J1349" s="1"/>
  <c r="L1333"/>
  <c r="L1349" s="1"/>
  <c r="S1325"/>
  <c r="I1326"/>
  <c r="V1326" s="1"/>
  <c r="S1327"/>
  <c r="M1328"/>
  <c r="S1331"/>
  <c r="M1331"/>
  <c r="I1332"/>
  <c r="V1332" s="1"/>
  <c r="Q1334"/>
  <c r="Q1335"/>
  <c r="H1338"/>
  <c r="U1338" s="1"/>
  <c r="K1348"/>
  <c r="I1337"/>
  <c r="M1337"/>
  <c r="Q1339"/>
  <c r="M1341"/>
  <c r="M1340" s="1"/>
  <c r="M1343"/>
  <c r="M1346"/>
  <c r="M1347"/>
  <c r="Q1355"/>
  <c r="Q1365"/>
  <c r="Q1366"/>
  <c r="S1368"/>
  <c r="S1369"/>
  <c r="S1370"/>
  <c r="Q1373"/>
  <c r="M1375"/>
  <c r="M1374" s="1"/>
  <c r="M1377"/>
  <c r="M1380"/>
  <c r="F1422"/>
  <c r="H1422"/>
  <c r="K1422"/>
  <c r="K1421" s="1"/>
  <c r="F1424"/>
  <c r="H1424"/>
  <c r="K1424"/>
  <c r="F1427"/>
  <c r="H1427"/>
  <c r="K1427"/>
  <c r="F1428"/>
  <c r="H1428"/>
  <c r="K1428"/>
  <c r="U1510"/>
  <c r="S1514"/>
  <c r="S1515"/>
  <c r="S1517"/>
  <c r="S1519"/>
  <c r="Q1523"/>
  <c r="H1526"/>
  <c r="I1525"/>
  <c r="T1525"/>
  <c r="T1530"/>
  <c r="I1532"/>
  <c r="V1532" s="1"/>
  <c r="U1540"/>
  <c r="Q1553"/>
  <c r="I1554"/>
  <c r="Q1587"/>
  <c r="M1589"/>
  <c r="M1588" s="1"/>
  <c r="M1591"/>
  <c r="M1594"/>
  <c r="M1653"/>
  <c r="M1655"/>
  <c r="L49" i="11"/>
  <c r="G60"/>
  <c r="T60" s="1"/>
  <c r="L60"/>
  <c r="G71"/>
  <c r="G75" s="1"/>
  <c r="L71"/>
  <c r="G82"/>
  <c r="T82" s="1"/>
  <c r="L82"/>
  <c r="F108"/>
  <c r="S108" s="1"/>
  <c r="H108"/>
  <c r="K108"/>
  <c r="T108" s="1"/>
  <c r="P116"/>
  <c r="F120"/>
  <c r="S120" s="1"/>
  <c r="H120"/>
  <c r="U120" s="1"/>
  <c r="K120"/>
  <c r="O123"/>
  <c r="N127"/>
  <c r="G131"/>
  <c r="T131" s="1"/>
  <c r="L131"/>
  <c r="L135" s="1"/>
  <c r="P138"/>
  <c r="F142"/>
  <c r="H142"/>
  <c r="U142" s="1"/>
  <c r="K142"/>
  <c r="K146" s="1"/>
  <c r="M141"/>
  <c r="F153"/>
  <c r="S153" s="1"/>
  <c r="L153"/>
  <c r="H191"/>
  <c r="U191" s="1"/>
  <c r="K191"/>
  <c r="I190"/>
  <c r="V190" s="1"/>
  <c r="F202"/>
  <c r="S202" s="1"/>
  <c r="H202"/>
  <c r="K202"/>
  <c r="H213"/>
  <c r="K213"/>
  <c r="P234"/>
  <c r="J239"/>
  <c r="L239"/>
  <c r="L243" s="1"/>
  <c r="L251"/>
  <c r="G262"/>
  <c r="G266" s="1"/>
  <c r="L262"/>
  <c r="M269"/>
  <c r="I270"/>
  <c r="H273"/>
  <c r="K273"/>
  <c r="I271"/>
  <c r="V271" s="1"/>
  <c r="I272"/>
  <c r="V272" s="1"/>
  <c r="F284"/>
  <c r="H284"/>
  <c r="U284" s="1"/>
  <c r="K284"/>
  <c r="P304"/>
  <c r="H310"/>
  <c r="H314" s="1"/>
  <c r="K310"/>
  <c r="K314" s="1"/>
  <c r="H322"/>
  <c r="K322"/>
  <c r="I321"/>
  <c r="F333"/>
  <c r="S333" s="1"/>
  <c r="H333"/>
  <c r="U333" s="1"/>
  <c r="K333"/>
  <c r="K344"/>
  <c r="H355"/>
  <c r="U355" s="1"/>
  <c r="K355"/>
  <c r="I353"/>
  <c r="I354"/>
  <c r="F366"/>
  <c r="S366" s="1"/>
  <c r="H366"/>
  <c r="K366"/>
  <c r="N385"/>
  <c r="U385"/>
  <c r="P386"/>
  <c r="M388"/>
  <c r="V388" s="1"/>
  <c r="F392"/>
  <c r="F396" s="1"/>
  <c r="S396" s="1"/>
  <c r="H392"/>
  <c r="K392"/>
  <c r="K396" s="1"/>
  <c r="K404"/>
  <c r="P423"/>
  <c r="G429"/>
  <c r="L429"/>
  <c r="L441"/>
  <c r="G452"/>
  <c r="L452"/>
  <c r="M472"/>
  <c r="M473"/>
  <c r="M474"/>
  <c r="H475"/>
  <c r="H478" s="1"/>
  <c r="T477"/>
  <c r="M477"/>
  <c r="M486"/>
  <c r="F490"/>
  <c r="S490" s="1"/>
  <c r="H490"/>
  <c r="K490"/>
  <c r="H522"/>
  <c r="K522"/>
  <c r="H523"/>
  <c r="K523"/>
  <c r="H527"/>
  <c r="U527" s="1"/>
  <c r="L527"/>
  <c r="L526" s="1"/>
  <c r="H501"/>
  <c r="U501" s="1"/>
  <c r="K501"/>
  <c r="I500"/>
  <c r="V500" s="1"/>
  <c r="F512"/>
  <c r="S512" s="1"/>
  <c r="H512"/>
  <c r="K512"/>
  <c r="G538"/>
  <c r="G542" s="1"/>
  <c r="L538"/>
  <c r="P541"/>
  <c r="P546"/>
  <c r="S546"/>
  <c r="F550"/>
  <c r="S550" s="1"/>
  <c r="H550"/>
  <c r="U550" s="1"/>
  <c r="T557"/>
  <c r="K561"/>
  <c r="P568"/>
  <c r="S568"/>
  <c r="F572"/>
  <c r="S572" s="1"/>
  <c r="H572"/>
  <c r="U572" s="1"/>
  <c r="O575"/>
  <c r="T575"/>
  <c r="G583"/>
  <c r="J583"/>
  <c r="L583"/>
  <c r="M1047" i="8"/>
  <c r="M1042" s="1"/>
  <c r="Q1049"/>
  <c r="Q1050"/>
  <c r="I1052"/>
  <c r="M1052"/>
  <c r="Q1054"/>
  <c r="M1056"/>
  <c r="M1055" s="1"/>
  <c r="M1058"/>
  <c r="M1061"/>
  <c r="M1062"/>
  <c r="Q1064"/>
  <c r="Q1069"/>
  <c r="S1070"/>
  <c r="S1071"/>
  <c r="M1071"/>
  <c r="M1070" s="1"/>
  <c r="S1072"/>
  <c r="M1073"/>
  <c r="M1076"/>
  <c r="M1077"/>
  <c r="Q1080"/>
  <c r="H1083"/>
  <c r="U1083" s="1"/>
  <c r="K1093"/>
  <c r="I1082"/>
  <c r="M1082"/>
  <c r="Q1084"/>
  <c r="M1086"/>
  <c r="M1085" s="1"/>
  <c r="T1087"/>
  <c r="M1088"/>
  <c r="M1091"/>
  <c r="T1092"/>
  <c r="M1092"/>
  <c r="Q1095"/>
  <c r="I1097"/>
  <c r="T1097"/>
  <c r="Q1099"/>
  <c r="M1101"/>
  <c r="M1100" s="1"/>
  <c r="M1103"/>
  <c r="I1104"/>
  <c r="V1104" s="1"/>
  <c r="M1106"/>
  <c r="M1107"/>
  <c r="M1113"/>
  <c r="Q1124"/>
  <c r="Q1125"/>
  <c r="I1127"/>
  <c r="V1127" s="1"/>
  <c r="M1127"/>
  <c r="M1158"/>
  <c r="M1157" s="1"/>
  <c r="S1160"/>
  <c r="I1161"/>
  <c r="I1176"/>
  <c r="M1177"/>
  <c r="Q1205"/>
  <c r="M1207"/>
  <c r="Q1209"/>
  <c r="M1211"/>
  <c r="M1210" s="1"/>
  <c r="M1213"/>
  <c r="M1216"/>
  <c r="Q1225"/>
  <c r="Q1235"/>
  <c r="M1238"/>
  <c r="M1237" s="1"/>
  <c r="I1240"/>
  <c r="V1240" s="1"/>
  <c r="G1242"/>
  <c r="K1242"/>
  <c r="K1252" s="1"/>
  <c r="I1248"/>
  <c r="M1248"/>
  <c r="M1273"/>
  <c r="V1281"/>
  <c r="V1282"/>
  <c r="V1305"/>
  <c r="K1349"/>
  <c r="Q1383"/>
  <c r="Q1384"/>
  <c r="Q1389"/>
  <c r="G1422"/>
  <c r="J1422"/>
  <c r="L1422"/>
  <c r="L1421" s="1"/>
  <c r="G1424"/>
  <c r="O1424" s="1"/>
  <c r="J1424"/>
  <c r="L1424"/>
  <c r="G1427"/>
  <c r="J1427"/>
  <c r="N1427" s="1"/>
  <c r="L1427"/>
  <c r="G1428"/>
  <c r="O1428" s="1"/>
  <c r="J1428"/>
  <c r="L1428"/>
  <c r="P1428" s="1"/>
  <c r="I1412"/>
  <c r="M1433"/>
  <c r="S1437"/>
  <c r="S1439"/>
  <c r="I1440"/>
  <c r="I1443"/>
  <c r="V1443" s="1"/>
  <c r="I1444"/>
  <c r="H1451"/>
  <c r="M1450"/>
  <c r="T1455"/>
  <c r="I1457"/>
  <c r="V1457" s="1"/>
  <c r="T1460"/>
  <c r="M1460"/>
  <c r="M1455" s="1"/>
  <c r="G1466"/>
  <c r="T1466" s="1"/>
  <c r="S1468"/>
  <c r="S1469"/>
  <c r="S1470"/>
  <c r="S1472"/>
  <c r="S1474"/>
  <c r="Q1478"/>
  <c r="H1481"/>
  <c r="I1480"/>
  <c r="T1480"/>
  <c r="T1485"/>
  <c r="I1487"/>
  <c r="V1487" s="1"/>
  <c r="U1495"/>
  <c r="Q1507"/>
  <c r="Q1508"/>
  <c r="M1530"/>
  <c r="Q1538"/>
  <c r="I1540"/>
  <c r="M1540"/>
  <c r="Q1542"/>
  <c r="P1555"/>
  <c r="I1561"/>
  <c r="I1564"/>
  <c r="I1565"/>
  <c r="V1565" s="1"/>
  <c r="Q1567"/>
  <c r="Q1568"/>
  <c r="H1571"/>
  <c r="I1570"/>
  <c r="M1570"/>
  <c r="M1574"/>
  <c r="M1573" s="1"/>
  <c r="T1575"/>
  <c r="M1576"/>
  <c r="I1577"/>
  <c r="V1577" s="1"/>
  <c r="M1580"/>
  <c r="V1594"/>
  <c r="Q1598"/>
  <c r="I1600"/>
  <c r="M1600"/>
  <c r="Q1602"/>
  <c r="M1604"/>
  <c r="M1603" s="1"/>
  <c r="M1606"/>
  <c r="M1609"/>
  <c r="Q1630"/>
  <c r="I1639"/>
  <c r="M1639"/>
  <c r="Q1662"/>
  <c r="M1664"/>
  <c r="M1663" s="1"/>
  <c r="M1666"/>
  <c r="O1667"/>
  <c r="M1667"/>
  <c r="M1668"/>
  <c r="K1691"/>
  <c r="T1691" s="1"/>
  <c r="T1690"/>
  <c r="J1693"/>
  <c r="S1693" s="1"/>
  <c r="K30" i="11"/>
  <c r="K37" s="1"/>
  <c r="K41" s="1"/>
  <c r="T34"/>
  <c r="O39"/>
  <c r="F49"/>
  <c r="S49" s="1"/>
  <c r="H49"/>
  <c r="U49" s="1"/>
  <c r="K49"/>
  <c r="F60"/>
  <c r="S60" s="1"/>
  <c r="H60"/>
  <c r="K60"/>
  <c r="M67"/>
  <c r="F71"/>
  <c r="S71" s="1"/>
  <c r="H71"/>
  <c r="K71"/>
  <c r="F82"/>
  <c r="H82"/>
  <c r="U82" s="1"/>
  <c r="K82"/>
  <c r="K86" s="1"/>
  <c r="G108"/>
  <c r="L108"/>
  <c r="L112" s="1"/>
  <c r="M116"/>
  <c r="N116"/>
  <c r="G120"/>
  <c r="T120" s="1"/>
  <c r="L120"/>
  <c r="P127"/>
  <c r="F131"/>
  <c r="S131" s="1"/>
  <c r="H131"/>
  <c r="U131" s="1"/>
  <c r="K131"/>
  <c r="M130"/>
  <c r="O134"/>
  <c r="N138"/>
  <c r="G142"/>
  <c r="L142"/>
  <c r="M150"/>
  <c r="P174"/>
  <c r="G191"/>
  <c r="T191" s="1"/>
  <c r="M191"/>
  <c r="L191"/>
  <c r="L195" s="1"/>
  <c r="G202"/>
  <c r="T202" s="1"/>
  <c r="L202"/>
  <c r="G213"/>
  <c r="T213" s="1"/>
  <c r="L213"/>
  <c r="P233"/>
  <c r="H239"/>
  <c r="K239"/>
  <c r="I237"/>
  <c r="V237" s="1"/>
  <c r="I238"/>
  <c r="M247"/>
  <c r="I248"/>
  <c r="H251"/>
  <c r="K251"/>
  <c r="I249"/>
  <c r="V249" s="1"/>
  <c r="I250"/>
  <c r="V250" s="1"/>
  <c r="F262"/>
  <c r="H262"/>
  <c r="U262" s="1"/>
  <c r="K262"/>
  <c r="G273"/>
  <c r="T273" s="1"/>
  <c r="L273"/>
  <c r="G284"/>
  <c r="L284"/>
  <c r="L288" s="1"/>
  <c r="L303"/>
  <c r="L374" s="1"/>
  <c r="M374" s="1"/>
  <c r="I304"/>
  <c r="I303" s="1"/>
  <c r="M304"/>
  <c r="P305"/>
  <c r="J310"/>
  <c r="J314" s="1"/>
  <c r="G322"/>
  <c r="M319"/>
  <c r="L322"/>
  <c r="G333"/>
  <c r="L333"/>
  <c r="L337" s="1"/>
  <c r="M331"/>
  <c r="M336"/>
  <c r="G344"/>
  <c r="M341"/>
  <c r="L344"/>
  <c r="M342"/>
  <c r="V342" s="1"/>
  <c r="G355"/>
  <c r="L355"/>
  <c r="L359" s="1"/>
  <c r="G366"/>
  <c r="L366"/>
  <c r="M364"/>
  <c r="S385"/>
  <c r="P387"/>
  <c r="G392"/>
  <c r="T392" s="1"/>
  <c r="L392"/>
  <c r="L396" s="1"/>
  <c r="G404"/>
  <c r="M401"/>
  <c r="L404"/>
  <c r="L408" s="1"/>
  <c r="M402"/>
  <c r="M403"/>
  <c r="V403" s="1"/>
  <c r="I407"/>
  <c r="M407"/>
  <c r="M423"/>
  <c r="M424"/>
  <c r="M425"/>
  <c r="I426"/>
  <c r="H429"/>
  <c r="K429"/>
  <c r="K433" s="1"/>
  <c r="I427"/>
  <c r="I428"/>
  <c r="M437"/>
  <c r="F441"/>
  <c r="S441" s="1"/>
  <c r="H441"/>
  <c r="U441" s="1"/>
  <c r="K441"/>
  <c r="I449"/>
  <c r="H452"/>
  <c r="K452"/>
  <c r="P472"/>
  <c r="G478"/>
  <c r="L478"/>
  <c r="L482" s="1"/>
  <c r="G490"/>
  <c r="L490"/>
  <c r="G522"/>
  <c r="J522"/>
  <c r="L522"/>
  <c r="G523"/>
  <c r="J523"/>
  <c r="L523"/>
  <c r="G527"/>
  <c r="K527"/>
  <c r="G501"/>
  <c r="G505" s="1"/>
  <c r="M498"/>
  <c r="L501"/>
  <c r="L505" s="1"/>
  <c r="G512"/>
  <c r="L512"/>
  <c r="T510"/>
  <c r="M510"/>
  <c r="T511"/>
  <c r="M511"/>
  <c r="M515"/>
  <c r="I532"/>
  <c r="T532"/>
  <c r="I533"/>
  <c r="T533"/>
  <c r="I534"/>
  <c r="T534"/>
  <c r="F538"/>
  <c r="F542" s="1"/>
  <c r="S542" s="1"/>
  <c r="H538"/>
  <c r="K538"/>
  <c r="K542" s="1"/>
  <c r="H540"/>
  <c r="U540" s="1"/>
  <c r="L540"/>
  <c r="P540" s="1"/>
  <c r="U541"/>
  <c r="I546"/>
  <c r="M546"/>
  <c r="G550"/>
  <c r="L550"/>
  <c r="T548"/>
  <c r="M548"/>
  <c r="T549"/>
  <c r="M549"/>
  <c r="I553"/>
  <c r="T553"/>
  <c r="G561"/>
  <c r="L561"/>
  <c r="T560"/>
  <c r="G563"/>
  <c r="I563" s="1"/>
  <c r="K563"/>
  <c r="P564"/>
  <c r="I568"/>
  <c r="V568" s="1"/>
  <c r="M568"/>
  <c r="G572"/>
  <c r="T572" s="1"/>
  <c r="L572"/>
  <c r="T570"/>
  <c r="M570"/>
  <c r="T571"/>
  <c r="M571"/>
  <c r="G574"/>
  <c r="T574" s="1"/>
  <c r="K574"/>
  <c r="K576" s="1"/>
  <c r="F583"/>
  <c r="H583"/>
  <c r="U583" s="1"/>
  <c r="K583"/>
  <c r="K587" s="1"/>
  <c r="T603"/>
  <c r="T604"/>
  <c r="T605"/>
  <c r="F609"/>
  <c r="F613" s="1"/>
  <c r="S613" s="1"/>
  <c r="H609"/>
  <c r="K609"/>
  <c r="K613" s="1"/>
  <c r="F632"/>
  <c r="S632" s="1"/>
  <c r="H632"/>
  <c r="K632"/>
  <c r="H643"/>
  <c r="K643"/>
  <c r="F654"/>
  <c r="H654"/>
  <c r="U654" s="1"/>
  <c r="K654"/>
  <c r="K658" s="1"/>
  <c r="H665"/>
  <c r="U665" s="1"/>
  <c r="K665"/>
  <c r="K669" s="1"/>
  <c r="F676"/>
  <c r="S676" s="1"/>
  <c r="H676"/>
  <c r="K676"/>
  <c r="T696"/>
  <c r="T697"/>
  <c r="T698"/>
  <c r="F702"/>
  <c r="H702"/>
  <c r="K702"/>
  <c r="K706" s="1"/>
  <c r="G714"/>
  <c r="T714" s="1"/>
  <c r="L714"/>
  <c r="G725"/>
  <c r="M722"/>
  <c r="L725"/>
  <c r="L729" s="1"/>
  <c r="M723"/>
  <c r="P745"/>
  <c r="M746"/>
  <c r="P747"/>
  <c r="I748"/>
  <c r="H751"/>
  <c r="K751"/>
  <c r="K755" s="1"/>
  <c r="F763"/>
  <c r="H763"/>
  <c r="U763" s="1"/>
  <c r="K763"/>
  <c r="K767" s="1"/>
  <c r="M761"/>
  <c r="M762"/>
  <c r="G774"/>
  <c r="L774"/>
  <c r="L778" s="1"/>
  <c r="F785"/>
  <c r="S785" s="1"/>
  <c r="H785"/>
  <c r="U785" s="1"/>
  <c r="K785"/>
  <c r="M784"/>
  <c r="Q791"/>
  <c r="I792"/>
  <c r="V792" s="1"/>
  <c r="I793"/>
  <c r="H796"/>
  <c r="K796"/>
  <c r="I794"/>
  <c r="V794" s="1"/>
  <c r="I795"/>
  <c r="M798"/>
  <c r="P799"/>
  <c r="G807"/>
  <c r="G811" s="1"/>
  <c r="J807"/>
  <c r="L807"/>
  <c r="L811" s="1"/>
  <c r="T810"/>
  <c r="Q813"/>
  <c r="I814"/>
  <c r="V814" s="1"/>
  <c r="I815"/>
  <c r="V815" s="1"/>
  <c r="H818"/>
  <c r="U818" s="1"/>
  <c r="K818"/>
  <c r="K822" s="1"/>
  <c r="I816"/>
  <c r="V816" s="1"/>
  <c r="I817"/>
  <c r="M820"/>
  <c r="P821"/>
  <c r="T825"/>
  <c r="G829"/>
  <c r="J829"/>
  <c r="L829"/>
  <c r="T827"/>
  <c r="T828"/>
  <c r="I832"/>
  <c r="V832" s="1"/>
  <c r="O832"/>
  <c r="T832"/>
  <c r="G840"/>
  <c r="P860"/>
  <c r="P862"/>
  <c r="F866"/>
  <c r="H866"/>
  <c r="K866"/>
  <c r="K870" s="1"/>
  <c r="F878"/>
  <c r="S878" s="1"/>
  <c r="H878"/>
  <c r="U878" s="1"/>
  <c r="K878"/>
  <c r="G889"/>
  <c r="J889"/>
  <c r="L889"/>
  <c r="F900"/>
  <c r="S900" s="1"/>
  <c r="H900"/>
  <c r="U900" s="1"/>
  <c r="K900"/>
  <c r="M899"/>
  <c r="M920"/>
  <c r="M921"/>
  <c r="M922"/>
  <c r="S924"/>
  <c r="P929"/>
  <c r="F938"/>
  <c r="S938" s="1"/>
  <c r="H938"/>
  <c r="U938" s="1"/>
  <c r="K938"/>
  <c r="F949"/>
  <c r="S949" s="1"/>
  <c r="H949"/>
  <c r="U949" s="1"/>
  <c r="K949"/>
  <c r="F975"/>
  <c r="S975" s="1"/>
  <c r="H975"/>
  <c r="K975"/>
  <c r="K979" s="1"/>
  <c r="H987"/>
  <c r="U987" s="1"/>
  <c r="K987"/>
  <c r="F998"/>
  <c r="S998" s="1"/>
  <c r="H998"/>
  <c r="U998" s="1"/>
  <c r="K998"/>
  <c r="M1018"/>
  <c r="M1019"/>
  <c r="J1036"/>
  <c r="F1047"/>
  <c r="S1047" s="1"/>
  <c r="G1071"/>
  <c r="J1071"/>
  <c r="J1076" s="1"/>
  <c r="L1071"/>
  <c r="L1076" s="1"/>
  <c r="U1075"/>
  <c r="F1083"/>
  <c r="S1083" s="1"/>
  <c r="H1083"/>
  <c r="U1083" s="1"/>
  <c r="K1083"/>
  <c r="M1081"/>
  <c r="M1082"/>
  <c r="G1094"/>
  <c r="J1094"/>
  <c r="J1098" s="1"/>
  <c r="L1094"/>
  <c r="F1105"/>
  <c r="S1105" s="1"/>
  <c r="H1105"/>
  <c r="U1105" s="1"/>
  <c r="K1105"/>
  <c r="K1109" s="1"/>
  <c r="M1103"/>
  <c r="M1104"/>
  <c r="M1112"/>
  <c r="H1116"/>
  <c r="U1116" s="1"/>
  <c r="K1116"/>
  <c r="T1119"/>
  <c r="Q1122"/>
  <c r="F1127"/>
  <c r="S1127" s="1"/>
  <c r="H1127"/>
  <c r="K1127"/>
  <c r="P1130"/>
  <c r="G1138"/>
  <c r="T1138" s="1"/>
  <c r="J1138"/>
  <c r="L1138"/>
  <c r="T1141"/>
  <c r="F1149"/>
  <c r="S1149" s="1"/>
  <c r="H1149"/>
  <c r="U1149" s="1"/>
  <c r="K1149"/>
  <c r="P1152"/>
  <c r="G1162"/>
  <c r="G1171"/>
  <c r="L1171"/>
  <c r="M1169"/>
  <c r="M1173"/>
  <c r="G1182"/>
  <c r="J1182"/>
  <c r="L1182"/>
  <c r="M1180"/>
  <c r="M1181"/>
  <c r="G1184"/>
  <c r="G1193"/>
  <c r="L1193"/>
  <c r="G1217"/>
  <c r="L1217"/>
  <c r="M1219"/>
  <c r="G1228"/>
  <c r="J1228"/>
  <c r="L1228"/>
  <c r="M1227"/>
  <c r="G1230"/>
  <c r="G1239"/>
  <c r="M1236"/>
  <c r="L1239"/>
  <c r="M1241"/>
  <c r="M1258"/>
  <c r="M581"/>
  <c r="G609"/>
  <c r="G613" s="1"/>
  <c r="T613" s="1"/>
  <c r="J609"/>
  <c r="J613" s="1"/>
  <c r="L609"/>
  <c r="M611"/>
  <c r="T612"/>
  <c r="T617"/>
  <c r="M617"/>
  <c r="M619"/>
  <c r="T620"/>
  <c r="M620"/>
  <c r="G623"/>
  <c r="I623" s="1"/>
  <c r="V623" s="1"/>
  <c r="M623"/>
  <c r="T628"/>
  <c r="M628"/>
  <c r="G632"/>
  <c r="T632" s="1"/>
  <c r="J632"/>
  <c r="L632"/>
  <c r="T630"/>
  <c r="M630"/>
  <c r="T631"/>
  <c r="M631"/>
  <c r="G634"/>
  <c r="M639"/>
  <c r="G643"/>
  <c r="M640"/>
  <c r="L643"/>
  <c r="M641"/>
  <c r="T642"/>
  <c r="M642"/>
  <c r="G645"/>
  <c r="I645" s="1"/>
  <c r="M645"/>
  <c r="T650"/>
  <c r="M650"/>
  <c r="G654"/>
  <c r="J654"/>
  <c r="L654"/>
  <c r="T652"/>
  <c r="M652"/>
  <c r="T653"/>
  <c r="M653"/>
  <c r="G656"/>
  <c r="T661"/>
  <c r="M661"/>
  <c r="V661" s="1"/>
  <c r="G665"/>
  <c r="M662"/>
  <c r="L665"/>
  <c r="M663"/>
  <c r="T664"/>
  <c r="M664"/>
  <c r="V664" s="1"/>
  <c r="G667"/>
  <c r="I667" s="1"/>
  <c r="M667"/>
  <c r="T672"/>
  <c r="M672"/>
  <c r="G676"/>
  <c r="T676" s="1"/>
  <c r="J676"/>
  <c r="J680" s="1"/>
  <c r="L676"/>
  <c r="T674"/>
  <c r="M674"/>
  <c r="T675"/>
  <c r="M675"/>
  <c r="G678"/>
  <c r="I678" s="1"/>
  <c r="M733"/>
  <c r="G702"/>
  <c r="G706" s="1"/>
  <c r="T706" s="1"/>
  <c r="J702"/>
  <c r="J706" s="1"/>
  <c r="L702"/>
  <c r="L706" s="1"/>
  <c r="P704"/>
  <c r="I710"/>
  <c r="V710" s="1"/>
  <c r="I711"/>
  <c r="H714"/>
  <c r="U714" s="1"/>
  <c r="K714"/>
  <c r="I712"/>
  <c r="V712" s="1"/>
  <c r="I713"/>
  <c r="V713" s="1"/>
  <c r="H725"/>
  <c r="U725" s="1"/>
  <c r="K725"/>
  <c r="P746"/>
  <c r="G751"/>
  <c r="L751"/>
  <c r="L755" s="1"/>
  <c r="M753"/>
  <c r="G763"/>
  <c r="T763" s="1"/>
  <c r="J763"/>
  <c r="L763"/>
  <c r="L767" s="1"/>
  <c r="T766"/>
  <c r="H774"/>
  <c r="U774" s="1"/>
  <c r="K774"/>
  <c r="K778" s="1"/>
  <c r="I773"/>
  <c r="M776"/>
  <c r="M778" s="1"/>
  <c r="P777"/>
  <c r="G785"/>
  <c r="T785" s="1"/>
  <c r="J785"/>
  <c r="J789" s="1"/>
  <c r="L785"/>
  <c r="K789"/>
  <c r="O788"/>
  <c r="T788"/>
  <c r="G796"/>
  <c r="T796" s="1"/>
  <c r="L796"/>
  <c r="L800" s="1"/>
  <c r="K800"/>
  <c r="F807"/>
  <c r="S807" s="1"/>
  <c r="H807"/>
  <c r="U807" s="1"/>
  <c r="K807"/>
  <c r="J811"/>
  <c r="G818"/>
  <c r="T818" s="1"/>
  <c r="L818"/>
  <c r="H822"/>
  <c r="U822" s="1"/>
  <c r="F829"/>
  <c r="S829" s="1"/>
  <c r="H829"/>
  <c r="K829"/>
  <c r="K833" s="1"/>
  <c r="J833"/>
  <c r="L833"/>
  <c r="I860"/>
  <c r="M860"/>
  <c r="P861"/>
  <c r="I862"/>
  <c r="V862" s="1"/>
  <c r="M862"/>
  <c r="G866"/>
  <c r="T866" s="1"/>
  <c r="J866"/>
  <c r="J870" s="1"/>
  <c r="L866"/>
  <c r="L870" s="1"/>
  <c r="H868"/>
  <c r="U868" s="1"/>
  <c r="I869"/>
  <c r="V869" s="1"/>
  <c r="U869"/>
  <c r="G878"/>
  <c r="T878" s="1"/>
  <c r="J878"/>
  <c r="J882" s="1"/>
  <c r="L878"/>
  <c r="L882" s="1"/>
  <c r="T876"/>
  <c r="T881"/>
  <c r="F889"/>
  <c r="S889" s="1"/>
  <c r="H889"/>
  <c r="H893" s="1"/>
  <c r="K889"/>
  <c r="K893" s="1"/>
  <c r="U887"/>
  <c r="P892"/>
  <c r="G900"/>
  <c r="G904" s="1"/>
  <c r="J900"/>
  <c r="J904" s="1"/>
  <c r="L900"/>
  <c r="L904" s="1"/>
  <c r="T903"/>
  <c r="K926"/>
  <c r="K930" s="1"/>
  <c r="U924"/>
  <c r="H928"/>
  <c r="U928" s="1"/>
  <c r="U929"/>
  <c r="T934"/>
  <c r="G938"/>
  <c r="J938"/>
  <c r="L938"/>
  <c r="M940"/>
  <c r="V940" s="1"/>
  <c r="G949"/>
  <c r="J949"/>
  <c r="L949"/>
  <c r="T947"/>
  <c r="M947"/>
  <c r="G951"/>
  <c r="G953" s="1"/>
  <c r="T953" s="1"/>
  <c r="T969"/>
  <c r="M969"/>
  <c r="T970"/>
  <c r="M970"/>
  <c r="M971"/>
  <c r="G975"/>
  <c r="G979" s="1"/>
  <c r="T979" s="1"/>
  <c r="J975"/>
  <c r="J979" s="1"/>
  <c r="L975"/>
  <c r="G977"/>
  <c r="T977" s="1"/>
  <c r="M977"/>
  <c r="G987"/>
  <c r="M984"/>
  <c r="L987"/>
  <c r="M985"/>
  <c r="V985" s="1"/>
  <c r="M986"/>
  <c r="V986" s="1"/>
  <c r="M989"/>
  <c r="G998"/>
  <c r="T998" s="1"/>
  <c r="J998"/>
  <c r="J1002" s="1"/>
  <c r="L998"/>
  <c r="M996"/>
  <c r="V1019"/>
  <c r="O1027"/>
  <c r="F1036"/>
  <c r="S1036" s="1"/>
  <c r="J1047"/>
  <c r="J1051" s="1"/>
  <c r="T1050"/>
  <c r="I1067"/>
  <c r="V1067" s="1"/>
  <c r="F1071"/>
  <c r="H1071"/>
  <c r="H1076" s="1"/>
  <c r="U1076" s="1"/>
  <c r="K1071"/>
  <c r="K1076" s="1"/>
  <c r="I1069"/>
  <c r="V1069" s="1"/>
  <c r="I1070"/>
  <c r="V1070" s="1"/>
  <c r="U1074"/>
  <c r="G1083"/>
  <c r="J1083"/>
  <c r="J1087" s="1"/>
  <c r="L1083"/>
  <c r="K1087"/>
  <c r="T1086"/>
  <c r="F1094"/>
  <c r="S1094" s="1"/>
  <c r="H1094"/>
  <c r="U1094" s="1"/>
  <c r="K1094"/>
  <c r="T1094" s="1"/>
  <c r="L1098"/>
  <c r="P1097"/>
  <c r="G1105"/>
  <c r="T1105" s="1"/>
  <c r="J1105"/>
  <c r="L1105"/>
  <c r="T1108"/>
  <c r="G1116"/>
  <c r="G1120" s="1"/>
  <c r="J1116"/>
  <c r="J1120" s="1"/>
  <c r="L1116"/>
  <c r="M1115"/>
  <c r="G1127"/>
  <c r="J1127"/>
  <c r="J1131" s="1"/>
  <c r="L1127"/>
  <c r="L1131" s="1"/>
  <c r="F1138"/>
  <c r="S1138" s="1"/>
  <c r="H1138"/>
  <c r="U1138" s="1"/>
  <c r="K1138"/>
  <c r="K1142" s="1"/>
  <c r="M1137"/>
  <c r="G1149"/>
  <c r="T1149" s="1"/>
  <c r="J1149"/>
  <c r="J1153" s="1"/>
  <c r="L1149"/>
  <c r="L1153" s="1"/>
  <c r="H1171"/>
  <c r="K1171"/>
  <c r="T1171" s="1"/>
  <c r="V1169"/>
  <c r="F1182"/>
  <c r="S1182" s="1"/>
  <c r="H1182"/>
  <c r="U1182" s="1"/>
  <c r="K1182"/>
  <c r="H1193"/>
  <c r="U1193" s="1"/>
  <c r="K1193"/>
  <c r="I1214"/>
  <c r="H1217"/>
  <c r="U1217" s="1"/>
  <c r="F1228"/>
  <c r="S1228" s="1"/>
  <c r="H1228"/>
  <c r="U1228" s="1"/>
  <c r="H1239"/>
  <c r="U1239" s="1"/>
  <c r="K1239"/>
  <c r="T1239" s="1"/>
  <c r="V1258"/>
  <c r="K1267"/>
  <c r="V25"/>
  <c r="M96"/>
  <c r="G112"/>
  <c r="T163"/>
  <c r="O163"/>
  <c r="G162"/>
  <c r="M163"/>
  <c r="J162"/>
  <c r="T164"/>
  <c r="O164"/>
  <c r="F135"/>
  <c r="S135" s="1"/>
  <c r="P19"/>
  <c r="P26" s="1"/>
  <c r="L53"/>
  <c r="L64"/>
  <c r="L75"/>
  <c r="H86"/>
  <c r="L165"/>
  <c r="L169" s="1"/>
  <c r="T142"/>
  <c r="M153"/>
  <c r="M157" s="1"/>
  <c r="J157"/>
  <c r="L157"/>
  <c r="S93"/>
  <c r="U97"/>
  <c r="P97"/>
  <c r="H96"/>
  <c r="T161"/>
  <c r="O161"/>
  <c r="F112"/>
  <c r="S112" s="1"/>
  <c r="U108"/>
  <c r="I163"/>
  <c r="S163"/>
  <c r="N163"/>
  <c r="F162"/>
  <c r="U163"/>
  <c r="P163"/>
  <c r="H162"/>
  <c r="I164"/>
  <c r="S164"/>
  <c r="N164"/>
  <c r="U164"/>
  <c r="P164"/>
  <c r="O168"/>
  <c r="O167" s="1"/>
  <c r="G167"/>
  <c r="T168"/>
  <c r="F124"/>
  <c r="I19"/>
  <c r="M19"/>
  <c r="M26" s="1"/>
  <c r="O19"/>
  <c r="Q14"/>
  <c r="O26"/>
  <c r="G26"/>
  <c r="J26"/>
  <c r="T49"/>
  <c r="G53"/>
  <c r="K53"/>
  <c r="G64"/>
  <c r="K64"/>
  <c r="T71"/>
  <c r="K75"/>
  <c r="M82"/>
  <c r="M86" s="1"/>
  <c r="J86"/>
  <c r="J87" s="1"/>
  <c r="L86"/>
  <c r="M97"/>
  <c r="K165"/>
  <c r="K169" s="1"/>
  <c r="L124"/>
  <c r="H146"/>
  <c r="U146" s="1"/>
  <c r="L146"/>
  <c r="M168"/>
  <c r="M167" s="1"/>
  <c r="U1301"/>
  <c r="P1301"/>
  <c r="T1302"/>
  <c r="O1302"/>
  <c r="U1303"/>
  <c r="P1303"/>
  <c r="N1305"/>
  <c r="J1304"/>
  <c r="N1306"/>
  <c r="U1339"/>
  <c r="P1339"/>
  <c r="P1338" s="1"/>
  <c r="H1338"/>
  <c r="U1338" s="1"/>
  <c r="S221"/>
  <c r="N221"/>
  <c r="I221"/>
  <c r="U221"/>
  <c r="P221"/>
  <c r="T173"/>
  <c r="O173"/>
  <c r="T174"/>
  <c r="O174"/>
  <c r="T223"/>
  <c r="O223"/>
  <c r="G222"/>
  <c r="T224"/>
  <c r="O224"/>
  <c r="G227"/>
  <c r="U292"/>
  <c r="P292"/>
  <c r="I236"/>
  <c r="U294"/>
  <c r="P294"/>
  <c r="H293"/>
  <c r="U295"/>
  <c r="P295"/>
  <c r="U299"/>
  <c r="P299"/>
  <c r="P298" s="1"/>
  <c r="H298"/>
  <c r="V304"/>
  <c r="T376"/>
  <c r="O376"/>
  <c r="G375"/>
  <c r="T377"/>
  <c r="O377"/>
  <c r="I381"/>
  <c r="G380"/>
  <c r="S411"/>
  <c r="N411"/>
  <c r="I411"/>
  <c r="U411"/>
  <c r="P411"/>
  <c r="G396"/>
  <c r="T396" s="1"/>
  <c r="T413"/>
  <c r="O413"/>
  <c r="G412"/>
  <c r="J412"/>
  <c r="M413"/>
  <c r="T414"/>
  <c r="O414"/>
  <c r="T418"/>
  <c r="O418"/>
  <c r="G417"/>
  <c r="M417"/>
  <c r="H433"/>
  <c r="U462"/>
  <c r="P462"/>
  <c r="H461"/>
  <c r="U463"/>
  <c r="P463"/>
  <c r="U467"/>
  <c r="P467"/>
  <c r="H466"/>
  <c r="S520"/>
  <c r="N520"/>
  <c r="I520"/>
  <c r="U520"/>
  <c r="P520"/>
  <c r="T478"/>
  <c r="G482"/>
  <c r="T482" s="1"/>
  <c r="T522"/>
  <c r="G521"/>
  <c r="M522"/>
  <c r="T523"/>
  <c r="O523"/>
  <c r="O527"/>
  <c r="G526"/>
  <c r="M527"/>
  <c r="K526"/>
  <c r="T591"/>
  <c r="O591"/>
  <c r="S538"/>
  <c r="H542"/>
  <c r="U538"/>
  <c r="I593"/>
  <c r="S593"/>
  <c r="F592"/>
  <c r="U593"/>
  <c r="P593"/>
  <c r="H592"/>
  <c r="S594"/>
  <c r="N594"/>
  <c r="P594"/>
  <c r="G597"/>
  <c r="V563"/>
  <c r="S609"/>
  <c r="N12"/>
  <c r="T14"/>
  <c r="V14"/>
  <c r="F19"/>
  <c r="S19" s="1"/>
  <c r="H19"/>
  <c r="I22"/>
  <c r="O22"/>
  <c r="Q23"/>
  <c r="Q25" s="1"/>
  <c r="V23"/>
  <c r="S25"/>
  <c r="U25"/>
  <c r="M31"/>
  <c r="O31"/>
  <c r="U31"/>
  <c r="I32"/>
  <c r="P32"/>
  <c r="T32"/>
  <c r="M33"/>
  <c r="O33"/>
  <c r="U33"/>
  <c r="N34"/>
  <c r="P34"/>
  <c r="N35"/>
  <c r="P35"/>
  <c r="S35"/>
  <c r="U35"/>
  <c r="N36"/>
  <c r="P36"/>
  <c r="S36"/>
  <c r="U36"/>
  <c r="F37"/>
  <c r="H37"/>
  <c r="L37"/>
  <c r="L39"/>
  <c r="P39" s="1"/>
  <c r="Q39" s="1"/>
  <c r="R39" s="1"/>
  <c r="T39"/>
  <c r="M40"/>
  <c r="O40"/>
  <c r="U40"/>
  <c r="I45"/>
  <c r="V45" s="1"/>
  <c r="N45"/>
  <c r="P45"/>
  <c r="T45"/>
  <c r="I46"/>
  <c r="M46"/>
  <c r="O46"/>
  <c r="T46"/>
  <c r="I47"/>
  <c r="M47"/>
  <c r="O47"/>
  <c r="T47"/>
  <c r="I48"/>
  <c r="M48"/>
  <c r="O48"/>
  <c r="T48"/>
  <c r="I51"/>
  <c r="N51"/>
  <c r="P51"/>
  <c r="T51"/>
  <c r="M52"/>
  <c r="O52"/>
  <c r="U52"/>
  <c r="F53"/>
  <c r="S53" s="1"/>
  <c r="H53"/>
  <c r="U53" s="1"/>
  <c r="I56"/>
  <c r="V56" s="1"/>
  <c r="N56"/>
  <c r="P56"/>
  <c r="T56"/>
  <c r="I57"/>
  <c r="M57"/>
  <c r="M60" s="1"/>
  <c r="O57"/>
  <c r="O60" s="1"/>
  <c r="T57"/>
  <c r="I58"/>
  <c r="V58" s="1"/>
  <c r="O58"/>
  <c r="I59"/>
  <c r="V59" s="1"/>
  <c r="O59"/>
  <c r="I62"/>
  <c r="N62"/>
  <c r="P62"/>
  <c r="T62"/>
  <c r="O63"/>
  <c r="Q63" s="1"/>
  <c r="R63" s="1"/>
  <c r="U63"/>
  <c r="F64"/>
  <c r="S64" s="1"/>
  <c r="I67"/>
  <c r="V67" s="1"/>
  <c r="N67"/>
  <c r="P67"/>
  <c r="T67"/>
  <c r="I68"/>
  <c r="M68"/>
  <c r="O68"/>
  <c r="O71" s="1"/>
  <c r="T68"/>
  <c r="I69"/>
  <c r="V69" s="1"/>
  <c r="O69"/>
  <c r="I70"/>
  <c r="V70" s="1"/>
  <c r="O70"/>
  <c r="I73"/>
  <c r="N73"/>
  <c r="P73"/>
  <c r="T73"/>
  <c r="O74"/>
  <c r="Q74" s="1"/>
  <c r="R74" s="1"/>
  <c r="U74"/>
  <c r="F75"/>
  <c r="S75" s="1"/>
  <c r="I78"/>
  <c r="V78" s="1"/>
  <c r="N78"/>
  <c r="P78"/>
  <c r="T78"/>
  <c r="T79"/>
  <c r="I80"/>
  <c r="O80"/>
  <c r="I81"/>
  <c r="V81" s="1"/>
  <c r="O81"/>
  <c r="S84"/>
  <c r="U84"/>
  <c r="I85"/>
  <c r="P85"/>
  <c r="P84" s="1"/>
  <c r="T85"/>
  <c r="G86"/>
  <c r="F90"/>
  <c r="H90"/>
  <c r="K90"/>
  <c r="M90" s="1"/>
  <c r="F92"/>
  <c r="H92"/>
  <c r="J92"/>
  <c r="L92"/>
  <c r="H93"/>
  <c r="J93"/>
  <c r="L93"/>
  <c r="G97"/>
  <c r="I97" s="1"/>
  <c r="M101"/>
  <c r="O101"/>
  <c r="Q101" s="1"/>
  <c r="R101" s="1"/>
  <c r="S101"/>
  <c r="U101"/>
  <c r="I102"/>
  <c r="V102" s="1"/>
  <c r="P102"/>
  <c r="Q102" s="1"/>
  <c r="R102" s="1"/>
  <c r="T102"/>
  <c r="O103"/>
  <c r="Q103" s="1"/>
  <c r="R103" s="1"/>
  <c r="U103"/>
  <c r="I104"/>
  <c r="P104"/>
  <c r="N105"/>
  <c r="P105"/>
  <c r="P108" s="1"/>
  <c r="S105"/>
  <c r="U105"/>
  <c r="N106"/>
  <c r="P106"/>
  <c r="S106"/>
  <c r="U106"/>
  <c r="N107"/>
  <c r="P107"/>
  <c r="S107"/>
  <c r="U107"/>
  <c r="H110"/>
  <c r="K110"/>
  <c r="M110" s="1"/>
  <c r="I111"/>
  <c r="V111" s="1"/>
  <c r="P111"/>
  <c r="T111"/>
  <c r="O116"/>
  <c r="Q116" s="1"/>
  <c r="R116" s="1"/>
  <c r="N117"/>
  <c r="P117"/>
  <c r="P120" s="1"/>
  <c r="S117"/>
  <c r="U117"/>
  <c r="N118"/>
  <c r="P118"/>
  <c r="N119"/>
  <c r="P119"/>
  <c r="H122"/>
  <c r="K122"/>
  <c r="O122" s="1"/>
  <c r="I123"/>
  <c r="V123" s="1"/>
  <c r="P123"/>
  <c r="Q123" s="1"/>
  <c r="R123" s="1"/>
  <c r="G124"/>
  <c r="O127"/>
  <c r="Q127" s="1"/>
  <c r="R127" s="1"/>
  <c r="N128"/>
  <c r="P128"/>
  <c r="P131" s="1"/>
  <c r="S128"/>
  <c r="U128"/>
  <c r="N129"/>
  <c r="P129"/>
  <c r="N130"/>
  <c r="P130"/>
  <c r="H133"/>
  <c r="K133"/>
  <c r="O133" s="1"/>
  <c r="I134"/>
  <c r="V134" s="1"/>
  <c r="P134"/>
  <c r="Q134" s="1"/>
  <c r="R134" s="1"/>
  <c r="G135"/>
  <c r="T135" s="1"/>
  <c r="O138"/>
  <c r="Q138" s="1"/>
  <c r="R138" s="1"/>
  <c r="N139"/>
  <c r="P139"/>
  <c r="P142" s="1"/>
  <c r="S139"/>
  <c r="U139"/>
  <c r="N140"/>
  <c r="P140"/>
  <c r="N141"/>
  <c r="P141"/>
  <c r="M144"/>
  <c r="O144"/>
  <c r="S144"/>
  <c r="U144"/>
  <c r="I145"/>
  <c r="V145" s="1"/>
  <c r="P145"/>
  <c r="Q145" s="1"/>
  <c r="R145" s="1"/>
  <c r="T145"/>
  <c r="G146"/>
  <c r="T146" s="1"/>
  <c r="O149"/>
  <c r="Q149" s="1"/>
  <c r="R149" s="1"/>
  <c r="S149"/>
  <c r="U149"/>
  <c r="H150"/>
  <c r="I150" s="1"/>
  <c r="N150"/>
  <c r="S150"/>
  <c r="I151"/>
  <c r="V151" s="1"/>
  <c r="O151"/>
  <c r="O152"/>
  <c r="T152"/>
  <c r="G153"/>
  <c r="T153" s="1"/>
  <c r="K153"/>
  <c r="K157" s="1"/>
  <c r="T155"/>
  <c r="O156"/>
  <c r="O155" s="1"/>
  <c r="U156"/>
  <c r="F157"/>
  <c r="S157" s="1"/>
  <c r="F161"/>
  <c r="H161"/>
  <c r="S167"/>
  <c r="H168"/>
  <c r="N168"/>
  <c r="S172"/>
  <c r="U172"/>
  <c r="I173"/>
  <c r="I174"/>
  <c r="V174" s="1"/>
  <c r="G179"/>
  <c r="J179"/>
  <c r="J183" s="1"/>
  <c r="L179"/>
  <c r="L183" s="1"/>
  <c r="L225"/>
  <c r="K195"/>
  <c r="G206"/>
  <c r="K206"/>
  <c r="K217"/>
  <c r="K296"/>
  <c r="K243"/>
  <c r="L255"/>
  <c r="H266"/>
  <c r="U266" s="1"/>
  <c r="L266"/>
  <c r="M273"/>
  <c r="G277"/>
  <c r="K277"/>
  <c r="G288"/>
  <c r="K288"/>
  <c r="L378"/>
  <c r="T322"/>
  <c r="M322"/>
  <c r="G326"/>
  <c r="K326"/>
  <c r="T333"/>
  <c r="G337"/>
  <c r="K337"/>
  <c r="M344"/>
  <c r="G348"/>
  <c r="L348"/>
  <c r="M355"/>
  <c r="T366"/>
  <c r="G370"/>
  <c r="K370"/>
  <c r="L415"/>
  <c r="M414"/>
  <c r="M404"/>
  <c r="K408"/>
  <c r="M418"/>
  <c r="M460"/>
  <c r="V427"/>
  <c r="K464"/>
  <c r="K468" s="1"/>
  <c r="F445"/>
  <c r="H445"/>
  <c r="L445"/>
  <c r="L456"/>
  <c r="M520"/>
  <c r="T490"/>
  <c r="G494"/>
  <c r="K494"/>
  <c r="T501"/>
  <c r="M501"/>
  <c r="K505"/>
  <c r="T512"/>
  <c r="G516"/>
  <c r="K516"/>
  <c r="K595"/>
  <c r="K554"/>
  <c r="G576"/>
  <c r="T576" s="1"/>
  <c r="H587"/>
  <c r="I598"/>
  <c r="T1301"/>
  <c r="O1301"/>
  <c r="G1300"/>
  <c r="U1302"/>
  <c r="T1303"/>
  <c r="O1303"/>
  <c r="S1309"/>
  <c r="N1309"/>
  <c r="S1311"/>
  <c r="N1311"/>
  <c r="F1310"/>
  <c r="J1310"/>
  <c r="S1312"/>
  <c r="N1312"/>
  <c r="T1339"/>
  <c r="O1339"/>
  <c r="O1338" s="1"/>
  <c r="G1338"/>
  <c r="T1338" s="1"/>
  <c r="T221"/>
  <c r="O221"/>
  <c r="S223"/>
  <c r="N223"/>
  <c r="I223"/>
  <c r="U223"/>
  <c r="P223"/>
  <c r="M223"/>
  <c r="K222"/>
  <c r="U228"/>
  <c r="P228"/>
  <c r="H227"/>
  <c r="V188"/>
  <c r="V210"/>
  <c r="S292"/>
  <c r="N292"/>
  <c r="T294"/>
  <c r="O294"/>
  <c r="G293"/>
  <c r="T295"/>
  <c r="O295"/>
  <c r="T299"/>
  <c r="O299"/>
  <c r="O298" s="1"/>
  <c r="I299"/>
  <c r="G298"/>
  <c r="M299"/>
  <c r="M298" s="1"/>
  <c r="K298"/>
  <c r="K300" s="1"/>
  <c r="V270"/>
  <c r="M376"/>
  <c r="K375"/>
  <c r="K378" s="1"/>
  <c r="U381"/>
  <c r="P381"/>
  <c r="P380" s="1"/>
  <c r="H380"/>
  <c r="V319"/>
  <c r="V341"/>
  <c r="V352"/>
  <c r="T411"/>
  <c r="O411"/>
  <c r="S392"/>
  <c r="U392"/>
  <c r="H396"/>
  <c r="U396" s="1"/>
  <c r="S413"/>
  <c r="N413"/>
  <c r="F412"/>
  <c r="I413"/>
  <c r="U413"/>
  <c r="P413"/>
  <c r="H412"/>
  <c r="S414"/>
  <c r="N414"/>
  <c r="I414"/>
  <c r="U414"/>
  <c r="P414"/>
  <c r="H417"/>
  <c r="I417" s="1"/>
  <c r="U418"/>
  <c r="P418"/>
  <c r="V401"/>
  <c r="S460"/>
  <c r="N460"/>
  <c r="U460"/>
  <c r="P460"/>
  <c r="T429"/>
  <c r="G433"/>
  <c r="T462"/>
  <c r="O462"/>
  <c r="G461"/>
  <c r="T463"/>
  <c r="O463"/>
  <c r="M466"/>
  <c r="V454"/>
  <c r="T520"/>
  <c r="O520"/>
  <c r="F482"/>
  <c r="S482" s="1"/>
  <c r="H482"/>
  <c r="U482" s="1"/>
  <c r="U478"/>
  <c r="S522"/>
  <c r="N522"/>
  <c r="F521"/>
  <c r="U522"/>
  <c r="H521"/>
  <c r="S523"/>
  <c r="N523"/>
  <c r="U523"/>
  <c r="H526"/>
  <c r="P527"/>
  <c r="U591"/>
  <c r="T538"/>
  <c r="T593"/>
  <c r="O593"/>
  <c r="G592"/>
  <c r="O594"/>
  <c r="U598"/>
  <c r="H597"/>
  <c r="T609"/>
  <c r="V10"/>
  <c r="N22"/>
  <c r="P22"/>
  <c r="T25"/>
  <c r="I31"/>
  <c r="P31"/>
  <c r="T31"/>
  <c r="M32"/>
  <c r="O32"/>
  <c r="U32"/>
  <c r="I33"/>
  <c r="P33"/>
  <c r="T33"/>
  <c r="I34"/>
  <c r="O34"/>
  <c r="M35"/>
  <c r="V35" s="1"/>
  <c r="O35"/>
  <c r="T35"/>
  <c r="I36"/>
  <c r="M36"/>
  <c r="O36"/>
  <c r="T36"/>
  <c r="I39"/>
  <c r="V39" s="1"/>
  <c r="I40"/>
  <c r="V40" s="1"/>
  <c r="P40"/>
  <c r="M45"/>
  <c r="O45"/>
  <c r="S45"/>
  <c r="U45"/>
  <c r="N46"/>
  <c r="P46"/>
  <c r="P49" s="1"/>
  <c r="S46"/>
  <c r="U46"/>
  <c r="N47"/>
  <c r="P47"/>
  <c r="S47"/>
  <c r="U47"/>
  <c r="N48"/>
  <c r="P48"/>
  <c r="S48"/>
  <c r="U48"/>
  <c r="M51"/>
  <c r="O51"/>
  <c r="I52"/>
  <c r="V52" s="1"/>
  <c r="P52"/>
  <c r="T52"/>
  <c r="N57"/>
  <c r="P57"/>
  <c r="S57"/>
  <c r="U57"/>
  <c r="N58"/>
  <c r="P58"/>
  <c r="N59"/>
  <c r="P59"/>
  <c r="M62"/>
  <c r="M64" s="1"/>
  <c r="O62"/>
  <c r="I63"/>
  <c r="V63" s="1"/>
  <c r="N68"/>
  <c r="P68"/>
  <c r="P71" s="1"/>
  <c r="S68"/>
  <c r="U68"/>
  <c r="N69"/>
  <c r="P69"/>
  <c r="N70"/>
  <c r="P70"/>
  <c r="M73"/>
  <c r="O73"/>
  <c r="O75" s="1"/>
  <c r="I74"/>
  <c r="V74" s="1"/>
  <c r="S79"/>
  <c r="U79"/>
  <c r="N80"/>
  <c r="P80"/>
  <c r="N81"/>
  <c r="P81"/>
  <c r="G92"/>
  <c r="K92"/>
  <c r="G93"/>
  <c r="K93"/>
  <c r="N96"/>
  <c r="N97"/>
  <c r="I101"/>
  <c r="T101"/>
  <c r="I103"/>
  <c r="V103" s="1"/>
  <c r="O104"/>
  <c r="I105"/>
  <c r="M105"/>
  <c r="O105"/>
  <c r="O108" s="1"/>
  <c r="T105"/>
  <c r="I106"/>
  <c r="M106"/>
  <c r="O106"/>
  <c r="T106"/>
  <c r="I107"/>
  <c r="M107"/>
  <c r="O107"/>
  <c r="T107"/>
  <c r="I110"/>
  <c r="V110" s="1"/>
  <c r="M111"/>
  <c r="O111"/>
  <c r="I116"/>
  <c r="V116" s="1"/>
  <c r="I117"/>
  <c r="M117"/>
  <c r="M120" s="1"/>
  <c r="O117"/>
  <c r="T117"/>
  <c r="I118"/>
  <c r="V118" s="1"/>
  <c r="O118"/>
  <c r="I119"/>
  <c r="V119" s="1"/>
  <c r="O119"/>
  <c r="I122"/>
  <c r="M123"/>
  <c r="I127"/>
  <c r="V127" s="1"/>
  <c r="I128"/>
  <c r="M128"/>
  <c r="O128"/>
  <c r="T128"/>
  <c r="I129"/>
  <c r="V129" s="1"/>
  <c r="O129"/>
  <c r="I130"/>
  <c r="V130" s="1"/>
  <c r="O130"/>
  <c r="I133"/>
  <c r="M134"/>
  <c r="I138"/>
  <c r="V138" s="1"/>
  <c r="I139"/>
  <c r="M139"/>
  <c r="M142" s="1"/>
  <c r="O139"/>
  <c r="T139"/>
  <c r="I140"/>
  <c r="V140" s="1"/>
  <c r="O140"/>
  <c r="I141"/>
  <c r="V141" s="1"/>
  <c r="O141"/>
  <c r="I144"/>
  <c r="N144"/>
  <c r="P144"/>
  <c r="I149"/>
  <c r="V149" s="1"/>
  <c r="O150"/>
  <c r="O153" s="1"/>
  <c r="P151"/>
  <c r="P152"/>
  <c r="I156"/>
  <c r="I168"/>
  <c r="M221"/>
  <c r="T172"/>
  <c r="P173"/>
  <c r="Q174"/>
  <c r="F179"/>
  <c r="H179"/>
  <c r="K179"/>
  <c r="K183" s="1"/>
  <c r="M224"/>
  <c r="L229"/>
  <c r="V189"/>
  <c r="H195"/>
  <c r="F206"/>
  <c r="S206" s="1"/>
  <c r="L206"/>
  <c r="V211"/>
  <c r="L217"/>
  <c r="M292"/>
  <c r="M232"/>
  <c r="L296"/>
  <c r="L300" s="1"/>
  <c r="J243"/>
  <c r="T251"/>
  <c r="G255"/>
  <c r="K255"/>
  <c r="T262"/>
  <c r="K266"/>
  <c r="L277"/>
  <c r="H288"/>
  <c r="U288" s="1"/>
  <c r="L382"/>
  <c r="L326"/>
  <c r="F337"/>
  <c r="S337" s="1"/>
  <c r="H337"/>
  <c r="U337" s="1"/>
  <c r="H348"/>
  <c r="U348" s="1"/>
  <c r="H359"/>
  <c r="U359" s="1"/>
  <c r="F370"/>
  <c r="S370" s="1"/>
  <c r="L370"/>
  <c r="J382"/>
  <c r="K415"/>
  <c r="K419" s="1"/>
  <c r="L419"/>
  <c r="H408"/>
  <c r="U408" s="1"/>
  <c r="I418"/>
  <c r="V418" s="1"/>
  <c r="L464"/>
  <c r="L468" s="1"/>
  <c r="G445"/>
  <c r="K456"/>
  <c r="M467"/>
  <c r="F494"/>
  <c r="H494"/>
  <c r="L494"/>
  <c r="H505"/>
  <c r="F516"/>
  <c r="S516" s="1"/>
  <c r="L516"/>
  <c r="F554"/>
  <c r="H554"/>
  <c r="L554"/>
  <c r="F565"/>
  <c r="S565" s="1"/>
  <c r="H565"/>
  <c r="U565" s="1"/>
  <c r="L565"/>
  <c r="F576"/>
  <c r="S576" s="1"/>
  <c r="H576"/>
  <c r="U576" s="1"/>
  <c r="L576"/>
  <c r="T583"/>
  <c r="G587"/>
  <c r="J587"/>
  <c r="J588" s="1"/>
  <c r="L587"/>
  <c r="T684"/>
  <c r="O684"/>
  <c r="G685"/>
  <c r="T687"/>
  <c r="O687"/>
  <c r="H690"/>
  <c r="I665"/>
  <c r="F706"/>
  <c r="S706" s="1"/>
  <c r="S702"/>
  <c r="H706"/>
  <c r="U706" s="1"/>
  <c r="U735"/>
  <c r="P735"/>
  <c r="U740"/>
  <c r="V748"/>
  <c r="H755"/>
  <c r="U755" s="1"/>
  <c r="I796"/>
  <c r="V793"/>
  <c r="I818"/>
  <c r="O175"/>
  <c r="T175"/>
  <c r="I176"/>
  <c r="M176"/>
  <c r="O176"/>
  <c r="T176"/>
  <c r="I177"/>
  <c r="V177" s="1"/>
  <c r="O177"/>
  <c r="T177"/>
  <c r="I178"/>
  <c r="V178" s="1"/>
  <c r="O178"/>
  <c r="T178"/>
  <c r="I181"/>
  <c r="V181" s="1"/>
  <c r="N181"/>
  <c r="P181"/>
  <c r="I182"/>
  <c r="V182" s="1"/>
  <c r="P182"/>
  <c r="U182"/>
  <c r="I187"/>
  <c r="V187" s="1"/>
  <c r="N187"/>
  <c r="P187"/>
  <c r="N188"/>
  <c r="P188"/>
  <c r="P191" s="1"/>
  <c r="S188"/>
  <c r="U188"/>
  <c r="N189"/>
  <c r="P189"/>
  <c r="S189"/>
  <c r="N190"/>
  <c r="P190"/>
  <c r="S190"/>
  <c r="F191"/>
  <c r="S191" s="1"/>
  <c r="J191"/>
  <c r="J195" s="1"/>
  <c r="M193"/>
  <c r="M195" s="1"/>
  <c r="O193"/>
  <c r="T193"/>
  <c r="O194"/>
  <c r="T194"/>
  <c r="G195"/>
  <c r="O198"/>
  <c r="I199"/>
  <c r="M199"/>
  <c r="M202" s="1"/>
  <c r="O199"/>
  <c r="T199"/>
  <c r="I200"/>
  <c r="V200" s="1"/>
  <c r="O200"/>
  <c r="I201"/>
  <c r="V201" s="1"/>
  <c r="O201"/>
  <c r="I204"/>
  <c r="N204"/>
  <c r="P204"/>
  <c r="S204"/>
  <c r="U204"/>
  <c r="I205"/>
  <c r="V205" s="1"/>
  <c r="P205"/>
  <c r="I209"/>
  <c r="N209"/>
  <c r="P209"/>
  <c r="N210"/>
  <c r="P210"/>
  <c r="P213" s="1"/>
  <c r="S210"/>
  <c r="U210"/>
  <c r="N211"/>
  <c r="P211"/>
  <c r="S211"/>
  <c r="N212"/>
  <c r="P212"/>
  <c r="S212"/>
  <c r="F213"/>
  <c r="S213" s="1"/>
  <c r="J213"/>
  <c r="J217" s="1"/>
  <c r="M215"/>
  <c r="O215"/>
  <c r="T215"/>
  <c r="O216"/>
  <c r="T216"/>
  <c r="G217"/>
  <c r="F224"/>
  <c r="F222" s="1"/>
  <c r="H224"/>
  <c r="K228"/>
  <c r="O228" s="1"/>
  <c r="S232"/>
  <c r="U232"/>
  <c r="I233"/>
  <c r="I234"/>
  <c r="I235"/>
  <c r="V235" s="1"/>
  <c r="P235"/>
  <c r="P232" s="1"/>
  <c r="S236"/>
  <c r="U236"/>
  <c r="N237"/>
  <c r="P237"/>
  <c r="S237"/>
  <c r="U237"/>
  <c r="N238"/>
  <c r="P238"/>
  <c r="S238"/>
  <c r="U238"/>
  <c r="S241"/>
  <c r="U241"/>
  <c r="I242"/>
  <c r="P242"/>
  <c r="P241" s="1"/>
  <c r="U242"/>
  <c r="I247"/>
  <c r="V247" s="1"/>
  <c r="N247"/>
  <c r="P247"/>
  <c r="N248"/>
  <c r="P248"/>
  <c r="P251" s="1"/>
  <c r="S248"/>
  <c r="U248"/>
  <c r="N249"/>
  <c r="P249"/>
  <c r="S249"/>
  <c r="N250"/>
  <c r="P250"/>
  <c r="S250"/>
  <c r="F251"/>
  <c r="S251" s="1"/>
  <c r="J251"/>
  <c r="J255" s="1"/>
  <c r="M253"/>
  <c r="O253"/>
  <c r="T253"/>
  <c r="O254"/>
  <c r="T254"/>
  <c r="O258"/>
  <c r="I259"/>
  <c r="M259"/>
  <c r="O259"/>
  <c r="T259"/>
  <c r="I260"/>
  <c r="V260" s="1"/>
  <c r="O260"/>
  <c r="I261"/>
  <c r="V261" s="1"/>
  <c r="O261"/>
  <c r="I264"/>
  <c r="P264"/>
  <c r="S264"/>
  <c r="U264"/>
  <c r="I265"/>
  <c r="V265" s="1"/>
  <c r="P265"/>
  <c r="I269"/>
  <c r="N269"/>
  <c r="P269"/>
  <c r="N270"/>
  <c r="P270"/>
  <c r="P273" s="1"/>
  <c r="S270"/>
  <c r="U270"/>
  <c r="N271"/>
  <c r="P271"/>
  <c r="S271"/>
  <c r="N272"/>
  <c r="P272"/>
  <c r="S272"/>
  <c r="F273"/>
  <c r="S273" s="1"/>
  <c r="J273"/>
  <c r="J277" s="1"/>
  <c r="M275"/>
  <c r="O275"/>
  <c r="T275"/>
  <c r="O276"/>
  <c r="T276"/>
  <c r="O280"/>
  <c r="I281"/>
  <c r="M281"/>
  <c r="M284" s="1"/>
  <c r="O281"/>
  <c r="T281"/>
  <c r="I282"/>
  <c r="V282" s="1"/>
  <c r="O282"/>
  <c r="I283"/>
  <c r="V283" s="1"/>
  <c r="O283"/>
  <c r="I286"/>
  <c r="N286"/>
  <c r="P286"/>
  <c r="S286"/>
  <c r="U286"/>
  <c r="I287"/>
  <c r="V287" s="1"/>
  <c r="P287"/>
  <c r="F294"/>
  <c r="J294"/>
  <c r="F295"/>
  <c r="J295"/>
  <c r="M295" s="1"/>
  <c r="S298"/>
  <c r="N299"/>
  <c r="G303"/>
  <c r="O304"/>
  <c r="T304"/>
  <c r="O305"/>
  <c r="Q305" s="1"/>
  <c r="T305"/>
  <c r="O306"/>
  <c r="T306"/>
  <c r="I307"/>
  <c r="M307"/>
  <c r="O307"/>
  <c r="T307"/>
  <c r="I308"/>
  <c r="V308" s="1"/>
  <c r="O308"/>
  <c r="T308"/>
  <c r="I309"/>
  <c r="V309" s="1"/>
  <c r="O309"/>
  <c r="T309"/>
  <c r="I312"/>
  <c r="V312" s="1"/>
  <c r="N312"/>
  <c r="P312"/>
  <c r="I313"/>
  <c r="V313" s="1"/>
  <c r="P313"/>
  <c r="U313"/>
  <c r="I318"/>
  <c r="V318" s="1"/>
  <c r="N318"/>
  <c r="P318"/>
  <c r="N319"/>
  <c r="P319"/>
  <c r="P322" s="1"/>
  <c r="S319"/>
  <c r="U319"/>
  <c r="N320"/>
  <c r="P320"/>
  <c r="S320"/>
  <c r="N321"/>
  <c r="P321"/>
  <c r="S321"/>
  <c r="F322"/>
  <c r="S322" s="1"/>
  <c r="J322"/>
  <c r="J326" s="1"/>
  <c r="M324"/>
  <c r="M326" s="1"/>
  <c r="O324"/>
  <c r="T324"/>
  <c r="O325"/>
  <c r="T325"/>
  <c r="O329"/>
  <c r="I330"/>
  <c r="M330"/>
  <c r="M333" s="1"/>
  <c r="O330"/>
  <c r="T330"/>
  <c r="I331"/>
  <c r="V331" s="1"/>
  <c r="O331"/>
  <c r="I332"/>
  <c r="O332"/>
  <c r="I335"/>
  <c r="N335"/>
  <c r="P335"/>
  <c r="S335"/>
  <c r="U335"/>
  <c r="I336"/>
  <c r="V336" s="1"/>
  <c r="P336"/>
  <c r="I340"/>
  <c r="V340" s="1"/>
  <c r="N340"/>
  <c r="P340"/>
  <c r="N341"/>
  <c r="P341"/>
  <c r="P344" s="1"/>
  <c r="S341"/>
  <c r="U341"/>
  <c r="N342"/>
  <c r="P342"/>
  <c r="S342"/>
  <c r="N343"/>
  <c r="P343"/>
  <c r="S343"/>
  <c r="F344"/>
  <c r="S344" s="1"/>
  <c r="J344"/>
  <c r="J348" s="1"/>
  <c r="S346"/>
  <c r="U346"/>
  <c r="I347"/>
  <c r="P347"/>
  <c r="P346" s="1"/>
  <c r="P348" s="1"/>
  <c r="I351"/>
  <c r="V351" s="1"/>
  <c r="N351"/>
  <c r="P351"/>
  <c r="N352"/>
  <c r="P352"/>
  <c r="P355" s="1"/>
  <c r="S352"/>
  <c r="U352"/>
  <c r="N353"/>
  <c r="P353"/>
  <c r="S353"/>
  <c r="N354"/>
  <c r="P354"/>
  <c r="S354"/>
  <c r="F355"/>
  <c r="S355" s="1"/>
  <c r="J355"/>
  <c r="J359" s="1"/>
  <c r="M357"/>
  <c r="O357"/>
  <c r="T357"/>
  <c r="O358"/>
  <c r="T358"/>
  <c r="G359"/>
  <c r="O362"/>
  <c r="I363"/>
  <c r="M363"/>
  <c r="M366" s="1"/>
  <c r="O363"/>
  <c r="T363"/>
  <c r="I364"/>
  <c r="V364" s="1"/>
  <c r="O364"/>
  <c r="I365"/>
  <c r="V365" s="1"/>
  <c r="O365"/>
  <c r="I368"/>
  <c r="N368"/>
  <c r="P368"/>
  <c r="S368"/>
  <c r="U368"/>
  <c r="I369"/>
  <c r="P369"/>
  <c r="F374"/>
  <c r="H374"/>
  <c r="M375"/>
  <c r="H376"/>
  <c r="H377"/>
  <c r="I377" s="1"/>
  <c r="K381"/>
  <c r="M385"/>
  <c r="O385"/>
  <c r="T385"/>
  <c r="O386"/>
  <c r="T386"/>
  <c r="O387"/>
  <c r="Q387" s="1"/>
  <c r="T387"/>
  <c r="O388"/>
  <c r="T388"/>
  <c r="I389"/>
  <c r="M389"/>
  <c r="M392" s="1"/>
  <c r="M396" s="1"/>
  <c r="O389"/>
  <c r="O392" s="1"/>
  <c r="T389"/>
  <c r="I390"/>
  <c r="M390"/>
  <c r="O390"/>
  <c r="T390"/>
  <c r="I391"/>
  <c r="M391"/>
  <c r="O391"/>
  <c r="T391"/>
  <c r="I394"/>
  <c r="V394" s="1"/>
  <c r="N394"/>
  <c r="P394"/>
  <c r="I395"/>
  <c r="V395" s="1"/>
  <c r="P395"/>
  <c r="U395"/>
  <c r="I400"/>
  <c r="V400" s="1"/>
  <c r="N400"/>
  <c r="P400"/>
  <c r="N401"/>
  <c r="P401"/>
  <c r="P404" s="1"/>
  <c r="S401"/>
  <c r="U401"/>
  <c r="N402"/>
  <c r="P402"/>
  <c r="S402"/>
  <c r="N403"/>
  <c r="P403"/>
  <c r="S403"/>
  <c r="F404"/>
  <c r="S404" s="1"/>
  <c r="J404"/>
  <c r="J408" s="1"/>
  <c r="M406"/>
  <c r="O406"/>
  <c r="T406"/>
  <c r="O407"/>
  <c r="T407"/>
  <c r="N417"/>
  <c r="S417"/>
  <c r="N418"/>
  <c r="Q418" s="1"/>
  <c r="S418"/>
  <c r="I422"/>
  <c r="I429" s="1"/>
  <c r="N422"/>
  <c r="P422"/>
  <c r="S422"/>
  <c r="U422"/>
  <c r="I423"/>
  <c r="V423" s="1"/>
  <c r="I424"/>
  <c r="V424" s="1"/>
  <c r="P424"/>
  <c r="I425"/>
  <c r="V425" s="1"/>
  <c r="P425"/>
  <c r="N426"/>
  <c r="P426"/>
  <c r="S426"/>
  <c r="U426"/>
  <c r="N427"/>
  <c r="P427"/>
  <c r="S427"/>
  <c r="U427"/>
  <c r="N428"/>
  <c r="P428"/>
  <c r="S428"/>
  <c r="U428"/>
  <c r="F429"/>
  <c r="J429"/>
  <c r="J433" s="1"/>
  <c r="O431"/>
  <c r="M432"/>
  <c r="O432"/>
  <c r="T432"/>
  <c r="O437"/>
  <c r="I438"/>
  <c r="M438"/>
  <c r="M441" s="1"/>
  <c r="O438"/>
  <c r="T438"/>
  <c r="I439"/>
  <c r="V439" s="1"/>
  <c r="O439"/>
  <c r="I440"/>
  <c r="V440" s="1"/>
  <c r="O440"/>
  <c r="I443"/>
  <c r="N443"/>
  <c r="P443"/>
  <c r="S443"/>
  <c r="U443"/>
  <c r="I444"/>
  <c r="V444" s="1"/>
  <c r="P444"/>
  <c r="I448"/>
  <c r="V448" s="1"/>
  <c r="N448"/>
  <c r="P448"/>
  <c r="N449"/>
  <c r="P449"/>
  <c r="P452" s="1"/>
  <c r="S449"/>
  <c r="U449"/>
  <c r="N450"/>
  <c r="P450"/>
  <c r="S450"/>
  <c r="N451"/>
  <c r="P451"/>
  <c r="S451"/>
  <c r="F452"/>
  <c r="S452" s="1"/>
  <c r="J452"/>
  <c r="J456" s="1"/>
  <c r="M454"/>
  <c r="O454"/>
  <c r="T454"/>
  <c r="O455"/>
  <c r="T455"/>
  <c r="G456"/>
  <c r="T456" s="1"/>
  <c r="G460"/>
  <c r="F462"/>
  <c r="J462"/>
  <c r="F463"/>
  <c r="J463"/>
  <c r="M463" s="1"/>
  <c r="G467"/>
  <c r="I467" s="1"/>
  <c r="V467" s="1"/>
  <c r="S471"/>
  <c r="U471"/>
  <c r="I472"/>
  <c r="I473"/>
  <c r="V473" s="1"/>
  <c r="P473"/>
  <c r="I474"/>
  <c r="V474" s="1"/>
  <c r="P474"/>
  <c r="N475"/>
  <c r="P475"/>
  <c r="S475"/>
  <c r="U475"/>
  <c r="I476"/>
  <c r="M476"/>
  <c r="O476"/>
  <c r="N477"/>
  <c r="P477"/>
  <c r="O480"/>
  <c r="O481"/>
  <c r="T481"/>
  <c r="O486"/>
  <c r="I487"/>
  <c r="M487"/>
  <c r="M490" s="1"/>
  <c r="O487"/>
  <c r="T487"/>
  <c r="I488"/>
  <c r="M488"/>
  <c r="O488"/>
  <c r="T488"/>
  <c r="I489"/>
  <c r="M489"/>
  <c r="O489"/>
  <c r="T489"/>
  <c r="I492"/>
  <c r="N492"/>
  <c r="P492"/>
  <c r="S492"/>
  <c r="U492"/>
  <c r="I493"/>
  <c r="P493"/>
  <c r="U493"/>
  <c r="I497"/>
  <c r="V497" s="1"/>
  <c r="N497"/>
  <c r="P497"/>
  <c r="N498"/>
  <c r="P498"/>
  <c r="P501" s="1"/>
  <c r="S498"/>
  <c r="U498"/>
  <c r="N499"/>
  <c r="P499"/>
  <c r="S499"/>
  <c r="N500"/>
  <c r="P500"/>
  <c r="S500"/>
  <c r="F501"/>
  <c r="S501" s="1"/>
  <c r="J501"/>
  <c r="J505" s="1"/>
  <c r="M503"/>
  <c r="M505" s="1"/>
  <c r="O503"/>
  <c r="T503"/>
  <c r="O504"/>
  <c r="T504"/>
  <c r="O508"/>
  <c r="I509"/>
  <c r="M509"/>
  <c r="M512" s="1"/>
  <c r="O509"/>
  <c r="T509"/>
  <c r="I510"/>
  <c r="O510"/>
  <c r="I511"/>
  <c r="O511"/>
  <c r="I514"/>
  <c r="N514"/>
  <c r="P514"/>
  <c r="S514"/>
  <c r="U514"/>
  <c r="I515"/>
  <c r="V515" s="1"/>
  <c r="P515"/>
  <c r="I526"/>
  <c r="N526"/>
  <c r="S526"/>
  <c r="N527"/>
  <c r="I531"/>
  <c r="N531"/>
  <c r="P531"/>
  <c r="S531"/>
  <c r="U531"/>
  <c r="P532"/>
  <c r="P533"/>
  <c r="P534"/>
  <c r="N535"/>
  <c r="P535"/>
  <c r="S535"/>
  <c r="U535"/>
  <c r="N536"/>
  <c r="P536"/>
  <c r="S536"/>
  <c r="U536"/>
  <c r="N537"/>
  <c r="P537"/>
  <c r="S537"/>
  <c r="U537"/>
  <c r="O540"/>
  <c r="Q540" s="1"/>
  <c r="T540"/>
  <c r="M541"/>
  <c r="O541"/>
  <c r="T541"/>
  <c r="O546"/>
  <c r="Q546" s="1"/>
  <c r="T546"/>
  <c r="I547"/>
  <c r="M547"/>
  <c r="M550" s="1"/>
  <c r="O547"/>
  <c r="O550" s="1"/>
  <c r="T547"/>
  <c r="I548"/>
  <c r="V548" s="1"/>
  <c r="O548"/>
  <c r="I549"/>
  <c r="V549" s="1"/>
  <c r="O549"/>
  <c r="I552"/>
  <c r="N552"/>
  <c r="P552"/>
  <c r="S552"/>
  <c r="U552"/>
  <c r="P553"/>
  <c r="I557"/>
  <c r="N557"/>
  <c r="P557"/>
  <c r="N558"/>
  <c r="P558"/>
  <c r="P561" s="1"/>
  <c r="S558"/>
  <c r="U558"/>
  <c r="N559"/>
  <c r="P559"/>
  <c r="N560"/>
  <c r="P560"/>
  <c r="M563"/>
  <c r="T563"/>
  <c r="O564"/>
  <c r="Q564" s="1"/>
  <c r="T564"/>
  <c r="O568"/>
  <c r="Q568" s="1"/>
  <c r="T568"/>
  <c r="I569"/>
  <c r="M569"/>
  <c r="M572" s="1"/>
  <c r="O569"/>
  <c r="O572" s="1"/>
  <c r="T569"/>
  <c r="I570"/>
  <c r="V570" s="1"/>
  <c r="O570"/>
  <c r="I571"/>
  <c r="V571" s="1"/>
  <c r="O571"/>
  <c r="I574"/>
  <c r="N574"/>
  <c r="P574"/>
  <c r="S574"/>
  <c r="U574"/>
  <c r="P575"/>
  <c r="Q575" s="1"/>
  <c r="I579"/>
  <c r="M579"/>
  <c r="O579"/>
  <c r="I580"/>
  <c r="M580"/>
  <c r="O580"/>
  <c r="T580"/>
  <c r="I581"/>
  <c r="V581" s="1"/>
  <c r="O581"/>
  <c r="I582"/>
  <c r="O582"/>
  <c r="I585"/>
  <c r="M585"/>
  <c r="O585"/>
  <c r="T585"/>
  <c r="O586"/>
  <c r="T586"/>
  <c r="J591"/>
  <c r="N597"/>
  <c r="S597"/>
  <c r="L598"/>
  <c r="L597" s="1"/>
  <c r="N598"/>
  <c r="S598"/>
  <c r="I602"/>
  <c r="M602"/>
  <c r="O602"/>
  <c r="T602"/>
  <c r="M603"/>
  <c r="V603" s="1"/>
  <c r="O603"/>
  <c r="M604"/>
  <c r="V604" s="1"/>
  <c r="O604"/>
  <c r="M605"/>
  <c r="V605" s="1"/>
  <c r="O605"/>
  <c r="I606"/>
  <c r="M606"/>
  <c r="M609" s="1"/>
  <c r="M613" s="1"/>
  <c r="O606"/>
  <c r="O609" s="1"/>
  <c r="T606"/>
  <c r="I607"/>
  <c r="K688"/>
  <c r="K692" s="1"/>
  <c r="M607"/>
  <c r="O607"/>
  <c r="T607"/>
  <c r="I608"/>
  <c r="M608"/>
  <c r="O608"/>
  <c r="T608"/>
  <c r="O611"/>
  <c r="M612"/>
  <c r="O612"/>
  <c r="N617"/>
  <c r="P617"/>
  <c r="S617"/>
  <c r="F621"/>
  <c r="H621"/>
  <c r="U621" s="1"/>
  <c r="J621"/>
  <c r="L621"/>
  <c r="N618"/>
  <c r="P618"/>
  <c r="S618"/>
  <c r="U618"/>
  <c r="N619"/>
  <c r="P619"/>
  <c r="S619"/>
  <c r="H625"/>
  <c r="F636"/>
  <c r="S636" s="1"/>
  <c r="K636"/>
  <c r="K647"/>
  <c r="H658"/>
  <c r="U658" s="1"/>
  <c r="H669"/>
  <c r="U669" s="1"/>
  <c r="F680"/>
  <c r="S680" s="1"/>
  <c r="K680"/>
  <c r="K737"/>
  <c r="G718"/>
  <c r="K718"/>
  <c r="M725"/>
  <c r="K729"/>
  <c r="J767"/>
  <c r="T774"/>
  <c r="H778"/>
  <c r="U778" s="1"/>
  <c r="F789"/>
  <c r="S789" s="1"/>
  <c r="L789"/>
  <c r="V795"/>
  <c r="T807"/>
  <c r="K811"/>
  <c r="L822"/>
  <c r="G833"/>
  <c r="J1308"/>
  <c r="I684"/>
  <c r="S684"/>
  <c r="U684"/>
  <c r="P684"/>
  <c r="I686"/>
  <c r="S686"/>
  <c r="N686"/>
  <c r="F685"/>
  <c r="U686"/>
  <c r="H685"/>
  <c r="J685"/>
  <c r="I687"/>
  <c r="S687"/>
  <c r="U687"/>
  <c r="P687"/>
  <c r="G690"/>
  <c r="T733"/>
  <c r="O733"/>
  <c r="T702"/>
  <c r="T735"/>
  <c r="O735"/>
  <c r="I735"/>
  <c r="T736"/>
  <c r="N736"/>
  <c r="N740"/>
  <c r="J739"/>
  <c r="I714"/>
  <c r="V714" s="1"/>
  <c r="V711"/>
  <c r="V722"/>
  <c r="G755"/>
  <c r="T755" s="1"/>
  <c r="T751"/>
  <c r="I774"/>
  <c r="V771"/>
  <c r="P175"/>
  <c r="N176"/>
  <c r="P176"/>
  <c r="S176"/>
  <c r="U176"/>
  <c r="N177"/>
  <c r="P177"/>
  <c r="S177"/>
  <c r="U177"/>
  <c r="N178"/>
  <c r="P178"/>
  <c r="O181"/>
  <c r="O182"/>
  <c r="T182"/>
  <c r="O187"/>
  <c r="O188"/>
  <c r="T188"/>
  <c r="O189"/>
  <c r="O190"/>
  <c r="N193"/>
  <c r="P193"/>
  <c r="S193"/>
  <c r="U193"/>
  <c r="P194"/>
  <c r="I198"/>
  <c r="V198" s="1"/>
  <c r="N198"/>
  <c r="P198"/>
  <c r="N199"/>
  <c r="P199"/>
  <c r="P202" s="1"/>
  <c r="S199"/>
  <c r="U199"/>
  <c r="N200"/>
  <c r="P200"/>
  <c r="N201"/>
  <c r="P201"/>
  <c r="M204"/>
  <c r="M206" s="1"/>
  <c r="O204"/>
  <c r="T204"/>
  <c r="O205"/>
  <c r="O209"/>
  <c r="O210"/>
  <c r="T210"/>
  <c r="O211"/>
  <c r="O212"/>
  <c r="N215"/>
  <c r="P215"/>
  <c r="P217" s="1"/>
  <c r="S215"/>
  <c r="U215"/>
  <c r="P216"/>
  <c r="I228"/>
  <c r="N228"/>
  <c r="G232"/>
  <c r="O233"/>
  <c r="O234"/>
  <c r="Q234" s="1"/>
  <c r="O235"/>
  <c r="T236"/>
  <c r="O237"/>
  <c r="T237"/>
  <c r="O238"/>
  <c r="T238"/>
  <c r="T241"/>
  <c r="M242"/>
  <c r="M241" s="1"/>
  <c r="O242"/>
  <c r="O241" s="1"/>
  <c r="T242"/>
  <c r="O247"/>
  <c r="O248"/>
  <c r="T248"/>
  <c r="O249"/>
  <c r="O250"/>
  <c r="I253"/>
  <c r="N253"/>
  <c r="P253"/>
  <c r="P255" s="1"/>
  <c r="S253"/>
  <c r="U253"/>
  <c r="P254"/>
  <c r="I258"/>
  <c r="V258" s="1"/>
  <c r="N258"/>
  <c r="P258"/>
  <c r="N259"/>
  <c r="P259"/>
  <c r="P262" s="1"/>
  <c r="S259"/>
  <c r="U259"/>
  <c r="N260"/>
  <c r="P260"/>
  <c r="N261"/>
  <c r="P261"/>
  <c r="M264"/>
  <c r="O264"/>
  <c r="T264"/>
  <c r="O265"/>
  <c r="Q265" s="1"/>
  <c r="O269"/>
  <c r="O270"/>
  <c r="T270"/>
  <c r="O271"/>
  <c r="O272"/>
  <c r="I275"/>
  <c r="N275"/>
  <c r="P275"/>
  <c r="P277" s="1"/>
  <c r="S275"/>
  <c r="U275"/>
  <c r="P276"/>
  <c r="I280"/>
  <c r="V280" s="1"/>
  <c r="N280"/>
  <c r="P280"/>
  <c r="N281"/>
  <c r="P281"/>
  <c r="P284" s="1"/>
  <c r="S281"/>
  <c r="U281"/>
  <c r="N282"/>
  <c r="P282"/>
  <c r="N283"/>
  <c r="P283"/>
  <c r="M286"/>
  <c r="M288" s="1"/>
  <c r="O286"/>
  <c r="T286"/>
  <c r="O287"/>
  <c r="Q287" s="1"/>
  <c r="P306"/>
  <c r="N307"/>
  <c r="P307"/>
  <c r="S307"/>
  <c r="U307"/>
  <c r="N308"/>
  <c r="P308"/>
  <c r="N309"/>
  <c r="P309"/>
  <c r="O312"/>
  <c r="O313"/>
  <c r="T313"/>
  <c r="O318"/>
  <c r="O319"/>
  <c r="T319"/>
  <c r="O320"/>
  <c r="O321"/>
  <c r="I324"/>
  <c r="N324"/>
  <c r="P324"/>
  <c r="P326" s="1"/>
  <c r="S324"/>
  <c r="U324"/>
  <c r="P325"/>
  <c r="I329"/>
  <c r="V329" s="1"/>
  <c r="N329"/>
  <c r="P329"/>
  <c r="N330"/>
  <c r="P330"/>
  <c r="P333" s="1"/>
  <c r="S330"/>
  <c r="U330"/>
  <c r="N331"/>
  <c r="P331"/>
  <c r="N332"/>
  <c r="P332"/>
  <c r="M335"/>
  <c r="O335"/>
  <c r="T335"/>
  <c r="O336"/>
  <c r="Q336" s="1"/>
  <c r="O340"/>
  <c r="O341"/>
  <c r="T341"/>
  <c r="O342"/>
  <c r="O343"/>
  <c r="T346"/>
  <c r="O347"/>
  <c r="O346" s="1"/>
  <c r="O351"/>
  <c r="O352"/>
  <c r="T352"/>
  <c r="O353"/>
  <c r="O354"/>
  <c r="N357"/>
  <c r="P357"/>
  <c r="P359" s="1"/>
  <c r="S357"/>
  <c r="U357"/>
  <c r="P358"/>
  <c r="I362"/>
  <c r="V362" s="1"/>
  <c r="N362"/>
  <c r="P362"/>
  <c r="N363"/>
  <c r="P363"/>
  <c r="P366" s="1"/>
  <c r="S363"/>
  <c r="U363"/>
  <c r="N364"/>
  <c r="P364"/>
  <c r="N365"/>
  <c r="P365"/>
  <c r="M368"/>
  <c r="O368"/>
  <c r="T368"/>
  <c r="O369"/>
  <c r="Q369" s="1"/>
  <c r="N375"/>
  <c r="S375"/>
  <c r="S380"/>
  <c r="I385"/>
  <c r="V385" s="1"/>
  <c r="P385"/>
  <c r="P388"/>
  <c r="N389"/>
  <c r="P389"/>
  <c r="S389"/>
  <c r="U389"/>
  <c r="N390"/>
  <c r="P390"/>
  <c r="S390"/>
  <c r="U390"/>
  <c r="N391"/>
  <c r="P391"/>
  <c r="S391"/>
  <c r="U391"/>
  <c r="O394"/>
  <c r="M395"/>
  <c r="O395"/>
  <c r="Q395" s="1"/>
  <c r="T395"/>
  <c r="O400"/>
  <c r="O401"/>
  <c r="T401"/>
  <c r="O402"/>
  <c r="O403"/>
  <c r="I406"/>
  <c r="N406"/>
  <c r="P406"/>
  <c r="P408" s="1"/>
  <c r="S406"/>
  <c r="U406"/>
  <c r="P407"/>
  <c r="M422"/>
  <c r="M429" s="1"/>
  <c r="M433" s="1"/>
  <c r="O422"/>
  <c r="O423"/>
  <c r="Q423" s="1"/>
  <c r="O424"/>
  <c r="Q424" s="1"/>
  <c r="O425"/>
  <c r="Q425" s="1"/>
  <c r="O426"/>
  <c r="O429" s="1"/>
  <c r="T426"/>
  <c r="O427"/>
  <c r="T427"/>
  <c r="O428"/>
  <c r="T428"/>
  <c r="I431"/>
  <c r="V431" s="1"/>
  <c r="N431"/>
  <c r="P431"/>
  <c r="P432"/>
  <c r="U432"/>
  <c r="I437"/>
  <c r="V437" s="1"/>
  <c r="N437"/>
  <c r="P437"/>
  <c r="N438"/>
  <c r="P438"/>
  <c r="P441" s="1"/>
  <c r="S438"/>
  <c r="U438"/>
  <c r="N439"/>
  <c r="P439"/>
  <c r="N440"/>
  <c r="P440"/>
  <c r="M443"/>
  <c r="O443"/>
  <c r="T443"/>
  <c r="O444"/>
  <c r="Q444" s="1"/>
  <c r="O448"/>
  <c r="O449"/>
  <c r="T449"/>
  <c r="O450"/>
  <c r="O451"/>
  <c r="N454"/>
  <c r="P454"/>
  <c r="S454"/>
  <c r="U454"/>
  <c r="P455"/>
  <c r="N466"/>
  <c r="S466"/>
  <c r="N467"/>
  <c r="T471"/>
  <c r="O472"/>
  <c r="O473"/>
  <c r="Q473" s="1"/>
  <c r="O474"/>
  <c r="Q474" s="1"/>
  <c r="I475"/>
  <c r="O475"/>
  <c r="T475"/>
  <c r="P476"/>
  <c r="I477"/>
  <c r="V477" s="1"/>
  <c r="O477"/>
  <c r="I480"/>
  <c r="V480" s="1"/>
  <c r="N480"/>
  <c r="P480"/>
  <c r="P481"/>
  <c r="I486"/>
  <c r="V486" s="1"/>
  <c r="N486"/>
  <c r="P486"/>
  <c r="N487"/>
  <c r="P487"/>
  <c r="P490" s="1"/>
  <c r="S487"/>
  <c r="U487"/>
  <c r="N488"/>
  <c r="P488"/>
  <c r="S488"/>
  <c r="U488"/>
  <c r="N489"/>
  <c r="P489"/>
  <c r="S489"/>
  <c r="U489"/>
  <c r="M492"/>
  <c r="O492"/>
  <c r="T492"/>
  <c r="M493"/>
  <c r="O493"/>
  <c r="Q493" s="1"/>
  <c r="T493"/>
  <c r="O497"/>
  <c r="O498"/>
  <c r="T498"/>
  <c r="O499"/>
  <c r="O500"/>
  <c r="N503"/>
  <c r="P503"/>
  <c r="P505" s="1"/>
  <c r="S503"/>
  <c r="U503"/>
  <c r="P504"/>
  <c r="I508"/>
  <c r="V508" s="1"/>
  <c r="N508"/>
  <c r="P508"/>
  <c r="N509"/>
  <c r="P509"/>
  <c r="P512" s="1"/>
  <c r="S509"/>
  <c r="U509"/>
  <c r="N510"/>
  <c r="P510"/>
  <c r="N511"/>
  <c r="P511"/>
  <c r="M514"/>
  <c r="O514"/>
  <c r="T514"/>
  <c r="O515"/>
  <c r="Q515" s="1"/>
  <c r="M531"/>
  <c r="O531"/>
  <c r="T531"/>
  <c r="M532"/>
  <c r="V532" s="1"/>
  <c r="O532"/>
  <c r="Q532" s="1"/>
  <c r="M533"/>
  <c r="V533" s="1"/>
  <c r="O533"/>
  <c r="M534"/>
  <c r="V534" s="1"/>
  <c r="O534"/>
  <c r="Q534" s="1"/>
  <c r="I535"/>
  <c r="M535"/>
  <c r="M538" s="1"/>
  <c r="O535"/>
  <c r="O538" s="1"/>
  <c r="O542" s="1"/>
  <c r="T535"/>
  <c r="I536"/>
  <c r="M536"/>
  <c r="O536"/>
  <c r="T536"/>
  <c r="I537"/>
  <c r="M537"/>
  <c r="O537"/>
  <c r="T537"/>
  <c r="I541"/>
  <c r="V541" s="1"/>
  <c r="N547"/>
  <c r="P547"/>
  <c r="P550" s="1"/>
  <c r="S547"/>
  <c r="U547"/>
  <c r="N548"/>
  <c r="P548"/>
  <c r="N549"/>
  <c r="P549"/>
  <c r="M552"/>
  <c r="O552"/>
  <c r="O554" s="1"/>
  <c r="T552"/>
  <c r="M553"/>
  <c r="V553" s="1"/>
  <c r="O553"/>
  <c r="M557"/>
  <c r="O557"/>
  <c r="I558"/>
  <c r="M558"/>
  <c r="O558"/>
  <c r="T558"/>
  <c r="I559"/>
  <c r="V559" s="1"/>
  <c r="O559"/>
  <c r="I560"/>
  <c r="V560" s="1"/>
  <c r="O560"/>
  <c r="P563"/>
  <c r="P565" s="1"/>
  <c r="N569"/>
  <c r="P569"/>
  <c r="P572" s="1"/>
  <c r="S569"/>
  <c r="U569"/>
  <c r="N570"/>
  <c r="P570"/>
  <c r="N571"/>
  <c r="P571"/>
  <c r="M574"/>
  <c r="M576" s="1"/>
  <c r="O574"/>
  <c r="O576" s="1"/>
  <c r="M575"/>
  <c r="N579"/>
  <c r="P579"/>
  <c r="N580"/>
  <c r="P580"/>
  <c r="P583" s="1"/>
  <c r="S580"/>
  <c r="U580"/>
  <c r="N581"/>
  <c r="P581"/>
  <c r="N582"/>
  <c r="P582"/>
  <c r="N585"/>
  <c r="P585"/>
  <c r="P587" s="1"/>
  <c r="S585"/>
  <c r="U585"/>
  <c r="P586"/>
  <c r="N602"/>
  <c r="P602"/>
  <c r="S602"/>
  <c r="U602"/>
  <c r="P603"/>
  <c r="P604"/>
  <c r="P605"/>
  <c r="N606"/>
  <c r="P606"/>
  <c r="S606"/>
  <c r="U606"/>
  <c r="N607"/>
  <c r="P607"/>
  <c r="S607"/>
  <c r="U607"/>
  <c r="N608"/>
  <c r="P608"/>
  <c r="S608"/>
  <c r="U608"/>
  <c r="H611"/>
  <c r="N611"/>
  <c r="I612"/>
  <c r="V612" s="1"/>
  <c r="P612"/>
  <c r="U612"/>
  <c r="O617"/>
  <c r="G621"/>
  <c r="G625" s="1"/>
  <c r="I618"/>
  <c r="K621"/>
  <c r="K625" s="1"/>
  <c r="M618"/>
  <c r="O618"/>
  <c r="T618"/>
  <c r="O619"/>
  <c r="L625"/>
  <c r="G636"/>
  <c r="J636"/>
  <c r="L636"/>
  <c r="T643"/>
  <c r="M643"/>
  <c r="G647"/>
  <c r="M647"/>
  <c r="L647"/>
  <c r="T654"/>
  <c r="J658"/>
  <c r="L658"/>
  <c r="M665"/>
  <c r="G669"/>
  <c r="M669"/>
  <c r="L669"/>
  <c r="G680"/>
  <c r="T680" s="1"/>
  <c r="L680"/>
  <c r="M691"/>
  <c r="L718"/>
  <c r="H729"/>
  <c r="U729" s="1"/>
  <c r="G767"/>
  <c r="G789"/>
  <c r="T789" s="1"/>
  <c r="F811"/>
  <c r="S811" s="1"/>
  <c r="M818"/>
  <c r="M822" s="1"/>
  <c r="J1338"/>
  <c r="M1339"/>
  <c r="M1338" s="1"/>
  <c r="S848"/>
  <c r="N848"/>
  <c r="U848"/>
  <c r="N850"/>
  <c r="U850"/>
  <c r="P850"/>
  <c r="J849"/>
  <c r="S851"/>
  <c r="N851"/>
  <c r="T855"/>
  <c r="G854"/>
  <c r="F870"/>
  <c r="S870" s="1"/>
  <c r="S866"/>
  <c r="H870"/>
  <c r="U870" s="1"/>
  <c r="S910"/>
  <c r="N910"/>
  <c r="U910"/>
  <c r="N911"/>
  <c r="U911"/>
  <c r="P911"/>
  <c r="U915"/>
  <c r="P915"/>
  <c r="H914"/>
  <c r="I957"/>
  <c r="S957"/>
  <c r="N957"/>
  <c r="U957"/>
  <c r="P957"/>
  <c r="I959"/>
  <c r="S959"/>
  <c r="N959"/>
  <c r="U959"/>
  <c r="P959"/>
  <c r="H963"/>
  <c r="F979"/>
  <c r="S979" s="1"/>
  <c r="H979"/>
  <c r="U1008"/>
  <c r="P1008"/>
  <c r="V989"/>
  <c r="N620"/>
  <c r="P620"/>
  <c r="S620"/>
  <c r="N623"/>
  <c r="P623"/>
  <c r="S623"/>
  <c r="U623"/>
  <c r="I624"/>
  <c r="V624" s="1"/>
  <c r="P624"/>
  <c r="J625"/>
  <c r="I628"/>
  <c r="V628" s="1"/>
  <c r="O628"/>
  <c r="I629"/>
  <c r="M629"/>
  <c r="M632" s="1"/>
  <c r="O629"/>
  <c r="T629"/>
  <c r="I630"/>
  <c r="O630"/>
  <c r="I631"/>
  <c r="O631"/>
  <c r="I634"/>
  <c r="M634"/>
  <c r="M636" s="1"/>
  <c r="O634"/>
  <c r="T634"/>
  <c r="O635"/>
  <c r="T635"/>
  <c r="N639"/>
  <c r="P639"/>
  <c r="S639"/>
  <c r="N640"/>
  <c r="P640"/>
  <c r="S640"/>
  <c r="U640"/>
  <c r="N641"/>
  <c r="P641"/>
  <c r="S641"/>
  <c r="N642"/>
  <c r="P642"/>
  <c r="S642"/>
  <c r="F643"/>
  <c r="S643" s="1"/>
  <c r="J643"/>
  <c r="N645"/>
  <c r="P645"/>
  <c r="S645"/>
  <c r="U645"/>
  <c r="I646"/>
  <c r="V646" s="1"/>
  <c r="P646"/>
  <c r="F647"/>
  <c r="S647" s="1"/>
  <c r="J647"/>
  <c r="I650"/>
  <c r="V650" s="1"/>
  <c r="O650"/>
  <c r="I651"/>
  <c r="M651"/>
  <c r="O651"/>
  <c r="T651"/>
  <c r="I652"/>
  <c r="V652" s="1"/>
  <c r="O652"/>
  <c r="I653"/>
  <c r="V653" s="1"/>
  <c r="O653"/>
  <c r="I656"/>
  <c r="M656"/>
  <c r="O656"/>
  <c r="O657"/>
  <c r="T657"/>
  <c r="N661"/>
  <c r="P661"/>
  <c r="S661"/>
  <c r="N662"/>
  <c r="P662"/>
  <c r="S662"/>
  <c r="U662"/>
  <c r="N663"/>
  <c r="P663"/>
  <c r="S663"/>
  <c r="N664"/>
  <c r="P664"/>
  <c r="S664"/>
  <c r="F665"/>
  <c r="S665" s="1"/>
  <c r="J665"/>
  <c r="N667"/>
  <c r="P667"/>
  <c r="S667"/>
  <c r="U667"/>
  <c r="I668"/>
  <c r="V668" s="1"/>
  <c r="P668"/>
  <c r="F669"/>
  <c r="S669" s="1"/>
  <c r="J669"/>
  <c r="I672"/>
  <c r="O672"/>
  <c r="I673"/>
  <c r="M673"/>
  <c r="M676" s="1"/>
  <c r="O673"/>
  <c r="T673"/>
  <c r="I674"/>
  <c r="V674" s="1"/>
  <c r="O674"/>
  <c r="I675"/>
  <c r="V675" s="1"/>
  <c r="O675"/>
  <c r="M678"/>
  <c r="O678"/>
  <c r="T678"/>
  <c r="O679"/>
  <c r="T679"/>
  <c r="N690"/>
  <c r="S690"/>
  <c r="N691"/>
  <c r="S691"/>
  <c r="I695"/>
  <c r="M695"/>
  <c r="O695"/>
  <c r="T695"/>
  <c r="M696"/>
  <c r="V696" s="1"/>
  <c r="O696"/>
  <c r="M697"/>
  <c r="V697" s="1"/>
  <c r="O697"/>
  <c r="M698"/>
  <c r="V698" s="1"/>
  <c r="O698"/>
  <c r="I699"/>
  <c r="M699"/>
  <c r="M702" s="1"/>
  <c r="O699"/>
  <c r="O702" s="1"/>
  <c r="T699"/>
  <c r="I700"/>
  <c r="M700"/>
  <c r="O700"/>
  <c r="T700"/>
  <c r="I701"/>
  <c r="M701"/>
  <c r="O701"/>
  <c r="T701"/>
  <c r="I704"/>
  <c r="V704" s="1"/>
  <c r="I705"/>
  <c r="V705" s="1"/>
  <c r="M705"/>
  <c r="O705"/>
  <c r="T705"/>
  <c r="N710"/>
  <c r="P710"/>
  <c r="S710"/>
  <c r="N711"/>
  <c r="P711"/>
  <c r="S711"/>
  <c r="U711"/>
  <c r="N712"/>
  <c r="P712"/>
  <c r="S712"/>
  <c r="N713"/>
  <c r="P713"/>
  <c r="S713"/>
  <c r="F714"/>
  <c r="S714" s="1"/>
  <c r="J714"/>
  <c r="J718" s="1"/>
  <c r="M716"/>
  <c r="M718" s="1"/>
  <c r="O716"/>
  <c r="T716"/>
  <c r="N717"/>
  <c r="P717"/>
  <c r="H718"/>
  <c r="I721"/>
  <c r="V721" s="1"/>
  <c r="N721"/>
  <c r="P721"/>
  <c r="N722"/>
  <c r="P722"/>
  <c r="P725" s="1"/>
  <c r="S722"/>
  <c r="U722"/>
  <c r="N723"/>
  <c r="P723"/>
  <c r="S723"/>
  <c r="N724"/>
  <c r="P724"/>
  <c r="S724"/>
  <c r="F725"/>
  <c r="S725" s="1"/>
  <c r="J725"/>
  <c r="J729" s="1"/>
  <c r="M727"/>
  <c r="M729" s="1"/>
  <c r="O727"/>
  <c r="T727"/>
  <c r="O728"/>
  <c r="T728"/>
  <c r="F733"/>
  <c r="F737" s="1"/>
  <c r="S737" s="1"/>
  <c r="H733"/>
  <c r="S734"/>
  <c r="H736"/>
  <c r="N739"/>
  <c r="S739"/>
  <c r="K740"/>
  <c r="K739" s="1"/>
  <c r="N744"/>
  <c r="P744"/>
  <c r="S744"/>
  <c r="U744"/>
  <c r="I745"/>
  <c r="V745" s="1"/>
  <c r="I746"/>
  <c r="V746" s="1"/>
  <c r="I747"/>
  <c r="V747" s="1"/>
  <c r="N748"/>
  <c r="P748"/>
  <c r="S748"/>
  <c r="U748"/>
  <c r="N749"/>
  <c r="P749"/>
  <c r="S749"/>
  <c r="U749"/>
  <c r="N750"/>
  <c r="P750"/>
  <c r="S750"/>
  <c r="U750"/>
  <c r="F751"/>
  <c r="J751"/>
  <c r="J755" s="1"/>
  <c r="N753"/>
  <c r="P753"/>
  <c r="S753"/>
  <c r="I754"/>
  <c r="V754" s="1"/>
  <c r="P754"/>
  <c r="U754"/>
  <c r="I759"/>
  <c r="V759" s="1"/>
  <c r="O759"/>
  <c r="I760"/>
  <c r="M760"/>
  <c r="M763" s="1"/>
  <c r="O760"/>
  <c r="T760"/>
  <c r="I761"/>
  <c r="V761" s="1"/>
  <c r="O761"/>
  <c r="I762"/>
  <c r="V762" s="1"/>
  <c r="O762"/>
  <c r="M765"/>
  <c r="O765"/>
  <c r="T765"/>
  <c r="M766"/>
  <c r="V766" s="1"/>
  <c r="O766"/>
  <c r="N770"/>
  <c r="P770"/>
  <c r="S770"/>
  <c r="N771"/>
  <c r="P771"/>
  <c r="S771"/>
  <c r="U771"/>
  <c r="N772"/>
  <c r="P772"/>
  <c r="S772"/>
  <c r="N773"/>
  <c r="P773"/>
  <c r="S773"/>
  <c r="F774"/>
  <c r="S774" s="1"/>
  <c r="J774"/>
  <c r="J778" s="1"/>
  <c r="N776"/>
  <c r="P776"/>
  <c r="S776"/>
  <c r="U776"/>
  <c r="I777"/>
  <c r="V777" s="1"/>
  <c r="I781"/>
  <c r="V781" s="1"/>
  <c r="O781"/>
  <c r="I782"/>
  <c r="M782"/>
  <c r="O782"/>
  <c r="T782"/>
  <c r="I783"/>
  <c r="V783" s="1"/>
  <c r="O783"/>
  <c r="I784"/>
  <c r="V784" s="1"/>
  <c r="O784"/>
  <c r="M787"/>
  <c r="O787"/>
  <c r="T787"/>
  <c r="M788"/>
  <c r="N792"/>
  <c r="P792"/>
  <c r="S792"/>
  <c r="N793"/>
  <c r="P793"/>
  <c r="S793"/>
  <c r="U793"/>
  <c r="N794"/>
  <c r="P794"/>
  <c r="S794"/>
  <c r="N795"/>
  <c r="P795"/>
  <c r="S795"/>
  <c r="F796"/>
  <c r="S796" s="1"/>
  <c r="J796"/>
  <c r="J800" s="1"/>
  <c r="N798"/>
  <c r="P798"/>
  <c r="S798"/>
  <c r="U798"/>
  <c r="I799"/>
  <c r="V799" s="1"/>
  <c r="I803"/>
  <c r="V803" s="1"/>
  <c r="O803"/>
  <c r="I804"/>
  <c r="M804"/>
  <c r="M807" s="1"/>
  <c r="O804"/>
  <c r="T804"/>
  <c r="I805"/>
  <c r="V805" s="1"/>
  <c r="O805"/>
  <c r="I806"/>
  <c r="V806" s="1"/>
  <c r="O806"/>
  <c r="M809"/>
  <c r="O809"/>
  <c r="T809"/>
  <c r="M810"/>
  <c r="V810" s="1"/>
  <c r="O810"/>
  <c r="N814"/>
  <c r="P814"/>
  <c r="S814"/>
  <c r="N815"/>
  <c r="P815"/>
  <c r="S815"/>
  <c r="U815"/>
  <c r="N816"/>
  <c r="P816"/>
  <c r="S816"/>
  <c r="N817"/>
  <c r="P817"/>
  <c r="S817"/>
  <c r="F818"/>
  <c r="S818" s="1"/>
  <c r="J818"/>
  <c r="N820"/>
  <c r="P820"/>
  <c r="S820"/>
  <c r="U820"/>
  <c r="I821"/>
  <c r="V821" s="1"/>
  <c r="J822"/>
  <c r="I825"/>
  <c r="V825" s="1"/>
  <c r="O825"/>
  <c r="I826"/>
  <c r="M826"/>
  <c r="M829" s="1"/>
  <c r="O826"/>
  <c r="T826"/>
  <c r="I827"/>
  <c r="V827" s="1"/>
  <c r="O827"/>
  <c r="I828"/>
  <c r="V828" s="1"/>
  <c r="O828"/>
  <c r="M831"/>
  <c r="O831"/>
  <c r="T831"/>
  <c r="M832"/>
  <c r="N836"/>
  <c r="P836"/>
  <c r="S836"/>
  <c r="J840"/>
  <c r="J844" s="1"/>
  <c r="L840"/>
  <c r="G844"/>
  <c r="L844"/>
  <c r="F882"/>
  <c r="F904"/>
  <c r="S904" s="1"/>
  <c r="M915"/>
  <c r="K961"/>
  <c r="H942"/>
  <c r="K942"/>
  <c r="F953"/>
  <c r="S953" s="1"/>
  <c r="H953"/>
  <c r="U953" s="1"/>
  <c r="K953"/>
  <c r="I964"/>
  <c r="H991"/>
  <c r="K991"/>
  <c r="F1002"/>
  <c r="S1002" s="1"/>
  <c r="H1002"/>
  <c r="U1002" s="1"/>
  <c r="K1002"/>
  <c r="F1051"/>
  <c r="S1051" s="1"/>
  <c r="T848"/>
  <c r="O848"/>
  <c r="T850"/>
  <c r="G849"/>
  <c r="O851"/>
  <c r="P855"/>
  <c r="M855"/>
  <c r="F840"/>
  <c r="S840" s="1"/>
  <c r="S837"/>
  <c r="N837"/>
  <c r="I837"/>
  <c r="S908"/>
  <c r="I908"/>
  <c r="U908"/>
  <c r="P908"/>
  <c r="T910"/>
  <c r="O910"/>
  <c r="G909"/>
  <c r="J909"/>
  <c r="M910"/>
  <c r="O911"/>
  <c r="T957"/>
  <c r="O957"/>
  <c r="O959"/>
  <c r="G958"/>
  <c r="M959"/>
  <c r="J958"/>
  <c r="T960"/>
  <c r="O960"/>
  <c r="T964"/>
  <c r="G963"/>
  <c r="O1006"/>
  <c r="T975"/>
  <c r="G1007"/>
  <c r="T1008"/>
  <c r="I1008"/>
  <c r="N1008"/>
  <c r="M1008"/>
  <c r="J1007"/>
  <c r="T1009"/>
  <c r="M1009"/>
  <c r="N1009"/>
  <c r="U1013"/>
  <c r="P1013"/>
  <c r="H1012"/>
  <c r="V1018"/>
  <c r="I1017"/>
  <c r="O620"/>
  <c r="O623"/>
  <c r="T623"/>
  <c r="O624"/>
  <c r="Q624" s="1"/>
  <c r="N628"/>
  <c r="P628"/>
  <c r="N629"/>
  <c r="P629"/>
  <c r="P632" s="1"/>
  <c r="S629"/>
  <c r="U629"/>
  <c r="N630"/>
  <c r="P630"/>
  <c r="N631"/>
  <c r="P631"/>
  <c r="N634"/>
  <c r="P634"/>
  <c r="P636" s="1"/>
  <c r="S634"/>
  <c r="U634"/>
  <c r="P635"/>
  <c r="O639"/>
  <c r="O640"/>
  <c r="T640"/>
  <c r="O641"/>
  <c r="O642"/>
  <c r="O645"/>
  <c r="T645"/>
  <c r="O646"/>
  <c r="Q646" s="1"/>
  <c r="N650"/>
  <c r="P650"/>
  <c r="N651"/>
  <c r="P651"/>
  <c r="P654" s="1"/>
  <c r="S651"/>
  <c r="U651"/>
  <c r="N652"/>
  <c r="P652"/>
  <c r="N653"/>
  <c r="P653"/>
  <c r="N656"/>
  <c r="P656"/>
  <c r="P658" s="1"/>
  <c r="S656"/>
  <c r="U656"/>
  <c r="P657"/>
  <c r="O661"/>
  <c r="O662"/>
  <c r="T662"/>
  <c r="O663"/>
  <c r="O664"/>
  <c r="O667"/>
  <c r="T667"/>
  <c r="O668"/>
  <c r="Q668" s="1"/>
  <c r="N672"/>
  <c r="P672"/>
  <c r="N673"/>
  <c r="P673"/>
  <c r="P676" s="1"/>
  <c r="S673"/>
  <c r="U673"/>
  <c r="N674"/>
  <c r="P674"/>
  <c r="N675"/>
  <c r="P675"/>
  <c r="N678"/>
  <c r="P678"/>
  <c r="P680" s="1"/>
  <c r="S678"/>
  <c r="U678"/>
  <c r="P679"/>
  <c r="N695"/>
  <c r="P695"/>
  <c r="P696"/>
  <c r="P697"/>
  <c r="P698"/>
  <c r="N699"/>
  <c r="P699"/>
  <c r="S699"/>
  <c r="U699"/>
  <c r="N700"/>
  <c r="P700"/>
  <c r="U700"/>
  <c r="N701"/>
  <c r="P701"/>
  <c r="O704"/>
  <c r="Q704" s="1"/>
  <c r="N705"/>
  <c r="P705"/>
  <c r="U705"/>
  <c r="O710"/>
  <c r="O711"/>
  <c r="T711"/>
  <c r="O712"/>
  <c r="O713"/>
  <c r="I716"/>
  <c r="N716"/>
  <c r="P716"/>
  <c r="I717"/>
  <c r="M717"/>
  <c r="O717"/>
  <c r="O721"/>
  <c r="O722"/>
  <c r="T722"/>
  <c r="O723"/>
  <c r="O724"/>
  <c r="I727"/>
  <c r="N727"/>
  <c r="P727"/>
  <c r="P729" s="1"/>
  <c r="S727"/>
  <c r="U727"/>
  <c r="P728"/>
  <c r="I744"/>
  <c r="M744"/>
  <c r="M751" s="1"/>
  <c r="M755" s="1"/>
  <c r="O744"/>
  <c r="T744"/>
  <c r="O745"/>
  <c r="Q745" s="1"/>
  <c r="O746"/>
  <c r="Q746" s="1"/>
  <c r="O747"/>
  <c r="Q747" s="1"/>
  <c r="O748"/>
  <c r="T748"/>
  <c r="I749"/>
  <c r="M749"/>
  <c r="O749"/>
  <c r="T749"/>
  <c r="I750"/>
  <c r="M750"/>
  <c r="O750"/>
  <c r="T750"/>
  <c r="O753"/>
  <c r="M754"/>
  <c r="O754"/>
  <c r="Q754" s="1"/>
  <c r="T754"/>
  <c r="N759"/>
  <c r="P759"/>
  <c r="N760"/>
  <c r="P760"/>
  <c r="P763" s="1"/>
  <c r="S760"/>
  <c r="U760"/>
  <c r="N761"/>
  <c r="P761"/>
  <c r="N762"/>
  <c r="P762"/>
  <c r="H765"/>
  <c r="N765"/>
  <c r="S765"/>
  <c r="P766"/>
  <c r="O770"/>
  <c r="O771"/>
  <c r="T771"/>
  <c r="O772"/>
  <c r="O773"/>
  <c r="G776"/>
  <c r="I776" s="1"/>
  <c r="O777"/>
  <c r="Q777" s="1"/>
  <c r="N781"/>
  <c r="P781"/>
  <c r="N782"/>
  <c r="P782"/>
  <c r="P785" s="1"/>
  <c r="S782"/>
  <c r="U782"/>
  <c r="N783"/>
  <c r="P783"/>
  <c r="N784"/>
  <c r="P784"/>
  <c r="H787"/>
  <c r="I787" s="1"/>
  <c r="N787"/>
  <c r="S787"/>
  <c r="P788"/>
  <c r="Q788" s="1"/>
  <c r="O792"/>
  <c r="O793"/>
  <c r="T793"/>
  <c r="O794"/>
  <c r="O795"/>
  <c r="G798"/>
  <c r="O799"/>
  <c r="Q799" s="1"/>
  <c r="N803"/>
  <c r="P803"/>
  <c r="N804"/>
  <c r="P804"/>
  <c r="P807" s="1"/>
  <c r="S804"/>
  <c r="U804"/>
  <c r="N805"/>
  <c r="P805"/>
  <c r="N806"/>
  <c r="P806"/>
  <c r="H809"/>
  <c r="N809"/>
  <c r="S809"/>
  <c r="P810"/>
  <c r="O814"/>
  <c r="O815"/>
  <c r="T815"/>
  <c r="O816"/>
  <c r="O817"/>
  <c r="G820"/>
  <c r="I820" s="1"/>
  <c r="O821"/>
  <c r="Q821" s="1"/>
  <c r="N825"/>
  <c r="P825"/>
  <c r="N826"/>
  <c r="P826"/>
  <c r="P829" s="1"/>
  <c r="S826"/>
  <c r="U826"/>
  <c r="N827"/>
  <c r="P827"/>
  <c r="N828"/>
  <c r="P828"/>
  <c r="H831"/>
  <c r="N831"/>
  <c r="S831"/>
  <c r="P832"/>
  <c r="Q832" s="1"/>
  <c r="O836"/>
  <c r="H840"/>
  <c r="U840" s="1"/>
  <c r="K840"/>
  <c r="T840" s="1"/>
  <c r="L912"/>
  <c r="L916" s="1"/>
  <c r="G882"/>
  <c r="K882"/>
  <c r="U889"/>
  <c r="F893"/>
  <c r="S893" s="1"/>
  <c r="J893"/>
  <c r="L893"/>
  <c r="T900"/>
  <c r="K904"/>
  <c r="M957"/>
  <c r="L961"/>
  <c r="M960"/>
  <c r="K965"/>
  <c r="T938"/>
  <c r="G942"/>
  <c r="L942"/>
  <c r="T949"/>
  <c r="J953"/>
  <c r="L953"/>
  <c r="M1006"/>
  <c r="L1010"/>
  <c r="L1014" s="1"/>
  <c r="M987"/>
  <c r="G991"/>
  <c r="M991"/>
  <c r="L991"/>
  <c r="G1002"/>
  <c r="T1002" s="1"/>
  <c r="L1002"/>
  <c r="F1040"/>
  <c r="J1040"/>
  <c r="I1301"/>
  <c r="S1301"/>
  <c r="N1301"/>
  <c r="F1300"/>
  <c r="M1301"/>
  <c r="J1300"/>
  <c r="I1302"/>
  <c r="S1302"/>
  <c r="N1302"/>
  <c r="I1303"/>
  <c r="S1303"/>
  <c r="N1303"/>
  <c r="Q1303" s="1"/>
  <c r="N1055"/>
  <c r="T1071"/>
  <c r="M837"/>
  <c r="M840" s="1"/>
  <c r="O837"/>
  <c r="T837"/>
  <c r="I838"/>
  <c r="V838" s="1"/>
  <c r="O838"/>
  <c r="I839"/>
  <c r="V839" s="1"/>
  <c r="O839"/>
  <c r="I842"/>
  <c r="M842"/>
  <c r="M844" s="1"/>
  <c r="O842"/>
  <c r="T842"/>
  <c r="O843"/>
  <c r="T843"/>
  <c r="N854"/>
  <c r="S854"/>
  <c r="N855"/>
  <c r="I859"/>
  <c r="M859"/>
  <c r="O859"/>
  <c r="T859"/>
  <c r="O860"/>
  <c r="Q860" s="1"/>
  <c r="T860"/>
  <c r="O861"/>
  <c r="Q861" s="1"/>
  <c r="T861"/>
  <c r="O862"/>
  <c r="Q862" s="1"/>
  <c r="T862"/>
  <c r="I863"/>
  <c r="M863"/>
  <c r="M866" s="1"/>
  <c r="M870" s="1"/>
  <c r="O863"/>
  <c r="O866" s="1"/>
  <c r="T863"/>
  <c r="I864"/>
  <c r="M864"/>
  <c r="O864"/>
  <c r="T864"/>
  <c r="I865"/>
  <c r="M865"/>
  <c r="O865"/>
  <c r="T865"/>
  <c r="G868"/>
  <c r="G870" s="1"/>
  <c r="T870" s="1"/>
  <c r="M869"/>
  <c r="O869"/>
  <c r="T869"/>
  <c r="N874"/>
  <c r="P874"/>
  <c r="N875"/>
  <c r="P875"/>
  <c r="P878" s="1"/>
  <c r="S875"/>
  <c r="U875"/>
  <c r="N876"/>
  <c r="P876"/>
  <c r="N877"/>
  <c r="P877"/>
  <c r="H880"/>
  <c r="I880" s="1"/>
  <c r="N880"/>
  <c r="S880"/>
  <c r="P881"/>
  <c r="I885"/>
  <c r="V885" s="1"/>
  <c r="O885"/>
  <c r="I886"/>
  <c r="M886"/>
  <c r="M889" s="1"/>
  <c r="O886"/>
  <c r="T886"/>
  <c r="I887"/>
  <c r="V887" s="1"/>
  <c r="O887"/>
  <c r="I888"/>
  <c r="V888" s="1"/>
  <c r="O888"/>
  <c r="G891"/>
  <c r="M891"/>
  <c r="M893" s="1"/>
  <c r="O892"/>
  <c r="Q892" s="1"/>
  <c r="T892"/>
  <c r="N896"/>
  <c r="P896"/>
  <c r="N897"/>
  <c r="P897"/>
  <c r="P900" s="1"/>
  <c r="S897"/>
  <c r="U897"/>
  <c r="N898"/>
  <c r="P898"/>
  <c r="N899"/>
  <c r="P899"/>
  <c r="H902"/>
  <c r="I902" s="1"/>
  <c r="N902"/>
  <c r="S902"/>
  <c r="P903"/>
  <c r="M914"/>
  <c r="G915"/>
  <c r="I915" s="1"/>
  <c r="V915" s="1"/>
  <c r="S919"/>
  <c r="U919"/>
  <c r="N920"/>
  <c r="P920"/>
  <c r="S920"/>
  <c r="M1302"/>
  <c r="N921"/>
  <c r="P921"/>
  <c r="S921"/>
  <c r="M1303"/>
  <c r="N922"/>
  <c r="P922"/>
  <c r="S922"/>
  <c r="F923"/>
  <c r="H923"/>
  <c r="J923"/>
  <c r="L923"/>
  <c r="L926" s="1"/>
  <c r="L930" s="1"/>
  <c r="N924"/>
  <c r="P924"/>
  <c r="T924"/>
  <c r="I925"/>
  <c r="M925"/>
  <c r="O925"/>
  <c r="T925"/>
  <c r="G926"/>
  <c r="G928"/>
  <c r="M929"/>
  <c r="O929"/>
  <c r="Q929" s="1"/>
  <c r="T929"/>
  <c r="N934"/>
  <c r="P934"/>
  <c r="N935"/>
  <c r="P935"/>
  <c r="P938" s="1"/>
  <c r="S935"/>
  <c r="U935"/>
  <c r="N936"/>
  <c r="P936"/>
  <c r="N937"/>
  <c r="P937"/>
  <c r="N940"/>
  <c r="P940"/>
  <c r="P942" s="1"/>
  <c r="S940"/>
  <c r="U940"/>
  <c r="I941"/>
  <c r="V941" s="1"/>
  <c r="P941"/>
  <c r="F942"/>
  <c r="J942"/>
  <c r="J954" s="1"/>
  <c r="I945"/>
  <c r="V945" s="1"/>
  <c r="O945"/>
  <c r="I946"/>
  <c r="M946"/>
  <c r="M949" s="1"/>
  <c r="O946"/>
  <c r="T946"/>
  <c r="I947"/>
  <c r="V947" s="1"/>
  <c r="O947"/>
  <c r="I948"/>
  <c r="V948" s="1"/>
  <c r="O948"/>
  <c r="M951"/>
  <c r="M953" s="1"/>
  <c r="T951"/>
  <c r="O952"/>
  <c r="T952"/>
  <c r="F960"/>
  <c r="F958" s="1"/>
  <c r="H960"/>
  <c r="N963"/>
  <c r="S963"/>
  <c r="L964"/>
  <c r="L963" s="1"/>
  <c r="N964"/>
  <c r="S964"/>
  <c r="T968"/>
  <c r="I969"/>
  <c r="O969"/>
  <c r="I970"/>
  <c r="O970"/>
  <c r="I971"/>
  <c r="V971" s="1"/>
  <c r="O971"/>
  <c r="I972"/>
  <c r="M972"/>
  <c r="O972"/>
  <c r="T972"/>
  <c r="I973"/>
  <c r="M973"/>
  <c r="O973"/>
  <c r="T973"/>
  <c r="I974"/>
  <c r="M974"/>
  <c r="O974"/>
  <c r="T974"/>
  <c r="I977"/>
  <c r="V977" s="1"/>
  <c r="O977"/>
  <c r="M978"/>
  <c r="O978"/>
  <c r="T978"/>
  <c r="N983"/>
  <c r="P983"/>
  <c r="S983"/>
  <c r="N984"/>
  <c r="P984"/>
  <c r="S984"/>
  <c r="U984"/>
  <c r="N985"/>
  <c r="P985"/>
  <c r="S985"/>
  <c r="N986"/>
  <c r="P986"/>
  <c r="S986"/>
  <c r="F987"/>
  <c r="S987" s="1"/>
  <c r="J987"/>
  <c r="N989"/>
  <c r="P989"/>
  <c r="S989"/>
  <c r="U989"/>
  <c r="I990"/>
  <c r="V990" s="1"/>
  <c r="P990"/>
  <c r="F991"/>
  <c r="J991"/>
  <c r="I994"/>
  <c r="O994"/>
  <c r="I995"/>
  <c r="M995"/>
  <c r="M998" s="1"/>
  <c r="O995"/>
  <c r="T995"/>
  <c r="I996"/>
  <c r="O996"/>
  <c r="I997"/>
  <c r="V997" s="1"/>
  <c r="O997"/>
  <c r="I1000"/>
  <c r="M1000"/>
  <c r="M1002" s="1"/>
  <c r="O1000"/>
  <c r="T1000"/>
  <c r="O1001"/>
  <c r="T1001"/>
  <c r="F1006"/>
  <c r="F1010" s="1"/>
  <c r="S1010" s="1"/>
  <c r="H1006"/>
  <c r="N1007"/>
  <c r="S1007"/>
  <c r="H1009"/>
  <c r="I1009" s="1"/>
  <c r="N1012"/>
  <c r="S1012"/>
  <c r="G1013"/>
  <c r="S1017"/>
  <c r="U1017"/>
  <c r="N1018"/>
  <c r="P1018"/>
  <c r="S1018"/>
  <c r="N1019"/>
  <c r="P1019"/>
  <c r="S1019"/>
  <c r="N1020"/>
  <c r="P1020"/>
  <c r="S1020"/>
  <c r="N1021"/>
  <c r="S1021"/>
  <c r="N1022"/>
  <c r="S1022"/>
  <c r="N1023"/>
  <c r="S1023"/>
  <c r="F1024"/>
  <c r="J1024"/>
  <c r="J1028" s="1"/>
  <c r="N1026"/>
  <c r="P1026"/>
  <c r="I1027"/>
  <c r="V1027" s="1"/>
  <c r="P1027"/>
  <c r="Q1027" s="1"/>
  <c r="G1038"/>
  <c r="M1038"/>
  <c r="H1062"/>
  <c r="K1062"/>
  <c r="M1039"/>
  <c r="O1039"/>
  <c r="N1043"/>
  <c r="N1044"/>
  <c r="S1044"/>
  <c r="N1045"/>
  <c r="N1046"/>
  <c r="H1049"/>
  <c r="I1049" s="1"/>
  <c r="N1049"/>
  <c r="S1049"/>
  <c r="P1050"/>
  <c r="F1087"/>
  <c r="S1087" s="1"/>
  <c r="L1087"/>
  <c r="H1098"/>
  <c r="U1098" s="1"/>
  <c r="F1109"/>
  <c r="S1109" s="1"/>
  <c r="J1109"/>
  <c r="L1109"/>
  <c r="K1120"/>
  <c r="F1131"/>
  <c r="S1131" s="1"/>
  <c r="G1142"/>
  <c r="F1153"/>
  <c r="S1153" s="1"/>
  <c r="F1076"/>
  <c r="S1076" s="1"/>
  <c r="S1071"/>
  <c r="U1071"/>
  <c r="P837"/>
  <c r="P840" s="1"/>
  <c r="U837"/>
  <c r="N838"/>
  <c r="P838"/>
  <c r="N839"/>
  <c r="P839"/>
  <c r="N842"/>
  <c r="P842"/>
  <c r="S842"/>
  <c r="U842"/>
  <c r="P843"/>
  <c r="N859"/>
  <c r="P859"/>
  <c r="S859"/>
  <c r="U859"/>
  <c r="N863"/>
  <c r="P863"/>
  <c r="P866" s="1"/>
  <c r="S863"/>
  <c r="U863"/>
  <c r="N864"/>
  <c r="P864"/>
  <c r="S864"/>
  <c r="U864"/>
  <c r="N865"/>
  <c r="P865"/>
  <c r="S865"/>
  <c r="U865"/>
  <c r="N868"/>
  <c r="P868"/>
  <c r="P869"/>
  <c r="I874"/>
  <c r="V874" s="1"/>
  <c r="O874"/>
  <c r="I875"/>
  <c r="M875"/>
  <c r="M878" s="1"/>
  <c r="O875"/>
  <c r="T875"/>
  <c r="I876"/>
  <c r="V876" s="1"/>
  <c r="O876"/>
  <c r="I877"/>
  <c r="O877"/>
  <c r="M880"/>
  <c r="M882" s="1"/>
  <c r="O880"/>
  <c r="T880"/>
  <c r="M881"/>
  <c r="V881" s="1"/>
  <c r="O881"/>
  <c r="Q881" s="1"/>
  <c r="N885"/>
  <c r="P885"/>
  <c r="N886"/>
  <c r="P886"/>
  <c r="P889" s="1"/>
  <c r="S886"/>
  <c r="U886"/>
  <c r="N887"/>
  <c r="P887"/>
  <c r="N888"/>
  <c r="P888"/>
  <c r="N891"/>
  <c r="P891"/>
  <c r="P893" s="1"/>
  <c r="S891"/>
  <c r="U891"/>
  <c r="I896"/>
  <c r="V896" s="1"/>
  <c r="O896"/>
  <c r="I897"/>
  <c r="M897"/>
  <c r="M900" s="1"/>
  <c r="O897"/>
  <c r="T897"/>
  <c r="I898"/>
  <c r="V898" s="1"/>
  <c r="O898"/>
  <c r="I899"/>
  <c r="V899" s="1"/>
  <c r="O899"/>
  <c r="M902"/>
  <c r="M904" s="1"/>
  <c r="O902"/>
  <c r="T902"/>
  <c r="M903"/>
  <c r="V903" s="1"/>
  <c r="O903"/>
  <c r="Q903" s="1"/>
  <c r="N914"/>
  <c r="S914"/>
  <c r="N915"/>
  <c r="T919"/>
  <c r="I920"/>
  <c r="O920"/>
  <c r="I921"/>
  <c r="V921" s="1"/>
  <c r="O921"/>
  <c r="I922"/>
  <c r="V922" s="1"/>
  <c r="O922"/>
  <c r="O923"/>
  <c r="I924"/>
  <c r="M924"/>
  <c r="O924"/>
  <c r="N925"/>
  <c r="P925"/>
  <c r="N928"/>
  <c r="P928"/>
  <c r="I929"/>
  <c r="V929" s="1"/>
  <c r="I934"/>
  <c r="V934" s="1"/>
  <c r="O934"/>
  <c r="I935"/>
  <c r="M935"/>
  <c r="M938" s="1"/>
  <c r="O935"/>
  <c r="T935"/>
  <c r="I936"/>
  <c r="V936" s="1"/>
  <c r="O936"/>
  <c r="I937"/>
  <c r="V937" s="1"/>
  <c r="O937"/>
  <c r="O940"/>
  <c r="T940"/>
  <c r="O941"/>
  <c r="Q941" s="1"/>
  <c r="N945"/>
  <c r="P945"/>
  <c r="N946"/>
  <c r="P946"/>
  <c r="P949" s="1"/>
  <c r="S946"/>
  <c r="U946"/>
  <c r="N947"/>
  <c r="P947"/>
  <c r="N948"/>
  <c r="P948"/>
  <c r="N951"/>
  <c r="P951"/>
  <c r="P953" s="1"/>
  <c r="S951"/>
  <c r="U951"/>
  <c r="P952"/>
  <c r="N969"/>
  <c r="P969"/>
  <c r="N970"/>
  <c r="P970"/>
  <c r="N971"/>
  <c r="P971"/>
  <c r="N972"/>
  <c r="P972"/>
  <c r="S972"/>
  <c r="U972"/>
  <c r="N973"/>
  <c r="P973"/>
  <c r="U973"/>
  <c r="N974"/>
  <c r="P974"/>
  <c r="N977"/>
  <c r="P977"/>
  <c r="P978"/>
  <c r="U978"/>
  <c r="O983"/>
  <c r="O984"/>
  <c r="T984"/>
  <c r="O985"/>
  <c r="O986"/>
  <c r="O989"/>
  <c r="T989"/>
  <c r="O990"/>
  <c r="Q990" s="1"/>
  <c r="N994"/>
  <c r="P994"/>
  <c r="N995"/>
  <c r="P995"/>
  <c r="P998" s="1"/>
  <c r="S995"/>
  <c r="U995"/>
  <c r="N996"/>
  <c r="P996"/>
  <c r="N997"/>
  <c r="P997"/>
  <c r="N1000"/>
  <c r="P1000"/>
  <c r="P1002" s="1"/>
  <c r="S1000"/>
  <c r="U1000"/>
  <c r="P1001"/>
  <c r="M1012"/>
  <c r="T1017"/>
  <c r="O1018"/>
  <c r="O1019"/>
  <c r="O1020"/>
  <c r="I1026"/>
  <c r="V1026" s="1"/>
  <c r="O1026"/>
  <c r="M1027"/>
  <c r="N1032"/>
  <c r="N1033"/>
  <c r="S1033"/>
  <c r="F1057"/>
  <c r="J1057"/>
  <c r="N1034"/>
  <c r="S1034"/>
  <c r="F1058"/>
  <c r="J1058"/>
  <c r="N1035"/>
  <c r="S1035"/>
  <c r="N1038"/>
  <c r="P1038"/>
  <c r="S1038"/>
  <c r="U1038"/>
  <c r="G1062"/>
  <c r="I1039"/>
  <c r="V1039" s="1"/>
  <c r="L1062"/>
  <c r="L1061" s="1"/>
  <c r="P1039"/>
  <c r="M1049"/>
  <c r="O1049"/>
  <c r="T1049"/>
  <c r="M1050"/>
  <c r="V1050" s="1"/>
  <c r="O1050"/>
  <c r="Q1050" s="1"/>
  <c r="G1087"/>
  <c r="F1098"/>
  <c r="S1098" s="1"/>
  <c r="G1109"/>
  <c r="T1109" s="1"/>
  <c r="T1116"/>
  <c r="L1120"/>
  <c r="T1127"/>
  <c r="H1131"/>
  <c r="K1131"/>
  <c r="F1142"/>
  <c r="S1142" s="1"/>
  <c r="J1142"/>
  <c r="L1142"/>
  <c r="H1153"/>
  <c r="U1153" s="1"/>
  <c r="K1153"/>
  <c r="G1294"/>
  <c r="G1200"/>
  <c r="K1294"/>
  <c r="K1200"/>
  <c r="G1296"/>
  <c r="G1202"/>
  <c r="K1296"/>
  <c r="K1202"/>
  <c r="G1297"/>
  <c r="G1203"/>
  <c r="K1297"/>
  <c r="K1203"/>
  <c r="H1334"/>
  <c r="P1207"/>
  <c r="H1206"/>
  <c r="K1334"/>
  <c r="M1334" s="1"/>
  <c r="H1335"/>
  <c r="U1208"/>
  <c r="P1208"/>
  <c r="K1335"/>
  <c r="K1361" s="1"/>
  <c r="M1208"/>
  <c r="S1159"/>
  <c r="N1159"/>
  <c r="U1159"/>
  <c r="P1159"/>
  <c r="N1061"/>
  <c r="S1061"/>
  <c r="N1062"/>
  <c r="O1067"/>
  <c r="T1067"/>
  <c r="I1068"/>
  <c r="M1068"/>
  <c r="M1071" s="1"/>
  <c r="O1068"/>
  <c r="O1071" s="1"/>
  <c r="T1068"/>
  <c r="O1069"/>
  <c r="T1069"/>
  <c r="O1070"/>
  <c r="T1070"/>
  <c r="G1073"/>
  <c r="T1073" s="1"/>
  <c r="M1074"/>
  <c r="O1074"/>
  <c r="T1074"/>
  <c r="M1075"/>
  <c r="O1075"/>
  <c r="T1075"/>
  <c r="N1079"/>
  <c r="P1079"/>
  <c r="N1080"/>
  <c r="P1080"/>
  <c r="P1083" s="1"/>
  <c r="S1080"/>
  <c r="U1080"/>
  <c r="N1081"/>
  <c r="P1081"/>
  <c r="N1082"/>
  <c r="P1082"/>
  <c r="H1085"/>
  <c r="I1085" s="1"/>
  <c r="N1085"/>
  <c r="S1085"/>
  <c r="P1086"/>
  <c r="I1090"/>
  <c r="V1090" s="1"/>
  <c r="O1090"/>
  <c r="I1091"/>
  <c r="M1091"/>
  <c r="M1094" s="1"/>
  <c r="O1091"/>
  <c r="T1091"/>
  <c r="I1092"/>
  <c r="V1092" s="1"/>
  <c r="O1092"/>
  <c r="I1093"/>
  <c r="V1093" s="1"/>
  <c r="O1093"/>
  <c r="G1096"/>
  <c r="I1096" s="1"/>
  <c r="M1096"/>
  <c r="M1098" s="1"/>
  <c r="O1097"/>
  <c r="Q1097" s="1"/>
  <c r="T1097"/>
  <c r="N1101"/>
  <c r="P1101"/>
  <c r="N1102"/>
  <c r="P1102"/>
  <c r="P1105" s="1"/>
  <c r="S1102"/>
  <c r="U1102"/>
  <c r="N1103"/>
  <c r="P1103"/>
  <c r="N1104"/>
  <c r="P1104"/>
  <c r="H1107"/>
  <c r="I1107" s="1"/>
  <c r="N1107"/>
  <c r="S1107"/>
  <c r="P1108"/>
  <c r="I1112"/>
  <c r="V1112" s="1"/>
  <c r="O1112"/>
  <c r="N1113"/>
  <c r="P1113"/>
  <c r="U1113"/>
  <c r="N1114"/>
  <c r="P1114"/>
  <c r="N1115"/>
  <c r="P1115"/>
  <c r="F1116"/>
  <c r="S1116" s="1"/>
  <c r="H1118"/>
  <c r="I1118" s="1"/>
  <c r="N1118"/>
  <c r="S1118"/>
  <c r="P1119"/>
  <c r="I1123"/>
  <c r="V1123" s="1"/>
  <c r="O1123"/>
  <c r="I1124"/>
  <c r="M1124"/>
  <c r="M1127" s="1"/>
  <c r="O1124"/>
  <c r="T1124"/>
  <c r="I1125"/>
  <c r="V1125" s="1"/>
  <c r="O1125"/>
  <c r="I1126"/>
  <c r="V1126" s="1"/>
  <c r="O1126"/>
  <c r="G1129"/>
  <c r="M1129"/>
  <c r="M1131" s="1"/>
  <c r="O1130"/>
  <c r="Q1130" s="1"/>
  <c r="T1130"/>
  <c r="N1134"/>
  <c r="P1134"/>
  <c r="N1135"/>
  <c r="P1135"/>
  <c r="P1138" s="1"/>
  <c r="S1135"/>
  <c r="U1135"/>
  <c r="N1136"/>
  <c r="P1136"/>
  <c r="N1137"/>
  <c r="P1137"/>
  <c r="H1140"/>
  <c r="I1140" s="1"/>
  <c r="N1140"/>
  <c r="S1140"/>
  <c r="P1141"/>
  <c r="I1145"/>
  <c r="V1145" s="1"/>
  <c r="O1145"/>
  <c r="I1146"/>
  <c r="M1146"/>
  <c r="M1149" s="1"/>
  <c r="O1146"/>
  <c r="T1146"/>
  <c r="I1147"/>
  <c r="V1147" s="1"/>
  <c r="O1147"/>
  <c r="I1148"/>
  <c r="V1148" s="1"/>
  <c r="O1148"/>
  <c r="G1151"/>
  <c r="I1151" s="1"/>
  <c r="M1151"/>
  <c r="M1153" s="1"/>
  <c r="O1152"/>
  <c r="Q1152" s="1"/>
  <c r="T1152"/>
  <c r="N1156"/>
  <c r="P1156"/>
  <c r="F1160"/>
  <c r="S1160" s="1"/>
  <c r="H1160"/>
  <c r="U1160" s="1"/>
  <c r="J1160"/>
  <c r="J1164" s="1"/>
  <c r="L1160"/>
  <c r="N1157"/>
  <c r="P1157"/>
  <c r="P1160" s="1"/>
  <c r="S1157"/>
  <c r="U1157"/>
  <c r="N1158"/>
  <c r="P1158"/>
  <c r="O1159"/>
  <c r="L1164"/>
  <c r="M1171"/>
  <c r="M1175"/>
  <c r="L1175"/>
  <c r="T1182"/>
  <c r="G1186"/>
  <c r="J1186"/>
  <c r="L1186"/>
  <c r="T1193"/>
  <c r="G1197"/>
  <c r="L1197"/>
  <c r="G1221"/>
  <c r="L1221"/>
  <c r="G1232"/>
  <c r="J1232"/>
  <c r="L1232"/>
  <c r="M1239"/>
  <c r="G1243"/>
  <c r="M1243"/>
  <c r="L1243"/>
  <c r="T1262"/>
  <c r="F1294"/>
  <c r="F1200"/>
  <c r="H1294"/>
  <c r="H1200"/>
  <c r="J1294"/>
  <c r="J1200"/>
  <c r="L1294"/>
  <c r="L1200"/>
  <c r="F1296"/>
  <c r="F1202"/>
  <c r="H1296"/>
  <c r="H1202"/>
  <c r="J1296"/>
  <c r="J1202"/>
  <c r="L1296"/>
  <c r="L1202"/>
  <c r="F1297"/>
  <c r="F1203"/>
  <c r="H1297"/>
  <c r="H1203"/>
  <c r="J1297"/>
  <c r="J1203"/>
  <c r="L1297"/>
  <c r="L1203"/>
  <c r="G1334"/>
  <c r="G1360" s="1"/>
  <c r="O1207"/>
  <c r="G1206"/>
  <c r="L1334"/>
  <c r="L1333" s="1"/>
  <c r="L1341" s="1"/>
  <c r="G1335"/>
  <c r="I1335" s="1"/>
  <c r="T1208"/>
  <c r="O1208"/>
  <c r="V1168"/>
  <c r="I1193"/>
  <c r="V1190"/>
  <c r="V1214"/>
  <c r="V1219"/>
  <c r="V1236"/>
  <c r="V1241"/>
  <c r="N1067"/>
  <c r="P1067"/>
  <c r="S1067"/>
  <c r="U1067"/>
  <c r="N1068"/>
  <c r="P1068"/>
  <c r="P1071" s="1"/>
  <c r="S1068"/>
  <c r="U1068"/>
  <c r="N1069"/>
  <c r="P1069"/>
  <c r="S1069"/>
  <c r="U1069"/>
  <c r="N1070"/>
  <c r="P1070"/>
  <c r="S1070"/>
  <c r="U1070"/>
  <c r="I1074"/>
  <c r="P1074"/>
  <c r="I1075"/>
  <c r="P1075"/>
  <c r="I1079"/>
  <c r="V1079" s="1"/>
  <c r="O1079"/>
  <c r="I1080"/>
  <c r="M1080"/>
  <c r="M1083" s="1"/>
  <c r="O1080"/>
  <c r="T1080"/>
  <c r="I1081"/>
  <c r="V1081" s="1"/>
  <c r="O1081"/>
  <c r="I1082"/>
  <c r="V1082" s="1"/>
  <c r="O1082"/>
  <c r="M1085"/>
  <c r="O1085"/>
  <c r="T1085"/>
  <c r="M1086"/>
  <c r="V1086" s="1"/>
  <c r="O1086"/>
  <c r="N1090"/>
  <c r="P1090"/>
  <c r="N1091"/>
  <c r="P1091"/>
  <c r="P1094" s="1"/>
  <c r="S1091"/>
  <c r="U1091"/>
  <c r="N1092"/>
  <c r="P1092"/>
  <c r="N1093"/>
  <c r="P1093"/>
  <c r="N1096"/>
  <c r="P1096"/>
  <c r="P1098" s="1"/>
  <c r="S1096"/>
  <c r="U1096"/>
  <c r="I1101"/>
  <c r="V1101" s="1"/>
  <c r="O1101"/>
  <c r="I1102"/>
  <c r="M1102"/>
  <c r="O1102"/>
  <c r="T1102"/>
  <c r="I1103"/>
  <c r="V1103" s="1"/>
  <c r="O1103"/>
  <c r="I1104"/>
  <c r="V1104" s="1"/>
  <c r="O1104"/>
  <c r="M1107"/>
  <c r="O1107"/>
  <c r="T1107"/>
  <c r="M1108"/>
  <c r="V1108" s="1"/>
  <c r="O1108"/>
  <c r="Q1108" s="1"/>
  <c r="N1112"/>
  <c r="P1112"/>
  <c r="I1113"/>
  <c r="M1113"/>
  <c r="M1116" s="1"/>
  <c r="O1113"/>
  <c r="T1113"/>
  <c r="I1114"/>
  <c r="O1114"/>
  <c r="I1115"/>
  <c r="O1115"/>
  <c r="M1118"/>
  <c r="O1118"/>
  <c r="T1118"/>
  <c r="M1119"/>
  <c r="V1119" s="1"/>
  <c r="O1119"/>
  <c r="N1123"/>
  <c r="P1123"/>
  <c r="N1124"/>
  <c r="P1124"/>
  <c r="P1127" s="1"/>
  <c r="S1124"/>
  <c r="U1124"/>
  <c r="N1125"/>
  <c r="P1125"/>
  <c r="N1126"/>
  <c r="P1126"/>
  <c r="N1129"/>
  <c r="P1129"/>
  <c r="P1131" s="1"/>
  <c r="S1129"/>
  <c r="U1129"/>
  <c r="I1134"/>
  <c r="V1134" s="1"/>
  <c r="O1134"/>
  <c r="I1135"/>
  <c r="M1135"/>
  <c r="M1138" s="1"/>
  <c r="O1135"/>
  <c r="T1135"/>
  <c r="I1136"/>
  <c r="V1136" s="1"/>
  <c r="O1136"/>
  <c r="I1137"/>
  <c r="V1137" s="1"/>
  <c r="O1137"/>
  <c r="M1140"/>
  <c r="O1140"/>
  <c r="T1140"/>
  <c r="M1141"/>
  <c r="O1141"/>
  <c r="Q1141" s="1"/>
  <c r="N1145"/>
  <c r="P1145"/>
  <c r="N1146"/>
  <c r="P1146"/>
  <c r="P1149" s="1"/>
  <c r="S1146"/>
  <c r="U1146"/>
  <c r="N1147"/>
  <c r="P1147"/>
  <c r="N1148"/>
  <c r="P1148"/>
  <c r="N1151"/>
  <c r="P1151"/>
  <c r="P1153" s="1"/>
  <c r="S1151"/>
  <c r="U1151"/>
  <c r="I1156"/>
  <c r="V1156" s="1"/>
  <c r="O1156"/>
  <c r="G1160"/>
  <c r="I1157"/>
  <c r="K1160"/>
  <c r="K1164" s="1"/>
  <c r="M1157"/>
  <c r="M1160" s="1"/>
  <c r="O1157"/>
  <c r="T1157"/>
  <c r="I1158"/>
  <c r="V1158" s="1"/>
  <c r="O1158"/>
  <c r="I1159"/>
  <c r="V1159" s="1"/>
  <c r="F1164"/>
  <c r="S1164" s="1"/>
  <c r="H1175"/>
  <c r="U1175" s="1"/>
  <c r="F1186"/>
  <c r="S1186" s="1"/>
  <c r="H1186"/>
  <c r="U1186" s="1"/>
  <c r="K1186"/>
  <c r="H1197"/>
  <c r="U1197" s="1"/>
  <c r="K1197"/>
  <c r="F1232"/>
  <c r="S1232" s="1"/>
  <c r="H1243"/>
  <c r="U1243" s="1"/>
  <c r="I1281"/>
  <c r="S1281"/>
  <c r="N1281"/>
  <c r="U1281"/>
  <c r="P1281"/>
  <c r="I1283"/>
  <c r="V1283" s="1"/>
  <c r="S1283"/>
  <c r="N1283"/>
  <c r="F1282"/>
  <c r="F1280" s="1"/>
  <c r="U1283"/>
  <c r="P1283"/>
  <c r="H1282"/>
  <c r="H1280" s="1"/>
  <c r="U1280" s="1"/>
  <c r="M1283"/>
  <c r="J1282"/>
  <c r="M1282" s="1"/>
  <c r="I1284"/>
  <c r="V1284" s="1"/>
  <c r="S1284"/>
  <c r="N1284"/>
  <c r="U1284"/>
  <c r="P1284"/>
  <c r="T1326"/>
  <c r="O1326"/>
  <c r="O1325" s="1"/>
  <c r="G1325"/>
  <c r="T1325" s="1"/>
  <c r="L1325"/>
  <c r="I1287"/>
  <c r="S1287"/>
  <c r="N1287"/>
  <c r="I1289"/>
  <c r="V1289" s="1"/>
  <c r="S1289"/>
  <c r="N1289"/>
  <c r="F1288"/>
  <c r="U1289"/>
  <c r="P1289"/>
  <c r="H1288"/>
  <c r="M1289"/>
  <c r="J1288"/>
  <c r="M1288" s="1"/>
  <c r="I1290"/>
  <c r="V1290" s="1"/>
  <c r="S1290"/>
  <c r="N1290"/>
  <c r="U1290"/>
  <c r="P1290"/>
  <c r="F1348"/>
  <c r="I1291"/>
  <c r="S1291"/>
  <c r="N1291"/>
  <c r="H1348"/>
  <c r="U1291"/>
  <c r="P1291"/>
  <c r="J1348"/>
  <c r="M1348" s="1"/>
  <c r="M1291"/>
  <c r="T1330"/>
  <c r="O1330"/>
  <c r="O1329" s="1"/>
  <c r="G1329"/>
  <c r="T1329" s="1"/>
  <c r="S1272"/>
  <c r="U1272"/>
  <c r="I1162"/>
  <c r="M1162"/>
  <c r="M1164" s="1"/>
  <c r="O1162"/>
  <c r="T1162"/>
  <c r="O1163"/>
  <c r="T1163"/>
  <c r="N1167"/>
  <c r="P1167"/>
  <c r="S1167"/>
  <c r="N1168"/>
  <c r="P1168"/>
  <c r="S1168"/>
  <c r="U1168"/>
  <c r="N1169"/>
  <c r="P1169"/>
  <c r="S1169"/>
  <c r="N1170"/>
  <c r="P1170"/>
  <c r="S1170"/>
  <c r="F1171"/>
  <c r="S1171" s="1"/>
  <c r="J1171"/>
  <c r="N1173"/>
  <c r="P1173"/>
  <c r="S1173"/>
  <c r="U1173"/>
  <c r="I1174"/>
  <c r="V1174" s="1"/>
  <c r="P1174"/>
  <c r="F1175"/>
  <c r="S1175" s="1"/>
  <c r="J1175"/>
  <c r="I1178"/>
  <c r="V1178" s="1"/>
  <c r="O1178"/>
  <c r="I1179"/>
  <c r="M1179"/>
  <c r="M1182" s="1"/>
  <c r="O1179"/>
  <c r="O1182" s="1"/>
  <c r="T1179"/>
  <c r="I1180"/>
  <c r="V1180" s="1"/>
  <c r="O1180"/>
  <c r="I1181"/>
  <c r="V1181" s="1"/>
  <c r="O1181"/>
  <c r="I1184"/>
  <c r="M1184"/>
  <c r="M1186" s="1"/>
  <c r="O1184"/>
  <c r="O1186" s="1"/>
  <c r="T1184"/>
  <c r="O1185"/>
  <c r="T1185"/>
  <c r="N1189"/>
  <c r="P1189"/>
  <c r="S1189"/>
  <c r="N1190"/>
  <c r="P1190"/>
  <c r="P1193" s="1"/>
  <c r="S1190"/>
  <c r="U1190"/>
  <c r="N1191"/>
  <c r="P1191"/>
  <c r="S1191"/>
  <c r="N1192"/>
  <c r="P1192"/>
  <c r="S1192"/>
  <c r="F1193"/>
  <c r="S1193" s="1"/>
  <c r="J1193"/>
  <c r="J1197" s="1"/>
  <c r="N1195"/>
  <c r="P1195"/>
  <c r="P1197" s="1"/>
  <c r="S1195"/>
  <c r="U1195"/>
  <c r="I1196"/>
  <c r="V1196" s="1"/>
  <c r="P1196"/>
  <c r="I1207"/>
  <c r="M1207"/>
  <c r="M1206" s="1"/>
  <c r="I1208"/>
  <c r="N1213"/>
  <c r="P1213"/>
  <c r="S1213"/>
  <c r="U1213"/>
  <c r="N1214"/>
  <c r="P1214"/>
  <c r="P1217" s="1"/>
  <c r="S1214"/>
  <c r="U1214"/>
  <c r="N1215"/>
  <c r="P1215"/>
  <c r="S1215"/>
  <c r="U1215"/>
  <c r="N1216"/>
  <c r="P1216"/>
  <c r="S1216"/>
  <c r="U1216"/>
  <c r="F1217"/>
  <c r="S1217" s="1"/>
  <c r="J1217"/>
  <c r="N1219"/>
  <c r="P1219"/>
  <c r="P1221" s="1"/>
  <c r="S1219"/>
  <c r="U1219"/>
  <c r="I1220"/>
  <c r="V1220" s="1"/>
  <c r="P1220"/>
  <c r="U1220"/>
  <c r="J1221"/>
  <c r="I1224"/>
  <c r="I1225"/>
  <c r="M1225"/>
  <c r="O1225"/>
  <c r="T1225"/>
  <c r="I1226"/>
  <c r="V1226" s="1"/>
  <c r="O1226"/>
  <c r="I1227"/>
  <c r="V1227" s="1"/>
  <c r="O1227"/>
  <c r="I1230"/>
  <c r="M1230"/>
  <c r="O1230"/>
  <c r="T1230"/>
  <c r="O1231"/>
  <c r="T1231"/>
  <c r="N1235"/>
  <c r="P1235"/>
  <c r="S1235"/>
  <c r="N1236"/>
  <c r="P1236"/>
  <c r="S1236"/>
  <c r="U1236"/>
  <c r="N1237"/>
  <c r="P1237"/>
  <c r="S1237"/>
  <c r="N1238"/>
  <c r="P1238"/>
  <c r="S1238"/>
  <c r="F1239"/>
  <c r="S1239" s="1"/>
  <c r="J1239"/>
  <c r="N1241"/>
  <c r="P1241"/>
  <c r="S1241"/>
  <c r="U1241"/>
  <c r="I1242"/>
  <c r="V1242" s="1"/>
  <c r="P1242"/>
  <c r="F1243"/>
  <c r="S1243" s="1"/>
  <c r="J1243"/>
  <c r="G1246"/>
  <c r="G1248"/>
  <c r="K1248"/>
  <c r="G1249"/>
  <c r="K1249"/>
  <c r="G1253"/>
  <c r="K1253"/>
  <c r="I1257"/>
  <c r="N1257"/>
  <c r="P1257"/>
  <c r="S1257"/>
  <c r="U1257"/>
  <c r="N1258"/>
  <c r="P1258"/>
  <c r="S1258"/>
  <c r="N1259"/>
  <c r="P1259"/>
  <c r="S1259"/>
  <c r="U1259"/>
  <c r="N1260"/>
  <c r="P1260"/>
  <c r="S1260"/>
  <c r="U1260"/>
  <c r="N1261"/>
  <c r="P1261"/>
  <c r="S1261"/>
  <c r="U1261"/>
  <c r="F1262"/>
  <c r="S1262" s="1"/>
  <c r="H1262"/>
  <c r="U1262" s="1"/>
  <c r="J1262"/>
  <c r="L1262"/>
  <c r="N1265"/>
  <c r="P1265"/>
  <c r="I1266"/>
  <c r="V1266" s="1"/>
  <c r="P1266"/>
  <c r="U1266"/>
  <c r="F1267"/>
  <c r="S1267" s="1"/>
  <c r="H1267"/>
  <c r="U1267" s="1"/>
  <c r="J1267"/>
  <c r="L1267"/>
  <c r="S1334"/>
  <c r="N1334"/>
  <c r="F1333"/>
  <c r="S1333" s="1"/>
  <c r="J1333"/>
  <c r="S1335"/>
  <c r="N1335"/>
  <c r="F1361"/>
  <c r="J1361"/>
  <c r="M1361" s="1"/>
  <c r="M1335"/>
  <c r="T1283"/>
  <c r="O1283"/>
  <c r="G1282"/>
  <c r="G1280" s="1"/>
  <c r="T1284"/>
  <c r="O1284"/>
  <c r="U1326"/>
  <c r="P1326"/>
  <c r="P1325" s="1"/>
  <c r="H1325"/>
  <c r="U1325" s="1"/>
  <c r="H1360"/>
  <c r="K1325"/>
  <c r="U1287"/>
  <c r="P1287"/>
  <c r="H1286"/>
  <c r="U1286" s="1"/>
  <c r="M1287"/>
  <c r="M1286" s="1"/>
  <c r="J1286"/>
  <c r="T1289"/>
  <c r="O1289"/>
  <c r="G1288"/>
  <c r="T1290"/>
  <c r="O1290"/>
  <c r="G1348"/>
  <c r="T1291"/>
  <c r="O1291"/>
  <c r="U1330"/>
  <c r="P1330"/>
  <c r="P1329" s="1"/>
  <c r="H1329"/>
  <c r="U1329" s="1"/>
  <c r="I1276"/>
  <c r="N1162"/>
  <c r="P1162"/>
  <c r="P1164" s="1"/>
  <c r="S1162"/>
  <c r="U1162"/>
  <c r="P1163"/>
  <c r="O1167"/>
  <c r="O1168"/>
  <c r="T1168"/>
  <c r="O1169"/>
  <c r="O1170"/>
  <c r="T1173"/>
  <c r="O1174"/>
  <c r="Q1174" s="1"/>
  <c r="N1178"/>
  <c r="P1178"/>
  <c r="N1179"/>
  <c r="P1179"/>
  <c r="P1182" s="1"/>
  <c r="S1179"/>
  <c r="U1179"/>
  <c r="N1180"/>
  <c r="P1180"/>
  <c r="N1181"/>
  <c r="P1181"/>
  <c r="N1184"/>
  <c r="P1184"/>
  <c r="P1186" s="1"/>
  <c r="S1184"/>
  <c r="U1184"/>
  <c r="P1185"/>
  <c r="O1189"/>
  <c r="O1190"/>
  <c r="T1190"/>
  <c r="O1191"/>
  <c r="O1192"/>
  <c r="I1195"/>
  <c r="M1195"/>
  <c r="O1195"/>
  <c r="T1195"/>
  <c r="O1196"/>
  <c r="Q1196" s="1"/>
  <c r="N1207"/>
  <c r="S1207"/>
  <c r="N1208"/>
  <c r="S1208"/>
  <c r="I1213"/>
  <c r="O1214"/>
  <c r="T1214"/>
  <c r="I1215"/>
  <c r="V1215" s="1"/>
  <c r="M1215"/>
  <c r="O1215"/>
  <c r="T1215"/>
  <c r="I1216"/>
  <c r="V1216" s="1"/>
  <c r="M1216"/>
  <c r="O1216"/>
  <c r="T1216"/>
  <c r="O1219"/>
  <c r="M1220"/>
  <c r="O1220"/>
  <c r="Q1220" s="1"/>
  <c r="T1220"/>
  <c r="N1224"/>
  <c r="P1224"/>
  <c r="N1225"/>
  <c r="P1225"/>
  <c r="P1228" s="1"/>
  <c r="S1225"/>
  <c r="U1225"/>
  <c r="N1226"/>
  <c r="P1226"/>
  <c r="N1227"/>
  <c r="P1227"/>
  <c r="N1230"/>
  <c r="P1230"/>
  <c r="P1232" s="1"/>
  <c r="S1230"/>
  <c r="U1230"/>
  <c r="P1231"/>
  <c r="O1235"/>
  <c r="O1236"/>
  <c r="T1236"/>
  <c r="O1237"/>
  <c r="O1238"/>
  <c r="O1241"/>
  <c r="T1241"/>
  <c r="O1242"/>
  <c r="Q1242" s="1"/>
  <c r="F1246"/>
  <c r="H1246"/>
  <c r="J1246"/>
  <c r="L1246"/>
  <c r="F1248"/>
  <c r="H1248"/>
  <c r="J1248"/>
  <c r="L1248"/>
  <c r="F1249"/>
  <c r="H1249"/>
  <c r="J1249"/>
  <c r="L1249"/>
  <c r="N1252"/>
  <c r="H1253"/>
  <c r="L1253"/>
  <c r="L1252" s="1"/>
  <c r="N1253"/>
  <c r="M1257"/>
  <c r="O1258"/>
  <c r="T1258"/>
  <c r="I1259"/>
  <c r="V1259" s="1"/>
  <c r="M1259"/>
  <c r="O1259"/>
  <c r="T1259"/>
  <c r="I1260"/>
  <c r="M1260"/>
  <c r="O1260"/>
  <c r="T1260"/>
  <c r="I1261"/>
  <c r="M1261"/>
  <c r="O1261"/>
  <c r="T1261"/>
  <c r="O1262"/>
  <c r="I1265"/>
  <c r="V1265" s="1"/>
  <c r="M1265"/>
  <c r="O1265"/>
  <c r="M1266"/>
  <c r="O1266"/>
  <c r="T1266"/>
  <c r="N1273"/>
  <c r="P1273"/>
  <c r="P1272" s="1"/>
  <c r="S1273"/>
  <c r="N1274"/>
  <c r="P1274"/>
  <c r="S1274"/>
  <c r="N1277"/>
  <c r="P1277"/>
  <c r="P1276" s="1"/>
  <c r="S1277"/>
  <c r="N1278"/>
  <c r="P1278"/>
  <c r="S1278"/>
  <c r="N1304"/>
  <c r="S1304"/>
  <c r="T1354"/>
  <c r="O1354"/>
  <c r="G1352"/>
  <c r="T1352" s="1"/>
  <c r="M1354"/>
  <c r="J1352"/>
  <c r="T1355"/>
  <c r="O1355"/>
  <c r="T1356"/>
  <c r="O1356"/>
  <c r="T1357"/>
  <c r="O1357"/>
  <c r="O1273"/>
  <c r="O1274"/>
  <c r="O1277"/>
  <c r="O1278"/>
  <c r="O1287"/>
  <c r="J1341"/>
  <c r="M1355"/>
  <c r="J1360"/>
  <c r="M1330"/>
  <c r="M1329" s="1"/>
  <c r="T1317"/>
  <c r="I1319"/>
  <c r="M1319"/>
  <c r="O1319"/>
  <c r="T1319"/>
  <c r="I1320"/>
  <c r="M1320"/>
  <c r="O1320"/>
  <c r="T1320"/>
  <c r="I1321"/>
  <c r="M1321"/>
  <c r="O1321"/>
  <c r="T1321"/>
  <c r="I1322"/>
  <c r="M1322"/>
  <c r="O1322"/>
  <c r="T1322"/>
  <c r="I1326"/>
  <c r="M1326"/>
  <c r="M1325" s="1"/>
  <c r="I1330"/>
  <c r="I1339"/>
  <c r="F1354"/>
  <c r="H1354"/>
  <c r="F1355"/>
  <c r="H1355"/>
  <c r="F1356"/>
  <c r="H1356"/>
  <c r="F1357"/>
  <c r="H1357"/>
  <c r="F1360"/>
  <c r="S1317"/>
  <c r="U1317"/>
  <c r="N1319"/>
  <c r="P1319"/>
  <c r="N1320"/>
  <c r="P1320"/>
  <c r="N1321"/>
  <c r="P1321"/>
  <c r="N1322"/>
  <c r="P1322"/>
  <c r="N1326"/>
  <c r="N1330"/>
  <c r="N1339"/>
  <c r="T48" i="8"/>
  <c r="O48"/>
  <c r="G59"/>
  <c r="G120"/>
  <c r="T110"/>
  <c r="O110"/>
  <c r="U224"/>
  <c r="P224"/>
  <c r="H223"/>
  <c r="U226"/>
  <c r="P226"/>
  <c r="F170"/>
  <c r="S160"/>
  <c r="N160"/>
  <c r="H170"/>
  <c r="U160"/>
  <c r="P160"/>
  <c r="G185"/>
  <c r="T175"/>
  <c r="O175"/>
  <c r="I307"/>
  <c r="T345"/>
  <c r="O345"/>
  <c r="U350"/>
  <c r="P350"/>
  <c r="H360"/>
  <c r="V12"/>
  <c r="V14"/>
  <c r="M32"/>
  <c r="O32"/>
  <c r="M39"/>
  <c r="O39"/>
  <c r="J39"/>
  <c r="L39"/>
  <c r="M310"/>
  <c r="V38"/>
  <c r="Q38"/>
  <c r="Q35"/>
  <c r="F126"/>
  <c r="N124"/>
  <c r="U124"/>
  <c r="P124"/>
  <c r="F90"/>
  <c r="S80"/>
  <c r="N80"/>
  <c r="H90"/>
  <c r="U80"/>
  <c r="P80"/>
  <c r="G105"/>
  <c r="T95"/>
  <c r="O95"/>
  <c r="L219"/>
  <c r="L221" s="1"/>
  <c r="L144"/>
  <c r="L154" s="1"/>
  <c r="M224"/>
  <c r="M223" s="1"/>
  <c r="J223"/>
  <c r="M226"/>
  <c r="J225"/>
  <c r="T229"/>
  <c r="O229"/>
  <c r="Q229" s="1"/>
  <c r="R229" s="1"/>
  <c r="S230"/>
  <c r="N230"/>
  <c r="G375"/>
  <c r="T365"/>
  <c r="O365"/>
  <c r="V17"/>
  <c r="H39"/>
  <c r="U39" s="1"/>
  <c r="K39"/>
  <c r="L231"/>
  <c r="M229"/>
  <c r="I1759"/>
  <c r="V1759" s="1"/>
  <c r="S1759"/>
  <c r="N1759"/>
  <c r="S1729"/>
  <c r="N1729"/>
  <c r="F1728"/>
  <c r="U1729"/>
  <c r="P1729"/>
  <c r="H1728"/>
  <c r="J1728"/>
  <c r="J1727" s="1"/>
  <c r="M1729"/>
  <c r="M1728" s="1"/>
  <c r="T1730"/>
  <c r="O1730"/>
  <c r="S1731"/>
  <c r="N1731"/>
  <c r="U1731"/>
  <c r="P1731"/>
  <c r="I1801"/>
  <c r="S1801"/>
  <c r="N1801"/>
  <c r="F1800"/>
  <c r="U1801"/>
  <c r="P1801"/>
  <c r="P1800" s="1"/>
  <c r="H1800"/>
  <c r="M1801"/>
  <c r="M1800" s="1"/>
  <c r="J1800"/>
  <c r="I1804"/>
  <c r="S1804"/>
  <c r="N1804"/>
  <c r="H1806"/>
  <c r="U1804"/>
  <c r="P1804"/>
  <c r="M1804"/>
  <c r="T1808"/>
  <c r="O1808"/>
  <c r="I1809"/>
  <c r="S1809"/>
  <c r="N1809"/>
  <c r="U1809"/>
  <c r="P1809"/>
  <c r="M1809"/>
  <c r="I1813"/>
  <c r="S1813"/>
  <c r="N1813"/>
  <c r="F1812"/>
  <c r="U1813"/>
  <c r="P1813"/>
  <c r="H1812"/>
  <c r="M1813"/>
  <c r="M1812" s="1"/>
  <c r="J1812"/>
  <c r="G1819"/>
  <c r="T1817"/>
  <c r="O1817"/>
  <c r="I1821"/>
  <c r="S1821"/>
  <c r="N1821"/>
  <c r="U1821"/>
  <c r="P1821"/>
  <c r="T1822"/>
  <c r="O1822"/>
  <c r="T224"/>
  <c r="O224"/>
  <c r="G223"/>
  <c r="O226"/>
  <c r="G225"/>
  <c r="S227"/>
  <c r="N227"/>
  <c r="S190"/>
  <c r="N190"/>
  <c r="H200"/>
  <c r="U190"/>
  <c r="P190"/>
  <c r="S199"/>
  <c r="I199"/>
  <c r="V199" s="1"/>
  <c r="T204"/>
  <c r="O204"/>
  <c r="V208"/>
  <c r="I207"/>
  <c r="V207" s="1"/>
  <c r="S210"/>
  <c r="I210"/>
  <c r="T213"/>
  <c r="G209"/>
  <c r="F299"/>
  <c r="F239"/>
  <c r="S234"/>
  <c r="J299"/>
  <c r="J239"/>
  <c r="T235"/>
  <c r="G234"/>
  <c r="G300"/>
  <c r="O238"/>
  <c r="M245"/>
  <c r="J243"/>
  <c r="G265"/>
  <c r="I261"/>
  <c r="F259"/>
  <c r="S263"/>
  <c r="I263"/>
  <c r="V263" s="1"/>
  <c r="U263"/>
  <c r="H259"/>
  <c r="S270"/>
  <c r="N270"/>
  <c r="H280"/>
  <c r="U270"/>
  <c r="P270"/>
  <c r="S279"/>
  <c r="I279"/>
  <c r="G394"/>
  <c r="S315"/>
  <c r="I315"/>
  <c r="F314"/>
  <c r="U315"/>
  <c r="H314"/>
  <c r="H319" s="1"/>
  <c r="K395"/>
  <c r="O395" s="1"/>
  <c r="K319"/>
  <c r="T399"/>
  <c r="O399"/>
  <c r="G398"/>
  <c r="J399"/>
  <c r="M322"/>
  <c r="M321" s="1"/>
  <c r="T401"/>
  <c r="O401"/>
  <c r="J401"/>
  <c r="M324"/>
  <c r="F405"/>
  <c r="S328"/>
  <c r="I328"/>
  <c r="V328" s="1"/>
  <c r="H405"/>
  <c r="U328"/>
  <c r="J335"/>
  <c r="J345" s="1"/>
  <c r="M333"/>
  <c r="G360"/>
  <c r="T350"/>
  <c r="O350"/>
  <c r="J402"/>
  <c r="M402" s="1"/>
  <c r="M356"/>
  <c r="J404"/>
  <c r="M358"/>
  <c r="F375"/>
  <c r="S365"/>
  <c r="N365"/>
  <c r="U365"/>
  <c r="G390"/>
  <c r="T380"/>
  <c r="O380"/>
  <c r="G509"/>
  <c r="T507"/>
  <c r="O507"/>
  <c r="M507"/>
  <c r="U508"/>
  <c r="P508"/>
  <c r="I512"/>
  <c r="S512"/>
  <c r="N512"/>
  <c r="F511"/>
  <c r="U512"/>
  <c r="P512"/>
  <c r="I515"/>
  <c r="S515"/>
  <c r="N515"/>
  <c r="F514"/>
  <c r="U515"/>
  <c r="P515"/>
  <c r="S516"/>
  <c r="N516"/>
  <c r="I518"/>
  <c r="S518"/>
  <c r="N518"/>
  <c r="U518"/>
  <c r="P518"/>
  <c r="I519"/>
  <c r="S519"/>
  <c r="N519"/>
  <c r="U519"/>
  <c r="P519"/>
  <c r="F440"/>
  <c r="S430"/>
  <c r="N430"/>
  <c r="H440"/>
  <c r="U430"/>
  <c r="P430"/>
  <c r="G455"/>
  <c r="T445"/>
  <c r="O445"/>
  <c r="S460"/>
  <c r="N460"/>
  <c r="U460"/>
  <c r="P460"/>
  <c r="G486"/>
  <c r="T476"/>
  <c r="O476"/>
  <c r="V489"/>
  <c r="H503"/>
  <c r="U491"/>
  <c r="P491"/>
  <c r="V498"/>
  <c r="T557"/>
  <c r="O557"/>
  <c r="J559"/>
  <c r="M557"/>
  <c r="U558"/>
  <c r="P558"/>
  <c r="S562"/>
  <c r="N562"/>
  <c r="F561"/>
  <c r="I562"/>
  <c r="U562"/>
  <c r="P562"/>
  <c r="H561"/>
  <c r="S564"/>
  <c r="N564"/>
  <c r="F563"/>
  <c r="I564"/>
  <c r="U564"/>
  <c r="P564"/>
  <c r="H563"/>
  <c r="S565"/>
  <c r="N565"/>
  <c r="S567"/>
  <c r="N567"/>
  <c r="I567"/>
  <c r="U567"/>
  <c r="P567"/>
  <c r="S568"/>
  <c r="N568"/>
  <c r="I568"/>
  <c r="U568"/>
  <c r="P568"/>
  <c r="V542"/>
  <c r="U544"/>
  <c r="P544"/>
  <c r="T554"/>
  <c r="J624"/>
  <c r="M622"/>
  <c r="U623"/>
  <c r="P623"/>
  <c r="S627"/>
  <c r="N627"/>
  <c r="F626"/>
  <c r="U627"/>
  <c r="P627"/>
  <c r="H626"/>
  <c r="G603"/>
  <c r="T593"/>
  <c r="O593"/>
  <c r="G618"/>
  <c r="T608"/>
  <c r="O608"/>
  <c r="V611"/>
  <c r="I610"/>
  <c r="V610" s="1"/>
  <c r="V613"/>
  <c r="I612"/>
  <c r="V612" s="1"/>
  <c r="N12"/>
  <c r="P12"/>
  <c r="P32" s="1"/>
  <c r="P39" s="1"/>
  <c r="Q15"/>
  <c r="Q17" s="1"/>
  <c r="V15"/>
  <c r="U24"/>
  <c r="G32"/>
  <c r="T32" s="1"/>
  <c r="N38"/>
  <c r="T38"/>
  <c r="O43"/>
  <c r="N44"/>
  <c r="P44"/>
  <c r="T44"/>
  <c r="I45"/>
  <c r="M45"/>
  <c r="O45"/>
  <c r="S45"/>
  <c r="U45"/>
  <c r="N46"/>
  <c r="P46"/>
  <c r="T46"/>
  <c r="M47"/>
  <c r="O47"/>
  <c r="U47"/>
  <c r="F48"/>
  <c r="H48"/>
  <c r="J48"/>
  <c r="J59" s="1"/>
  <c r="L48"/>
  <c r="L59" s="1"/>
  <c r="N50"/>
  <c r="P50"/>
  <c r="N51"/>
  <c r="P51"/>
  <c r="S51"/>
  <c r="U51"/>
  <c r="N53"/>
  <c r="P53"/>
  <c r="N54"/>
  <c r="P54"/>
  <c r="T54"/>
  <c r="I55"/>
  <c r="V55" s="1"/>
  <c r="I57"/>
  <c r="M57"/>
  <c r="O57"/>
  <c r="S57"/>
  <c r="U57"/>
  <c r="N58"/>
  <c r="P58"/>
  <c r="T58"/>
  <c r="N63"/>
  <c r="P63"/>
  <c r="T63"/>
  <c r="M64"/>
  <c r="O64"/>
  <c r="U64"/>
  <c r="F65"/>
  <c r="H65"/>
  <c r="J65"/>
  <c r="J75" s="1"/>
  <c r="L65"/>
  <c r="L75" s="1"/>
  <c r="L121" s="1"/>
  <c r="N67"/>
  <c r="P67"/>
  <c r="N68"/>
  <c r="P68"/>
  <c r="T68"/>
  <c r="O69"/>
  <c r="I70"/>
  <c r="M70"/>
  <c r="O70"/>
  <c r="S70"/>
  <c r="U70"/>
  <c r="N71"/>
  <c r="Q71" s="1"/>
  <c r="S71"/>
  <c r="N73"/>
  <c r="P73"/>
  <c r="T73"/>
  <c r="I74"/>
  <c r="M74"/>
  <c r="O74"/>
  <c r="S74"/>
  <c r="U74"/>
  <c r="I78"/>
  <c r="M78"/>
  <c r="M80" s="1"/>
  <c r="O78"/>
  <c r="S78"/>
  <c r="U78"/>
  <c r="I79"/>
  <c r="V79" s="1"/>
  <c r="P79"/>
  <c r="Q79" s="1"/>
  <c r="T79"/>
  <c r="G80"/>
  <c r="O82"/>
  <c r="I83"/>
  <c r="O83"/>
  <c r="O84"/>
  <c r="I85"/>
  <c r="O85"/>
  <c r="S85"/>
  <c r="U85"/>
  <c r="N86"/>
  <c r="Q86" s="1"/>
  <c r="S86"/>
  <c r="N88"/>
  <c r="P88"/>
  <c r="S88"/>
  <c r="N89"/>
  <c r="P89"/>
  <c r="T89"/>
  <c r="N93"/>
  <c r="P93"/>
  <c r="T93"/>
  <c r="O94"/>
  <c r="Q94" s="1"/>
  <c r="U94"/>
  <c r="F95"/>
  <c r="H95"/>
  <c r="J95"/>
  <c r="J105" s="1"/>
  <c r="N97"/>
  <c r="P97"/>
  <c r="N98"/>
  <c r="P98"/>
  <c r="T98"/>
  <c r="O99"/>
  <c r="I100"/>
  <c r="O100"/>
  <c r="Q100" s="1"/>
  <c r="R100" s="1"/>
  <c r="S100"/>
  <c r="U100"/>
  <c r="N101"/>
  <c r="Q101" s="1"/>
  <c r="S101"/>
  <c r="N103"/>
  <c r="P103"/>
  <c r="T103"/>
  <c r="I104"/>
  <c r="V104" s="1"/>
  <c r="O104"/>
  <c r="Q104" s="1"/>
  <c r="R104" s="1"/>
  <c r="S104"/>
  <c r="U104"/>
  <c r="I108"/>
  <c r="M108"/>
  <c r="M110" s="1"/>
  <c r="M120" s="1"/>
  <c r="O108"/>
  <c r="Q108" s="1"/>
  <c r="R108" s="1"/>
  <c r="S108"/>
  <c r="U108"/>
  <c r="I109"/>
  <c r="V109" s="1"/>
  <c r="P109"/>
  <c r="F110"/>
  <c r="H110"/>
  <c r="N112"/>
  <c r="P112"/>
  <c r="N113"/>
  <c r="P113"/>
  <c r="T113"/>
  <c r="O114"/>
  <c r="I115"/>
  <c r="O115"/>
  <c r="Q115" s="1"/>
  <c r="R115" s="1"/>
  <c r="S115"/>
  <c r="U115"/>
  <c r="N116"/>
  <c r="Q116" s="1"/>
  <c r="S116"/>
  <c r="N118"/>
  <c r="P118"/>
  <c r="T118"/>
  <c r="I119"/>
  <c r="V119" s="1"/>
  <c r="O119"/>
  <c r="Q119" s="1"/>
  <c r="R119" s="1"/>
  <c r="S119"/>
  <c r="U119"/>
  <c r="G124"/>
  <c r="K124"/>
  <c r="G125"/>
  <c r="K125"/>
  <c r="G129"/>
  <c r="K129"/>
  <c r="K128" s="1"/>
  <c r="G131"/>
  <c r="K131"/>
  <c r="F132"/>
  <c r="J132"/>
  <c r="M132" s="1"/>
  <c r="P132"/>
  <c r="F134"/>
  <c r="H134"/>
  <c r="J134"/>
  <c r="L134"/>
  <c r="G135"/>
  <c r="K135"/>
  <c r="K221"/>
  <c r="N140"/>
  <c r="P140"/>
  <c r="I141"/>
  <c r="V141" s="1"/>
  <c r="O141"/>
  <c r="Q141" s="1"/>
  <c r="R141" s="1"/>
  <c r="N142"/>
  <c r="P142"/>
  <c r="M143"/>
  <c r="M144" s="1"/>
  <c r="O143"/>
  <c r="U143"/>
  <c r="O146"/>
  <c r="I147"/>
  <c r="M147"/>
  <c r="M146" s="1"/>
  <c r="O147"/>
  <c r="T147"/>
  <c r="O148"/>
  <c r="I149"/>
  <c r="K225"/>
  <c r="M149"/>
  <c r="O149"/>
  <c r="N150"/>
  <c r="Q150" s="1"/>
  <c r="S150"/>
  <c r="N152"/>
  <c r="P152"/>
  <c r="I153"/>
  <c r="V153" s="1"/>
  <c r="M153"/>
  <c r="O153"/>
  <c r="I158"/>
  <c r="M158"/>
  <c r="M160" s="1"/>
  <c r="M170" s="1"/>
  <c r="O158"/>
  <c r="I159"/>
  <c r="V159" s="1"/>
  <c r="T159"/>
  <c r="G160"/>
  <c r="O162"/>
  <c r="I163"/>
  <c r="O163"/>
  <c r="Q163" s="1"/>
  <c r="R163" s="1"/>
  <c r="N164"/>
  <c r="P164"/>
  <c r="N165"/>
  <c r="P165"/>
  <c r="I168"/>
  <c r="V168" s="1"/>
  <c r="O168"/>
  <c r="Q168" s="1"/>
  <c r="R168" s="1"/>
  <c r="N169"/>
  <c r="P169"/>
  <c r="N173"/>
  <c r="P173"/>
  <c r="M174"/>
  <c r="M175" s="1"/>
  <c r="U174"/>
  <c r="F175"/>
  <c r="H175"/>
  <c r="J175"/>
  <c r="N177"/>
  <c r="P177"/>
  <c r="N178"/>
  <c r="P178"/>
  <c r="O179"/>
  <c r="I180"/>
  <c r="O180"/>
  <c r="Q180" s="1"/>
  <c r="R180" s="1"/>
  <c r="N181"/>
  <c r="Q181" s="1"/>
  <c r="R174" s="1"/>
  <c r="S181"/>
  <c r="N183"/>
  <c r="P183"/>
  <c r="I184"/>
  <c r="V184" s="1"/>
  <c r="I189"/>
  <c r="I193"/>
  <c r="P194"/>
  <c r="N199"/>
  <c r="I204"/>
  <c r="P204"/>
  <c r="U205"/>
  <c r="N207"/>
  <c r="N208"/>
  <c r="S208"/>
  <c r="N209"/>
  <c r="N210"/>
  <c r="I213"/>
  <c r="V213" s="1"/>
  <c r="M213"/>
  <c r="P214"/>
  <c r="G220"/>
  <c r="U220"/>
  <c r="F224"/>
  <c r="F226"/>
  <c r="I229"/>
  <c r="V229" s="1"/>
  <c r="U229"/>
  <c r="H230"/>
  <c r="T230"/>
  <c r="N234"/>
  <c r="I235"/>
  <c r="M235"/>
  <c r="M234" s="1"/>
  <c r="P236"/>
  <c r="I238"/>
  <c r="L239"/>
  <c r="L249" s="1"/>
  <c r="P238"/>
  <c r="I242"/>
  <c r="M242"/>
  <c r="M241" s="1"/>
  <c r="I244"/>
  <c r="M244"/>
  <c r="S245"/>
  <c r="P247"/>
  <c r="P253"/>
  <c r="M254"/>
  <c r="M255" s="1"/>
  <c r="J255"/>
  <c r="N255" s="1"/>
  <c r="O259"/>
  <c r="N261"/>
  <c r="Q261" s="1"/>
  <c r="R254" s="1"/>
  <c r="N263"/>
  <c r="I264"/>
  <c r="V264" s="1"/>
  <c r="I269"/>
  <c r="I273"/>
  <c r="P274"/>
  <c r="N279"/>
  <c r="P283"/>
  <c r="M284"/>
  <c r="M285" s="1"/>
  <c r="J285"/>
  <c r="N285"/>
  <c r="S285"/>
  <c r="P289"/>
  <c r="S291"/>
  <c r="H300"/>
  <c r="I300" s="1"/>
  <c r="L300"/>
  <c r="G304"/>
  <c r="G306"/>
  <c r="K306"/>
  <c r="J309"/>
  <c r="U310"/>
  <c r="K396"/>
  <c r="O314"/>
  <c r="N315"/>
  <c r="I316"/>
  <c r="V316" s="1"/>
  <c r="M318"/>
  <c r="O318"/>
  <c r="P322"/>
  <c r="P323"/>
  <c r="P324"/>
  <c r="N328"/>
  <c r="L391"/>
  <c r="P333"/>
  <c r="M334"/>
  <c r="O334"/>
  <c r="I338"/>
  <c r="I340"/>
  <c r="I343"/>
  <c r="V343" s="1"/>
  <c r="I344"/>
  <c r="V344" s="1"/>
  <c r="P348"/>
  <c r="J350"/>
  <c r="J360" s="1"/>
  <c r="S360" s="1"/>
  <c r="M354"/>
  <c r="S356"/>
  <c r="P358"/>
  <c r="M364"/>
  <c r="V364" s="1"/>
  <c r="O364"/>
  <c r="I368"/>
  <c r="I370"/>
  <c r="K520"/>
  <c r="J471"/>
  <c r="L471"/>
  <c r="K569"/>
  <c r="M558"/>
  <c r="T1729"/>
  <c r="O1729"/>
  <c r="G1728"/>
  <c r="S1730"/>
  <c r="N1730"/>
  <c r="U1730"/>
  <c r="P1730"/>
  <c r="T1731"/>
  <c r="O1731"/>
  <c r="T1801"/>
  <c r="O1801"/>
  <c r="O1800" s="1"/>
  <c r="G1800"/>
  <c r="G1806"/>
  <c r="T1804"/>
  <c r="O1804"/>
  <c r="I1808"/>
  <c r="S1808"/>
  <c r="N1808"/>
  <c r="U1808"/>
  <c r="P1808"/>
  <c r="M1808"/>
  <c r="T1809"/>
  <c r="O1809"/>
  <c r="T1813"/>
  <c r="O1813"/>
  <c r="G1812"/>
  <c r="I1817"/>
  <c r="S1817"/>
  <c r="N1817"/>
  <c r="H1819"/>
  <c r="U1817"/>
  <c r="P1817"/>
  <c r="M1817"/>
  <c r="T1821"/>
  <c r="O1821"/>
  <c r="I1822"/>
  <c r="V1822" s="1"/>
  <c r="S1822"/>
  <c r="N1822"/>
  <c r="U1822"/>
  <c r="P1822"/>
  <c r="S195"/>
  <c r="I195"/>
  <c r="T198"/>
  <c r="G194"/>
  <c r="G205"/>
  <c r="T203"/>
  <c r="S214"/>
  <c r="I214"/>
  <c r="V214" s="1"/>
  <c r="H299"/>
  <c r="U234"/>
  <c r="S236"/>
  <c r="I236"/>
  <c r="V236" s="1"/>
  <c r="S304"/>
  <c r="N304"/>
  <c r="F303"/>
  <c r="U304"/>
  <c r="P304"/>
  <c r="H303"/>
  <c r="N306"/>
  <c r="F305"/>
  <c r="P306"/>
  <c r="I245"/>
  <c r="F243"/>
  <c r="S247"/>
  <c r="I247"/>
  <c r="V247" s="1"/>
  <c r="U247"/>
  <c r="H243"/>
  <c r="S253"/>
  <c r="I253"/>
  <c r="S258"/>
  <c r="I258"/>
  <c r="M261"/>
  <c r="J259"/>
  <c r="S275"/>
  <c r="I275"/>
  <c r="T278"/>
  <c r="G274"/>
  <c r="S283"/>
  <c r="I283"/>
  <c r="V288"/>
  <c r="I287"/>
  <c r="V287" s="1"/>
  <c r="V290"/>
  <c r="S293"/>
  <c r="I293"/>
  <c r="V293" s="1"/>
  <c r="T294"/>
  <c r="G289"/>
  <c r="S300"/>
  <c r="M315"/>
  <c r="M314" s="1"/>
  <c r="J314"/>
  <c r="S317"/>
  <c r="I317"/>
  <c r="V317" s="1"/>
  <c r="H395"/>
  <c r="P318"/>
  <c r="F399"/>
  <c r="I322"/>
  <c r="U399"/>
  <c r="P399"/>
  <c r="H398"/>
  <c r="F401"/>
  <c r="S324"/>
  <c r="I324"/>
  <c r="H401"/>
  <c r="U324"/>
  <c r="G404"/>
  <c r="T327"/>
  <c r="G323"/>
  <c r="K404"/>
  <c r="K400" s="1"/>
  <c r="K406" s="1"/>
  <c r="K323"/>
  <c r="T405"/>
  <c r="O405"/>
  <c r="J405"/>
  <c r="M405" s="1"/>
  <c r="M328"/>
  <c r="F335"/>
  <c r="S333"/>
  <c r="I333"/>
  <c r="H335"/>
  <c r="U333"/>
  <c r="U334"/>
  <c r="P334"/>
  <c r="T349"/>
  <c r="O349"/>
  <c r="V353"/>
  <c r="I352"/>
  <c r="V352" s="1"/>
  <c r="V355"/>
  <c r="F402"/>
  <c r="I356"/>
  <c r="V356" s="1"/>
  <c r="F404"/>
  <c r="I358"/>
  <c r="V358" s="1"/>
  <c r="P404"/>
  <c r="U364"/>
  <c r="P364"/>
  <c r="F390"/>
  <c r="S380"/>
  <c r="N380"/>
  <c r="H390"/>
  <c r="U380"/>
  <c r="P380"/>
  <c r="I507"/>
  <c r="S507"/>
  <c r="N507"/>
  <c r="H509"/>
  <c r="U507"/>
  <c r="P507"/>
  <c r="T508"/>
  <c r="O508"/>
  <c r="T512"/>
  <c r="O512"/>
  <c r="G511"/>
  <c r="M512"/>
  <c r="T515"/>
  <c r="O515"/>
  <c r="M515"/>
  <c r="J514"/>
  <c r="T518"/>
  <c r="O518"/>
  <c r="T519"/>
  <c r="O519"/>
  <c r="G440"/>
  <c r="T430"/>
  <c r="O430"/>
  <c r="F455"/>
  <c r="S445"/>
  <c r="N445"/>
  <c r="U445"/>
  <c r="T460"/>
  <c r="F486"/>
  <c r="S476"/>
  <c r="N476"/>
  <c r="U476"/>
  <c r="T491"/>
  <c r="O491"/>
  <c r="G503"/>
  <c r="V494"/>
  <c r="I493"/>
  <c r="V493" s="1"/>
  <c r="F559"/>
  <c r="S557"/>
  <c r="N557"/>
  <c r="I557"/>
  <c r="H559"/>
  <c r="U557"/>
  <c r="P557"/>
  <c r="T562"/>
  <c r="O562"/>
  <c r="G561"/>
  <c r="J561"/>
  <c r="M562"/>
  <c r="M561" s="1"/>
  <c r="T564"/>
  <c r="O564"/>
  <c r="G563"/>
  <c r="J563"/>
  <c r="M564"/>
  <c r="T567"/>
  <c r="O567"/>
  <c r="T568"/>
  <c r="O568"/>
  <c r="T544"/>
  <c r="O544"/>
  <c r="U554"/>
  <c r="V547"/>
  <c r="S554"/>
  <c r="V549"/>
  <c r="F624"/>
  <c r="S622"/>
  <c r="N622"/>
  <c r="H624"/>
  <c r="U622"/>
  <c r="P622"/>
  <c r="V573"/>
  <c r="G587"/>
  <c r="O577"/>
  <c r="J626"/>
  <c r="M627"/>
  <c r="M626" s="1"/>
  <c r="T628"/>
  <c r="O628"/>
  <c r="F603"/>
  <c r="S593"/>
  <c r="N593"/>
  <c r="H603"/>
  <c r="P593"/>
  <c r="H618"/>
  <c r="U608"/>
  <c r="P608"/>
  <c r="V10"/>
  <c r="Q19"/>
  <c r="Q20"/>
  <c r="Q29"/>
  <c r="I30"/>
  <c r="V30" s="1"/>
  <c r="N30"/>
  <c r="Q30" s="1"/>
  <c r="S30"/>
  <c r="F31"/>
  <c r="V36"/>
  <c r="S38"/>
  <c r="U38"/>
  <c r="N43"/>
  <c r="P43"/>
  <c r="T43"/>
  <c r="I44"/>
  <c r="M44"/>
  <c r="O44"/>
  <c r="S44"/>
  <c r="U44"/>
  <c r="N45"/>
  <c r="P45"/>
  <c r="T45"/>
  <c r="I46"/>
  <c r="M46"/>
  <c r="O46"/>
  <c r="S46"/>
  <c r="U46"/>
  <c r="I47"/>
  <c r="V47" s="1"/>
  <c r="P47"/>
  <c r="T47"/>
  <c r="O50"/>
  <c r="I51"/>
  <c r="M51"/>
  <c r="M50" s="1"/>
  <c r="O51"/>
  <c r="T51"/>
  <c r="O53"/>
  <c r="I54"/>
  <c r="M54"/>
  <c r="O54"/>
  <c r="S54"/>
  <c r="U54"/>
  <c r="N55"/>
  <c r="Q55" s="1"/>
  <c r="S55"/>
  <c r="N57"/>
  <c r="P57"/>
  <c r="T57"/>
  <c r="I58"/>
  <c r="V58" s="1"/>
  <c r="M58"/>
  <c r="O58"/>
  <c r="S58"/>
  <c r="U58"/>
  <c r="I63"/>
  <c r="M63"/>
  <c r="M65" s="1"/>
  <c r="O63"/>
  <c r="S63"/>
  <c r="U63"/>
  <c r="I64"/>
  <c r="V64" s="1"/>
  <c r="P64"/>
  <c r="T64"/>
  <c r="G65"/>
  <c r="K65"/>
  <c r="K75" s="1"/>
  <c r="K121" s="1"/>
  <c r="O67"/>
  <c r="I68"/>
  <c r="M68"/>
  <c r="M67" s="1"/>
  <c r="O68"/>
  <c r="S68"/>
  <c r="U68"/>
  <c r="N69"/>
  <c r="P69"/>
  <c r="N70"/>
  <c r="P70"/>
  <c r="T70"/>
  <c r="I71"/>
  <c r="M71"/>
  <c r="I73"/>
  <c r="V73" s="1"/>
  <c r="M73"/>
  <c r="O73"/>
  <c r="S73"/>
  <c r="U73"/>
  <c r="N74"/>
  <c r="P74"/>
  <c r="T74"/>
  <c r="N78"/>
  <c r="P78"/>
  <c r="N82"/>
  <c r="P82"/>
  <c r="N83"/>
  <c r="P83"/>
  <c r="N84"/>
  <c r="P84"/>
  <c r="O88"/>
  <c r="I89"/>
  <c r="V89" s="1"/>
  <c r="I93"/>
  <c r="O93"/>
  <c r="I94"/>
  <c r="O97"/>
  <c r="I98"/>
  <c r="N99"/>
  <c r="P99"/>
  <c r="I103"/>
  <c r="V103" s="1"/>
  <c r="T108"/>
  <c r="O109"/>
  <c r="Q109" s="1"/>
  <c r="O112"/>
  <c r="I113"/>
  <c r="N114"/>
  <c r="P114"/>
  <c r="I118"/>
  <c r="V118" s="1"/>
  <c r="H125"/>
  <c r="H126" s="1"/>
  <c r="L125"/>
  <c r="L126" s="1"/>
  <c r="N125"/>
  <c r="F129"/>
  <c r="H129"/>
  <c r="J129"/>
  <c r="L129"/>
  <c r="L128" s="1"/>
  <c r="F131"/>
  <c r="H131"/>
  <c r="J131"/>
  <c r="L131"/>
  <c r="O132"/>
  <c r="G134"/>
  <c r="K134"/>
  <c r="F135"/>
  <c r="H135"/>
  <c r="J135"/>
  <c r="L135"/>
  <c r="F139"/>
  <c r="H139"/>
  <c r="J139"/>
  <c r="I140"/>
  <c r="I142"/>
  <c r="V142" s="1"/>
  <c r="I143"/>
  <c r="V143" s="1"/>
  <c r="P143"/>
  <c r="G144"/>
  <c r="K144"/>
  <c r="K154" s="1"/>
  <c r="N146"/>
  <c r="P146"/>
  <c r="N147"/>
  <c r="P147"/>
  <c r="U147"/>
  <c r="F148"/>
  <c r="J148"/>
  <c r="P148"/>
  <c r="P149"/>
  <c r="T149"/>
  <c r="I150"/>
  <c r="M150"/>
  <c r="I152"/>
  <c r="M152"/>
  <c r="O152"/>
  <c r="S152"/>
  <c r="U152"/>
  <c r="N153"/>
  <c r="T153"/>
  <c r="N158"/>
  <c r="P158"/>
  <c r="N162"/>
  <c r="P162"/>
  <c r="O164"/>
  <c r="I165"/>
  <c r="N166"/>
  <c r="Q166" s="1"/>
  <c r="I169"/>
  <c r="V169" s="1"/>
  <c r="I173"/>
  <c r="O173"/>
  <c r="I174"/>
  <c r="O177"/>
  <c r="I178"/>
  <c r="F179"/>
  <c r="J179"/>
  <c r="P179"/>
  <c r="I183"/>
  <c r="V183" s="1"/>
  <c r="M184"/>
  <c r="M179" s="1"/>
  <c r="P184"/>
  <c r="Q184" s="1"/>
  <c r="R184" s="1"/>
  <c r="T184"/>
  <c r="I188"/>
  <c r="M188"/>
  <c r="M189"/>
  <c r="Q189"/>
  <c r="T189"/>
  <c r="G190"/>
  <c r="O192"/>
  <c r="O193"/>
  <c r="Q193" s="1"/>
  <c r="R193" s="1"/>
  <c r="F194"/>
  <c r="J194"/>
  <c r="J200" s="1"/>
  <c r="N195"/>
  <c r="I198"/>
  <c r="V198" s="1"/>
  <c r="M198"/>
  <c r="M194" s="1"/>
  <c r="P199"/>
  <c r="I203"/>
  <c r="M203"/>
  <c r="M204"/>
  <c r="Q204"/>
  <c r="F215"/>
  <c r="J215"/>
  <c r="N205"/>
  <c r="S205"/>
  <c r="P207"/>
  <c r="P208"/>
  <c r="H209"/>
  <c r="M209"/>
  <c r="P210"/>
  <c r="O213"/>
  <c r="Q213" s="1"/>
  <c r="R213" s="1"/>
  <c r="N214"/>
  <c r="T226"/>
  <c r="I227"/>
  <c r="V227" s="1"/>
  <c r="O227"/>
  <c r="S229"/>
  <c r="O235"/>
  <c r="Q235" s="1"/>
  <c r="R235" s="1"/>
  <c r="N236"/>
  <c r="I237"/>
  <c r="V237" s="1"/>
  <c r="H239"/>
  <c r="Q238"/>
  <c r="T238"/>
  <c r="G239"/>
  <c r="K239"/>
  <c r="K249" s="1"/>
  <c r="O241"/>
  <c r="O242"/>
  <c r="G243"/>
  <c r="O244"/>
  <c r="N245"/>
  <c r="Q245" s="1"/>
  <c r="N247"/>
  <c r="I248"/>
  <c r="V248" s="1"/>
  <c r="M248"/>
  <c r="K255"/>
  <c r="K265" s="1"/>
  <c r="N253"/>
  <c r="U254"/>
  <c r="H255"/>
  <c r="N257"/>
  <c r="N258"/>
  <c r="I260"/>
  <c r="S261"/>
  <c r="P263"/>
  <c r="O264"/>
  <c r="Q264" s="1"/>
  <c r="R264" s="1"/>
  <c r="I268"/>
  <c r="M268"/>
  <c r="U269"/>
  <c r="M269"/>
  <c r="Q269"/>
  <c r="T269"/>
  <c r="G270"/>
  <c r="O272"/>
  <c r="O273"/>
  <c r="Q273" s="1"/>
  <c r="R273" s="1"/>
  <c r="F274"/>
  <c r="J274"/>
  <c r="J280" s="1"/>
  <c r="N275"/>
  <c r="Q275" s="1"/>
  <c r="R275" s="1"/>
  <c r="I278"/>
  <c r="M278"/>
  <c r="P279"/>
  <c r="K285"/>
  <c r="K295" s="1"/>
  <c r="N283"/>
  <c r="U284"/>
  <c r="H285"/>
  <c r="N287"/>
  <c r="N288"/>
  <c r="S288"/>
  <c r="J289"/>
  <c r="S289" s="1"/>
  <c r="N290"/>
  <c r="S290"/>
  <c r="V291"/>
  <c r="N291"/>
  <c r="Q291" s="1"/>
  <c r="R284" s="1"/>
  <c r="N293"/>
  <c r="Q293" s="1"/>
  <c r="R293" s="1"/>
  <c r="I294"/>
  <c r="M294"/>
  <c r="M300"/>
  <c r="N300"/>
  <c r="I304"/>
  <c r="M304"/>
  <c r="M303" s="1"/>
  <c r="I306"/>
  <c r="U306"/>
  <c r="J307"/>
  <c r="M307" s="1"/>
  <c r="P307"/>
  <c r="H309"/>
  <c r="H305" s="1"/>
  <c r="L309"/>
  <c r="L305" s="1"/>
  <c r="T309"/>
  <c r="G310"/>
  <c r="S310"/>
  <c r="L314"/>
  <c r="P315"/>
  <c r="O316"/>
  <c r="Q316" s="1"/>
  <c r="R316" s="1"/>
  <c r="N317"/>
  <c r="U318"/>
  <c r="N321"/>
  <c r="N322"/>
  <c r="S322"/>
  <c r="F323"/>
  <c r="J323"/>
  <c r="N324"/>
  <c r="I327"/>
  <c r="M327"/>
  <c r="P328"/>
  <c r="N333"/>
  <c r="T334"/>
  <c r="O335"/>
  <c r="T335"/>
  <c r="O337"/>
  <c r="O338"/>
  <c r="O339"/>
  <c r="O340"/>
  <c r="O343"/>
  <c r="O344"/>
  <c r="N348"/>
  <c r="S348"/>
  <c r="I349"/>
  <c r="V349" s="1"/>
  <c r="P349"/>
  <c r="U349"/>
  <c r="N352"/>
  <c r="N353"/>
  <c r="S353"/>
  <c r="N354"/>
  <c r="N355"/>
  <c r="S355"/>
  <c r="N356"/>
  <c r="Q356" s="1"/>
  <c r="N358"/>
  <c r="S358"/>
  <c r="N359"/>
  <c r="S359"/>
  <c r="I363"/>
  <c r="M363"/>
  <c r="O367"/>
  <c r="O368"/>
  <c r="O369"/>
  <c r="O370"/>
  <c r="M395"/>
  <c r="L520"/>
  <c r="M518"/>
  <c r="M519"/>
  <c r="L504"/>
  <c r="M449"/>
  <c r="K471"/>
  <c r="K504" s="1"/>
  <c r="V467"/>
  <c r="V469"/>
  <c r="V470"/>
  <c r="L569"/>
  <c r="M567"/>
  <c r="M568"/>
  <c r="V550"/>
  <c r="V552"/>
  <c r="V553"/>
  <c r="V575"/>
  <c r="S1736"/>
  <c r="N1736"/>
  <c r="U1814"/>
  <c r="P1814"/>
  <c r="T1818"/>
  <c r="O1818"/>
  <c r="I629"/>
  <c r="S629"/>
  <c r="N629"/>
  <c r="U629"/>
  <c r="P629"/>
  <c r="I630"/>
  <c r="V630" s="1"/>
  <c r="S630"/>
  <c r="N630"/>
  <c r="I632"/>
  <c r="S632"/>
  <c r="N632"/>
  <c r="U632"/>
  <c r="P632"/>
  <c r="I633"/>
  <c r="V633" s="1"/>
  <c r="S633"/>
  <c r="N633"/>
  <c r="U633"/>
  <c r="P633"/>
  <c r="T702"/>
  <c r="O702"/>
  <c r="J704"/>
  <c r="M702"/>
  <c r="U703"/>
  <c r="P703"/>
  <c r="G668"/>
  <c r="T658"/>
  <c r="O658"/>
  <c r="S707"/>
  <c r="N707"/>
  <c r="F706"/>
  <c r="P707"/>
  <c r="S709"/>
  <c r="N709"/>
  <c r="F708"/>
  <c r="P709"/>
  <c r="S710"/>
  <c r="I710"/>
  <c r="V710" s="1"/>
  <c r="N712"/>
  <c r="U712"/>
  <c r="P712"/>
  <c r="S713"/>
  <c r="N713"/>
  <c r="P713"/>
  <c r="F683"/>
  <c r="S673"/>
  <c r="N673"/>
  <c r="H683"/>
  <c r="U673"/>
  <c r="P673"/>
  <c r="H698"/>
  <c r="U688"/>
  <c r="P688"/>
  <c r="F799"/>
  <c r="S797"/>
  <c r="N797"/>
  <c r="H799"/>
  <c r="U797"/>
  <c r="P797"/>
  <c r="G732"/>
  <c r="T722"/>
  <c r="J801"/>
  <c r="J803"/>
  <c r="G748"/>
  <c r="T738"/>
  <c r="O738"/>
  <c r="F763"/>
  <c r="S753"/>
  <c r="N753"/>
  <c r="H763"/>
  <c r="U753"/>
  <c r="P753"/>
  <c r="G778"/>
  <c r="T768"/>
  <c r="O768"/>
  <c r="V781"/>
  <c r="H793"/>
  <c r="U783"/>
  <c r="P783"/>
  <c r="I922"/>
  <c r="F924"/>
  <c r="S922"/>
  <c r="N922"/>
  <c r="H924"/>
  <c r="U922"/>
  <c r="P922"/>
  <c r="T923"/>
  <c r="O923"/>
  <c r="T927"/>
  <c r="O927"/>
  <c r="G926"/>
  <c r="T929"/>
  <c r="O929"/>
  <c r="G928"/>
  <c r="T932"/>
  <c r="O932"/>
  <c r="T933"/>
  <c r="O933"/>
  <c r="G843"/>
  <c r="T833"/>
  <c r="O833"/>
  <c r="G858"/>
  <c r="T848"/>
  <c r="O848"/>
  <c r="V861"/>
  <c r="H873"/>
  <c r="P863"/>
  <c r="F888"/>
  <c r="S878"/>
  <c r="N878"/>
  <c r="H888"/>
  <c r="U878"/>
  <c r="P878"/>
  <c r="H903"/>
  <c r="U893"/>
  <c r="P893"/>
  <c r="G918"/>
  <c r="T908"/>
  <c r="O908"/>
  <c r="T987"/>
  <c r="O987"/>
  <c r="J989"/>
  <c r="M987"/>
  <c r="U988"/>
  <c r="P988"/>
  <c r="S992"/>
  <c r="N992"/>
  <c r="F991"/>
  <c r="I992"/>
  <c r="U992"/>
  <c r="P992"/>
  <c r="H991"/>
  <c r="S994"/>
  <c r="N994"/>
  <c r="F993"/>
  <c r="I994"/>
  <c r="U994"/>
  <c r="P994"/>
  <c r="H993"/>
  <c r="S995"/>
  <c r="N995"/>
  <c r="I995"/>
  <c r="V995" s="1"/>
  <c r="S997"/>
  <c r="N997"/>
  <c r="I997"/>
  <c r="U997"/>
  <c r="P997"/>
  <c r="S998"/>
  <c r="N998"/>
  <c r="I998"/>
  <c r="U998"/>
  <c r="P998"/>
  <c r="V956"/>
  <c r="H968"/>
  <c r="U958"/>
  <c r="P958"/>
  <c r="G983"/>
  <c r="T973"/>
  <c r="O973"/>
  <c r="V976"/>
  <c r="I975"/>
  <c r="V978"/>
  <c r="I977"/>
  <c r="V977" s="1"/>
  <c r="G1033"/>
  <c r="T1023"/>
  <c r="O1023"/>
  <c r="F1048"/>
  <c r="S1038"/>
  <c r="N1038"/>
  <c r="H1048"/>
  <c r="U1038"/>
  <c r="P1038"/>
  <c r="G1063"/>
  <c r="T1053"/>
  <c r="O1053"/>
  <c r="F1078"/>
  <c r="S1068"/>
  <c r="N1068"/>
  <c r="H1078"/>
  <c r="U1068"/>
  <c r="P1068"/>
  <c r="G1093"/>
  <c r="T1083"/>
  <c r="O1083"/>
  <c r="N188"/>
  <c r="P188"/>
  <c r="N192"/>
  <c r="P192"/>
  <c r="N196"/>
  <c r="Q196" s="1"/>
  <c r="O207"/>
  <c r="O208"/>
  <c r="N211"/>
  <c r="Q211" s="1"/>
  <c r="P227"/>
  <c r="M238"/>
  <c r="M239" s="1"/>
  <c r="U238"/>
  <c r="N241"/>
  <c r="P241"/>
  <c r="N242"/>
  <c r="P242"/>
  <c r="S242"/>
  <c r="U242"/>
  <c r="N244"/>
  <c r="P244"/>
  <c r="O247"/>
  <c r="N248"/>
  <c r="P248"/>
  <c r="O253"/>
  <c r="I254"/>
  <c r="V254" s="1"/>
  <c r="O257"/>
  <c r="N268"/>
  <c r="P268"/>
  <c r="N272"/>
  <c r="P272"/>
  <c r="N276"/>
  <c r="Q276" s="1"/>
  <c r="O283"/>
  <c r="I284"/>
  <c r="V284" s="1"/>
  <c r="O287"/>
  <c r="O288"/>
  <c r="O290"/>
  <c r="O307"/>
  <c r="I318"/>
  <c r="T318"/>
  <c r="O321"/>
  <c r="O322"/>
  <c r="T322"/>
  <c r="O324"/>
  <c r="N325"/>
  <c r="Q325" s="1"/>
  <c r="O328"/>
  <c r="N337"/>
  <c r="P337"/>
  <c r="N338"/>
  <c r="P338"/>
  <c r="N339"/>
  <c r="P339"/>
  <c r="N340"/>
  <c r="P340"/>
  <c r="N341"/>
  <c r="Q341" s="1"/>
  <c r="N343"/>
  <c r="P343"/>
  <c r="N344"/>
  <c r="P344"/>
  <c r="O348"/>
  <c r="T348"/>
  <c r="O352"/>
  <c r="O353"/>
  <c r="O354"/>
  <c r="O355"/>
  <c r="O358"/>
  <c r="O359"/>
  <c r="N363"/>
  <c r="P363"/>
  <c r="S363"/>
  <c r="U363"/>
  <c r="N367"/>
  <c r="P367"/>
  <c r="N368"/>
  <c r="P368"/>
  <c r="N369"/>
  <c r="P369"/>
  <c r="N370"/>
  <c r="P370"/>
  <c r="N371"/>
  <c r="Q371" s="1"/>
  <c r="N373"/>
  <c r="P373"/>
  <c r="N374"/>
  <c r="P374"/>
  <c r="I378"/>
  <c r="M378"/>
  <c r="O378"/>
  <c r="T378"/>
  <c r="O379"/>
  <c r="T379"/>
  <c r="O382"/>
  <c r="I383"/>
  <c r="O383"/>
  <c r="O384"/>
  <c r="I385"/>
  <c r="O385"/>
  <c r="I386"/>
  <c r="V386" s="1"/>
  <c r="I388"/>
  <c r="V388" s="1"/>
  <c r="O388"/>
  <c r="I389"/>
  <c r="V389" s="1"/>
  <c r="O389"/>
  <c r="I395"/>
  <c r="O402"/>
  <c r="N409"/>
  <c r="P409"/>
  <c r="S409"/>
  <c r="U409"/>
  <c r="N410"/>
  <c r="P410"/>
  <c r="N411"/>
  <c r="P411"/>
  <c r="N412"/>
  <c r="P412"/>
  <c r="I413"/>
  <c r="P413"/>
  <c r="U413"/>
  <c r="F414"/>
  <c r="H414"/>
  <c r="J414"/>
  <c r="J424" s="1"/>
  <c r="L414"/>
  <c r="L424" s="1"/>
  <c r="N416"/>
  <c r="P416"/>
  <c r="N417"/>
  <c r="P417"/>
  <c r="S417"/>
  <c r="U417"/>
  <c r="N418"/>
  <c r="P418"/>
  <c r="N419"/>
  <c r="P419"/>
  <c r="S419"/>
  <c r="U419"/>
  <c r="N420"/>
  <c r="Q420" s="1"/>
  <c r="S420"/>
  <c r="N422"/>
  <c r="P422"/>
  <c r="S422"/>
  <c r="U422"/>
  <c r="N423"/>
  <c r="P423"/>
  <c r="S423"/>
  <c r="U423"/>
  <c r="I428"/>
  <c r="M428"/>
  <c r="M430" s="1"/>
  <c r="M440" s="1"/>
  <c r="O428"/>
  <c r="T428"/>
  <c r="O429"/>
  <c r="T429"/>
  <c r="O432"/>
  <c r="I433"/>
  <c r="O433"/>
  <c r="O434"/>
  <c r="I435"/>
  <c r="O435"/>
  <c r="I436"/>
  <c r="V436" s="1"/>
  <c r="I438"/>
  <c r="V438" s="1"/>
  <c r="O438"/>
  <c r="I439"/>
  <c r="V439" s="1"/>
  <c r="O439"/>
  <c r="N443"/>
  <c r="P443"/>
  <c r="S443"/>
  <c r="U443"/>
  <c r="P444"/>
  <c r="N447"/>
  <c r="P447"/>
  <c r="N448"/>
  <c r="P448"/>
  <c r="N449"/>
  <c r="P449"/>
  <c r="N450"/>
  <c r="P450"/>
  <c r="N451"/>
  <c r="Q451" s="1"/>
  <c r="N453"/>
  <c r="P453"/>
  <c r="S453"/>
  <c r="N454"/>
  <c r="P454"/>
  <c r="S454"/>
  <c r="I458"/>
  <c r="M458"/>
  <c r="M460" s="1"/>
  <c r="M471" s="1"/>
  <c r="O458"/>
  <c r="T458"/>
  <c r="O459"/>
  <c r="T459"/>
  <c r="O462"/>
  <c r="O464"/>
  <c r="Q464" s="1"/>
  <c r="T465"/>
  <c r="I466"/>
  <c r="N467"/>
  <c r="Q467" s="1"/>
  <c r="S467"/>
  <c r="N469"/>
  <c r="P469"/>
  <c r="S469"/>
  <c r="N470"/>
  <c r="P470"/>
  <c r="S470"/>
  <c r="F471"/>
  <c r="H471"/>
  <c r="I474"/>
  <c r="M474"/>
  <c r="O474"/>
  <c r="T474"/>
  <c r="M475"/>
  <c r="V475" s="1"/>
  <c r="O475"/>
  <c r="O478"/>
  <c r="I479"/>
  <c r="O479"/>
  <c r="O480"/>
  <c r="I481"/>
  <c r="O481"/>
  <c r="I484"/>
  <c r="V484" s="1"/>
  <c r="O484"/>
  <c r="I485"/>
  <c r="V485" s="1"/>
  <c r="O485"/>
  <c r="N489"/>
  <c r="P489"/>
  <c r="S489"/>
  <c r="U489"/>
  <c r="N490"/>
  <c r="P490"/>
  <c r="S490"/>
  <c r="F491"/>
  <c r="J491"/>
  <c r="J503" s="1"/>
  <c r="J504" s="1"/>
  <c r="M504" s="1"/>
  <c r="N493"/>
  <c r="P493"/>
  <c r="N494"/>
  <c r="P494"/>
  <c r="S494"/>
  <c r="N495"/>
  <c r="P495"/>
  <c r="S495"/>
  <c r="U495"/>
  <c r="N497"/>
  <c r="P497"/>
  <c r="N498"/>
  <c r="P498"/>
  <c r="S498"/>
  <c r="I499"/>
  <c r="M499"/>
  <c r="M497" s="1"/>
  <c r="O499"/>
  <c r="T499"/>
  <c r="I501"/>
  <c r="V501" s="1"/>
  <c r="O501"/>
  <c r="I502"/>
  <c r="V502" s="1"/>
  <c r="O502"/>
  <c r="F508"/>
  <c r="J508"/>
  <c r="M508" s="1"/>
  <c r="H513"/>
  <c r="J513"/>
  <c r="M513" s="1"/>
  <c r="H516"/>
  <c r="O523"/>
  <c r="T523"/>
  <c r="I524"/>
  <c r="O524"/>
  <c r="I525"/>
  <c r="V525" s="1"/>
  <c r="O525"/>
  <c r="I526"/>
  <c r="V526" s="1"/>
  <c r="O526"/>
  <c r="M527"/>
  <c r="M528" s="1"/>
  <c r="O527"/>
  <c r="T527"/>
  <c r="G528"/>
  <c r="K528"/>
  <c r="K538" s="1"/>
  <c r="O530"/>
  <c r="I531"/>
  <c r="M531"/>
  <c r="M530" s="1"/>
  <c r="O531"/>
  <c r="T531"/>
  <c r="O532"/>
  <c r="I533"/>
  <c r="M533"/>
  <c r="O533"/>
  <c r="T533"/>
  <c r="I536"/>
  <c r="M536"/>
  <c r="O536"/>
  <c r="T536"/>
  <c r="I537"/>
  <c r="V537" s="1"/>
  <c r="M537"/>
  <c r="O537"/>
  <c r="T537"/>
  <c r="N542"/>
  <c r="P542"/>
  <c r="S542"/>
  <c r="U542"/>
  <c r="I543"/>
  <c r="P543"/>
  <c r="U543"/>
  <c r="F544"/>
  <c r="J544"/>
  <c r="N546"/>
  <c r="P546"/>
  <c r="N547"/>
  <c r="P547"/>
  <c r="S547"/>
  <c r="N548"/>
  <c r="P548"/>
  <c r="S548"/>
  <c r="N549"/>
  <c r="P549"/>
  <c r="S549"/>
  <c r="N550"/>
  <c r="Q550" s="1"/>
  <c r="S550"/>
  <c r="N552"/>
  <c r="P552"/>
  <c r="S552"/>
  <c r="N553"/>
  <c r="P553"/>
  <c r="S553"/>
  <c r="G558"/>
  <c r="O565"/>
  <c r="N572"/>
  <c r="P572"/>
  <c r="S572"/>
  <c r="U572"/>
  <c r="N573"/>
  <c r="P573"/>
  <c r="S573"/>
  <c r="N574"/>
  <c r="P574"/>
  <c r="S574"/>
  <c r="N575"/>
  <c r="P575"/>
  <c r="S575"/>
  <c r="I576"/>
  <c r="P576"/>
  <c r="U576"/>
  <c r="F577"/>
  <c r="H577"/>
  <c r="J577"/>
  <c r="J587" s="1"/>
  <c r="L577"/>
  <c r="L587" s="1"/>
  <c r="N579"/>
  <c r="P579"/>
  <c r="N580"/>
  <c r="P580"/>
  <c r="S580"/>
  <c r="U580"/>
  <c r="N581"/>
  <c r="P581"/>
  <c r="L634"/>
  <c r="N582"/>
  <c r="P582"/>
  <c r="S582"/>
  <c r="U582"/>
  <c r="N583"/>
  <c r="Q583" s="1"/>
  <c r="S583"/>
  <c r="N585"/>
  <c r="P585"/>
  <c r="S585"/>
  <c r="U585"/>
  <c r="N586"/>
  <c r="P586"/>
  <c r="S586"/>
  <c r="U586"/>
  <c r="I591"/>
  <c r="M591"/>
  <c r="O591"/>
  <c r="T591"/>
  <c r="M592"/>
  <c r="O592"/>
  <c r="O595"/>
  <c r="I596"/>
  <c r="O596"/>
  <c r="O597"/>
  <c r="I598"/>
  <c r="O598"/>
  <c r="I601"/>
  <c r="V601" s="1"/>
  <c r="O601"/>
  <c r="I602"/>
  <c r="V602" s="1"/>
  <c r="O602"/>
  <c r="N606"/>
  <c r="P606"/>
  <c r="S606"/>
  <c r="U606"/>
  <c r="I607"/>
  <c r="V607" s="1"/>
  <c r="P607"/>
  <c r="F608"/>
  <c r="J608"/>
  <c r="J618" s="1"/>
  <c r="J619" s="1"/>
  <c r="N610"/>
  <c r="P610"/>
  <c r="N611"/>
  <c r="P611"/>
  <c r="S611"/>
  <c r="N612"/>
  <c r="P612"/>
  <c r="N613"/>
  <c r="P613"/>
  <c r="S613"/>
  <c r="N614"/>
  <c r="Q614" s="1"/>
  <c r="S614"/>
  <c r="N616"/>
  <c r="P616"/>
  <c r="S616"/>
  <c r="N617"/>
  <c r="P617"/>
  <c r="S617"/>
  <c r="G622"/>
  <c r="I622" s="1"/>
  <c r="G623"/>
  <c r="K623"/>
  <c r="M623" s="1"/>
  <c r="G627"/>
  <c r="M703"/>
  <c r="L809"/>
  <c r="L934"/>
  <c r="I923"/>
  <c r="K999"/>
  <c r="U1818"/>
  <c r="P1818"/>
  <c r="T629"/>
  <c r="O629"/>
  <c r="T632"/>
  <c r="O632"/>
  <c r="T633"/>
  <c r="O633"/>
  <c r="F704"/>
  <c r="S702"/>
  <c r="N702"/>
  <c r="I702"/>
  <c r="H704"/>
  <c r="U702"/>
  <c r="P702"/>
  <c r="F668"/>
  <c r="S658"/>
  <c r="N658"/>
  <c r="H668"/>
  <c r="U658"/>
  <c r="P658"/>
  <c r="J706"/>
  <c r="J708"/>
  <c r="G683"/>
  <c r="T673"/>
  <c r="O673"/>
  <c r="G698"/>
  <c r="T688"/>
  <c r="O688"/>
  <c r="V691"/>
  <c r="I690"/>
  <c r="V690" s="1"/>
  <c r="V693"/>
  <c r="I692"/>
  <c r="V692" s="1"/>
  <c r="J799"/>
  <c r="M797"/>
  <c r="U798"/>
  <c r="P798"/>
  <c r="S802"/>
  <c r="N802"/>
  <c r="F801"/>
  <c r="U802"/>
  <c r="P802"/>
  <c r="H801"/>
  <c r="S804"/>
  <c r="N804"/>
  <c r="F803"/>
  <c r="U804"/>
  <c r="P804"/>
  <c r="H803"/>
  <c r="S805"/>
  <c r="N805"/>
  <c r="I805"/>
  <c r="V805" s="1"/>
  <c r="S807"/>
  <c r="N807"/>
  <c r="U807"/>
  <c r="P807"/>
  <c r="S808"/>
  <c r="N808"/>
  <c r="U808"/>
  <c r="P808"/>
  <c r="F748"/>
  <c r="S738"/>
  <c r="N738"/>
  <c r="H748"/>
  <c r="U738"/>
  <c r="P738"/>
  <c r="G763"/>
  <c r="T753"/>
  <c r="O753"/>
  <c r="V756"/>
  <c r="I755"/>
  <c r="V755" s="1"/>
  <c r="V758"/>
  <c r="I757"/>
  <c r="F778"/>
  <c r="S768"/>
  <c r="N768"/>
  <c r="H778"/>
  <c r="U768"/>
  <c r="P768"/>
  <c r="G793"/>
  <c r="T783"/>
  <c r="O783"/>
  <c r="V786"/>
  <c r="I785"/>
  <c r="V785" s="1"/>
  <c r="V788"/>
  <c r="G924"/>
  <c r="T922"/>
  <c r="O922"/>
  <c r="M922"/>
  <c r="J924"/>
  <c r="U923"/>
  <c r="P923"/>
  <c r="I819"/>
  <c r="V819" s="1"/>
  <c r="U927"/>
  <c r="P927"/>
  <c r="H926"/>
  <c r="V822"/>
  <c r="U929"/>
  <c r="P929"/>
  <c r="H928"/>
  <c r="U932"/>
  <c r="P932"/>
  <c r="U933"/>
  <c r="P933"/>
  <c r="F843"/>
  <c r="S833"/>
  <c r="N833"/>
  <c r="H843"/>
  <c r="U833"/>
  <c r="P833"/>
  <c r="F858"/>
  <c r="S848"/>
  <c r="N848"/>
  <c r="H858"/>
  <c r="U848"/>
  <c r="P848"/>
  <c r="G873"/>
  <c r="T863"/>
  <c r="O863"/>
  <c r="V866"/>
  <c r="I865"/>
  <c r="V868"/>
  <c r="G888"/>
  <c r="T878"/>
  <c r="O878"/>
  <c r="G903"/>
  <c r="T893"/>
  <c r="O893"/>
  <c r="V898"/>
  <c r="F918"/>
  <c r="S908"/>
  <c r="N908"/>
  <c r="H918"/>
  <c r="U908"/>
  <c r="P908"/>
  <c r="F989"/>
  <c r="S987"/>
  <c r="N987"/>
  <c r="I987"/>
  <c r="H989"/>
  <c r="U987"/>
  <c r="P987"/>
  <c r="T992"/>
  <c r="O992"/>
  <c r="G991"/>
  <c r="J991"/>
  <c r="M992"/>
  <c r="M991" s="1"/>
  <c r="T994"/>
  <c r="O994"/>
  <c r="G993"/>
  <c r="J993"/>
  <c r="M994"/>
  <c r="T997"/>
  <c r="O997"/>
  <c r="T998"/>
  <c r="O998"/>
  <c r="G968"/>
  <c r="T958"/>
  <c r="O958"/>
  <c r="I960"/>
  <c r="V960" s="1"/>
  <c r="V963"/>
  <c r="I962"/>
  <c r="H983"/>
  <c r="U973"/>
  <c r="P973"/>
  <c r="I1002"/>
  <c r="V1002" s="1"/>
  <c r="F1033"/>
  <c r="S1023"/>
  <c r="N1023"/>
  <c r="H1033"/>
  <c r="U1023"/>
  <c r="P1023"/>
  <c r="G1048"/>
  <c r="T1038"/>
  <c r="O1038"/>
  <c r="F1063"/>
  <c r="S1053"/>
  <c r="N1053"/>
  <c r="U1053"/>
  <c r="G1078"/>
  <c r="T1068"/>
  <c r="O1068"/>
  <c r="F1093"/>
  <c r="S1083"/>
  <c r="N1083"/>
  <c r="H1093"/>
  <c r="P1083"/>
  <c r="I373"/>
  <c r="V373" s="1"/>
  <c r="O373"/>
  <c r="I374"/>
  <c r="O374"/>
  <c r="N378"/>
  <c r="P378"/>
  <c r="S378"/>
  <c r="U378"/>
  <c r="P379"/>
  <c r="N382"/>
  <c r="P382"/>
  <c r="N383"/>
  <c r="P383"/>
  <c r="N384"/>
  <c r="P384"/>
  <c r="N385"/>
  <c r="P385"/>
  <c r="N386"/>
  <c r="Q386" s="1"/>
  <c r="N388"/>
  <c r="P388"/>
  <c r="N389"/>
  <c r="P389"/>
  <c r="N395"/>
  <c r="P402"/>
  <c r="O409"/>
  <c r="T409"/>
  <c r="I410"/>
  <c r="O410"/>
  <c r="I411"/>
  <c r="O411"/>
  <c r="I412"/>
  <c r="O412"/>
  <c r="M413"/>
  <c r="O413"/>
  <c r="Q413" s="1"/>
  <c r="T413"/>
  <c r="G414"/>
  <c r="K414"/>
  <c r="K424" s="1"/>
  <c r="O416"/>
  <c r="I417"/>
  <c r="M417"/>
  <c r="M416" s="1"/>
  <c r="O417"/>
  <c r="T417"/>
  <c r="O418"/>
  <c r="I419"/>
  <c r="M419"/>
  <c r="O419"/>
  <c r="T419"/>
  <c r="I422"/>
  <c r="M422"/>
  <c r="O422"/>
  <c r="T422"/>
  <c r="I423"/>
  <c r="V423" s="1"/>
  <c r="M423"/>
  <c r="O423"/>
  <c r="T423"/>
  <c r="N428"/>
  <c r="P428"/>
  <c r="S428"/>
  <c r="U428"/>
  <c r="P429"/>
  <c r="N432"/>
  <c r="P432"/>
  <c r="N433"/>
  <c r="P433"/>
  <c r="N434"/>
  <c r="P434"/>
  <c r="N435"/>
  <c r="P435"/>
  <c r="N436"/>
  <c r="Q436" s="1"/>
  <c r="N438"/>
  <c r="P438"/>
  <c r="N439"/>
  <c r="P439"/>
  <c r="I443"/>
  <c r="M443"/>
  <c r="O443"/>
  <c r="T443"/>
  <c r="M444"/>
  <c r="V444" s="1"/>
  <c r="O444"/>
  <c r="Q444" s="1"/>
  <c r="O447"/>
  <c r="I448"/>
  <c r="O448"/>
  <c r="O449"/>
  <c r="I450"/>
  <c r="O450"/>
  <c r="O453"/>
  <c r="O454"/>
  <c r="N458"/>
  <c r="P458"/>
  <c r="S458"/>
  <c r="U458"/>
  <c r="P459"/>
  <c r="N462"/>
  <c r="P462"/>
  <c r="I463"/>
  <c r="N463"/>
  <c r="P463"/>
  <c r="N465"/>
  <c r="P465"/>
  <c r="O466"/>
  <c r="Q466" s="1"/>
  <c r="O469"/>
  <c r="O470"/>
  <c r="N474"/>
  <c r="P474"/>
  <c r="S474"/>
  <c r="U474"/>
  <c r="P475"/>
  <c r="N478"/>
  <c r="P478"/>
  <c r="N479"/>
  <c r="P479"/>
  <c r="N480"/>
  <c r="P480"/>
  <c r="N481"/>
  <c r="P481"/>
  <c r="N482"/>
  <c r="Q482" s="1"/>
  <c r="N484"/>
  <c r="P484"/>
  <c r="N485"/>
  <c r="P485"/>
  <c r="O489"/>
  <c r="T489"/>
  <c r="I490"/>
  <c r="M490"/>
  <c r="M491" s="1"/>
  <c r="M503" s="1"/>
  <c r="O490"/>
  <c r="O493"/>
  <c r="O494"/>
  <c r="O497"/>
  <c r="O498"/>
  <c r="N499"/>
  <c r="P499"/>
  <c r="U499"/>
  <c r="N501"/>
  <c r="P501"/>
  <c r="N502"/>
  <c r="P502"/>
  <c r="I513"/>
  <c r="O513"/>
  <c r="G516"/>
  <c r="N523"/>
  <c r="P523"/>
  <c r="S523"/>
  <c r="U523"/>
  <c r="N524"/>
  <c r="P524"/>
  <c r="N525"/>
  <c r="P525"/>
  <c r="N526"/>
  <c r="P526"/>
  <c r="P527"/>
  <c r="U527"/>
  <c r="F528"/>
  <c r="H528"/>
  <c r="J528"/>
  <c r="J538" s="1"/>
  <c r="L528"/>
  <c r="L538" s="1"/>
  <c r="N530"/>
  <c r="P530"/>
  <c r="N531"/>
  <c r="P531"/>
  <c r="S531"/>
  <c r="U531"/>
  <c r="N532"/>
  <c r="P532"/>
  <c r="N533"/>
  <c r="P533"/>
  <c r="S533"/>
  <c r="U533"/>
  <c r="N534"/>
  <c r="Q534" s="1"/>
  <c r="S534"/>
  <c r="N536"/>
  <c r="P536"/>
  <c r="S536"/>
  <c r="U536"/>
  <c r="N537"/>
  <c r="P537"/>
  <c r="S537"/>
  <c r="U537"/>
  <c r="O542"/>
  <c r="T542"/>
  <c r="M543"/>
  <c r="O543"/>
  <c r="Q543" s="1"/>
  <c r="T543"/>
  <c r="O546"/>
  <c r="O547"/>
  <c r="O548"/>
  <c r="O549"/>
  <c r="O552"/>
  <c r="O553"/>
  <c r="N558"/>
  <c r="P565"/>
  <c r="O572"/>
  <c r="O573"/>
  <c r="O574"/>
  <c r="O575"/>
  <c r="M576"/>
  <c r="M577" s="1"/>
  <c r="O576"/>
  <c r="Q576" s="1"/>
  <c r="T576"/>
  <c r="O579"/>
  <c r="I580"/>
  <c r="M580"/>
  <c r="M579" s="1"/>
  <c r="O580"/>
  <c r="O581"/>
  <c r="I582"/>
  <c r="M582"/>
  <c r="O582"/>
  <c r="T582"/>
  <c r="I583"/>
  <c r="M583"/>
  <c r="I585"/>
  <c r="M585"/>
  <c r="O585"/>
  <c r="T585"/>
  <c r="I586"/>
  <c r="V586" s="1"/>
  <c r="M586"/>
  <c r="O586"/>
  <c r="T586"/>
  <c r="N591"/>
  <c r="P591"/>
  <c r="S591"/>
  <c r="U591"/>
  <c r="P592"/>
  <c r="N595"/>
  <c r="P595"/>
  <c r="N596"/>
  <c r="P596"/>
  <c r="N597"/>
  <c r="P597"/>
  <c r="N598"/>
  <c r="P598"/>
  <c r="N599"/>
  <c r="Q599" s="1"/>
  <c r="N601"/>
  <c r="P601"/>
  <c r="N602"/>
  <c r="P602"/>
  <c r="O606"/>
  <c r="T606"/>
  <c r="O607"/>
  <c r="O610"/>
  <c r="O611"/>
  <c r="O612"/>
  <c r="O613"/>
  <c r="O616"/>
  <c r="O617"/>
  <c r="N623"/>
  <c r="F628"/>
  <c r="H628"/>
  <c r="J628"/>
  <c r="J634" s="1"/>
  <c r="K699"/>
  <c r="V694"/>
  <c r="V697"/>
  <c r="V759"/>
  <c r="V761"/>
  <c r="V762"/>
  <c r="V789"/>
  <c r="V791"/>
  <c r="V792"/>
  <c r="K934"/>
  <c r="V823"/>
  <c r="K919"/>
  <c r="M837"/>
  <c r="M863"/>
  <c r="M893"/>
  <c r="M903" s="1"/>
  <c r="M923"/>
  <c r="M988"/>
  <c r="L999"/>
  <c r="M997"/>
  <c r="M998"/>
  <c r="M958"/>
  <c r="L984"/>
  <c r="V1004"/>
  <c r="K1139"/>
  <c r="I1142"/>
  <c r="F1144"/>
  <c r="S1142"/>
  <c r="N1142"/>
  <c r="H1144"/>
  <c r="U1142"/>
  <c r="P1142"/>
  <c r="M1142"/>
  <c r="J1144"/>
  <c r="T1143"/>
  <c r="O1143"/>
  <c r="I1147"/>
  <c r="S1147"/>
  <c r="N1147"/>
  <c r="F1146"/>
  <c r="U1147"/>
  <c r="P1147"/>
  <c r="H1146"/>
  <c r="M1147"/>
  <c r="M1146" s="1"/>
  <c r="J1146"/>
  <c r="I1149"/>
  <c r="S1149"/>
  <c r="N1149"/>
  <c r="F1148"/>
  <c r="U1149"/>
  <c r="P1149"/>
  <c r="H1148"/>
  <c r="M1149"/>
  <c r="J1148"/>
  <c r="I1150"/>
  <c r="V1150" s="1"/>
  <c r="S1150"/>
  <c r="N1150"/>
  <c r="I1152"/>
  <c r="V1152" s="1"/>
  <c r="S1152"/>
  <c r="N1152"/>
  <c r="U1152"/>
  <c r="P1152"/>
  <c r="I1153"/>
  <c r="S1153"/>
  <c r="N1153"/>
  <c r="U1153"/>
  <c r="P1153"/>
  <c r="F1108"/>
  <c r="S1098"/>
  <c r="N1098"/>
  <c r="V1111"/>
  <c r="H1123"/>
  <c r="U1113"/>
  <c r="P1113"/>
  <c r="G1138"/>
  <c r="T1128"/>
  <c r="O1128"/>
  <c r="T1222"/>
  <c r="O1222"/>
  <c r="J1224"/>
  <c r="M1222"/>
  <c r="U1223"/>
  <c r="P1223"/>
  <c r="S1227"/>
  <c r="N1227"/>
  <c r="F1226"/>
  <c r="I1227"/>
  <c r="U1227"/>
  <c r="P1227"/>
  <c r="H1226"/>
  <c r="S1229"/>
  <c r="N1229"/>
  <c r="F1228"/>
  <c r="I1229"/>
  <c r="U1229"/>
  <c r="P1229"/>
  <c r="H1228"/>
  <c r="S1230"/>
  <c r="N1230"/>
  <c r="I1230"/>
  <c r="V1230" s="1"/>
  <c r="T1232"/>
  <c r="O1232"/>
  <c r="T1233"/>
  <c r="O1233"/>
  <c r="G1188"/>
  <c r="T1178"/>
  <c r="O1178"/>
  <c r="V1181"/>
  <c r="I1180"/>
  <c r="V1180" s="1"/>
  <c r="V1183"/>
  <c r="I1182"/>
  <c r="V1182" s="1"/>
  <c r="F1203"/>
  <c r="S1193"/>
  <c r="N1193"/>
  <c r="H1203"/>
  <c r="U1193"/>
  <c r="P1193"/>
  <c r="G1218"/>
  <c r="T1208"/>
  <c r="O1208"/>
  <c r="V1211"/>
  <c r="I1210"/>
  <c r="V1210" s="1"/>
  <c r="V1213"/>
  <c r="I1212"/>
  <c r="J1289"/>
  <c r="M1287"/>
  <c r="U1288"/>
  <c r="P1288"/>
  <c r="S1292"/>
  <c r="N1292"/>
  <c r="F1291"/>
  <c r="U1292"/>
  <c r="P1292"/>
  <c r="H1291"/>
  <c r="S1294"/>
  <c r="N1294"/>
  <c r="F1293"/>
  <c r="U1294"/>
  <c r="P1294"/>
  <c r="H1293"/>
  <c r="S1295"/>
  <c r="N1295"/>
  <c r="I1295"/>
  <c r="V1295" s="1"/>
  <c r="S1297"/>
  <c r="N1297"/>
  <c r="U1297"/>
  <c r="P1297"/>
  <c r="S1298"/>
  <c r="N1298"/>
  <c r="U1298"/>
  <c r="P1298"/>
  <c r="F1268"/>
  <c r="S1258"/>
  <c r="N1258"/>
  <c r="H1268"/>
  <c r="U1258"/>
  <c r="P1258"/>
  <c r="H1283"/>
  <c r="U1273"/>
  <c r="P1273"/>
  <c r="P630"/>
  <c r="O637"/>
  <c r="T637"/>
  <c r="I638"/>
  <c r="O638"/>
  <c r="I639"/>
  <c r="V639" s="1"/>
  <c r="O639"/>
  <c r="I640"/>
  <c r="V640" s="1"/>
  <c r="O640"/>
  <c r="M641"/>
  <c r="M642" s="1"/>
  <c r="M652" s="1"/>
  <c r="O641"/>
  <c r="T641"/>
  <c r="G642"/>
  <c r="K642"/>
  <c r="K652" s="1"/>
  <c r="O644"/>
  <c r="I645"/>
  <c r="O645"/>
  <c r="O646"/>
  <c r="I647"/>
  <c r="O647"/>
  <c r="I650"/>
  <c r="V650" s="1"/>
  <c r="O650"/>
  <c r="I651"/>
  <c r="V651" s="1"/>
  <c r="O651"/>
  <c r="N656"/>
  <c r="P656"/>
  <c r="S656"/>
  <c r="U656"/>
  <c r="I657"/>
  <c r="P657"/>
  <c r="Q657" s="1"/>
  <c r="N660"/>
  <c r="P660"/>
  <c r="N661"/>
  <c r="P661"/>
  <c r="S661"/>
  <c r="U661"/>
  <c r="N662"/>
  <c r="P662"/>
  <c r="N663"/>
  <c r="P663"/>
  <c r="S663"/>
  <c r="U663"/>
  <c r="N664"/>
  <c r="Q664" s="1"/>
  <c r="S664"/>
  <c r="N666"/>
  <c r="P666"/>
  <c r="S666"/>
  <c r="U666"/>
  <c r="N667"/>
  <c r="P667"/>
  <c r="S667"/>
  <c r="U667"/>
  <c r="I671"/>
  <c r="M671"/>
  <c r="M673" s="1"/>
  <c r="O671"/>
  <c r="T671"/>
  <c r="O672"/>
  <c r="T672"/>
  <c r="O675"/>
  <c r="I676"/>
  <c r="O676"/>
  <c r="O677"/>
  <c r="I678"/>
  <c r="O678"/>
  <c r="I681"/>
  <c r="O681"/>
  <c r="I682"/>
  <c r="V682" s="1"/>
  <c r="O682"/>
  <c r="N686"/>
  <c r="P686"/>
  <c r="S686"/>
  <c r="U686"/>
  <c r="I687"/>
  <c r="P687"/>
  <c r="F688"/>
  <c r="J688"/>
  <c r="J698" s="1"/>
  <c r="J699" s="1"/>
  <c r="N690"/>
  <c r="P690"/>
  <c r="N691"/>
  <c r="P691"/>
  <c r="S691"/>
  <c r="N692"/>
  <c r="P692"/>
  <c r="N693"/>
  <c r="P693"/>
  <c r="S693"/>
  <c r="N694"/>
  <c r="Q694" s="1"/>
  <c r="S694"/>
  <c r="N696"/>
  <c r="P696"/>
  <c r="S696"/>
  <c r="N697"/>
  <c r="P697"/>
  <c r="S697"/>
  <c r="G703"/>
  <c r="G707"/>
  <c r="K707"/>
  <c r="K706" s="1"/>
  <c r="G709"/>
  <c r="K709"/>
  <c r="O710"/>
  <c r="G712"/>
  <c r="K712"/>
  <c r="M712" s="1"/>
  <c r="G713"/>
  <c r="K713"/>
  <c r="M713" s="1"/>
  <c r="N717"/>
  <c r="P717"/>
  <c r="S717"/>
  <c r="U717"/>
  <c r="N718"/>
  <c r="P718"/>
  <c r="N719"/>
  <c r="P719"/>
  <c r="N720"/>
  <c r="P720"/>
  <c r="S720"/>
  <c r="I721"/>
  <c r="P721"/>
  <c r="U721"/>
  <c r="F722"/>
  <c r="H722"/>
  <c r="J722"/>
  <c r="J732" s="1"/>
  <c r="L722"/>
  <c r="L732" s="1"/>
  <c r="N724"/>
  <c r="P724"/>
  <c r="N725"/>
  <c r="P725"/>
  <c r="S725"/>
  <c r="U725"/>
  <c r="N726"/>
  <c r="P726"/>
  <c r="N727"/>
  <c r="P727"/>
  <c r="S727"/>
  <c r="U727"/>
  <c r="N728"/>
  <c r="Q728" s="1"/>
  <c r="S728"/>
  <c r="N730"/>
  <c r="P730"/>
  <c r="S730"/>
  <c r="U730"/>
  <c r="N731"/>
  <c r="P731"/>
  <c r="S731"/>
  <c r="U731"/>
  <c r="I736"/>
  <c r="M736"/>
  <c r="M738" s="1"/>
  <c r="O736"/>
  <c r="T736"/>
  <c r="O737"/>
  <c r="T737"/>
  <c r="O740"/>
  <c r="I741"/>
  <c r="O741"/>
  <c r="O742"/>
  <c r="I743"/>
  <c r="O743"/>
  <c r="I744"/>
  <c r="V744" s="1"/>
  <c r="I746"/>
  <c r="V746" s="1"/>
  <c r="O746"/>
  <c r="I747"/>
  <c r="V747" s="1"/>
  <c r="O747"/>
  <c r="N751"/>
  <c r="P751"/>
  <c r="S751"/>
  <c r="U751"/>
  <c r="I752"/>
  <c r="V752" s="1"/>
  <c r="P752"/>
  <c r="N755"/>
  <c r="P755"/>
  <c r="N756"/>
  <c r="P756"/>
  <c r="S756"/>
  <c r="N757"/>
  <c r="P757"/>
  <c r="N758"/>
  <c r="P758"/>
  <c r="S758"/>
  <c r="N759"/>
  <c r="Q759" s="1"/>
  <c r="S759"/>
  <c r="N761"/>
  <c r="P761"/>
  <c r="S761"/>
  <c r="N762"/>
  <c r="P762"/>
  <c r="S762"/>
  <c r="I766"/>
  <c r="M766"/>
  <c r="M768" s="1"/>
  <c r="O766"/>
  <c r="T766"/>
  <c r="O767"/>
  <c r="T767"/>
  <c r="O770"/>
  <c r="I771"/>
  <c r="O771"/>
  <c r="O772"/>
  <c r="I773"/>
  <c r="O773"/>
  <c r="I774"/>
  <c r="V774" s="1"/>
  <c r="I776"/>
  <c r="O776"/>
  <c r="I777"/>
  <c r="V777" s="1"/>
  <c r="O777"/>
  <c r="N781"/>
  <c r="P781"/>
  <c r="S781"/>
  <c r="U781"/>
  <c r="I782"/>
  <c r="P782"/>
  <c r="F783"/>
  <c r="J783"/>
  <c r="J793" s="1"/>
  <c r="J794" s="1"/>
  <c r="N785"/>
  <c r="P785"/>
  <c r="N786"/>
  <c r="P786"/>
  <c r="S786"/>
  <c r="N787"/>
  <c r="P787"/>
  <c r="N788"/>
  <c r="P788"/>
  <c r="S788"/>
  <c r="N789"/>
  <c r="Q789" s="1"/>
  <c r="S789"/>
  <c r="N791"/>
  <c r="P791"/>
  <c r="S791"/>
  <c r="N792"/>
  <c r="P792"/>
  <c r="S792"/>
  <c r="G797"/>
  <c r="I797" s="1"/>
  <c r="G798"/>
  <c r="I798" s="1"/>
  <c r="K798"/>
  <c r="K799" s="1"/>
  <c r="G802"/>
  <c r="K802"/>
  <c r="K801" s="1"/>
  <c r="G804"/>
  <c r="I804" s="1"/>
  <c r="K804"/>
  <c r="O805"/>
  <c r="G807"/>
  <c r="K807"/>
  <c r="M807" s="1"/>
  <c r="G808"/>
  <c r="N812"/>
  <c r="P812"/>
  <c r="S812"/>
  <c r="U812"/>
  <c r="N813"/>
  <c r="P813"/>
  <c r="N814"/>
  <c r="P814"/>
  <c r="S814"/>
  <c r="N815"/>
  <c r="P815"/>
  <c r="S815"/>
  <c r="I816"/>
  <c r="P816"/>
  <c r="U816"/>
  <c r="F817"/>
  <c r="H817"/>
  <c r="J817"/>
  <c r="J827" s="1"/>
  <c r="L817"/>
  <c r="L827" s="1"/>
  <c r="N819"/>
  <c r="P819"/>
  <c r="N820"/>
  <c r="P820"/>
  <c r="S820"/>
  <c r="U820"/>
  <c r="N821"/>
  <c r="P821"/>
  <c r="N822"/>
  <c r="P822"/>
  <c r="S822"/>
  <c r="U822"/>
  <c r="N823"/>
  <c r="Q823" s="1"/>
  <c r="S823"/>
  <c r="N825"/>
  <c r="P825"/>
  <c r="S825"/>
  <c r="U825"/>
  <c r="N826"/>
  <c r="P826"/>
  <c r="S826"/>
  <c r="U826"/>
  <c r="I831"/>
  <c r="M831"/>
  <c r="M833" s="1"/>
  <c r="M843" s="1"/>
  <c r="O831"/>
  <c r="T831"/>
  <c r="O832"/>
  <c r="T832"/>
  <c r="O835"/>
  <c r="I836"/>
  <c r="O836"/>
  <c r="O837"/>
  <c r="I838"/>
  <c r="O838"/>
  <c r="I839"/>
  <c r="V839" s="1"/>
  <c r="I841"/>
  <c r="V841" s="1"/>
  <c r="O841"/>
  <c r="I842"/>
  <c r="V842" s="1"/>
  <c r="O842"/>
  <c r="I846"/>
  <c r="M846"/>
  <c r="M848" s="1"/>
  <c r="O846"/>
  <c r="T846"/>
  <c r="O847"/>
  <c r="T847"/>
  <c r="O850"/>
  <c r="I851"/>
  <c r="O851"/>
  <c r="O852"/>
  <c r="I853"/>
  <c r="O853"/>
  <c r="I854"/>
  <c r="V854" s="1"/>
  <c r="I856"/>
  <c r="O856"/>
  <c r="I857"/>
  <c r="V857" s="1"/>
  <c r="O857"/>
  <c r="N861"/>
  <c r="P861"/>
  <c r="S861"/>
  <c r="U861"/>
  <c r="I862"/>
  <c r="V862" s="1"/>
  <c r="P862"/>
  <c r="F863"/>
  <c r="J863"/>
  <c r="J873" s="1"/>
  <c r="N865"/>
  <c r="P865"/>
  <c r="N866"/>
  <c r="P866"/>
  <c r="S866"/>
  <c r="N867"/>
  <c r="P867"/>
  <c r="N868"/>
  <c r="P868"/>
  <c r="S868"/>
  <c r="N869"/>
  <c r="Q869" s="1"/>
  <c r="N871"/>
  <c r="P871"/>
  <c r="S871"/>
  <c r="N872"/>
  <c r="P872"/>
  <c r="S872"/>
  <c r="I876"/>
  <c r="M876"/>
  <c r="O876"/>
  <c r="T876"/>
  <c r="O877"/>
  <c r="T877"/>
  <c r="O880"/>
  <c r="I881"/>
  <c r="O881"/>
  <c r="O882"/>
  <c r="I883"/>
  <c r="O883"/>
  <c r="I884"/>
  <c r="V884" s="1"/>
  <c r="I886"/>
  <c r="V886" s="1"/>
  <c r="O886"/>
  <c r="I887"/>
  <c r="V887" s="1"/>
  <c r="O887"/>
  <c r="N891"/>
  <c r="P891"/>
  <c r="S891"/>
  <c r="U891"/>
  <c r="I892"/>
  <c r="V892" s="1"/>
  <c r="P892"/>
  <c r="F893"/>
  <c r="J893"/>
  <c r="J903" s="1"/>
  <c r="N895"/>
  <c r="P895"/>
  <c r="N896"/>
  <c r="P896"/>
  <c r="N897"/>
  <c r="P897"/>
  <c r="N898"/>
  <c r="P898"/>
  <c r="S898"/>
  <c r="N899"/>
  <c r="Q899" s="1"/>
  <c r="N901"/>
  <c r="P901"/>
  <c r="N902"/>
  <c r="P902"/>
  <c r="I906"/>
  <c r="M906"/>
  <c r="M908" s="1"/>
  <c r="O906"/>
  <c r="T906"/>
  <c r="O907"/>
  <c r="T907"/>
  <c r="O910"/>
  <c r="I911"/>
  <c r="O911"/>
  <c r="O912"/>
  <c r="I913"/>
  <c r="O913"/>
  <c r="I914"/>
  <c r="V914" s="1"/>
  <c r="I916"/>
  <c r="V916" s="1"/>
  <c r="O916"/>
  <c r="I917"/>
  <c r="V917" s="1"/>
  <c r="O917"/>
  <c r="N923"/>
  <c r="Q923" s="1"/>
  <c r="S923"/>
  <c r="F927"/>
  <c r="J927"/>
  <c r="F929"/>
  <c r="J929"/>
  <c r="F930"/>
  <c r="J930"/>
  <c r="M930" s="1"/>
  <c r="P930"/>
  <c r="F932"/>
  <c r="J932"/>
  <c r="M932" s="1"/>
  <c r="F933"/>
  <c r="J933"/>
  <c r="M933" s="1"/>
  <c r="O937"/>
  <c r="T937"/>
  <c r="I938"/>
  <c r="O938"/>
  <c r="I939"/>
  <c r="V939" s="1"/>
  <c r="O939"/>
  <c r="I940"/>
  <c r="V940" s="1"/>
  <c r="O940"/>
  <c r="M941"/>
  <c r="M942" s="1"/>
  <c r="O941"/>
  <c r="T941"/>
  <c r="G942"/>
  <c r="K942"/>
  <c r="K952" s="1"/>
  <c r="O944"/>
  <c r="I945"/>
  <c r="M945"/>
  <c r="M944" s="1"/>
  <c r="O945"/>
  <c r="T945"/>
  <c r="O946"/>
  <c r="I947"/>
  <c r="M947"/>
  <c r="O947"/>
  <c r="T947"/>
  <c r="I948"/>
  <c r="M948"/>
  <c r="I950"/>
  <c r="M950"/>
  <c r="O950"/>
  <c r="T950"/>
  <c r="I951"/>
  <c r="V951" s="1"/>
  <c r="M951"/>
  <c r="O951"/>
  <c r="T951"/>
  <c r="N956"/>
  <c r="P956"/>
  <c r="S956"/>
  <c r="U956"/>
  <c r="I957"/>
  <c r="V957" s="1"/>
  <c r="P957"/>
  <c r="F958"/>
  <c r="J958"/>
  <c r="J968" s="1"/>
  <c r="N960"/>
  <c r="P960"/>
  <c r="N961"/>
  <c r="P961"/>
  <c r="S961"/>
  <c r="N962"/>
  <c r="P962"/>
  <c r="N963"/>
  <c r="P963"/>
  <c r="S963"/>
  <c r="N964"/>
  <c r="Q964" s="1"/>
  <c r="S964"/>
  <c r="N966"/>
  <c r="P966"/>
  <c r="S966"/>
  <c r="N967"/>
  <c r="P967"/>
  <c r="S967"/>
  <c r="N971"/>
  <c r="P971"/>
  <c r="S971"/>
  <c r="U971"/>
  <c r="I972"/>
  <c r="V972" s="1"/>
  <c r="P972"/>
  <c r="F973"/>
  <c r="J973"/>
  <c r="J983" s="1"/>
  <c r="N975"/>
  <c r="P975"/>
  <c r="N976"/>
  <c r="P976"/>
  <c r="S976"/>
  <c r="N977"/>
  <c r="P977"/>
  <c r="N978"/>
  <c r="P978"/>
  <c r="S978"/>
  <c r="N979"/>
  <c r="Q979" s="1"/>
  <c r="S979"/>
  <c r="N981"/>
  <c r="P981"/>
  <c r="S981"/>
  <c r="N982"/>
  <c r="P982"/>
  <c r="S982"/>
  <c r="G988"/>
  <c r="G989" s="1"/>
  <c r="O995"/>
  <c r="N1002"/>
  <c r="P1002"/>
  <c r="S1002"/>
  <c r="U1002"/>
  <c r="N1003"/>
  <c r="P1003"/>
  <c r="S1003"/>
  <c r="N1004"/>
  <c r="P1004"/>
  <c r="S1004"/>
  <c r="N1005"/>
  <c r="P1005"/>
  <c r="S1005"/>
  <c r="I1006"/>
  <c r="P1006"/>
  <c r="U1006"/>
  <c r="F1007"/>
  <c r="H1007"/>
  <c r="J1007"/>
  <c r="J1017" s="1"/>
  <c r="L1007"/>
  <c r="L1017" s="1"/>
  <c r="N1009"/>
  <c r="P1009"/>
  <c r="N1010"/>
  <c r="P1010"/>
  <c r="S1010"/>
  <c r="U1010"/>
  <c r="N1011"/>
  <c r="P1011"/>
  <c r="L1154"/>
  <c r="N1012"/>
  <c r="P1012"/>
  <c r="S1012"/>
  <c r="U1012"/>
  <c r="N1013"/>
  <c r="Q1013" s="1"/>
  <c r="S1013"/>
  <c r="N1015"/>
  <c r="P1015"/>
  <c r="S1015"/>
  <c r="U1015"/>
  <c r="M1153"/>
  <c r="N1016"/>
  <c r="P1016"/>
  <c r="S1016"/>
  <c r="U1016"/>
  <c r="I1021"/>
  <c r="M1021"/>
  <c r="O1021"/>
  <c r="T1021"/>
  <c r="O1022"/>
  <c r="T1022"/>
  <c r="O1025"/>
  <c r="I1026"/>
  <c r="O1026"/>
  <c r="O1027"/>
  <c r="I1028"/>
  <c r="O1028"/>
  <c r="I1029"/>
  <c r="V1029" s="1"/>
  <c r="I1031"/>
  <c r="V1031" s="1"/>
  <c r="O1031"/>
  <c r="I1032"/>
  <c r="V1032" s="1"/>
  <c r="O1032"/>
  <c r="N1036"/>
  <c r="P1036"/>
  <c r="S1036"/>
  <c r="U1036"/>
  <c r="I1037"/>
  <c r="P1037"/>
  <c r="N1040"/>
  <c r="P1040"/>
  <c r="N1041"/>
  <c r="P1041"/>
  <c r="N1042"/>
  <c r="P1042"/>
  <c r="N1043"/>
  <c r="P1043"/>
  <c r="N1044"/>
  <c r="Q1044" s="1"/>
  <c r="N1046"/>
  <c r="P1046"/>
  <c r="N1047"/>
  <c r="P1047"/>
  <c r="I1051"/>
  <c r="M1051"/>
  <c r="O1051"/>
  <c r="T1051"/>
  <c r="O1052"/>
  <c r="Q1052" s="1"/>
  <c r="T1052"/>
  <c r="O1055"/>
  <c r="I1056"/>
  <c r="O1056"/>
  <c r="O1057"/>
  <c r="I1058"/>
  <c r="O1058"/>
  <c r="I1059"/>
  <c r="V1059" s="1"/>
  <c r="I1061"/>
  <c r="V1061" s="1"/>
  <c r="O1061"/>
  <c r="I1062"/>
  <c r="V1062" s="1"/>
  <c r="O1062"/>
  <c r="N1066"/>
  <c r="P1066"/>
  <c r="S1066"/>
  <c r="U1066"/>
  <c r="P1067"/>
  <c r="N1070"/>
  <c r="P1070"/>
  <c r="N1071"/>
  <c r="P1071"/>
  <c r="N1072"/>
  <c r="P1072"/>
  <c r="N1073"/>
  <c r="P1073"/>
  <c r="N1074"/>
  <c r="Q1074" s="1"/>
  <c r="N1076"/>
  <c r="P1076"/>
  <c r="N1077"/>
  <c r="P1077"/>
  <c r="I1081"/>
  <c r="M1081"/>
  <c r="M1083" s="1"/>
  <c r="O1081"/>
  <c r="T1081"/>
  <c r="O1082"/>
  <c r="T1082"/>
  <c r="O1085"/>
  <c r="I1086"/>
  <c r="O1086"/>
  <c r="O1087"/>
  <c r="I1088"/>
  <c r="O1088"/>
  <c r="I1089"/>
  <c r="V1089" s="1"/>
  <c r="I1091"/>
  <c r="V1091" s="1"/>
  <c r="O1091"/>
  <c r="I1092"/>
  <c r="V1092" s="1"/>
  <c r="O1092"/>
  <c r="H1098"/>
  <c r="N1096"/>
  <c r="P1096"/>
  <c r="S1096"/>
  <c r="U1096"/>
  <c r="P1097"/>
  <c r="I1143"/>
  <c r="K1228"/>
  <c r="K1234" s="1"/>
  <c r="M1232"/>
  <c r="M1233"/>
  <c r="M1178"/>
  <c r="M1188" s="1"/>
  <c r="V1184"/>
  <c r="V1186"/>
  <c r="V1187"/>
  <c r="M1208"/>
  <c r="V1214"/>
  <c r="G1144"/>
  <c r="T1142"/>
  <c r="O1142"/>
  <c r="U1143"/>
  <c r="P1143"/>
  <c r="T1147"/>
  <c r="O1147"/>
  <c r="G1146"/>
  <c r="T1149"/>
  <c r="O1149"/>
  <c r="G1148"/>
  <c r="T1152"/>
  <c r="O1152"/>
  <c r="T1153"/>
  <c r="O1153"/>
  <c r="G1108"/>
  <c r="T1098"/>
  <c r="O1098"/>
  <c r="G1123"/>
  <c r="T1113"/>
  <c r="O1113"/>
  <c r="V1116"/>
  <c r="I1115"/>
  <c r="V1115" s="1"/>
  <c r="F1138"/>
  <c r="S1128"/>
  <c r="N1128"/>
  <c r="H1138"/>
  <c r="U1128"/>
  <c r="P1128"/>
  <c r="F1224"/>
  <c r="S1222"/>
  <c r="N1222"/>
  <c r="I1222"/>
  <c r="H1224"/>
  <c r="U1222"/>
  <c r="P1222"/>
  <c r="T1227"/>
  <c r="O1227"/>
  <c r="G1226"/>
  <c r="J1226"/>
  <c r="M1227"/>
  <c r="M1226" s="1"/>
  <c r="T1229"/>
  <c r="O1229"/>
  <c r="G1228"/>
  <c r="J1228"/>
  <c r="M1229"/>
  <c r="S1232"/>
  <c r="N1232"/>
  <c r="I1232"/>
  <c r="V1232" s="1"/>
  <c r="U1232"/>
  <c r="P1232"/>
  <c r="S1233"/>
  <c r="N1233"/>
  <c r="I1233"/>
  <c r="V1233" s="1"/>
  <c r="U1233"/>
  <c r="P1233"/>
  <c r="V1176"/>
  <c r="H1188"/>
  <c r="U1178"/>
  <c r="P1178"/>
  <c r="G1203"/>
  <c r="T1193"/>
  <c r="O1193"/>
  <c r="V1206"/>
  <c r="H1218"/>
  <c r="U1208"/>
  <c r="P1208"/>
  <c r="F1289"/>
  <c r="S1287"/>
  <c r="N1287"/>
  <c r="H1289"/>
  <c r="U1287"/>
  <c r="P1287"/>
  <c r="T1242"/>
  <c r="J1291"/>
  <c r="M1292"/>
  <c r="M1291" s="1"/>
  <c r="J1293"/>
  <c r="J1299" s="1"/>
  <c r="G1268"/>
  <c r="T1258"/>
  <c r="O1258"/>
  <c r="G1283"/>
  <c r="T1273"/>
  <c r="O1273"/>
  <c r="V1276"/>
  <c r="I1275"/>
  <c r="V1275" s="1"/>
  <c r="V1278"/>
  <c r="I1277"/>
  <c r="I1302"/>
  <c r="O630"/>
  <c r="N637"/>
  <c r="P637"/>
  <c r="S637"/>
  <c r="U637"/>
  <c r="N638"/>
  <c r="P638"/>
  <c r="N639"/>
  <c r="P639"/>
  <c r="N640"/>
  <c r="P640"/>
  <c r="P641"/>
  <c r="U641"/>
  <c r="F642"/>
  <c r="H642"/>
  <c r="J642"/>
  <c r="J652" s="1"/>
  <c r="L642"/>
  <c r="L652" s="1"/>
  <c r="N644"/>
  <c r="P644"/>
  <c r="N645"/>
  <c r="P645"/>
  <c r="N646"/>
  <c r="P646"/>
  <c r="N647"/>
  <c r="P647"/>
  <c r="N648"/>
  <c r="Q648" s="1"/>
  <c r="N650"/>
  <c r="P650"/>
  <c r="N651"/>
  <c r="P651"/>
  <c r="I656"/>
  <c r="M656"/>
  <c r="O656"/>
  <c r="T656"/>
  <c r="M657"/>
  <c r="O660"/>
  <c r="I661"/>
  <c r="O661"/>
  <c r="O662"/>
  <c r="I663"/>
  <c r="O663"/>
  <c r="I666"/>
  <c r="V666" s="1"/>
  <c r="O666"/>
  <c r="I667"/>
  <c r="V667" s="1"/>
  <c r="O667"/>
  <c r="N671"/>
  <c r="P671"/>
  <c r="S671"/>
  <c r="U671"/>
  <c r="P672"/>
  <c r="N675"/>
  <c r="P675"/>
  <c r="N676"/>
  <c r="P676"/>
  <c r="N677"/>
  <c r="P677"/>
  <c r="N678"/>
  <c r="P678"/>
  <c r="N679"/>
  <c r="Q679" s="1"/>
  <c r="N681"/>
  <c r="P681"/>
  <c r="N682"/>
  <c r="P682"/>
  <c r="O686"/>
  <c r="T686"/>
  <c r="O687"/>
  <c r="Q687" s="1"/>
  <c r="O690"/>
  <c r="O691"/>
  <c r="O692"/>
  <c r="O693"/>
  <c r="O696"/>
  <c r="O697"/>
  <c r="N703"/>
  <c r="P710"/>
  <c r="O717"/>
  <c r="I718"/>
  <c r="O718"/>
  <c r="I719"/>
  <c r="V719" s="1"/>
  <c r="O719"/>
  <c r="O720"/>
  <c r="M721"/>
  <c r="M722" s="1"/>
  <c r="O721"/>
  <c r="T721"/>
  <c r="O724"/>
  <c r="I725"/>
  <c r="O725"/>
  <c r="O726"/>
  <c r="I727"/>
  <c r="O727"/>
  <c r="I730"/>
  <c r="V730" s="1"/>
  <c r="O730"/>
  <c r="I731"/>
  <c r="V731" s="1"/>
  <c r="M731"/>
  <c r="O731"/>
  <c r="N736"/>
  <c r="P736"/>
  <c r="S736"/>
  <c r="U736"/>
  <c r="P737"/>
  <c r="N740"/>
  <c r="P740"/>
  <c r="N741"/>
  <c r="P741"/>
  <c r="N742"/>
  <c r="P742"/>
  <c r="N743"/>
  <c r="P743"/>
  <c r="N744"/>
  <c r="Q744" s="1"/>
  <c r="N746"/>
  <c r="P746"/>
  <c r="N747"/>
  <c r="P747"/>
  <c r="I751"/>
  <c r="M751"/>
  <c r="M753" s="1"/>
  <c r="O751"/>
  <c r="T751"/>
  <c r="O752"/>
  <c r="Q752" s="1"/>
  <c r="O755"/>
  <c r="O756"/>
  <c r="O757"/>
  <c r="O758"/>
  <c r="O761"/>
  <c r="O762"/>
  <c r="N766"/>
  <c r="P766"/>
  <c r="S766"/>
  <c r="U766"/>
  <c r="P767"/>
  <c r="N770"/>
  <c r="P770"/>
  <c r="N771"/>
  <c r="P771"/>
  <c r="N772"/>
  <c r="P772"/>
  <c r="N773"/>
  <c r="P773"/>
  <c r="N774"/>
  <c r="Q774" s="1"/>
  <c r="N776"/>
  <c r="P776"/>
  <c r="N777"/>
  <c r="P777"/>
  <c r="O781"/>
  <c r="T781"/>
  <c r="O782"/>
  <c r="Q782" s="1"/>
  <c r="O785"/>
  <c r="O786"/>
  <c r="O787"/>
  <c r="O788"/>
  <c r="O791"/>
  <c r="O792"/>
  <c r="N798"/>
  <c r="P805"/>
  <c r="O812"/>
  <c r="T812"/>
  <c r="I813"/>
  <c r="O813"/>
  <c r="O814"/>
  <c r="O815"/>
  <c r="M816"/>
  <c r="O816"/>
  <c r="T816"/>
  <c r="G817"/>
  <c r="K817"/>
  <c r="K827" s="1"/>
  <c r="O819"/>
  <c r="O820"/>
  <c r="T820"/>
  <c r="O821"/>
  <c r="O822"/>
  <c r="T822"/>
  <c r="O825"/>
  <c r="T825"/>
  <c r="O826"/>
  <c r="T826"/>
  <c r="N831"/>
  <c r="P831"/>
  <c r="S831"/>
  <c r="U831"/>
  <c r="P832"/>
  <c r="N835"/>
  <c r="P835"/>
  <c r="N836"/>
  <c r="P836"/>
  <c r="N837"/>
  <c r="P837"/>
  <c r="N838"/>
  <c r="P838"/>
  <c r="N839"/>
  <c r="Q839" s="1"/>
  <c r="N841"/>
  <c r="P841"/>
  <c r="N842"/>
  <c r="P842"/>
  <c r="N846"/>
  <c r="P846"/>
  <c r="S846"/>
  <c r="U846"/>
  <c r="P847"/>
  <c r="N850"/>
  <c r="P850"/>
  <c r="N851"/>
  <c r="P851"/>
  <c r="N852"/>
  <c r="P852"/>
  <c r="N853"/>
  <c r="P853"/>
  <c r="N854"/>
  <c r="Q854" s="1"/>
  <c r="N856"/>
  <c r="P856"/>
  <c r="N857"/>
  <c r="P857"/>
  <c r="O861"/>
  <c r="T861"/>
  <c r="O862"/>
  <c r="O865"/>
  <c r="O866"/>
  <c r="O867"/>
  <c r="O868"/>
  <c r="O871"/>
  <c r="O872"/>
  <c r="N876"/>
  <c r="P876"/>
  <c r="S876"/>
  <c r="U876"/>
  <c r="P877"/>
  <c r="N880"/>
  <c r="P880"/>
  <c r="N881"/>
  <c r="P881"/>
  <c r="N882"/>
  <c r="P882"/>
  <c r="N883"/>
  <c r="P883"/>
  <c r="N884"/>
  <c r="Q884" s="1"/>
  <c r="N886"/>
  <c r="P886"/>
  <c r="N887"/>
  <c r="P887"/>
  <c r="O891"/>
  <c r="T891"/>
  <c r="O892"/>
  <c r="O895"/>
  <c r="I896"/>
  <c r="O896"/>
  <c r="O897"/>
  <c r="O898"/>
  <c r="I901"/>
  <c r="O901"/>
  <c r="I902"/>
  <c r="V902" s="1"/>
  <c r="O902"/>
  <c r="N906"/>
  <c r="P906"/>
  <c r="S906"/>
  <c r="U906"/>
  <c r="N910"/>
  <c r="P910"/>
  <c r="N911"/>
  <c r="P911"/>
  <c r="N912"/>
  <c r="P912"/>
  <c r="N913"/>
  <c r="P913"/>
  <c r="N914"/>
  <c r="Q914" s="1"/>
  <c r="N916"/>
  <c r="P916"/>
  <c r="N917"/>
  <c r="P917"/>
  <c r="O930"/>
  <c r="N937"/>
  <c r="P937"/>
  <c r="S937"/>
  <c r="U937"/>
  <c r="N938"/>
  <c r="P938"/>
  <c r="N939"/>
  <c r="P939"/>
  <c r="N940"/>
  <c r="P940"/>
  <c r="P941"/>
  <c r="U941"/>
  <c r="F942"/>
  <c r="H942"/>
  <c r="J942"/>
  <c r="J952" s="1"/>
  <c r="L942"/>
  <c r="L952" s="1"/>
  <c r="N944"/>
  <c r="P944"/>
  <c r="N945"/>
  <c r="P945"/>
  <c r="S945"/>
  <c r="U945"/>
  <c r="N946"/>
  <c r="P946"/>
  <c r="N947"/>
  <c r="P947"/>
  <c r="S947"/>
  <c r="U947"/>
  <c r="N948"/>
  <c r="Q948" s="1"/>
  <c r="S948"/>
  <c r="N950"/>
  <c r="P950"/>
  <c r="S950"/>
  <c r="U950"/>
  <c r="N951"/>
  <c r="P951"/>
  <c r="S951"/>
  <c r="U951"/>
  <c r="O956"/>
  <c r="T956"/>
  <c r="O957"/>
  <c r="Q957" s="1"/>
  <c r="O960"/>
  <c r="O961"/>
  <c r="O962"/>
  <c r="O963"/>
  <c r="O966"/>
  <c r="O967"/>
  <c r="O971"/>
  <c r="T971"/>
  <c r="O972"/>
  <c r="O975"/>
  <c r="O976"/>
  <c r="O977"/>
  <c r="O978"/>
  <c r="O981"/>
  <c r="O982"/>
  <c r="N988"/>
  <c r="P995"/>
  <c r="O1002"/>
  <c r="T1002"/>
  <c r="O1003"/>
  <c r="O1004"/>
  <c r="O1005"/>
  <c r="M1006"/>
  <c r="M1007" s="1"/>
  <c r="O1006"/>
  <c r="T1006"/>
  <c r="G1007"/>
  <c r="K1007"/>
  <c r="K1017" s="1"/>
  <c r="O1009"/>
  <c r="I1010"/>
  <c r="M1010"/>
  <c r="M1009" s="1"/>
  <c r="O1010"/>
  <c r="T1010"/>
  <c r="O1011"/>
  <c r="I1012"/>
  <c r="K1154"/>
  <c r="M1012"/>
  <c r="O1012"/>
  <c r="T1012"/>
  <c r="I1013"/>
  <c r="M1013"/>
  <c r="I1015"/>
  <c r="M1015"/>
  <c r="O1015"/>
  <c r="T1015"/>
  <c r="I1016"/>
  <c r="V1016" s="1"/>
  <c r="M1016"/>
  <c r="O1016"/>
  <c r="T1016"/>
  <c r="N1021"/>
  <c r="P1021"/>
  <c r="S1021"/>
  <c r="U1021"/>
  <c r="P1022"/>
  <c r="N1025"/>
  <c r="P1025"/>
  <c r="N1026"/>
  <c r="P1026"/>
  <c r="N1027"/>
  <c r="P1027"/>
  <c r="N1028"/>
  <c r="P1028"/>
  <c r="N1029"/>
  <c r="Q1029" s="1"/>
  <c r="N1031"/>
  <c r="P1031"/>
  <c r="N1032"/>
  <c r="P1032"/>
  <c r="I1036"/>
  <c r="M1036"/>
  <c r="O1036"/>
  <c r="T1036"/>
  <c r="O1037"/>
  <c r="O1040"/>
  <c r="I1041"/>
  <c r="O1041"/>
  <c r="O1042"/>
  <c r="I1043"/>
  <c r="O1043"/>
  <c r="I1046"/>
  <c r="V1046" s="1"/>
  <c r="O1046"/>
  <c r="I1047"/>
  <c r="V1047" s="1"/>
  <c r="O1047"/>
  <c r="N1051"/>
  <c r="P1051"/>
  <c r="S1051"/>
  <c r="U1051"/>
  <c r="N1055"/>
  <c r="P1055"/>
  <c r="N1056"/>
  <c r="P1056"/>
  <c r="N1057"/>
  <c r="P1057"/>
  <c r="N1058"/>
  <c r="P1058"/>
  <c r="N1059"/>
  <c r="Q1059" s="1"/>
  <c r="N1061"/>
  <c r="P1061"/>
  <c r="N1062"/>
  <c r="P1062"/>
  <c r="I1066"/>
  <c r="M1066"/>
  <c r="O1066"/>
  <c r="T1066"/>
  <c r="M1067"/>
  <c r="V1067" s="1"/>
  <c r="O1067"/>
  <c r="Q1067" s="1"/>
  <c r="O1070"/>
  <c r="I1071"/>
  <c r="O1071"/>
  <c r="O1072"/>
  <c r="I1073"/>
  <c r="O1073"/>
  <c r="I1076"/>
  <c r="V1076" s="1"/>
  <c r="O1076"/>
  <c r="I1077"/>
  <c r="V1077" s="1"/>
  <c r="O1077"/>
  <c r="N1081"/>
  <c r="P1081"/>
  <c r="S1081"/>
  <c r="U1081"/>
  <c r="P1082"/>
  <c r="N1085"/>
  <c r="P1085"/>
  <c r="N1086"/>
  <c r="P1086"/>
  <c r="N1087"/>
  <c r="P1087"/>
  <c r="N1088"/>
  <c r="P1088"/>
  <c r="N1089"/>
  <c r="Q1089" s="1"/>
  <c r="N1091"/>
  <c r="P1091"/>
  <c r="N1092"/>
  <c r="P1092"/>
  <c r="I1096"/>
  <c r="M1096"/>
  <c r="O1096"/>
  <c r="T1096"/>
  <c r="M1097"/>
  <c r="V1097" s="1"/>
  <c r="O1097"/>
  <c r="Q1097" s="1"/>
  <c r="M1143"/>
  <c r="L1234"/>
  <c r="M1223"/>
  <c r="L1299"/>
  <c r="I1352"/>
  <c r="F1354"/>
  <c r="S1352"/>
  <c r="N1352"/>
  <c r="H1354"/>
  <c r="U1352"/>
  <c r="P1352"/>
  <c r="M1352"/>
  <c r="J1354"/>
  <c r="T1353"/>
  <c r="O1353"/>
  <c r="I1357"/>
  <c r="S1357"/>
  <c r="N1357"/>
  <c r="F1356"/>
  <c r="U1357"/>
  <c r="P1357"/>
  <c r="H1356"/>
  <c r="M1357"/>
  <c r="M1356" s="1"/>
  <c r="J1356"/>
  <c r="I1359"/>
  <c r="S1359"/>
  <c r="N1359"/>
  <c r="F1358"/>
  <c r="U1359"/>
  <c r="P1359"/>
  <c r="H1358"/>
  <c r="M1359"/>
  <c r="J1358"/>
  <c r="I1360"/>
  <c r="V1360" s="1"/>
  <c r="S1360"/>
  <c r="N1360"/>
  <c r="I1362"/>
  <c r="V1362" s="1"/>
  <c r="S1362"/>
  <c r="N1362"/>
  <c r="U1362"/>
  <c r="P1362"/>
  <c r="I1363"/>
  <c r="V1363" s="1"/>
  <c r="S1363"/>
  <c r="N1363"/>
  <c r="U1363"/>
  <c r="P1363"/>
  <c r="G1333"/>
  <c r="O1323"/>
  <c r="U1322"/>
  <c r="P1322"/>
  <c r="I1325"/>
  <c r="V1325" s="1"/>
  <c r="F1348"/>
  <c r="S1338"/>
  <c r="N1338"/>
  <c r="H1348"/>
  <c r="P1338"/>
  <c r="N1422"/>
  <c r="F1421"/>
  <c r="I1422"/>
  <c r="P1422"/>
  <c r="S1424"/>
  <c r="I1424"/>
  <c r="U1424"/>
  <c r="P1424"/>
  <c r="S1427"/>
  <c r="I1427"/>
  <c r="P1427"/>
  <c r="N1428"/>
  <c r="U1428"/>
  <c r="V1433"/>
  <c r="G1461"/>
  <c r="T1451"/>
  <c r="O1451"/>
  <c r="F1476"/>
  <c r="S1476" s="1"/>
  <c r="S1466"/>
  <c r="N1466"/>
  <c r="H1476"/>
  <c r="U1476" s="1"/>
  <c r="U1466"/>
  <c r="P1466"/>
  <c r="G1491"/>
  <c r="T1481"/>
  <c r="O1481"/>
  <c r="F1506"/>
  <c r="S1496"/>
  <c r="N1496"/>
  <c r="H1506"/>
  <c r="U1496"/>
  <c r="P1496"/>
  <c r="T1511"/>
  <c r="F1536"/>
  <c r="S1526"/>
  <c r="N1526"/>
  <c r="U1526"/>
  <c r="G1551"/>
  <c r="T1541"/>
  <c r="O1541"/>
  <c r="O1100"/>
  <c r="I1101"/>
  <c r="O1101"/>
  <c r="O1102"/>
  <c r="I1103"/>
  <c r="O1103"/>
  <c r="I1106"/>
  <c r="V1106" s="1"/>
  <c r="O1106"/>
  <c r="I1107"/>
  <c r="V1107" s="1"/>
  <c r="O1107"/>
  <c r="N1111"/>
  <c r="P1111"/>
  <c r="S1111"/>
  <c r="U1111"/>
  <c r="I1112"/>
  <c r="P1112"/>
  <c r="F1113"/>
  <c r="J1113"/>
  <c r="J1123" s="1"/>
  <c r="J1139" s="1"/>
  <c r="N1115"/>
  <c r="P1115"/>
  <c r="N1116"/>
  <c r="P1116"/>
  <c r="S1116"/>
  <c r="N1117"/>
  <c r="P1117"/>
  <c r="N1118"/>
  <c r="P1118"/>
  <c r="N1119"/>
  <c r="Q1119" s="1"/>
  <c r="N1121"/>
  <c r="P1121"/>
  <c r="N1122"/>
  <c r="P1122"/>
  <c r="S1122"/>
  <c r="I1126"/>
  <c r="M1126"/>
  <c r="O1126"/>
  <c r="T1126"/>
  <c r="O1127"/>
  <c r="Q1127" s="1"/>
  <c r="T1127"/>
  <c r="O1130"/>
  <c r="I1131"/>
  <c r="O1131"/>
  <c r="O1132"/>
  <c r="I1133"/>
  <c r="O1133"/>
  <c r="I1134"/>
  <c r="V1134" s="1"/>
  <c r="I1136"/>
  <c r="V1136" s="1"/>
  <c r="O1136"/>
  <c r="I1137"/>
  <c r="V1137" s="1"/>
  <c r="O1137"/>
  <c r="N1143"/>
  <c r="S1143"/>
  <c r="P1150"/>
  <c r="O1157"/>
  <c r="T1157"/>
  <c r="I1158"/>
  <c r="O1158"/>
  <c r="I1159"/>
  <c r="V1159" s="1"/>
  <c r="O1159"/>
  <c r="I1160"/>
  <c r="V1160" s="1"/>
  <c r="O1160"/>
  <c r="M1161"/>
  <c r="O1161"/>
  <c r="T1161"/>
  <c r="G1162"/>
  <c r="K1162"/>
  <c r="K1172" s="1"/>
  <c r="O1164"/>
  <c r="I1165"/>
  <c r="M1165"/>
  <c r="M1164" s="1"/>
  <c r="O1165"/>
  <c r="T1165"/>
  <c r="O1166"/>
  <c r="I1167"/>
  <c r="M1167"/>
  <c r="O1167"/>
  <c r="T1167"/>
  <c r="I1168"/>
  <c r="I1170"/>
  <c r="V1170" s="1"/>
  <c r="M1170"/>
  <c r="O1170"/>
  <c r="T1170"/>
  <c r="I1171"/>
  <c r="V1171" s="1"/>
  <c r="M1171"/>
  <c r="O1171"/>
  <c r="T1171"/>
  <c r="N1176"/>
  <c r="P1176"/>
  <c r="S1176"/>
  <c r="U1176"/>
  <c r="I1177"/>
  <c r="P1177"/>
  <c r="F1178"/>
  <c r="J1178"/>
  <c r="J1188" s="1"/>
  <c r="N1180"/>
  <c r="P1180"/>
  <c r="N1181"/>
  <c r="P1181"/>
  <c r="S1181"/>
  <c r="N1182"/>
  <c r="P1182"/>
  <c r="N1183"/>
  <c r="P1183"/>
  <c r="S1183"/>
  <c r="N1184"/>
  <c r="Q1184" s="1"/>
  <c r="S1184"/>
  <c r="N1186"/>
  <c r="P1186"/>
  <c r="S1186"/>
  <c r="N1187"/>
  <c r="P1187"/>
  <c r="S1187"/>
  <c r="I1191"/>
  <c r="M1191"/>
  <c r="M1193" s="1"/>
  <c r="O1191"/>
  <c r="T1191"/>
  <c r="O1192"/>
  <c r="T1192"/>
  <c r="O1195"/>
  <c r="I1196"/>
  <c r="O1196"/>
  <c r="O1197"/>
  <c r="I1198"/>
  <c r="O1198"/>
  <c r="I1201"/>
  <c r="V1201" s="1"/>
  <c r="O1201"/>
  <c r="I1202"/>
  <c r="V1202" s="1"/>
  <c r="O1202"/>
  <c r="N1206"/>
  <c r="P1206"/>
  <c r="S1206"/>
  <c r="U1206"/>
  <c r="I1207"/>
  <c r="F1208"/>
  <c r="J1208"/>
  <c r="J1218" s="1"/>
  <c r="N1210"/>
  <c r="P1210"/>
  <c r="N1211"/>
  <c r="P1211"/>
  <c r="S1211"/>
  <c r="N1212"/>
  <c r="P1212"/>
  <c r="N1213"/>
  <c r="P1213"/>
  <c r="S1213"/>
  <c r="N1214"/>
  <c r="Q1214" s="1"/>
  <c r="S1214"/>
  <c r="N1216"/>
  <c r="P1216"/>
  <c r="S1216"/>
  <c r="N1217"/>
  <c r="P1217"/>
  <c r="S1217"/>
  <c r="G1223"/>
  <c r="I1223" s="1"/>
  <c r="O1230"/>
  <c r="N1237"/>
  <c r="P1237"/>
  <c r="S1237"/>
  <c r="U1237"/>
  <c r="N1238"/>
  <c r="P1238"/>
  <c r="N1239"/>
  <c r="P1239"/>
  <c r="N1240"/>
  <c r="P1240"/>
  <c r="S1240"/>
  <c r="I1241"/>
  <c r="P1241"/>
  <c r="U1241"/>
  <c r="F1242"/>
  <c r="H1242"/>
  <c r="J1242"/>
  <c r="J1252" s="1"/>
  <c r="L1242"/>
  <c r="L1252" s="1"/>
  <c r="N1244"/>
  <c r="P1244"/>
  <c r="N1245"/>
  <c r="P1245"/>
  <c r="S1245"/>
  <c r="U1245"/>
  <c r="N1246"/>
  <c r="P1246"/>
  <c r="N1247"/>
  <c r="P1247"/>
  <c r="S1247"/>
  <c r="U1247"/>
  <c r="N1248"/>
  <c r="Q1248" s="1"/>
  <c r="S1248"/>
  <c r="N1250"/>
  <c r="P1250"/>
  <c r="S1250"/>
  <c r="U1250"/>
  <c r="N1251"/>
  <c r="P1251"/>
  <c r="S1251"/>
  <c r="U1251"/>
  <c r="I1256"/>
  <c r="M1256"/>
  <c r="M1258" s="1"/>
  <c r="O1256"/>
  <c r="T1256"/>
  <c r="O1257"/>
  <c r="T1257"/>
  <c r="O1260"/>
  <c r="I1261"/>
  <c r="O1261"/>
  <c r="O1262"/>
  <c r="I1263"/>
  <c r="O1263"/>
  <c r="I1266"/>
  <c r="V1266" s="1"/>
  <c r="O1266"/>
  <c r="I1267"/>
  <c r="O1267"/>
  <c r="N1271"/>
  <c r="P1271"/>
  <c r="S1271"/>
  <c r="U1271"/>
  <c r="I1272"/>
  <c r="P1272"/>
  <c r="F1273"/>
  <c r="J1273"/>
  <c r="J1283" s="1"/>
  <c r="J1284" s="1"/>
  <c r="N1275"/>
  <c r="P1275"/>
  <c r="N1276"/>
  <c r="P1276"/>
  <c r="S1276"/>
  <c r="N1277"/>
  <c r="P1277"/>
  <c r="N1278"/>
  <c r="P1278"/>
  <c r="S1278"/>
  <c r="N1279"/>
  <c r="Q1279" s="1"/>
  <c r="S1279"/>
  <c r="N1281"/>
  <c r="P1281"/>
  <c r="S1281"/>
  <c r="N1282"/>
  <c r="P1282"/>
  <c r="S1282"/>
  <c r="G1287"/>
  <c r="G1288"/>
  <c r="K1288"/>
  <c r="M1288" s="1"/>
  <c r="G1292"/>
  <c r="G1294"/>
  <c r="K1294"/>
  <c r="O1295"/>
  <c r="G1297"/>
  <c r="K1297"/>
  <c r="M1297" s="1"/>
  <c r="G1298"/>
  <c r="N1302"/>
  <c r="P1302"/>
  <c r="S1302"/>
  <c r="U1302"/>
  <c r="N1303"/>
  <c r="P1303"/>
  <c r="S1303"/>
  <c r="N1304"/>
  <c r="P1304"/>
  <c r="S1304"/>
  <c r="N1305"/>
  <c r="P1305"/>
  <c r="S1305"/>
  <c r="I1306"/>
  <c r="P1306"/>
  <c r="U1306"/>
  <c r="F1307"/>
  <c r="H1307"/>
  <c r="J1307"/>
  <c r="J1317" s="1"/>
  <c r="L1307"/>
  <c r="L1317" s="1"/>
  <c r="N1309"/>
  <c r="P1309"/>
  <c r="N1310"/>
  <c r="P1310"/>
  <c r="S1310"/>
  <c r="U1310"/>
  <c r="N1311"/>
  <c r="P1311"/>
  <c r="L1364"/>
  <c r="N1312"/>
  <c r="P1312"/>
  <c r="S1312"/>
  <c r="U1312"/>
  <c r="N1313"/>
  <c r="Q1313" s="1"/>
  <c r="S1313"/>
  <c r="N1315"/>
  <c r="P1315"/>
  <c r="S1315"/>
  <c r="U1315"/>
  <c r="N1316"/>
  <c r="P1316"/>
  <c r="S1316"/>
  <c r="U1316"/>
  <c r="I1321"/>
  <c r="M1321"/>
  <c r="M1323" s="1"/>
  <c r="O1321"/>
  <c r="T1321"/>
  <c r="M1353"/>
  <c r="V1460"/>
  <c r="G1354"/>
  <c r="T1352"/>
  <c r="O1352"/>
  <c r="U1353"/>
  <c r="P1353"/>
  <c r="T1357"/>
  <c r="O1357"/>
  <c r="G1356"/>
  <c r="T1359"/>
  <c r="O1359"/>
  <c r="G1358"/>
  <c r="T1362"/>
  <c r="O1362"/>
  <c r="T1363"/>
  <c r="O1363"/>
  <c r="F1333"/>
  <c r="S1323"/>
  <c r="N1323"/>
  <c r="T1322"/>
  <c r="O1322"/>
  <c r="G1348"/>
  <c r="T1338"/>
  <c r="O1338"/>
  <c r="T1422"/>
  <c r="O1422"/>
  <c r="G1421"/>
  <c r="J1421"/>
  <c r="T1424"/>
  <c r="G1423"/>
  <c r="T1427"/>
  <c r="O1427"/>
  <c r="T1428"/>
  <c r="V1406"/>
  <c r="I1405"/>
  <c r="V1405" s="1"/>
  <c r="V1408"/>
  <c r="V1440"/>
  <c r="F1461"/>
  <c r="S1451"/>
  <c r="N1451"/>
  <c r="U1451"/>
  <c r="G1476"/>
  <c r="T1476" s="1"/>
  <c r="O1466"/>
  <c r="F1491"/>
  <c r="S1481"/>
  <c r="N1481"/>
  <c r="H1491"/>
  <c r="U1481"/>
  <c r="P1481"/>
  <c r="G1506"/>
  <c r="T1496"/>
  <c r="O1496"/>
  <c r="F1521"/>
  <c r="S1511"/>
  <c r="N1511"/>
  <c r="H1521"/>
  <c r="U1511"/>
  <c r="P1511"/>
  <c r="G1536"/>
  <c r="T1526"/>
  <c r="O1526"/>
  <c r="F1551"/>
  <c r="S1541"/>
  <c r="N1541"/>
  <c r="H1551"/>
  <c r="U1541"/>
  <c r="P1541"/>
  <c r="N1100"/>
  <c r="P1100"/>
  <c r="N1101"/>
  <c r="P1101"/>
  <c r="N1102"/>
  <c r="P1102"/>
  <c r="N1103"/>
  <c r="P1103"/>
  <c r="N1104"/>
  <c r="Q1104" s="1"/>
  <c r="N1106"/>
  <c r="P1106"/>
  <c r="N1107"/>
  <c r="P1107"/>
  <c r="O1111"/>
  <c r="T1111"/>
  <c r="O1112"/>
  <c r="O1115"/>
  <c r="O1116"/>
  <c r="O1117"/>
  <c r="I1118"/>
  <c r="O1118"/>
  <c r="I1121"/>
  <c r="V1121" s="1"/>
  <c r="O1121"/>
  <c r="O1122"/>
  <c r="N1126"/>
  <c r="P1126"/>
  <c r="S1126"/>
  <c r="U1126"/>
  <c r="N1130"/>
  <c r="P1130"/>
  <c r="N1131"/>
  <c r="P1131"/>
  <c r="N1132"/>
  <c r="P1132"/>
  <c r="N1133"/>
  <c r="P1133"/>
  <c r="N1134"/>
  <c r="Q1134" s="1"/>
  <c r="N1136"/>
  <c r="P1136"/>
  <c r="N1137"/>
  <c r="P1137"/>
  <c r="O1150"/>
  <c r="N1157"/>
  <c r="P1157"/>
  <c r="S1157"/>
  <c r="U1157"/>
  <c r="N1158"/>
  <c r="P1158"/>
  <c r="N1159"/>
  <c r="P1159"/>
  <c r="N1160"/>
  <c r="P1160"/>
  <c r="P1161"/>
  <c r="U1161"/>
  <c r="F1162"/>
  <c r="H1162"/>
  <c r="J1162"/>
  <c r="J1172" s="1"/>
  <c r="L1162"/>
  <c r="L1172" s="1"/>
  <c r="N1164"/>
  <c r="P1164"/>
  <c r="N1165"/>
  <c r="P1165"/>
  <c r="S1165"/>
  <c r="U1165"/>
  <c r="N1166"/>
  <c r="P1166"/>
  <c r="N1167"/>
  <c r="P1167"/>
  <c r="S1167"/>
  <c r="U1167"/>
  <c r="N1168"/>
  <c r="Q1168" s="1"/>
  <c r="S1168"/>
  <c r="N1170"/>
  <c r="P1170"/>
  <c r="S1170"/>
  <c r="U1170"/>
  <c r="N1171"/>
  <c r="P1171"/>
  <c r="S1171"/>
  <c r="U1171"/>
  <c r="O1176"/>
  <c r="T1176"/>
  <c r="O1177"/>
  <c r="O1180"/>
  <c r="O1181"/>
  <c r="O1182"/>
  <c r="O1183"/>
  <c r="O1186"/>
  <c r="O1187"/>
  <c r="N1191"/>
  <c r="P1191"/>
  <c r="S1191"/>
  <c r="U1191"/>
  <c r="P1192"/>
  <c r="N1195"/>
  <c r="P1195"/>
  <c r="N1196"/>
  <c r="P1196"/>
  <c r="N1197"/>
  <c r="P1197"/>
  <c r="N1198"/>
  <c r="P1198"/>
  <c r="N1199"/>
  <c r="Q1199" s="1"/>
  <c r="N1201"/>
  <c r="P1201"/>
  <c r="N1202"/>
  <c r="P1202"/>
  <c r="O1206"/>
  <c r="T1206"/>
  <c r="O1207"/>
  <c r="Q1207" s="1"/>
  <c r="O1210"/>
  <c r="O1211"/>
  <c r="O1212"/>
  <c r="O1213"/>
  <c r="O1216"/>
  <c r="O1217"/>
  <c r="N1223"/>
  <c r="P1230"/>
  <c r="O1237"/>
  <c r="I1238"/>
  <c r="O1238"/>
  <c r="I1239"/>
  <c r="V1239" s="1"/>
  <c r="O1239"/>
  <c r="O1240"/>
  <c r="M1241"/>
  <c r="O1241"/>
  <c r="T1241"/>
  <c r="O1244"/>
  <c r="I1245"/>
  <c r="M1245"/>
  <c r="M1244" s="1"/>
  <c r="O1245"/>
  <c r="O1246"/>
  <c r="I1247"/>
  <c r="O1247"/>
  <c r="I1250"/>
  <c r="V1250" s="1"/>
  <c r="O1250"/>
  <c r="I1251"/>
  <c r="V1251" s="1"/>
  <c r="M1251"/>
  <c r="M1246" s="1"/>
  <c r="O1251"/>
  <c r="N1256"/>
  <c r="P1256"/>
  <c r="S1256"/>
  <c r="U1256"/>
  <c r="P1257"/>
  <c r="N1260"/>
  <c r="P1260"/>
  <c r="N1261"/>
  <c r="P1261"/>
  <c r="N1262"/>
  <c r="P1262"/>
  <c r="N1263"/>
  <c r="P1263"/>
  <c r="N1264"/>
  <c r="Q1264" s="1"/>
  <c r="N1266"/>
  <c r="P1266"/>
  <c r="N1267"/>
  <c r="P1267"/>
  <c r="O1271"/>
  <c r="T1271"/>
  <c r="O1272"/>
  <c r="O1275"/>
  <c r="O1276"/>
  <c r="O1277"/>
  <c r="O1278"/>
  <c r="O1281"/>
  <c r="O1282"/>
  <c r="N1288"/>
  <c r="P1295"/>
  <c r="O1302"/>
  <c r="T1302"/>
  <c r="O1303"/>
  <c r="O1304"/>
  <c r="O1305"/>
  <c r="M1306"/>
  <c r="O1306"/>
  <c r="Q1306" s="1"/>
  <c r="T1306"/>
  <c r="G1307"/>
  <c r="K1307"/>
  <c r="K1317" s="1"/>
  <c r="O1309"/>
  <c r="I1310"/>
  <c r="M1310"/>
  <c r="M1309" s="1"/>
  <c r="O1310"/>
  <c r="T1310"/>
  <c r="O1311"/>
  <c r="I1312"/>
  <c r="K1364"/>
  <c r="M1312"/>
  <c r="O1312"/>
  <c r="T1312"/>
  <c r="I1313"/>
  <c r="M1313"/>
  <c r="I1315"/>
  <c r="V1315" s="1"/>
  <c r="M1315"/>
  <c r="O1315"/>
  <c r="T1315"/>
  <c r="I1316"/>
  <c r="V1316" s="1"/>
  <c r="M1316"/>
  <c r="O1316"/>
  <c r="T1316"/>
  <c r="H1323"/>
  <c r="N1321"/>
  <c r="P1321"/>
  <c r="S1321"/>
  <c r="U1321"/>
  <c r="I1322"/>
  <c r="V1322" s="1"/>
  <c r="I1353"/>
  <c r="M1427"/>
  <c r="V1412"/>
  <c r="V1444"/>
  <c r="G1724"/>
  <c r="G1614"/>
  <c r="K1724"/>
  <c r="K1614"/>
  <c r="H1725"/>
  <c r="H1615"/>
  <c r="K1725"/>
  <c r="M1725" s="1"/>
  <c r="K1615"/>
  <c r="H1788"/>
  <c r="H1619"/>
  <c r="J1788"/>
  <c r="J1619"/>
  <c r="G1791"/>
  <c r="G1621"/>
  <c r="K1791"/>
  <c r="K1793" s="1"/>
  <c r="K1621"/>
  <c r="G1795"/>
  <c r="G1624"/>
  <c r="K1795"/>
  <c r="K1624"/>
  <c r="G1796"/>
  <c r="G1625"/>
  <c r="K1796"/>
  <c r="K1625"/>
  <c r="G1797"/>
  <c r="T1626"/>
  <c r="V1554"/>
  <c r="H1566"/>
  <c r="U1556"/>
  <c r="P1556"/>
  <c r="G1581"/>
  <c r="T1571"/>
  <c r="O1571"/>
  <c r="V1584"/>
  <c r="H1596"/>
  <c r="U1586"/>
  <c r="P1586"/>
  <c r="G1611"/>
  <c r="T1601"/>
  <c r="O1601"/>
  <c r="N1325"/>
  <c r="P1325"/>
  <c r="N1326"/>
  <c r="P1326"/>
  <c r="S1326"/>
  <c r="N1327"/>
  <c r="P1327"/>
  <c r="N1328"/>
  <c r="P1328"/>
  <c r="N1329"/>
  <c r="Q1329" s="1"/>
  <c r="N1331"/>
  <c r="P1331"/>
  <c r="N1332"/>
  <c r="P1332"/>
  <c r="S1332"/>
  <c r="I1336"/>
  <c r="M1336"/>
  <c r="M1338" s="1"/>
  <c r="O1336"/>
  <c r="T1336"/>
  <c r="O1337"/>
  <c r="T1337"/>
  <c r="O1340"/>
  <c r="I1341"/>
  <c r="O1341"/>
  <c r="O1342"/>
  <c r="I1343"/>
  <c r="O1343"/>
  <c r="I1344"/>
  <c r="V1344" s="1"/>
  <c r="I1346"/>
  <c r="V1346" s="1"/>
  <c r="O1346"/>
  <c r="I1347"/>
  <c r="V1347" s="1"/>
  <c r="O1347"/>
  <c r="N1353"/>
  <c r="S1353"/>
  <c r="P1360"/>
  <c r="O1367"/>
  <c r="T1367"/>
  <c r="I1368"/>
  <c r="O1368"/>
  <c r="I1369"/>
  <c r="V1369" s="1"/>
  <c r="O1369"/>
  <c r="I1370"/>
  <c r="V1370" s="1"/>
  <c r="O1370"/>
  <c r="O1374"/>
  <c r="I1375"/>
  <c r="O1375"/>
  <c r="O1376"/>
  <c r="I1377"/>
  <c r="O1377"/>
  <c r="I1380"/>
  <c r="V1380" s="1"/>
  <c r="O1380"/>
  <c r="I1381"/>
  <c r="V1381" s="1"/>
  <c r="O1381"/>
  <c r="O1390"/>
  <c r="I1391"/>
  <c r="M1391"/>
  <c r="M1390" s="1"/>
  <c r="O1391"/>
  <c r="T1391"/>
  <c r="O1392"/>
  <c r="I1393"/>
  <c r="M1393"/>
  <c r="O1393"/>
  <c r="T1393"/>
  <c r="I1396"/>
  <c r="M1396"/>
  <c r="O1396"/>
  <c r="T1396"/>
  <c r="I1397"/>
  <c r="M1397"/>
  <c r="O1397"/>
  <c r="T1397"/>
  <c r="N1405"/>
  <c r="P1405"/>
  <c r="N1406"/>
  <c r="P1406"/>
  <c r="S1406"/>
  <c r="P1407"/>
  <c r="N1408"/>
  <c r="P1408"/>
  <c r="S1408"/>
  <c r="N1411"/>
  <c r="P1411"/>
  <c r="S1411"/>
  <c r="N1412"/>
  <c r="P1412"/>
  <c r="S1412"/>
  <c r="O1425"/>
  <c r="O1433"/>
  <c r="T1433"/>
  <c r="M1434"/>
  <c r="M1435" s="1"/>
  <c r="O1434"/>
  <c r="G1435"/>
  <c r="K1435"/>
  <c r="K1446" s="1"/>
  <c r="O1437"/>
  <c r="M1438"/>
  <c r="M1437" s="1"/>
  <c r="O1439"/>
  <c r="O1440"/>
  <c r="T1440"/>
  <c r="I1441"/>
  <c r="M1441"/>
  <c r="O1443"/>
  <c r="T1443"/>
  <c r="O1444"/>
  <c r="T1444"/>
  <c r="I1445"/>
  <c r="M1445"/>
  <c r="M1626" s="1"/>
  <c r="M1797" s="1"/>
  <c r="M1848" s="1"/>
  <c r="O1445"/>
  <c r="O1626" s="1"/>
  <c r="O1797" s="1"/>
  <c r="T1445"/>
  <c r="N1449"/>
  <c r="P1449"/>
  <c r="S1449"/>
  <c r="U1449"/>
  <c r="I1450"/>
  <c r="V1450" s="1"/>
  <c r="P1450"/>
  <c r="N1453"/>
  <c r="P1453"/>
  <c r="N1454"/>
  <c r="P1454"/>
  <c r="N1455"/>
  <c r="P1455"/>
  <c r="N1456"/>
  <c r="P1456"/>
  <c r="N1457"/>
  <c r="Q1457" s="1"/>
  <c r="N1459"/>
  <c r="P1459"/>
  <c r="N1460"/>
  <c r="P1460"/>
  <c r="S1460"/>
  <c r="I1464"/>
  <c r="M1464"/>
  <c r="M1466" s="1"/>
  <c r="O1464"/>
  <c r="T1464"/>
  <c r="O1465"/>
  <c r="T1465"/>
  <c r="O1468"/>
  <c r="I1469"/>
  <c r="O1469"/>
  <c r="O1470"/>
  <c r="I1471"/>
  <c r="O1471"/>
  <c r="I1472"/>
  <c r="V1472" s="1"/>
  <c r="I1474"/>
  <c r="V1474" s="1"/>
  <c r="O1474"/>
  <c r="I1475"/>
  <c r="V1475" s="1"/>
  <c r="O1475"/>
  <c r="N1479"/>
  <c r="P1479"/>
  <c r="S1479"/>
  <c r="U1479"/>
  <c r="P1480"/>
  <c r="N1483"/>
  <c r="P1483"/>
  <c r="N1484"/>
  <c r="P1484"/>
  <c r="N1485"/>
  <c r="P1485"/>
  <c r="N1486"/>
  <c r="P1486"/>
  <c r="N1487"/>
  <c r="Q1487" s="1"/>
  <c r="N1489"/>
  <c r="P1489"/>
  <c r="N1490"/>
  <c r="P1490"/>
  <c r="I1494"/>
  <c r="M1494"/>
  <c r="O1494"/>
  <c r="T1494"/>
  <c r="O1495"/>
  <c r="T1495"/>
  <c r="O1498"/>
  <c r="I1499"/>
  <c r="O1499"/>
  <c r="O1500"/>
  <c r="I1501"/>
  <c r="O1501"/>
  <c r="I1502"/>
  <c r="V1502" s="1"/>
  <c r="I1504"/>
  <c r="V1504" s="1"/>
  <c r="O1504"/>
  <c r="I1505"/>
  <c r="V1505" s="1"/>
  <c r="O1505"/>
  <c r="I1509"/>
  <c r="M1509"/>
  <c r="M1511" s="1"/>
  <c r="M1521" s="1"/>
  <c r="O1509"/>
  <c r="T1509"/>
  <c r="O1510"/>
  <c r="T1510"/>
  <c r="O1513"/>
  <c r="I1514"/>
  <c r="O1514"/>
  <c r="O1515"/>
  <c r="I1516"/>
  <c r="O1516"/>
  <c r="I1517"/>
  <c r="V1517" s="1"/>
  <c r="I1519"/>
  <c r="V1519" s="1"/>
  <c r="O1519"/>
  <c r="I1520"/>
  <c r="V1520" s="1"/>
  <c r="O1520"/>
  <c r="N1524"/>
  <c r="P1524"/>
  <c r="S1524"/>
  <c r="U1524"/>
  <c r="P1525"/>
  <c r="N1528"/>
  <c r="P1528"/>
  <c r="N1529"/>
  <c r="P1529"/>
  <c r="N1530"/>
  <c r="P1530"/>
  <c r="N1531"/>
  <c r="P1531"/>
  <c r="N1532"/>
  <c r="Q1532" s="1"/>
  <c r="N1534"/>
  <c r="P1534"/>
  <c r="N1535"/>
  <c r="P1535"/>
  <c r="I1539"/>
  <c r="M1539"/>
  <c r="O1539"/>
  <c r="T1539"/>
  <c r="O1540"/>
  <c r="T1540"/>
  <c r="O1543"/>
  <c r="I1544"/>
  <c r="O1544"/>
  <c r="O1545"/>
  <c r="I1546"/>
  <c r="O1546"/>
  <c r="I1547"/>
  <c r="V1547" s="1"/>
  <c r="I1549"/>
  <c r="V1549" s="1"/>
  <c r="O1549"/>
  <c r="I1550"/>
  <c r="V1550" s="1"/>
  <c r="O1550"/>
  <c r="F1724"/>
  <c r="F1614"/>
  <c r="H1724"/>
  <c r="H1614"/>
  <c r="J1724"/>
  <c r="J1614"/>
  <c r="L1724"/>
  <c r="L1614"/>
  <c r="G1725"/>
  <c r="G1615"/>
  <c r="L1725"/>
  <c r="L1615"/>
  <c r="M1615" s="1"/>
  <c r="F1788"/>
  <c r="F1619"/>
  <c r="L1788"/>
  <c r="L1787" s="1"/>
  <c r="L1619"/>
  <c r="L1618" s="1"/>
  <c r="F1791"/>
  <c r="F1621"/>
  <c r="H1791"/>
  <c r="H1621"/>
  <c r="J1791"/>
  <c r="J1621"/>
  <c r="L1791"/>
  <c r="L1793" s="1"/>
  <c r="L1621"/>
  <c r="F1792"/>
  <c r="I1622"/>
  <c r="S1622"/>
  <c r="N1622"/>
  <c r="J1792"/>
  <c r="M1792" s="1"/>
  <c r="M1622"/>
  <c r="F1795"/>
  <c r="F1624"/>
  <c r="H1795"/>
  <c r="H1624"/>
  <c r="J1795"/>
  <c r="J1624"/>
  <c r="L1795"/>
  <c r="L1624"/>
  <c r="F1796"/>
  <c r="F1625"/>
  <c r="H1796"/>
  <c r="H1625"/>
  <c r="J1796"/>
  <c r="J1625"/>
  <c r="L1796"/>
  <c r="L1625"/>
  <c r="F1797"/>
  <c r="S1626"/>
  <c r="H1797"/>
  <c r="U1626"/>
  <c r="G1788"/>
  <c r="G1619"/>
  <c r="K1788"/>
  <c r="K1787" s="1"/>
  <c r="K1619"/>
  <c r="K1618" s="1"/>
  <c r="G1566"/>
  <c r="T1556"/>
  <c r="O1556"/>
  <c r="V1559"/>
  <c r="I1558"/>
  <c r="V1561"/>
  <c r="F1581"/>
  <c r="S1571"/>
  <c r="N1571"/>
  <c r="U1571"/>
  <c r="G1596"/>
  <c r="T1586"/>
  <c r="O1586"/>
  <c r="V1589"/>
  <c r="I1588"/>
  <c r="V1588" s="1"/>
  <c r="V1591"/>
  <c r="I1590"/>
  <c r="F1611"/>
  <c r="S1601"/>
  <c r="N1601"/>
  <c r="H1611"/>
  <c r="U1601"/>
  <c r="P1601"/>
  <c r="H1643"/>
  <c r="U1633"/>
  <c r="P1633"/>
  <c r="G1656"/>
  <c r="F1669"/>
  <c r="S1661"/>
  <c r="N1661"/>
  <c r="H1669"/>
  <c r="U1661"/>
  <c r="P1661"/>
  <c r="O1325"/>
  <c r="O1326"/>
  <c r="O1327"/>
  <c r="I1328"/>
  <c r="O1328"/>
  <c r="I1331"/>
  <c r="V1331" s="1"/>
  <c r="O1331"/>
  <c r="O1332"/>
  <c r="N1336"/>
  <c r="P1336"/>
  <c r="S1336"/>
  <c r="U1336"/>
  <c r="P1337"/>
  <c r="N1340"/>
  <c r="P1340"/>
  <c r="N1341"/>
  <c r="P1341"/>
  <c r="N1342"/>
  <c r="P1342"/>
  <c r="N1343"/>
  <c r="P1343"/>
  <c r="N1344"/>
  <c r="Q1344" s="1"/>
  <c r="N1346"/>
  <c r="P1346"/>
  <c r="N1347"/>
  <c r="P1347"/>
  <c r="O1360"/>
  <c r="N1367"/>
  <c r="P1367"/>
  <c r="S1367"/>
  <c r="U1367"/>
  <c r="N1368"/>
  <c r="P1368"/>
  <c r="N1369"/>
  <c r="P1369"/>
  <c r="N1370"/>
  <c r="P1370"/>
  <c r="F1372"/>
  <c r="J1372"/>
  <c r="N1374"/>
  <c r="P1374"/>
  <c r="N1375"/>
  <c r="P1375"/>
  <c r="P1376"/>
  <c r="N1377"/>
  <c r="P1377"/>
  <c r="N1380"/>
  <c r="P1380"/>
  <c r="N1381"/>
  <c r="P1381"/>
  <c r="N1390"/>
  <c r="P1390"/>
  <c r="N1391"/>
  <c r="P1391"/>
  <c r="S1391"/>
  <c r="U1391"/>
  <c r="P1392"/>
  <c r="N1393"/>
  <c r="P1393"/>
  <c r="S1393"/>
  <c r="U1393"/>
  <c r="N1396"/>
  <c r="P1396"/>
  <c r="S1396"/>
  <c r="U1396"/>
  <c r="N1397"/>
  <c r="P1397"/>
  <c r="S1397"/>
  <c r="U1397"/>
  <c r="O1405"/>
  <c r="O1406"/>
  <c r="O1407"/>
  <c r="O1408"/>
  <c r="O1411"/>
  <c r="O1412"/>
  <c r="N1418"/>
  <c r="P1425"/>
  <c r="N1433"/>
  <c r="P1433"/>
  <c r="S1433"/>
  <c r="U1433"/>
  <c r="I1434"/>
  <c r="P1434"/>
  <c r="U1434"/>
  <c r="F1435"/>
  <c r="H1435"/>
  <c r="J1435"/>
  <c r="J1446" s="1"/>
  <c r="L1435"/>
  <c r="L1446" s="1"/>
  <c r="N1437"/>
  <c r="P1437"/>
  <c r="I1438"/>
  <c r="N1438"/>
  <c r="P1438"/>
  <c r="S1438"/>
  <c r="U1438"/>
  <c r="N1439"/>
  <c r="P1439"/>
  <c r="N1440"/>
  <c r="P1440"/>
  <c r="S1440"/>
  <c r="U1440"/>
  <c r="N1441"/>
  <c r="Q1441" s="1"/>
  <c r="S1441"/>
  <c r="N1443"/>
  <c r="P1443"/>
  <c r="S1443"/>
  <c r="U1443"/>
  <c r="N1444"/>
  <c r="P1444"/>
  <c r="S1444"/>
  <c r="U1444"/>
  <c r="N1445"/>
  <c r="P1445"/>
  <c r="P1626" s="1"/>
  <c r="P1797" s="1"/>
  <c r="S1445"/>
  <c r="U1445"/>
  <c r="I1449"/>
  <c r="M1449"/>
  <c r="M1451" s="1"/>
  <c r="O1449"/>
  <c r="T1449"/>
  <c r="O1450"/>
  <c r="O1453"/>
  <c r="I1454"/>
  <c r="M1454"/>
  <c r="M1453" s="1"/>
  <c r="O1454"/>
  <c r="T1454"/>
  <c r="O1455"/>
  <c r="I1456"/>
  <c r="O1456"/>
  <c r="I1459"/>
  <c r="V1459" s="1"/>
  <c r="O1459"/>
  <c r="O1460"/>
  <c r="N1464"/>
  <c r="P1464"/>
  <c r="S1464"/>
  <c r="U1464"/>
  <c r="P1465"/>
  <c r="N1468"/>
  <c r="P1468"/>
  <c r="N1469"/>
  <c r="P1469"/>
  <c r="N1470"/>
  <c r="P1470"/>
  <c r="N1471"/>
  <c r="P1471"/>
  <c r="N1472"/>
  <c r="Q1472" s="1"/>
  <c r="N1474"/>
  <c r="P1474"/>
  <c r="N1475"/>
  <c r="P1475"/>
  <c r="I1479"/>
  <c r="M1479"/>
  <c r="O1479"/>
  <c r="T1479"/>
  <c r="M1480"/>
  <c r="V1480" s="1"/>
  <c r="O1480"/>
  <c r="O1483"/>
  <c r="I1484"/>
  <c r="O1484"/>
  <c r="O1485"/>
  <c r="I1486"/>
  <c r="O1486"/>
  <c r="I1489"/>
  <c r="V1489" s="1"/>
  <c r="O1489"/>
  <c r="I1490"/>
  <c r="V1490" s="1"/>
  <c r="O1490"/>
  <c r="N1494"/>
  <c r="P1494"/>
  <c r="S1494"/>
  <c r="U1494"/>
  <c r="P1495"/>
  <c r="N1498"/>
  <c r="P1498"/>
  <c r="N1499"/>
  <c r="P1499"/>
  <c r="N1500"/>
  <c r="P1500"/>
  <c r="N1501"/>
  <c r="P1501"/>
  <c r="N1502"/>
  <c r="Q1502" s="1"/>
  <c r="N1504"/>
  <c r="P1504"/>
  <c r="N1505"/>
  <c r="P1505"/>
  <c r="N1509"/>
  <c r="P1509"/>
  <c r="S1509"/>
  <c r="U1509"/>
  <c r="P1510"/>
  <c r="N1513"/>
  <c r="P1513"/>
  <c r="N1514"/>
  <c r="P1514"/>
  <c r="N1515"/>
  <c r="P1515"/>
  <c r="N1516"/>
  <c r="P1516"/>
  <c r="N1517"/>
  <c r="Q1517" s="1"/>
  <c r="N1519"/>
  <c r="P1519"/>
  <c r="N1520"/>
  <c r="P1520"/>
  <c r="I1524"/>
  <c r="M1524"/>
  <c r="O1524"/>
  <c r="T1524"/>
  <c r="M1525"/>
  <c r="V1525" s="1"/>
  <c r="O1525"/>
  <c r="O1528"/>
  <c r="I1529"/>
  <c r="O1529"/>
  <c r="O1530"/>
  <c r="I1531"/>
  <c r="O1531"/>
  <c r="I1534"/>
  <c r="V1534" s="1"/>
  <c r="O1534"/>
  <c r="I1535"/>
  <c r="V1535" s="1"/>
  <c r="O1535"/>
  <c r="N1539"/>
  <c r="P1539"/>
  <c r="S1539"/>
  <c r="U1539"/>
  <c r="P1540"/>
  <c r="N1543"/>
  <c r="P1543"/>
  <c r="N1544"/>
  <c r="P1544"/>
  <c r="N1545"/>
  <c r="P1545"/>
  <c r="N1546"/>
  <c r="P1546"/>
  <c r="N1547"/>
  <c r="Q1547" s="1"/>
  <c r="N1549"/>
  <c r="P1549"/>
  <c r="N1550"/>
  <c r="P1550"/>
  <c r="U1792"/>
  <c r="P1792"/>
  <c r="G1715"/>
  <c r="G1672"/>
  <c r="G1716"/>
  <c r="G1673"/>
  <c r="L1716"/>
  <c r="L1673"/>
  <c r="F1677"/>
  <c r="F1764"/>
  <c r="H1677"/>
  <c r="H1764"/>
  <c r="L1677"/>
  <c r="L1676" s="1"/>
  <c r="L1764"/>
  <c r="L1763" s="1"/>
  <c r="F1767"/>
  <c r="F1679"/>
  <c r="H1767"/>
  <c r="H1679"/>
  <c r="J1767"/>
  <c r="J1679"/>
  <c r="L1767"/>
  <c r="L1769" s="1"/>
  <c r="L1679"/>
  <c r="G1771"/>
  <c r="G1682"/>
  <c r="K1771"/>
  <c r="K1682"/>
  <c r="F1772"/>
  <c r="F1683"/>
  <c r="H1772"/>
  <c r="H1683"/>
  <c r="J1772"/>
  <c r="J1683"/>
  <c r="L1772"/>
  <c r="L1683"/>
  <c r="O1664"/>
  <c r="T1664"/>
  <c r="U1719"/>
  <c r="P1719"/>
  <c r="H1718"/>
  <c r="U1718" s="1"/>
  <c r="U1720"/>
  <c r="P1720"/>
  <c r="F1741"/>
  <c r="S1744"/>
  <c r="H1741"/>
  <c r="U1744"/>
  <c r="K1741"/>
  <c r="K1740" s="1"/>
  <c r="V1754"/>
  <c r="T1760"/>
  <c r="G1753"/>
  <c r="N1554"/>
  <c r="P1554"/>
  <c r="S1554"/>
  <c r="U1554"/>
  <c r="I1555"/>
  <c r="V1555" s="1"/>
  <c r="F1556"/>
  <c r="J1556"/>
  <c r="J1566" s="1"/>
  <c r="N1558"/>
  <c r="P1558"/>
  <c r="N1559"/>
  <c r="P1559"/>
  <c r="S1559"/>
  <c r="N1560"/>
  <c r="P1560"/>
  <c r="N1561"/>
  <c r="P1561"/>
  <c r="S1561"/>
  <c r="N1562"/>
  <c r="Q1562" s="1"/>
  <c r="S1562"/>
  <c r="N1564"/>
  <c r="P1564"/>
  <c r="S1564"/>
  <c r="N1565"/>
  <c r="P1565"/>
  <c r="S1565"/>
  <c r="I1569"/>
  <c r="M1569"/>
  <c r="M1571" s="1"/>
  <c r="O1569"/>
  <c r="T1569"/>
  <c r="O1570"/>
  <c r="T1570"/>
  <c r="O1573"/>
  <c r="I1574"/>
  <c r="O1574"/>
  <c r="O1575"/>
  <c r="I1576"/>
  <c r="O1576"/>
  <c r="I1579"/>
  <c r="V1579" s="1"/>
  <c r="O1579"/>
  <c r="I1580"/>
  <c r="V1580" s="1"/>
  <c r="O1580"/>
  <c r="N1584"/>
  <c r="P1584"/>
  <c r="S1584"/>
  <c r="U1584"/>
  <c r="I1585"/>
  <c r="P1585"/>
  <c r="F1586"/>
  <c r="J1586"/>
  <c r="J1596" s="1"/>
  <c r="N1588"/>
  <c r="P1588"/>
  <c r="N1589"/>
  <c r="P1589"/>
  <c r="S1589"/>
  <c r="N1590"/>
  <c r="P1590"/>
  <c r="N1591"/>
  <c r="P1591"/>
  <c r="S1591"/>
  <c r="N1592"/>
  <c r="Q1592" s="1"/>
  <c r="S1592"/>
  <c r="N1594"/>
  <c r="P1594"/>
  <c r="S1594"/>
  <c r="N1595"/>
  <c r="P1595"/>
  <c r="S1595"/>
  <c r="I1599"/>
  <c r="M1599"/>
  <c r="M1601" s="1"/>
  <c r="O1599"/>
  <c r="T1599"/>
  <c r="O1600"/>
  <c r="T1600"/>
  <c r="O1603"/>
  <c r="I1604"/>
  <c r="O1604"/>
  <c r="O1605"/>
  <c r="I1606"/>
  <c r="O1606"/>
  <c r="I1607"/>
  <c r="V1607" s="1"/>
  <c r="I1609"/>
  <c r="V1609" s="1"/>
  <c r="O1609"/>
  <c r="I1610"/>
  <c r="V1610" s="1"/>
  <c r="O1610"/>
  <c r="N1615"/>
  <c r="S1615"/>
  <c r="P1622"/>
  <c r="U1622"/>
  <c r="I1631"/>
  <c r="U1631"/>
  <c r="I1632"/>
  <c r="V1632" s="1"/>
  <c r="P1632"/>
  <c r="P1635"/>
  <c r="P1636"/>
  <c r="U1636"/>
  <c r="N1638"/>
  <c r="P1638"/>
  <c r="O1641"/>
  <c r="N1642"/>
  <c r="P1642"/>
  <c r="P1646"/>
  <c r="I1647"/>
  <c r="V1647" s="1"/>
  <c r="O1647"/>
  <c r="U1647"/>
  <c r="F1648"/>
  <c r="H1648"/>
  <c r="P1650"/>
  <c r="P1651"/>
  <c r="T1651"/>
  <c r="O1652"/>
  <c r="I1653"/>
  <c r="O1653"/>
  <c r="Q1653" s="1"/>
  <c r="R1653" s="1"/>
  <c r="S1653"/>
  <c r="U1653"/>
  <c r="N1654"/>
  <c r="P1654"/>
  <c r="T1654"/>
  <c r="I1655"/>
  <c r="V1655" s="1"/>
  <c r="O1655"/>
  <c r="Q1655" s="1"/>
  <c r="R1655" s="1"/>
  <c r="S1655"/>
  <c r="U1655"/>
  <c r="I1659"/>
  <c r="M1659"/>
  <c r="M1661" s="1"/>
  <c r="O1659"/>
  <c r="S1659"/>
  <c r="U1659"/>
  <c r="N1660"/>
  <c r="P1660"/>
  <c r="T1660"/>
  <c r="G1661"/>
  <c r="O1663"/>
  <c r="I1664"/>
  <c r="K1701"/>
  <c r="T1792"/>
  <c r="O1792"/>
  <c r="F1715"/>
  <c r="F1672"/>
  <c r="H1715"/>
  <c r="H1672"/>
  <c r="L1715"/>
  <c r="L1672"/>
  <c r="L1674" s="1"/>
  <c r="H1716"/>
  <c r="H1673"/>
  <c r="K1716"/>
  <c r="K1673"/>
  <c r="G1764"/>
  <c r="G1677"/>
  <c r="K1764"/>
  <c r="K1763" s="1"/>
  <c r="K1677"/>
  <c r="K1676" s="1"/>
  <c r="G1767"/>
  <c r="G1679"/>
  <c r="K1767"/>
  <c r="K1769" s="1"/>
  <c r="K1679"/>
  <c r="F1768"/>
  <c r="S1680"/>
  <c r="N1680"/>
  <c r="I1680"/>
  <c r="J1768"/>
  <c r="M1768" s="1"/>
  <c r="M1680"/>
  <c r="H1771"/>
  <c r="H1682"/>
  <c r="J1771"/>
  <c r="J1682"/>
  <c r="L1771"/>
  <c r="L1682"/>
  <c r="G1772"/>
  <c r="G1683"/>
  <c r="K1772"/>
  <c r="K1683"/>
  <c r="F1716"/>
  <c r="F1673"/>
  <c r="J1716"/>
  <c r="J1673"/>
  <c r="M1673" s="1"/>
  <c r="U1664"/>
  <c r="P1664"/>
  <c r="S1719"/>
  <c r="N1719"/>
  <c r="F1718"/>
  <c r="I1719"/>
  <c r="J1718"/>
  <c r="M1719"/>
  <c r="T1744"/>
  <c r="G1741"/>
  <c r="J1741"/>
  <c r="L1741"/>
  <c r="L1740" s="1"/>
  <c r="I1760"/>
  <c r="V1760" s="1"/>
  <c r="V1758"/>
  <c r="U1760"/>
  <c r="H1753"/>
  <c r="U1753" s="1"/>
  <c r="O1554"/>
  <c r="T1554"/>
  <c r="O1555"/>
  <c r="Q1555" s="1"/>
  <c r="O1558"/>
  <c r="O1559"/>
  <c r="O1560"/>
  <c r="O1561"/>
  <c r="O1564"/>
  <c r="O1565"/>
  <c r="N1569"/>
  <c r="P1569"/>
  <c r="S1569"/>
  <c r="U1569"/>
  <c r="P1570"/>
  <c r="N1573"/>
  <c r="P1573"/>
  <c r="N1574"/>
  <c r="P1574"/>
  <c r="N1575"/>
  <c r="P1575"/>
  <c r="N1576"/>
  <c r="P1576"/>
  <c r="N1577"/>
  <c r="Q1577" s="1"/>
  <c r="N1579"/>
  <c r="P1579"/>
  <c r="N1580"/>
  <c r="P1580"/>
  <c r="O1584"/>
  <c r="T1584"/>
  <c r="O1585"/>
  <c r="O1588"/>
  <c r="O1589"/>
  <c r="O1590"/>
  <c r="O1591"/>
  <c r="O1594"/>
  <c r="O1595"/>
  <c r="N1599"/>
  <c r="P1599"/>
  <c r="S1599"/>
  <c r="U1599"/>
  <c r="P1600"/>
  <c r="N1603"/>
  <c r="P1603"/>
  <c r="N1604"/>
  <c r="P1604"/>
  <c r="N1605"/>
  <c r="P1605"/>
  <c r="N1606"/>
  <c r="P1606"/>
  <c r="N1607"/>
  <c r="Q1607" s="1"/>
  <c r="N1609"/>
  <c r="P1609"/>
  <c r="N1610"/>
  <c r="P1610"/>
  <c r="O1622"/>
  <c r="T1622"/>
  <c r="P1631"/>
  <c r="M1632"/>
  <c r="O1632"/>
  <c r="T1632"/>
  <c r="G1633"/>
  <c r="O1635"/>
  <c r="I1636"/>
  <c r="O1636"/>
  <c r="T1636"/>
  <c r="I1638"/>
  <c r="M1638"/>
  <c r="O1638"/>
  <c r="S1638"/>
  <c r="U1638"/>
  <c r="N1639"/>
  <c r="Q1639" s="1"/>
  <c r="S1639"/>
  <c r="P1641"/>
  <c r="T1641"/>
  <c r="I1642"/>
  <c r="V1642" s="1"/>
  <c r="M1642"/>
  <c r="O1642"/>
  <c r="S1642"/>
  <c r="U1642"/>
  <c r="I1646"/>
  <c r="N1647"/>
  <c r="Q1647" s="1"/>
  <c r="R1647" s="1"/>
  <c r="O1650"/>
  <c r="I1651"/>
  <c r="N1652"/>
  <c r="P1652"/>
  <c r="I1654"/>
  <c r="V1654" s="1"/>
  <c r="N1659"/>
  <c r="P1659"/>
  <c r="I1660"/>
  <c r="V1660" s="1"/>
  <c r="N1663"/>
  <c r="P1663"/>
  <c r="N1664"/>
  <c r="G1701"/>
  <c r="T1768"/>
  <c r="O1768"/>
  <c r="I1776"/>
  <c r="S1776"/>
  <c r="N1776"/>
  <c r="F1775"/>
  <c r="G1781"/>
  <c r="T1779"/>
  <c r="O1779"/>
  <c r="I1780"/>
  <c r="V1780" s="1"/>
  <c r="S1780"/>
  <c r="N1780"/>
  <c r="I1783"/>
  <c r="S1783"/>
  <c r="N1783"/>
  <c r="U1783"/>
  <c r="P1783"/>
  <c r="T1784"/>
  <c r="O1784"/>
  <c r="S1836"/>
  <c r="N1836"/>
  <c r="I1836"/>
  <c r="V1836" s="1"/>
  <c r="U1836"/>
  <c r="P1836"/>
  <c r="S1837"/>
  <c r="N1837"/>
  <c r="I1837"/>
  <c r="V1837" s="1"/>
  <c r="U1837"/>
  <c r="P1837"/>
  <c r="I1839"/>
  <c r="V1839" s="1"/>
  <c r="S1839"/>
  <c r="N1839"/>
  <c r="U1839"/>
  <c r="P1839"/>
  <c r="I1840"/>
  <c r="V1840" s="1"/>
  <c r="S1840"/>
  <c r="N1840"/>
  <c r="U1840"/>
  <c r="P1840"/>
  <c r="I1845"/>
  <c r="V1845" s="1"/>
  <c r="S1845"/>
  <c r="N1845"/>
  <c r="U1845"/>
  <c r="P1845"/>
  <c r="I1846"/>
  <c r="V1846" s="1"/>
  <c r="S1846"/>
  <c r="N1846"/>
  <c r="U1846"/>
  <c r="P1846"/>
  <c r="O1665"/>
  <c r="I1666"/>
  <c r="O1666"/>
  <c r="Q1666" s="1"/>
  <c r="R1666" s="1"/>
  <c r="S1666"/>
  <c r="U1666"/>
  <c r="N1667"/>
  <c r="P1667"/>
  <c r="T1667"/>
  <c r="I1668"/>
  <c r="V1668" s="1"/>
  <c r="O1668"/>
  <c r="Q1668" s="1"/>
  <c r="R1668" s="1"/>
  <c r="S1668"/>
  <c r="U1668"/>
  <c r="O1680"/>
  <c r="T1680"/>
  <c r="I1688"/>
  <c r="N1688"/>
  <c r="P1688"/>
  <c r="S1688"/>
  <c r="U1688"/>
  <c r="I1689"/>
  <c r="V1689" s="1"/>
  <c r="P1689"/>
  <c r="U1689"/>
  <c r="F1691"/>
  <c r="F1701" s="1"/>
  <c r="H1691"/>
  <c r="H1701" s="1"/>
  <c r="J1691"/>
  <c r="J1701" s="1"/>
  <c r="L1691"/>
  <c r="L1701" s="1"/>
  <c r="N1693"/>
  <c r="P1693"/>
  <c r="I1694"/>
  <c r="N1694"/>
  <c r="P1694"/>
  <c r="O1695"/>
  <c r="T1695"/>
  <c r="I1696"/>
  <c r="M1696"/>
  <c r="O1696"/>
  <c r="S1696"/>
  <c r="U1696"/>
  <c r="N1697"/>
  <c r="Q1697" s="1"/>
  <c r="S1697"/>
  <c r="M1783"/>
  <c r="N1699"/>
  <c r="P1699"/>
  <c r="T1699"/>
  <c r="I1700"/>
  <c r="V1700" s="1"/>
  <c r="M1700"/>
  <c r="O1700"/>
  <c r="S1700"/>
  <c r="U1700"/>
  <c r="T1706"/>
  <c r="I1707"/>
  <c r="O1707"/>
  <c r="I1708"/>
  <c r="V1708" s="1"/>
  <c r="O1708"/>
  <c r="I1711"/>
  <c r="O1711"/>
  <c r="I1712"/>
  <c r="V1712" s="1"/>
  <c r="O1712"/>
  <c r="O1719"/>
  <c r="G1720"/>
  <c r="I1720" s="1"/>
  <c r="V1720" s="1"/>
  <c r="K1720"/>
  <c r="G1721"/>
  <c r="I1721" s="1"/>
  <c r="K1721"/>
  <c r="K1830" s="1"/>
  <c r="I1725"/>
  <c r="I1742"/>
  <c r="M1742"/>
  <c r="M1744" s="1"/>
  <c r="O1742"/>
  <c r="T1742"/>
  <c r="I1743"/>
  <c r="V1743" s="1"/>
  <c r="O1743"/>
  <c r="S1746"/>
  <c r="U1746"/>
  <c r="S1747"/>
  <c r="U1747"/>
  <c r="N1750"/>
  <c r="P1750"/>
  <c r="S1750"/>
  <c r="U1750"/>
  <c r="N1751"/>
  <c r="P1751"/>
  <c r="S1751"/>
  <c r="U1751"/>
  <c r="N1754"/>
  <c r="P1754"/>
  <c r="S1754"/>
  <c r="N1755"/>
  <c r="P1755"/>
  <c r="S1755"/>
  <c r="U1755"/>
  <c r="N1756"/>
  <c r="P1756"/>
  <c r="S1756"/>
  <c r="U1756"/>
  <c r="N1758"/>
  <c r="P1758"/>
  <c r="S1758"/>
  <c r="U1758"/>
  <c r="P1759"/>
  <c r="F1760"/>
  <c r="J1760"/>
  <c r="J1753" s="1"/>
  <c r="U1768"/>
  <c r="P1768"/>
  <c r="U1776"/>
  <c r="P1776"/>
  <c r="H1775"/>
  <c r="M1776"/>
  <c r="M1775" s="1"/>
  <c r="J1775"/>
  <c r="I1779"/>
  <c r="F1781"/>
  <c r="S1779"/>
  <c r="N1779"/>
  <c r="H1781"/>
  <c r="U1779"/>
  <c r="P1779"/>
  <c r="M1779"/>
  <c r="M1781" s="1"/>
  <c r="J1781"/>
  <c r="J1778" s="1"/>
  <c r="T1783"/>
  <c r="O1783"/>
  <c r="I1784"/>
  <c r="V1784" s="1"/>
  <c r="S1784"/>
  <c r="N1784"/>
  <c r="U1784"/>
  <c r="P1784"/>
  <c r="S1830"/>
  <c r="N1830"/>
  <c r="U1830"/>
  <c r="P1830"/>
  <c r="T1836"/>
  <c r="O1836"/>
  <c r="T1837"/>
  <c r="O1837"/>
  <c r="T1839"/>
  <c r="O1839"/>
  <c r="T1840"/>
  <c r="O1840"/>
  <c r="T1845"/>
  <c r="O1845"/>
  <c r="T1846"/>
  <c r="O1846"/>
  <c r="N1665"/>
  <c r="P1665"/>
  <c r="I1667"/>
  <c r="V1667" s="1"/>
  <c r="P1680"/>
  <c r="U1680"/>
  <c r="M1688"/>
  <c r="M1689"/>
  <c r="O1689"/>
  <c r="T1689"/>
  <c r="I1690"/>
  <c r="V1690" s="1"/>
  <c r="O1690"/>
  <c r="Q1690" s="1"/>
  <c r="O1693"/>
  <c r="M1694"/>
  <c r="M1693" s="1"/>
  <c r="S1694"/>
  <c r="U1694"/>
  <c r="N1695"/>
  <c r="P1695"/>
  <c r="N1696"/>
  <c r="P1696"/>
  <c r="T1696"/>
  <c r="I1697"/>
  <c r="M1697"/>
  <c r="I1699"/>
  <c r="M1699"/>
  <c r="O1699"/>
  <c r="S1699"/>
  <c r="U1699"/>
  <c r="N1700"/>
  <c r="P1700"/>
  <c r="T1700"/>
  <c r="S1706"/>
  <c r="U1706"/>
  <c r="N1707"/>
  <c r="P1707"/>
  <c r="N1708"/>
  <c r="P1708"/>
  <c r="N1711"/>
  <c r="P1711"/>
  <c r="N1712"/>
  <c r="P1712"/>
  <c r="N1720"/>
  <c r="N1721"/>
  <c r="P1721"/>
  <c r="S1721"/>
  <c r="U1721"/>
  <c r="N1725"/>
  <c r="N1732"/>
  <c r="N1742"/>
  <c r="P1742"/>
  <c r="S1742"/>
  <c r="U1742"/>
  <c r="N1743"/>
  <c r="P1743"/>
  <c r="I1746"/>
  <c r="M1746"/>
  <c r="T1746"/>
  <c r="I1747"/>
  <c r="M1747"/>
  <c r="T1747"/>
  <c r="I1750"/>
  <c r="M1750"/>
  <c r="O1750"/>
  <c r="T1750"/>
  <c r="I1751"/>
  <c r="M1751"/>
  <c r="O1751"/>
  <c r="T1751"/>
  <c r="O1754"/>
  <c r="I1755"/>
  <c r="M1755"/>
  <c r="O1755"/>
  <c r="T1755"/>
  <c r="I1756"/>
  <c r="M1756"/>
  <c r="O1756"/>
  <c r="T1756"/>
  <c r="O1758"/>
  <c r="T1758"/>
  <c r="O1759"/>
  <c r="P1780"/>
  <c r="P1805"/>
  <c r="I1814"/>
  <c r="V1814" s="1"/>
  <c r="O1775"/>
  <c r="O1776"/>
  <c r="O1780"/>
  <c r="O1805"/>
  <c r="N1814"/>
  <c r="S1814"/>
  <c r="O1814"/>
  <c r="H255" i="15"/>
  <c r="L1397" i="11"/>
  <c r="K1397"/>
  <c r="J1397"/>
  <c r="H1397"/>
  <c r="G1397"/>
  <c r="O1397" s="1"/>
  <c r="F1397"/>
  <c r="L1396"/>
  <c r="K1396"/>
  <c r="J1396"/>
  <c r="M1396" s="1"/>
  <c r="H1396"/>
  <c r="G1396"/>
  <c r="F1396"/>
  <c r="L1398"/>
  <c r="K1398"/>
  <c r="J1398"/>
  <c r="H1398"/>
  <c r="G1398"/>
  <c r="F1398"/>
  <c r="L1401"/>
  <c r="K1401"/>
  <c r="J1401"/>
  <c r="M1401" s="1"/>
  <c r="H1401"/>
  <c r="G1401"/>
  <c r="F1401"/>
  <c r="P1890" i="8"/>
  <c r="O1890"/>
  <c r="N1890"/>
  <c r="M1890"/>
  <c r="L1888"/>
  <c r="K1888"/>
  <c r="J1888"/>
  <c r="H1888"/>
  <c r="G1888"/>
  <c r="F1888"/>
  <c r="L1886"/>
  <c r="K1886"/>
  <c r="J1886"/>
  <c r="H1886"/>
  <c r="G1886"/>
  <c r="F1886"/>
  <c r="L1882"/>
  <c r="K1882"/>
  <c r="J1882"/>
  <c r="H1882"/>
  <c r="G1882"/>
  <c r="F1882"/>
  <c r="L1881"/>
  <c r="K1881"/>
  <c r="J1881"/>
  <c r="H1881"/>
  <c r="G1881"/>
  <c r="F1881"/>
  <c r="P1879"/>
  <c r="O1879"/>
  <c r="N1879"/>
  <c r="M1879"/>
  <c r="I1879"/>
  <c r="P1872"/>
  <c r="O1872"/>
  <c r="N1872"/>
  <c r="M1872"/>
  <c r="I1872"/>
  <c r="P1867"/>
  <c r="O1867"/>
  <c r="N1867"/>
  <c r="M1867"/>
  <c r="I1867"/>
  <c r="L1887"/>
  <c r="K1887"/>
  <c r="J1887"/>
  <c r="H1887"/>
  <c r="G1887"/>
  <c r="L1883"/>
  <c r="K1883"/>
  <c r="J1883"/>
  <c r="H1883"/>
  <c r="G1883"/>
  <c r="F1883"/>
  <c r="M763" l="1"/>
  <c r="M1476"/>
  <c r="V757"/>
  <c r="V1465"/>
  <c r="L979" i="11"/>
  <c r="U975"/>
  <c r="S911"/>
  <c r="I911"/>
  <c r="I910"/>
  <c r="P910"/>
  <c r="M908"/>
  <c r="O908"/>
  <c r="S850"/>
  <c r="F849"/>
  <c r="I848"/>
  <c r="V848" s="1"/>
  <c r="P848"/>
  <c r="I691"/>
  <c r="V691" s="1"/>
  <c r="O691"/>
  <c r="N687"/>
  <c r="Q687" s="1"/>
  <c r="M687"/>
  <c r="P686"/>
  <c r="M686"/>
  <c r="N684"/>
  <c r="Q684" s="1"/>
  <c r="M684"/>
  <c r="K597"/>
  <c r="T597" s="1"/>
  <c r="T598"/>
  <c r="M594"/>
  <c r="U594"/>
  <c r="N593"/>
  <c r="M593"/>
  <c r="L690"/>
  <c r="M690" s="1"/>
  <c r="U691"/>
  <c r="G90"/>
  <c r="O90" s="1"/>
  <c r="T30"/>
  <c r="G37"/>
  <c r="T37" s="1"/>
  <c r="G734"/>
  <c r="O736"/>
  <c r="Q736" s="1"/>
  <c r="N735"/>
  <c r="Q735" s="1"/>
  <c r="J734"/>
  <c r="N734" s="1"/>
  <c r="V248"/>
  <c r="M251"/>
  <c r="S621"/>
  <c r="F625"/>
  <c r="S625" s="1"/>
  <c r="G658"/>
  <c r="T658" s="1"/>
  <c r="T656"/>
  <c r="L613"/>
  <c r="U609"/>
  <c r="U796"/>
  <c r="H800"/>
  <c r="U800" s="1"/>
  <c r="S763"/>
  <c r="F767"/>
  <c r="S767" s="1"/>
  <c r="T725"/>
  <c r="G729"/>
  <c r="T729" s="1"/>
  <c r="U676"/>
  <c r="H680"/>
  <c r="S654"/>
  <c r="F658"/>
  <c r="S658" s="1"/>
  <c r="U643"/>
  <c r="H647"/>
  <c r="U647" s="1"/>
  <c r="U632"/>
  <c r="H636"/>
  <c r="U636" s="1"/>
  <c r="S583"/>
  <c r="F587"/>
  <c r="S587" s="1"/>
  <c r="K565"/>
  <c r="O563"/>
  <c r="O565" s="1"/>
  <c r="T561"/>
  <c r="G565"/>
  <c r="T565" s="1"/>
  <c r="T550"/>
  <c r="G554"/>
  <c r="G588" s="1"/>
  <c r="T527"/>
  <c r="I527"/>
  <c r="J521"/>
  <c r="M523"/>
  <c r="O522"/>
  <c r="I522"/>
  <c r="V522" s="1"/>
  <c r="U452"/>
  <c r="H456"/>
  <c r="U456" s="1"/>
  <c r="T441"/>
  <c r="K445"/>
  <c r="K457" s="1"/>
  <c r="T404"/>
  <c r="G408"/>
  <c r="S262"/>
  <c r="F266"/>
  <c r="S266" s="1"/>
  <c r="U251"/>
  <c r="H255"/>
  <c r="U255" s="1"/>
  <c r="U239"/>
  <c r="H243"/>
  <c r="U243" s="1"/>
  <c r="S82"/>
  <c r="F86"/>
  <c r="S86" s="1"/>
  <c r="U71"/>
  <c r="H75"/>
  <c r="U75" s="1"/>
  <c r="U60"/>
  <c r="H64"/>
  <c r="U64" s="1"/>
  <c r="U512"/>
  <c r="H516"/>
  <c r="U516" s="1"/>
  <c r="I523"/>
  <c r="P523"/>
  <c r="L433"/>
  <c r="U429"/>
  <c r="U366"/>
  <c r="H370"/>
  <c r="U370" s="1"/>
  <c r="T355"/>
  <c r="K359"/>
  <c r="T344"/>
  <c r="K348"/>
  <c r="K371" s="1"/>
  <c r="U322"/>
  <c r="H326"/>
  <c r="H371" s="1"/>
  <c r="S284"/>
  <c r="F288"/>
  <c r="S288" s="1"/>
  <c r="U273"/>
  <c r="H277"/>
  <c r="U277" s="1"/>
  <c r="U213"/>
  <c r="H217"/>
  <c r="U217" s="1"/>
  <c r="U202"/>
  <c r="H206"/>
  <c r="U206" s="1"/>
  <c r="S142"/>
  <c r="F146"/>
  <c r="S146" s="1"/>
  <c r="H1300"/>
  <c r="P1302"/>
  <c r="J1003"/>
  <c r="J1052"/>
  <c r="U979"/>
  <c r="U433"/>
  <c r="V1274"/>
  <c r="I851"/>
  <c r="V851" s="1"/>
  <c r="M850"/>
  <c r="P740"/>
  <c r="V984"/>
  <c r="F1341"/>
  <c r="Q1266"/>
  <c r="T1265"/>
  <c r="T1219"/>
  <c r="Q1208"/>
  <c r="M1197"/>
  <c r="O1173"/>
  <c r="K1360"/>
  <c r="K1359" s="1"/>
  <c r="K1362" s="1"/>
  <c r="I1334"/>
  <c r="V1208"/>
  <c r="K1243"/>
  <c r="H1232"/>
  <c r="U1232" s="1"/>
  <c r="H1221"/>
  <c r="U1221" s="1"/>
  <c r="K1175"/>
  <c r="H1164"/>
  <c r="U1164" s="1"/>
  <c r="V1141"/>
  <c r="Q1119"/>
  <c r="M1120"/>
  <c r="V1115"/>
  <c r="V1114"/>
  <c r="O1116"/>
  <c r="M1105"/>
  <c r="Q1086"/>
  <c r="M1087"/>
  <c r="V1075"/>
  <c r="V1193"/>
  <c r="L1206"/>
  <c r="T1207"/>
  <c r="G1175"/>
  <c r="T1087"/>
  <c r="M942"/>
  <c r="V877"/>
  <c r="K1098"/>
  <c r="M1013"/>
  <c r="V1009"/>
  <c r="V996"/>
  <c r="V994"/>
  <c r="V970"/>
  <c r="L965"/>
  <c r="O951"/>
  <c r="I951"/>
  <c r="I928"/>
  <c r="V928" s="1"/>
  <c r="Q855"/>
  <c r="Q1302"/>
  <c r="Q1301"/>
  <c r="M911"/>
  <c r="V911" s="1"/>
  <c r="Q1008"/>
  <c r="O964"/>
  <c r="T959"/>
  <c r="K854"/>
  <c r="O854" s="1"/>
  <c r="H854"/>
  <c r="U855"/>
  <c r="T851"/>
  <c r="M785"/>
  <c r="M789" s="1"/>
  <c r="K741"/>
  <c r="M706"/>
  <c r="M680"/>
  <c r="I987"/>
  <c r="I991" s="1"/>
  <c r="V991" s="1"/>
  <c r="H909"/>
  <c r="F909"/>
  <c r="F912" s="1"/>
  <c r="T908"/>
  <c r="U851"/>
  <c r="H849"/>
  <c r="I850"/>
  <c r="V850" s="1"/>
  <c r="F833"/>
  <c r="S833" s="1"/>
  <c r="T636"/>
  <c r="K681"/>
  <c r="M494"/>
  <c r="G739"/>
  <c r="M735"/>
  <c r="V735" s="1"/>
  <c r="T691"/>
  <c r="M408"/>
  <c r="V377"/>
  <c r="V369"/>
  <c r="M359"/>
  <c r="M277"/>
  <c r="M262"/>
  <c r="V234"/>
  <c r="M217"/>
  <c r="H739"/>
  <c r="P739" s="1"/>
  <c r="I643"/>
  <c r="P691"/>
  <c r="Q691" s="1"/>
  <c r="T686"/>
  <c r="M452"/>
  <c r="O131"/>
  <c r="M108"/>
  <c r="M112" s="1"/>
  <c r="Q104"/>
  <c r="V34"/>
  <c r="J592"/>
  <c r="I591"/>
  <c r="V591" s="1"/>
  <c r="F314"/>
  <c r="S314" s="1"/>
  <c r="K599"/>
  <c r="M348"/>
  <c r="F243"/>
  <c r="S243" s="1"/>
  <c r="U19"/>
  <c r="N19"/>
  <c r="N26" s="1"/>
  <c r="O598"/>
  <c r="I594"/>
  <c r="V594" s="1"/>
  <c r="V164"/>
  <c r="V642"/>
  <c r="V617"/>
  <c r="U866"/>
  <c r="T829"/>
  <c r="V817"/>
  <c r="U751"/>
  <c r="U702"/>
  <c r="T505"/>
  <c r="J478"/>
  <c r="J482" s="1"/>
  <c r="V428"/>
  <c r="V426"/>
  <c r="T542"/>
  <c r="P522"/>
  <c r="V354"/>
  <c r="V321"/>
  <c r="T266"/>
  <c r="T75"/>
  <c r="V672"/>
  <c r="M654"/>
  <c r="M658" s="1"/>
  <c r="V631"/>
  <c r="V630"/>
  <c r="T669"/>
  <c r="T647"/>
  <c r="M621"/>
  <c r="M625" s="1"/>
  <c r="Q553"/>
  <c r="M554"/>
  <c r="Q533"/>
  <c r="M516"/>
  <c r="P456"/>
  <c r="M445"/>
  <c r="O433"/>
  <c r="M370"/>
  <c r="M337"/>
  <c r="Q313"/>
  <c r="P303"/>
  <c r="P310" s="1"/>
  <c r="P314" s="1"/>
  <c r="M266"/>
  <c r="Q235"/>
  <c r="Q205"/>
  <c r="P195"/>
  <c r="Q182"/>
  <c r="M591"/>
  <c r="V582"/>
  <c r="Q541"/>
  <c r="Q527"/>
  <c r="V511"/>
  <c r="V510"/>
  <c r="M456"/>
  <c r="Q386"/>
  <c r="T359"/>
  <c r="V332"/>
  <c r="V269"/>
  <c r="T217"/>
  <c r="V209"/>
  <c r="T587"/>
  <c r="Q173"/>
  <c r="P146"/>
  <c r="O142"/>
  <c r="M131"/>
  <c r="O120"/>
  <c r="Q111"/>
  <c r="R111" s="1"/>
  <c r="V101"/>
  <c r="O64"/>
  <c r="P60"/>
  <c r="V33"/>
  <c r="Q32"/>
  <c r="R32" s="1"/>
  <c r="T433"/>
  <c r="V414"/>
  <c r="V413"/>
  <c r="V104"/>
  <c r="V97"/>
  <c r="M71"/>
  <c r="M75" s="1"/>
  <c r="V22"/>
  <c r="V411"/>
  <c r="L87"/>
  <c r="T53"/>
  <c r="T26"/>
  <c r="V163"/>
  <c r="U1171"/>
  <c r="T1083"/>
  <c r="T987"/>
  <c r="U829"/>
  <c r="V773"/>
  <c r="T665"/>
  <c r="V620"/>
  <c r="M303"/>
  <c r="V303" s="1"/>
  <c r="T284"/>
  <c r="V238"/>
  <c r="V353"/>
  <c r="K909"/>
  <c r="K912" s="1"/>
  <c r="K916" s="1"/>
  <c r="V861"/>
  <c r="V657"/>
  <c r="V635"/>
  <c r="V387"/>
  <c r="Q607"/>
  <c r="V175"/>
  <c r="Q12"/>
  <c r="R12" s="1"/>
  <c r="O110"/>
  <c r="O112" s="1"/>
  <c r="V1173"/>
  <c r="I1175"/>
  <c r="V1175" s="1"/>
  <c r="L521"/>
  <c r="L524" s="1"/>
  <c r="L528" s="1"/>
  <c r="U713" i="8"/>
  <c r="N554"/>
  <c r="Q554" s="1"/>
  <c r="R554" s="1"/>
  <c r="P205"/>
  <c r="V358" i="11"/>
  <c r="V386"/>
  <c r="M1142"/>
  <c r="Q865"/>
  <c r="P844"/>
  <c r="V695"/>
  <c r="O676"/>
  <c r="O680" s="1"/>
  <c r="P643"/>
  <c r="P647" s="1"/>
  <c r="O632"/>
  <c r="O636" s="1"/>
  <c r="O621"/>
  <c r="O625" s="1"/>
  <c r="P609"/>
  <c r="P613" s="1"/>
  <c r="Q602"/>
  <c r="Q582"/>
  <c r="Q581"/>
  <c r="Q579"/>
  <c r="O561"/>
  <c r="V537"/>
  <c r="V536"/>
  <c r="Q489"/>
  <c r="Q488"/>
  <c r="Q486"/>
  <c r="Q480"/>
  <c r="Q201"/>
  <c r="Q200"/>
  <c r="Q198"/>
  <c r="O191"/>
  <c r="Q178"/>
  <c r="M583"/>
  <c r="M587" s="1"/>
  <c r="V579"/>
  <c r="V476"/>
  <c r="O441"/>
  <c r="O445" s="1"/>
  <c r="P429"/>
  <c r="O366"/>
  <c r="O370" s="1"/>
  <c r="O333"/>
  <c r="O337" s="1"/>
  <c r="O262"/>
  <c r="O266" s="1"/>
  <c r="M255"/>
  <c r="N1424" i="8"/>
  <c r="M1349"/>
  <c r="I548"/>
  <c r="V548" s="1"/>
  <c r="V504" i="11"/>
  <c r="L734"/>
  <c r="L737" s="1"/>
  <c r="L741" s="1"/>
  <c r="M172"/>
  <c r="M179" s="1"/>
  <c r="M183" s="1"/>
  <c r="K305" i="8"/>
  <c r="K311" s="1"/>
  <c r="M306"/>
  <c r="H1581"/>
  <c r="P1581" s="1"/>
  <c r="P1571"/>
  <c r="V1564"/>
  <c r="I1560"/>
  <c r="V1560" s="1"/>
  <c r="H1461"/>
  <c r="U1461" s="1"/>
  <c r="P1451"/>
  <c r="S1422"/>
  <c r="M1422"/>
  <c r="M1421" s="1"/>
  <c r="S1428"/>
  <c r="I1428"/>
  <c r="H1423"/>
  <c r="P1423" s="1"/>
  <c r="U1427"/>
  <c r="U1422"/>
  <c r="H1421"/>
  <c r="I572"/>
  <c r="V572" s="1"/>
  <c r="V574"/>
  <c r="I565"/>
  <c r="V565" s="1"/>
  <c r="V534"/>
  <c r="H486"/>
  <c r="U486" s="1"/>
  <c r="P476"/>
  <c r="H455"/>
  <c r="P455" s="1"/>
  <c r="P445"/>
  <c r="Q1272"/>
  <c r="Q1112"/>
  <c r="Q1037"/>
  <c r="Q862"/>
  <c r="M1428"/>
  <c r="M1424"/>
  <c r="I821"/>
  <c r="V821" s="1"/>
  <c r="L1139"/>
  <c r="G1252"/>
  <c r="O1252" s="1"/>
  <c r="O1242"/>
  <c r="H1536"/>
  <c r="P1536" s="1"/>
  <c r="P1526"/>
  <c r="T314"/>
  <c r="G319"/>
  <c r="V871"/>
  <c r="I867"/>
  <c r="V867" s="1"/>
  <c r="K732"/>
  <c r="O732" s="1"/>
  <c r="O722"/>
  <c r="U709"/>
  <c r="H708"/>
  <c r="U707"/>
  <c r="H706"/>
  <c r="H375"/>
  <c r="U375" s="1"/>
  <c r="P365"/>
  <c r="L299"/>
  <c r="L301" s="1"/>
  <c r="L311" s="1"/>
  <c r="P234"/>
  <c r="T145"/>
  <c r="O145"/>
  <c r="Q145" s="1"/>
  <c r="G219"/>
  <c r="G221" s="1"/>
  <c r="O139"/>
  <c r="T139"/>
  <c r="G471"/>
  <c r="O460"/>
  <c r="Q460" s="1"/>
  <c r="J126"/>
  <c r="S124"/>
  <c r="G1521"/>
  <c r="O1511"/>
  <c r="H1063"/>
  <c r="P1053"/>
  <c r="M1139"/>
  <c r="S712"/>
  <c r="M1706"/>
  <c r="V1585"/>
  <c r="T1753"/>
  <c r="Q1546"/>
  <c r="Q1545"/>
  <c r="Q1544"/>
  <c r="Q1543"/>
  <c r="Q1525"/>
  <c r="M1526"/>
  <c r="M1536" s="1"/>
  <c r="Q1516"/>
  <c r="Q1515"/>
  <c r="Q1514"/>
  <c r="Q1513"/>
  <c r="Q1501"/>
  <c r="Q1500"/>
  <c r="Q1499"/>
  <c r="Q1498"/>
  <c r="Q1480"/>
  <c r="M1481"/>
  <c r="M1491" s="1"/>
  <c r="Q1471"/>
  <c r="Q1470"/>
  <c r="Q1469"/>
  <c r="Q1468"/>
  <c r="V1558"/>
  <c r="L1835"/>
  <c r="L1834" s="1"/>
  <c r="M1541"/>
  <c r="M1551" s="1"/>
  <c r="M1496"/>
  <c r="Q1353"/>
  <c r="V1353"/>
  <c r="M1242"/>
  <c r="Q1322"/>
  <c r="V1267"/>
  <c r="V1223"/>
  <c r="V1168"/>
  <c r="Q1143"/>
  <c r="M1128"/>
  <c r="M1138" s="1"/>
  <c r="M1358"/>
  <c r="M1098"/>
  <c r="Q1088"/>
  <c r="Q1087"/>
  <c r="Q1086"/>
  <c r="Q1085"/>
  <c r="M1068"/>
  <c r="Q1058"/>
  <c r="Q1057"/>
  <c r="Q1056"/>
  <c r="Q1055"/>
  <c r="Q1051"/>
  <c r="M1038"/>
  <c r="Q1028"/>
  <c r="Q1027"/>
  <c r="Q1026"/>
  <c r="Q1025"/>
  <c r="Q1006"/>
  <c r="Q951"/>
  <c r="Q950"/>
  <c r="Q947"/>
  <c r="Q946"/>
  <c r="Q945"/>
  <c r="Q944"/>
  <c r="Q940"/>
  <c r="Q939"/>
  <c r="Q938"/>
  <c r="Q937"/>
  <c r="Q913"/>
  <c r="Q912"/>
  <c r="Q911"/>
  <c r="Q910"/>
  <c r="Q906"/>
  <c r="Q892"/>
  <c r="Q887"/>
  <c r="Q886"/>
  <c r="Q876"/>
  <c r="Q853"/>
  <c r="Q852"/>
  <c r="Q851"/>
  <c r="Q850"/>
  <c r="Q838"/>
  <c r="Q837"/>
  <c r="Q836"/>
  <c r="Q835"/>
  <c r="M726"/>
  <c r="M1228"/>
  <c r="M1053"/>
  <c r="V1037"/>
  <c r="M1023"/>
  <c r="M1033" s="1"/>
  <c r="Q907"/>
  <c r="M878"/>
  <c r="V856"/>
  <c r="M858"/>
  <c r="V782"/>
  <c r="V776"/>
  <c r="I712"/>
  <c r="V712" s="1"/>
  <c r="V687"/>
  <c r="V681"/>
  <c r="M873"/>
  <c r="Q607"/>
  <c r="Q602"/>
  <c r="Q601"/>
  <c r="Q591"/>
  <c r="V585"/>
  <c r="V583"/>
  <c r="V513"/>
  <c r="Q502"/>
  <c r="Q501"/>
  <c r="V490"/>
  <c r="Q485"/>
  <c r="Q484"/>
  <c r="Q474"/>
  <c r="Q462"/>
  <c r="M445"/>
  <c r="M455" s="1"/>
  <c r="Q435"/>
  <c r="Q434"/>
  <c r="Q433"/>
  <c r="Q432"/>
  <c r="V412"/>
  <c r="V411"/>
  <c r="V374"/>
  <c r="V865"/>
  <c r="Q848"/>
  <c r="V592"/>
  <c r="V395"/>
  <c r="M380"/>
  <c r="V975"/>
  <c r="V632"/>
  <c r="M365"/>
  <c r="M375" s="1"/>
  <c r="Q333"/>
  <c r="R333" s="1"/>
  <c r="Q317"/>
  <c r="R317" s="1"/>
  <c r="M289"/>
  <c r="M274"/>
  <c r="Q258"/>
  <c r="R258" s="1"/>
  <c r="Q236"/>
  <c r="R236" s="1"/>
  <c r="Q214"/>
  <c r="R214" s="1"/>
  <c r="Q195"/>
  <c r="R195" s="1"/>
  <c r="V174"/>
  <c r="Q153"/>
  <c r="R153" s="1"/>
  <c r="V94"/>
  <c r="M259"/>
  <c r="V245"/>
  <c r="M360"/>
  <c r="V334"/>
  <c r="Q85"/>
  <c r="R85" s="1"/>
  <c r="V279"/>
  <c r="V1821"/>
  <c r="V420"/>
  <c r="V379"/>
  <c r="K1284"/>
  <c r="M1284" s="1"/>
  <c r="M1566"/>
  <c r="V1495"/>
  <c r="V877"/>
  <c r="L1219"/>
  <c r="Q1659"/>
  <c r="R1659" s="1"/>
  <c r="Q1632"/>
  <c r="Q1610"/>
  <c r="Q1609"/>
  <c r="Q1600"/>
  <c r="Q1599"/>
  <c r="Q1576"/>
  <c r="Q1575"/>
  <c r="Q1574"/>
  <c r="Q1573"/>
  <c r="M554"/>
  <c r="O1193" i="11"/>
  <c r="O1197" s="1"/>
  <c r="Q1181"/>
  <c r="Q1180"/>
  <c r="Q1178"/>
  <c r="V908"/>
  <c r="V907" i="8"/>
  <c r="L592" i="11"/>
  <c r="L595" s="1"/>
  <c r="L599" s="1"/>
  <c r="L849"/>
  <c r="L852" s="1"/>
  <c r="L856" s="1"/>
  <c r="V325"/>
  <c r="M384" i="8"/>
  <c r="Q833"/>
  <c r="M390"/>
  <c r="O1149" i="11"/>
  <c r="O1127"/>
  <c r="O840"/>
  <c r="O844" s="1"/>
  <c r="T904"/>
  <c r="K844"/>
  <c r="K845" s="1"/>
  <c r="M239"/>
  <c r="T516"/>
  <c r="V1163"/>
  <c r="V1097"/>
  <c r="K1007"/>
  <c r="K1010" s="1"/>
  <c r="K1014" s="1"/>
  <c r="V952"/>
  <c r="V892"/>
  <c r="K849"/>
  <c r="K852" s="1"/>
  <c r="K856" s="1"/>
  <c r="V679"/>
  <c r="L685"/>
  <c r="L688" s="1"/>
  <c r="L692" s="1"/>
  <c r="O1120"/>
  <c r="M1109"/>
  <c r="F800"/>
  <c r="S800" s="1"/>
  <c r="P796"/>
  <c r="P800" s="1"/>
  <c r="O785"/>
  <c r="O789" s="1"/>
  <c r="T370"/>
  <c r="I1272"/>
  <c r="M1397"/>
  <c r="T19"/>
  <c r="Q1322"/>
  <c r="Q1321"/>
  <c r="Q1320"/>
  <c r="V1261"/>
  <c r="V1260"/>
  <c r="O1239"/>
  <c r="O1243" s="1"/>
  <c r="Q1227"/>
  <c r="Q1226"/>
  <c r="O1094"/>
  <c r="M811"/>
  <c r="O807"/>
  <c r="F778"/>
  <c r="S778" s="1"/>
  <c r="P751"/>
  <c r="T811"/>
  <c r="P621"/>
  <c r="P625" s="1"/>
  <c r="Q22"/>
  <c r="M1272"/>
  <c r="V1291"/>
  <c r="L310"/>
  <c r="M1276"/>
  <c r="V1276" s="1"/>
  <c r="M748" i="8"/>
  <c r="M1087"/>
  <c r="M1093" s="1"/>
  <c r="M1500"/>
  <c r="M882"/>
  <c r="M888" s="1"/>
  <c r="M1506"/>
  <c r="Q773"/>
  <c r="Q772"/>
  <c r="Q771"/>
  <c r="Q770"/>
  <c r="Q747"/>
  <c r="Q746"/>
  <c r="Q736"/>
  <c r="Q678"/>
  <c r="Q677"/>
  <c r="Q676"/>
  <c r="Q675"/>
  <c r="Q651"/>
  <c r="Q650"/>
  <c r="K984"/>
  <c r="J1219"/>
  <c r="M618"/>
  <c r="L699"/>
  <c r="M699" s="1"/>
  <c r="M619"/>
  <c r="V1052"/>
  <c r="L919"/>
  <c r="L794"/>
  <c r="Q1601"/>
  <c r="Q389"/>
  <c r="Q388"/>
  <c r="Q378"/>
  <c r="Q1437"/>
  <c r="Q1510"/>
  <c r="Q1338"/>
  <c r="Q1357"/>
  <c r="M1354"/>
  <c r="M1364" s="1"/>
  <c r="Q1352"/>
  <c r="M1048"/>
  <c r="Q1232"/>
  <c r="Q1128"/>
  <c r="Q1083"/>
  <c r="Q1023"/>
  <c r="Q658"/>
  <c r="M1652"/>
  <c r="M1710"/>
  <c r="S255"/>
  <c r="Q12"/>
  <c r="M1605"/>
  <c r="M1611" s="1"/>
  <c r="V1600"/>
  <c r="S1701"/>
  <c r="S350"/>
  <c r="Q183"/>
  <c r="R183" s="1"/>
  <c r="Q169"/>
  <c r="R169" s="1"/>
  <c r="Q165"/>
  <c r="R165" s="1"/>
  <c r="Q142"/>
  <c r="R142" s="1"/>
  <c r="Q140"/>
  <c r="R140" s="1"/>
  <c r="Q118"/>
  <c r="R118" s="1"/>
  <c r="Q113"/>
  <c r="R113" s="1"/>
  <c r="Q103"/>
  <c r="R103" s="1"/>
  <c r="Q98"/>
  <c r="R98" s="1"/>
  <c r="V74"/>
  <c r="M1590"/>
  <c r="M1596" s="1"/>
  <c r="V1337"/>
  <c r="V1257"/>
  <c r="V1192"/>
  <c r="V832"/>
  <c r="M812"/>
  <c r="U32"/>
  <c r="Q1756"/>
  <c r="Q1755"/>
  <c r="Q1872"/>
  <c r="N1882"/>
  <c r="P1882"/>
  <c r="N1886"/>
  <c r="P1886"/>
  <c r="N1888"/>
  <c r="P1888"/>
  <c r="M1753"/>
  <c r="V1751"/>
  <c r="V1746"/>
  <c r="Q1743"/>
  <c r="M1778"/>
  <c r="M1774" s="1"/>
  <c r="M1721"/>
  <c r="M1830" s="1"/>
  <c r="K1718"/>
  <c r="Q1694"/>
  <c r="R1694" s="1"/>
  <c r="Q1667"/>
  <c r="R1667" s="1"/>
  <c r="V1783"/>
  <c r="K1835"/>
  <c r="K1834" s="1"/>
  <c r="Q1660"/>
  <c r="R1660" s="1"/>
  <c r="Q1654"/>
  <c r="R1654" s="1"/>
  <c r="Q1595"/>
  <c r="Q1591"/>
  <c r="Q1560"/>
  <c r="Q1397"/>
  <c r="Q1367"/>
  <c r="Q1343"/>
  <c r="Q1342"/>
  <c r="Q1341"/>
  <c r="Q1340"/>
  <c r="V1590"/>
  <c r="Q972"/>
  <c r="Q816"/>
  <c r="Q721"/>
  <c r="M794"/>
  <c r="Q162"/>
  <c r="Q158"/>
  <c r="R158" s="1"/>
  <c r="Q114"/>
  <c r="Q84"/>
  <c r="Q83"/>
  <c r="Q82"/>
  <c r="Q78"/>
  <c r="R78" s="1"/>
  <c r="V71"/>
  <c r="Q593"/>
  <c r="Q507"/>
  <c r="M983"/>
  <c r="M962"/>
  <c r="M968" s="1"/>
  <c r="M84"/>
  <c r="M90" s="1"/>
  <c r="Q1396"/>
  <c r="Q1393"/>
  <c r="Q1375"/>
  <c r="Q1391"/>
  <c r="Q1390"/>
  <c r="Q1377"/>
  <c r="Q1374"/>
  <c r="Q1370"/>
  <c r="Q1369"/>
  <c r="Q1368"/>
  <c r="M1017" i="11"/>
  <c r="V1017" s="1"/>
  <c r="I669"/>
  <c r="V667"/>
  <c r="I647"/>
  <c r="V645"/>
  <c r="Q1699" i="8"/>
  <c r="R1699" s="1"/>
  <c r="L1847"/>
  <c r="Q1434"/>
  <c r="Q1216"/>
  <c r="Q1210"/>
  <c r="Q1187"/>
  <c r="Q1183"/>
  <c r="Q1177"/>
  <c r="Q1161"/>
  <c r="Q1121"/>
  <c r="Q1115"/>
  <c r="Q1496"/>
  <c r="M817"/>
  <c r="M827" s="1"/>
  <c r="M683"/>
  <c r="Q527"/>
  <c r="J305"/>
  <c r="N305" s="1"/>
  <c r="Q349"/>
  <c r="Q1808"/>
  <c r="Q1231" i="11"/>
  <c r="Q1185"/>
  <c r="Q1075"/>
  <c r="Q978"/>
  <c r="Q843"/>
  <c r="U893"/>
  <c r="Q679"/>
  <c r="Q635"/>
  <c r="L730"/>
  <c r="M243"/>
  <c r="Q481"/>
  <c r="Q476"/>
  <c r="Q407"/>
  <c r="Q388"/>
  <c r="Q385"/>
  <c r="Q358"/>
  <c r="Q276"/>
  <c r="Q216"/>
  <c r="Q151"/>
  <c r="M968"/>
  <c r="M975" s="1"/>
  <c r="M979" s="1"/>
  <c r="U1127"/>
  <c r="M919"/>
  <c r="V407"/>
  <c r="V1639" i="8"/>
  <c r="M1057"/>
  <c r="M1063" s="1"/>
  <c r="I540" i="11"/>
  <c r="V540" s="1"/>
  <c r="U490"/>
  <c r="M471"/>
  <c r="T452"/>
  <c r="M1262" i="8"/>
  <c r="M912"/>
  <c r="V767"/>
  <c r="V737"/>
  <c r="L708"/>
  <c r="L714" s="1"/>
  <c r="M409"/>
  <c r="M414" s="1"/>
  <c r="Q327"/>
  <c r="R327" s="1"/>
  <c r="V966"/>
  <c r="V814"/>
  <c r="L215"/>
  <c r="L216" s="1"/>
  <c r="O1781"/>
  <c r="O1778" s="1"/>
  <c r="O1774" s="1"/>
  <c r="Q1700"/>
  <c r="R1700" s="1"/>
  <c r="Q1696"/>
  <c r="R1696" s="1"/>
  <c r="O1691"/>
  <c r="M1691"/>
  <c r="Q1585"/>
  <c r="M1716"/>
  <c r="L1714"/>
  <c r="Q1570"/>
  <c r="Q1465"/>
  <c r="Q1540"/>
  <c r="Q1524"/>
  <c r="Q1495"/>
  <c r="Q1479"/>
  <c r="Q1459"/>
  <c r="M1439"/>
  <c r="Q1337"/>
  <c r="Q1328"/>
  <c r="Q1327"/>
  <c r="Q1321"/>
  <c r="V1313"/>
  <c r="Q1267"/>
  <c r="Q1266"/>
  <c r="Q1256"/>
  <c r="Q1241"/>
  <c r="Q1202"/>
  <c r="Q1201"/>
  <c r="Q1191"/>
  <c r="Q1137"/>
  <c r="Q1136"/>
  <c r="Q1107"/>
  <c r="Q1106"/>
  <c r="Q1511"/>
  <c r="Q1451"/>
  <c r="K1293"/>
  <c r="Q1277"/>
  <c r="M1268"/>
  <c r="J1234"/>
  <c r="Q1022"/>
  <c r="M918"/>
  <c r="J919"/>
  <c r="Q847"/>
  <c r="M778"/>
  <c r="Q672"/>
  <c r="Q641"/>
  <c r="J1154"/>
  <c r="J999"/>
  <c r="Q738"/>
  <c r="J714"/>
  <c r="V536"/>
  <c r="N513"/>
  <c r="Q513" s="1"/>
  <c r="V499"/>
  <c r="Q429"/>
  <c r="Q379"/>
  <c r="Q340"/>
  <c r="Q339"/>
  <c r="Q338"/>
  <c r="Q337"/>
  <c r="Q272"/>
  <c r="Q268"/>
  <c r="R268" s="1"/>
  <c r="Q244"/>
  <c r="R244" s="1"/>
  <c r="Q242"/>
  <c r="Q241"/>
  <c r="V294"/>
  <c r="N289"/>
  <c r="Q289" s="1"/>
  <c r="Q57"/>
  <c r="R57" s="1"/>
  <c r="O1728"/>
  <c r="N350"/>
  <c r="Q350" s="1"/>
  <c r="Q149"/>
  <c r="R149" s="1"/>
  <c r="R94"/>
  <c r="R79"/>
  <c r="O1267" i="11"/>
  <c r="Q1163"/>
  <c r="L1360"/>
  <c r="L1359" s="1"/>
  <c r="L1362" s="1"/>
  <c r="J1280"/>
  <c r="O1160"/>
  <c r="O1164" s="1"/>
  <c r="Q1148"/>
  <c r="Q1147"/>
  <c r="Q1145"/>
  <c r="O1138"/>
  <c r="O1142" s="1"/>
  <c r="Q1126"/>
  <c r="Q1125"/>
  <c r="Q1123"/>
  <c r="Q1112"/>
  <c r="O1105"/>
  <c r="O1109" s="1"/>
  <c r="Q1093"/>
  <c r="Q1092"/>
  <c r="Q1090"/>
  <c r="O1083"/>
  <c r="O1087" s="1"/>
  <c r="Q1070"/>
  <c r="Q1069"/>
  <c r="Q1067"/>
  <c r="V1243"/>
  <c r="V1239"/>
  <c r="V1171"/>
  <c r="T1206"/>
  <c r="U1131"/>
  <c r="Q997"/>
  <c r="Q996"/>
  <c r="Q994"/>
  <c r="Q977"/>
  <c r="Q974"/>
  <c r="Q948"/>
  <c r="Q947"/>
  <c r="Q945"/>
  <c r="Q925"/>
  <c r="O900"/>
  <c r="O904" s="1"/>
  <c r="Q888"/>
  <c r="Q887"/>
  <c r="Q885"/>
  <c r="O878"/>
  <c r="O882" s="1"/>
  <c r="Q839"/>
  <c r="T1142"/>
  <c r="T1120"/>
  <c r="Q1039"/>
  <c r="Q1001"/>
  <c r="O1002"/>
  <c r="O998"/>
  <c r="V974"/>
  <c r="V973"/>
  <c r="Q952"/>
  <c r="O949"/>
  <c r="V925"/>
  <c r="O889"/>
  <c r="Q869"/>
  <c r="V859"/>
  <c r="J905"/>
  <c r="F844"/>
  <c r="S844" s="1"/>
  <c r="Q806"/>
  <c r="Q805"/>
  <c r="Q803"/>
  <c r="O796"/>
  <c r="Q762"/>
  <c r="Q761"/>
  <c r="Q759"/>
  <c r="V750"/>
  <c r="V744"/>
  <c r="O714"/>
  <c r="Q705"/>
  <c r="Q700"/>
  <c r="Q675"/>
  <c r="Q674"/>
  <c r="Q672"/>
  <c r="O643"/>
  <c r="O647" s="1"/>
  <c r="Q631"/>
  <c r="Q630"/>
  <c r="Q628"/>
  <c r="Q908"/>
  <c r="M833"/>
  <c r="O829"/>
  <c r="O833" s="1"/>
  <c r="F822"/>
  <c r="S822" s="1"/>
  <c r="P818"/>
  <c r="P822" s="1"/>
  <c r="O811"/>
  <c r="M767"/>
  <c r="F718"/>
  <c r="S718" s="1"/>
  <c r="P714"/>
  <c r="P718" s="1"/>
  <c r="P665"/>
  <c r="P669" s="1"/>
  <c r="Q657"/>
  <c r="O654"/>
  <c r="O658" s="1"/>
  <c r="M478"/>
  <c r="M482" s="1"/>
  <c r="Q440"/>
  <c r="Q439"/>
  <c r="Q437"/>
  <c r="Q391"/>
  <c r="Q390"/>
  <c r="Q365"/>
  <c r="Q364"/>
  <c r="Q362"/>
  <c r="O355"/>
  <c r="Q332"/>
  <c r="Q331"/>
  <c r="Q329"/>
  <c r="Q283"/>
  <c r="Q282"/>
  <c r="Q280"/>
  <c r="Q261"/>
  <c r="Q260"/>
  <c r="Q258"/>
  <c r="V774"/>
  <c r="T833"/>
  <c r="V602"/>
  <c r="Q586"/>
  <c r="O583"/>
  <c r="O587" s="1"/>
  <c r="P538"/>
  <c r="P542" s="1"/>
  <c r="O512"/>
  <c r="O516" s="1"/>
  <c r="Q504"/>
  <c r="O490"/>
  <c r="O494" s="1"/>
  <c r="P471"/>
  <c r="Q455"/>
  <c r="Q432"/>
  <c r="M378"/>
  <c r="Q325"/>
  <c r="Q306"/>
  <c r="O284"/>
  <c r="O288" s="1"/>
  <c r="Q254"/>
  <c r="O202"/>
  <c r="O206" s="1"/>
  <c r="Q194"/>
  <c r="Q175"/>
  <c r="U505"/>
  <c r="V107"/>
  <c r="V106"/>
  <c r="Q70"/>
  <c r="Q69"/>
  <c r="Q48"/>
  <c r="Q47"/>
  <c r="T288"/>
  <c r="T277"/>
  <c r="T206"/>
  <c r="Q152"/>
  <c r="Q40"/>
  <c r="R40" s="1"/>
  <c r="L41"/>
  <c r="Q33"/>
  <c r="R33" s="1"/>
  <c r="V860"/>
  <c r="T889"/>
  <c r="V546"/>
  <c r="M1665" i="8"/>
  <c r="M1669" s="1"/>
  <c r="M1575"/>
  <c r="M1581" s="1"/>
  <c r="V1570"/>
  <c r="V1540"/>
  <c r="L1423"/>
  <c r="V1248"/>
  <c r="M1212"/>
  <c r="V1212" s="1"/>
  <c r="M1102"/>
  <c r="M1108" s="1"/>
  <c r="V1082"/>
  <c r="M1072"/>
  <c r="M1078" s="1"/>
  <c r="M540" i="11"/>
  <c r="M542" s="1"/>
  <c r="L542"/>
  <c r="U542" s="1"/>
  <c r="K521"/>
  <c r="K524" s="1"/>
  <c r="K528" s="1"/>
  <c r="K1423" i="8"/>
  <c r="O1423" s="1"/>
  <c r="M1342"/>
  <c r="M1348" s="1"/>
  <c r="M1327"/>
  <c r="M1333" s="1"/>
  <c r="M1302"/>
  <c r="V1302" s="1"/>
  <c r="M1277"/>
  <c r="V1277" s="1"/>
  <c r="M1197"/>
  <c r="M1203" s="1"/>
  <c r="M1117"/>
  <c r="M1123" s="1"/>
  <c r="M628"/>
  <c r="M662"/>
  <c r="S1280" i="11"/>
  <c r="N1329"/>
  <c r="Q1330"/>
  <c r="Q1329" s="1"/>
  <c r="I1360"/>
  <c r="S1360"/>
  <c r="N1360"/>
  <c r="F1359"/>
  <c r="I1357"/>
  <c r="V1357" s="1"/>
  <c r="S1357"/>
  <c r="N1357"/>
  <c r="I1356"/>
  <c r="V1356" s="1"/>
  <c r="S1356"/>
  <c r="N1356"/>
  <c r="I1355"/>
  <c r="V1355" s="1"/>
  <c r="S1355"/>
  <c r="N1355"/>
  <c r="I1354"/>
  <c r="S1354"/>
  <c r="N1354"/>
  <c r="F1352"/>
  <c r="S1352" s="1"/>
  <c r="V1330"/>
  <c r="I1329"/>
  <c r="V1329" s="1"/>
  <c r="V1326"/>
  <c r="I1325"/>
  <c r="V1325" s="1"/>
  <c r="V1319"/>
  <c r="I1317"/>
  <c r="S1341"/>
  <c r="Q1277"/>
  <c r="N1276"/>
  <c r="Q1273"/>
  <c r="N1272"/>
  <c r="M1267"/>
  <c r="M1262"/>
  <c r="S1249"/>
  <c r="N1249"/>
  <c r="I1249"/>
  <c r="V1249" s="1"/>
  <c r="J1247"/>
  <c r="M1248"/>
  <c r="S1248"/>
  <c r="N1248"/>
  <c r="F1247"/>
  <c r="I1248"/>
  <c r="V1248" s="1"/>
  <c r="S1246"/>
  <c r="N1246"/>
  <c r="I1246"/>
  <c r="I1217"/>
  <c r="N1206"/>
  <c r="Q1207"/>
  <c r="Q1206" s="1"/>
  <c r="Q1162"/>
  <c r="T1348"/>
  <c r="O1348"/>
  <c r="S1361"/>
  <c r="N1361"/>
  <c r="Q1257"/>
  <c r="N1267"/>
  <c r="N1262"/>
  <c r="K1252"/>
  <c r="M1252" s="1"/>
  <c r="M1253"/>
  <c r="T1253"/>
  <c r="O1253"/>
  <c r="G1252"/>
  <c r="V1230"/>
  <c r="I1228"/>
  <c r="V1225"/>
  <c r="V1207"/>
  <c r="I1206"/>
  <c r="V1206" s="1"/>
  <c r="Q1195"/>
  <c r="Q1190"/>
  <c r="N1193"/>
  <c r="N1197" s="1"/>
  <c r="V1162"/>
  <c r="U1348"/>
  <c r="P1348"/>
  <c r="S1348"/>
  <c r="N1348"/>
  <c r="I1348"/>
  <c r="V1348" s="1"/>
  <c r="U1288"/>
  <c r="P1288"/>
  <c r="P1286" s="1"/>
  <c r="Q1287"/>
  <c r="V1287"/>
  <c r="O1360"/>
  <c r="U1282"/>
  <c r="P1282"/>
  <c r="V1151"/>
  <c r="V1096"/>
  <c r="I822"/>
  <c r="V822" s="1"/>
  <c r="V820"/>
  <c r="V787"/>
  <c r="I778"/>
  <c r="V778" s="1"/>
  <c r="V776"/>
  <c r="G681"/>
  <c r="T625"/>
  <c r="P1397"/>
  <c r="P1317"/>
  <c r="V1322"/>
  <c r="V1321"/>
  <c r="V1320"/>
  <c r="O1317"/>
  <c r="O1276"/>
  <c r="O1272"/>
  <c r="M1352"/>
  <c r="O1352"/>
  <c r="M1249"/>
  <c r="O1171"/>
  <c r="O1175" s="1"/>
  <c r="Q1258"/>
  <c r="K1247"/>
  <c r="Q1238"/>
  <c r="P1239"/>
  <c r="P1243" s="1"/>
  <c r="Q1235"/>
  <c r="F1221"/>
  <c r="S1221" s="1"/>
  <c r="Q1191"/>
  <c r="Q1170"/>
  <c r="P1171"/>
  <c r="P1175" s="1"/>
  <c r="Q1167"/>
  <c r="Q1289"/>
  <c r="Q1283"/>
  <c r="P1280"/>
  <c r="N1338"/>
  <c r="Q1339"/>
  <c r="Q1338" s="1"/>
  <c r="N1325"/>
  <c r="Q1326"/>
  <c r="Q1325" s="1"/>
  <c r="N1317"/>
  <c r="Q1319"/>
  <c r="Q1317" s="1"/>
  <c r="U1357"/>
  <c r="P1357"/>
  <c r="U1356"/>
  <c r="P1356"/>
  <c r="U1355"/>
  <c r="P1355"/>
  <c r="U1354"/>
  <c r="P1354"/>
  <c r="P1352" s="1"/>
  <c r="H1352"/>
  <c r="U1352" s="1"/>
  <c r="V1339"/>
  <c r="I1338"/>
  <c r="V1338" s="1"/>
  <c r="J1359"/>
  <c r="J1362" s="1"/>
  <c r="U1253"/>
  <c r="P1253"/>
  <c r="Q1253" s="1"/>
  <c r="H1252"/>
  <c r="U1249"/>
  <c r="P1249"/>
  <c r="U1248"/>
  <c r="P1248"/>
  <c r="H1247"/>
  <c r="U1246"/>
  <c r="P1246"/>
  <c r="Q1230"/>
  <c r="N1228"/>
  <c r="N1232" s="1"/>
  <c r="Q1225"/>
  <c r="I1197"/>
  <c r="V1197" s="1"/>
  <c r="V1195"/>
  <c r="Q1184"/>
  <c r="N1182"/>
  <c r="N1186" s="1"/>
  <c r="Q1179"/>
  <c r="Q1182" s="1"/>
  <c r="T1288"/>
  <c r="O1288"/>
  <c r="O1286" s="1"/>
  <c r="G1286"/>
  <c r="T1286" s="1"/>
  <c r="U1360"/>
  <c r="T1282"/>
  <c r="O1282"/>
  <c r="V1334"/>
  <c r="I1333"/>
  <c r="N1333"/>
  <c r="P1267"/>
  <c r="P1262"/>
  <c r="I1267"/>
  <c r="I1262"/>
  <c r="V1257"/>
  <c r="T1249"/>
  <c r="O1249"/>
  <c r="T1248"/>
  <c r="O1248"/>
  <c r="G1247"/>
  <c r="Q1241"/>
  <c r="Q1236"/>
  <c r="N1239"/>
  <c r="N1243" s="1"/>
  <c r="Q1219"/>
  <c r="Q1214"/>
  <c r="N1217"/>
  <c r="N1221" s="1"/>
  <c r="V1184"/>
  <c r="I1182"/>
  <c r="V1182" s="1"/>
  <c r="V1179"/>
  <c r="Q1173"/>
  <c r="Q1168"/>
  <c r="N1171"/>
  <c r="N1175" s="1"/>
  <c r="I1288"/>
  <c r="V1288" s="1"/>
  <c r="S1288"/>
  <c r="N1288"/>
  <c r="I1282"/>
  <c r="V1282" s="1"/>
  <c r="S1282"/>
  <c r="N1282"/>
  <c r="N1280" s="1"/>
  <c r="T1160"/>
  <c r="G1164"/>
  <c r="T1164" s="1"/>
  <c r="N1149"/>
  <c r="N1153" s="1"/>
  <c r="Q1146"/>
  <c r="Q1149" s="1"/>
  <c r="F961"/>
  <c r="S958"/>
  <c r="N958"/>
  <c r="V429"/>
  <c r="I433"/>
  <c r="V433" s="1"/>
  <c r="F225"/>
  <c r="S222"/>
  <c r="N222"/>
  <c r="I1401"/>
  <c r="P1398"/>
  <c r="M1317"/>
  <c r="Q1278"/>
  <c r="Q1274"/>
  <c r="L1247"/>
  <c r="L1250" s="1"/>
  <c r="L1254" s="1"/>
  <c r="V1335"/>
  <c r="M1333"/>
  <c r="Q1265"/>
  <c r="Q1261"/>
  <c r="Q1260"/>
  <c r="Q1259"/>
  <c r="I1253"/>
  <c r="V1253" s="1"/>
  <c r="Q1237"/>
  <c r="Q1216"/>
  <c r="Q1215"/>
  <c r="Q1192"/>
  <c r="Q1189"/>
  <c r="Q1169"/>
  <c r="Q1291"/>
  <c r="Q1290"/>
  <c r="F1286"/>
  <c r="S1286" s="1"/>
  <c r="Q1284"/>
  <c r="F1197"/>
  <c r="S1197" s="1"/>
  <c r="Q172"/>
  <c r="I1160"/>
  <c r="V1160" s="1"/>
  <c r="V1157"/>
  <c r="G1361"/>
  <c r="T1335"/>
  <c r="O1335"/>
  <c r="T1334"/>
  <c r="O1334"/>
  <c r="O1333" s="1"/>
  <c r="G1333"/>
  <c r="U1297"/>
  <c r="P1297"/>
  <c r="I1297"/>
  <c r="S1297"/>
  <c r="N1297"/>
  <c r="M1296"/>
  <c r="J1295"/>
  <c r="J1293" s="1"/>
  <c r="U1296"/>
  <c r="P1296"/>
  <c r="H1295"/>
  <c r="I1296"/>
  <c r="S1296"/>
  <c r="N1296"/>
  <c r="F1295"/>
  <c r="M1294"/>
  <c r="U1294"/>
  <c r="P1294"/>
  <c r="H1293"/>
  <c r="I1294"/>
  <c r="S1294"/>
  <c r="N1294"/>
  <c r="F1293"/>
  <c r="S1293" s="1"/>
  <c r="N1160"/>
  <c r="N1164" s="1"/>
  <c r="Q1157"/>
  <c r="G1131"/>
  <c r="T1131" s="1"/>
  <c r="T1129"/>
  <c r="O1129"/>
  <c r="O1131" s="1"/>
  <c r="I1127"/>
  <c r="V1127" s="1"/>
  <c r="V1124"/>
  <c r="H1120"/>
  <c r="U1120" s="1"/>
  <c r="U1118"/>
  <c r="P1118"/>
  <c r="Q1113"/>
  <c r="N1116"/>
  <c r="N1120" s="1"/>
  <c r="H1109"/>
  <c r="U1109" s="1"/>
  <c r="U1107"/>
  <c r="P1107"/>
  <c r="P1109" s="1"/>
  <c r="Q1102"/>
  <c r="N1105"/>
  <c r="N1109" s="1"/>
  <c r="I1071"/>
  <c r="V1068"/>
  <c r="U1335"/>
  <c r="P1335"/>
  <c r="H1361"/>
  <c r="H1359" s="1"/>
  <c r="U1334"/>
  <c r="P1334"/>
  <c r="H1333"/>
  <c r="T1297"/>
  <c r="O1297"/>
  <c r="T1296"/>
  <c r="O1296"/>
  <c r="G1295"/>
  <c r="G1293" s="1"/>
  <c r="T1294"/>
  <c r="O1294"/>
  <c r="V1049"/>
  <c r="T1062"/>
  <c r="O1062"/>
  <c r="I1062"/>
  <c r="G1061"/>
  <c r="S1058"/>
  <c r="N1058"/>
  <c r="J1056"/>
  <c r="S1057"/>
  <c r="N1057"/>
  <c r="F1056"/>
  <c r="N1036"/>
  <c r="N1040" s="1"/>
  <c r="Q1000"/>
  <c r="N998"/>
  <c r="N1002" s="1"/>
  <c r="Q995"/>
  <c r="Q998" s="1"/>
  <c r="Q951"/>
  <c r="N949"/>
  <c r="N953" s="1"/>
  <c r="Q946"/>
  <c r="V920"/>
  <c r="I919"/>
  <c r="V919" s="1"/>
  <c r="V902"/>
  <c r="I900"/>
  <c r="V900" s="1"/>
  <c r="V897"/>
  <c r="N889"/>
  <c r="N893" s="1"/>
  <c r="Q886"/>
  <c r="Q889" s="1"/>
  <c r="V880"/>
  <c r="I878"/>
  <c r="V878" s="1"/>
  <c r="V875"/>
  <c r="Q842"/>
  <c r="M1062"/>
  <c r="K1061"/>
  <c r="T1038"/>
  <c r="O1038"/>
  <c r="F1028"/>
  <c r="S1028" s="1"/>
  <c r="S1024"/>
  <c r="U1006"/>
  <c r="P1006"/>
  <c r="U960"/>
  <c r="P960"/>
  <c r="T928"/>
  <c r="O928"/>
  <c r="J926"/>
  <c r="J930" s="1"/>
  <c r="M923"/>
  <c r="M926" s="1"/>
  <c r="M930" s="1"/>
  <c r="F926"/>
  <c r="I923"/>
  <c r="S923"/>
  <c r="N923"/>
  <c r="G893"/>
  <c r="T893" s="1"/>
  <c r="T891"/>
  <c r="O891"/>
  <c r="O893" s="1"/>
  <c r="I889"/>
  <c r="V889" s="1"/>
  <c r="V886"/>
  <c r="H882"/>
  <c r="U880"/>
  <c r="P880"/>
  <c r="P882" s="1"/>
  <c r="Q875"/>
  <c r="N878"/>
  <c r="V842"/>
  <c r="F1052"/>
  <c r="S1040"/>
  <c r="G954"/>
  <c r="T942"/>
  <c r="T882"/>
  <c r="H811"/>
  <c r="U811" s="1"/>
  <c r="U809"/>
  <c r="P809"/>
  <c r="P811" s="1"/>
  <c r="N807"/>
  <c r="N811" s="1"/>
  <c r="Q804"/>
  <c r="G800"/>
  <c r="T800" s="1"/>
  <c r="T798"/>
  <c r="O798"/>
  <c r="O800" s="1"/>
  <c r="H767"/>
  <c r="U765"/>
  <c r="P765"/>
  <c r="P767" s="1"/>
  <c r="N763"/>
  <c r="N767" s="1"/>
  <c r="Q760"/>
  <c r="Q727"/>
  <c r="I718"/>
  <c r="V718" s="1"/>
  <c r="V716"/>
  <c r="N702"/>
  <c r="N706" s="1"/>
  <c r="Q699"/>
  <c r="Q678"/>
  <c r="N676"/>
  <c r="N680" s="1"/>
  <c r="Q673"/>
  <c r="Q634"/>
  <c r="N632"/>
  <c r="N636" s="1"/>
  <c r="Q629"/>
  <c r="T963"/>
  <c r="O963"/>
  <c r="Q963" s="1"/>
  <c r="G912"/>
  <c r="T909"/>
  <c r="I840"/>
  <c r="V840" s="1"/>
  <c r="V837"/>
  <c r="M854"/>
  <c r="U854"/>
  <c r="P854"/>
  <c r="F905"/>
  <c r="S882"/>
  <c r="Q815"/>
  <c r="N818"/>
  <c r="N822" s="1"/>
  <c r="Q793"/>
  <c r="N796"/>
  <c r="N800" s="1"/>
  <c r="I785"/>
  <c r="V785" s="1"/>
  <c r="V782"/>
  <c r="I763"/>
  <c r="V763" s="1"/>
  <c r="V760"/>
  <c r="Q748"/>
  <c r="N751"/>
  <c r="N755" s="1"/>
  <c r="U736"/>
  <c r="P736"/>
  <c r="I733"/>
  <c r="V733" s="1"/>
  <c r="S733"/>
  <c r="N733"/>
  <c r="V656"/>
  <c r="I654"/>
  <c r="V651"/>
  <c r="Q645"/>
  <c r="Q640"/>
  <c r="N643"/>
  <c r="N647" s="1"/>
  <c r="U963"/>
  <c r="P963"/>
  <c r="T854"/>
  <c r="I854"/>
  <c r="I849"/>
  <c r="F852"/>
  <c r="S849"/>
  <c r="N849"/>
  <c r="I621"/>
  <c r="V618"/>
  <c r="U611"/>
  <c r="P611"/>
  <c r="Q611" s="1"/>
  <c r="N609"/>
  <c r="N613" s="1"/>
  <c r="Q606"/>
  <c r="Q609" s="1"/>
  <c r="N572"/>
  <c r="Q569"/>
  <c r="Q572" s="1"/>
  <c r="N550"/>
  <c r="Q547"/>
  <c r="Q550" s="1"/>
  <c r="N512"/>
  <c r="Q509"/>
  <c r="Q503"/>
  <c r="Q454"/>
  <c r="V406"/>
  <c r="V324"/>
  <c r="N310"/>
  <c r="N314" s="1"/>
  <c r="Q307"/>
  <c r="V275"/>
  <c r="V253"/>
  <c r="G292"/>
  <c r="T232"/>
  <c r="Q215"/>
  <c r="T690"/>
  <c r="O690"/>
  <c r="M685"/>
  <c r="M688" s="1"/>
  <c r="M692" s="1"/>
  <c r="J688"/>
  <c r="J692" s="1"/>
  <c r="H688"/>
  <c r="U688" s="1"/>
  <c r="U625"/>
  <c r="I609"/>
  <c r="V606"/>
  <c r="V585"/>
  <c r="I583"/>
  <c r="V580"/>
  <c r="Q574"/>
  <c r="N576"/>
  <c r="Q558"/>
  <c r="N561"/>
  <c r="N565" s="1"/>
  <c r="Q552"/>
  <c r="N554"/>
  <c r="Q535"/>
  <c r="N538"/>
  <c r="N542" s="1"/>
  <c r="Q514"/>
  <c r="N516"/>
  <c r="Q498"/>
  <c r="N501"/>
  <c r="N505" s="1"/>
  <c r="Q492"/>
  <c r="Q475"/>
  <c r="N478"/>
  <c r="N482" s="1"/>
  <c r="M462"/>
  <c r="J461"/>
  <c r="T460"/>
  <c r="O460"/>
  <c r="Q460" s="1"/>
  <c r="Q449"/>
  <c r="N452"/>
  <c r="N456" s="1"/>
  <c r="V443"/>
  <c r="I441"/>
  <c r="V441" s="1"/>
  <c r="V438"/>
  <c r="V417"/>
  <c r="I392"/>
  <c r="V389"/>
  <c r="M381"/>
  <c r="M380" s="1"/>
  <c r="K380"/>
  <c r="K382" s="1"/>
  <c r="U376"/>
  <c r="P376"/>
  <c r="Q376" s="1"/>
  <c r="H375"/>
  <c r="S374"/>
  <c r="N374"/>
  <c r="N378" s="1"/>
  <c r="N382" s="1"/>
  <c r="Q368"/>
  <c r="Q352"/>
  <c r="N355"/>
  <c r="Q335"/>
  <c r="I310"/>
  <c r="V307"/>
  <c r="Q299"/>
  <c r="Q298" s="1"/>
  <c r="N298"/>
  <c r="M294"/>
  <c r="J293"/>
  <c r="V286"/>
  <c r="I284"/>
  <c r="V284" s="1"/>
  <c r="V281"/>
  <c r="Q270"/>
  <c r="N273"/>
  <c r="N277" s="1"/>
  <c r="V264"/>
  <c r="I262"/>
  <c r="V262" s="1"/>
  <c r="V259"/>
  <c r="Q248"/>
  <c r="N251"/>
  <c r="V242"/>
  <c r="I241"/>
  <c r="Q237"/>
  <c r="N236"/>
  <c r="N239" s="1"/>
  <c r="N243" s="1"/>
  <c r="V233"/>
  <c r="I232"/>
  <c r="V232" s="1"/>
  <c r="U224"/>
  <c r="P224"/>
  <c r="Q204"/>
  <c r="Q188"/>
  <c r="N191"/>
  <c r="N195" s="1"/>
  <c r="U739"/>
  <c r="U690"/>
  <c r="S554"/>
  <c r="S494"/>
  <c r="U326"/>
  <c r="U195"/>
  <c r="S179"/>
  <c r="F183"/>
  <c r="S183" s="1"/>
  <c r="I167"/>
  <c r="V168"/>
  <c r="Q144"/>
  <c r="V133"/>
  <c r="I131"/>
  <c r="V131" s="1"/>
  <c r="V128"/>
  <c r="T93"/>
  <c r="O93"/>
  <c r="T92"/>
  <c r="O92"/>
  <c r="G91"/>
  <c r="N79"/>
  <c r="N82" s="1"/>
  <c r="N86" s="1"/>
  <c r="Q80"/>
  <c r="N60"/>
  <c r="N64" s="1"/>
  <c r="Q57"/>
  <c r="G41"/>
  <c r="T41" s="1"/>
  <c r="V31"/>
  <c r="I30"/>
  <c r="M592"/>
  <c r="M595" s="1"/>
  <c r="J595"/>
  <c r="J599" s="1"/>
  <c r="G595"/>
  <c r="T595" s="1"/>
  <c r="T592"/>
  <c r="O592"/>
  <c r="O595" s="1"/>
  <c r="U526"/>
  <c r="P526"/>
  <c r="H524"/>
  <c r="U524" s="1"/>
  <c r="U521"/>
  <c r="P521"/>
  <c r="P524" s="1"/>
  <c r="F524"/>
  <c r="S521"/>
  <c r="N521"/>
  <c r="I521"/>
  <c r="U380"/>
  <c r="V299"/>
  <c r="I298"/>
  <c r="K225"/>
  <c r="M222"/>
  <c r="M225" s="1"/>
  <c r="S1310"/>
  <c r="N1310"/>
  <c r="N1308" s="1"/>
  <c r="T1300"/>
  <c r="O1300"/>
  <c r="T554"/>
  <c r="G517"/>
  <c r="T494"/>
  <c r="S445"/>
  <c r="T326"/>
  <c r="G371"/>
  <c r="H289"/>
  <c r="G183"/>
  <c r="T183" s="1"/>
  <c r="T179"/>
  <c r="N167"/>
  <c r="N161"/>
  <c r="I161"/>
  <c r="V161" s="1"/>
  <c r="S161"/>
  <c r="H153"/>
  <c r="U150"/>
  <c r="P150"/>
  <c r="P153" s="1"/>
  <c r="P157" s="1"/>
  <c r="K135"/>
  <c r="M133"/>
  <c r="M135" s="1"/>
  <c r="K124"/>
  <c r="K158" s="1"/>
  <c r="M122"/>
  <c r="M124" s="1"/>
  <c r="P110"/>
  <c r="U110"/>
  <c r="Q105"/>
  <c r="Q108" s="1"/>
  <c r="N108"/>
  <c r="N112" s="1"/>
  <c r="U93"/>
  <c r="P93"/>
  <c r="M92"/>
  <c r="J91"/>
  <c r="I92"/>
  <c r="V92" s="1"/>
  <c r="S92"/>
  <c r="N92"/>
  <c r="F91"/>
  <c r="P90"/>
  <c r="U90"/>
  <c r="G87"/>
  <c r="T86"/>
  <c r="V73"/>
  <c r="I71"/>
  <c r="V71" s="1"/>
  <c r="V68"/>
  <c r="V62"/>
  <c r="I60"/>
  <c r="V60" s="1"/>
  <c r="V57"/>
  <c r="Q51"/>
  <c r="F41"/>
  <c r="S41" s="1"/>
  <c r="S37"/>
  <c r="O30"/>
  <c r="O37" s="1"/>
  <c r="O41" s="1"/>
  <c r="Q31"/>
  <c r="R25"/>
  <c r="O597"/>
  <c r="H595"/>
  <c r="U595" s="1"/>
  <c r="U592"/>
  <c r="P592"/>
  <c r="P595" s="1"/>
  <c r="J524"/>
  <c r="J528" s="1"/>
  <c r="H464"/>
  <c r="U464" s="1"/>
  <c r="U461"/>
  <c r="P461"/>
  <c r="P464" s="1"/>
  <c r="G415"/>
  <c r="T415" s="1"/>
  <c r="T412"/>
  <c r="O412"/>
  <c r="O415" s="1"/>
  <c r="T380"/>
  <c r="H296"/>
  <c r="U296" s="1"/>
  <c r="U293"/>
  <c r="P293"/>
  <c r="P296" s="1"/>
  <c r="G225"/>
  <c r="G229" s="1"/>
  <c r="T222"/>
  <c r="O222"/>
  <c r="O225" s="1"/>
  <c r="S124"/>
  <c r="T167"/>
  <c r="I162"/>
  <c r="F165"/>
  <c r="S162"/>
  <c r="N162"/>
  <c r="U96"/>
  <c r="P96"/>
  <c r="H87"/>
  <c r="U87" s="1"/>
  <c r="U86"/>
  <c r="M162"/>
  <c r="M165" s="1"/>
  <c r="M169" s="1"/>
  <c r="J165"/>
  <c r="J169" s="1"/>
  <c r="G165"/>
  <c r="T165" s="1"/>
  <c r="T162"/>
  <c r="O162"/>
  <c r="O165" s="1"/>
  <c r="O169" s="1"/>
  <c r="P1073"/>
  <c r="P1076" s="1"/>
  <c r="O1206"/>
  <c r="M1297"/>
  <c r="L1295"/>
  <c r="L1293" s="1"/>
  <c r="T1186"/>
  <c r="T1175"/>
  <c r="Q1158"/>
  <c r="Q1156"/>
  <c r="Q1104"/>
  <c r="Q1103"/>
  <c r="Q1101"/>
  <c r="O1073"/>
  <c r="O1076" s="1"/>
  <c r="Q1159"/>
  <c r="K1333"/>
  <c r="K1341" s="1"/>
  <c r="P1206"/>
  <c r="K1295"/>
  <c r="K1293" s="1"/>
  <c r="F1120"/>
  <c r="S1120" s="1"/>
  <c r="O1017"/>
  <c r="P968"/>
  <c r="P975" s="1"/>
  <c r="P979" s="1"/>
  <c r="Q928"/>
  <c r="P870"/>
  <c r="Q838"/>
  <c r="Q1026"/>
  <c r="Q1019"/>
  <c r="P1017"/>
  <c r="Q986"/>
  <c r="P987"/>
  <c r="P991" s="1"/>
  <c r="Q983"/>
  <c r="O968"/>
  <c r="P919"/>
  <c r="Q877"/>
  <c r="Q876"/>
  <c r="Q874"/>
  <c r="I868"/>
  <c r="V868" s="1"/>
  <c r="V1302"/>
  <c r="V1301"/>
  <c r="M964"/>
  <c r="L954"/>
  <c r="V1008"/>
  <c r="K1003"/>
  <c r="I963"/>
  <c r="K954"/>
  <c r="L905"/>
  <c r="T844"/>
  <c r="Q836"/>
  <c r="Q816"/>
  <c r="Q810"/>
  <c r="Q794"/>
  <c r="Q773"/>
  <c r="P774"/>
  <c r="P778" s="1"/>
  <c r="Q770"/>
  <c r="I765"/>
  <c r="O763"/>
  <c r="O767" s="1"/>
  <c r="Q728"/>
  <c r="Q724"/>
  <c r="Q717"/>
  <c r="O718"/>
  <c r="J730"/>
  <c r="Q713"/>
  <c r="Q710"/>
  <c r="Q698"/>
  <c r="Q697"/>
  <c r="Q696"/>
  <c r="Q664"/>
  <c r="Q661"/>
  <c r="Q641"/>
  <c r="J681"/>
  <c r="Q620"/>
  <c r="V987"/>
  <c r="Q957"/>
  <c r="V957"/>
  <c r="V910"/>
  <c r="Q910"/>
  <c r="Q851"/>
  <c r="Q848"/>
  <c r="F729"/>
  <c r="S729" s="1"/>
  <c r="L681"/>
  <c r="Q608"/>
  <c r="Q571"/>
  <c r="Q570"/>
  <c r="M561"/>
  <c r="Q549"/>
  <c r="Q548"/>
  <c r="Q511"/>
  <c r="Q510"/>
  <c r="Q508"/>
  <c r="O501"/>
  <c r="O471"/>
  <c r="O478" s="1"/>
  <c r="O482" s="1"/>
  <c r="O452"/>
  <c r="Q431"/>
  <c r="O404"/>
  <c r="O408" s="1"/>
  <c r="P392"/>
  <c r="P396" s="1"/>
  <c r="O344"/>
  <c r="O322"/>
  <c r="O326" s="1"/>
  <c r="Q309"/>
  <c r="Q308"/>
  <c r="O273"/>
  <c r="O251"/>
  <c r="O255" s="1"/>
  <c r="O213"/>
  <c r="O217" s="1"/>
  <c r="I725"/>
  <c r="V725" s="1"/>
  <c r="M740"/>
  <c r="V740" s="1"/>
  <c r="T740"/>
  <c r="I736"/>
  <c r="V736" s="1"/>
  <c r="Q686"/>
  <c r="V686"/>
  <c r="I798"/>
  <c r="J845"/>
  <c r="K730"/>
  <c r="U680"/>
  <c r="Q617"/>
  <c r="V607"/>
  <c r="O613"/>
  <c r="Q563"/>
  <c r="M565"/>
  <c r="Q560"/>
  <c r="Q559"/>
  <c r="Q557"/>
  <c r="Q537"/>
  <c r="Q536"/>
  <c r="V531"/>
  <c r="Q499"/>
  <c r="Q497"/>
  <c r="V493"/>
  <c r="Q450"/>
  <c r="Q448"/>
  <c r="P445"/>
  <c r="P433"/>
  <c r="Q422"/>
  <c r="Q403"/>
  <c r="V391"/>
  <c r="V390"/>
  <c r="O396"/>
  <c r="Q353"/>
  <c r="Q351"/>
  <c r="Q343"/>
  <c r="Q321"/>
  <c r="O303"/>
  <c r="O310" s="1"/>
  <c r="O314" s="1"/>
  <c r="P288"/>
  <c r="Q271"/>
  <c r="Q269"/>
  <c r="Q249"/>
  <c r="Q247"/>
  <c r="Q238"/>
  <c r="Q212"/>
  <c r="Q189"/>
  <c r="Q187"/>
  <c r="Q181"/>
  <c r="M598"/>
  <c r="V598" s="1"/>
  <c r="L588"/>
  <c r="F505"/>
  <c r="S505" s="1"/>
  <c r="L517"/>
  <c r="F408"/>
  <c r="S408" s="1"/>
  <c r="F277"/>
  <c r="S277" s="1"/>
  <c r="K289"/>
  <c r="Q242"/>
  <c r="Q241" s="1"/>
  <c r="G239"/>
  <c r="Q81"/>
  <c r="Q59"/>
  <c r="Q58"/>
  <c r="V36"/>
  <c r="P598"/>
  <c r="Q598" s="1"/>
  <c r="Q523"/>
  <c r="I460"/>
  <c r="V460" s="1"/>
  <c r="I404"/>
  <c r="V404" s="1"/>
  <c r="Q413"/>
  <c r="I273"/>
  <c r="V273" s="1"/>
  <c r="I213"/>
  <c r="I191"/>
  <c r="H222"/>
  <c r="I222" s="1"/>
  <c r="Q223"/>
  <c r="U587"/>
  <c r="L457"/>
  <c r="F378"/>
  <c r="T337"/>
  <c r="Q304"/>
  <c r="Q303" s="1"/>
  <c r="O157"/>
  <c r="O146"/>
  <c r="Q107"/>
  <c r="Q106"/>
  <c r="O79"/>
  <c r="O82" s="1"/>
  <c r="O86" s="1"/>
  <c r="P75"/>
  <c r="P64"/>
  <c r="Q52"/>
  <c r="R52" s="1"/>
  <c r="M49"/>
  <c r="Q45"/>
  <c r="R45" s="1"/>
  <c r="Q36"/>
  <c r="Q35"/>
  <c r="Q34"/>
  <c r="V32"/>
  <c r="Q593"/>
  <c r="V593"/>
  <c r="V527"/>
  <c r="V520"/>
  <c r="I452"/>
  <c r="Q411"/>
  <c r="V357"/>
  <c r="T381"/>
  <c r="I376"/>
  <c r="V376" s="1"/>
  <c r="I251"/>
  <c r="P300"/>
  <c r="Q221"/>
  <c r="K112"/>
  <c r="T112" s="1"/>
  <c r="T64"/>
  <c r="M39"/>
  <c r="V19"/>
  <c r="Q164"/>
  <c r="N37"/>
  <c r="N41" s="1"/>
  <c r="H26"/>
  <c r="U26" s="1"/>
  <c r="I26"/>
  <c r="V26" s="1"/>
  <c r="V1140"/>
  <c r="I1138"/>
  <c r="V1138" s="1"/>
  <c r="V1135"/>
  <c r="Q1129"/>
  <c r="N1127"/>
  <c r="N1131" s="1"/>
  <c r="Q1124"/>
  <c r="Q1127" s="1"/>
  <c r="V1118"/>
  <c r="I1116"/>
  <c r="V1116" s="1"/>
  <c r="V1113"/>
  <c r="V1107"/>
  <c r="I1105"/>
  <c r="V1105" s="1"/>
  <c r="V1102"/>
  <c r="N1094"/>
  <c r="N1098" s="1"/>
  <c r="Q1091"/>
  <c r="Q1094" s="1"/>
  <c r="V1085"/>
  <c r="I1083"/>
  <c r="V1083" s="1"/>
  <c r="V1080"/>
  <c r="V1074"/>
  <c r="I1073"/>
  <c r="N1071"/>
  <c r="N1076" s="1"/>
  <c r="Q1068"/>
  <c r="U1203"/>
  <c r="P1203"/>
  <c r="S1203"/>
  <c r="N1203"/>
  <c r="I1203"/>
  <c r="J1201"/>
  <c r="J1209" s="1"/>
  <c r="M1202"/>
  <c r="U1202"/>
  <c r="P1202"/>
  <c r="H1201"/>
  <c r="H1209" s="1"/>
  <c r="S1202"/>
  <c r="N1202"/>
  <c r="F1201"/>
  <c r="F1209" s="1"/>
  <c r="I1202"/>
  <c r="M1200"/>
  <c r="U1200"/>
  <c r="P1200"/>
  <c r="S1200"/>
  <c r="N1200"/>
  <c r="I1200"/>
  <c r="G1153"/>
  <c r="T1153" s="1"/>
  <c r="T1151"/>
  <c r="O1151"/>
  <c r="O1153" s="1"/>
  <c r="I1149"/>
  <c r="V1149" s="1"/>
  <c r="V1146"/>
  <c r="H1142"/>
  <c r="U1142" s="1"/>
  <c r="U1140"/>
  <c r="P1140"/>
  <c r="P1142" s="1"/>
  <c r="Q1135"/>
  <c r="N1138"/>
  <c r="N1142" s="1"/>
  <c r="Q1118"/>
  <c r="Q1107"/>
  <c r="G1098"/>
  <c r="T1098" s="1"/>
  <c r="T1096"/>
  <c r="O1096"/>
  <c r="O1098" s="1"/>
  <c r="I1094"/>
  <c r="V1094" s="1"/>
  <c r="V1091"/>
  <c r="H1087"/>
  <c r="U1087" s="1"/>
  <c r="U1085"/>
  <c r="P1085"/>
  <c r="P1087" s="1"/>
  <c r="Q1080"/>
  <c r="N1083"/>
  <c r="N1087" s="1"/>
  <c r="T1203"/>
  <c r="O1203"/>
  <c r="T1202"/>
  <c r="O1202"/>
  <c r="G1201"/>
  <c r="G1209" s="1"/>
  <c r="T1200"/>
  <c r="O1200"/>
  <c r="Q972"/>
  <c r="N968"/>
  <c r="N975" s="1"/>
  <c r="N979" s="1"/>
  <c r="Q969"/>
  <c r="I938"/>
  <c r="V935"/>
  <c r="N866"/>
  <c r="N870" s="1"/>
  <c r="Q863"/>
  <c r="U1049"/>
  <c r="P1049"/>
  <c r="N1047"/>
  <c r="N1051" s="1"/>
  <c r="U1062"/>
  <c r="P1062"/>
  <c r="H1061"/>
  <c r="Q1018"/>
  <c r="N1017"/>
  <c r="N1024" s="1"/>
  <c r="N1028" s="1"/>
  <c r="G1012"/>
  <c r="T1013"/>
  <c r="O1013"/>
  <c r="Q1013" s="1"/>
  <c r="I1013"/>
  <c r="V1013" s="1"/>
  <c r="U1009"/>
  <c r="P1009"/>
  <c r="Q1009" s="1"/>
  <c r="I1006"/>
  <c r="V1006" s="1"/>
  <c r="S1006"/>
  <c r="N1006"/>
  <c r="Q1006" s="1"/>
  <c r="V1000"/>
  <c r="I998"/>
  <c r="V998" s="1"/>
  <c r="V995"/>
  <c r="S991"/>
  <c r="F1003"/>
  <c r="Q989"/>
  <c r="Q984"/>
  <c r="N987"/>
  <c r="N991" s="1"/>
  <c r="V972"/>
  <c r="V969"/>
  <c r="I968"/>
  <c r="V968" s="1"/>
  <c r="I960"/>
  <c r="V960" s="1"/>
  <c r="S960"/>
  <c r="N960"/>
  <c r="V951"/>
  <c r="I949"/>
  <c r="V949" s="1"/>
  <c r="V946"/>
  <c r="S942"/>
  <c r="F954"/>
  <c r="Q940"/>
  <c r="Q935"/>
  <c r="N938"/>
  <c r="N942" s="1"/>
  <c r="G930"/>
  <c r="T930" s="1"/>
  <c r="T926"/>
  <c r="H926"/>
  <c r="U923"/>
  <c r="P923"/>
  <c r="Q920"/>
  <c r="N919"/>
  <c r="T915"/>
  <c r="O915"/>
  <c r="Q915" s="1"/>
  <c r="G914"/>
  <c r="H904"/>
  <c r="U904" s="1"/>
  <c r="U902"/>
  <c r="P902"/>
  <c r="P904" s="1"/>
  <c r="Q897"/>
  <c r="N900"/>
  <c r="N904" s="1"/>
  <c r="N882"/>
  <c r="T868"/>
  <c r="O868"/>
  <c r="Q868" s="1"/>
  <c r="I866"/>
  <c r="V863"/>
  <c r="M1300"/>
  <c r="J1299"/>
  <c r="I1300"/>
  <c r="S1300"/>
  <c r="N1300"/>
  <c r="F1299"/>
  <c r="S1299" s="1"/>
  <c r="G1003"/>
  <c r="T991"/>
  <c r="H833"/>
  <c r="U833" s="1"/>
  <c r="U831"/>
  <c r="P831"/>
  <c r="P833" s="1"/>
  <c r="N829"/>
  <c r="N833" s="1"/>
  <c r="Q826"/>
  <c r="G822"/>
  <c r="T822" s="1"/>
  <c r="T820"/>
  <c r="O820"/>
  <c r="Q809"/>
  <c r="H789"/>
  <c r="U789" s="1"/>
  <c r="U787"/>
  <c r="P787"/>
  <c r="P789" s="1"/>
  <c r="N785"/>
  <c r="N789" s="1"/>
  <c r="Q782"/>
  <c r="G778"/>
  <c r="T778" s="1"/>
  <c r="T776"/>
  <c r="O776"/>
  <c r="Q776" s="1"/>
  <c r="Q765"/>
  <c r="V727"/>
  <c r="Q716"/>
  <c r="Q656"/>
  <c r="N654"/>
  <c r="N658" s="1"/>
  <c r="Q651"/>
  <c r="U1012"/>
  <c r="P1012"/>
  <c r="M1007"/>
  <c r="M1010" s="1"/>
  <c r="M1014" s="1"/>
  <c r="J1010"/>
  <c r="J1014" s="1"/>
  <c r="G1010"/>
  <c r="T1010" s="1"/>
  <c r="T1007"/>
  <c r="O1007"/>
  <c r="O1010" s="1"/>
  <c r="M958"/>
  <c r="M961" s="1"/>
  <c r="J961"/>
  <c r="J965" s="1"/>
  <c r="G961"/>
  <c r="T961" s="1"/>
  <c r="T958"/>
  <c r="O958"/>
  <c r="O961" s="1"/>
  <c r="J912"/>
  <c r="J916" s="1"/>
  <c r="N840"/>
  <c r="N844" s="1"/>
  <c r="Q837"/>
  <c r="Q840" s="1"/>
  <c r="G852"/>
  <c r="T852" s="1"/>
  <c r="O849"/>
  <c r="O852" s="1"/>
  <c r="U991"/>
  <c r="H1003"/>
  <c r="U942"/>
  <c r="H954"/>
  <c r="I829"/>
  <c r="V829" s="1"/>
  <c r="V826"/>
  <c r="I807"/>
  <c r="V807" s="1"/>
  <c r="V804"/>
  <c r="Q771"/>
  <c r="Q774" s="1"/>
  <c r="N774"/>
  <c r="N778" s="1"/>
  <c r="F755"/>
  <c r="S755" s="1"/>
  <c r="S751"/>
  <c r="U733"/>
  <c r="P733"/>
  <c r="Q722"/>
  <c r="N725"/>
  <c r="N729" s="1"/>
  <c r="U718"/>
  <c r="H730"/>
  <c r="Q711"/>
  <c r="N714"/>
  <c r="N718" s="1"/>
  <c r="I702"/>
  <c r="V699"/>
  <c r="V678"/>
  <c r="I676"/>
  <c r="V676" s="1"/>
  <c r="V673"/>
  <c r="Q667"/>
  <c r="Q662"/>
  <c r="Q665" s="1"/>
  <c r="N665"/>
  <c r="N669" s="1"/>
  <c r="V634"/>
  <c r="I632"/>
  <c r="V632" s="1"/>
  <c r="V629"/>
  <c r="F681"/>
  <c r="Q623"/>
  <c r="U914"/>
  <c r="P914"/>
  <c r="H912"/>
  <c r="U912" s="1"/>
  <c r="U909"/>
  <c r="P909"/>
  <c r="P912" s="1"/>
  <c r="S909"/>
  <c r="I909"/>
  <c r="J852"/>
  <c r="J856" s="1"/>
  <c r="H852"/>
  <c r="U849"/>
  <c r="G845"/>
  <c r="T767"/>
  <c r="Q585"/>
  <c r="N583"/>
  <c r="N587" s="1"/>
  <c r="Q580"/>
  <c r="Q583" s="1"/>
  <c r="I561"/>
  <c r="V558"/>
  <c r="I538"/>
  <c r="V535"/>
  <c r="N490"/>
  <c r="N494" s="1"/>
  <c r="Q487"/>
  <c r="Q490" s="1"/>
  <c r="V475"/>
  <c r="N441"/>
  <c r="N445" s="1"/>
  <c r="Q438"/>
  <c r="Q406"/>
  <c r="N392"/>
  <c r="N396" s="1"/>
  <c r="Q389"/>
  <c r="Q392" s="1"/>
  <c r="N366"/>
  <c r="N370" s="1"/>
  <c r="Q363"/>
  <c r="N359"/>
  <c r="Q357"/>
  <c r="N333"/>
  <c r="N337" s="1"/>
  <c r="Q330"/>
  <c r="Q324"/>
  <c r="N284"/>
  <c r="Q281"/>
  <c r="Q284" s="1"/>
  <c r="Q275"/>
  <c r="N262"/>
  <c r="N266" s="1"/>
  <c r="Q259"/>
  <c r="N255"/>
  <c r="Q253"/>
  <c r="N202"/>
  <c r="N206" s="1"/>
  <c r="Q199"/>
  <c r="Q193"/>
  <c r="N179"/>
  <c r="N183" s="1"/>
  <c r="Q176"/>
  <c r="Q179" s="1"/>
  <c r="Q183" s="1"/>
  <c r="R183" s="1"/>
  <c r="M739"/>
  <c r="T739"/>
  <c r="O739"/>
  <c r="M734"/>
  <c r="M737" s="1"/>
  <c r="G737"/>
  <c r="T737" s="1"/>
  <c r="T734"/>
  <c r="O734"/>
  <c r="O737" s="1"/>
  <c r="I685"/>
  <c r="F688"/>
  <c r="S685"/>
  <c r="N685"/>
  <c r="G730"/>
  <c r="T718"/>
  <c r="N621"/>
  <c r="N625" s="1"/>
  <c r="Q618"/>
  <c r="Q621" s="1"/>
  <c r="V574"/>
  <c r="I572"/>
  <c r="V572" s="1"/>
  <c r="V569"/>
  <c r="V552"/>
  <c r="I550"/>
  <c r="V550" s="1"/>
  <c r="V547"/>
  <c r="V514"/>
  <c r="I512"/>
  <c r="V512" s="1"/>
  <c r="V509"/>
  <c r="V492"/>
  <c r="I490"/>
  <c r="V490" s="1"/>
  <c r="V487"/>
  <c r="V472"/>
  <c r="I471"/>
  <c r="V471" s="1"/>
  <c r="G466"/>
  <c r="T467"/>
  <c r="O467"/>
  <c r="Q467" s="1"/>
  <c r="I463"/>
  <c r="V463" s="1"/>
  <c r="S463"/>
  <c r="N463"/>
  <c r="Q463" s="1"/>
  <c r="I462"/>
  <c r="V462" s="1"/>
  <c r="S462"/>
  <c r="N462"/>
  <c r="Q462" s="1"/>
  <c r="F461"/>
  <c r="Q443"/>
  <c r="F433"/>
  <c r="S433" s="1"/>
  <c r="S429"/>
  <c r="Q426"/>
  <c r="Q429" s="1"/>
  <c r="N429"/>
  <c r="N433" s="1"/>
  <c r="Q401"/>
  <c r="N404"/>
  <c r="N408" s="1"/>
  <c r="U377"/>
  <c r="P377"/>
  <c r="Q377" s="1"/>
  <c r="U374"/>
  <c r="P374"/>
  <c r="V368"/>
  <c r="I366"/>
  <c r="V366" s="1"/>
  <c r="V363"/>
  <c r="V347"/>
  <c r="I346"/>
  <c r="Q341"/>
  <c r="N344"/>
  <c r="N348" s="1"/>
  <c r="V335"/>
  <c r="I333"/>
  <c r="V333" s="1"/>
  <c r="V330"/>
  <c r="Q319"/>
  <c r="N322"/>
  <c r="N326" s="1"/>
  <c r="G374"/>
  <c r="G378" s="1"/>
  <c r="T378" s="1"/>
  <c r="T303"/>
  <c r="I295"/>
  <c r="V295" s="1"/>
  <c r="S295"/>
  <c r="N295"/>
  <c r="Q295" s="1"/>
  <c r="I294"/>
  <c r="V294" s="1"/>
  <c r="S294"/>
  <c r="N294"/>
  <c r="Q294" s="1"/>
  <c r="F293"/>
  <c r="Q286"/>
  <c r="N288"/>
  <c r="K227"/>
  <c r="T227" s="1"/>
  <c r="M228"/>
  <c r="V228" s="1"/>
  <c r="S224"/>
  <c r="N224"/>
  <c r="Q224" s="1"/>
  <c r="I224"/>
  <c r="V224" s="1"/>
  <c r="Q210"/>
  <c r="N213"/>
  <c r="N217" s="1"/>
  <c r="V204"/>
  <c r="I202"/>
  <c r="V202" s="1"/>
  <c r="V199"/>
  <c r="G218"/>
  <c r="T195"/>
  <c r="V176"/>
  <c r="G688"/>
  <c r="T688" s="1"/>
  <c r="T685"/>
  <c r="O685"/>
  <c r="O688" s="1"/>
  <c r="U554"/>
  <c r="H588"/>
  <c r="U494"/>
  <c r="G457"/>
  <c r="T445"/>
  <c r="T255"/>
  <c r="G289"/>
  <c r="U179"/>
  <c r="H183"/>
  <c r="U183" s="1"/>
  <c r="V156"/>
  <c r="I155"/>
  <c r="V150"/>
  <c r="I153"/>
  <c r="V153" s="1"/>
  <c r="V144"/>
  <c r="I142"/>
  <c r="V142" s="1"/>
  <c r="V139"/>
  <c r="V122"/>
  <c r="I120"/>
  <c r="V120" s="1"/>
  <c r="V117"/>
  <c r="I108"/>
  <c r="V105"/>
  <c r="N71"/>
  <c r="N75" s="1"/>
  <c r="Q68"/>
  <c r="N49"/>
  <c r="N53" s="1"/>
  <c r="Q46"/>
  <c r="H599"/>
  <c r="U597"/>
  <c r="P597"/>
  <c r="P599" s="1"/>
  <c r="G464"/>
  <c r="T464" s="1"/>
  <c r="T461"/>
  <c r="O461"/>
  <c r="U417"/>
  <c r="P417"/>
  <c r="H415"/>
  <c r="U415" s="1"/>
  <c r="U412"/>
  <c r="P412"/>
  <c r="P415" s="1"/>
  <c r="F415"/>
  <c r="S412"/>
  <c r="N412"/>
  <c r="I412"/>
  <c r="T298"/>
  <c r="G296"/>
  <c r="T296" s="1"/>
  <c r="T293"/>
  <c r="O293"/>
  <c r="U227"/>
  <c r="P227"/>
  <c r="U445"/>
  <c r="V173"/>
  <c r="I172"/>
  <c r="U168"/>
  <c r="P168"/>
  <c r="P167" s="1"/>
  <c r="H167"/>
  <c r="P161"/>
  <c r="U161"/>
  <c r="N153"/>
  <c r="N157" s="1"/>
  <c r="Q150"/>
  <c r="Q153" s="1"/>
  <c r="Q139"/>
  <c r="Q142" s="1"/>
  <c r="N142"/>
  <c r="N146" s="1"/>
  <c r="H135"/>
  <c r="U135" s="1"/>
  <c r="P133"/>
  <c r="P135" s="1"/>
  <c r="U133"/>
  <c r="Q128"/>
  <c r="Q131" s="1"/>
  <c r="N131"/>
  <c r="N135" s="1"/>
  <c r="T124"/>
  <c r="H124"/>
  <c r="P122"/>
  <c r="P124" s="1"/>
  <c r="U122"/>
  <c r="Q117"/>
  <c r="Q120" s="1"/>
  <c r="N120"/>
  <c r="N124" s="1"/>
  <c r="G96"/>
  <c r="T97"/>
  <c r="O97"/>
  <c r="Q97" s="1"/>
  <c r="U92"/>
  <c r="P92"/>
  <c r="H91"/>
  <c r="N90"/>
  <c r="S90"/>
  <c r="V85"/>
  <c r="I84"/>
  <c r="V80"/>
  <c r="I79"/>
  <c r="Q73"/>
  <c r="Q62"/>
  <c r="V51"/>
  <c r="I49"/>
  <c r="V46"/>
  <c r="H41"/>
  <c r="U41" s="1"/>
  <c r="U37"/>
  <c r="I592"/>
  <c r="F595"/>
  <c r="S592"/>
  <c r="N592"/>
  <c r="M526"/>
  <c r="T526"/>
  <c r="O526"/>
  <c r="Q526" s="1"/>
  <c r="G524"/>
  <c r="T521"/>
  <c r="U466"/>
  <c r="P466"/>
  <c r="G419"/>
  <c r="T419" s="1"/>
  <c r="T417"/>
  <c r="O417"/>
  <c r="O419" s="1"/>
  <c r="J415"/>
  <c r="J419" s="1"/>
  <c r="M412"/>
  <c r="M415" s="1"/>
  <c r="M419" s="1"/>
  <c r="I380"/>
  <c r="T375"/>
  <c r="O375"/>
  <c r="H300"/>
  <c r="U300" s="1"/>
  <c r="U298"/>
  <c r="V236"/>
  <c r="O227"/>
  <c r="I227"/>
  <c r="U1300"/>
  <c r="P1300"/>
  <c r="H165"/>
  <c r="U165" s="1"/>
  <c r="U162"/>
  <c r="P162"/>
  <c r="F87"/>
  <c r="S87" s="1"/>
  <c r="M1203"/>
  <c r="L1201"/>
  <c r="L1204" s="1"/>
  <c r="T1243"/>
  <c r="T1197"/>
  <c r="Q1137"/>
  <c r="Q1136"/>
  <c r="Q1134"/>
  <c r="I1129"/>
  <c r="Q1115"/>
  <c r="Q1114"/>
  <c r="P1116"/>
  <c r="Q1082"/>
  <c r="Q1081"/>
  <c r="Q1079"/>
  <c r="M1073"/>
  <c r="M1076" s="1"/>
  <c r="U1206"/>
  <c r="K1201"/>
  <c r="K1204" s="1"/>
  <c r="Q1074"/>
  <c r="O987"/>
  <c r="O991" s="1"/>
  <c r="Q973"/>
  <c r="Q971"/>
  <c r="Q970"/>
  <c r="O938"/>
  <c r="O942" s="1"/>
  <c r="V924"/>
  <c r="O919"/>
  <c r="O926" s="1"/>
  <c r="Q864"/>
  <c r="Q859"/>
  <c r="I1038"/>
  <c r="Q1020"/>
  <c r="Q985"/>
  <c r="O975"/>
  <c r="O979" s="1"/>
  <c r="Q937"/>
  <c r="Q936"/>
  <c r="Q934"/>
  <c r="Q922"/>
  <c r="Q921"/>
  <c r="Q899"/>
  <c r="Q898"/>
  <c r="Q896"/>
  <c r="I891"/>
  <c r="V865"/>
  <c r="V864"/>
  <c r="G1076"/>
  <c r="T1076" s="1"/>
  <c r="V1303"/>
  <c r="F1014"/>
  <c r="S1014" s="1"/>
  <c r="L1003"/>
  <c r="M963"/>
  <c r="K905"/>
  <c r="H844"/>
  <c r="U844" s="1"/>
  <c r="Q828"/>
  <c r="Q827"/>
  <c r="Q825"/>
  <c r="O818"/>
  <c r="Q784"/>
  <c r="Q783"/>
  <c r="Q781"/>
  <c r="O774"/>
  <c r="V749"/>
  <c r="O751"/>
  <c r="O755" s="1"/>
  <c r="O725"/>
  <c r="O729" s="1"/>
  <c r="V717"/>
  <c r="Q701"/>
  <c r="P702"/>
  <c r="P706" s="1"/>
  <c r="Q695"/>
  <c r="O665"/>
  <c r="O669" s="1"/>
  <c r="Q653"/>
  <c r="Q652"/>
  <c r="Q650"/>
  <c r="V964"/>
  <c r="I831"/>
  <c r="Q817"/>
  <c r="Q814"/>
  <c r="I809"/>
  <c r="Q795"/>
  <c r="Q792"/>
  <c r="Q772"/>
  <c r="Q766"/>
  <c r="Q753"/>
  <c r="Q750"/>
  <c r="Q749"/>
  <c r="P755"/>
  <c r="Q744"/>
  <c r="Q723"/>
  <c r="Q721"/>
  <c r="Q712"/>
  <c r="V701"/>
  <c r="V700"/>
  <c r="O706"/>
  <c r="Q663"/>
  <c r="Q642"/>
  <c r="Q639"/>
  <c r="H1007"/>
  <c r="P964"/>
  <c r="Q964" s="1"/>
  <c r="H958"/>
  <c r="Q959"/>
  <c r="V959"/>
  <c r="Q911"/>
  <c r="V855"/>
  <c r="Q850"/>
  <c r="F741"/>
  <c r="S741" s="1"/>
  <c r="T621"/>
  <c r="O348"/>
  <c r="O236"/>
  <c r="O232"/>
  <c r="Q228"/>
  <c r="Q177"/>
  <c r="O740"/>
  <c r="Q740" s="1"/>
  <c r="V687"/>
  <c r="V684"/>
  <c r="L845"/>
  <c r="I690"/>
  <c r="Q619"/>
  <c r="Q612"/>
  <c r="I611"/>
  <c r="V611" s="1"/>
  <c r="V608"/>
  <c r="Q605"/>
  <c r="Q604"/>
  <c r="Q603"/>
  <c r="P576"/>
  <c r="V557"/>
  <c r="P554"/>
  <c r="Q531"/>
  <c r="P516"/>
  <c r="O505"/>
  <c r="Q500"/>
  <c r="P494"/>
  <c r="V489"/>
  <c r="V488"/>
  <c r="Q477"/>
  <c r="P478"/>
  <c r="P482" s="1"/>
  <c r="O456"/>
  <c r="Q451"/>
  <c r="Q428"/>
  <c r="Q427"/>
  <c r="V422"/>
  <c r="Q402"/>
  <c r="Q400"/>
  <c r="Q394"/>
  <c r="P370"/>
  <c r="O359"/>
  <c r="Q354"/>
  <c r="Q342"/>
  <c r="Q340"/>
  <c r="P337"/>
  <c r="Q320"/>
  <c r="Q318"/>
  <c r="Q312"/>
  <c r="O277"/>
  <c r="Q272"/>
  <c r="P266"/>
  <c r="Q250"/>
  <c r="P236"/>
  <c r="P239" s="1"/>
  <c r="P243" s="1"/>
  <c r="Q211"/>
  <c r="Q209"/>
  <c r="P206"/>
  <c r="O195"/>
  <c r="Q190"/>
  <c r="V818"/>
  <c r="V796"/>
  <c r="I751"/>
  <c r="H734"/>
  <c r="I734" s="1"/>
  <c r="V669"/>
  <c r="V665"/>
  <c r="V647"/>
  <c r="V643"/>
  <c r="M597"/>
  <c r="M599" s="1"/>
  <c r="Q472"/>
  <c r="Q471" s="1"/>
  <c r="F359"/>
  <c r="S359" s="1"/>
  <c r="F348"/>
  <c r="S348" s="1"/>
  <c r="L371"/>
  <c r="F326"/>
  <c r="Q264"/>
  <c r="Q233"/>
  <c r="F217"/>
  <c r="S217" s="1"/>
  <c r="L218"/>
  <c r="F195"/>
  <c r="P172"/>
  <c r="P179" s="1"/>
  <c r="P183" s="1"/>
  <c r="K91"/>
  <c r="K94" s="1"/>
  <c r="K98" s="1"/>
  <c r="P79"/>
  <c r="P82" s="1"/>
  <c r="P86" s="1"/>
  <c r="M53"/>
  <c r="P30"/>
  <c r="P37" s="1"/>
  <c r="P41" s="1"/>
  <c r="N591"/>
  <c r="Q591" s="1"/>
  <c r="I501"/>
  <c r="Q522"/>
  <c r="Q414"/>
  <c r="I355"/>
  <c r="I344"/>
  <c r="V344" s="1"/>
  <c r="I322"/>
  <c r="V322" s="1"/>
  <c r="V223"/>
  <c r="F1308"/>
  <c r="I597"/>
  <c r="K588"/>
  <c r="K517"/>
  <c r="M517" s="1"/>
  <c r="F456"/>
  <c r="S456" s="1"/>
  <c r="T408"/>
  <c r="Q347"/>
  <c r="Q346" s="1"/>
  <c r="T348"/>
  <c r="G310"/>
  <c r="L289"/>
  <c r="F255"/>
  <c r="K218"/>
  <c r="M146"/>
  <c r="Q141"/>
  <c r="Q140"/>
  <c r="O135"/>
  <c r="Q130"/>
  <c r="Q129"/>
  <c r="O124"/>
  <c r="Q119"/>
  <c r="Q118"/>
  <c r="P112"/>
  <c r="M93"/>
  <c r="L91"/>
  <c r="L94" s="1"/>
  <c r="L98" s="1"/>
  <c r="Q78"/>
  <c r="R78" s="1"/>
  <c r="Q67"/>
  <c r="R67" s="1"/>
  <c r="Q56"/>
  <c r="R56" s="1"/>
  <c r="P53"/>
  <c r="V48"/>
  <c r="V47"/>
  <c r="O49"/>
  <c r="O53" s="1"/>
  <c r="M30"/>
  <c r="M37" s="1"/>
  <c r="M41" s="1"/>
  <c r="H613"/>
  <c r="U613" s="1"/>
  <c r="Q594"/>
  <c r="V503"/>
  <c r="Q520"/>
  <c r="O381"/>
  <c r="V215"/>
  <c r="V193"/>
  <c r="T228"/>
  <c r="O172"/>
  <c r="O179" s="1"/>
  <c r="O183" s="1"/>
  <c r="V221"/>
  <c r="L158"/>
  <c r="Q85"/>
  <c r="Q163"/>
  <c r="H112"/>
  <c r="U112" s="1"/>
  <c r="N93"/>
  <c r="Q93" s="1"/>
  <c r="I93"/>
  <c r="T90"/>
  <c r="Q156"/>
  <c r="G157"/>
  <c r="T157" s="1"/>
  <c r="K87"/>
  <c r="F26"/>
  <c r="S26" s="1"/>
  <c r="M1446" i="8"/>
  <c r="U1701"/>
  <c r="N1710"/>
  <c r="Q1711"/>
  <c r="N1706"/>
  <c r="Q1707"/>
  <c r="Q1779"/>
  <c r="N1781"/>
  <c r="N1778" s="1"/>
  <c r="S1781"/>
  <c r="F1778"/>
  <c r="S1778" s="1"/>
  <c r="U1775"/>
  <c r="P1775"/>
  <c r="S1760"/>
  <c r="F1753"/>
  <c r="S1753" s="1"/>
  <c r="Q1754"/>
  <c r="Q1750"/>
  <c r="N1749"/>
  <c r="I1744"/>
  <c r="V1742"/>
  <c r="G1830"/>
  <c r="T1721"/>
  <c r="O1721"/>
  <c r="Q1721" s="1"/>
  <c r="Q1830" s="1"/>
  <c r="V1711"/>
  <c r="I1710"/>
  <c r="V1710" s="1"/>
  <c r="V1707"/>
  <c r="I1706"/>
  <c r="I1693"/>
  <c r="V1693" s="1"/>
  <c r="V1694"/>
  <c r="I1691"/>
  <c r="V1691" s="1"/>
  <c r="V1688"/>
  <c r="S1775"/>
  <c r="N1775"/>
  <c r="V1638"/>
  <c r="I1635"/>
  <c r="T1741"/>
  <c r="G1740"/>
  <c r="S1716"/>
  <c r="N1716"/>
  <c r="I1716"/>
  <c r="V1716" s="1"/>
  <c r="T1772"/>
  <c r="O1772"/>
  <c r="U1771"/>
  <c r="P1771"/>
  <c r="I1768"/>
  <c r="V1768" s="1"/>
  <c r="S1768"/>
  <c r="N1768"/>
  <c r="Q1768" s="1"/>
  <c r="K1843"/>
  <c r="K1766"/>
  <c r="G1769"/>
  <c r="T1767"/>
  <c r="O1767"/>
  <c r="O1769" s="1"/>
  <c r="T1764"/>
  <c r="O1764"/>
  <c r="G1763"/>
  <c r="U1716"/>
  <c r="P1716"/>
  <c r="U1715"/>
  <c r="P1715"/>
  <c r="P1714" s="1"/>
  <c r="H1714"/>
  <c r="F1714"/>
  <c r="I1715"/>
  <c r="V1664"/>
  <c r="I1663"/>
  <c r="V1663" s="1"/>
  <c r="G1669"/>
  <c r="T1661"/>
  <c r="O1661"/>
  <c r="V1659"/>
  <c r="I1661"/>
  <c r="F1656"/>
  <c r="Q1638"/>
  <c r="V1606"/>
  <c r="I1605"/>
  <c r="I1601"/>
  <c r="V1599"/>
  <c r="F1596"/>
  <c r="S1586"/>
  <c r="N1586"/>
  <c r="Q1586" s="1"/>
  <c r="V1576"/>
  <c r="I1575"/>
  <c r="V1575" s="1"/>
  <c r="I1571"/>
  <c r="V1569"/>
  <c r="F1566"/>
  <c r="S1556"/>
  <c r="N1556"/>
  <c r="Q1556" s="1"/>
  <c r="S1741"/>
  <c r="F1740"/>
  <c r="U1772"/>
  <c r="P1772"/>
  <c r="I1772"/>
  <c r="V1772" s="1"/>
  <c r="S1772"/>
  <c r="N1772"/>
  <c r="T1771"/>
  <c r="O1771"/>
  <c r="L1843"/>
  <c r="L1766"/>
  <c r="M1767"/>
  <c r="M1769" s="1"/>
  <c r="J1769"/>
  <c r="H1769"/>
  <c r="U1767"/>
  <c r="P1767"/>
  <c r="P1769" s="1"/>
  <c r="I1767"/>
  <c r="F1769"/>
  <c r="S1767"/>
  <c r="N1767"/>
  <c r="U1677"/>
  <c r="P1677"/>
  <c r="H1676"/>
  <c r="F1676"/>
  <c r="I1677"/>
  <c r="T1716"/>
  <c r="O1716"/>
  <c r="G1714"/>
  <c r="V1531"/>
  <c r="I1530"/>
  <c r="V1530" s="1"/>
  <c r="I1526"/>
  <c r="V1524"/>
  <c r="V1486"/>
  <c r="I1485"/>
  <c r="V1485" s="1"/>
  <c r="I1481"/>
  <c r="V1479"/>
  <c r="V1454"/>
  <c r="I1453"/>
  <c r="V1453" s="1"/>
  <c r="I1451"/>
  <c r="V1449"/>
  <c r="N1626"/>
  <c r="N1797" s="1"/>
  <c r="Q1445"/>
  <c r="Q1626" s="1"/>
  <c r="Q1797" s="1"/>
  <c r="Q1848" s="1"/>
  <c r="H1446"/>
  <c r="U1435"/>
  <c r="P1435"/>
  <c r="S1669"/>
  <c r="N1669"/>
  <c r="P1643"/>
  <c r="U1643"/>
  <c r="P1611"/>
  <c r="U1611"/>
  <c r="O1596"/>
  <c r="T1596"/>
  <c r="N1581"/>
  <c r="S1581"/>
  <c r="T1619"/>
  <c r="O1619"/>
  <c r="G1618"/>
  <c r="U1625"/>
  <c r="P1625"/>
  <c r="I1625"/>
  <c r="S1625"/>
  <c r="N1625"/>
  <c r="U1624"/>
  <c r="P1624"/>
  <c r="I1624"/>
  <c r="S1624"/>
  <c r="N1624"/>
  <c r="M1621"/>
  <c r="J1620"/>
  <c r="U1621"/>
  <c r="P1621"/>
  <c r="H1620"/>
  <c r="I1621"/>
  <c r="S1621"/>
  <c r="N1621"/>
  <c r="F1620"/>
  <c r="I1619"/>
  <c r="S1619"/>
  <c r="N1619"/>
  <c r="F1618"/>
  <c r="T1615"/>
  <c r="O1615"/>
  <c r="M1614"/>
  <c r="M1616" s="1"/>
  <c r="J1616"/>
  <c r="H1616"/>
  <c r="U1614"/>
  <c r="P1614"/>
  <c r="I1614"/>
  <c r="F1616"/>
  <c r="S1614"/>
  <c r="N1614"/>
  <c r="V1544"/>
  <c r="I1543"/>
  <c r="V1543" s="1"/>
  <c r="V1516"/>
  <c r="I1515"/>
  <c r="V1515" s="1"/>
  <c r="I1511"/>
  <c r="V1509"/>
  <c r="V1499"/>
  <c r="I1498"/>
  <c r="V1498" s="1"/>
  <c r="V1471"/>
  <c r="I1470"/>
  <c r="V1470" s="1"/>
  <c r="I1466"/>
  <c r="V1464"/>
  <c r="I1626"/>
  <c r="V1445"/>
  <c r="V1393"/>
  <c r="V1377"/>
  <c r="V1341"/>
  <c r="I1340"/>
  <c r="V1340" s="1"/>
  <c r="U1596"/>
  <c r="P1596"/>
  <c r="U1566"/>
  <c r="P1566"/>
  <c r="G1848"/>
  <c r="T1797"/>
  <c r="T1796"/>
  <c r="O1796"/>
  <c r="G1847"/>
  <c r="T1795"/>
  <c r="O1795"/>
  <c r="G1844"/>
  <c r="G1793"/>
  <c r="T1791"/>
  <c r="O1791"/>
  <c r="O1793" s="1"/>
  <c r="M1788"/>
  <c r="M1787" s="1"/>
  <c r="J1787"/>
  <c r="U1788"/>
  <c r="P1788"/>
  <c r="H1787"/>
  <c r="U1725"/>
  <c r="P1725"/>
  <c r="T1724"/>
  <c r="O1724"/>
  <c r="G1723"/>
  <c r="V1312"/>
  <c r="I1311"/>
  <c r="G1317"/>
  <c r="T1307"/>
  <c r="O1307"/>
  <c r="V1247"/>
  <c r="I1246"/>
  <c r="V1246" s="1"/>
  <c r="V1245"/>
  <c r="I1244"/>
  <c r="V1244" s="1"/>
  <c r="F1172"/>
  <c r="S1162"/>
  <c r="N1162"/>
  <c r="N1551"/>
  <c r="S1551"/>
  <c r="P1521"/>
  <c r="U1521"/>
  <c r="T1506"/>
  <c r="O1506"/>
  <c r="S1491"/>
  <c r="N1491"/>
  <c r="P1461"/>
  <c r="T1421"/>
  <c r="O1421"/>
  <c r="T1348"/>
  <c r="O1348"/>
  <c r="G1364"/>
  <c r="T1358"/>
  <c r="O1358"/>
  <c r="T1354"/>
  <c r="O1354"/>
  <c r="F1317"/>
  <c r="S1307"/>
  <c r="N1307"/>
  <c r="T1294"/>
  <c r="O1294"/>
  <c r="G1293"/>
  <c r="I1294"/>
  <c r="G1289"/>
  <c r="T1287"/>
  <c r="O1287"/>
  <c r="I1287"/>
  <c r="F1283"/>
  <c r="S1273"/>
  <c r="N1273"/>
  <c r="Q1273" s="1"/>
  <c r="V1272"/>
  <c r="I1273"/>
  <c r="V1263"/>
  <c r="I1262"/>
  <c r="I1258"/>
  <c r="V1256"/>
  <c r="F1252"/>
  <c r="S1242"/>
  <c r="N1242"/>
  <c r="V1207"/>
  <c r="I1208"/>
  <c r="V1198"/>
  <c r="I1197"/>
  <c r="V1197" s="1"/>
  <c r="I1193"/>
  <c r="V1191"/>
  <c r="F1188"/>
  <c r="S1178"/>
  <c r="N1178"/>
  <c r="Q1178" s="1"/>
  <c r="V1177"/>
  <c r="I1178"/>
  <c r="V1165"/>
  <c r="I1164"/>
  <c r="V1164" s="1"/>
  <c r="M1162"/>
  <c r="V1161"/>
  <c r="V1158"/>
  <c r="I1157"/>
  <c r="V1133"/>
  <c r="I1132"/>
  <c r="V1132" s="1"/>
  <c r="I1128"/>
  <c r="V1126"/>
  <c r="V1101"/>
  <c r="I1100"/>
  <c r="V1100" s="1"/>
  <c r="T1551"/>
  <c r="O1551"/>
  <c r="S1536"/>
  <c r="N1536"/>
  <c r="P1506"/>
  <c r="U1506"/>
  <c r="O1491"/>
  <c r="T1491"/>
  <c r="N1476"/>
  <c r="Q1466"/>
  <c r="U1423"/>
  <c r="V1422"/>
  <c r="I1421"/>
  <c r="V1421" s="1"/>
  <c r="P1348"/>
  <c r="U1348"/>
  <c r="G1349"/>
  <c r="O1333"/>
  <c r="T1333"/>
  <c r="H1364"/>
  <c r="U1358"/>
  <c r="P1358"/>
  <c r="V1359"/>
  <c r="I1358"/>
  <c r="S1356"/>
  <c r="N1356"/>
  <c r="U1354"/>
  <c r="P1354"/>
  <c r="I1354"/>
  <c r="V1354" s="1"/>
  <c r="V1352"/>
  <c r="I1098"/>
  <c r="V1096"/>
  <c r="V1073"/>
  <c r="I1072"/>
  <c r="I1068"/>
  <c r="V1066"/>
  <c r="V1041"/>
  <c r="I1040"/>
  <c r="V1040" s="1"/>
  <c r="I1038"/>
  <c r="V1036"/>
  <c r="V1010"/>
  <c r="I1009"/>
  <c r="V1009" s="1"/>
  <c r="H952"/>
  <c r="U942"/>
  <c r="P942"/>
  <c r="G827"/>
  <c r="T817"/>
  <c r="O817"/>
  <c r="V727"/>
  <c r="I726"/>
  <c r="V726" s="1"/>
  <c r="V718"/>
  <c r="I717"/>
  <c r="V717" s="1"/>
  <c r="V663"/>
  <c r="I662"/>
  <c r="F652"/>
  <c r="S642"/>
  <c r="N642"/>
  <c r="O1283"/>
  <c r="T1283"/>
  <c r="T1252"/>
  <c r="S1289"/>
  <c r="N1289"/>
  <c r="V622"/>
  <c r="U305"/>
  <c r="P305"/>
  <c r="Q1814"/>
  <c r="O1760"/>
  <c r="V1756"/>
  <c r="V1755"/>
  <c r="M1749"/>
  <c r="M1741" s="1"/>
  <c r="M1740" s="1"/>
  <c r="V1747"/>
  <c r="P1744"/>
  <c r="P1745" s="1"/>
  <c r="Q1712"/>
  <c r="Q1708"/>
  <c r="V1699"/>
  <c r="V1697"/>
  <c r="Q1665"/>
  <c r="Q1784"/>
  <c r="J1774"/>
  <c r="P1760"/>
  <c r="Q1751"/>
  <c r="O1744"/>
  <c r="V1725"/>
  <c r="M1695"/>
  <c r="M1701" s="1"/>
  <c r="Q1693"/>
  <c r="S1691"/>
  <c r="P1691"/>
  <c r="P1701" s="1"/>
  <c r="Q1845"/>
  <c r="Q1839"/>
  <c r="Q1837"/>
  <c r="Q1780"/>
  <c r="T1701"/>
  <c r="Q1689"/>
  <c r="Q1664"/>
  <c r="R1664" s="1"/>
  <c r="Q1663"/>
  <c r="Q1652"/>
  <c r="O1637"/>
  <c r="Q1606"/>
  <c r="Q1605"/>
  <c r="Q1604"/>
  <c r="Q1603"/>
  <c r="Q1580"/>
  <c r="Q1579"/>
  <c r="Q1569"/>
  <c r="J1740"/>
  <c r="S1718"/>
  <c r="M1771"/>
  <c r="Q1680"/>
  <c r="K1762"/>
  <c r="M1720"/>
  <c r="M1718" s="1"/>
  <c r="Q1642"/>
  <c r="R1642" s="1"/>
  <c r="Q1594"/>
  <c r="Q1589"/>
  <c r="Q1588"/>
  <c r="Q1584"/>
  <c r="Q1564"/>
  <c r="Q1559"/>
  <c r="Q1558"/>
  <c r="I1753"/>
  <c r="M1772"/>
  <c r="Q1550"/>
  <c r="Q1549"/>
  <c r="Q1539"/>
  <c r="Q1520"/>
  <c r="Q1519"/>
  <c r="Q1509"/>
  <c r="Q1505"/>
  <c r="Q1504"/>
  <c r="Q1494"/>
  <c r="Q1475"/>
  <c r="Q1474"/>
  <c r="Q1464"/>
  <c r="Q1450"/>
  <c r="Q1444"/>
  <c r="Q1443"/>
  <c r="Q1440"/>
  <c r="Q1439"/>
  <c r="Q1438"/>
  <c r="V1434"/>
  <c r="Q1433"/>
  <c r="Q1381"/>
  <c r="Q1380"/>
  <c r="Q1347"/>
  <c r="Q1346"/>
  <c r="Q1336"/>
  <c r="Q1661"/>
  <c r="Q1571"/>
  <c r="M1625"/>
  <c r="M1624"/>
  <c r="Q1622"/>
  <c r="V1622"/>
  <c r="L1620"/>
  <c r="L1627" s="1"/>
  <c r="L1616"/>
  <c r="I1615"/>
  <c r="Q1531"/>
  <c r="Q1530"/>
  <c r="Q1529"/>
  <c r="Q1528"/>
  <c r="Q1486"/>
  <c r="Q1485"/>
  <c r="Q1484"/>
  <c r="Q1483"/>
  <c r="Q1456"/>
  <c r="Q1455"/>
  <c r="Q1454"/>
  <c r="Q1453"/>
  <c r="Q1449"/>
  <c r="V1441"/>
  <c r="Q1411"/>
  <c r="Q1406"/>
  <c r="Q1405"/>
  <c r="V1397"/>
  <c r="V1396"/>
  <c r="Q1332"/>
  <c r="Q1331"/>
  <c r="Q1326"/>
  <c r="Q1325"/>
  <c r="I1586"/>
  <c r="I1556"/>
  <c r="K1847"/>
  <c r="K1844"/>
  <c r="K1790"/>
  <c r="K1723"/>
  <c r="M1311"/>
  <c r="Q1263"/>
  <c r="Q1262"/>
  <c r="Q1261"/>
  <c r="Q1260"/>
  <c r="M1252"/>
  <c r="Q1198"/>
  <c r="Q1197"/>
  <c r="Q1196"/>
  <c r="Q1195"/>
  <c r="Q1171"/>
  <c r="Q1170"/>
  <c r="Q1167"/>
  <c r="Q1166"/>
  <c r="Q1165"/>
  <c r="Q1164"/>
  <c r="Q1160"/>
  <c r="Q1159"/>
  <c r="Q1158"/>
  <c r="Q1157"/>
  <c r="Q1133"/>
  <c r="Q1132"/>
  <c r="Q1131"/>
  <c r="Q1130"/>
  <c r="Q1126"/>
  <c r="Q1103"/>
  <c r="Q1102"/>
  <c r="Q1101"/>
  <c r="Q1100"/>
  <c r="Q1541"/>
  <c r="Q1481"/>
  <c r="I1439"/>
  <c r="V1439" s="1"/>
  <c r="Q1311"/>
  <c r="Q1310"/>
  <c r="Q1309"/>
  <c r="Q1305"/>
  <c r="Q1303"/>
  <c r="Q1302"/>
  <c r="Q1281"/>
  <c r="Q1276"/>
  <c r="Q1275"/>
  <c r="Q1271"/>
  <c r="Q1257"/>
  <c r="Q1251"/>
  <c r="Q1250"/>
  <c r="Q1247"/>
  <c r="Q1246"/>
  <c r="Q1245"/>
  <c r="Q1244"/>
  <c r="Q1240"/>
  <c r="Q1239"/>
  <c r="Q1238"/>
  <c r="Q1237"/>
  <c r="Q1217"/>
  <c r="Q1213"/>
  <c r="Q1212"/>
  <c r="Q1206"/>
  <c r="Q1192"/>
  <c r="Q1186"/>
  <c r="Q1181"/>
  <c r="Q1180"/>
  <c r="Q1176"/>
  <c r="M1166"/>
  <c r="Q1118"/>
  <c r="Q1117"/>
  <c r="Q1526"/>
  <c r="Q1428"/>
  <c r="V1427"/>
  <c r="Q1422"/>
  <c r="Q1362"/>
  <c r="J1364"/>
  <c r="Q1359"/>
  <c r="K1289"/>
  <c r="Q1092"/>
  <c r="Q1091"/>
  <c r="Q1081"/>
  <c r="Q1062"/>
  <c r="Q1061"/>
  <c r="Q1032"/>
  <c r="Q1031"/>
  <c r="Q1021"/>
  <c r="V1015"/>
  <c r="V1013"/>
  <c r="Q917"/>
  <c r="Q916"/>
  <c r="Q883"/>
  <c r="Q882"/>
  <c r="Q881"/>
  <c r="Q880"/>
  <c r="Q857"/>
  <c r="Q856"/>
  <c r="Q846"/>
  <c r="Q842"/>
  <c r="Q841"/>
  <c r="Q831"/>
  <c r="Q777"/>
  <c r="Q776"/>
  <c r="Q766"/>
  <c r="Q743"/>
  <c r="Q742"/>
  <c r="Q741"/>
  <c r="Q740"/>
  <c r="Q682"/>
  <c r="Q681"/>
  <c r="Q671"/>
  <c r="M658"/>
  <c r="Q647"/>
  <c r="Q646"/>
  <c r="Q645"/>
  <c r="Q644"/>
  <c r="Q640"/>
  <c r="Q639"/>
  <c r="Q638"/>
  <c r="Q637"/>
  <c r="M1294"/>
  <c r="M1293" s="1"/>
  <c r="Q1287"/>
  <c r="Q1082"/>
  <c r="Q832"/>
  <c r="M295"/>
  <c r="M185"/>
  <c r="V1750"/>
  <c r="I1749"/>
  <c r="N1744"/>
  <c r="N1741" s="1"/>
  <c r="Q1742"/>
  <c r="Q1744" s="1"/>
  <c r="Q1695"/>
  <c r="U1781"/>
  <c r="H1778"/>
  <c r="U1778" s="1"/>
  <c r="I1781"/>
  <c r="V1779"/>
  <c r="Q1758"/>
  <c r="N1760"/>
  <c r="N1753" s="1"/>
  <c r="T1720"/>
  <c r="O1720"/>
  <c r="O1718" s="1"/>
  <c r="G1718"/>
  <c r="V1696"/>
  <c r="I1695"/>
  <c r="Q1688"/>
  <c r="N1691"/>
  <c r="N1701" s="1"/>
  <c r="V1666"/>
  <c r="I1665"/>
  <c r="V1665" s="1"/>
  <c r="T1781"/>
  <c r="G1778"/>
  <c r="V1776"/>
  <c r="I1775"/>
  <c r="I1650"/>
  <c r="I1648"/>
  <c r="G1643"/>
  <c r="V1719"/>
  <c r="I1718"/>
  <c r="N1718"/>
  <c r="Q1719"/>
  <c r="S1673"/>
  <c r="N1673"/>
  <c r="I1673"/>
  <c r="V1673" s="1"/>
  <c r="T1683"/>
  <c r="O1683"/>
  <c r="U1682"/>
  <c r="P1682"/>
  <c r="T1679"/>
  <c r="O1679"/>
  <c r="G1678"/>
  <c r="T1677"/>
  <c r="O1677"/>
  <c r="G1676"/>
  <c r="U1673"/>
  <c r="P1673"/>
  <c r="H1674"/>
  <c r="U1672"/>
  <c r="P1672"/>
  <c r="F1674"/>
  <c r="I1672"/>
  <c r="V1653"/>
  <c r="I1652"/>
  <c r="V1652" s="1"/>
  <c r="H1656"/>
  <c r="U1648"/>
  <c r="P1648"/>
  <c r="I1633"/>
  <c r="V1604"/>
  <c r="I1603"/>
  <c r="V1603" s="1"/>
  <c r="V1574"/>
  <c r="I1573"/>
  <c r="V1573" s="1"/>
  <c r="U1741"/>
  <c r="H1740"/>
  <c r="U1683"/>
  <c r="P1683"/>
  <c r="S1683"/>
  <c r="N1683"/>
  <c r="I1683"/>
  <c r="V1683" s="1"/>
  <c r="T1682"/>
  <c r="O1682"/>
  <c r="J1678"/>
  <c r="M1679"/>
  <c r="U1679"/>
  <c r="P1679"/>
  <c r="H1678"/>
  <c r="S1679"/>
  <c r="N1679"/>
  <c r="I1679"/>
  <c r="U1764"/>
  <c r="P1764"/>
  <c r="H1763"/>
  <c r="I1764"/>
  <c r="F1763"/>
  <c r="T1673"/>
  <c r="O1673"/>
  <c r="G1674"/>
  <c r="V1529"/>
  <c r="I1528"/>
  <c r="V1528" s="1"/>
  <c r="V1484"/>
  <c r="I1483"/>
  <c r="V1483" s="1"/>
  <c r="V1456"/>
  <c r="I1455"/>
  <c r="V1455" s="1"/>
  <c r="V1438"/>
  <c r="I1437"/>
  <c r="V1437" s="1"/>
  <c r="F1446"/>
  <c r="S1435"/>
  <c r="N1435"/>
  <c r="S1372"/>
  <c r="N1372"/>
  <c r="V1328"/>
  <c r="I1327"/>
  <c r="V1327" s="1"/>
  <c r="U1669"/>
  <c r="P1669"/>
  <c r="N1611"/>
  <c r="S1611"/>
  <c r="U1581"/>
  <c r="O1566"/>
  <c r="T1566"/>
  <c r="T1788"/>
  <c r="O1788"/>
  <c r="G1787"/>
  <c r="H1848"/>
  <c r="U1797"/>
  <c r="F1848"/>
  <c r="S1797"/>
  <c r="M1796"/>
  <c r="M1847" s="1"/>
  <c r="J1847"/>
  <c r="U1796"/>
  <c r="P1796"/>
  <c r="H1847"/>
  <c r="I1796"/>
  <c r="S1796"/>
  <c r="N1796"/>
  <c r="Q1796" s="1"/>
  <c r="F1847"/>
  <c r="M1795"/>
  <c r="J1844"/>
  <c r="U1795"/>
  <c r="P1795"/>
  <c r="H1844"/>
  <c r="I1795"/>
  <c r="S1795"/>
  <c r="N1795"/>
  <c r="Q1795" s="1"/>
  <c r="I1792"/>
  <c r="V1792" s="1"/>
  <c r="S1792"/>
  <c r="N1792"/>
  <c r="Q1792" s="1"/>
  <c r="M1791"/>
  <c r="M1793" s="1"/>
  <c r="J1793"/>
  <c r="J1790" s="1"/>
  <c r="H1793"/>
  <c r="U1791"/>
  <c r="P1791"/>
  <c r="P1793" s="1"/>
  <c r="I1791"/>
  <c r="F1793"/>
  <c r="S1791"/>
  <c r="N1791"/>
  <c r="I1788"/>
  <c r="S1788"/>
  <c r="N1788"/>
  <c r="F1787"/>
  <c r="T1725"/>
  <c r="O1725"/>
  <c r="Q1725" s="1"/>
  <c r="J1723"/>
  <c r="M1724"/>
  <c r="M1723" s="1"/>
  <c r="U1724"/>
  <c r="P1724"/>
  <c r="P1723" s="1"/>
  <c r="H1723"/>
  <c r="S1724"/>
  <c r="N1724"/>
  <c r="F1723"/>
  <c r="I1724"/>
  <c r="V1546"/>
  <c r="I1545"/>
  <c r="V1545" s="1"/>
  <c r="I1541"/>
  <c r="V1539"/>
  <c r="V1514"/>
  <c r="I1513"/>
  <c r="V1513" s="1"/>
  <c r="V1501"/>
  <c r="I1500"/>
  <c r="I1496"/>
  <c r="V1494"/>
  <c r="V1469"/>
  <c r="I1468"/>
  <c r="V1468" s="1"/>
  <c r="G1446"/>
  <c r="T1435"/>
  <c r="O1435"/>
  <c r="V1391"/>
  <c r="I1390"/>
  <c r="V1390" s="1"/>
  <c r="V1375"/>
  <c r="I1374"/>
  <c r="V1374" s="1"/>
  <c r="V1368"/>
  <c r="I1367"/>
  <c r="V1343"/>
  <c r="I1342"/>
  <c r="V1342" s="1"/>
  <c r="I1338"/>
  <c r="V1336"/>
  <c r="T1611"/>
  <c r="O1611"/>
  <c r="T1581"/>
  <c r="O1581"/>
  <c r="T1625"/>
  <c r="O1625"/>
  <c r="T1624"/>
  <c r="O1624"/>
  <c r="T1621"/>
  <c r="O1621"/>
  <c r="G1620"/>
  <c r="M1619"/>
  <c r="M1618" s="1"/>
  <c r="J1618"/>
  <c r="U1619"/>
  <c r="P1619"/>
  <c r="H1618"/>
  <c r="H1627" s="1"/>
  <c r="U1615"/>
  <c r="P1615"/>
  <c r="G1616"/>
  <c r="T1614"/>
  <c r="O1614"/>
  <c r="H1333"/>
  <c r="U1323"/>
  <c r="P1323"/>
  <c r="Q1323" s="1"/>
  <c r="V1310"/>
  <c r="I1309"/>
  <c r="V1309" s="1"/>
  <c r="V1238"/>
  <c r="I1237"/>
  <c r="V1237" s="1"/>
  <c r="H1172"/>
  <c r="U1162"/>
  <c r="P1162"/>
  <c r="V1118"/>
  <c r="I1117"/>
  <c r="P1551"/>
  <c r="U1551"/>
  <c r="O1536"/>
  <c r="T1536"/>
  <c r="N1521"/>
  <c r="S1521"/>
  <c r="U1491"/>
  <c r="P1491"/>
  <c r="S1461"/>
  <c r="N1461"/>
  <c r="T1423"/>
  <c r="S1333"/>
  <c r="F1349"/>
  <c r="N1333"/>
  <c r="T1356"/>
  <c r="O1356"/>
  <c r="I1323"/>
  <c r="V1321"/>
  <c r="H1317"/>
  <c r="U1307"/>
  <c r="P1307"/>
  <c r="I1307"/>
  <c r="V1306"/>
  <c r="T1298"/>
  <c r="O1298"/>
  <c r="I1298"/>
  <c r="V1298" s="1"/>
  <c r="T1297"/>
  <c r="O1297"/>
  <c r="Q1297" s="1"/>
  <c r="I1297"/>
  <c r="V1297" s="1"/>
  <c r="T1292"/>
  <c r="O1292"/>
  <c r="G1291"/>
  <c r="I1292"/>
  <c r="T1288"/>
  <c r="O1288"/>
  <c r="Q1288" s="1"/>
  <c r="I1288"/>
  <c r="V1288" s="1"/>
  <c r="V1261"/>
  <c r="I1260"/>
  <c r="V1260" s="1"/>
  <c r="H1252"/>
  <c r="U1242"/>
  <c r="P1242"/>
  <c r="I1242"/>
  <c r="V1241"/>
  <c r="T1223"/>
  <c r="O1223"/>
  <c r="Q1223" s="1"/>
  <c r="G1224"/>
  <c r="G1234" s="1"/>
  <c r="F1218"/>
  <c r="S1208"/>
  <c r="N1208"/>
  <c r="Q1208" s="1"/>
  <c r="V1196"/>
  <c r="I1195"/>
  <c r="V1195" s="1"/>
  <c r="V1167"/>
  <c r="I1166"/>
  <c r="G1172"/>
  <c r="T1162"/>
  <c r="O1162"/>
  <c r="V1131"/>
  <c r="I1130"/>
  <c r="V1130" s="1"/>
  <c r="F1123"/>
  <c r="S1113"/>
  <c r="N1113"/>
  <c r="Q1113" s="1"/>
  <c r="V1112"/>
  <c r="I1113"/>
  <c r="V1103"/>
  <c r="I1102"/>
  <c r="U1536"/>
  <c r="T1521"/>
  <c r="O1521"/>
  <c r="N1506"/>
  <c r="Q1506" s="1"/>
  <c r="R1506" s="1"/>
  <c r="S1506"/>
  <c r="O1461"/>
  <c r="T1461"/>
  <c r="V1424"/>
  <c r="U1421"/>
  <c r="P1421"/>
  <c r="S1421"/>
  <c r="N1421"/>
  <c r="Q1421" s="1"/>
  <c r="N1348"/>
  <c r="S1348"/>
  <c r="F1364"/>
  <c r="S1358"/>
  <c r="N1358"/>
  <c r="Q1358" s="1"/>
  <c r="U1356"/>
  <c r="P1356"/>
  <c r="V1357"/>
  <c r="I1356"/>
  <c r="V1356" s="1"/>
  <c r="S1354"/>
  <c r="N1354"/>
  <c r="Q1354" s="1"/>
  <c r="V1071"/>
  <c r="I1070"/>
  <c r="V1070" s="1"/>
  <c r="V1043"/>
  <c r="I1042"/>
  <c r="V1042" s="1"/>
  <c r="V1012"/>
  <c r="I1011"/>
  <c r="G1017"/>
  <c r="T1007"/>
  <c r="O1007"/>
  <c r="F952"/>
  <c r="S942"/>
  <c r="N942"/>
  <c r="V901"/>
  <c r="I897"/>
  <c r="V897" s="1"/>
  <c r="V896"/>
  <c r="I895"/>
  <c r="V895" s="1"/>
  <c r="V813"/>
  <c r="I812"/>
  <c r="V812" s="1"/>
  <c r="I753"/>
  <c r="V751"/>
  <c r="V725"/>
  <c r="I724"/>
  <c r="V724" s="1"/>
  <c r="V661"/>
  <c r="I660"/>
  <c r="V660" s="1"/>
  <c r="I658"/>
  <c r="V656"/>
  <c r="H652"/>
  <c r="U642"/>
  <c r="P642"/>
  <c r="T1268"/>
  <c r="G1284"/>
  <c r="O1268"/>
  <c r="U1289"/>
  <c r="P1289"/>
  <c r="T989"/>
  <c r="O989"/>
  <c r="V804"/>
  <c r="I799"/>
  <c r="V797"/>
  <c r="U126"/>
  <c r="P126"/>
  <c r="O1753"/>
  <c r="O1749"/>
  <c r="P1710"/>
  <c r="P1706"/>
  <c r="P1781"/>
  <c r="P1778" s="1"/>
  <c r="P1753"/>
  <c r="P1749"/>
  <c r="O1745"/>
  <c r="V1721"/>
  <c r="O1710"/>
  <c r="O1706"/>
  <c r="O1701"/>
  <c r="U1691"/>
  <c r="Q1846"/>
  <c r="Q1840"/>
  <c r="Q1836"/>
  <c r="Q1783"/>
  <c r="Q1776"/>
  <c r="M1637"/>
  <c r="M1682"/>
  <c r="V1680"/>
  <c r="K1678"/>
  <c r="P1637"/>
  <c r="Q1615"/>
  <c r="Q1590"/>
  <c r="Q1565"/>
  <c r="Q1561"/>
  <c r="Q1554"/>
  <c r="P1718"/>
  <c r="M1683"/>
  <c r="L1678"/>
  <c r="L1684" s="1"/>
  <c r="L1762"/>
  <c r="M1461"/>
  <c r="K1786"/>
  <c r="L1844"/>
  <c r="L1790"/>
  <c r="L1786" s="1"/>
  <c r="L1723"/>
  <c r="Q1535"/>
  <c r="Q1534"/>
  <c r="Q1490"/>
  <c r="Q1489"/>
  <c r="Q1460"/>
  <c r="Q1412"/>
  <c r="Q1408"/>
  <c r="K1620"/>
  <c r="K1627" s="1"/>
  <c r="K1616"/>
  <c r="O1476"/>
  <c r="Q1316"/>
  <c r="Q1315"/>
  <c r="Q1312"/>
  <c r="Q1304"/>
  <c r="K1299"/>
  <c r="Q1282"/>
  <c r="Q1278"/>
  <c r="Q1211"/>
  <c r="Q1182"/>
  <c r="Q1122"/>
  <c r="Q1116"/>
  <c r="Q1111"/>
  <c r="P1476"/>
  <c r="I1435"/>
  <c r="V1428"/>
  <c r="Q1427"/>
  <c r="Q1424"/>
  <c r="Q1363"/>
  <c r="Q1360"/>
  <c r="M1011"/>
  <c r="M1017" s="1"/>
  <c r="M732"/>
  <c r="Q941"/>
  <c r="Q877"/>
  <c r="Q737"/>
  <c r="M265"/>
  <c r="U1218"/>
  <c r="P1218"/>
  <c r="H1219"/>
  <c r="U1188"/>
  <c r="P1188"/>
  <c r="T1226"/>
  <c r="O1226"/>
  <c r="I1224"/>
  <c r="V1222"/>
  <c r="P1138"/>
  <c r="U1138"/>
  <c r="O1123"/>
  <c r="T1123"/>
  <c r="G1154"/>
  <c r="T1148"/>
  <c r="O1148"/>
  <c r="T1144"/>
  <c r="O1144"/>
  <c r="V1088"/>
  <c r="I1087"/>
  <c r="V1087" s="1"/>
  <c r="I1083"/>
  <c r="V1081"/>
  <c r="V1056"/>
  <c r="I1055"/>
  <c r="V1055" s="1"/>
  <c r="V1026"/>
  <c r="I1025"/>
  <c r="V1025" s="1"/>
  <c r="H1017"/>
  <c r="U1007"/>
  <c r="P1007"/>
  <c r="I1007"/>
  <c r="V1006"/>
  <c r="V945"/>
  <c r="I944"/>
  <c r="V944" s="1"/>
  <c r="V938"/>
  <c r="I937"/>
  <c r="I933"/>
  <c r="V933" s="1"/>
  <c r="S933"/>
  <c r="N933"/>
  <c r="Q933" s="1"/>
  <c r="I932"/>
  <c r="V932" s="1"/>
  <c r="S932"/>
  <c r="N932"/>
  <c r="Q932" s="1"/>
  <c r="M929"/>
  <c r="M928" s="1"/>
  <c r="J928"/>
  <c r="M927"/>
  <c r="M926" s="1"/>
  <c r="J926"/>
  <c r="V913"/>
  <c r="I912"/>
  <c r="V912" s="1"/>
  <c r="I908"/>
  <c r="V906"/>
  <c r="F903"/>
  <c r="S893"/>
  <c r="N893"/>
  <c r="Q893" s="1"/>
  <c r="V881"/>
  <c r="I880"/>
  <c r="V880" s="1"/>
  <c r="F873"/>
  <c r="S863"/>
  <c r="N863"/>
  <c r="Q863" s="1"/>
  <c r="V851"/>
  <c r="I850"/>
  <c r="V850" s="1"/>
  <c r="V838"/>
  <c r="I837"/>
  <c r="V837" s="1"/>
  <c r="I833"/>
  <c r="V831"/>
  <c r="F827"/>
  <c r="S817"/>
  <c r="N817"/>
  <c r="T808"/>
  <c r="O808"/>
  <c r="T807"/>
  <c r="O807"/>
  <c r="Q807" s="1"/>
  <c r="T798"/>
  <c r="O798"/>
  <c r="Q798" s="1"/>
  <c r="V773"/>
  <c r="I772"/>
  <c r="V772" s="1"/>
  <c r="I768"/>
  <c r="V766"/>
  <c r="V741"/>
  <c r="I740"/>
  <c r="V740" s="1"/>
  <c r="H732"/>
  <c r="U722"/>
  <c r="P722"/>
  <c r="I722"/>
  <c r="V721"/>
  <c r="T709"/>
  <c r="O709"/>
  <c r="G708"/>
  <c r="T707"/>
  <c r="O707"/>
  <c r="Q707" s="1"/>
  <c r="G706"/>
  <c r="T703"/>
  <c r="O703"/>
  <c r="Q703" s="1"/>
  <c r="F698"/>
  <c r="F699" s="1"/>
  <c r="S688"/>
  <c r="N688"/>
  <c r="Q688" s="1"/>
  <c r="V678"/>
  <c r="I677"/>
  <c r="V677" s="1"/>
  <c r="I673"/>
  <c r="V671"/>
  <c r="V647"/>
  <c r="I646"/>
  <c r="V646" s="1"/>
  <c r="G652"/>
  <c r="T642"/>
  <c r="O642"/>
  <c r="H1284"/>
  <c r="P1268"/>
  <c r="U1268"/>
  <c r="U1291"/>
  <c r="P1291"/>
  <c r="S1291"/>
  <c r="N1291"/>
  <c r="P1203"/>
  <c r="U1203"/>
  <c r="O1188"/>
  <c r="G1219"/>
  <c r="T1188"/>
  <c r="H1234"/>
  <c r="U1228"/>
  <c r="P1228"/>
  <c r="F1234"/>
  <c r="S1228"/>
  <c r="N1228"/>
  <c r="V1227"/>
  <c r="I1226"/>
  <c r="V1226" s="1"/>
  <c r="U1123"/>
  <c r="P1123"/>
  <c r="F1154"/>
  <c r="S1148"/>
  <c r="N1148"/>
  <c r="U1146"/>
  <c r="P1146"/>
  <c r="V1147"/>
  <c r="I1146"/>
  <c r="V1146" s="1"/>
  <c r="S1144"/>
  <c r="N1144"/>
  <c r="F634"/>
  <c r="S628"/>
  <c r="N628"/>
  <c r="V582"/>
  <c r="I581"/>
  <c r="V580"/>
  <c r="I579"/>
  <c r="V579" s="1"/>
  <c r="H538"/>
  <c r="U528"/>
  <c r="P528"/>
  <c r="T516"/>
  <c r="O516"/>
  <c r="V463"/>
  <c r="I462"/>
  <c r="V462" s="1"/>
  <c r="V448"/>
  <c r="I447"/>
  <c r="V447" s="1"/>
  <c r="V417"/>
  <c r="I416"/>
  <c r="V416" s="1"/>
  <c r="V410"/>
  <c r="I409"/>
  <c r="V409" s="1"/>
  <c r="N1093"/>
  <c r="S1093"/>
  <c r="P1063"/>
  <c r="U1063"/>
  <c r="O1048"/>
  <c r="T1048"/>
  <c r="F1139"/>
  <c r="N1033"/>
  <c r="S1033"/>
  <c r="O968"/>
  <c r="G984"/>
  <c r="T968"/>
  <c r="T991"/>
  <c r="O991"/>
  <c r="V987"/>
  <c r="P918"/>
  <c r="U918"/>
  <c r="O903"/>
  <c r="T903"/>
  <c r="O873"/>
  <c r="T873"/>
  <c r="N858"/>
  <c r="S858"/>
  <c r="N843"/>
  <c r="S843"/>
  <c r="U926"/>
  <c r="P926"/>
  <c r="O793"/>
  <c r="T793"/>
  <c r="N778"/>
  <c r="S778"/>
  <c r="H794"/>
  <c r="P748"/>
  <c r="U748"/>
  <c r="U801"/>
  <c r="P801"/>
  <c r="S801"/>
  <c r="N801"/>
  <c r="T683"/>
  <c r="O683"/>
  <c r="S668"/>
  <c r="N668"/>
  <c r="V702"/>
  <c r="T627"/>
  <c r="O627"/>
  <c r="G626"/>
  <c r="T623"/>
  <c r="O623"/>
  <c r="I623"/>
  <c r="V623" s="1"/>
  <c r="V596"/>
  <c r="I595"/>
  <c r="V595" s="1"/>
  <c r="H587"/>
  <c r="U577"/>
  <c r="P577"/>
  <c r="V576"/>
  <c r="T558"/>
  <c r="O558"/>
  <c r="Q558" s="1"/>
  <c r="V543"/>
  <c r="V531"/>
  <c r="I530"/>
  <c r="V530" s="1"/>
  <c r="V524"/>
  <c r="I523"/>
  <c r="U513"/>
  <c r="P513"/>
  <c r="I508"/>
  <c r="V508" s="1"/>
  <c r="S508"/>
  <c r="N508"/>
  <c r="Q508" s="1"/>
  <c r="F503"/>
  <c r="F504" s="1"/>
  <c r="S491"/>
  <c r="N491"/>
  <c r="Q491" s="1"/>
  <c r="V481"/>
  <c r="I480"/>
  <c r="V480" s="1"/>
  <c r="I476"/>
  <c r="V474"/>
  <c r="S471"/>
  <c r="N471"/>
  <c r="V435"/>
  <c r="I434"/>
  <c r="V434" s="1"/>
  <c r="I430"/>
  <c r="V428"/>
  <c r="F424"/>
  <c r="S414"/>
  <c r="N414"/>
  <c r="V385"/>
  <c r="I384"/>
  <c r="I380"/>
  <c r="V378"/>
  <c r="T1093"/>
  <c r="O1093"/>
  <c r="S1078"/>
  <c r="N1078"/>
  <c r="U1048"/>
  <c r="P1048"/>
  <c r="G1139"/>
  <c r="T1033"/>
  <c r="O1033"/>
  <c r="H984"/>
  <c r="U968"/>
  <c r="P968"/>
  <c r="H999"/>
  <c r="U993"/>
  <c r="P993"/>
  <c r="F999"/>
  <c r="S993"/>
  <c r="N993"/>
  <c r="V992"/>
  <c r="I991"/>
  <c r="V991" s="1"/>
  <c r="U903"/>
  <c r="P903"/>
  <c r="N888"/>
  <c r="S888"/>
  <c r="T858"/>
  <c r="O858"/>
  <c r="G934"/>
  <c r="T928"/>
  <c r="O928"/>
  <c r="U924"/>
  <c r="P924"/>
  <c r="I924"/>
  <c r="V922"/>
  <c r="T778"/>
  <c r="O778"/>
  <c r="S763"/>
  <c r="N763"/>
  <c r="T732"/>
  <c r="U698"/>
  <c r="P698"/>
  <c r="N683"/>
  <c r="S683"/>
  <c r="H714"/>
  <c r="U708"/>
  <c r="F714"/>
  <c r="S708"/>
  <c r="N708"/>
  <c r="O668"/>
  <c r="G699"/>
  <c r="T668"/>
  <c r="L394"/>
  <c r="L396" s="1"/>
  <c r="L406" s="1"/>
  <c r="L319"/>
  <c r="L329" s="1"/>
  <c r="T310"/>
  <c r="O310"/>
  <c r="Q310" s="1"/>
  <c r="R310" s="1"/>
  <c r="V306"/>
  <c r="V304"/>
  <c r="I303"/>
  <c r="V303" s="1"/>
  <c r="S274"/>
  <c r="N274"/>
  <c r="U255"/>
  <c r="P255"/>
  <c r="H265"/>
  <c r="U239"/>
  <c r="P239"/>
  <c r="H249"/>
  <c r="U209"/>
  <c r="P209"/>
  <c r="N215"/>
  <c r="S215"/>
  <c r="I205"/>
  <c r="V203"/>
  <c r="S194"/>
  <c r="N194"/>
  <c r="V188"/>
  <c r="I190"/>
  <c r="I177"/>
  <c r="V177" s="1"/>
  <c r="V178"/>
  <c r="I175"/>
  <c r="V173"/>
  <c r="S148"/>
  <c r="N148"/>
  <c r="Q148" s="1"/>
  <c r="H219"/>
  <c r="P139"/>
  <c r="H144"/>
  <c r="U139"/>
  <c r="P135"/>
  <c r="U135"/>
  <c r="J130"/>
  <c r="M131"/>
  <c r="N131"/>
  <c r="F130"/>
  <c r="S131"/>
  <c r="I131"/>
  <c r="J128"/>
  <c r="M129"/>
  <c r="M128" s="1"/>
  <c r="S129"/>
  <c r="N129"/>
  <c r="F128"/>
  <c r="I129"/>
  <c r="I97"/>
  <c r="V97" s="1"/>
  <c r="V98"/>
  <c r="I95"/>
  <c r="V93"/>
  <c r="I67"/>
  <c r="V67" s="1"/>
  <c r="V68"/>
  <c r="I53"/>
  <c r="V54"/>
  <c r="I1731"/>
  <c r="V1731" s="1"/>
  <c r="V46"/>
  <c r="I1729"/>
  <c r="V44"/>
  <c r="I43"/>
  <c r="U618"/>
  <c r="P618"/>
  <c r="N603"/>
  <c r="S603"/>
  <c r="O587"/>
  <c r="T587"/>
  <c r="T563"/>
  <c r="O563"/>
  <c r="U559"/>
  <c r="P559"/>
  <c r="S559"/>
  <c r="N559"/>
  <c r="P486"/>
  <c r="U455"/>
  <c r="G504"/>
  <c r="T440"/>
  <c r="O440"/>
  <c r="T511"/>
  <c r="O511"/>
  <c r="P390"/>
  <c r="U390"/>
  <c r="V333"/>
  <c r="I335"/>
  <c r="F345"/>
  <c r="S335"/>
  <c r="N335"/>
  <c r="I323"/>
  <c r="V324"/>
  <c r="S401"/>
  <c r="N401"/>
  <c r="F400"/>
  <c r="I401"/>
  <c r="V322"/>
  <c r="I321"/>
  <c r="V321" s="1"/>
  <c r="J394"/>
  <c r="J319"/>
  <c r="J329" s="1"/>
  <c r="T289"/>
  <c r="O289"/>
  <c r="I285"/>
  <c r="V283"/>
  <c r="T274"/>
  <c r="O274"/>
  <c r="I274"/>
  <c r="V274" s="1"/>
  <c r="V275"/>
  <c r="I257"/>
  <c r="V257" s="1"/>
  <c r="V258"/>
  <c r="I255"/>
  <c r="V253"/>
  <c r="U243"/>
  <c r="P243"/>
  <c r="S243"/>
  <c r="N243"/>
  <c r="S305"/>
  <c r="U303"/>
  <c r="P303"/>
  <c r="T194"/>
  <c r="O194"/>
  <c r="I194"/>
  <c r="V194" s="1"/>
  <c r="V195"/>
  <c r="Q1817"/>
  <c r="T1812"/>
  <c r="T1800"/>
  <c r="O471"/>
  <c r="T471"/>
  <c r="V370"/>
  <c r="I369"/>
  <c r="V369" s="1"/>
  <c r="V338"/>
  <c r="I337"/>
  <c r="V337" s="1"/>
  <c r="T306"/>
  <c r="O306"/>
  <c r="G305"/>
  <c r="V273"/>
  <c r="I272"/>
  <c r="V272" s="1"/>
  <c r="V244"/>
  <c r="I243"/>
  <c r="V242"/>
  <c r="I241"/>
  <c r="V241" s="1"/>
  <c r="V235"/>
  <c r="I234"/>
  <c r="V234" s="1"/>
  <c r="S226"/>
  <c r="I226"/>
  <c r="N226"/>
  <c r="Q226" s="1"/>
  <c r="R226" s="1"/>
  <c r="F225"/>
  <c r="V193"/>
  <c r="I192"/>
  <c r="V192" s="1"/>
  <c r="V180"/>
  <c r="I179"/>
  <c r="V179" s="1"/>
  <c r="F185"/>
  <c r="S175"/>
  <c r="N175"/>
  <c r="V163"/>
  <c r="I162"/>
  <c r="V162" s="1"/>
  <c r="G170"/>
  <c r="T160"/>
  <c r="O160"/>
  <c r="V149"/>
  <c r="I148"/>
  <c r="T135"/>
  <c r="O135"/>
  <c r="S134"/>
  <c r="I134"/>
  <c r="N134"/>
  <c r="V115"/>
  <c r="I114"/>
  <c r="V114" s="1"/>
  <c r="F120"/>
  <c r="S110"/>
  <c r="N110"/>
  <c r="V100"/>
  <c r="I99"/>
  <c r="V99" s="1"/>
  <c r="H105"/>
  <c r="U95"/>
  <c r="P95"/>
  <c r="V85"/>
  <c r="I84"/>
  <c r="V84" s="1"/>
  <c r="V70"/>
  <c r="I69"/>
  <c r="F75"/>
  <c r="S65"/>
  <c r="N65"/>
  <c r="F59"/>
  <c r="S48"/>
  <c r="N48"/>
  <c r="R17"/>
  <c r="Q14"/>
  <c r="T603"/>
  <c r="G619"/>
  <c r="O603"/>
  <c r="H569"/>
  <c r="U563"/>
  <c r="P563"/>
  <c r="F569"/>
  <c r="S563"/>
  <c r="N563"/>
  <c r="V562"/>
  <c r="I561"/>
  <c r="V561" s="1"/>
  <c r="T486"/>
  <c r="O486"/>
  <c r="P440"/>
  <c r="U440"/>
  <c r="S514"/>
  <c r="N514"/>
  <c r="V512"/>
  <c r="I511"/>
  <c r="T390"/>
  <c r="O390"/>
  <c r="S375"/>
  <c r="N375"/>
  <c r="S405"/>
  <c r="N405"/>
  <c r="I405"/>
  <c r="V405" s="1"/>
  <c r="J400"/>
  <c r="M401"/>
  <c r="T398"/>
  <c r="O398"/>
  <c r="I314"/>
  <c r="V314" s="1"/>
  <c r="V315"/>
  <c r="O234"/>
  <c r="Q234" s="1"/>
  <c r="R234" s="1"/>
  <c r="G299"/>
  <c r="I299" s="1"/>
  <c r="T234"/>
  <c r="F301"/>
  <c r="N299"/>
  <c r="S299"/>
  <c r="T1819"/>
  <c r="G1816"/>
  <c r="T1816" s="1"/>
  <c r="S1812"/>
  <c r="Q1804"/>
  <c r="U1800"/>
  <c r="Q1801"/>
  <c r="Q1800" s="1"/>
  <c r="N1800"/>
  <c r="V1801"/>
  <c r="I1800"/>
  <c r="S1728"/>
  <c r="F1727"/>
  <c r="S1727" s="1"/>
  <c r="P90"/>
  <c r="U90"/>
  <c r="S126"/>
  <c r="N126"/>
  <c r="R38"/>
  <c r="U360"/>
  <c r="P360"/>
  <c r="T185"/>
  <c r="O185"/>
  <c r="N170"/>
  <c r="S170"/>
  <c r="U223"/>
  <c r="P223"/>
  <c r="T59"/>
  <c r="O59"/>
  <c r="Q1233"/>
  <c r="V1143"/>
  <c r="Q1096"/>
  <c r="Q1077"/>
  <c r="Q1076"/>
  <c r="Q1066"/>
  <c r="Q1043"/>
  <c r="Q1042"/>
  <c r="Q1041"/>
  <c r="Q1040"/>
  <c r="Q1036"/>
  <c r="Q1015"/>
  <c r="Q1012"/>
  <c r="Q1004"/>
  <c r="Q982"/>
  <c r="Q978"/>
  <c r="Q977"/>
  <c r="Q967"/>
  <c r="Q963"/>
  <c r="Q962"/>
  <c r="J984"/>
  <c r="M984" s="1"/>
  <c r="M946"/>
  <c r="M952" s="1"/>
  <c r="Q902"/>
  <c r="Q901"/>
  <c r="Q898"/>
  <c r="Q897"/>
  <c r="Q896"/>
  <c r="Q895"/>
  <c r="Q891"/>
  <c r="Q872"/>
  <c r="Q866"/>
  <c r="Q865"/>
  <c r="Q861"/>
  <c r="Q826"/>
  <c r="Q825"/>
  <c r="Q822"/>
  <c r="Q821"/>
  <c r="Q820"/>
  <c r="Q819"/>
  <c r="Q815"/>
  <c r="K803"/>
  <c r="K809" s="1"/>
  <c r="Q792"/>
  <c r="Q788"/>
  <c r="Q787"/>
  <c r="Q767"/>
  <c r="Q761"/>
  <c r="Q756"/>
  <c r="Q755"/>
  <c r="Q751"/>
  <c r="Q696"/>
  <c r="Q691"/>
  <c r="Q690"/>
  <c r="Q686"/>
  <c r="Q667"/>
  <c r="Q666"/>
  <c r="Q663"/>
  <c r="Q662"/>
  <c r="Q661"/>
  <c r="Q660"/>
  <c r="V657"/>
  <c r="Q656"/>
  <c r="Q1294"/>
  <c r="Q1230"/>
  <c r="Q1227"/>
  <c r="M1224"/>
  <c r="Q1153"/>
  <c r="V1153"/>
  <c r="Q1150"/>
  <c r="M1148"/>
  <c r="Q1147"/>
  <c r="M1144"/>
  <c r="Q1142"/>
  <c r="M418"/>
  <c r="M924"/>
  <c r="Q768"/>
  <c r="I808"/>
  <c r="V808" s="1"/>
  <c r="M798"/>
  <c r="V798" s="1"/>
  <c r="Q617"/>
  <c r="Q613"/>
  <c r="Q612"/>
  <c r="Q592"/>
  <c r="M593"/>
  <c r="M603" s="1"/>
  <c r="Q574"/>
  <c r="Q552"/>
  <c r="Q548"/>
  <c r="Q542"/>
  <c r="M532"/>
  <c r="M538" s="1"/>
  <c r="Q494"/>
  <c r="Q493"/>
  <c r="Q489"/>
  <c r="Q469"/>
  <c r="Q454"/>
  <c r="Q450"/>
  <c r="Q449"/>
  <c r="Q448"/>
  <c r="Q447"/>
  <c r="Q423"/>
  <c r="Q422"/>
  <c r="Q419"/>
  <c r="Q418"/>
  <c r="Q417"/>
  <c r="Q416"/>
  <c r="Q374"/>
  <c r="Q373"/>
  <c r="Q1068"/>
  <c r="I958"/>
  <c r="Q998"/>
  <c r="V997"/>
  <c r="Q995"/>
  <c r="Q992"/>
  <c r="M989"/>
  <c r="I893"/>
  <c r="Q878"/>
  <c r="Q753"/>
  <c r="M804"/>
  <c r="M803" s="1"/>
  <c r="M802"/>
  <c r="M801" s="1"/>
  <c r="I688"/>
  <c r="Q673"/>
  <c r="Q710"/>
  <c r="I707"/>
  <c r="Q633"/>
  <c r="Q630"/>
  <c r="K624"/>
  <c r="K634" s="1"/>
  <c r="M544"/>
  <c r="Q358"/>
  <c r="Q354"/>
  <c r="Q353"/>
  <c r="Q348"/>
  <c r="Q324"/>
  <c r="R324" s="1"/>
  <c r="Q321"/>
  <c r="Q287"/>
  <c r="M270"/>
  <c r="M280" s="1"/>
  <c r="Q253"/>
  <c r="R253" s="1"/>
  <c r="Q247"/>
  <c r="R247" s="1"/>
  <c r="I608"/>
  <c r="M563"/>
  <c r="V527"/>
  <c r="Q557"/>
  <c r="M514"/>
  <c r="J511"/>
  <c r="N511" s="1"/>
  <c r="F509"/>
  <c r="F520" s="1"/>
  <c r="I354"/>
  <c r="V354" s="1"/>
  <c r="V300"/>
  <c r="I289"/>
  <c r="Q1822"/>
  <c r="Q364"/>
  <c r="Q318"/>
  <c r="R318" s="1"/>
  <c r="M309"/>
  <c r="Q263"/>
  <c r="R263" s="1"/>
  <c r="Q208"/>
  <c r="H215"/>
  <c r="V204"/>
  <c r="J185"/>
  <c r="Q173"/>
  <c r="R173" s="1"/>
  <c r="Q164"/>
  <c r="Q152"/>
  <c r="R152" s="1"/>
  <c r="M148"/>
  <c r="M154" s="1"/>
  <c r="M134"/>
  <c r="K130"/>
  <c r="M125"/>
  <c r="K126"/>
  <c r="Q112"/>
  <c r="Q97"/>
  <c r="Q93"/>
  <c r="R93" s="1"/>
  <c r="Q88"/>
  <c r="Q68"/>
  <c r="R68" s="1"/>
  <c r="Q67"/>
  <c r="J121"/>
  <c r="M121" s="1"/>
  <c r="Q64"/>
  <c r="R64" s="1"/>
  <c r="Q63"/>
  <c r="R63" s="1"/>
  <c r="V57"/>
  <c r="Q54"/>
  <c r="R54" s="1"/>
  <c r="Q53"/>
  <c r="Q51"/>
  <c r="Q50"/>
  <c r="Q47"/>
  <c r="R47" s="1"/>
  <c r="Q46"/>
  <c r="R46" s="1"/>
  <c r="Q44"/>
  <c r="R44" s="1"/>
  <c r="I627"/>
  <c r="Q627"/>
  <c r="M624"/>
  <c r="M634" s="1"/>
  <c r="V568"/>
  <c r="Q567"/>
  <c r="Q565"/>
  <c r="Q562"/>
  <c r="M559"/>
  <c r="G559"/>
  <c r="Q519"/>
  <c r="V519"/>
  <c r="I516"/>
  <c r="V516" s="1"/>
  <c r="H511"/>
  <c r="Q512"/>
  <c r="M509"/>
  <c r="Q365"/>
  <c r="M404"/>
  <c r="M335"/>
  <c r="M345" s="1"/>
  <c r="T395"/>
  <c r="O285"/>
  <c r="G295"/>
  <c r="F280"/>
  <c r="V261"/>
  <c r="T255"/>
  <c r="J249"/>
  <c r="F200"/>
  <c r="Q1821"/>
  <c r="O1819"/>
  <c r="O1816" s="1"/>
  <c r="P1812"/>
  <c r="Q1809"/>
  <c r="P1728"/>
  <c r="N360"/>
  <c r="M225"/>
  <c r="R159"/>
  <c r="G39"/>
  <c r="T39" s="1"/>
  <c r="N309"/>
  <c r="S309"/>
  <c r="S307"/>
  <c r="Q160"/>
  <c r="M124"/>
  <c r="T1203"/>
  <c r="O1203"/>
  <c r="T1228"/>
  <c r="O1228"/>
  <c r="U1224"/>
  <c r="P1224"/>
  <c r="S1224"/>
  <c r="N1224"/>
  <c r="N1138"/>
  <c r="S1138"/>
  <c r="T1108"/>
  <c r="O1108"/>
  <c r="T1146"/>
  <c r="O1146"/>
  <c r="H1108"/>
  <c r="U1098"/>
  <c r="P1098"/>
  <c r="Q1098" s="1"/>
  <c r="V1086"/>
  <c r="I1085"/>
  <c r="V1085" s="1"/>
  <c r="V1058"/>
  <c r="I1057"/>
  <c r="V1057" s="1"/>
  <c r="I1053"/>
  <c r="V1051"/>
  <c r="V1028"/>
  <c r="I1027"/>
  <c r="V1027" s="1"/>
  <c r="I1023"/>
  <c r="V1021"/>
  <c r="F1017"/>
  <c r="S1007"/>
  <c r="N1007"/>
  <c r="T988"/>
  <c r="O988"/>
  <c r="Q988" s="1"/>
  <c r="I988"/>
  <c r="V988" s="1"/>
  <c r="F983"/>
  <c r="S973"/>
  <c r="N973"/>
  <c r="Q973" s="1"/>
  <c r="F968"/>
  <c r="S958"/>
  <c r="N958"/>
  <c r="Q958" s="1"/>
  <c r="V947"/>
  <c r="I946"/>
  <c r="G952"/>
  <c r="T942"/>
  <c r="O942"/>
  <c r="I930"/>
  <c r="V930" s="1"/>
  <c r="S930"/>
  <c r="N930"/>
  <c r="Q930" s="1"/>
  <c r="I929"/>
  <c r="S929"/>
  <c r="N929"/>
  <c r="Q929" s="1"/>
  <c r="F928"/>
  <c r="I927"/>
  <c r="S927"/>
  <c r="N927"/>
  <c r="Q927" s="1"/>
  <c r="F926"/>
  <c r="V911"/>
  <c r="I910"/>
  <c r="V910" s="1"/>
  <c r="V883"/>
  <c r="I882"/>
  <c r="V882" s="1"/>
  <c r="I878"/>
  <c r="V876"/>
  <c r="V853"/>
  <c r="I852"/>
  <c r="V852" s="1"/>
  <c r="I848"/>
  <c r="V846"/>
  <c r="V836"/>
  <c r="I835"/>
  <c r="V835" s="1"/>
  <c r="H827"/>
  <c r="U817"/>
  <c r="P817"/>
  <c r="I817"/>
  <c r="V816"/>
  <c r="T804"/>
  <c r="O804"/>
  <c r="Q804" s="1"/>
  <c r="G803"/>
  <c r="T802"/>
  <c r="O802"/>
  <c r="G801"/>
  <c r="G799"/>
  <c r="T797"/>
  <c r="O797"/>
  <c r="Q797" s="1"/>
  <c r="F793"/>
  <c r="F794" s="1"/>
  <c r="S783"/>
  <c r="N783"/>
  <c r="Q783" s="1"/>
  <c r="V771"/>
  <c r="I770"/>
  <c r="V770" s="1"/>
  <c r="V743"/>
  <c r="I742"/>
  <c r="V742" s="1"/>
  <c r="I738"/>
  <c r="V736"/>
  <c r="F732"/>
  <c r="S722"/>
  <c r="N722"/>
  <c r="Q722" s="1"/>
  <c r="T713"/>
  <c r="O713"/>
  <c r="Q713" s="1"/>
  <c r="T712"/>
  <c r="O712"/>
  <c r="Q712" s="1"/>
  <c r="V676"/>
  <c r="I675"/>
  <c r="V675" s="1"/>
  <c r="V645"/>
  <c r="I644"/>
  <c r="V644" s="1"/>
  <c r="V638"/>
  <c r="I637"/>
  <c r="U1283"/>
  <c r="P1283"/>
  <c r="F1284"/>
  <c r="N1268"/>
  <c r="Q1268" s="1"/>
  <c r="R1268" s="1"/>
  <c r="S1268"/>
  <c r="H1299"/>
  <c r="U1293"/>
  <c r="P1293"/>
  <c r="F1299"/>
  <c r="S1293"/>
  <c r="N1293"/>
  <c r="O1218"/>
  <c r="T1218"/>
  <c r="N1203"/>
  <c r="Q1203" s="1"/>
  <c r="R1203" s="1"/>
  <c r="S1203"/>
  <c r="V1229"/>
  <c r="I1228"/>
  <c r="U1226"/>
  <c r="P1226"/>
  <c r="S1226"/>
  <c r="N1226"/>
  <c r="Q1226" s="1"/>
  <c r="T1138"/>
  <c r="O1138"/>
  <c r="N1108"/>
  <c r="S1108"/>
  <c r="H1154"/>
  <c r="U1148"/>
  <c r="P1148"/>
  <c r="V1149"/>
  <c r="I1148"/>
  <c r="S1146"/>
  <c r="N1146"/>
  <c r="U1144"/>
  <c r="P1144"/>
  <c r="I1144"/>
  <c r="V1144" s="1"/>
  <c r="V1142"/>
  <c r="H634"/>
  <c r="U628"/>
  <c r="P628"/>
  <c r="F538"/>
  <c r="S528"/>
  <c r="N528"/>
  <c r="V450"/>
  <c r="I449"/>
  <c r="V449" s="1"/>
  <c r="I445"/>
  <c r="V443"/>
  <c r="V419"/>
  <c r="I418"/>
  <c r="V418" s="1"/>
  <c r="G424"/>
  <c r="T414"/>
  <c r="O414"/>
  <c r="P1093"/>
  <c r="U1093"/>
  <c r="O1078"/>
  <c r="T1078"/>
  <c r="N1063"/>
  <c r="S1063"/>
  <c r="H1139"/>
  <c r="P1033"/>
  <c r="U1033"/>
  <c r="U983"/>
  <c r="P983"/>
  <c r="G999"/>
  <c r="T993"/>
  <c r="O993"/>
  <c r="U989"/>
  <c r="P989"/>
  <c r="S989"/>
  <c r="N989"/>
  <c r="Q989" s="1"/>
  <c r="N918"/>
  <c r="S918"/>
  <c r="T888"/>
  <c r="O888"/>
  <c r="P858"/>
  <c r="U858"/>
  <c r="P843"/>
  <c r="H919"/>
  <c r="U843"/>
  <c r="H934"/>
  <c r="U928"/>
  <c r="P928"/>
  <c r="T924"/>
  <c r="O924"/>
  <c r="P778"/>
  <c r="U778"/>
  <c r="O763"/>
  <c r="T763"/>
  <c r="N748"/>
  <c r="S748"/>
  <c r="H809"/>
  <c r="U803"/>
  <c r="P803"/>
  <c r="F809"/>
  <c r="S803"/>
  <c r="N803"/>
  <c r="O698"/>
  <c r="T698"/>
  <c r="H699"/>
  <c r="U668"/>
  <c r="P668"/>
  <c r="U704"/>
  <c r="P704"/>
  <c r="S704"/>
  <c r="N704"/>
  <c r="G624"/>
  <c r="T622"/>
  <c r="O622"/>
  <c r="F618"/>
  <c r="S608"/>
  <c r="N608"/>
  <c r="Q608" s="1"/>
  <c r="V598"/>
  <c r="I597"/>
  <c r="V597" s="1"/>
  <c r="I593"/>
  <c r="V591"/>
  <c r="F587"/>
  <c r="S577"/>
  <c r="N577"/>
  <c r="S544"/>
  <c r="N544"/>
  <c r="Q544" s="1"/>
  <c r="V533"/>
  <c r="I532"/>
  <c r="G538"/>
  <c r="T528"/>
  <c r="O528"/>
  <c r="U516"/>
  <c r="P516"/>
  <c r="Q516" s="1"/>
  <c r="V479"/>
  <c r="I478"/>
  <c r="V478" s="1"/>
  <c r="U471"/>
  <c r="P471"/>
  <c r="V466"/>
  <c r="I465"/>
  <c r="I460"/>
  <c r="V460" s="1"/>
  <c r="V458"/>
  <c r="V433"/>
  <c r="I432"/>
  <c r="V432" s="1"/>
  <c r="H424"/>
  <c r="U414"/>
  <c r="P414"/>
  <c r="I414"/>
  <c r="V413"/>
  <c r="V383"/>
  <c r="I382"/>
  <c r="V382" s="1"/>
  <c r="T319"/>
  <c r="O319"/>
  <c r="G329"/>
  <c r="V318"/>
  <c r="U1078"/>
  <c r="P1078"/>
  <c r="T1063"/>
  <c r="O1063"/>
  <c r="S1048"/>
  <c r="N1048"/>
  <c r="O983"/>
  <c r="T983"/>
  <c r="V994"/>
  <c r="I993"/>
  <c r="U991"/>
  <c r="P991"/>
  <c r="S991"/>
  <c r="N991"/>
  <c r="Q991" s="1"/>
  <c r="T918"/>
  <c r="O918"/>
  <c r="P888"/>
  <c r="U888"/>
  <c r="U873"/>
  <c r="P873"/>
  <c r="G919"/>
  <c r="T843"/>
  <c r="O843"/>
  <c r="T926"/>
  <c r="O926"/>
  <c r="S924"/>
  <c r="N924"/>
  <c r="U793"/>
  <c r="P793"/>
  <c r="U763"/>
  <c r="P763"/>
  <c r="T748"/>
  <c r="G794"/>
  <c r="O748"/>
  <c r="U799"/>
  <c r="P799"/>
  <c r="S799"/>
  <c r="N799"/>
  <c r="P683"/>
  <c r="U683"/>
  <c r="U706"/>
  <c r="P706"/>
  <c r="S706"/>
  <c r="N706"/>
  <c r="V629"/>
  <c r="I628"/>
  <c r="V363"/>
  <c r="I365"/>
  <c r="S323"/>
  <c r="N323"/>
  <c r="H329"/>
  <c r="P319"/>
  <c r="U309"/>
  <c r="P309"/>
  <c r="H295"/>
  <c r="U285"/>
  <c r="P285"/>
  <c r="G280"/>
  <c r="G296" s="1"/>
  <c r="T270"/>
  <c r="O270"/>
  <c r="Q270" s="1"/>
  <c r="V268"/>
  <c r="I270"/>
  <c r="V260"/>
  <c r="I259"/>
  <c r="V259" s="1"/>
  <c r="T243"/>
  <c r="O243"/>
  <c r="G249"/>
  <c r="T239"/>
  <c r="O239"/>
  <c r="G200"/>
  <c r="T190"/>
  <c r="O190"/>
  <c r="Q190" s="1"/>
  <c r="S179"/>
  <c r="N179"/>
  <c r="Q179" s="1"/>
  <c r="I164"/>
  <c r="V164" s="1"/>
  <c r="V165"/>
  <c r="G154"/>
  <c r="T144"/>
  <c r="O144"/>
  <c r="V140"/>
  <c r="I139"/>
  <c r="J219"/>
  <c r="J144"/>
  <c r="J154" s="1"/>
  <c r="N139"/>
  <c r="Q139" s="1"/>
  <c r="R139" s="1"/>
  <c r="F219"/>
  <c r="F144"/>
  <c r="S139"/>
  <c r="N135"/>
  <c r="Q135" s="1"/>
  <c r="R135" s="1"/>
  <c r="S135"/>
  <c r="I135"/>
  <c r="O134"/>
  <c r="T134"/>
  <c r="P131"/>
  <c r="H130"/>
  <c r="U131"/>
  <c r="U129"/>
  <c r="P129"/>
  <c r="H128"/>
  <c r="U125"/>
  <c r="P125"/>
  <c r="I112"/>
  <c r="V112" s="1"/>
  <c r="V113"/>
  <c r="G75"/>
  <c r="T65"/>
  <c r="O65"/>
  <c r="I65"/>
  <c r="V63"/>
  <c r="V51"/>
  <c r="I50"/>
  <c r="V50" s="1"/>
  <c r="S31"/>
  <c r="F24"/>
  <c r="H619"/>
  <c r="P603"/>
  <c r="U603"/>
  <c r="U624"/>
  <c r="P624"/>
  <c r="S624"/>
  <c r="N624"/>
  <c r="T561"/>
  <c r="O561"/>
  <c r="V557"/>
  <c r="T503"/>
  <c r="O503"/>
  <c r="N486"/>
  <c r="Q486" s="1"/>
  <c r="R486" s="1"/>
  <c r="S486"/>
  <c r="S455"/>
  <c r="N455"/>
  <c r="U509"/>
  <c r="P509"/>
  <c r="I509"/>
  <c r="V509" s="1"/>
  <c r="V507"/>
  <c r="N390"/>
  <c r="Q390" s="1"/>
  <c r="R390" s="1"/>
  <c r="S390"/>
  <c r="S404"/>
  <c r="N404"/>
  <c r="I404"/>
  <c r="V404" s="1"/>
  <c r="S402"/>
  <c r="N402"/>
  <c r="Q402" s="1"/>
  <c r="I402"/>
  <c r="V402" s="1"/>
  <c r="H345"/>
  <c r="U335"/>
  <c r="P335"/>
  <c r="T323"/>
  <c r="O323"/>
  <c r="T404"/>
  <c r="O404"/>
  <c r="U401"/>
  <c r="P401"/>
  <c r="H400"/>
  <c r="U398"/>
  <c r="P398"/>
  <c r="S399"/>
  <c r="N399"/>
  <c r="Q399" s="1"/>
  <c r="F398"/>
  <c r="I399"/>
  <c r="U395"/>
  <c r="P395"/>
  <c r="Q395" s="1"/>
  <c r="S303"/>
  <c r="N303"/>
  <c r="H301"/>
  <c r="H311" s="1"/>
  <c r="U299"/>
  <c r="T205"/>
  <c r="O205"/>
  <c r="Q205" s="1"/>
  <c r="G215"/>
  <c r="U1819"/>
  <c r="H1816"/>
  <c r="U1816" s="1"/>
  <c r="V1817"/>
  <c r="T1806"/>
  <c r="G1803"/>
  <c r="T1803" s="1"/>
  <c r="T1728"/>
  <c r="V368"/>
  <c r="I367"/>
  <c r="V367" s="1"/>
  <c r="V340"/>
  <c r="I339"/>
  <c r="V339" s="1"/>
  <c r="T304"/>
  <c r="O304"/>
  <c r="Q304" s="1"/>
  <c r="G303"/>
  <c r="U300"/>
  <c r="P300"/>
  <c r="V238"/>
  <c r="U230"/>
  <c r="P230"/>
  <c r="Q230" s="1"/>
  <c r="R230" s="1"/>
  <c r="I224"/>
  <c r="S224"/>
  <c r="N224"/>
  <c r="Q224" s="1"/>
  <c r="F223"/>
  <c r="T220"/>
  <c r="O220"/>
  <c r="Q220" s="1"/>
  <c r="I220"/>
  <c r="V220" s="1"/>
  <c r="H185"/>
  <c r="U175"/>
  <c r="P175"/>
  <c r="V158"/>
  <c r="I160"/>
  <c r="V147"/>
  <c r="I146"/>
  <c r="V146" s="1"/>
  <c r="U134"/>
  <c r="P134"/>
  <c r="I132"/>
  <c r="V132" s="1"/>
  <c r="S132"/>
  <c r="N132"/>
  <c r="Q132" s="1"/>
  <c r="T131"/>
  <c r="O131"/>
  <c r="G130"/>
  <c r="T129"/>
  <c r="O129"/>
  <c r="G128"/>
  <c r="T125"/>
  <c r="O125"/>
  <c r="I125"/>
  <c r="V125" s="1"/>
  <c r="G126"/>
  <c r="T124"/>
  <c r="O124"/>
  <c r="Q124" s="1"/>
  <c r="H120"/>
  <c r="U110"/>
  <c r="P110"/>
  <c r="I110"/>
  <c r="V108"/>
  <c r="F105"/>
  <c r="S95"/>
  <c r="N95"/>
  <c r="Q95" s="1"/>
  <c r="V83"/>
  <c r="I82"/>
  <c r="V82" s="1"/>
  <c r="G90"/>
  <c r="T80"/>
  <c r="O80"/>
  <c r="V78"/>
  <c r="I80"/>
  <c r="H75"/>
  <c r="U65"/>
  <c r="P65"/>
  <c r="H59"/>
  <c r="U48"/>
  <c r="P48"/>
  <c r="I1730"/>
  <c r="V1730" s="1"/>
  <c r="V45"/>
  <c r="O618"/>
  <c r="T618"/>
  <c r="U626"/>
  <c r="P626"/>
  <c r="S626"/>
  <c r="N626"/>
  <c r="V564"/>
  <c r="U561"/>
  <c r="P561"/>
  <c r="S561"/>
  <c r="N561"/>
  <c r="P503"/>
  <c r="U503"/>
  <c r="O455"/>
  <c r="T455"/>
  <c r="N440"/>
  <c r="Q440" s="1"/>
  <c r="R440" s="1"/>
  <c r="S440"/>
  <c r="V515"/>
  <c r="S511"/>
  <c r="T509"/>
  <c r="O509"/>
  <c r="P375"/>
  <c r="O360"/>
  <c r="T360"/>
  <c r="U405"/>
  <c r="P405"/>
  <c r="J398"/>
  <c r="M399"/>
  <c r="M398" s="1"/>
  <c r="H394"/>
  <c r="P314"/>
  <c r="U314"/>
  <c r="F394"/>
  <c r="N314"/>
  <c r="F319"/>
  <c r="S314"/>
  <c r="O394"/>
  <c r="G396"/>
  <c r="T394"/>
  <c r="P280"/>
  <c r="U280"/>
  <c r="U259"/>
  <c r="P259"/>
  <c r="S259"/>
  <c r="N259"/>
  <c r="Q259" s="1"/>
  <c r="O265"/>
  <c r="T265"/>
  <c r="O300"/>
  <c r="T300"/>
  <c r="J301"/>
  <c r="M299"/>
  <c r="M301" s="1"/>
  <c r="S239"/>
  <c r="N239"/>
  <c r="Q239" s="1"/>
  <c r="F249"/>
  <c r="T209"/>
  <c r="O209"/>
  <c r="I209"/>
  <c r="V209" s="1"/>
  <c r="V210"/>
  <c r="P200"/>
  <c r="U200"/>
  <c r="T225"/>
  <c r="O225"/>
  <c r="T223"/>
  <c r="O223"/>
  <c r="U1812"/>
  <c r="Q1813"/>
  <c r="N1812"/>
  <c r="V1813"/>
  <c r="I1812"/>
  <c r="V1809"/>
  <c r="U1806"/>
  <c r="H1803"/>
  <c r="U1803" s="1"/>
  <c r="V1804"/>
  <c r="S1800"/>
  <c r="U1728"/>
  <c r="N1728"/>
  <c r="N1727" s="1"/>
  <c r="Q1729"/>
  <c r="O375"/>
  <c r="T375"/>
  <c r="O105"/>
  <c r="T105"/>
  <c r="N90"/>
  <c r="S90"/>
  <c r="P170"/>
  <c r="U170"/>
  <c r="O120"/>
  <c r="T120"/>
  <c r="M1234"/>
  <c r="Q1222"/>
  <c r="Q1073"/>
  <c r="Q1072"/>
  <c r="Q1071"/>
  <c r="Q1070"/>
  <c r="Q1047"/>
  <c r="Q1046"/>
  <c r="Q1016"/>
  <c r="Q1011"/>
  <c r="Q1010"/>
  <c r="Q1009"/>
  <c r="Q1005"/>
  <c r="Q1003"/>
  <c r="Q1002"/>
  <c r="Q981"/>
  <c r="Q976"/>
  <c r="Q975"/>
  <c r="Q971"/>
  <c r="Q966"/>
  <c r="Q961"/>
  <c r="Q960"/>
  <c r="Q956"/>
  <c r="V950"/>
  <c r="V948"/>
  <c r="Q871"/>
  <c r="Q868"/>
  <c r="Q867"/>
  <c r="Q814"/>
  <c r="Q813"/>
  <c r="Q812"/>
  <c r="Q791"/>
  <c r="Q786"/>
  <c r="Q785"/>
  <c r="Q781"/>
  <c r="Q762"/>
  <c r="Q758"/>
  <c r="Q757"/>
  <c r="Q731"/>
  <c r="Q730"/>
  <c r="Q727"/>
  <c r="Q726"/>
  <c r="Q725"/>
  <c r="Q724"/>
  <c r="Q720"/>
  <c r="Q719"/>
  <c r="Q718"/>
  <c r="Q717"/>
  <c r="K708"/>
  <c r="K714" s="1"/>
  <c r="I703"/>
  <c r="V703" s="1"/>
  <c r="Q697"/>
  <c r="Q693"/>
  <c r="Q692"/>
  <c r="Q1258"/>
  <c r="Q1298"/>
  <c r="Q1295"/>
  <c r="Q1292"/>
  <c r="M1289"/>
  <c r="Q1193"/>
  <c r="Q1229"/>
  <c r="Q1152"/>
  <c r="Q1149"/>
  <c r="Q623"/>
  <c r="Q598"/>
  <c r="Q597"/>
  <c r="Q596"/>
  <c r="Q595"/>
  <c r="M581"/>
  <c r="M587" s="1"/>
  <c r="Q537"/>
  <c r="Q536"/>
  <c r="Q533"/>
  <c r="Q532"/>
  <c r="Q531"/>
  <c r="Q530"/>
  <c r="Q526"/>
  <c r="Q525"/>
  <c r="Q524"/>
  <c r="Q523"/>
  <c r="Q499"/>
  <c r="Q481"/>
  <c r="Q480"/>
  <c r="Q479"/>
  <c r="Q478"/>
  <c r="Q465"/>
  <c r="Q463"/>
  <c r="Q458"/>
  <c r="Q439"/>
  <c r="Q438"/>
  <c r="Q428"/>
  <c r="V422"/>
  <c r="Q385"/>
  <c r="Q384"/>
  <c r="Q383"/>
  <c r="Q382"/>
  <c r="Q1053"/>
  <c r="I973"/>
  <c r="M993"/>
  <c r="M999" s="1"/>
  <c r="V941"/>
  <c r="Q987"/>
  <c r="Q908"/>
  <c r="Q808"/>
  <c r="I807"/>
  <c r="V807" s="1"/>
  <c r="Q805"/>
  <c r="I802"/>
  <c r="Q802"/>
  <c r="M709"/>
  <c r="M708" s="1"/>
  <c r="M707"/>
  <c r="M706" s="1"/>
  <c r="V641"/>
  <c r="Q702"/>
  <c r="V923"/>
  <c r="Q616"/>
  <c r="Q611"/>
  <c r="Q610"/>
  <c r="Q606"/>
  <c r="Q586"/>
  <c r="Q585"/>
  <c r="Q582"/>
  <c r="Q581"/>
  <c r="Q580"/>
  <c r="Q579"/>
  <c r="Q575"/>
  <c r="Q573"/>
  <c r="Q572"/>
  <c r="I558"/>
  <c r="V558" s="1"/>
  <c r="Q553"/>
  <c r="Q549"/>
  <c r="Q547"/>
  <c r="Q546"/>
  <c r="Q498"/>
  <c r="Q497"/>
  <c r="Q495"/>
  <c r="Q490"/>
  <c r="Q475"/>
  <c r="M476"/>
  <c r="M486" s="1"/>
  <c r="Q470"/>
  <c r="Q459"/>
  <c r="Q453"/>
  <c r="Q443"/>
  <c r="Q412"/>
  <c r="Q411"/>
  <c r="Q410"/>
  <c r="Q409"/>
  <c r="Q370"/>
  <c r="Q369"/>
  <c r="Q368"/>
  <c r="Q367"/>
  <c r="Q363"/>
  <c r="Q344"/>
  <c r="Q343"/>
  <c r="Q248"/>
  <c r="R248" s="1"/>
  <c r="Q192"/>
  <c r="Q188"/>
  <c r="R188" s="1"/>
  <c r="Q1038"/>
  <c r="V998"/>
  <c r="Q997"/>
  <c r="Q994"/>
  <c r="I863"/>
  <c r="Q922"/>
  <c r="I783"/>
  <c r="J809"/>
  <c r="I713"/>
  <c r="V713" s="1"/>
  <c r="I709"/>
  <c r="Q709"/>
  <c r="M704"/>
  <c r="G704"/>
  <c r="Q632"/>
  <c r="Q629"/>
  <c r="Q359"/>
  <c r="Q355"/>
  <c r="Q352"/>
  <c r="V327"/>
  <c r="Q322"/>
  <c r="M305"/>
  <c r="Q290"/>
  <c r="Q288"/>
  <c r="Q283"/>
  <c r="R283" s="1"/>
  <c r="V278"/>
  <c r="R269"/>
  <c r="Q257"/>
  <c r="K296"/>
  <c r="R238"/>
  <c r="J216"/>
  <c r="M216" s="1"/>
  <c r="M205"/>
  <c r="M215" s="1"/>
  <c r="R189"/>
  <c r="M190"/>
  <c r="M200" s="1"/>
  <c r="V152"/>
  <c r="V150"/>
  <c r="Q147"/>
  <c r="Q146"/>
  <c r="M135"/>
  <c r="L130"/>
  <c r="L136" s="1"/>
  <c r="Q125"/>
  <c r="Q99"/>
  <c r="Q74"/>
  <c r="R74" s="1"/>
  <c r="Q70"/>
  <c r="R70" s="1"/>
  <c r="Q69"/>
  <c r="M53"/>
  <c r="Q45"/>
  <c r="R45" s="1"/>
  <c r="M43"/>
  <c r="M48" s="1"/>
  <c r="M59" s="1"/>
  <c r="Q43"/>
  <c r="R43" s="1"/>
  <c r="Q31"/>
  <c r="Q24" s="1"/>
  <c r="Q622"/>
  <c r="J569"/>
  <c r="Q476"/>
  <c r="Q445"/>
  <c r="G514"/>
  <c r="M511"/>
  <c r="Q380"/>
  <c r="I350"/>
  <c r="Q306"/>
  <c r="R306" s="1"/>
  <c r="P1819"/>
  <c r="P1816" s="1"/>
  <c r="O1812"/>
  <c r="O1811" s="1"/>
  <c r="V1808"/>
  <c r="O1806"/>
  <c r="O1803" s="1"/>
  <c r="O1799" s="1"/>
  <c r="Q1730"/>
  <c r="S513"/>
  <c r="Q334"/>
  <c r="Q328"/>
  <c r="R328" s="1"/>
  <c r="M319"/>
  <c r="Q315"/>
  <c r="R315" s="1"/>
  <c r="I310"/>
  <c r="V310" s="1"/>
  <c r="J295"/>
  <c r="Q279"/>
  <c r="R279" s="1"/>
  <c r="V269"/>
  <c r="J265"/>
  <c r="M243"/>
  <c r="M249" s="1"/>
  <c r="Q210"/>
  <c r="R210" s="1"/>
  <c r="Q207"/>
  <c r="Q199"/>
  <c r="R199" s="1"/>
  <c r="V189"/>
  <c r="Q178"/>
  <c r="R178" s="1"/>
  <c r="Q177"/>
  <c r="K231"/>
  <c r="Q143"/>
  <c r="R143" s="1"/>
  <c r="Q89"/>
  <c r="R89" s="1"/>
  <c r="Q73"/>
  <c r="R73" s="1"/>
  <c r="M69"/>
  <c r="M75" s="1"/>
  <c r="Q58"/>
  <c r="R58" s="1"/>
  <c r="I31"/>
  <c r="I544"/>
  <c r="Q568"/>
  <c r="V567"/>
  <c r="Q564"/>
  <c r="I497"/>
  <c r="V497" s="1"/>
  <c r="I491"/>
  <c r="Q430"/>
  <c r="Q518"/>
  <c r="V518"/>
  <c r="H514"/>
  <c r="Q515"/>
  <c r="J509"/>
  <c r="J520" s="1"/>
  <c r="J391"/>
  <c r="M391" s="1"/>
  <c r="M323"/>
  <c r="G400"/>
  <c r="K329"/>
  <c r="T285"/>
  <c r="O255"/>
  <c r="Q227"/>
  <c r="P1806"/>
  <c r="P1803" s="1"/>
  <c r="P1799" s="1"/>
  <c r="Q1731"/>
  <c r="Q1759"/>
  <c r="F265"/>
  <c r="N31"/>
  <c r="N24" s="1"/>
  <c r="N32" s="1"/>
  <c r="N39" s="1"/>
  <c r="I230"/>
  <c r="V230" s="1"/>
  <c r="Q80"/>
  <c r="I124"/>
  <c r="G391"/>
  <c r="I309"/>
  <c r="V309" s="1"/>
  <c r="N307"/>
  <c r="Q307" s="1"/>
  <c r="V307"/>
  <c r="H225"/>
  <c r="P1887"/>
  <c r="O1883"/>
  <c r="P1883"/>
  <c r="O1887"/>
  <c r="M1887"/>
  <c r="Q1867"/>
  <c r="Q1879"/>
  <c r="O1882"/>
  <c r="M1882"/>
  <c r="O1886"/>
  <c r="Q1886" s="1"/>
  <c r="O1888"/>
  <c r="M1888"/>
  <c r="Q1890"/>
  <c r="I1396" i="11"/>
  <c r="I1397"/>
  <c r="O1398"/>
  <c r="M1398"/>
  <c r="I1398"/>
  <c r="N1398"/>
  <c r="F1378"/>
  <c r="J1378"/>
  <c r="G1379"/>
  <c r="J1379"/>
  <c r="L1379"/>
  <c r="F1379"/>
  <c r="H1379"/>
  <c r="K1379"/>
  <c r="K1392"/>
  <c r="G1414"/>
  <c r="K1414"/>
  <c r="L1399"/>
  <c r="L1402" s="1"/>
  <c r="F1414"/>
  <c r="H1414"/>
  <c r="J1414"/>
  <c r="L1414"/>
  <c r="J1392"/>
  <c r="L1392"/>
  <c r="F1406"/>
  <c r="H1399"/>
  <c r="K1399"/>
  <c r="K1402" s="1"/>
  <c r="N1396"/>
  <c r="N1397"/>
  <c r="Q1397" s="1"/>
  <c r="F1399"/>
  <c r="J1399"/>
  <c r="G1399"/>
  <c r="P1396"/>
  <c r="P1399" s="1"/>
  <c r="O1396"/>
  <c r="N1883" i="8"/>
  <c r="I1883"/>
  <c r="M1886"/>
  <c r="M1883"/>
  <c r="H1868"/>
  <c r="L1869"/>
  <c r="H1870"/>
  <c r="L1870"/>
  <c r="K1877"/>
  <c r="G1868"/>
  <c r="K1868"/>
  <c r="F1864"/>
  <c r="J1864"/>
  <c r="G1870"/>
  <c r="G1865"/>
  <c r="K1865"/>
  <c r="K1870"/>
  <c r="F1865"/>
  <c r="H1865"/>
  <c r="J1865"/>
  <c r="L1865"/>
  <c r="F1887"/>
  <c r="G1884"/>
  <c r="J1884"/>
  <c r="J1889" s="1"/>
  <c r="L1884"/>
  <c r="L1889" s="1"/>
  <c r="F1884"/>
  <c r="H1884"/>
  <c r="K1884"/>
  <c r="K1889" s="1"/>
  <c r="Q1882"/>
  <c r="I1881"/>
  <c r="M1881"/>
  <c r="O1881"/>
  <c r="I1882"/>
  <c r="I1886"/>
  <c r="I1888"/>
  <c r="N1881"/>
  <c r="P1881"/>
  <c r="O1884" l="1"/>
  <c r="O1889" s="1"/>
  <c r="Q1888"/>
  <c r="Q255"/>
  <c r="V544"/>
  <c r="Q32"/>
  <c r="Q39" s="1"/>
  <c r="M799"/>
  <c r="I1847"/>
  <c r="V1847" s="1"/>
  <c r="Q1812"/>
  <c r="Q209"/>
  <c r="J311"/>
  <c r="I563"/>
  <c r="P299"/>
  <c r="I319"/>
  <c r="I329" s="1"/>
  <c r="V329" s="1"/>
  <c r="V532"/>
  <c r="Q577"/>
  <c r="Q1007"/>
  <c r="V289"/>
  <c r="H504"/>
  <c r="P708"/>
  <c r="V384"/>
  <c r="I554"/>
  <c r="V554" s="1"/>
  <c r="I577"/>
  <c r="V1102"/>
  <c r="V1117"/>
  <c r="V1500"/>
  <c r="T1718"/>
  <c r="V1749"/>
  <c r="M668"/>
  <c r="V1753"/>
  <c r="V662"/>
  <c r="V1072"/>
  <c r="Q1476"/>
  <c r="R1476" s="1"/>
  <c r="V1262"/>
  <c r="V1605"/>
  <c r="V962"/>
  <c r="M87" i="11"/>
  <c r="Q1120"/>
  <c r="R1120" s="1"/>
  <c r="M310"/>
  <c r="M314" s="1"/>
  <c r="O1399"/>
  <c r="Q1398"/>
  <c r="M588"/>
  <c r="Q232"/>
  <c r="M905"/>
  <c r="O870"/>
  <c r="Q1073"/>
  <c r="I239"/>
  <c r="V239" s="1"/>
  <c r="V381"/>
  <c r="O521"/>
  <c r="O524" s="1"/>
  <c r="T524"/>
  <c r="V49"/>
  <c r="I90"/>
  <c r="V90" s="1"/>
  <c r="V172"/>
  <c r="H457"/>
  <c r="U457" s="1"/>
  <c r="H517"/>
  <c r="Q288"/>
  <c r="R288" s="1"/>
  <c r="J737"/>
  <c r="J741" s="1"/>
  <c r="Q202"/>
  <c r="Q262"/>
  <c r="Q333"/>
  <c r="Q366"/>
  <c r="P849"/>
  <c r="P852" s="1"/>
  <c r="P856" s="1"/>
  <c r="U852"/>
  <c r="M849"/>
  <c r="M852" s="1"/>
  <c r="N909"/>
  <c r="T849"/>
  <c r="M909"/>
  <c r="M912" s="1"/>
  <c r="M916" s="1"/>
  <c r="P926"/>
  <c r="P930" s="1"/>
  <c r="V251"/>
  <c r="F158"/>
  <c r="S158" s="1"/>
  <c r="M521"/>
  <c r="M524" s="1"/>
  <c r="M528" s="1"/>
  <c r="Q110"/>
  <c r="R110" s="1"/>
  <c r="H218"/>
  <c r="F588"/>
  <c r="S588" s="1"/>
  <c r="P690"/>
  <c r="Q690" s="1"/>
  <c r="Q554"/>
  <c r="R554" s="1"/>
  <c r="Q576"/>
  <c r="R576" s="1"/>
  <c r="V583"/>
  <c r="H681"/>
  <c r="P685"/>
  <c r="P688" s="1"/>
  <c r="P692" s="1"/>
  <c r="V654"/>
  <c r="Q798"/>
  <c r="O909"/>
  <c r="O912" s="1"/>
  <c r="T912"/>
  <c r="Q676"/>
  <c r="Q763"/>
  <c r="Q767" s="1"/>
  <c r="R767" s="1"/>
  <c r="Q807"/>
  <c r="Q811" s="1"/>
  <c r="R811" s="1"/>
  <c r="G905"/>
  <c r="T905" s="1"/>
  <c r="Q1116"/>
  <c r="Q1239"/>
  <c r="V1262"/>
  <c r="T1360"/>
  <c r="O953"/>
  <c r="V1272"/>
  <c r="I739"/>
  <c r="V523"/>
  <c r="Q1062"/>
  <c r="Q19"/>
  <c r="M218"/>
  <c r="M311" i="8"/>
  <c r="Q300"/>
  <c r="R300" s="1"/>
  <c r="I514"/>
  <c r="I239"/>
  <c r="I249" s="1"/>
  <c r="V249" s="1"/>
  <c r="U319"/>
  <c r="Q1048"/>
  <c r="R1048" s="1"/>
  <c r="V946"/>
  <c r="M126"/>
  <c r="Q1348"/>
  <c r="R1348" s="1"/>
  <c r="V1166"/>
  <c r="Q1788"/>
  <c r="P1766"/>
  <c r="F1774"/>
  <c r="Q266" i="11"/>
  <c r="R266" s="1"/>
  <c r="M965"/>
  <c r="O930"/>
  <c r="P165"/>
  <c r="P468"/>
  <c r="H468"/>
  <c r="U468" s="1"/>
  <c r="Q90"/>
  <c r="R90" s="1"/>
  <c r="O464"/>
  <c r="Q49"/>
  <c r="Q53" s="1"/>
  <c r="R53" s="1"/>
  <c r="Q433"/>
  <c r="R433" s="1"/>
  <c r="F845"/>
  <c r="S845" s="1"/>
  <c r="Q441"/>
  <c r="Q445" s="1"/>
  <c r="R445" s="1"/>
  <c r="Q714"/>
  <c r="Q718" s="1"/>
  <c r="R718" s="1"/>
  <c r="I729"/>
  <c r="V729" s="1"/>
  <c r="Q880"/>
  <c r="Q960"/>
  <c r="Q987"/>
  <c r="V1200"/>
  <c r="Q1071"/>
  <c r="Q1076" s="1"/>
  <c r="R1076" s="1"/>
  <c r="M382"/>
  <c r="U685"/>
  <c r="Q632"/>
  <c r="Q636" s="1"/>
  <c r="R636" s="1"/>
  <c r="Q949"/>
  <c r="Q953" s="1"/>
  <c r="R953" s="1"/>
  <c r="Q1288"/>
  <c r="Q1286" s="1"/>
  <c r="Q1171"/>
  <c r="V1267"/>
  <c r="P1360"/>
  <c r="P1359" s="1"/>
  <c r="P1362" s="1"/>
  <c r="M1360"/>
  <c r="M1359" s="1"/>
  <c r="M1362" s="1"/>
  <c r="M919" i="8"/>
  <c r="M1219"/>
  <c r="O219"/>
  <c r="T219"/>
  <c r="Q563"/>
  <c r="U599" i="11"/>
  <c r="O599"/>
  <c r="G599"/>
  <c r="T599" s="1"/>
  <c r="I975"/>
  <c r="I979" s="1"/>
  <c r="V979" s="1"/>
  <c r="N1010"/>
  <c r="N1014" s="1"/>
  <c r="V1296"/>
  <c r="I1280"/>
  <c r="L314"/>
  <c r="U314" s="1"/>
  <c r="U310"/>
  <c r="P1333"/>
  <c r="V93"/>
  <c r="Q1335"/>
  <c r="J296" i="8"/>
  <c r="M296" s="1"/>
  <c r="M569"/>
  <c r="Q1716"/>
  <c r="M1283"/>
  <c r="M424"/>
  <c r="Q404"/>
  <c r="O1766"/>
  <c r="M329"/>
  <c r="K1823"/>
  <c r="J1313" i="11"/>
  <c r="J1342" s="1"/>
  <c r="M1218" i="8"/>
  <c r="M1307"/>
  <c r="M1317" s="1"/>
  <c r="Q924"/>
  <c r="Q918"/>
  <c r="R918" s="1"/>
  <c r="Q1063"/>
  <c r="R1063" s="1"/>
  <c r="Q528"/>
  <c r="Q1146"/>
  <c r="Q1138"/>
  <c r="R1138" s="1"/>
  <c r="Q285"/>
  <c r="L1823"/>
  <c r="V1011"/>
  <c r="Q1521"/>
  <c r="R1521" s="1"/>
  <c r="U1723"/>
  <c r="V1795"/>
  <c r="Q1679"/>
  <c r="Q1683"/>
  <c r="Q1691"/>
  <c r="Q1701" s="1"/>
  <c r="R1701" s="1"/>
  <c r="M1172"/>
  <c r="M371" i="11"/>
  <c r="P87"/>
  <c r="K1209"/>
  <c r="O1209" s="1"/>
  <c r="L1209"/>
  <c r="U1209" s="1"/>
  <c r="V1202"/>
  <c r="M954"/>
  <c r="M1003"/>
  <c r="T225"/>
  <c r="I135"/>
  <c r="V135" s="1"/>
  <c r="H692"/>
  <c r="U692" s="1"/>
  <c r="Q1282"/>
  <c r="Q1348"/>
  <c r="I225"/>
  <c r="V225" s="1"/>
  <c r="V222"/>
  <c r="T1293"/>
  <c r="H1362"/>
  <c r="U1359"/>
  <c r="I737"/>
  <c r="V734"/>
  <c r="T1209"/>
  <c r="R156"/>
  <c r="Q155"/>
  <c r="Q157" s="1"/>
  <c r="R157" s="1"/>
  <c r="F1313"/>
  <c r="S1308"/>
  <c r="V501"/>
  <c r="I505"/>
  <c r="V505" s="1"/>
  <c r="F218"/>
  <c r="S195"/>
  <c r="I755"/>
  <c r="V755" s="1"/>
  <c r="V751"/>
  <c r="H961"/>
  <c r="U958"/>
  <c r="P958"/>
  <c r="P961" s="1"/>
  <c r="H1010"/>
  <c r="U1007"/>
  <c r="P1007"/>
  <c r="P1010" s="1"/>
  <c r="P1014" s="1"/>
  <c r="I833"/>
  <c r="V833" s="1"/>
  <c r="V831"/>
  <c r="I893"/>
  <c r="V893" s="1"/>
  <c r="V891"/>
  <c r="I1131"/>
  <c r="V1131" s="1"/>
  <c r="V1129"/>
  <c r="V380"/>
  <c r="Q592"/>
  <c r="Q595" s="1"/>
  <c r="N595"/>
  <c r="N599" s="1"/>
  <c r="S595"/>
  <c r="F599"/>
  <c r="S599" s="1"/>
  <c r="I82"/>
  <c r="V82" s="1"/>
  <c r="V79"/>
  <c r="V84"/>
  <c r="I96"/>
  <c r="T96"/>
  <c r="O96"/>
  <c r="P457"/>
  <c r="I415"/>
  <c r="V412"/>
  <c r="I157"/>
  <c r="V157" s="1"/>
  <c r="V155"/>
  <c r="T289"/>
  <c r="O289"/>
  <c r="U588"/>
  <c r="P588"/>
  <c r="T218"/>
  <c r="O218"/>
  <c r="I293"/>
  <c r="F296"/>
  <c r="S293"/>
  <c r="N293"/>
  <c r="T374"/>
  <c r="O374"/>
  <c r="Q374" s="1"/>
  <c r="G468"/>
  <c r="T468" s="1"/>
  <c r="T466"/>
  <c r="O466"/>
  <c r="I466"/>
  <c r="T730"/>
  <c r="O730"/>
  <c r="N845"/>
  <c r="I688"/>
  <c r="V688" s="1"/>
  <c r="V685"/>
  <c r="V538"/>
  <c r="I542"/>
  <c r="V542" s="1"/>
  <c r="V561"/>
  <c r="I565"/>
  <c r="V565" s="1"/>
  <c r="T845"/>
  <c r="O845"/>
  <c r="I912"/>
  <c r="V912" s="1"/>
  <c r="V909"/>
  <c r="I681"/>
  <c r="S681"/>
  <c r="N681"/>
  <c r="U730"/>
  <c r="P730"/>
  <c r="U954"/>
  <c r="P954"/>
  <c r="U1003"/>
  <c r="P1003"/>
  <c r="H930"/>
  <c r="U930" s="1"/>
  <c r="U926"/>
  <c r="I1003"/>
  <c r="V1003" s="1"/>
  <c r="S1003"/>
  <c r="N1003"/>
  <c r="T1012"/>
  <c r="O1012"/>
  <c r="G1014"/>
  <c r="T1014" s="1"/>
  <c r="I1012"/>
  <c r="V938"/>
  <c r="I942"/>
  <c r="V942" s="1"/>
  <c r="P1209"/>
  <c r="F1204"/>
  <c r="S1204" s="1"/>
  <c r="S1201"/>
  <c r="N1201"/>
  <c r="I1201"/>
  <c r="V191"/>
  <c r="I195"/>
  <c r="V195" s="1"/>
  <c r="T239"/>
  <c r="G243"/>
  <c r="T243" s="1"/>
  <c r="V963"/>
  <c r="I165"/>
  <c r="V165" s="1"/>
  <c r="V162"/>
  <c r="N158"/>
  <c r="R51"/>
  <c r="U289"/>
  <c r="P289"/>
  <c r="T517"/>
  <c r="O517"/>
  <c r="T588"/>
  <c r="O588"/>
  <c r="N524"/>
  <c r="N528" s="1"/>
  <c r="Q521"/>
  <c r="Q524" s="1"/>
  <c r="Q528" s="1"/>
  <c r="R528" s="1"/>
  <c r="S524"/>
  <c r="F528"/>
  <c r="S528" s="1"/>
  <c r="I37"/>
  <c r="V30"/>
  <c r="G94"/>
  <c r="T94" s="1"/>
  <c r="T91"/>
  <c r="O91"/>
  <c r="O94" s="1"/>
  <c r="V167"/>
  <c r="I169"/>
  <c r="V169" s="1"/>
  <c r="U218"/>
  <c r="P218"/>
  <c r="U371"/>
  <c r="P371"/>
  <c r="I314"/>
  <c r="V314" s="1"/>
  <c r="V310"/>
  <c r="H378"/>
  <c r="U375"/>
  <c r="P375"/>
  <c r="P378" s="1"/>
  <c r="P382" s="1"/>
  <c r="I375"/>
  <c r="I396"/>
  <c r="V396" s="1"/>
  <c r="V392"/>
  <c r="I613"/>
  <c r="V613" s="1"/>
  <c r="V609"/>
  <c r="T292"/>
  <c r="O292"/>
  <c r="Q292" s="1"/>
  <c r="I292"/>
  <c r="V292" s="1"/>
  <c r="V621"/>
  <c r="I625"/>
  <c r="V625" s="1"/>
  <c r="I852"/>
  <c r="V849"/>
  <c r="S905"/>
  <c r="N905"/>
  <c r="H845"/>
  <c r="U767"/>
  <c r="O905"/>
  <c r="T954"/>
  <c r="O954"/>
  <c r="S1052"/>
  <c r="N1052"/>
  <c r="F930"/>
  <c r="S930" s="1"/>
  <c r="S926"/>
  <c r="T1061"/>
  <c r="O1061"/>
  <c r="I1061"/>
  <c r="U1333"/>
  <c r="H1341"/>
  <c r="Q1294"/>
  <c r="V1294"/>
  <c r="I1295"/>
  <c r="I1293" s="1"/>
  <c r="S1295"/>
  <c r="N1295"/>
  <c r="N1293" s="1"/>
  <c r="U1295"/>
  <c r="P1295"/>
  <c r="P1293" s="1"/>
  <c r="T1333"/>
  <c r="G1341"/>
  <c r="N961"/>
  <c r="N965" s="1"/>
  <c r="S961"/>
  <c r="F965"/>
  <c r="S965" s="1"/>
  <c r="G1250"/>
  <c r="T1247"/>
  <c r="O1247"/>
  <c r="H1250"/>
  <c r="U1247"/>
  <c r="P1247"/>
  <c r="T681"/>
  <c r="O681"/>
  <c r="Q1267"/>
  <c r="R1267" s="1"/>
  <c r="Q1262"/>
  <c r="I1221"/>
  <c r="F1250"/>
  <c r="S1247"/>
  <c r="N1247"/>
  <c r="Q1247" s="1"/>
  <c r="I1247"/>
  <c r="V1247" s="1"/>
  <c r="J1250"/>
  <c r="M1247"/>
  <c r="I1341"/>
  <c r="V1317"/>
  <c r="Q1360"/>
  <c r="N1359"/>
  <c r="V1360"/>
  <c r="G158"/>
  <c r="P169"/>
  <c r="Q71"/>
  <c r="I124"/>
  <c r="V124" s="1"/>
  <c r="I146"/>
  <c r="V146" s="1"/>
  <c r="I179"/>
  <c r="I206"/>
  <c r="V206" s="1"/>
  <c r="Q213"/>
  <c r="Q217" s="1"/>
  <c r="R217" s="1"/>
  <c r="Q322"/>
  <c r="I337"/>
  <c r="V337" s="1"/>
  <c r="Q344"/>
  <c r="Q348" s="1"/>
  <c r="R348" s="1"/>
  <c r="I370"/>
  <c r="V370" s="1"/>
  <c r="Q404"/>
  <c r="Q417"/>
  <c r="I494"/>
  <c r="V494" s="1"/>
  <c r="I516"/>
  <c r="V516" s="1"/>
  <c r="I554"/>
  <c r="V554" s="1"/>
  <c r="I576"/>
  <c r="V576" s="1"/>
  <c r="Q597"/>
  <c r="G741"/>
  <c r="T741" s="1"/>
  <c r="I478"/>
  <c r="Q654"/>
  <c r="Q658" s="1"/>
  <c r="R658" s="1"/>
  <c r="O778"/>
  <c r="O822"/>
  <c r="Q938"/>
  <c r="Q942" s="1"/>
  <c r="R942" s="1"/>
  <c r="I953"/>
  <c r="V953" s="1"/>
  <c r="Q1007"/>
  <c r="Q1010" s="1"/>
  <c r="Q1017"/>
  <c r="M1209"/>
  <c r="V1203"/>
  <c r="I1087"/>
  <c r="V1087" s="1"/>
  <c r="I1109"/>
  <c r="V1109" s="1"/>
  <c r="I1120"/>
  <c r="V1120" s="1"/>
  <c r="I1142"/>
  <c r="V1142" s="1"/>
  <c r="M289"/>
  <c r="M845"/>
  <c r="M730"/>
  <c r="G382"/>
  <c r="T382" s="1"/>
  <c r="I64"/>
  <c r="V64" s="1"/>
  <c r="I75"/>
  <c r="V75" s="1"/>
  <c r="T87"/>
  <c r="Q92"/>
  <c r="Q112"/>
  <c r="R112" s="1"/>
  <c r="M158"/>
  <c r="Q161"/>
  <c r="R161" s="1"/>
  <c r="Q168"/>
  <c r="P528"/>
  <c r="H528"/>
  <c r="U528" s="1"/>
  <c r="Q60"/>
  <c r="Q64" s="1"/>
  <c r="R64" s="1"/>
  <c r="Q79"/>
  <c r="Q82" s="1"/>
  <c r="F517"/>
  <c r="Q191"/>
  <c r="Q206"/>
  <c r="R206" s="1"/>
  <c r="Q236"/>
  <c r="Q239" s="1"/>
  <c r="Q251"/>
  <c r="I266"/>
  <c r="V266" s="1"/>
  <c r="Q273"/>
  <c r="Q277" s="1"/>
  <c r="R277" s="1"/>
  <c r="I288"/>
  <c r="V288" s="1"/>
  <c r="Q337"/>
  <c r="R337" s="1"/>
  <c r="Q355"/>
  <c r="Q370"/>
  <c r="R370" s="1"/>
  <c r="I445"/>
  <c r="V445" s="1"/>
  <c r="Q452"/>
  <c r="Q478"/>
  <c r="Q482" s="1"/>
  <c r="R482" s="1"/>
  <c r="Q494"/>
  <c r="R494" s="1"/>
  <c r="Q501"/>
  <c r="Q505" s="1"/>
  <c r="R505" s="1"/>
  <c r="Q538"/>
  <c r="Q542" s="1"/>
  <c r="R542" s="1"/>
  <c r="Q561"/>
  <c r="Q565" s="1"/>
  <c r="R565" s="1"/>
  <c r="I587"/>
  <c r="V587" s="1"/>
  <c r="O692"/>
  <c r="G692"/>
  <c r="T692" s="1"/>
  <c r="I255"/>
  <c r="V255" s="1"/>
  <c r="I277"/>
  <c r="V277" s="1"/>
  <c r="I326"/>
  <c r="V326" s="1"/>
  <c r="I408"/>
  <c r="V408" s="1"/>
  <c r="O856"/>
  <c r="G856"/>
  <c r="T856" s="1"/>
  <c r="F730"/>
  <c r="Q733"/>
  <c r="Q751"/>
  <c r="Q755" s="1"/>
  <c r="R755" s="1"/>
  <c r="Q796"/>
  <c r="Q818"/>
  <c r="Q820"/>
  <c r="M856"/>
  <c r="Q680"/>
  <c r="R680" s="1"/>
  <c r="Q702"/>
  <c r="Q706" s="1"/>
  <c r="R706" s="1"/>
  <c r="I844"/>
  <c r="V844" s="1"/>
  <c r="Q854"/>
  <c r="Q878"/>
  <c r="Q902"/>
  <c r="Q1049"/>
  <c r="I882"/>
  <c r="V882" s="1"/>
  <c r="I904"/>
  <c r="V904" s="1"/>
  <c r="Q1038"/>
  <c r="Q1140"/>
  <c r="J1347"/>
  <c r="Q122"/>
  <c r="Q1151"/>
  <c r="Q1153" s="1"/>
  <c r="R1153" s="1"/>
  <c r="Q1334"/>
  <c r="V1333"/>
  <c r="Q1186"/>
  <c r="R1186" s="1"/>
  <c r="N1341"/>
  <c r="Q133"/>
  <c r="I789"/>
  <c r="V789" s="1"/>
  <c r="I1098"/>
  <c r="V1098" s="1"/>
  <c r="I1153"/>
  <c r="V1153" s="1"/>
  <c r="I1286"/>
  <c r="V1286" s="1"/>
  <c r="N1286"/>
  <c r="I1164"/>
  <c r="V1164" s="1"/>
  <c r="Q1193"/>
  <c r="Q1197" s="1"/>
  <c r="R1197" s="1"/>
  <c r="I1232"/>
  <c r="Q1249"/>
  <c r="Q1355"/>
  <c r="Q1357"/>
  <c r="R85"/>
  <c r="Q84"/>
  <c r="O380"/>
  <c r="Q381"/>
  <c r="Q380" s="1"/>
  <c r="F289"/>
  <c r="S255"/>
  <c r="G314"/>
  <c r="T314" s="1"/>
  <c r="T310"/>
  <c r="V597"/>
  <c r="V355"/>
  <c r="I359"/>
  <c r="V359" s="1"/>
  <c r="F371"/>
  <c r="S326"/>
  <c r="H737"/>
  <c r="U734"/>
  <c r="P734"/>
  <c r="P737" s="1"/>
  <c r="P741" s="1"/>
  <c r="V690"/>
  <c r="I811"/>
  <c r="V811" s="1"/>
  <c r="V809"/>
  <c r="V1038"/>
  <c r="I229"/>
  <c r="O229"/>
  <c r="Q227"/>
  <c r="I595"/>
  <c r="V595" s="1"/>
  <c r="V592"/>
  <c r="R62"/>
  <c r="Q75"/>
  <c r="R75" s="1"/>
  <c r="R73"/>
  <c r="H94"/>
  <c r="U91"/>
  <c r="P91"/>
  <c r="P94" s="1"/>
  <c r="P98" s="1"/>
  <c r="U124"/>
  <c r="H169"/>
  <c r="U169" s="1"/>
  <c r="U167"/>
  <c r="N415"/>
  <c r="N419" s="1"/>
  <c r="Q412"/>
  <c r="Q415" s="1"/>
  <c r="S415"/>
  <c r="F419"/>
  <c r="S419" s="1"/>
  <c r="V108"/>
  <c r="I112"/>
  <c r="V112" s="1"/>
  <c r="T457"/>
  <c r="O457"/>
  <c r="U517"/>
  <c r="P517"/>
  <c r="M227"/>
  <c r="M229" s="1"/>
  <c r="K229"/>
  <c r="T229" s="1"/>
  <c r="I348"/>
  <c r="V348" s="1"/>
  <c r="V346"/>
  <c r="I461"/>
  <c r="F464"/>
  <c r="S461"/>
  <c r="N461"/>
  <c r="N688"/>
  <c r="N692" s="1"/>
  <c r="S688"/>
  <c r="F692"/>
  <c r="S692" s="1"/>
  <c r="N912"/>
  <c r="N916" s="1"/>
  <c r="Q909"/>
  <c r="Q912" s="1"/>
  <c r="S912"/>
  <c r="F916"/>
  <c r="S916" s="1"/>
  <c r="I706"/>
  <c r="V706" s="1"/>
  <c r="V702"/>
  <c r="T1003"/>
  <c r="O1003"/>
  <c r="Q1300"/>
  <c r="N1299"/>
  <c r="N1313" s="1"/>
  <c r="V1300"/>
  <c r="I870"/>
  <c r="V870" s="1"/>
  <c r="V866"/>
  <c r="G916"/>
  <c r="T916" s="1"/>
  <c r="T914"/>
  <c r="O914"/>
  <c r="I914"/>
  <c r="I954"/>
  <c r="V954" s="1"/>
  <c r="S954"/>
  <c r="N954"/>
  <c r="Q954" s="1"/>
  <c r="V975"/>
  <c r="U1061"/>
  <c r="P1061"/>
  <c r="G1204"/>
  <c r="T1204" s="1"/>
  <c r="T1201"/>
  <c r="O1201"/>
  <c r="O1204" s="1"/>
  <c r="N1209"/>
  <c r="S1209"/>
  <c r="I1209"/>
  <c r="V1209" s="1"/>
  <c r="H1204"/>
  <c r="U1204" s="1"/>
  <c r="U1201"/>
  <c r="P1201"/>
  <c r="P1204" s="1"/>
  <c r="J1204"/>
  <c r="M1201"/>
  <c r="M1204" s="1"/>
  <c r="V452"/>
  <c r="I456"/>
  <c r="V456" s="1"/>
  <c r="S378"/>
  <c r="F382"/>
  <c r="S382" s="1"/>
  <c r="H225"/>
  <c r="U222"/>
  <c r="P222"/>
  <c r="P225" s="1"/>
  <c r="P229" s="1"/>
  <c r="V213"/>
  <c r="I217"/>
  <c r="V217" s="1"/>
  <c r="I800"/>
  <c r="V800" s="1"/>
  <c r="V798"/>
  <c r="I767"/>
  <c r="V767" s="1"/>
  <c r="V765"/>
  <c r="Q162"/>
  <c r="N165"/>
  <c r="S165"/>
  <c r="F169"/>
  <c r="S169" s="1"/>
  <c r="R31"/>
  <c r="Q30"/>
  <c r="I91"/>
  <c r="F94"/>
  <c r="S91"/>
  <c r="N91"/>
  <c r="M91"/>
  <c r="M94" s="1"/>
  <c r="M98" s="1"/>
  <c r="J94"/>
  <c r="J98" s="1"/>
  <c r="U153"/>
  <c r="H157"/>
  <c r="U157" s="1"/>
  <c r="T371"/>
  <c r="O371"/>
  <c r="V298"/>
  <c r="I524"/>
  <c r="V521"/>
  <c r="R144"/>
  <c r="Q146"/>
  <c r="R146" s="1"/>
  <c r="I588"/>
  <c r="V588" s="1"/>
  <c r="N588"/>
  <c r="Q588" s="1"/>
  <c r="I243"/>
  <c r="V243" s="1"/>
  <c r="V241"/>
  <c r="M293"/>
  <c r="M296" s="1"/>
  <c r="M300" s="1"/>
  <c r="J296"/>
  <c r="J300" s="1"/>
  <c r="M461"/>
  <c r="M464" s="1"/>
  <c r="M468" s="1"/>
  <c r="J464"/>
  <c r="J468" s="1"/>
  <c r="U681"/>
  <c r="P681"/>
  <c r="N852"/>
  <c r="N856" s="1"/>
  <c r="S852"/>
  <c r="F856"/>
  <c r="S856" s="1"/>
  <c r="I856"/>
  <c r="V854"/>
  <c r="H905"/>
  <c r="U882"/>
  <c r="N926"/>
  <c r="N930" s="1"/>
  <c r="Q923"/>
  <c r="V923"/>
  <c r="I926"/>
  <c r="M1061"/>
  <c r="F1059"/>
  <c r="S1056"/>
  <c r="N1056"/>
  <c r="J1059"/>
  <c r="J1063" s="1"/>
  <c r="T1295"/>
  <c r="O1295"/>
  <c r="U1361"/>
  <c r="P1361"/>
  <c r="I1076"/>
  <c r="V1076" s="1"/>
  <c r="V1071"/>
  <c r="U1293"/>
  <c r="T1361"/>
  <c r="O1361"/>
  <c r="O1359" s="1"/>
  <c r="O1362" s="1"/>
  <c r="N225"/>
  <c r="N229" s="1"/>
  <c r="Q222"/>
  <c r="Q225" s="1"/>
  <c r="S225"/>
  <c r="F229"/>
  <c r="S229" s="1"/>
  <c r="U1252"/>
  <c r="P1252"/>
  <c r="T1252"/>
  <c r="O1252"/>
  <c r="Q1252" s="1"/>
  <c r="I1252"/>
  <c r="V1252" s="1"/>
  <c r="Q1354"/>
  <c r="N1352"/>
  <c r="V1354"/>
  <c r="I1352"/>
  <c r="V1352" s="1"/>
  <c r="F1362"/>
  <c r="S1359"/>
  <c r="O239"/>
  <c r="O243" s="1"/>
  <c r="O528"/>
  <c r="G528"/>
  <c r="T528" s="1"/>
  <c r="I53"/>
  <c r="V53" s="1"/>
  <c r="O296"/>
  <c r="O300" s="1"/>
  <c r="G300"/>
  <c r="T300" s="1"/>
  <c r="P419"/>
  <c r="H419"/>
  <c r="U419" s="1"/>
  <c r="O741"/>
  <c r="M741"/>
  <c r="Q195"/>
  <c r="R195" s="1"/>
  <c r="Q255"/>
  <c r="R255" s="1"/>
  <c r="Q326"/>
  <c r="R326" s="1"/>
  <c r="Q359"/>
  <c r="R359" s="1"/>
  <c r="Q396"/>
  <c r="R396" s="1"/>
  <c r="Q408"/>
  <c r="R408" s="1"/>
  <c r="Q587"/>
  <c r="R587" s="1"/>
  <c r="P916"/>
  <c r="H916"/>
  <c r="U916" s="1"/>
  <c r="Q625"/>
  <c r="R625" s="1"/>
  <c r="I636"/>
  <c r="V636" s="1"/>
  <c r="Q669"/>
  <c r="R669" s="1"/>
  <c r="I680"/>
  <c r="V680" s="1"/>
  <c r="Q725"/>
  <c r="Q729" s="1"/>
  <c r="R729" s="1"/>
  <c r="Q778"/>
  <c r="R778" s="1"/>
  <c r="V739"/>
  <c r="Q785"/>
  <c r="Q829"/>
  <c r="Q900"/>
  <c r="Q919"/>
  <c r="Q991"/>
  <c r="R991" s="1"/>
  <c r="I1002"/>
  <c r="V1002" s="1"/>
  <c r="Q866"/>
  <c r="Q870" s="1"/>
  <c r="R870" s="1"/>
  <c r="Q968"/>
  <c r="Q975" s="1"/>
  <c r="Q979" s="1"/>
  <c r="R979" s="1"/>
  <c r="Q1083"/>
  <c r="Q1138"/>
  <c r="Q1200"/>
  <c r="Q1202"/>
  <c r="Q1203"/>
  <c r="V1073"/>
  <c r="Q1096"/>
  <c r="Q1098" s="1"/>
  <c r="R1098" s="1"/>
  <c r="Q1131"/>
  <c r="R1131" s="1"/>
  <c r="O87"/>
  <c r="Q243"/>
  <c r="R243" s="1"/>
  <c r="M457"/>
  <c r="M681"/>
  <c r="G169"/>
  <c r="T169" s="1"/>
  <c r="N169"/>
  <c r="F457"/>
  <c r="N87"/>
  <c r="I374"/>
  <c r="V374" s="1"/>
  <c r="V526"/>
  <c r="Q310"/>
  <c r="Q314" s="1"/>
  <c r="R314" s="1"/>
  <c r="Q456"/>
  <c r="R456" s="1"/>
  <c r="Q512"/>
  <c r="Q516" s="1"/>
  <c r="R516" s="1"/>
  <c r="Q613"/>
  <c r="R613" s="1"/>
  <c r="P965"/>
  <c r="Q643"/>
  <c r="Q647" s="1"/>
  <c r="R647" s="1"/>
  <c r="I658"/>
  <c r="V658" s="1"/>
  <c r="N737"/>
  <c r="N741" s="1"/>
  <c r="Q739"/>
  <c r="H856"/>
  <c r="U856" s="1"/>
  <c r="O965"/>
  <c r="G965"/>
  <c r="T965" s="1"/>
  <c r="Q787"/>
  <c r="Q789" s="1"/>
  <c r="R789" s="1"/>
  <c r="Q831"/>
  <c r="Q844"/>
  <c r="R844" s="1"/>
  <c r="Q891"/>
  <c r="Q893" s="1"/>
  <c r="R893" s="1"/>
  <c r="Q1002"/>
  <c r="R1002" s="1"/>
  <c r="V1062"/>
  <c r="O1293"/>
  <c r="Q1085"/>
  <c r="Q1105"/>
  <c r="Q1109" s="1"/>
  <c r="R1109" s="1"/>
  <c r="P1120"/>
  <c r="Q1160"/>
  <c r="Q1164" s="1"/>
  <c r="R1164" s="1"/>
  <c r="Q1296"/>
  <c r="M1295"/>
  <c r="M1293" s="1"/>
  <c r="Q1297"/>
  <c r="V1297"/>
  <c r="I1007"/>
  <c r="M1341"/>
  <c r="I958"/>
  <c r="Q1175"/>
  <c r="R1175" s="1"/>
  <c r="I1186"/>
  <c r="V1186" s="1"/>
  <c r="Q1243"/>
  <c r="R1243" s="1"/>
  <c r="O1341"/>
  <c r="P1341"/>
  <c r="G1359"/>
  <c r="Q1361"/>
  <c r="I1361"/>
  <c r="V1361" s="1"/>
  <c r="Q1248"/>
  <c r="Q1272"/>
  <c r="Q1276"/>
  <c r="Q1356"/>
  <c r="F1347"/>
  <c r="U311" i="8"/>
  <c r="P311"/>
  <c r="S520"/>
  <c r="N520"/>
  <c r="I126"/>
  <c r="V124"/>
  <c r="G406"/>
  <c r="T400"/>
  <c r="O400"/>
  <c r="V491"/>
  <c r="I503"/>
  <c r="V503" s="1"/>
  <c r="V31"/>
  <c r="I24"/>
  <c r="G520"/>
  <c r="T514"/>
  <c r="O514"/>
  <c r="V709"/>
  <c r="I708"/>
  <c r="S249"/>
  <c r="N249"/>
  <c r="T296"/>
  <c r="O296"/>
  <c r="F329"/>
  <c r="S319"/>
  <c r="N319"/>
  <c r="Q319" s="1"/>
  <c r="F396"/>
  <c r="S394"/>
  <c r="I394"/>
  <c r="N394"/>
  <c r="I520"/>
  <c r="V514"/>
  <c r="H121"/>
  <c r="U75"/>
  <c r="P75"/>
  <c r="S105"/>
  <c r="N105"/>
  <c r="I120"/>
  <c r="V120" s="1"/>
  <c r="V110"/>
  <c r="T126"/>
  <c r="O126"/>
  <c r="T128"/>
  <c r="O128"/>
  <c r="V224"/>
  <c r="I223"/>
  <c r="V223" s="1"/>
  <c r="V239"/>
  <c r="G216"/>
  <c r="T215"/>
  <c r="O215"/>
  <c r="V399"/>
  <c r="I398"/>
  <c r="V398" s="1"/>
  <c r="U400"/>
  <c r="P400"/>
  <c r="U619"/>
  <c r="P619"/>
  <c r="I75"/>
  <c r="V75" s="1"/>
  <c r="V65"/>
  <c r="U128"/>
  <c r="P128"/>
  <c r="U130"/>
  <c r="P130"/>
  <c r="H136"/>
  <c r="F154"/>
  <c r="S144"/>
  <c r="N144"/>
  <c r="M219"/>
  <c r="M221" s="1"/>
  <c r="M231" s="1"/>
  <c r="J221"/>
  <c r="J231" s="1"/>
  <c r="T200"/>
  <c r="O200"/>
  <c r="I280"/>
  <c r="V280" s="1"/>
  <c r="V270"/>
  <c r="T280"/>
  <c r="O280"/>
  <c r="P329"/>
  <c r="U329"/>
  <c r="T794"/>
  <c r="O794"/>
  <c r="T919"/>
  <c r="O919"/>
  <c r="V319"/>
  <c r="U424"/>
  <c r="P424"/>
  <c r="S587"/>
  <c r="N587"/>
  <c r="I603"/>
  <c r="V603" s="1"/>
  <c r="V593"/>
  <c r="T624"/>
  <c r="O624"/>
  <c r="N809"/>
  <c r="S809"/>
  <c r="S794"/>
  <c r="N794"/>
  <c r="I794"/>
  <c r="V794" s="1"/>
  <c r="U1139"/>
  <c r="P1139"/>
  <c r="N538"/>
  <c r="S538"/>
  <c r="I1154"/>
  <c r="V1148"/>
  <c r="U1154"/>
  <c r="P1154"/>
  <c r="P1299"/>
  <c r="U1299"/>
  <c r="V637"/>
  <c r="I642"/>
  <c r="S732"/>
  <c r="N732"/>
  <c r="I748"/>
  <c r="V748" s="1"/>
  <c r="V738"/>
  <c r="T799"/>
  <c r="O799"/>
  <c r="G809"/>
  <c r="T803"/>
  <c r="O803"/>
  <c r="I827"/>
  <c r="V827" s="1"/>
  <c r="V817"/>
  <c r="S926"/>
  <c r="N926"/>
  <c r="Q926" s="1"/>
  <c r="F934"/>
  <c r="S928"/>
  <c r="N928"/>
  <c r="Q928" s="1"/>
  <c r="F984"/>
  <c r="S968"/>
  <c r="N968"/>
  <c r="Q968" s="1"/>
  <c r="R968" s="1"/>
  <c r="P1108"/>
  <c r="Q1108" s="1"/>
  <c r="R1108" s="1"/>
  <c r="U1108"/>
  <c r="N200"/>
  <c r="S200"/>
  <c r="T559"/>
  <c r="O559"/>
  <c r="V627"/>
  <c r="I626"/>
  <c r="V626" s="1"/>
  <c r="P215"/>
  <c r="Q215" s="1"/>
  <c r="R215" s="1"/>
  <c r="H216"/>
  <c r="U215"/>
  <c r="V707"/>
  <c r="I706"/>
  <c r="V706" s="1"/>
  <c r="I698"/>
  <c r="V698" s="1"/>
  <c r="V688"/>
  <c r="V1800"/>
  <c r="V299"/>
  <c r="I301"/>
  <c r="V301" s="1"/>
  <c r="U504"/>
  <c r="P504"/>
  <c r="N569"/>
  <c r="S569"/>
  <c r="F121"/>
  <c r="S75"/>
  <c r="N75"/>
  <c r="S120"/>
  <c r="N120"/>
  <c r="T170"/>
  <c r="O170"/>
  <c r="S225"/>
  <c r="N225"/>
  <c r="I225"/>
  <c r="V226"/>
  <c r="T305"/>
  <c r="O305"/>
  <c r="V401"/>
  <c r="I400"/>
  <c r="F391"/>
  <c r="N345"/>
  <c r="S345"/>
  <c r="I48"/>
  <c r="V43"/>
  <c r="V1729"/>
  <c r="I1728"/>
  <c r="I105"/>
  <c r="V105" s="1"/>
  <c r="V95"/>
  <c r="S128"/>
  <c r="N128"/>
  <c r="H154"/>
  <c r="U144"/>
  <c r="P144"/>
  <c r="U219"/>
  <c r="P219"/>
  <c r="H221"/>
  <c r="V175"/>
  <c r="I185"/>
  <c r="V185" s="1"/>
  <c r="V205"/>
  <c r="I215"/>
  <c r="V215" s="1"/>
  <c r="U249"/>
  <c r="P249"/>
  <c r="P714"/>
  <c r="U714"/>
  <c r="N999"/>
  <c r="S999"/>
  <c r="U984"/>
  <c r="P984"/>
  <c r="S424"/>
  <c r="N424"/>
  <c r="I440"/>
  <c r="V440" s="1"/>
  <c r="V430"/>
  <c r="I486"/>
  <c r="V486" s="1"/>
  <c r="V476"/>
  <c r="I587"/>
  <c r="V587" s="1"/>
  <c r="V577"/>
  <c r="S699"/>
  <c r="N699"/>
  <c r="I699"/>
  <c r="V699" s="1"/>
  <c r="T984"/>
  <c r="O984"/>
  <c r="I1139"/>
  <c r="V1139" s="1"/>
  <c r="S1139"/>
  <c r="N1139"/>
  <c r="S634"/>
  <c r="N634"/>
  <c r="N1234"/>
  <c r="S1234"/>
  <c r="T652"/>
  <c r="O652"/>
  <c r="I683"/>
  <c r="V683" s="1"/>
  <c r="V673"/>
  <c r="T706"/>
  <c r="O706"/>
  <c r="U732"/>
  <c r="P732"/>
  <c r="I778"/>
  <c r="V778" s="1"/>
  <c r="V768"/>
  <c r="S873"/>
  <c r="N873"/>
  <c r="Q873" s="1"/>
  <c r="R873" s="1"/>
  <c r="V937"/>
  <c r="I942"/>
  <c r="U1017"/>
  <c r="P1017"/>
  <c r="I1093"/>
  <c r="V1093" s="1"/>
  <c r="V1083"/>
  <c r="U1219"/>
  <c r="P1219"/>
  <c r="N952"/>
  <c r="S952"/>
  <c r="S1364"/>
  <c r="N1364"/>
  <c r="T1172"/>
  <c r="O1172"/>
  <c r="T1224"/>
  <c r="O1224"/>
  <c r="I1252"/>
  <c r="V1252" s="1"/>
  <c r="V1242"/>
  <c r="T1291"/>
  <c r="O1291"/>
  <c r="I1317"/>
  <c r="V1317" s="1"/>
  <c r="V1307"/>
  <c r="U1333"/>
  <c r="H1349"/>
  <c r="P1333"/>
  <c r="Q1333" s="1"/>
  <c r="R1333" s="1"/>
  <c r="U1627"/>
  <c r="P1627"/>
  <c r="T1620"/>
  <c r="O1620"/>
  <c r="I1348"/>
  <c r="V1348" s="1"/>
  <c r="V1338"/>
  <c r="V1724"/>
  <c r="I1723"/>
  <c r="V1723" s="1"/>
  <c r="N1723"/>
  <c r="Q1724"/>
  <c r="Q1723" s="1"/>
  <c r="V1788"/>
  <c r="I1787"/>
  <c r="I1793"/>
  <c r="V1791"/>
  <c r="S1847"/>
  <c r="N1847"/>
  <c r="U1847"/>
  <c r="P1847"/>
  <c r="S1848"/>
  <c r="N1848"/>
  <c r="U1848"/>
  <c r="P1848"/>
  <c r="V1679"/>
  <c r="H1684"/>
  <c r="U1678"/>
  <c r="P1678"/>
  <c r="U1740"/>
  <c r="U1656"/>
  <c r="P1656"/>
  <c r="T1676"/>
  <c r="O1676"/>
  <c r="I1656"/>
  <c r="R1744"/>
  <c r="I1566"/>
  <c r="V1566" s="1"/>
  <c r="V1556"/>
  <c r="O827"/>
  <c r="T827"/>
  <c r="I1364"/>
  <c r="V1364" s="1"/>
  <c r="V1358"/>
  <c r="U1364"/>
  <c r="P1364"/>
  <c r="I1138"/>
  <c r="V1138" s="1"/>
  <c r="V1128"/>
  <c r="I1218"/>
  <c r="V1218" s="1"/>
  <c r="V1208"/>
  <c r="S1252"/>
  <c r="N1252"/>
  <c r="I1268"/>
  <c r="V1268" s="1"/>
  <c r="V1258"/>
  <c r="I1289"/>
  <c r="V1289" s="1"/>
  <c r="V1287"/>
  <c r="V1294"/>
  <c r="I1293"/>
  <c r="S1317"/>
  <c r="N1317"/>
  <c r="O1317"/>
  <c r="T1317"/>
  <c r="U1787"/>
  <c r="P1787"/>
  <c r="T1844"/>
  <c r="O1844"/>
  <c r="S1616"/>
  <c r="N1616"/>
  <c r="U1616"/>
  <c r="P1616"/>
  <c r="S1618"/>
  <c r="N1618"/>
  <c r="S1620"/>
  <c r="N1620"/>
  <c r="F1627"/>
  <c r="U1620"/>
  <c r="P1620"/>
  <c r="Q1767"/>
  <c r="Q1769" s="1"/>
  <c r="N1769"/>
  <c r="S1769"/>
  <c r="H1843"/>
  <c r="U1769"/>
  <c r="H1766"/>
  <c r="U1766" s="1"/>
  <c r="S1740"/>
  <c r="S1566"/>
  <c r="N1566"/>
  <c r="Q1566" s="1"/>
  <c r="R1566" s="1"/>
  <c r="I1581"/>
  <c r="V1581" s="1"/>
  <c r="V1571"/>
  <c r="I1714"/>
  <c r="U1714"/>
  <c r="G1843"/>
  <c r="T1769"/>
  <c r="G1766"/>
  <c r="T1766" s="1"/>
  <c r="T1740"/>
  <c r="M714"/>
  <c r="Q455"/>
  <c r="R455" s="1"/>
  <c r="Q624"/>
  <c r="V135"/>
  <c r="Q803"/>
  <c r="Q309"/>
  <c r="R309" s="1"/>
  <c r="Q360"/>
  <c r="R360" s="1"/>
  <c r="P1811"/>
  <c r="K136"/>
  <c r="M809"/>
  <c r="Q126"/>
  <c r="H1799"/>
  <c r="U1799" s="1"/>
  <c r="Q405"/>
  <c r="Q375"/>
  <c r="R375" s="1"/>
  <c r="V511"/>
  <c r="Q65"/>
  <c r="Q110"/>
  <c r="V134"/>
  <c r="V148"/>
  <c r="V243"/>
  <c r="Q305"/>
  <c r="Q243"/>
  <c r="Q401"/>
  <c r="Q335"/>
  <c r="Q559"/>
  <c r="G569"/>
  <c r="Q603"/>
  <c r="R603" s="1"/>
  <c r="V53"/>
  <c r="Q131"/>
  <c r="R131" s="1"/>
  <c r="J136"/>
  <c r="F216"/>
  <c r="Q274"/>
  <c r="I305"/>
  <c r="Q683"/>
  <c r="R683" s="1"/>
  <c r="V924"/>
  <c r="Q993"/>
  <c r="Q1078"/>
  <c r="R1078" s="1"/>
  <c r="Q414"/>
  <c r="Q668"/>
  <c r="R668" s="1"/>
  <c r="Q843"/>
  <c r="R843" s="1"/>
  <c r="Q858"/>
  <c r="R858" s="1"/>
  <c r="I989"/>
  <c r="V989" s="1"/>
  <c r="Q1093"/>
  <c r="R1093" s="1"/>
  <c r="V581"/>
  <c r="Q628"/>
  <c r="Q1228"/>
  <c r="J934"/>
  <c r="I803"/>
  <c r="Q942"/>
  <c r="M1844"/>
  <c r="Q1673"/>
  <c r="V1718"/>
  <c r="M1299"/>
  <c r="Q1720"/>
  <c r="Q1718" s="1"/>
  <c r="I624"/>
  <c r="V624" s="1"/>
  <c r="Q1356"/>
  <c r="Q1242"/>
  <c r="Q1307"/>
  <c r="Q1551"/>
  <c r="R1551" s="1"/>
  <c r="O1723"/>
  <c r="Q1614"/>
  <c r="M1620"/>
  <c r="M1627" s="1"/>
  <c r="Q1625"/>
  <c r="V1625"/>
  <c r="M1766"/>
  <c r="L1842"/>
  <c r="L1849" s="1"/>
  <c r="K1842"/>
  <c r="K1849" s="1"/>
  <c r="S1774"/>
  <c r="H1774"/>
  <c r="U1774" s="1"/>
  <c r="Q1781"/>
  <c r="Q1778" s="1"/>
  <c r="H231"/>
  <c r="U225"/>
  <c r="P225"/>
  <c r="T391"/>
  <c r="O391"/>
  <c r="F296"/>
  <c r="S265"/>
  <c r="N265"/>
  <c r="T221"/>
  <c r="O221"/>
  <c r="H520"/>
  <c r="U514"/>
  <c r="P514"/>
  <c r="Q514" s="1"/>
  <c r="S295"/>
  <c r="N295"/>
  <c r="I360"/>
  <c r="V360" s="1"/>
  <c r="V350"/>
  <c r="T704"/>
  <c r="O704"/>
  <c r="Q704" s="1"/>
  <c r="I793"/>
  <c r="V793" s="1"/>
  <c r="V783"/>
  <c r="I873"/>
  <c r="V873" s="1"/>
  <c r="V863"/>
  <c r="V802"/>
  <c r="I801"/>
  <c r="V801" s="1"/>
  <c r="I983"/>
  <c r="V983" s="1"/>
  <c r="V973"/>
  <c r="V1812"/>
  <c r="T396"/>
  <c r="O396"/>
  <c r="H396"/>
  <c r="U394"/>
  <c r="P394"/>
  <c r="I504"/>
  <c r="V504" s="1"/>
  <c r="S504"/>
  <c r="N504"/>
  <c r="V563"/>
  <c r="P59"/>
  <c r="U59"/>
  <c r="I90"/>
  <c r="V90" s="1"/>
  <c r="V80"/>
  <c r="T90"/>
  <c r="O90"/>
  <c r="Q90" s="1"/>
  <c r="R90" s="1"/>
  <c r="U120"/>
  <c r="P120"/>
  <c r="G136"/>
  <c r="T130"/>
  <c r="O130"/>
  <c r="I170"/>
  <c r="V170" s="1"/>
  <c r="V160"/>
  <c r="P185"/>
  <c r="U185"/>
  <c r="S223"/>
  <c r="N223"/>
  <c r="Q223" s="1"/>
  <c r="T303"/>
  <c r="O303"/>
  <c r="Q303" s="1"/>
  <c r="U301"/>
  <c r="P301"/>
  <c r="S398"/>
  <c r="N398"/>
  <c r="Q398" s="1"/>
  <c r="H391"/>
  <c r="P345"/>
  <c r="U345"/>
  <c r="F32"/>
  <c r="S24"/>
  <c r="O75"/>
  <c r="G121"/>
  <c r="T75"/>
  <c r="S219"/>
  <c r="I219"/>
  <c r="F221"/>
  <c r="F231" s="1"/>
  <c r="N219"/>
  <c r="I144"/>
  <c r="V139"/>
  <c r="O154"/>
  <c r="T154"/>
  <c r="O249"/>
  <c r="T249"/>
  <c r="U295"/>
  <c r="P295"/>
  <c r="I375"/>
  <c r="V375" s="1"/>
  <c r="V365"/>
  <c r="I634"/>
  <c r="V634" s="1"/>
  <c r="V628"/>
  <c r="I999"/>
  <c r="V999" s="1"/>
  <c r="V993"/>
  <c r="T329"/>
  <c r="O329"/>
  <c r="I424"/>
  <c r="V424" s="1"/>
  <c r="V414"/>
  <c r="I471"/>
  <c r="V471" s="1"/>
  <c r="V465"/>
  <c r="T538"/>
  <c r="O538"/>
  <c r="S618"/>
  <c r="N618"/>
  <c r="Q618" s="1"/>
  <c r="R618" s="1"/>
  <c r="U699"/>
  <c r="P699"/>
  <c r="P809"/>
  <c r="U809"/>
  <c r="U934"/>
  <c r="P934"/>
  <c r="U919"/>
  <c r="P919"/>
  <c r="T999"/>
  <c r="O999"/>
  <c r="O424"/>
  <c r="T424"/>
  <c r="I455"/>
  <c r="V455" s="1"/>
  <c r="V445"/>
  <c r="U634"/>
  <c r="P634"/>
  <c r="I1234"/>
  <c r="V1234" s="1"/>
  <c r="V1228"/>
  <c r="N1299"/>
  <c r="S1299"/>
  <c r="S1284"/>
  <c r="N1284"/>
  <c r="I1284"/>
  <c r="V1284" s="1"/>
  <c r="S793"/>
  <c r="N793"/>
  <c r="Q793" s="1"/>
  <c r="R793" s="1"/>
  <c r="T801"/>
  <c r="O801"/>
  <c r="Q801" s="1"/>
  <c r="U827"/>
  <c r="P827"/>
  <c r="I858"/>
  <c r="V858" s="1"/>
  <c r="V848"/>
  <c r="I888"/>
  <c r="V888" s="1"/>
  <c r="V878"/>
  <c r="V927"/>
  <c r="I926"/>
  <c r="V926" s="1"/>
  <c r="V929"/>
  <c r="I928"/>
  <c r="T952"/>
  <c r="O952"/>
  <c r="S983"/>
  <c r="N983"/>
  <c r="Q983" s="1"/>
  <c r="R983" s="1"/>
  <c r="S1017"/>
  <c r="N1017"/>
  <c r="I1033"/>
  <c r="V1033" s="1"/>
  <c r="V1023"/>
  <c r="I1063"/>
  <c r="V1063" s="1"/>
  <c r="V1053"/>
  <c r="T1234"/>
  <c r="O1234"/>
  <c r="N280"/>
  <c r="Q280" s="1"/>
  <c r="R280" s="1"/>
  <c r="S280"/>
  <c r="O295"/>
  <c r="T295"/>
  <c r="U511"/>
  <c r="P511"/>
  <c r="Q511" s="1"/>
  <c r="S509"/>
  <c r="N509"/>
  <c r="Q509" s="1"/>
  <c r="I618"/>
  <c r="V618" s="1"/>
  <c r="V608"/>
  <c r="I903"/>
  <c r="V903" s="1"/>
  <c r="V893"/>
  <c r="I968"/>
  <c r="V968" s="1"/>
  <c r="V958"/>
  <c r="S301"/>
  <c r="N301"/>
  <c r="T299"/>
  <c r="O299"/>
  <c r="Q299" s="1"/>
  <c r="R299" s="1"/>
  <c r="G301"/>
  <c r="P569"/>
  <c r="U569"/>
  <c r="T619"/>
  <c r="O619"/>
  <c r="N59"/>
  <c r="Q59" s="1"/>
  <c r="R59" s="1"/>
  <c r="S59"/>
  <c r="U105"/>
  <c r="P105"/>
  <c r="N185"/>
  <c r="Q185" s="1"/>
  <c r="R185" s="1"/>
  <c r="S185"/>
  <c r="I265"/>
  <c r="V265" s="1"/>
  <c r="V255"/>
  <c r="I295"/>
  <c r="V295" s="1"/>
  <c r="V285"/>
  <c r="J396"/>
  <c r="J406" s="1"/>
  <c r="M394"/>
  <c r="M396" s="1"/>
  <c r="F406"/>
  <c r="S400"/>
  <c r="N400"/>
  <c r="Q400" s="1"/>
  <c r="I345"/>
  <c r="V345" s="1"/>
  <c r="V335"/>
  <c r="T504"/>
  <c r="O504"/>
  <c r="V129"/>
  <c r="I128"/>
  <c r="V128" s="1"/>
  <c r="V131"/>
  <c r="I130"/>
  <c r="S130"/>
  <c r="N130"/>
  <c r="Q130" s="1"/>
  <c r="F136"/>
  <c r="I200"/>
  <c r="V200" s="1"/>
  <c r="V190"/>
  <c r="H296"/>
  <c r="U265"/>
  <c r="P265"/>
  <c r="T699"/>
  <c r="O699"/>
  <c r="N714"/>
  <c r="S714"/>
  <c r="O934"/>
  <c r="T934"/>
  <c r="P999"/>
  <c r="U999"/>
  <c r="T1139"/>
  <c r="O1139"/>
  <c r="I390"/>
  <c r="V390" s="1"/>
  <c r="V380"/>
  <c r="N503"/>
  <c r="Q503" s="1"/>
  <c r="R503" s="1"/>
  <c r="S503"/>
  <c r="V523"/>
  <c r="I528"/>
  <c r="U587"/>
  <c r="P587"/>
  <c r="T626"/>
  <c r="O626"/>
  <c r="Q626" s="1"/>
  <c r="G634"/>
  <c r="U794"/>
  <c r="P794"/>
  <c r="P538"/>
  <c r="U538"/>
  <c r="S1154"/>
  <c r="N1154"/>
  <c r="P1234"/>
  <c r="U1234"/>
  <c r="T1219"/>
  <c r="O1219"/>
  <c r="U1284"/>
  <c r="P1284"/>
  <c r="S698"/>
  <c r="N698"/>
  <c r="Q698" s="1"/>
  <c r="R698" s="1"/>
  <c r="G714"/>
  <c r="T708"/>
  <c r="O708"/>
  <c r="I732"/>
  <c r="V732" s="1"/>
  <c r="V722"/>
  <c r="S827"/>
  <c r="N827"/>
  <c r="Q827" s="1"/>
  <c r="R827" s="1"/>
  <c r="I843"/>
  <c r="V843" s="1"/>
  <c r="V833"/>
  <c r="S903"/>
  <c r="N903"/>
  <c r="Q903" s="1"/>
  <c r="R903" s="1"/>
  <c r="I918"/>
  <c r="V918" s="1"/>
  <c r="V908"/>
  <c r="I1017"/>
  <c r="V1017" s="1"/>
  <c r="V1007"/>
  <c r="O1154"/>
  <c r="T1154"/>
  <c r="I1446"/>
  <c r="V1446" s="1"/>
  <c r="V1435"/>
  <c r="T1284"/>
  <c r="O1284"/>
  <c r="P652"/>
  <c r="U652"/>
  <c r="I668"/>
  <c r="V668" s="1"/>
  <c r="V658"/>
  <c r="I763"/>
  <c r="V763" s="1"/>
  <c r="V753"/>
  <c r="O1017"/>
  <c r="T1017"/>
  <c r="I1123"/>
  <c r="V1123" s="1"/>
  <c r="V1113"/>
  <c r="S1123"/>
  <c r="N1123"/>
  <c r="Q1123" s="1"/>
  <c r="R1123" s="1"/>
  <c r="S1218"/>
  <c r="N1218"/>
  <c r="Q1218" s="1"/>
  <c r="R1218" s="1"/>
  <c r="U1252"/>
  <c r="P1252"/>
  <c r="V1292"/>
  <c r="I1291"/>
  <c r="V1291" s="1"/>
  <c r="U1317"/>
  <c r="P1317"/>
  <c r="I1333"/>
  <c r="V1333" s="1"/>
  <c r="V1323"/>
  <c r="I1349"/>
  <c r="V1349" s="1"/>
  <c r="S1349"/>
  <c r="N1349"/>
  <c r="P1172"/>
  <c r="U1172"/>
  <c r="T1616"/>
  <c r="O1616"/>
  <c r="U1618"/>
  <c r="P1618"/>
  <c r="V1367"/>
  <c r="T1446"/>
  <c r="O1446"/>
  <c r="I1506"/>
  <c r="V1496"/>
  <c r="I1551"/>
  <c r="V1551" s="1"/>
  <c r="V1541"/>
  <c r="S1787"/>
  <c r="N1787"/>
  <c r="Q1791"/>
  <c r="Q1793" s="1"/>
  <c r="Q1790" s="1"/>
  <c r="N1793"/>
  <c r="N1790" s="1"/>
  <c r="S1793"/>
  <c r="F1790"/>
  <c r="S1790" s="1"/>
  <c r="U1793"/>
  <c r="H1790"/>
  <c r="U1790" s="1"/>
  <c r="U1844"/>
  <c r="P1844"/>
  <c r="T1787"/>
  <c r="O1787"/>
  <c r="N1446"/>
  <c r="S1446"/>
  <c r="F1835"/>
  <c r="I1763"/>
  <c r="U1763"/>
  <c r="P1763"/>
  <c r="P1762" s="1"/>
  <c r="H1835"/>
  <c r="I1674"/>
  <c r="U1674"/>
  <c r="P1674"/>
  <c r="G1684"/>
  <c r="T1678"/>
  <c r="O1678"/>
  <c r="V1775"/>
  <c r="T1778"/>
  <c r="G1774"/>
  <c r="T1774" s="1"/>
  <c r="I1701"/>
  <c r="V1701" s="1"/>
  <c r="V1695"/>
  <c r="V1781"/>
  <c r="I1778"/>
  <c r="V1778" s="1"/>
  <c r="I1596"/>
  <c r="V1596" s="1"/>
  <c r="V1586"/>
  <c r="V1615"/>
  <c r="N652"/>
  <c r="Q652" s="1"/>
  <c r="R652" s="1"/>
  <c r="S652"/>
  <c r="P952"/>
  <c r="U952"/>
  <c r="I1048"/>
  <c r="V1048" s="1"/>
  <c r="V1038"/>
  <c r="I1078"/>
  <c r="V1078" s="1"/>
  <c r="V1068"/>
  <c r="I1108"/>
  <c r="V1108" s="1"/>
  <c r="V1098"/>
  <c r="T1349"/>
  <c r="O1349"/>
  <c r="V1157"/>
  <c r="I1162"/>
  <c r="I1188"/>
  <c r="V1188" s="1"/>
  <c r="V1178"/>
  <c r="F1219"/>
  <c r="S1188"/>
  <c r="N1188"/>
  <c r="Q1188" s="1"/>
  <c r="R1188" s="1"/>
  <c r="I1203"/>
  <c r="V1203" s="1"/>
  <c r="V1193"/>
  <c r="I1283"/>
  <c r="V1283" s="1"/>
  <c r="V1273"/>
  <c r="S1283"/>
  <c r="N1283"/>
  <c r="Q1283" s="1"/>
  <c r="R1283" s="1"/>
  <c r="T1289"/>
  <c r="O1289"/>
  <c r="G1299"/>
  <c r="T1293"/>
  <c r="O1293"/>
  <c r="Q1293" s="1"/>
  <c r="O1364"/>
  <c r="T1364"/>
  <c r="N1172"/>
  <c r="S1172"/>
  <c r="T1793"/>
  <c r="G1790"/>
  <c r="T1790" s="1"/>
  <c r="T1847"/>
  <c r="O1847"/>
  <c r="T1848"/>
  <c r="O1848"/>
  <c r="I1797"/>
  <c r="V1626"/>
  <c r="I1476"/>
  <c r="V1476" s="1"/>
  <c r="V1466"/>
  <c r="I1521"/>
  <c r="V1521" s="1"/>
  <c r="V1511"/>
  <c r="I1616"/>
  <c r="V1616" s="1"/>
  <c r="V1614"/>
  <c r="V1619"/>
  <c r="I1618"/>
  <c r="V1618" s="1"/>
  <c r="V1621"/>
  <c r="I1620"/>
  <c r="V1620" s="1"/>
  <c r="T1618"/>
  <c r="O1618"/>
  <c r="P1446"/>
  <c r="U1446"/>
  <c r="I1461"/>
  <c r="V1461" s="1"/>
  <c r="V1451"/>
  <c r="I1491"/>
  <c r="V1491" s="1"/>
  <c r="V1481"/>
  <c r="I1536"/>
  <c r="V1536" s="1"/>
  <c r="V1526"/>
  <c r="I1676"/>
  <c r="U1676"/>
  <c r="P1676"/>
  <c r="I1769"/>
  <c r="V1767"/>
  <c r="J1766"/>
  <c r="S1596"/>
  <c r="N1596"/>
  <c r="Q1596" s="1"/>
  <c r="R1596" s="1"/>
  <c r="I1611"/>
  <c r="V1611" s="1"/>
  <c r="V1601"/>
  <c r="R1638"/>
  <c r="I1669"/>
  <c r="V1669" s="1"/>
  <c r="V1661"/>
  <c r="O1669"/>
  <c r="Q1669" s="1"/>
  <c r="R1669" s="1"/>
  <c r="T1669"/>
  <c r="T1763"/>
  <c r="O1763"/>
  <c r="G1762"/>
  <c r="T1762" s="1"/>
  <c r="G1835"/>
  <c r="Q1775"/>
  <c r="Q1774" s="1"/>
  <c r="N1774"/>
  <c r="V1706"/>
  <c r="T1830"/>
  <c r="O1830"/>
  <c r="I1830"/>
  <c r="V1830" s="1"/>
  <c r="V1744"/>
  <c r="I1741"/>
  <c r="Q1728"/>
  <c r="H1811"/>
  <c r="U1811" s="1"/>
  <c r="G231"/>
  <c r="Q314"/>
  <c r="R314" s="1"/>
  <c r="Q561"/>
  <c r="R220"/>
  <c r="I559"/>
  <c r="V559" s="1"/>
  <c r="Q323"/>
  <c r="Q706"/>
  <c r="Q799"/>
  <c r="Q748"/>
  <c r="R748" s="1"/>
  <c r="Q1224"/>
  <c r="M520"/>
  <c r="M1154"/>
  <c r="Q170"/>
  <c r="R170" s="1"/>
  <c r="M400"/>
  <c r="M406" s="1"/>
  <c r="Q48"/>
  <c r="V69"/>
  <c r="Q134"/>
  <c r="R134" s="1"/>
  <c r="Q175"/>
  <c r="G1799"/>
  <c r="T1799" s="1"/>
  <c r="G1811"/>
  <c r="T1811" s="1"/>
  <c r="F311"/>
  <c r="V323"/>
  <c r="F619"/>
  <c r="Q129"/>
  <c r="M130"/>
  <c r="Q194"/>
  <c r="Q708"/>
  <c r="Q763"/>
  <c r="R763" s="1"/>
  <c r="Q888"/>
  <c r="R888" s="1"/>
  <c r="Q471"/>
  <c r="R471" s="1"/>
  <c r="I704"/>
  <c r="V704" s="1"/>
  <c r="Q778"/>
  <c r="R778" s="1"/>
  <c r="F919"/>
  <c r="Q1033"/>
  <c r="R1033" s="1"/>
  <c r="Q1144"/>
  <c r="Q1148"/>
  <c r="Q1291"/>
  <c r="Q817"/>
  <c r="M934"/>
  <c r="V1224"/>
  <c r="V799"/>
  <c r="Q1461"/>
  <c r="R1461" s="1"/>
  <c r="S1723"/>
  <c r="P1790"/>
  <c r="M1790"/>
  <c r="M1786" s="1"/>
  <c r="V1796"/>
  <c r="Q1611"/>
  <c r="R1611" s="1"/>
  <c r="Q1435"/>
  <c r="M1678"/>
  <c r="Q1760"/>
  <c r="Q1753" s="1"/>
  <c r="N1740"/>
  <c r="O1741"/>
  <c r="O1740" s="1"/>
  <c r="P1741"/>
  <c r="P1740" s="1"/>
  <c r="Q1289"/>
  <c r="Q642"/>
  <c r="Q1536"/>
  <c r="R1536" s="1"/>
  <c r="Q1491"/>
  <c r="R1491" s="1"/>
  <c r="Q1162"/>
  <c r="V1311"/>
  <c r="T1723"/>
  <c r="J1786"/>
  <c r="O1790"/>
  <c r="G1627"/>
  <c r="Q1619"/>
  <c r="Q1621"/>
  <c r="J1627"/>
  <c r="Q1624"/>
  <c r="V1624"/>
  <c r="Q1581"/>
  <c r="R1581" s="1"/>
  <c r="Q1772"/>
  <c r="Q1847" s="1"/>
  <c r="Q1749"/>
  <c r="Q1741" s="1"/>
  <c r="P1774"/>
  <c r="Q1706"/>
  <c r="Q1710"/>
  <c r="H1869"/>
  <c r="U1869" s="1"/>
  <c r="J1869"/>
  <c r="F1868"/>
  <c r="P1884"/>
  <c r="P1889" s="1"/>
  <c r="M1884"/>
  <c r="M1889" s="1"/>
  <c r="L1877"/>
  <c r="G1869"/>
  <c r="Q1883"/>
  <c r="K1869"/>
  <c r="L1868"/>
  <c r="G1402" i="11"/>
  <c r="T1402" s="1"/>
  <c r="T1399"/>
  <c r="I1399"/>
  <c r="F1402"/>
  <c r="S1399"/>
  <c r="Q1396"/>
  <c r="N1399"/>
  <c r="N1414"/>
  <c r="M1392"/>
  <c r="K1383"/>
  <c r="S1379"/>
  <c r="N1379"/>
  <c r="I1379"/>
  <c r="M1399"/>
  <c r="J1402"/>
  <c r="M1402" s="1"/>
  <c r="H1402"/>
  <c r="U1402" s="1"/>
  <c r="U1399"/>
  <c r="H1392"/>
  <c r="L1383"/>
  <c r="U1379"/>
  <c r="P1379"/>
  <c r="N1378"/>
  <c r="P1414"/>
  <c r="T1379"/>
  <c r="O1379"/>
  <c r="O1392"/>
  <c r="F1377"/>
  <c r="F1408"/>
  <c r="F1410" s="1"/>
  <c r="F1391"/>
  <c r="J1376"/>
  <c r="F1376"/>
  <c r="J1389"/>
  <c r="J1377"/>
  <c r="J1415"/>
  <c r="F1390"/>
  <c r="J1416"/>
  <c r="M1379"/>
  <c r="K1390"/>
  <c r="N1884" i="8"/>
  <c r="Q1881"/>
  <c r="F1889"/>
  <c r="S1884"/>
  <c r="I1884"/>
  <c r="U1865"/>
  <c r="P1865"/>
  <c r="I1865"/>
  <c r="S1865"/>
  <c r="N1865"/>
  <c r="I1868"/>
  <c r="M1865"/>
  <c r="J1903"/>
  <c r="H1889"/>
  <c r="U1884"/>
  <c r="G1889"/>
  <c r="T1884"/>
  <c r="N1887"/>
  <c r="Q1887" s="1"/>
  <c r="I1887"/>
  <c r="T1865"/>
  <c r="O1865"/>
  <c r="T1870"/>
  <c r="O1870"/>
  <c r="S1864"/>
  <c r="N1864"/>
  <c r="T1869"/>
  <c r="T1868"/>
  <c r="O1868"/>
  <c r="U1870"/>
  <c r="P1870"/>
  <c r="L1906"/>
  <c r="P1869"/>
  <c r="U1868"/>
  <c r="P1868"/>
  <c r="K1903"/>
  <c r="L1903"/>
  <c r="J1877"/>
  <c r="Q1740" l="1"/>
  <c r="M136"/>
  <c r="O1762"/>
  <c r="H1762"/>
  <c r="U1762" s="1"/>
  <c r="Q219"/>
  <c r="R219" s="1"/>
  <c r="Q128"/>
  <c r="V126"/>
  <c r="Q1209" i="11"/>
  <c r="R1209" s="1"/>
  <c r="Q1087"/>
  <c r="R1087" s="1"/>
  <c r="Q375"/>
  <c r="Q378" s="1"/>
  <c r="Q382" s="1"/>
  <c r="R382" s="1"/>
  <c r="O378"/>
  <c r="Q849"/>
  <c r="Q852" s="1"/>
  <c r="Q856" s="1"/>
  <c r="R856" s="1"/>
  <c r="Q685"/>
  <c r="Q688" s="1"/>
  <c r="Q692" s="1"/>
  <c r="R692" s="1"/>
  <c r="Q1333"/>
  <c r="Q1341" s="1"/>
  <c r="Q882"/>
  <c r="R882" s="1"/>
  <c r="Q800"/>
  <c r="R800" s="1"/>
  <c r="Q958"/>
  <c r="Q961" s="1"/>
  <c r="Q965" s="1"/>
  <c r="R965" s="1"/>
  <c r="V852"/>
  <c r="R19"/>
  <c r="Q26"/>
  <c r="Q833"/>
  <c r="R833" s="1"/>
  <c r="V856"/>
  <c r="Q165"/>
  <c r="I692"/>
  <c r="V692" s="1"/>
  <c r="Q599"/>
  <c r="R599" s="1"/>
  <c r="I86"/>
  <c r="V86" s="1"/>
  <c r="M1869" i="8"/>
  <c r="Q1172"/>
  <c r="R1172" s="1"/>
  <c r="Q200"/>
  <c r="R200" s="1"/>
  <c r="Q822" i="11"/>
  <c r="R822" s="1"/>
  <c r="V1293"/>
  <c r="G1362"/>
  <c r="T1359"/>
  <c r="I1010"/>
  <c r="V1010" s="1"/>
  <c r="V1007"/>
  <c r="S1362"/>
  <c r="N1059"/>
  <c r="N1063" s="1"/>
  <c r="S1059"/>
  <c r="F1063"/>
  <c r="S1063" s="1"/>
  <c r="U905"/>
  <c r="P905"/>
  <c r="Q91"/>
  <c r="Q94" s="1"/>
  <c r="N94"/>
  <c r="N98" s="1"/>
  <c r="S94"/>
  <c r="F98"/>
  <c r="S98" s="1"/>
  <c r="Q37"/>
  <c r="Q41" s="1"/>
  <c r="R41" s="1"/>
  <c r="R30"/>
  <c r="U225"/>
  <c r="H229"/>
  <c r="U229" s="1"/>
  <c r="O916"/>
  <c r="Q914"/>
  <c r="Q916" s="1"/>
  <c r="R916" s="1"/>
  <c r="I464"/>
  <c r="V464" s="1"/>
  <c r="V461"/>
  <c r="U737"/>
  <c r="H741"/>
  <c r="U741" s="1"/>
  <c r="S371"/>
  <c r="N371"/>
  <c r="Q371" s="1"/>
  <c r="I371"/>
  <c r="V371" s="1"/>
  <c r="S289"/>
  <c r="N289"/>
  <c r="Q289" s="1"/>
  <c r="I289"/>
  <c r="V289" s="1"/>
  <c r="J1349"/>
  <c r="J1363" s="1"/>
  <c r="S517"/>
  <c r="N517"/>
  <c r="Q517" s="1"/>
  <c r="I517"/>
  <c r="V517" s="1"/>
  <c r="Q167"/>
  <c r="Q169" s="1"/>
  <c r="R169" s="1"/>
  <c r="R168"/>
  <c r="I183"/>
  <c r="V183" s="1"/>
  <c r="V179"/>
  <c r="T158"/>
  <c r="O158"/>
  <c r="V1341"/>
  <c r="J1254"/>
  <c r="F1254"/>
  <c r="S1254" s="1"/>
  <c r="S1250"/>
  <c r="N1250"/>
  <c r="I1250"/>
  <c r="G1254"/>
  <c r="U1341"/>
  <c r="V1061"/>
  <c r="U845"/>
  <c r="P845"/>
  <c r="U378"/>
  <c r="H382"/>
  <c r="U382" s="1"/>
  <c r="N1204"/>
  <c r="Q1201"/>
  <c r="Q1204" s="1"/>
  <c r="V466"/>
  <c r="Q293"/>
  <c r="Q296" s="1"/>
  <c r="Q300" s="1"/>
  <c r="R300" s="1"/>
  <c r="N296"/>
  <c r="N300" s="1"/>
  <c r="S296"/>
  <c r="F300"/>
  <c r="S300" s="1"/>
  <c r="O98"/>
  <c r="Q96"/>
  <c r="I87"/>
  <c r="V87" s="1"/>
  <c r="U1010"/>
  <c r="H1014"/>
  <c r="U1014" s="1"/>
  <c r="U1362"/>
  <c r="Q1352"/>
  <c r="H158"/>
  <c r="Q229"/>
  <c r="R229" s="1"/>
  <c r="V229"/>
  <c r="I599"/>
  <c r="V599" s="1"/>
  <c r="O382"/>
  <c r="N1342"/>
  <c r="Q1142"/>
  <c r="R1142" s="1"/>
  <c r="Q419"/>
  <c r="R419" s="1"/>
  <c r="Q1359"/>
  <c r="Q905"/>
  <c r="I158"/>
  <c r="V158" s="1"/>
  <c r="Q681"/>
  <c r="V681"/>
  <c r="G98"/>
  <c r="T98" s="1"/>
  <c r="F1349"/>
  <c r="S1349" s="1"/>
  <c r="S1347"/>
  <c r="N1347"/>
  <c r="I961"/>
  <c r="V958"/>
  <c r="S457"/>
  <c r="N457"/>
  <c r="Q457" s="1"/>
  <c r="I457"/>
  <c r="V457" s="1"/>
  <c r="I930"/>
  <c r="V930" s="1"/>
  <c r="V926"/>
  <c r="V524"/>
  <c r="I528"/>
  <c r="V528" s="1"/>
  <c r="I94"/>
  <c r="V94" s="1"/>
  <c r="V91"/>
  <c r="I916"/>
  <c r="V916" s="1"/>
  <c r="V914"/>
  <c r="Q461"/>
  <c r="Q464" s="1"/>
  <c r="N464"/>
  <c r="N468" s="1"/>
  <c r="S464"/>
  <c r="F468"/>
  <c r="S468" s="1"/>
  <c r="U94"/>
  <c r="H98"/>
  <c r="U98" s="1"/>
  <c r="R84"/>
  <c r="Q86"/>
  <c r="R133"/>
  <c r="Q135"/>
  <c r="R135" s="1"/>
  <c r="R122"/>
  <c r="Q124"/>
  <c r="R124" s="1"/>
  <c r="I730"/>
  <c r="V730" s="1"/>
  <c r="S730"/>
  <c r="N730"/>
  <c r="Q730" s="1"/>
  <c r="V478"/>
  <c r="I482"/>
  <c r="V482" s="1"/>
  <c r="H1254"/>
  <c r="U1254" s="1"/>
  <c r="U1250"/>
  <c r="P1250"/>
  <c r="P1254" s="1"/>
  <c r="T1341"/>
  <c r="Q1061"/>
  <c r="I378"/>
  <c r="V375"/>
  <c r="I41"/>
  <c r="V41" s="1"/>
  <c r="V37"/>
  <c r="I1204"/>
  <c r="V1204" s="1"/>
  <c r="V1201"/>
  <c r="V1012"/>
  <c r="O1014"/>
  <c r="Q1012"/>
  <c r="Q1014" s="1"/>
  <c r="R1014" s="1"/>
  <c r="O468"/>
  <c r="Q466"/>
  <c r="I296"/>
  <c r="V293"/>
  <c r="V415"/>
  <c r="I419"/>
  <c r="V419" s="1"/>
  <c r="I98"/>
  <c r="V98" s="1"/>
  <c r="V96"/>
  <c r="U961"/>
  <c r="H965"/>
  <c r="U965" s="1"/>
  <c r="S218"/>
  <c r="N218"/>
  <c r="Q218" s="1"/>
  <c r="I218"/>
  <c r="V218" s="1"/>
  <c r="S1313"/>
  <c r="F1342"/>
  <c r="S1342" s="1"/>
  <c r="V737"/>
  <c r="I741"/>
  <c r="V741" s="1"/>
  <c r="Q926"/>
  <c r="Q930" s="1"/>
  <c r="R930" s="1"/>
  <c r="V227"/>
  <c r="Q904"/>
  <c r="R904" s="1"/>
  <c r="Q734"/>
  <c r="Q737" s="1"/>
  <c r="Q741" s="1"/>
  <c r="R741" s="1"/>
  <c r="I1359"/>
  <c r="N1362"/>
  <c r="Q1295"/>
  <c r="V1295"/>
  <c r="Q1293"/>
  <c r="I905"/>
  <c r="V905" s="1"/>
  <c r="Q1003"/>
  <c r="Q845"/>
  <c r="I845"/>
  <c r="V845" s="1"/>
  <c r="N231" i="8"/>
  <c r="S231"/>
  <c r="O1627"/>
  <c r="T1627"/>
  <c r="V1741"/>
  <c r="I1740"/>
  <c r="T1835"/>
  <c r="O1835"/>
  <c r="O1834" s="1"/>
  <c r="G1834"/>
  <c r="V1769"/>
  <c r="I1848"/>
  <c r="V1848" s="1"/>
  <c r="V1797"/>
  <c r="S1219"/>
  <c r="N1219"/>
  <c r="Q1219" s="1"/>
  <c r="I1219"/>
  <c r="V1219" s="1"/>
  <c r="Q1787"/>
  <c r="Q1786" s="1"/>
  <c r="N1786"/>
  <c r="O634"/>
  <c r="T634"/>
  <c r="S136"/>
  <c r="N136"/>
  <c r="T301"/>
  <c r="O301"/>
  <c r="I221"/>
  <c r="V221" s="1"/>
  <c r="V219"/>
  <c r="S32"/>
  <c r="F39"/>
  <c r="S39" s="1"/>
  <c r="O136"/>
  <c r="T136"/>
  <c r="U396"/>
  <c r="P396"/>
  <c r="S296"/>
  <c r="N296"/>
  <c r="I296"/>
  <c r="V296" s="1"/>
  <c r="T569"/>
  <c r="O569"/>
  <c r="Q569" s="1"/>
  <c r="R569" s="1"/>
  <c r="T1843"/>
  <c r="O1843"/>
  <c r="O1842" s="1"/>
  <c r="G1842"/>
  <c r="T1842" s="1"/>
  <c r="U1843"/>
  <c r="P1843"/>
  <c r="P1842" s="1"/>
  <c r="H1842"/>
  <c r="U1842" s="1"/>
  <c r="I1299"/>
  <c r="V1299" s="1"/>
  <c r="V1293"/>
  <c r="P1684"/>
  <c r="U1684"/>
  <c r="V1793"/>
  <c r="I1790"/>
  <c r="V1790" s="1"/>
  <c r="U1349"/>
  <c r="P1349"/>
  <c r="I952"/>
  <c r="V952" s="1"/>
  <c r="V942"/>
  <c r="U221"/>
  <c r="P221"/>
  <c r="V1728"/>
  <c r="I391"/>
  <c r="V391" s="1"/>
  <c r="S391"/>
  <c r="N391"/>
  <c r="S934"/>
  <c r="N934"/>
  <c r="Q934" s="1"/>
  <c r="R934" s="1"/>
  <c r="I652"/>
  <c r="V652" s="1"/>
  <c r="V642"/>
  <c r="U136"/>
  <c r="P136"/>
  <c r="T216"/>
  <c r="O216"/>
  <c r="N329"/>
  <c r="Q329" s="1"/>
  <c r="R329" s="1"/>
  <c r="S329"/>
  <c r="V24"/>
  <c r="I32"/>
  <c r="T406"/>
  <c r="O406"/>
  <c r="I1627"/>
  <c r="V1627" s="1"/>
  <c r="Q1446"/>
  <c r="R1446" s="1"/>
  <c r="O1786"/>
  <c r="Q1349"/>
  <c r="Q1154"/>
  <c r="R1154" s="1"/>
  <c r="Q1284"/>
  <c r="I569"/>
  <c r="V569" s="1"/>
  <c r="Q265"/>
  <c r="R265" s="1"/>
  <c r="Q1620"/>
  <c r="Q1618"/>
  <c r="Q1616"/>
  <c r="H1786"/>
  <c r="U1786" s="1"/>
  <c r="Q1317"/>
  <c r="R1317" s="1"/>
  <c r="Q1252"/>
  <c r="R1252" s="1"/>
  <c r="Q1364"/>
  <c r="R1364" s="1"/>
  <c r="Q634"/>
  <c r="R634" s="1"/>
  <c r="Q1139"/>
  <c r="Q699"/>
  <c r="Q424"/>
  <c r="R424" s="1"/>
  <c r="Q225"/>
  <c r="Q732"/>
  <c r="R732" s="1"/>
  <c r="Q394"/>
  <c r="R394" s="1"/>
  <c r="I919"/>
  <c r="V919" s="1"/>
  <c r="S919"/>
  <c r="N919"/>
  <c r="Q919" s="1"/>
  <c r="S619"/>
  <c r="N619"/>
  <c r="Q619" s="1"/>
  <c r="I619"/>
  <c r="V619" s="1"/>
  <c r="S311"/>
  <c r="N311"/>
  <c r="T231"/>
  <c r="O231"/>
  <c r="T1299"/>
  <c r="O1299"/>
  <c r="Q1299" s="1"/>
  <c r="R1299" s="1"/>
  <c r="I1172"/>
  <c r="V1172" s="1"/>
  <c r="V1162"/>
  <c r="U1835"/>
  <c r="P1835"/>
  <c r="P1834" s="1"/>
  <c r="H1834"/>
  <c r="F1834"/>
  <c r="I1835"/>
  <c r="V1506"/>
  <c r="I1507"/>
  <c r="V1507" s="1"/>
  <c r="T714"/>
  <c r="O714"/>
  <c r="Q714" s="1"/>
  <c r="R714" s="1"/>
  <c r="I538"/>
  <c r="V538" s="1"/>
  <c r="V528"/>
  <c r="U296"/>
  <c r="P296"/>
  <c r="I136"/>
  <c r="V136" s="1"/>
  <c r="V130"/>
  <c r="N406"/>
  <c r="S406"/>
  <c r="I934"/>
  <c r="V934" s="1"/>
  <c r="V928"/>
  <c r="I154"/>
  <c r="V154" s="1"/>
  <c r="V144"/>
  <c r="S221"/>
  <c r="N221"/>
  <c r="T121"/>
  <c r="O121"/>
  <c r="U391"/>
  <c r="P391"/>
  <c r="U520"/>
  <c r="P520"/>
  <c r="P231"/>
  <c r="U231"/>
  <c r="I809"/>
  <c r="V809" s="1"/>
  <c r="V803"/>
  <c r="I311"/>
  <c r="V311" s="1"/>
  <c r="V305"/>
  <c r="I216"/>
  <c r="V216" s="1"/>
  <c r="S216"/>
  <c r="N216"/>
  <c r="S1627"/>
  <c r="N1627"/>
  <c r="Q1627" s="1"/>
  <c r="R1627" s="1"/>
  <c r="V1787"/>
  <c r="I1786"/>
  <c r="V1786" s="1"/>
  <c r="U154"/>
  <c r="P154"/>
  <c r="V48"/>
  <c r="I59"/>
  <c r="V59" s="1"/>
  <c r="V400"/>
  <c r="V225"/>
  <c r="S121"/>
  <c r="N121"/>
  <c r="I121"/>
  <c r="V121" s="1"/>
  <c r="U216"/>
  <c r="P216"/>
  <c r="S984"/>
  <c r="N984"/>
  <c r="Q984" s="1"/>
  <c r="I984"/>
  <c r="V984" s="1"/>
  <c r="T809"/>
  <c r="O809"/>
  <c r="Q809" s="1"/>
  <c r="R809" s="1"/>
  <c r="S154"/>
  <c r="N154"/>
  <c r="U121"/>
  <c r="P121"/>
  <c r="I396"/>
  <c r="V396" s="1"/>
  <c r="V394"/>
  <c r="S396"/>
  <c r="N396"/>
  <c r="Q396" s="1"/>
  <c r="I714"/>
  <c r="V714" s="1"/>
  <c r="V708"/>
  <c r="O520"/>
  <c r="T520"/>
  <c r="I1774"/>
  <c r="V1774" s="1"/>
  <c r="G1786"/>
  <c r="T1786" s="1"/>
  <c r="F1786"/>
  <c r="S1786" s="1"/>
  <c r="Q301"/>
  <c r="Q1017"/>
  <c r="R1017" s="1"/>
  <c r="Q504"/>
  <c r="Q295"/>
  <c r="R295" s="1"/>
  <c r="P1786"/>
  <c r="P1823" s="1"/>
  <c r="Q952"/>
  <c r="R952" s="1"/>
  <c r="Q1234"/>
  <c r="R1234" s="1"/>
  <c r="Q999"/>
  <c r="R999" s="1"/>
  <c r="Q345"/>
  <c r="R345" s="1"/>
  <c r="G311"/>
  <c r="Q120"/>
  <c r="R120" s="1"/>
  <c r="Q75"/>
  <c r="R75" s="1"/>
  <c r="V1154"/>
  <c r="Q538"/>
  <c r="R538" s="1"/>
  <c r="Q794"/>
  <c r="Q587"/>
  <c r="R587" s="1"/>
  <c r="Q144"/>
  <c r="H406"/>
  <c r="Q105"/>
  <c r="R105" s="1"/>
  <c r="V520"/>
  <c r="Q249"/>
  <c r="R249" s="1"/>
  <c r="O1869"/>
  <c r="Q1884"/>
  <c r="Q1889" s="1"/>
  <c r="P1877"/>
  <c r="H1390" i="11"/>
  <c r="L1875" i="8"/>
  <c r="L1390" i="11"/>
  <c r="G1383"/>
  <c r="L1417"/>
  <c r="L1391"/>
  <c r="G1390"/>
  <c r="F1416"/>
  <c r="F1415"/>
  <c r="F1388"/>
  <c r="F1380"/>
  <c r="S1376"/>
  <c r="N1376"/>
  <c r="G1392"/>
  <c r="P1401"/>
  <c r="P1402" s="1"/>
  <c r="J1383"/>
  <c r="M1383" s="1"/>
  <c r="I1392"/>
  <c r="F1383"/>
  <c r="I1402"/>
  <c r="V1402" s="1"/>
  <c r="S1402"/>
  <c r="M1390"/>
  <c r="P1417"/>
  <c r="J1388"/>
  <c r="J1390"/>
  <c r="N1392"/>
  <c r="V1379"/>
  <c r="P1392"/>
  <c r="F1392"/>
  <c r="N1416"/>
  <c r="F1417"/>
  <c r="J1380"/>
  <c r="N1377"/>
  <c r="O1401"/>
  <c r="O1402" s="1"/>
  <c r="G1417"/>
  <c r="G1391"/>
  <c r="M1414"/>
  <c r="I1414"/>
  <c r="N1401"/>
  <c r="Q1399"/>
  <c r="O1414"/>
  <c r="Q1379"/>
  <c r="Q1414"/>
  <c r="V1399"/>
  <c r="T1889" i="8"/>
  <c r="U1889"/>
  <c r="G1903"/>
  <c r="N1877"/>
  <c r="H1903"/>
  <c r="I1889"/>
  <c r="V1884"/>
  <c r="S1889"/>
  <c r="L1876"/>
  <c r="O1877"/>
  <c r="N1889"/>
  <c r="H1877"/>
  <c r="M1903"/>
  <c r="F1903"/>
  <c r="M1877"/>
  <c r="H1906"/>
  <c r="K1875"/>
  <c r="Q1865"/>
  <c r="V1865"/>
  <c r="H1823" l="1"/>
  <c r="I231"/>
  <c r="V231" s="1"/>
  <c r="Q221"/>
  <c r="O1823"/>
  <c r="Q468" i="11"/>
  <c r="R468" s="1"/>
  <c r="I1014"/>
  <c r="V1014" s="1"/>
  <c r="Q98"/>
  <c r="R98" s="1"/>
  <c r="Q154" i="8"/>
  <c r="R154" s="1"/>
  <c r="Q1401" i="11"/>
  <c r="Q1362"/>
  <c r="I468"/>
  <c r="V468" s="1"/>
  <c r="G1823" i="8"/>
  <c r="T1823" s="1"/>
  <c r="Q520"/>
  <c r="R520" s="1"/>
  <c r="P1849"/>
  <c r="I1362" i="11"/>
  <c r="V1359"/>
  <c r="V296"/>
  <c r="I300"/>
  <c r="V300" s="1"/>
  <c r="V378"/>
  <c r="I382"/>
  <c r="V382" s="1"/>
  <c r="N1254"/>
  <c r="T1362"/>
  <c r="F1363"/>
  <c r="S1363" s="1"/>
  <c r="Q87"/>
  <c r="R86"/>
  <c r="V961"/>
  <c r="I965"/>
  <c r="V965" s="1"/>
  <c r="N1349"/>
  <c r="U158"/>
  <c r="P158"/>
  <c r="Q158" s="1"/>
  <c r="I1254"/>
  <c r="N1363"/>
  <c r="O311" i="8"/>
  <c r="Q311" s="1"/>
  <c r="R311" s="1"/>
  <c r="T311"/>
  <c r="I1834"/>
  <c r="U1834"/>
  <c r="H1849"/>
  <c r="G1849"/>
  <c r="T1834"/>
  <c r="I406"/>
  <c r="V406" s="1"/>
  <c r="Q231"/>
  <c r="R231" s="1"/>
  <c r="P406"/>
  <c r="Q406" s="1"/>
  <c r="R406" s="1"/>
  <c r="U406"/>
  <c r="U1823"/>
  <c r="V32"/>
  <c r="I39"/>
  <c r="V39" s="1"/>
  <c r="V1740"/>
  <c r="Q121"/>
  <c r="Q216"/>
  <c r="Q391"/>
  <c r="Q296"/>
  <c r="Q136"/>
  <c r="R136" s="1"/>
  <c r="O1849"/>
  <c r="N1388" i="11"/>
  <c r="Q1896" i="8"/>
  <c r="J1875"/>
  <c r="P1906"/>
  <c r="O1875"/>
  <c r="P1390" i="11"/>
  <c r="J1384"/>
  <c r="S1383"/>
  <c r="N1383"/>
  <c r="Q1392"/>
  <c r="N1380"/>
  <c r="N1384" s="1"/>
  <c r="F1384"/>
  <c r="S1384" s="1"/>
  <c r="S1380"/>
  <c r="I1390"/>
  <c r="T1383"/>
  <c r="O1383"/>
  <c r="N1402"/>
  <c r="Q1402" s="1"/>
  <c r="O1390"/>
  <c r="F1418"/>
  <c r="H1383"/>
  <c r="H1417"/>
  <c r="H1391"/>
  <c r="J1417"/>
  <c r="J1418" s="1"/>
  <c r="J1391"/>
  <c r="F1389"/>
  <c r="P1391"/>
  <c r="V1889" i="8"/>
  <c r="H1876"/>
  <c r="P1876"/>
  <c r="H1875"/>
  <c r="G1906"/>
  <c r="G1876"/>
  <c r="G1877"/>
  <c r="P1875"/>
  <c r="F1875"/>
  <c r="Q1903"/>
  <c r="F1877"/>
  <c r="M1875"/>
  <c r="Q1877"/>
  <c r="N1903"/>
  <c r="O1903"/>
  <c r="P1903"/>
  <c r="V1362" i="11" l="1"/>
  <c r="T1849" i="8"/>
  <c r="U1849"/>
  <c r="I1417" i="11"/>
  <c r="U1383"/>
  <c r="P1383"/>
  <c r="Q1383" s="1"/>
  <c r="N1417"/>
  <c r="N1391"/>
  <c r="F1393"/>
  <c r="F1419"/>
  <c r="F1404"/>
  <c r="N1415"/>
  <c r="N1390"/>
  <c r="J1419"/>
  <c r="I1391"/>
  <c r="N1389"/>
  <c r="I1383"/>
  <c r="V1383" s="1"/>
  <c r="Q1390"/>
  <c r="I1877" i="8"/>
  <c r="N1875"/>
  <c r="I1903"/>
  <c r="G1875"/>
  <c r="N1418" i="11" l="1"/>
  <c r="N1419" s="1"/>
  <c r="I1875" i="8"/>
  <c r="J1404" i="11"/>
  <c r="J1393"/>
  <c r="N1404"/>
  <c r="Q1875" i="8"/>
  <c r="N1393" i="11" l="1"/>
  <c r="AM295" i="1" l="1"/>
  <c r="AE295"/>
  <c r="AD295"/>
  <c r="AC295"/>
  <c r="AB295"/>
  <c r="AA295"/>
  <c r="Q295" l="1"/>
  <c r="P295"/>
  <c r="O295"/>
  <c r="R266"/>
  <c r="R265"/>
  <c r="R264"/>
  <c r="R263"/>
  <c r="R262"/>
  <c r="R261"/>
  <c r="R260"/>
  <c r="R259"/>
  <c r="R258"/>
  <c r="R257"/>
  <c r="R256"/>
  <c r="R255"/>
  <c r="R254"/>
  <c r="R253"/>
  <c r="R252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1"/>
  <c r="R40"/>
  <c r="R39"/>
  <c r="R38"/>
  <c r="R37"/>
  <c r="R36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294"/>
  <c r="R288"/>
  <c r="R287"/>
  <c r="R295" l="1"/>
  <c r="K358" i="15"/>
  <c r="K357"/>
  <c r="K356"/>
  <c r="K355"/>
  <c r="K353"/>
  <c r="H353"/>
  <c r="J352"/>
  <c r="J351"/>
  <c r="I350"/>
  <c r="I353" s="1"/>
  <c r="F350"/>
  <c r="I346"/>
  <c r="H346"/>
  <c r="F346"/>
  <c r="J346" s="1"/>
  <c r="J345"/>
  <c r="J344"/>
  <c r="K339"/>
  <c r="I339"/>
  <c r="H339"/>
  <c r="F339"/>
  <c r="J336"/>
  <c r="J339" s="1"/>
  <c r="H332"/>
  <c r="I329"/>
  <c r="I332" s="1"/>
  <c r="F329"/>
  <c r="F332" s="1"/>
  <c r="H325"/>
  <c r="I322"/>
  <c r="I325" s="1"/>
  <c r="F322"/>
  <c r="K319"/>
  <c r="K359" s="1"/>
  <c r="H319"/>
  <c r="I316"/>
  <c r="I319" s="1"/>
  <c r="F316"/>
  <c r="G313"/>
  <c r="J312"/>
  <c r="J311"/>
  <c r="J310"/>
  <c r="F310"/>
  <c r="H309"/>
  <c r="I309" s="1"/>
  <c r="I313" s="1"/>
  <c r="F309"/>
  <c r="F313" s="1"/>
  <c r="E309"/>
  <c r="E313" s="1"/>
  <c r="H307"/>
  <c r="G307"/>
  <c r="J306"/>
  <c r="J305"/>
  <c r="F304"/>
  <c r="I303"/>
  <c r="F303"/>
  <c r="E303"/>
  <c r="J302"/>
  <c r="C300"/>
  <c r="C299"/>
  <c r="C298"/>
  <c r="C297"/>
  <c r="C296"/>
  <c r="F295"/>
  <c r="J295" s="1"/>
  <c r="B295"/>
  <c r="H294"/>
  <c r="G294"/>
  <c r="E294"/>
  <c r="D294"/>
  <c r="C294"/>
  <c r="J293"/>
  <c r="C293"/>
  <c r="I292"/>
  <c r="F292"/>
  <c r="C292"/>
  <c r="I291"/>
  <c r="I294" s="1"/>
  <c r="F291"/>
  <c r="C291"/>
  <c r="J290"/>
  <c r="F290"/>
  <c r="F294" s="1"/>
  <c r="J294" s="1"/>
  <c r="C290"/>
  <c r="F289"/>
  <c r="J289" s="1"/>
  <c r="H288"/>
  <c r="G288"/>
  <c r="E288"/>
  <c r="D288"/>
  <c r="C288"/>
  <c r="J287"/>
  <c r="C287"/>
  <c r="F286"/>
  <c r="J286" s="1"/>
  <c r="C286"/>
  <c r="I285"/>
  <c r="I288" s="1"/>
  <c r="F285"/>
  <c r="C285"/>
  <c r="J284"/>
  <c r="F284"/>
  <c r="F288" s="1"/>
  <c r="J288" s="1"/>
  <c r="C284"/>
  <c r="H282"/>
  <c r="G282"/>
  <c r="E282"/>
  <c r="D282"/>
  <c r="I279"/>
  <c r="I282" s="1"/>
  <c r="F279"/>
  <c r="F282" s="1"/>
  <c r="H276"/>
  <c r="G276"/>
  <c r="E276"/>
  <c r="D276"/>
  <c r="I273"/>
  <c r="I276" s="1"/>
  <c r="F273"/>
  <c r="F276" s="1"/>
  <c r="H270"/>
  <c r="G270"/>
  <c r="E270"/>
  <c r="D270"/>
  <c r="C270"/>
  <c r="C269"/>
  <c r="C268"/>
  <c r="I267"/>
  <c r="I270" s="1"/>
  <c r="F267"/>
  <c r="F270" s="1"/>
  <c r="C267"/>
  <c r="C266"/>
  <c r="H264"/>
  <c r="G264"/>
  <c r="E264"/>
  <c r="D264"/>
  <c r="C264"/>
  <c r="J263"/>
  <c r="C263"/>
  <c r="F262"/>
  <c r="J262" s="1"/>
  <c r="C262"/>
  <c r="I261"/>
  <c r="I264" s="1"/>
  <c r="F261"/>
  <c r="C261"/>
  <c r="J260"/>
  <c r="F260"/>
  <c r="F264" s="1"/>
  <c r="J264" s="1"/>
  <c r="C260"/>
  <c r="G258"/>
  <c r="E258"/>
  <c r="D258"/>
  <c r="C258"/>
  <c r="J257"/>
  <c r="C257"/>
  <c r="F256"/>
  <c r="J256" s="1"/>
  <c r="C256"/>
  <c r="I255"/>
  <c r="H258"/>
  <c r="F255"/>
  <c r="J255" s="1"/>
  <c r="C255"/>
  <c r="I254"/>
  <c r="I258" s="1"/>
  <c r="F254"/>
  <c r="C254"/>
  <c r="H252"/>
  <c r="G252"/>
  <c r="E252"/>
  <c r="D252"/>
  <c r="C252"/>
  <c r="J251"/>
  <c r="C251"/>
  <c r="F250"/>
  <c r="J250" s="1"/>
  <c r="C250"/>
  <c r="I249"/>
  <c r="I252" s="1"/>
  <c r="F249"/>
  <c r="C249"/>
  <c r="J248"/>
  <c r="F248"/>
  <c r="F252" s="1"/>
  <c r="J252" s="1"/>
  <c r="C248"/>
  <c r="H246"/>
  <c r="G246"/>
  <c r="E246"/>
  <c r="C246"/>
  <c r="J245"/>
  <c r="C245"/>
  <c r="F244"/>
  <c r="J244" s="1"/>
  <c r="D244"/>
  <c r="D246" s="1"/>
  <c r="C244"/>
  <c r="I243"/>
  <c r="I246" s="1"/>
  <c r="F243"/>
  <c r="J243" s="1"/>
  <c r="C243"/>
  <c r="F242"/>
  <c r="F246" s="1"/>
  <c r="C242"/>
  <c r="H240"/>
  <c r="G240"/>
  <c r="E240"/>
  <c r="D240"/>
  <c r="C240"/>
  <c r="J239"/>
  <c r="C239"/>
  <c r="F238"/>
  <c r="J238" s="1"/>
  <c r="C238"/>
  <c r="I240"/>
  <c r="F237"/>
  <c r="C237"/>
  <c r="F236"/>
  <c r="F240" s="1"/>
  <c r="C236"/>
  <c r="H234"/>
  <c r="G234"/>
  <c r="E234"/>
  <c r="D234"/>
  <c r="C234"/>
  <c r="J233"/>
  <c r="C233"/>
  <c r="F232"/>
  <c r="J232" s="1"/>
  <c r="C232"/>
  <c r="I231"/>
  <c r="I234" s="1"/>
  <c r="F231"/>
  <c r="J231" s="1"/>
  <c r="C231"/>
  <c r="J230"/>
  <c r="F230"/>
  <c r="C230"/>
  <c r="H228"/>
  <c r="G228"/>
  <c r="E228"/>
  <c r="D228"/>
  <c r="C228"/>
  <c r="J227"/>
  <c r="C227"/>
  <c r="F226"/>
  <c r="J226" s="1"/>
  <c r="C226"/>
  <c r="I225"/>
  <c r="F225"/>
  <c r="C225"/>
  <c r="I224"/>
  <c r="F224"/>
  <c r="F228" s="1"/>
  <c r="C224"/>
  <c r="H222"/>
  <c r="G222"/>
  <c r="E222"/>
  <c r="D222"/>
  <c r="C222"/>
  <c r="J221"/>
  <c r="C221"/>
  <c r="F220"/>
  <c r="J220" s="1"/>
  <c r="C220"/>
  <c r="F219"/>
  <c r="C219"/>
  <c r="I218"/>
  <c r="F218"/>
  <c r="C218"/>
  <c r="H216"/>
  <c r="G216"/>
  <c r="E216"/>
  <c r="D216"/>
  <c r="C216"/>
  <c r="J215"/>
  <c r="C215"/>
  <c r="F214"/>
  <c r="J214" s="1"/>
  <c r="C214"/>
  <c r="I213"/>
  <c r="F213"/>
  <c r="C213"/>
  <c r="I212"/>
  <c r="F212"/>
  <c r="F216" s="1"/>
  <c r="C212"/>
  <c r="H210"/>
  <c r="C210"/>
  <c r="J209"/>
  <c r="C209"/>
  <c r="I208"/>
  <c r="I210" s="1"/>
  <c r="F208"/>
  <c r="F210" s="1"/>
  <c r="C208"/>
  <c r="F207"/>
  <c r="J207" s="1"/>
  <c r="D207"/>
  <c r="C207"/>
  <c r="F206"/>
  <c r="J206" s="1"/>
  <c r="C206"/>
  <c r="H204"/>
  <c r="G204"/>
  <c r="E204"/>
  <c r="D204"/>
  <c r="C204"/>
  <c r="J203"/>
  <c r="C203"/>
  <c r="F202"/>
  <c r="J202" s="1"/>
  <c r="C202"/>
  <c r="I201"/>
  <c r="F201"/>
  <c r="C201"/>
  <c r="I200"/>
  <c r="I204" s="1"/>
  <c r="F200"/>
  <c r="C200"/>
  <c r="H198"/>
  <c r="G198"/>
  <c r="E198"/>
  <c r="D198"/>
  <c r="C198"/>
  <c r="J197"/>
  <c r="C197"/>
  <c r="F196"/>
  <c r="J196" s="1"/>
  <c r="C196"/>
  <c r="I195"/>
  <c r="F195"/>
  <c r="C195"/>
  <c r="I194"/>
  <c r="F194"/>
  <c r="F198" s="1"/>
  <c r="C194"/>
  <c r="H192"/>
  <c r="G192"/>
  <c r="E192"/>
  <c r="D192"/>
  <c r="C192"/>
  <c r="J191"/>
  <c r="C191"/>
  <c r="F190"/>
  <c r="J190" s="1"/>
  <c r="C190"/>
  <c r="I189"/>
  <c r="F189"/>
  <c r="J189" s="1"/>
  <c r="C189"/>
  <c r="I188"/>
  <c r="I192" s="1"/>
  <c r="F188"/>
  <c r="C188"/>
  <c r="H186"/>
  <c r="G186"/>
  <c r="E186"/>
  <c r="D186"/>
  <c r="C186"/>
  <c r="J185"/>
  <c r="C185"/>
  <c r="F184"/>
  <c r="J184" s="1"/>
  <c r="C184"/>
  <c r="I183"/>
  <c r="F183"/>
  <c r="C183"/>
  <c r="I182"/>
  <c r="F182"/>
  <c r="F186" s="1"/>
  <c r="C182"/>
  <c r="H180"/>
  <c r="G180"/>
  <c r="E180"/>
  <c r="D180"/>
  <c r="C180"/>
  <c r="J179"/>
  <c r="C179"/>
  <c r="F178"/>
  <c r="J178" s="1"/>
  <c r="C178"/>
  <c r="I177"/>
  <c r="F177"/>
  <c r="J177" s="1"/>
  <c r="C177"/>
  <c r="I180"/>
  <c r="F176"/>
  <c r="C176"/>
  <c r="H174"/>
  <c r="G174"/>
  <c r="E174"/>
  <c r="D174"/>
  <c r="C174"/>
  <c r="J173"/>
  <c r="C173"/>
  <c r="F172"/>
  <c r="J172" s="1"/>
  <c r="C172"/>
  <c r="I171"/>
  <c r="I174" s="1"/>
  <c r="F171"/>
  <c r="C171"/>
  <c r="J170"/>
  <c r="F170"/>
  <c r="F174" s="1"/>
  <c r="J174" s="1"/>
  <c r="C170"/>
  <c r="H168"/>
  <c r="G168"/>
  <c r="E168"/>
  <c r="D168"/>
  <c r="C168"/>
  <c r="J167"/>
  <c r="C167"/>
  <c r="F166"/>
  <c r="J166" s="1"/>
  <c r="C166"/>
  <c r="I165"/>
  <c r="I168" s="1"/>
  <c r="F165"/>
  <c r="J165" s="1"/>
  <c r="C165"/>
  <c r="J164"/>
  <c r="F164"/>
  <c r="C164"/>
  <c r="H162"/>
  <c r="G162"/>
  <c r="E162"/>
  <c r="D162"/>
  <c r="C162"/>
  <c r="J161"/>
  <c r="C161"/>
  <c r="F160"/>
  <c r="J160" s="1"/>
  <c r="C160"/>
  <c r="I159"/>
  <c r="I162" s="1"/>
  <c r="F159"/>
  <c r="C159"/>
  <c r="J158"/>
  <c r="F158"/>
  <c r="F162" s="1"/>
  <c r="J162" s="1"/>
  <c r="C158"/>
  <c r="H156"/>
  <c r="G156"/>
  <c r="E156"/>
  <c r="D156"/>
  <c r="C156"/>
  <c r="J155"/>
  <c r="C155"/>
  <c r="F154"/>
  <c r="J154" s="1"/>
  <c r="C154"/>
  <c r="I153"/>
  <c r="I156" s="1"/>
  <c r="F153"/>
  <c r="J153" s="1"/>
  <c r="C153"/>
  <c r="J152"/>
  <c r="F152"/>
  <c r="C152"/>
  <c r="H150"/>
  <c r="G150"/>
  <c r="E150"/>
  <c r="C150"/>
  <c r="J149"/>
  <c r="C149"/>
  <c r="F148"/>
  <c r="J148" s="1"/>
  <c r="D148"/>
  <c r="D150" s="1"/>
  <c r="D96" s="1"/>
  <c r="C148"/>
  <c r="I147"/>
  <c r="I150" s="1"/>
  <c r="F147"/>
  <c r="C147"/>
  <c r="F146"/>
  <c r="F150" s="1"/>
  <c r="C146"/>
  <c r="H144"/>
  <c r="G144"/>
  <c r="E144"/>
  <c r="D144"/>
  <c r="C144"/>
  <c r="J143"/>
  <c r="C143"/>
  <c r="F142"/>
  <c r="J142" s="1"/>
  <c r="C142"/>
  <c r="I141"/>
  <c r="I144" s="1"/>
  <c r="F141"/>
  <c r="C141"/>
  <c r="F140"/>
  <c r="J140" s="1"/>
  <c r="C140"/>
  <c r="H138"/>
  <c r="G138"/>
  <c r="E138"/>
  <c r="D138"/>
  <c r="C138"/>
  <c r="J137"/>
  <c r="C137"/>
  <c r="F136"/>
  <c r="J136" s="1"/>
  <c r="C136"/>
  <c r="I135"/>
  <c r="I138" s="1"/>
  <c r="F135"/>
  <c r="C135"/>
  <c r="F134"/>
  <c r="J134" s="1"/>
  <c r="C134"/>
  <c r="H132"/>
  <c r="G132"/>
  <c r="E132"/>
  <c r="D132"/>
  <c r="C132"/>
  <c r="J131"/>
  <c r="C131"/>
  <c r="F130"/>
  <c r="J130" s="1"/>
  <c r="C130"/>
  <c r="I129"/>
  <c r="I132" s="1"/>
  <c r="F129"/>
  <c r="C129"/>
  <c r="J128"/>
  <c r="F128"/>
  <c r="F132" s="1"/>
  <c r="J132" s="1"/>
  <c r="C128"/>
  <c r="H126"/>
  <c r="G126"/>
  <c r="E126"/>
  <c r="D126"/>
  <c r="C126"/>
  <c r="J125"/>
  <c r="C125"/>
  <c r="F124"/>
  <c r="J124" s="1"/>
  <c r="C124"/>
  <c r="I123"/>
  <c r="F123"/>
  <c r="J123" s="1"/>
  <c r="C123"/>
  <c r="I122"/>
  <c r="I126" s="1"/>
  <c r="F122"/>
  <c r="C122"/>
  <c r="H120"/>
  <c r="G120"/>
  <c r="E120"/>
  <c r="D120"/>
  <c r="C120"/>
  <c r="J119"/>
  <c r="C119"/>
  <c r="F118"/>
  <c r="J118" s="1"/>
  <c r="C118"/>
  <c r="I117"/>
  <c r="F117"/>
  <c r="C117"/>
  <c r="I116"/>
  <c r="F116"/>
  <c r="F120" s="1"/>
  <c r="C116"/>
  <c r="H114"/>
  <c r="G114"/>
  <c r="E114"/>
  <c r="D114"/>
  <c r="C114"/>
  <c r="J113"/>
  <c r="C113"/>
  <c r="F112"/>
  <c r="J112" s="1"/>
  <c r="C112"/>
  <c r="I111"/>
  <c r="I114" s="1"/>
  <c r="F111"/>
  <c r="J111" s="1"/>
  <c r="C111"/>
  <c r="J110"/>
  <c r="F110"/>
  <c r="C110"/>
  <c r="H108"/>
  <c r="G108"/>
  <c r="E108"/>
  <c r="D108"/>
  <c r="C108"/>
  <c r="J107"/>
  <c r="C107"/>
  <c r="F106"/>
  <c r="J106" s="1"/>
  <c r="C106"/>
  <c r="I105"/>
  <c r="F105"/>
  <c r="C105"/>
  <c r="I104"/>
  <c r="F104"/>
  <c r="C104"/>
  <c r="B103"/>
  <c r="A103"/>
  <c r="H102"/>
  <c r="G102"/>
  <c r="E102"/>
  <c r="D102"/>
  <c r="C102"/>
  <c r="J101"/>
  <c r="C101"/>
  <c r="F100"/>
  <c r="J100" s="1"/>
  <c r="C100"/>
  <c r="I99"/>
  <c r="F99"/>
  <c r="F93" s="1"/>
  <c r="C99"/>
  <c r="I98"/>
  <c r="I102" s="1"/>
  <c r="F98"/>
  <c r="C98"/>
  <c r="J97"/>
  <c r="F97"/>
  <c r="B97"/>
  <c r="G96"/>
  <c r="E96"/>
  <c r="C96"/>
  <c r="J95"/>
  <c r="I95"/>
  <c r="H95"/>
  <c r="G95"/>
  <c r="F95"/>
  <c r="E95"/>
  <c r="D95"/>
  <c r="C95"/>
  <c r="H94"/>
  <c r="G94"/>
  <c r="F94"/>
  <c r="E94"/>
  <c r="D94"/>
  <c r="C94"/>
  <c r="I93"/>
  <c r="H93"/>
  <c r="G93"/>
  <c r="E93"/>
  <c r="D93"/>
  <c r="C93"/>
  <c r="H92"/>
  <c r="G92"/>
  <c r="F92"/>
  <c r="E92"/>
  <c r="D92"/>
  <c r="C92"/>
  <c r="J91"/>
  <c r="H90"/>
  <c r="G90"/>
  <c r="E90"/>
  <c r="D90"/>
  <c r="C90"/>
  <c r="J89"/>
  <c r="C89"/>
  <c r="F88"/>
  <c r="J88" s="1"/>
  <c r="C88"/>
  <c r="I87"/>
  <c r="I90" s="1"/>
  <c r="F87"/>
  <c r="C87"/>
  <c r="J86"/>
  <c r="F86"/>
  <c r="F90" s="1"/>
  <c r="J90" s="1"/>
  <c r="C86"/>
  <c r="H84"/>
  <c r="G84"/>
  <c r="E84"/>
  <c r="D84"/>
  <c r="C84"/>
  <c r="J83"/>
  <c r="C83"/>
  <c r="F82"/>
  <c r="J82" s="1"/>
  <c r="C82"/>
  <c r="I81"/>
  <c r="I84" s="1"/>
  <c r="F81"/>
  <c r="J81" s="1"/>
  <c r="C81"/>
  <c r="J80"/>
  <c r="F80"/>
  <c r="C80"/>
  <c r="H78"/>
  <c r="G78"/>
  <c r="E78"/>
  <c r="D78"/>
  <c r="C78"/>
  <c r="J77"/>
  <c r="C77"/>
  <c r="F76"/>
  <c r="J76" s="1"/>
  <c r="C76"/>
  <c r="I75"/>
  <c r="I78" s="1"/>
  <c r="F75"/>
  <c r="C75"/>
  <c r="J74"/>
  <c r="F74"/>
  <c r="F78" s="1"/>
  <c r="J78" s="1"/>
  <c r="C74"/>
  <c r="H72"/>
  <c r="G72"/>
  <c r="E72"/>
  <c r="D72"/>
  <c r="C72"/>
  <c r="J71"/>
  <c r="C71"/>
  <c r="F70"/>
  <c r="J70" s="1"/>
  <c r="C70"/>
  <c r="I69"/>
  <c r="F69"/>
  <c r="J69" s="1"/>
  <c r="C69"/>
  <c r="I68"/>
  <c r="I72" s="1"/>
  <c r="F68"/>
  <c r="C68"/>
  <c r="H66"/>
  <c r="G66"/>
  <c r="E66"/>
  <c r="D66"/>
  <c r="C66"/>
  <c r="J65"/>
  <c r="C65"/>
  <c r="F64"/>
  <c r="J64" s="1"/>
  <c r="C64"/>
  <c r="I63"/>
  <c r="I21" s="1"/>
  <c r="F63"/>
  <c r="C63"/>
  <c r="I62"/>
  <c r="F62"/>
  <c r="F66" s="1"/>
  <c r="C62"/>
  <c r="D60"/>
  <c r="C60"/>
  <c r="C59"/>
  <c r="F58"/>
  <c r="G58" s="1"/>
  <c r="C58"/>
  <c r="I57"/>
  <c r="G57"/>
  <c r="F57"/>
  <c r="J57" s="1"/>
  <c r="E57"/>
  <c r="C57"/>
  <c r="I56"/>
  <c r="G56"/>
  <c r="G60" s="1"/>
  <c r="G24" s="1"/>
  <c r="F56"/>
  <c r="F60" s="1"/>
  <c r="E56"/>
  <c r="E60" s="1"/>
  <c r="E24" s="1"/>
  <c r="C56"/>
  <c r="H54"/>
  <c r="G54"/>
  <c r="E54"/>
  <c r="D54"/>
  <c r="C54"/>
  <c r="J53"/>
  <c r="C53"/>
  <c r="J52"/>
  <c r="F52"/>
  <c r="C52"/>
  <c r="F51"/>
  <c r="J51" s="1"/>
  <c r="C51"/>
  <c r="I50"/>
  <c r="I54" s="1"/>
  <c r="F50"/>
  <c r="F54" s="1"/>
  <c r="C50"/>
  <c r="H48"/>
  <c r="G48"/>
  <c r="E48"/>
  <c r="D48"/>
  <c r="C48"/>
  <c r="J47"/>
  <c r="C47"/>
  <c r="F46"/>
  <c r="J46" s="1"/>
  <c r="C46"/>
  <c r="F45"/>
  <c r="J45" s="1"/>
  <c r="C45"/>
  <c r="I44"/>
  <c r="I48" s="1"/>
  <c r="F44"/>
  <c r="F48" s="1"/>
  <c r="C44"/>
  <c r="H42"/>
  <c r="G42"/>
  <c r="E42"/>
  <c r="D42"/>
  <c r="C42"/>
  <c r="J41"/>
  <c r="C41"/>
  <c r="F40"/>
  <c r="J40" s="1"/>
  <c r="C40"/>
  <c r="I39"/>
  <c r="F39"/>
  <c r="J39" s="1"/>
  <c r="C39"/>
  <c r="I38"/>
  <c r="I42" s="1"/>
  <c r="F38"/>
  <c r="C38"/>
  <c r="H36"/>
  <c r="G36"/>
  <c r="E36"/>
  <c r="D36"/>
  <c r="C36"/>
  <c r="J35"/>
  <c r="C35"/>
  <c r="I34"/>
  <c r="F34"/>
  <c r="C34"/>
  <c r="I33"/>
  <c r="F33"/>
  <c r="C33"/>
  <c r="I32"/>
  <c r="I36" s="1"/>
  <c r="F32"/>
  <c r="C32"/>
  <c r="H30"/>
  <c r="G30"/>
  <c r="E30"/>
  <c r="D30"/>
  <c r="C30"/>
  <c r="F29"/>
  <c r="J29" s="1"/>
  <c r="J23" s="1"/>
  <c r="C29"/>
  <c r="J28"/>
  <c r="F28"/>
  <c r="C28"/>
  <c r="I27"/>
  <c r="F27"/>
  <c r="J27" s="1"/>
  <c r="C27"/>
  <c r="I26"/>
  <c r="I30" s="1"/>
  <c r="F26"/>
  <c r="C26"/>
  <c r="F25"/>
  <c r="J25" s="1"/>
  <c r="D24"/>
  <c r="C24"/>
  <c r="I23"/>
  <c r="I299" s="1"/>
  <c r="I358" s="1"/>
  <c r="H23"/>
  <c r="H299" s="1"/>
  <c r="H358" s="1"/>
  <c r="G23"/>
  <c r="G299" s="1"/>
  <c r="G358" s="1"/>
  <c r="F23"/>
  <c r="E23"/>
  <c r="E299" s="1"/>
  <c r="E358" s="1"/>
  <c r="D23"/>
  <c r="D299" s="1"/>
  <c r="D358" s="1"/>
  <c r="C23"/>
  <c r="F22"/>
  <c r="E22"/>
  <c r="E298" s="1"/>
  <c r="E357" s="1"/>
  <c r="D22"/>
  <c r="D298" s="1"/>
  <c r="D357" s="1"/>
  <c r="C22"/>
  <c r="H21"/>
  <c r="H297" s="1"/>
  <c r="H356" s="1"/>
  <c r="G21"/>
  <c r="F21"/>
  <c r="E21"/>
  <c r="E297" s="1"/>
  <c r="E356" s="1"/>
  <c r="D21"/>
  <c r="D297" s="1"/>
  <c r="D356" s="1"/>
  <c r="C21"/>
  <c r="I20"/>
  <c r="H20"/>
  <c r="H296" s="1"/>
  <c r="H355" s="1"/>
  <c r="G20"/>
  <c r="E20"/>
  <c r="E296" s="1"/>
  <c r="D20"/>
  <c r="D296" s="1"/>
  <c r="D355" s="1"/>
  <c r="C20"/>
  <c r="J19"/>
  <c r="H18"/>
  <c r="E18"/>
  <c r="E300" s="1"/>
  <c r="D18"/>
  <c r="D300" s="1"/>
  <c r="D359" s="1"/>
  <c r="C18"/>
  <c r="J17"/>
  <c r="J299" s="1"/>
  <c r="F17"/>
  <c r="F299" s="1"/>
  <c r="F358" s="1"/>
  <c r="C17"/>
  <c r="J16"/>
  <c r="C16"/>
  <c r="G15"/>
  <c r="G297" s="1"/>
  <c r="G356" s="1"/>
  <c r="F15"/>
  <c r="C15"/>
  <c r="G14"/>
  <c r="G296" s="1"/>
  <c r="G355" s="1"/>
  <c r="F14"/>
  <c r="J14" s="1"/>
  <c r="C14"/>
  <c r="B13"/>
  <c r="A13"/>
  <c r="J237" l="1"/>
  <c r="I222"/>
  <c r="J219"/>
  <c r="H96"/>
  <c r="F297"/>
  <c r="I297"/>
  <c r="I356" s="1"/>
  <c r="F20"/>
  <c r="F298"/>
  <c r="F357" s="1"/>
  <c r="F30"/>
  <c r="F36"/>
  <c r="J36" s="1"/>
  <c r="J34"/>
  <c r="F42"/>
  <c r="J42" s="1"/>
  <c r="I66"/>
  <c r="J63"/>
  <c r="J68"/>
  <c r="J75"/>
  <c r="F84"/>
  <c r="J84" s="1"/>
  <c r="J87"/>
  <c r="I92"/>
  <c r="I296" s="1"/>
  <c r="I355" s="1"/>
  <c r="I94"/>
  <c r="F102"/>
  <c r="I108"/>
  <c r="J105"/>
  <c r="F114"/>
  <c r="J114" s="1"/>
  <c r="I120"/>
  <c r="J120" s="1"/>
  <c r="J117"/>
  <c r="J122"/>
  <c r="J129"/>
  <c r="J135"/>
  <c r="J141"/>
  <c r="J147"/>
  <c r="F156"/>
  <c r="J156" s="1"/>
  <c r="J159"/>
  <c r="F168"/>
  <c r="J168" s="1"/>
  <c r="J171"/>
  <c r="I186"/>
  <c r="J183"/>
  <c r="J188"/>
  <c r="I198"/>
  <c r="J195"/>
  <c r="J200"/>
  <c r="I216"/>
  <c r="J213"/>
  <c r="J218"/>
  <c r="J261"/>
  <c r="J285"/>
  <c r="J291"/>
  <c r="J316"/>
  <c r="J319" s="1"/>
  <c r="J322"/>
  <c r="J325" s="1"/>
  <c r="J350"/>
  <c r="J176"/>
  <c r="I228"/>
  <c r="F18"/>
  <c r="J33"/>
  <c r="J21" s="1"/>
  <c r="J210"/>
  <c r="J225"/>
  <c r="F234"/>
  <c r="J234" s="1"/>
  <c r="J249"/>
  <c r="F258"/>
  <c r="J258" s="1"/>
  <c r="J276"/>
  <c r="F319"/>
  <c r="J56"/>
  <c r="J66"/>
  <c r="J99"/>
  <c r="J104"/>
  <c r="J201"/>
  <c r="J292"/>
  <c r="F325"/>
  <c r="J30"/>
  <c r="J186"/>
  <c r="J198"/>
  <c r="J216"/>
  <c r="J228"/>
  <c r="J240"/>
  <c r="J246"/>
  <c r="J270"/>
  <c r="F356"/>
  <c r="J358"/>
  <c r="H58"/>
  <c r="G22"/>
  <c r="G298" s="1"/>
  <c r="G357" s="1"/>
  <c r="J102"/>
  <c r="J48"/>
  <c r="J54"/>
  <c r="J150"/>
  <c r="J282"/>
  <c r="E355"/>
  <c r="J15"/>
  <c r="G18"/>
  <c r="G300" s="1"/>
  <c r="G359" s="1"/>
  <c r="I18"/>
  <c r="J26"/>
  <c r="J32"/>
  <c r="J38"/>
  <c r="J62"/>
  <c r="F72"/>
  <c r="J72" s="1"/>
  <c r="J98"/>
  <c r="F108"/>
  <c r="J108" s="1"/>
  <c r="J116"/>
  <c r="F126"/>
  <c r="J126" s="1"/>
  <c r="F138"/>
  <c r="J138" s="1"/>
  <c r="F144"/>
  <c r="J144" s="1"/>
  <c r="F180"/>
  <c r="J180" s="1"/>
  <c r="J182"/>
  <c r="F192"/>
  <c r="J192" s="1"/>
  <c r="J194"/>
  <c r="F204"/>
  <c r="J204" s="1"/>
  <c r="J212"/>
  <c r="F222"/>
  <c r="J222" s="1"/>
  <c r="J224"/>
  <c r="J236"/>
  <c r="J242"/>
  <c r="J254"/>
  <c r="F296"/>
  <c r="F355" s="1"/>
  <c r="E307"/>
  <c r="E359" s="1"/>
  <c r="I307"/>
  <c r="J309"/>
  <c r="H313"/>
  <c r="J313" s="1"/>
  <c r="J329"/>
  <c r="J332" s="1"/>
  <c r="F353"/>
  <c r="J353" s="1"/>
  <c r="J44"/>
  <c r="J50"/>
  <c r="J146"/>
  <c r="J208"/>
  <c r="J94" s="1"/>
  <c r="J303"/>
  <c r="J304"/>
  <c r="F307"/>
  <c r="G188" i="1"/>
  <c r="I96" i="15" l="1"/>
  <c r="J93"/>
  <c r="J297" s="1"/>
  <c r="J356" s="1"/>
  <c r="J307"/>
  <c r="H60"/>
  <c r="H24" s="1"/>
  <c r="H300" s="1"/>
  <c r="H359" s="1"/>
  <c r="I58"/>
  <c r="H22"/>
  <c r="H298" s="1"/>
  <c r="H357" s="1"/>
  <c r="J92"/>
  <c r="J96"/>
  <c r="J18"/>
  <c r="J20"/>
  <c r="F96"/>
  <c r="F24"/>
  <c r="F300" s="1"/>
  <c r="F359" s="1"/>
  <c r="AB9" i="34"/>
  <c r="AA9"/>
  <c r="Z9"/>
  <c r="V9"/>
  <c r="S9"/>
  <c r="P9"/>
  <c r="O9"/>
  <c r="C9"/>
  <c r="J296" i="15" l="1"/>
  <c r="J355" s="1"/>
  <c r="J58"/>
  <c r="I22"/>
  <c r="I298" s="1"/>
  <c r="I357" s="1"/>
  <c r="I60"/>
  <c r="I24" s="1"/>
  <c r="I300" s="1"/>
  <c r="I359" s="1"/>
  <c r="L332"/>
  <c r="L303"/>
  <c r="L219"/>
  <c r="L194"/>
  <c r="L188"/>
  <c r="L165"/>
  <c r="L117"/>
  <c r="L111"/>
  <c r="L33"/>
  <c r="I378"/>
  <c r="H378"/>
  <c r="H375"/>
  <c r="I322" i="17"/>
  <c r="H322"/>
  <c r="D319"/>
  <c r="D322" s="1"/>
  <c r="H317"/>
  <c r="I315"/>
  <c r="D315"/>
  <c r="I314"/>
  <c r="I317" s="1"/>
  <c r="D314"/>
  <c r="D317" s="1"/>
  <c r="I311"/>
  <c r="H311"/>
  <c r="D308"/>
  <c r="D311" s="1"/>
  <c r="L311" s="1"/>
  <c r="H304"/>
  <c r="I301"/>
  <c r="I304" s="1"/>
  <c r="D301"/>
  <c r="D304" s="1"/>
  <c r="L304" s="1"/>
  <c r="H297"/>
  <c r="G297"/>
  <c r="F297"/>
  <c r="E297"/>
  <c r="I295"/>
  <c r="I297" s="1"/>
  <c r="D295"/>
  <c r="D297" s="1"/>
  <c r="J294"/>
  <c r="J293"/>
  <c r="C289"/>
  <c r="I288"/>
  <c r="I327" s="1"/>
  <c r="D288"/>
  <c r="D327" s="1"/>
  <c r="C288"/>
  <c r="C287"/>
  <c r="C286"/>
  <c r="J285"/>
  <c r="J324" s="1"/>
  <c r="H285"/>
  <c r="H324" s="1"/>
  <c r="C285"/>
  <c r="B284"/>
  <c r="H283"/>
  <c r="C283"/>
  <c r="C282"/>
  <c r="C281"/>
  <c r="I280"/>
  <c r="I283" s="1"/>
  <c r="D280"/>
  <c r="J280" s="1"/>
  <c r="J283" s="1"/>
  <c r="C280"/>
  <c r="C279"/>
  <c r="H277"/>
  <c r="C277"/>
  <c r="C276"/>
  <c r="C275"/>
  <c r="I274"/>
  <c r="I277" s="1"/>
  <c r="D274"/>
  <c r="D277" s="1"/>
  <c r="C274"/>
  <c r="C273"/>
  <c r="H271"/>
  <c r="C271"/>
  <c r="C270"/>
  <c r="C269"/>
  <c r="I268"/>
  <c r="I271" s="1"/>
  <c r="D268"/>
  <c r="D271" s="1"/>
  <c r="C268"/>
  <c r="C267"/>
  <c r="H265"/>
  <c r="C265"/>
  <c r="C264"/>
  <c r="C263"/>
  <c r="I262"/>
  <c r="I265" s="1"/>
  <c r="D262"/>
  <c r="D265" s="1"/>
  <c r="C262"/>
  <c r="C261"/>
  <c r="H259"/>
  <c r="C259"/>
  <c r="C258"/>
  <c r="I257"/>
  <c r="I259" s="1"/>
  <c r="D257"/>
  <c r="L257" s="1"/>
  <c r="C257"/>
  <c r="C256"/>
  <c r="C255"/>
  <c r="H253"/>
  <c r="C253"/>
  <c r="C252"/>
  <c r="C251"/>
  <c r="I250"/>
  <c r="I253" s="1"/>
  <c r="D250"/>
  <c r="D253" s="1"/>
  <c r="C250"/>
  <c r="C249"/>
  <c r="H247"/>
  <c r="C247"/>
  <c r="C246"/>
  <c r="C245"/>
  <c r="I244"/>
  <c r="I247" s="1"/>
  <c r="D244"/>
  <c r="C244"/>
  <c r="C243"/>
  <c r="H241"/>
  <c r="C241"/>
  <c r="C240"/>
  <c r="I239"/>
  <c r="D239"/>
  <c r="C239"/>
  <c r="I238"/>
  <c r="I241" s="1"/>
  <c r="D238"/>
  <c r="C238"/>
  <c r="C237"/>
  <c r="H235"/>
  <c r="C235"/>
  <c r="C234"/>
  <c r="C233"/>
  <c r="I232"/>
  <c r="I235" s="1"/>
  <c r="D232"/>
  <c r="C232"/>
  <c r="C231"/>
  <c r="H229"/>
  <c r="C229"/>
  <c r="C228"/>
  <c r="C227"/>
  <c r="I226"/>
  <c r="I229" s="1"/>
  <c r="D226"/>
  <c r="C226"/>
  <c r="C225"/>
  <c r="H223"/>
  <c r="C223"/>
  <c r="C222"/>
  <c r="C221"/>
  <c r="I220"/>
  <c r="I223" s="1"/>
  <c r="D220"/>
  <c r="C220"/>
  <c r="C219"/>
  <c r="H217"/>
  <c r="C217"/>
  <c r="C216"/>
  <c r="C215"/>
  <c r="I214"/>
  <c r="I217" s="1"/>
  <c r="D214"/>
  <c r="C214"/>
  <c r="C213"/>
  <c r="H211"/>
  <c r="C211"/>
  <c r="C210"/>
  <c r="C209"/>
  <c r="I208"/>
  <c r="I211" s="1"/>
  <c r="D208"/>
  <c r="C208"/>
  <c r="C207"/>
  <c r="H205"/>
  <c r="C205"/>
  <c r="C204"/>
  <c r="C203"/>
  <c r="I202"/>
  <c r="D202"/>
  <c r="D205" s="1"/>
  <c r="L205" s="1"/>
  <c r="C202"/>
  <c r="C201"/>
  <c r="I199"/>
  <c r="H199"/>
  <c r="J197"/>
  <c r="J196"/>
  <c r="J199" s="1"/>
  <c r="H193"/>
  <c r="C193"/>
  <c r="C192"/>
  <c r="C191"/>
  <c r="I190"/>
  <c r="I193" s="1"/>
  <c r="D190"/>
  <c r="D193" s="1"/>
  <c r="C190"/>
  <c r="C189"/>
  <c r="H187"/>
  <c r="C187"/>
  <c r="C186"/>
  <c r="C185"/>
  <c r="I184"/>
  <c r="I187" s="1"/>
  <c r="D184"/>
  <c r="D187" s="1"/>
  <c r="C184"/>
  <c r="C183"/>
  <c r="H181"/>
  <c r="C181"/>
  <c r="C180"/>
  <c r="C179"/>
  <c r="I178"/>
  <c r="I181" s="1"/>
  <c r="D178"/>
  <c r="C178"/>
  <c r="C177"/>
  <c r="H175"/>
  <c r="C175"/>
  <c r="C174"/>
  <c r="C173"/>
  <c r="I172"/>
  <c r="I175" s="1"/>
  <c r="D172"/>
  <c r="C172"/>
  <c r="C171"/>
  <c r="H169"/>
  <c r="C169"/>
  <c r="C168"/>
  <c r="C167"/>
  <c r="I166"/>
  <c r="I169" s="1"/>
  <c r="D166"/>
  <c r="D169" s="1"/>
  <c r="C166"/>
  <c r="C165"/>
  <c r="H163"/>
  <c r="C163"/>
  <c r="C162"/>
  <c r="C161"/>
  <c r="I160"/>
  <c r="I163" s="1"/>
  <c r="D160"/>
  <c r="C160"/>
  <c r="C159"/>
  <c r="H157"/>
  <c r="C157"/>
  <c r="C156"/>
  <c r="I155"/>
  <c r="D155"/>
  <c r="J155" s="1"/>
  <c r="C155"/>
  <c r="I154"/>
  <c r="I157" s="1"/>
  <c r="D154"/>
  <c r="C154"/>
  <c r="C153"/>
  <c r="B152"/>
  <c r="A152"/>
  <c r="H151"/>
  <c r="H145" s="1"/>
  <c r="H289" s="1"/>
  <c r="H328" s="1"/>
  <c r="C151"/>
  <c r="C150"/>
  <c r="C149"/>
  <c r="I148"/>
  <c r="I151" s="1"/>
  <c r="D148"/>
  <c r="C148"/>
  <c r="C147"/>
  <c r="B146"/>
  <c r="C145"/>
  <c r="J144"/>
  <c r="I144"/>
  <c r="H144"/>
  <c r="D144"/>
  <c r="C144"/>
  <c r="H143"/>
  <c r="C143"/>
  <c r="H142"/>
  <c r="C142"/>
  <c r="J141"/>
  <c r="I141"/>
  <c r="H141"/>
  <c r="D141"/>
  <c r="L141" s="1"/>
  <c r="C141"/>
  <c r="H139"/>
  <c r="C139"/>
  <c r="C138"/>
  <c r="C137"/>
  <c r="I136"/>
  <c r="I139" s="1"/>
  <c r="D136"/>
  <c r="D139" s="1"/>
  <c r="L139" s="1"/>
  <c r="C136"/>
  <c r="C135"/>
  <c r="H133"/>
  <c r="C133"/>
  <c r="C132"/>
  <c r="C131"/>
  <c r="I130"/>
  <c r="I133" s="1"/>
  <c r="D130"/>
  <c r="D133" s="1"/>
  <c r="C130"/>
  <c r="C129"/>
  <c r="H127"/>
  <c r="C127"/>
  <c r="C126"/>
  <c r="C125"/>
  <c r="I124"/>
  <c r="I127" s="1"/>
  <c r="D124"/>
  <c r="D127" s="1"/>
  <c r="L127" s="1"/>
  <c r="C124"/>
  <c r="C123"/>
  <c r="K120"/>
  <c r="K118"/>
  <c r="K116"/>
  <c r="K114"/>
  <c r="K112"/>
  <c r="K110"/>
  <c r="K108"/>
  <c r="K106"/>
  <c r="K104"/>
  <c r="K102"/>
  <c r="K100"/>
  <c r="K98"/>
  <c r="K96"/>
  <c r="K94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H48"/>
  <c r="C48"/>
  <c r="C47"/>
  <c r="C46"/>
  <c r="I45"/>
  <c r="I48" s="1"/>
  <c r="D45"/>
  <c r="D48" s="1"/>
  <c r="C45"/>
  <c r="C44"/>
  <c r="H42"/>
  <c r="C42"/>
  <c r="C41"/>
  <c r="C40"/>
  <c r="I39"/>
  <c r="I42" s="1"/>
  <c r="D39"/>
  <c r="D42" s="1"/>
  <c r="C39"/>
  <c r="C38"/>
  <c r="H36"/>
  <c r="C36"/>
  <c r="C35"/>
  <c r="I34"/>
  <c r="D34"/>
  <c r="D22" s="1"/>
  <c r="C34"/>
  <c r="I33"/>
  <c r="D33"/>
  <c r="C33"/>
  <c r="C32"/>
  <c r="H30"/>
  <c r="C30"/>
  <c r="C29"/>
  <c r="C28"/>
  <c r="I27"/>
  <c r="D27"/>
  <c r="C27"/>
  <c r="C26"/>
  <c r="H24"/>
  <c r="C24"/>
  <c r="J23"/>
  <c r="J288" s="1"/>
  <c r="J327" s="1"/>
  <c r="I23"/>
  <c r="H23"/>
  <c r="H288" s="1"/>
  <c r="H327" s="1"/>
  <c r="D23"/>
  <c r="C23"/>
  <c r="I22"/>
  <c r="H22"/>
  <c r="H287" s="1"/>
  <c r="H326" s="1"/>
  <c r="C22"/>
  <c r="H21"/>
  <c r="H286" s="1"/>
  <c r="H325" s="1"/>
  <c r="D21"/>
  <c r="C21"/>
  <c r="J20"/>
  <c r="I20"/>
  <c r="I285" s="1"/>
  <c r="I324" s="1"/>
  <c r="H20"/>
  <c r="D20"/>
  <c r="C20"/>
  <c r="H18"/>
  <c r="C18"/>
  <c r="C17"/>
  <c r="I16"/>
  <c r="D16"/>
  <c r="C16"/>
  <c r="I15"/>
  <c r="D15"/>
  <c r="J15" s="1"/>
  <c r="C15"/>
  <c r="C14"/>
  <c r="B13"/>
  <c r="A13"/>
  <c r="L50" i="23"/>
  <c r="G50"/>
  <c r="H206" i="1"/>
  <c r="N187" i="7"/>
  <c r="M187"/>
  <c r="L187"/>
  <c r="K187"/>
  <c r="F187"/>
  <c r="E187"/>
  <c r="D187"/>
  <c r="U223"/>
  <c r="T223"/>
  <c r="Q223"/>
  <c r="P223"/>
  <c r="N223"/>
  <c r="M223"/>
  <c r="L223"/>
  <c r="K223"/>
  <c r="F223"/>
  <c r="E223"/>
  <c r="D223"/>
  <c r="P27" i="18"/>
  <c r="P26"/>
  <c r="O26"/>
  <c r="L26"/>
  <c r="K26"/>
  <c r="J26"/>
  <c r="I26"/>
  <c r="E26"/>
  <c r="D26"/>
  <c r="P25"/>
  <c r="P24"/>
  <c r="O24"/>
  <c r="L24"/>
  <c r="K24"/>
  <c r="J24"/>
  <c r="I24"/>
  <c r="H24"/>
  <c r="E24"/>
  <c r="D24"/>
  <c r="D21"/>
  <c r="H20"/>
  <c r="H26" s="1"/>
  <c r="J19"/>
  <c r="I19"/>
  <c r="I21" s="1"/>
  <c r="E19"/>
  <c r="E21" s="1"/>
  <c r="J14"/>
  <c r="J25" s="1"/>
  <c r="I14"/>
  <c r="I25" s="1"/>
  <c r="E14"/>
  <c r="L14" s="1"/>
  <c r="D14"/>
  <c r="D25" s="1"/>
  <c r="G21" i="16"/>
  <c r="F21"/>
  <c r="G20"/>
  <c r="F20"/>
  <c r="M19"/>
  <c r="L19"/>
  <c r="K19"/>
  <c r="J19"/>
  <c r="I19"/>
  <c r="H19"/>
  <c r="G19"/>
  <c r="F19"/>
  <c r="E19"/>
  <c r="D19"/>
  <c r="G16"/>
  <c r="G22" s="1"/>
  <c r="F16"/>
  <c r="F22" s="1"/>
  <c r="J15"/>
  <c r="J21" s="1"/>
  <c r="I15"/>
  <c r="I21" s="1"/>
  <c r="E15"/>
  <c r="E21" s="1"/>
  <c r="D15"/>
  <c r="K15" s="1"/>
  <c r="J14"/>
  <c r="J20" s="1"/>
  <c r="I14"/>
  <c r="I20" s="1"/>
  <c r="E14"/>
  <c r="E20" s="1"/>
  <c r="D14"/>
  <c r="K14" s="1"/>
  <c r="K20" s="1"/>
  <c r="N20" s="1"/>
  <c r="L14" i="15"/>
  <c r="M14" s="1"/>
  <c r="L26"/>
  <c r="L32"/>
  <c r="L34"/>
  <c r="L38"/>
  <c r="L39"/>
  <c r="L50"/>
  <c r="L56"/>
  <c r="L62"/>
  <c r="L63"/>
  <c r="L68"/>
  <c r="L75"/>
  <c r="L87"/>
  <c r="L105"/>
  <c r="L116"/>
  <c r="L122"/>
  <c r="L123"/>
  <c r="L129"/>
  <c r="L135"/>
  <c r="L141"/>
  <c r="L147"/>
  <c r="L159"/>
  <c r="L171"/>
  <c r="L176"/>
  <c r="L177"/>
  <c r="L182"/>
  <c r="L183"/>
  <c r="L189"/>
  <c r="L195"/>
  <c r="L200"/>
  <c r="L201"/>
  <c r="L208"/>
  <c r="L212"/>
  <c r="L213"/>
  <c r="L218"/>
  <c r="L224"/>
  <c r="L225"/>
  <c r="L254"/>
  <c r="L285"/>
  <c r="L291"/>
  <c r="L301"/>
  <c r="L309"/>
  <c r="L322"/>
  <c r="L329"/>
  <c r="L336"/>
  <c r="M336" s="1"/>
  <c r="L339"/>
  <c r="M339" s="1"/>
  <c r="J369"/>
  <c r="F373"/>
  <c r="H373"/>
  <c r="I373"/>
  <c r="J373"/>
  <c r="L323" i="17"/>
  <c r="L321"/>
  <c r="L320"/>
  <c r="L322"/>
  <c r="L318"/>
  <c r="L316"/>
  <c r="L315"/>
  <c r="L314"/>
  <c r="L313"/>
  <c r="L312"/>
  <c r="L310"/>
  <c r="L309"/>
  <c r="L307"/>
  <c r="L306"/>
  <c r="L305"/>
  <c r="L303"/>
  <c r="L302"/>
  <c r="L300"/>
  <c r="L299"/>
  <c r="L291"/>
  <c r="L290"/>
  <c r="L284"/>
  <c r="L282"/>
  <c r="L281"/>
  <c r="L280"/>
  <c r="L279"/>
  <c r="L278"/>
  <c r="L276"/>
  <c r="L275"/>
  <c r="L273"/>
  <c r="L272"/>
  <c r="L270"/>
  <c r="L269"/>
  <c r="L267"/>
  <c r="L266"/>
  <c r="L264"/>
  <c r="L263"/>
  <c r="L261"/>
  <c r="L260"/>
  <c r="L258"/>
  <c r="L256"/>
  <c r="L255"/>
  <c r="L254"/>
  <c r="L252"/>
  <c r="L251"/>
  <c r="L250"/>
  <c r="L249"/>
  <c r="L248"/>
  <c r="L246"/>
  <c r="L245"/>
  <c r="L244"/>
  <c r="L243"/>
  <c r="L242"/>
  <c r="L240"/>
  <c r="L239"/>
  <c r="L237"/>
  <c r="L236"/>
  <c r="L234"/>
  <c r="L233"/>
  <c r="L232"/>
  <c r="L231"/>
  <c r="L230"/>
  <c r="L228"/>
  <c r="L227"/>
  <c r="L226"/>
  <c r="L225"/>
  <c r="L224"/>
  <c r="L222"/>
  <c r="L221"/>
  <c r="L220"/>
  <c r="L219"/>
  <c r="L218"/>
  <c r="L216"/>
  <c r="L215"/>
  <c r="L214"/>
  <c r="L213"/>
  <c r="L212"/>
  <c r="L210"/>
  <c r="L209"/>
  <c r="L208"/>
  <c r="L207"/>
  <c r="L206"/>
  <c r="L204"/>
  <c r="L203"/>
  <c r="L202"/>
  <c r="L201"/>
  <c r="L200"/>
  <c r="L199"/>
  <c r="L198"/>
  <c r="L197"/>
  <c r="L196"/>
  <c r="L195"/>
  <c r="L194"/>
  <c r="L192"/>
  <c r="L191"/>
  <c r="L190"/>
  <c r="L189"/>
  <c r="L188"/>
  <c r="L186"/>
  <c r="L185"/>
  <c r="L183"/>
  <c r="L182"/>
  <c r="L180"/>
  <c r="L179"/>
  <c r="L178"/>
  <c r="L177"/>
  <c r="L176"/>
  <c r="L174"/>
  <c r="L173"/>
  <c r="L171"/>
  <c r="L170"/>
  <c r="L168"/>
  <c r="L167"/>
  <c r="L166"/>
  <c r="L165"/>
  <c r="L164"/>
  <c r="L162"/>
  <c r="L161"/>
  <c r="L159"/>
  <c r="L158"/>
  <c r="L156"/>
  <c r="L155"/>
  <c r="K155" s="1"/>
  <c r="L153"/>
  <c r="L152"/>
  <c r="L150"/>
  <c r="L149"/>
  <c r="L147"/>
  <c r="L146"/>
  <c r="L144"/>
  <c r="L140"/>
  <c r="L138"/>
  <c r="L137"/>
  <c r="L136"/>
  <c r="L135"/>
  <c r="L134"/>
  <c r="L132"/>
  <c r="L131"/>
  <c r="L130"/>
  <c r="L129"/>
  <c r="L128"/>
  <c r="L126"/>
  <c r="L125"/>
  <c r="L124"/>
  <c r="L123"/>
  <c r="L122"/>
  <c r="L121"/>
  <c r="L120"/>
  <c r="L119"/>
  <c r="K119" s="1"/>
  <c r="L118"/>
  <c r="L117"/>
  <c r="K117" s="1"/>
  <c r="L116"/>
  <c r="L115"/>
  <c r="K115" s="1"/>
  <c r="L114"/>
  <c r="L113"/>
  <c r="K113" s="1"/>
  <c r="L112"/>
  <c r="L111"/>
  <c r="K111" s="1"/>
  <c r="L110"/>
  <c r="L109"/>
  <c r="K109" s="1"/>
  <c r="L108"/>
  <c r="L107"/>
  <c r="K107" s="1"/>
  <c r="L106"/>
  <c r="L105"/>
  <c r="K105" s="1"/>
  <c r="L104"/>
  <c r="L103"/>
  <c r="K103" s="1"/>
  <c r="L102"/>
  <c r="L101"/>
  <c r="K101" s="1"/>
  <c r="L100"/>
  <c r="L99"/>
  <c r="K99" s="1"/>
  <c r="L98"/>
  <c r="L97"/>
  <c r="K97" s="1"/>
  <c r="L96"/>
  <c r="L95"/>
  <c r="K95" s="1"/>
  <c r="L94"/>
  <c r="L93"/>
  <c r="K93" s="1"/>
  <c r="L92"/>
  <c r="L91"/>
  <c r="K91" s="1"/>
  <c r="L90"/>
  <c r="L89"/>
  <c r="K89" s="1"/>
  <c r="L88"/>
  <c r="L87"/>
  <c r="K87" s="1"/>
  <c r="L86"/>
  <c r="L85"/>
  <c r="K85" s="1"/>
  <c r="L84"/>
  <c r="L83"/>
  <c r="K83" s="1"/>
  <c r="L82"/>
  <c r="L81"/>
  <c r="K81" s="1"/>
  <c r="L80"/>
  <c r="L79"/>
  <c r="K79" s="1"/>
  <c r="L78"/>
  <c r="L77"/>
  <c r="K77" s="1"/>
  <c r="L76"/>
  <c r="L75"/>
  <c r="K75" s="1"/>
  <c r="L74"/>
  <c r="L73"/>
  <c r="K73" s="1"/>
  <c r="L72"/>
  <c r="L71"/>
  <c r="K71" s="1"/>
  <c r="L70"/>
  <c r="L69"/>
  <c r="K69" s="1"/>
  <c r="L68"/>
  <c r="L67"/>
  <c r="K67" s="1"/>
  <c r="L66"/>
  <c r="L65"/>
  <c r="K65" s="1"/>
  <c r="L64"/>
  <c r="L63"/>
  <c r="K63" s="1"/>
  <c r="L62"/>
  <c r="L61"/>
  <c r="K61" s="1"/>
  <c r="L60"/>
  <c r="L59"/>
  <c r="K59" s="1"/>
  <c r="L58"/>
  <c r="L57"/>
  <c r="K57" s="1"/>
  <c r="L56"/>
  <c r="L55"/>
  <c r="K55" s="1"/>
  <c r="L54"/>
  <c r="L53"/>
  <c r="K53" s="1"/>
  <c r="L52"/>
  <c r="L51"/>
  <c r="K51" s="1"/>
  <c r="L50"/>
  <c r="L49"/>
  <c r="K49" s="1"/>
  <c r="L47"/>
  <c r="L46"/>
  <c r="L45"/>
  <c r="L44"/>
  <c r="L43"/>
  <c r="L41"/>
  <c r="L40"/>
  <c r="L39"/>
  <c r="L38"/>
  <c r="L37"/>
  <c r="L35"/>
  <c r="L34"/>
  <c r="L32"/>
  <c r="L31"/>
  <c r="L29"/>
  <c r="L28"/>
  <c r="L27"/>
  <c r="L26"/>
  <c r="L25"/>
  <c r="L23"/>
  <c r="L19"/>
  <c r="L17"/>
  <c r="L16"/>
  <c r="J60" i="15" l="1"/>
  <c r="J24" s="1"/>
  <c r="J300" s="1"/>
  <c r="J22"/>
  <c r="J298" s="1"/>
  <c r="J357" s="1"/>
  <c r="I21" i="17"/>
  <c r="J208"/>
  <c r="J211" s="1"/>
  <c r="L292" i="15"/>
  <c r="L104"/>
  <c r="L81"/>
  <c r="L69"/>
  <c r="L44"/>
  <c r="L27"/>
  <c r="H376"/>
  <c r="J27" i="17"/>
  <c r="J30" s="1"/>
  <c r="J33"/>
  <c r="D157"/>
  <c r="L157" s="1"/>
  <c r="J315"/>
  <c r="L108" i="15"/>
  <c r="J220" i="17"/>
  <c r="J223" s="1"/>
  <c r="J232"/>
  <c r="J235" s="1"/>
  <c r="J244"/>
  <c r="J247" s="1"/>
  <c r="K50" i="23"/>
  <c r="H50"/>
  <c r="N19" i="18"/>
  <c r="K27" i="17"/>
  <c r="D30"/>
  <c r="I30"/>
  <c r="I36"/>
  <c r="K127"/>
  <c r="K139"/>
  <c r="J202"/>
  <c r="J205" s="1"/>
  <c r="D211"/>
  <c r="J214"/>
  <c r="J217" s="1"/>
  <c r="D223"/>
  <c r="J226"/>
  <c r="J229" s="1"/>
  <c r="D235"/>
  <c r="J238"/>
  <c r="D283"/>
  <c r="J308"/>
  <c r="J311" s="1"/>
  <c r="I142"/>
  <c r="I286" s="1"/>
  <c r="I325" s="1"/>
  <c r="D217"/>
  <c r="L217" s="1"/>
  <c r="K217" s="1"/>
  <c r="D229"/>
  <c r="L229" s="1"/>
  <c r="D143"/>
  <c r="D287" s="1"/>
  <c r="D326" s="1"/>
  <c r="D247"/>
  <c r="J250"/>
  <c r="J253" s="1"/>
  <c r="K315"/>
  <c r="L192" i="15"/>
  <c r="L18"/>
  <c r="L30"/>
  <c r="L48"/>
  <c r="L54"/>
  <c r="L150"/>
  <c r="L313"/>
  <c r="L255"/>
  <c r="M255" s="1"/>
  <c r="M213"/>
  <c r="M212"/>
  <c r="L210"/>
  <c r="M195"/>
  <c r="M194"/>
  <c r="M171"/>
  <c r="M159"/>
  <c r="M34"/>
  <c r="I24" i="17"/>
  <c r="D285"/>
  <c r="D324" s="1"/>
  <c r="L20"/>
  <c r="D151"/>
  <c r="D142"/>
  <c r="D286" s="1"/>
  <c r="D325" s="1"/>
  <c r="L148"/>
  <c r="J16"/>
  <c r="J34"/>
  <c r="J22" s="1"/>
  <c r="J148"/>
  <c r="J154"/>
  <c r="J157" s="1"/>
  <c r="K229"/>
  <c r="K311"/>
  <c r="K322"/>
  <c r="I143"/>
  <c r="M155"/>
  <c r="D163"/>
  <c r="L160"/>
  <c r="D175"/>
  <c r="L172"/>
  <c r="D181"/>
  <c r="J178"/>
  <c r="J181" s="1"/>
  <c r="K16"/>
  <c r="D18"/>
  <c r="I18"/>
  <c r="K34"/>
  <c r="D36"/>
  <c r="D24" s="1"/>
  <c r="J39"/>
  <c r="J42" s="1"/>
  <c r="K39"/>
  <c r="J45"/>
  <c r="J48" s="1"/>
  <c r="K45"/>
  <c r="J124"/>
  <c r="J127" s="1"/>
  <c r="K124"/>
  <c r="J130"/>
  <c r="J133" s="1"/>
  <c r="K130"/>
  <c r="J136"/>
  <c r="J139" s="1"/>
  <c r="K136"/>
  <c r="K157"/>
  <c r="J160"/>
  <c r="J163" s="1"/>
  <c r="J166"/>
  <c r="J169" s="1"/>
  <c r="J172"/>
  <c r="J175" s="1"/>
  <c r="K239"/>
  <c r="K257"/>
  <c r="K304"/>
  <c r="J184"/>
  <c r="J187" s="1"/>
  <c r="J190"/>
  <c r="J193" s="1"/>
  <c r="K202"/>
  <c r="I205"/>
  <c r="K208"/>
  <c r="K214"/>
  <c r="K220"/>
  <c r="K226"/>
  <c r="K232"/>
  <c r="J239"/>
  <c r="J241" s="1"/>
  <c r="D241"/>
  <c r="K244"/>
  <c r="K250"/>
  <c r="J257"/>
  <c r="J259" s="1"/>
  <c r="D259"/>
  <c r="K280"/>
  <c r="J295"/>
  <c r="J297" s="1"/>
  <c r="J301"/>
  <c r="J304" s="1"/>
  <c r="K314"/>
  <c r="L184"/>
  <c r="K184" s="1"/>
  <c r="K148"/>
  <c r="K160"/>
  <c r="K166"/>
  <c r="K172"/>
  <c r="K178"/>
  <c r="K190"/>
  <c r="J262"/>
  <c r="J265" s="1"/>
  <c r="J268"/>
  <c r="J271" s="1"/>
  <c r="J274"/>
  <c r="J277" s="1"/>
  <c r="J314"/>
  <c r="J317" s="1"/>
  <c r="J319"/>
  <c r="J322" s="1"/>
  <c r="L308"/>
  <c r="L21"/>
  <c r="K21" s="1"/>
  <c r="L22"/>
  <c r="K22" s="1"/>
  <c r="L30"/>
  <c r="M30" s="1"/>
  <c r="M34"/>
  <c r="L133"/>
  <c r="K133" s="1"/>
  <c r="L211"/>
  <c r="K211" s="1"/>
  <c r="L223"/>
  <c r="K223" s="1"/>
  <c r="L235"/>
  <c r="K235" s="1"/>
  <c r="L241"/>
  <c r="K241" s="1"/>
  <c r="L317"/>
  <c r="K317" s="1"/>
  <c r="L153" i="15"/>
  <c r="L156"/>
  <c r="M156" s="1"/>
  <c r="L204"/>
  <c r="L180"/>
  <c r="L72"/>
  <c r="L42"/>
  <c r="M42" s="1"/>
  <c r="L36"/>
  <c r="M18"/>
  <c r="L126"/>
  <c r="L57"/>
  <c r="M57" s="1"/>
  <c r="M56"/>
  <c r="L15"/>
  <c r="M15" s="1"/>
  <c r="M147"/>
  <c r="L138"/>
  <c r="M138" s="1"/>
  <c r="M87"/>
  <c r="L66"/>
  <c r="L114"/>
  <c r="M114" s="1"/>
  <c r="L132"/>
  <c r="M132" s="1"/>
  <c r="M322"/>
  <c r="L258"/>
  <c r="M254"/>
  <c r="M183"/>
  <c r="M182"/>
  <c r="M165"/>
  <c r="M153"/>
  <c r="M117"/>
  <c r="M116"/>
  <c r="L92"/>
  <c r="M92" s="1"/>
  <c r="M332"/>
  <c r="M225"/>
  <c r="M224"/>
  <c r="M108"/>
  <c r="M81"/>
  <c r="M75"/>
  <c r="L20"/>
  <c r="L16" i="18"/>
  <c r="M25"/>
  <c r="K14"/>
  <c r="O14" s="1"/>
  <c r="M14"/>
  <c r="E16"/>
  <c r="E27" s="1"/>
  <c r="I16"/>
  <c r="H19"/>
  <c r="L19"/>
  <c r="H21"/>
  <c r="J21"/>
  <c r="E25"/>
  <c r="N25" s="1"/>
  <c r="H14"/>
  <c r="N14"/>
  <c r="D16"/>
  <c r="D27" s="1"/>
  <c r="J16"/>
  <c r="K19"/>
  <c r="K21" s="1"/>
  <c r="K21" i="16"/>
  <c r="N21" s="1"/>
  <c r="K16"/>
  <c r="K22" s="1"/>
  <c r="H14"/>
  <c r="H20" s="1"/>
  <c r="L14"/>
  <c r="H15"/>
  <c r="L15"/>
  <c r="D16"/>
  <c r="D22" s="1"/>
  <c r="J16"/>
  <c r="J22" s="1"/>
  <c r="D20"/>
  <c r="D21"/>
  <c r="E16"/>
  <c r="E22" s="1"/>
  <c r="I16"/>
  <c r="I22" s="1"/>
  <c r="F378" i="15"/>
  <c r="L378" s="1"/>
  <c r="L299"/>
  <c r="L93"/>
  <c r="L21"/>
  <c r="M93"/>
  <c r="M329"/>
  <c r="L325"/>
  <c r="M325" s="1"/>
  <c r="M303"/>
  <c r="M292"/>
  <c r="M291"/>
  <c r="M285"/>
  <c r="M219"/>
  <c r="M218"/>
  <c r="M208"/>
  <c r="M201"/>
  <c r="M200"/>
  <c r="M189"/>
  <c r="M188"/>
  <c r="M177"/>
  <c r="M176"/>
  <c r="M150"/>
  <c r="M141"/>
  <c r="M135"/>
  <c r="M129"/>
  <c r="M123"/>
  <c r="M122"/>
  <c r="M111"/>
  <c r="M105"/>
  <c r="M104"/>
  <c r="L99"/>
  <c r="M99" s="1"/>
  <c r="L98"/>
  <c r="M98" s="1"/>
  <c r="M69"/>
  <c r="M68"/>
  <c r="M66"/>
  <c r="M54"/>
  <c r="M50"/>
  <c r="M48"/>
  <c r="M44"/>
  <c r="M63"/>
  <c r="M62"/>
  <c r="M39"/>
  <c r="M38"/>
  <c r="M36"/>
  <c r="M33"/>
  <c r="M32"/>
  <c r="M30"/>
  <c r="J378"/>
  <c r="M27"/>
  <c r="M26"/>
  <c r="L36" i="17"/>
  <c r="K36" s="1"/>
  <c r="M133"/>
  <c r="M223"/>
  <c r="M21"/>
  <c r="M239"/>
  <c r="M311"/>
  <c r="M315"/>
  <c r="M127"/>
  <c r="M139"/>
  <c r="M205"/>
  <c r="M217"/>
  <c r="M229"/>
  <c r="M322"/>
  <c r="L15"/>
  <c r="M16"/>
  <c r="L33"/>
  <c r="M39"/>
  <c r="L42"/>
  <c r="K42" s="1"/>
  <c r="M45"/>
  <c r="L48"/>
  <c r="K48" s="1"/>
  <c r="L142"/>
  <c r="K142" s="1"/>
  <c r="L143"/>
  <c r="M143" s="1"/>
  <c r="L154"/>
  <c r="M154" s="1"/>
  <c r="M160"/>
  <c r="L163"/>
  <c r="M163" s="1"/>
  <c r="M166"/>
  <c r="L169"/>
  <c r="M169" s="1"/>
  <c r="M172"/>
  <c r="L175"/>
  <c r="M175" s="1"/>
  <c r="M178"/>
  <c r="L181"/>
  <c r="M181" s="1"/>
  <c r="M184"/>
  <c r="L187"/>
  <c r="M187" s="1"/>
  <c r="M190"/>
  <c r="L193"/>
  <c r="M193" s="1"/>
  <c r="L238"/>
  <c r="M238" s="1"/>
  <c r="M244"/>
  <c r="L247"/>
  <c r="K247" s="1"/>
  <c r="M250"/>
  <c r="L253"/>
  <c r="K253" s="1"/>
  <c r="M257"/>
  <c r="L259"/>
  <c r="K259" s="1"/>
  <c r="L262"/>
  <c r="L265"/>
  <c r="L268"/>
  <c r="L271"/>
  <c r="L274"/>
  <c r="L277"/>
  <c r="M280"/>
  <c r="L283"/>
  <c r="K283" s="1"/>
  <c r="L301"/>
  <c r="M301" s="1"/>
  <c r="L319"/>
  <c r="K319" s="1"/>
  <c r="M27"/>
  <c r="M124"/>
  <c r="M130"/>
  <c r="M136"/>
  <c r="M148"/>
  <c r="M202"/>
  <c r="M208"/>
  <c r="M214"/>
  <c r="M220"/>
  <c r="M226"/>
  <c r="M232"/>
  <c r="M314"/>
  <c r="AF42" i="34"/>
  <c r="AJ42" s="1"/>
  <c r="AE42"/>
  <c r="AI42" s="1"/>
  <c r="AD42"/>
  <c r="AF35"/>
  <c r="AE35"/>
  <c r="AD35"/>
  <c r="AF30"/>
  <c r="AE30"/>
  <c r="AD30"/>
  <c r="AG30" s="1"/>
  <c r="AF24"/>
  <c r="AE24"/>
  <c r="AD24"/>
  <c r="AG24" s="1"/>
  <c r="AF16"/>
  <c r="AE16"/>
  <c r="AD16"/>
  <c r="AG16" s="1"/>
  <c r="AF14"/>
  <c r="AE14"/>
  <c r="AD14"/>
  <c r="AG14" s="1"/>
  <c r="AF12"/>
  <c r="AE12"/>
  <c r="AD12"/>
  <c r="AG12" s="1"/>
  <c r="AF10"/>
  <c r="AE10"/>
  <c r="AD10"/>
  <c r="AG10" s="1"/>
  <c r="AC42"/>
  <c r="AC35"/>
  <c r="AC30"/>
  <c r="AC24"/>
  <c r="AC16"/>
  <c r="AC14"/>
  <c r="AC12"/>
  <c r="AC10"/>
  <c r="Y42"/>
  <c r="Y35"/>
  <c r="Y30"/>
  <c r="Y24"/>
  <c r="Y16"/>
  <c r="Y14"/>
  <c r="Y12"/>
  <c r="Y10"/>
  <c r="U42"/>
  <c r="Q42"/>
  <c r="Q16"/>
  <c r="Q14"/>
  <c r="Q12"/>
  <c r="Q10"/>
  <c r="M42"/>
  <c r="M35"/>
  <c r="M30"/>
  <c r="M24"/>
  <c r="M16"/>
  <c r="M14"/>
  <c r="M12"/>
  <c r="M10"/>
  <c r="I42"/>
  <c r="I35"/>
  <c r="I30"/>
  <c r="I24"/>
  <c r="I16"/>
  <c r="I14"/>
  <c r="I12"/>
  <c r="I10"/>
  <c r="E42"/>
  <c r="E35"/>
  <c r="E30"/>
  <c r="E24"/>
  <c r="E16"/>
  <c r="E14"/>
  <c r="E12"/>
  <c r="E10"/>
  <c r="AC9"/>
  <c r="J359" i="15" l="1"/>
  <c r="R12" i="8"/>
  <c r="M235" i="17"/>
  <c r="M211"/>
  <c r="M22"/>
  <c r="M317"/>
  <c r="J376" i="15"/>
  <c r="L307"/>
  <c r="M307" s="1"/>
  <c r="L144"/>
  <c r="M144" s="1"/>
  <c r="L78"/>
  <c r="M78" s="1"/>
  <c r="L288"/>
  <c r="L222"/>
  <c r="M72"/>
  <c r="M126"/>
  <c r="M308" i="17"/>
  <c r="K308"/>
  <c r="K205"/>
  <c r="I145"/>
  <c r="I289" s="1"/>
  <c r="J151"/>
  <c r="J145" s="1"/>
  <c r="J142"/>
  <c r="D145"/>
  <c r="L151"/>
  <c r="K238"/>
  <c r="J21"/>
  <c r="J286" s="1"/>
  <c r="J325" s="1"/>
  <c r="D289"/>
  <c r="D328" s="1"/>
  <c r="K187"/>
  <c r="K175"/>
  <c r="K163"/>
  <c r="J36"/>
  <c r="J24" s="1"/>
  <c r="K30"/>
  <c r="M33"/>
  <c r="K33"/>
  <c r="M15"/>
  <c r="K15"/>
  <c r="K143"/>
  <c r="I287"/>
  <c r="K154"/>
  <c r="J143"/>
  <c r="J287" s="1"/>
  <c r="J326" s="1"/>
  <c r="K301"/>
  <c r="K193"/>
  <c r="K181"/>
  <c r="K169"/>
  <c r="J18"/>
  <c r="O16" i="18"/>
  <c r="H25"/>
  <c r="H16"/>
  <c r="H27" s="1"/>
  <c r="L21"/>
  <c r="O19"/>
  <c r="O21" s="1"/>
  <c r="I27"/>
  <c r="M27" s="1"/>
  <c r="M16"/>
  <c r="L25"/>
  <c r="J27"/>
  <c r="N27" s="1"/>
  <c r="N16"/>
  <c r="K25"/>
  <c r="K16"/>
  <c r="K27" s="1"/>
  <c r="L27"/>
  <c r="H21" i="16"/>
  <c r="H16"/>
  <c r="H22" s="1"/>
  <c r="M15"/>
  <c r="M21" s="1"/>
  <c r="L21"/>
  <c r="O21" s="1"/>
  <c r="L16"/>
  <c r="M14"/>
  <c r="M20" s="1"/>
  <c r="L20"/>
  <c r="O20" s="1"/>
  <c r="L90" i="15"/>
  <c r="M90" s="1"/>
  <c r="M20"/>
  <c r="L120"/>
  <c r="M120" s="1"/>
  <c r="L162"/>
  <c r="M162" s="1"/>
  <c r="L174"/>
  <c r="M174" s="1"/>
  <c r="L186"/>
  <c r="M186" s="1"/>
  <c r="L198"/>
  <c r="M198" s="1"/>
  <c r="M210"/>
  <c r="M222"/>
  <c r="M288"/>
  <c r="L296"/>
  <c r="L297"/>
  <c r="F377"/>
  <c r="L84"/>
  <c r="M84" s="1"/>
  <c r="M21"/>
  <c r="L102"/>
  <c r="M102" s="1"/>
  <c r="L96"/>
  <c r="L168"/>
  <c r="M168" s="1"/>
  <c r="M180"/>
  <c r="M192"/>
  <c r="M204"/>
  <c r="L216"/>
  <c r="M216" s="1"/>
  <c r="L228"/>
  <c r="M228" s="1"/>
  <c r="M258"/>
  <c r="L294"/>
  <c r="M294" s="1"/>
  <c r="M319" i="17"/>
  <c r="L287"/>
  <c r="L326"/>
  <c r="L324"/>
  <c r="L285"/>
  <c r="M36"/>
  <c r="L18"/>
  <c r="K18" s="1"/>
  <c r="L145"/>
  <c r="M283"/>
  <c r="M259"/>
  <c r="M253"/>
  <c r="M247"/>
  <c r="M48"/>
  <c r="M42"/>
  <c r="M304"/>
  <c r="L327"/>
  <c r="L288"/>
  <c r="M241"/>
  <c r="M157"/>
  <c r="M142"/>
  <c r="M18"/>
  <c r="L24"/>
  <c r="K24" s="1"/>
  <c r="AG42" i="34"/>
  <c r="AH42"/>
  <c r="AK42" s="1"/>
  <c r="AG35"/>
  <c r="J361" i="15" l="1"/>
  <c r="R32" i="8"/>
  <c r="J289" i="17"/>
  <c r="J328" s="1"/>
  <c r="J330" s="1"/>
  <c r="I328"/>
  <c r="I326"/>
  <c r="K326" s="1"/>
  <c r="K287"/>
  <c r="K151"/>
  <c r="M151"/>
  <c r="M326"/>
  <c r="K145"/>
  <c r="M96" i="15"/>
  <c r="O25" i="18"/>
  <c r="O27"/>
  <c r="O29" s="1"/>
  <c r="M16" i="16"/>
  <c r="M22" s="1"/>
  <c r="M24" s="1"/>
  <c r="L22"/>
  <c r="L356" i="15"/>
  <c r="F376"/>
  <c r="L376" s="1"/>
  <c r="L355"/>
  <c r="F375"/>
  <c r="L375" s="1"/>
  <c r="L60"/>
  <c r="H379"/>
  <c r="L22"/>
  <c r="M297"/>
  <c r="M296"/>
  <c r="M24" i="17"/>
  <c r="M287"/>
  <c r="M145"/>
  <c r="L325"/>
  <c r="K325" s="1"/>
  <c r="L286"/>
  <c r="K286" s="1"/>
  <c r="BN185" i="7"/>
  <c r="BM185"/>
  <c r="BL251"/>
  <c r="BP251" s="1"/>
  <c r="BL250"/>
  <c r="BP250" s="1"/>
  <c r="BL249"/>
  <c r="BP249" s="1"/>
  <c r="BL246"/>
  <c r="BL245"/>
  <c r="BP245" s="1"/>
  <c r="BL244"/>
  <c r="BP244" s="1"/>
  <c r="BL241"/>
  <c r="BP241" s="1"/>
  <c r="BL240"/>
  <c r="BL239"/>
  <c r="BP239" s="1"/>
  <c r="BL236"/>
  <c r="BP236" s="1"/>
  <c r="BL235"/>
  <c r="BP235" s="1"/>
  <c r="BL234"/>
  <c r="BL231"/>
  <c r="BP231" s="1"/>
  <c r="BL230"/>
  <c r="BL229"/>
  <c r="BL226"/>
  <c r="BL225"/>
  <c r="BP225" s="1"/>
  <c r="BL224"/>
  <c r="BP224" s="1"/>
  <c r="BL221"/>
  <c r="BP221" s="1"/>
  <c r="BL220"/>
  <c r="BP220" s="1"/>
  <c r="BL219"/>
  <c r="BL216"/>
  <c r="BP216" s="1"/>
  <c r="BL215"/>
  <c r="BP215" s="1"/>
  <c r="BL214"/>
  <c r="BP214" s="1"/>
  <c r="BL211"/>
  <c r="BP211" s="1"/>
  <c r="BL210"/>
  <c r="BP210" s="1"/>
  <c r="BL209"/>
  <c r="BL206"/>
  <c r="BP206" s="1"/>
  <c r="BL205"/>
  <c r="BP205" s="1"/>
  <c r="BL204"/>
  <c r="BP204" s="1"/>
  <c r="BL201"/>
  <c r="BP201" s="1"/>
  <c r="BL200"/>
  <c r="BP200" s="1"/>
  <c r="BL199"/>
  <c r="BL196"/>
  <c r="BP196" s="1"/>
  <c r="BL195"/>
  <c r="BP195" s="1"/>
  <c r="BL194"/>
  <c r="BL191"/>
  <c r="BP191" s="1"/>
  <c r="BL190"/>
  <c r="BL189"/>
  <c r="BR262"/>
  <c r="BQ262"/>
  <c r="BP262"/>
  <c r="BR257"/>
  <c r="BQ257"/>
  <c r="BP257"/>
  <c r="BR252"/>
  <c r="BQ252"/>
  <c r="BP252"/>
  <c r="BR247"/>
  <c r="BQ247"/>
  <c r="BP247"/>
  <c r="BP246"/>
  <c r="BR242"/>
  <c r="BQ242"/>
  <c r="BP242"/>
  <c r="BP240"/>
  <c r="BR237"/>
  <c r="BQ237"/>
  <c r="BP237"/>
  <c r="BP234"/>
  <c r="BR232"/>
  <c r="BQ232"/>
  <c r="BP232"/>
  <c r="BP230"/>
  <c r="BR227"/>
  <c r="BQ227"/>
  <c r="BP227"/>
  <c r="BP226"/>
  <c r="BR222"/>
  <c r="BQ222"/>
  <c r="BP222"/>
  <c r="BR217"/>
  <c r="BQ217"/>
  <c r="BP217"/>
  <c r="BR212"/>
  <c r="BQ212"/>
  <c r="BP212"/>
  <c r="BR207"/>
  <c r="BQ207"/>
  <c r="BP207"/>
  <c r="BR202"/>
  <c r="BQ202"/>
  <c r="BP202"/>
  <c r="BR197"/>
  <c r="BQ197"/>
  <c r="BP197"/>
  <c r="BP194"/>
  <c r="BR192"/>
  <c r="BQ192"/>
  <c r="BP192"/>
  <c r="BP190"/>
  <c r="BR186"/>
  <c r="BQ186"/>
  <c r="BP186"/>
  <c r="BR184"/>
  <c r="BQ184"/>
  <c r="BP184"/>
  <c r="BR180"/>
  <c r="BQ180"/>
  <c r="BP180"/>
  <c r="BR176"/>
  <c r="BQ176"/>
  <c r="BP176"/>
  <c r="BR172"/>
  <c r="BQ172"/>
  <c r="BP172"/>
  <c r="BR167"/>
  <c r="BQ167"/>
  <c r="BP167"/>
  <c r="BR157"/>
  <c r="BQ157"/>
  <c r="BP157"/>
  <c r="BR153"/>
  <c r="BQ153"/>
  <c r="BP153"/>
  <c r="BR145"/>
  <c r="BQ145"/>
  <c r="BP145"/>
  <c r="BR139"/>
  <c r="BQ139"/>
  <c r="BP139"/>
  <c r="BR134"/>
  <c r="BQ134"/>
  <c r="BP134"/>
  <c r="BR130"/>
  <c r="BQ130"/>
  <c r="BP130"/>
  <c r="BR127"/>
  <c r="BQ127"/>
  <c r="BP127"/>
  <c r="BR120"/>
  <c r="BQ120"/>
  <c r="BP120"/>
  <c r="BR114"/>
  <c r="BQ114"/>
  <c r="BP114"/>
  <c r="BR108"/>
  <c r="BQ108"/>
  <c r="BP108"/>
  <c r="BR103"/>
  <c r="BQ103"/>
  <c r="BP103"/>
  <c r="BR96"/>
  <c r="BQ96"/>
  <c r="BP96"/>
  <c r="BR82"/>
  <c r="BQ82"/>
  <c r="BP82"/>
  <c r="BR77"/>
  <c r="BQ77"/>
  <c r="BP77"/>
  <c r="BR60"/>
  <c r="BQ60"/>
  <c r="BR58"/>
  <c r="BQ58"/>
  <c r="BP58"/>
  <c r="BR55"/>
  <c r="BQ55"/>
  <c r="BP55"/>
  <c r="BR54"/>
  <c r="BQ54"/>
  <c r="BP54"/>
  <c r="BR53"/>
  <c r="BQ53"/>
  <c r="BP53"/>
  <c r="BR47"/>
  <c r="BQ47"/>
  <c r="BP47"/>
  <c r="BR46"/>
  <c r="BQ46"/>
  <c r="BP46"/>
  <c r="BR44"/>
  <c r="BQ44"/>
  <c r="BP44"/>
  <c r="BR27"/>
  <c r="BQ27"/>
  <c r="BP27"/>
  <c r="BR26"/>
  <c r="BQ26"/>
  <c r="BP26"/>
  <c r="BR21"/>
  <c r="BQ21"/>
  <c r="BP21"/>
  <c r="BR20"/>
  <c r="BQ20"/>
  <c r="BP20"/>
  <c r="BR11"/>
  <c r="BQ11"/>
  <c r="BP11"/>
  <c r="BR10"/>
  <c r="BQ10"/>
  <c r="BP10"/>
  <c r="BM56"/>
  <c r="BN51"/>
  <c r="BR51" s="1"/>
  <c r="BN50"/>
  <c r="BR50" s="1"/>
  <c r="BN49"/>
  <c r="BR49" s="1"/>
  <c r="BN48"/>
  <c r="BR48" s="1"/>
  <c r="BM43"/>
  <c r="BQ43" s="1"/>
  <c r="BN42"/>
  <c r="BR42" s="1"/>
  <c r="BN41"/>
  <c r="BR41" s="1"/>
  <c r="BN39"/>
  <c r="BR39" s="1"/>
  <c r="BN38"/>
  <c r="BR38" s="1"/>
  <c r="BN37"/>
  <c r="BR37" s="1"/>
  <c r="BN36"/>
  <c r="BR36" s="1"/>
  <c r="BN35"/>
  <c r="BR35" s="1"/>
  <c r="BN34"/>
  <c r="BR34" s="1"/>
  <c r="BN33"/>
  <c r="BR33" s="1"/>
  <c r="BM33"/>
  <c r="BQ33" s="1"/>
  <c r="BN32"/>
  <c r="BR32" s="1"/>
  <c r="BN31"/>
  <c r="BR31" s="1"/>
  <c r="BN30"/>
  <c r="BR30" s="1"/>
  <c r="BN29"/>
  <c r="BR29" s="1"/>
  <c r="BN28"/>
  <c r="BR28" s="1"/>
  <c r="BN24"/>
  <c r="BR24" s="1"/>
  <c r="BN22"/>
  <c r="BR22" s="1"/>
  <c r="BN18"/>
  <c r="BR18" s="1"/>
  <c r="BN17"/>
  <c r="BR17" s="1"/>
  <c r="BN16"/>
  <c r="BR16" s="1"/>
  <c r="BN15"/>
  <c r="BR15" s="1"/>
  <c r="BN14"/>
  <c r="BR14" s="1"/>
  <c r="BN12"/>
  <c r="BR12" s="1"/>
  <c r="BL56"/>
  <c r="BL51"/>
  <c r="BP51" s="1"/>
  <c r="BL50"/>
  <c r="BP50" s="1"/>
  <c r="BL49"/>
  <c r="BP49" s="1"/>
  <c r="BL48"/>
  <c r="BP48" s="1"/>
  <c r="BL43"/>
  <c r="BP43" s="1"/>
  <c r="BL42"/>
  <c r="BP42" s="1"/>
  <c r="BL41"/>
  <c r="BP41" s="1"/>
  <c r="BL40"/>
  <c r="BP40" s="1"/>
  <c r="BL39"/>
  <c r="BP39" s="1"/>
  <c r="BL38"/>
  <c r="BP38" s="1"/>
  <c r="BL37"/>
  <c r="BP37" s="1"/>
  <c r="BL36"/>
  <c r="BP36" s="1"/>
  <c r="BL35"/>
  <c r="BP35" s="1"/>
  <c r="BL34"/>
  <c r="BP34" s="1"/>
  <c r="BL33"/>
  <c r="BP33" s="1"/>
  <c r="BL32"/>
  <c r="BP32" s="1"/>
  <c r="BL31"/>
  <c r="BP31" s="1"/>
  <c r="BL30"/>
  <c r="BP30" s="1"/>
  <c r="BL29"/>
  <c r="BP29" s="1"/>
  <c r="BL28"/>
  <c r="BP28" s="1"/>
  <c r="BL24"/>
  <c r="BP24" s="1"/>
  <c r="BL23"/>
  <c r="BP23" s="1"/>
  <c r="BL22"/>
  <c r="BP22" s="1"/>
  <c r="BL18"/>
  <c r="BP18" s="1"/>
  <c r="BL17"/>
  <c r="BP17" s="1"/>
  <c r="BL16"/>
  <c r="BP16" s="1"/>
  <c r="BL15"/>
  <c r="BP15" s="1"/>
  <c r="BL14"/>
  <c r="BP14" s="1"/>
  <c r="BL13"/>
  <c r="BP13" s="1"/>
  <c r="BL12"/>
  <c r="BP12" s="1"/>
  <c r="BL9"/>
  <c r="BP9" s="1"/>
  <c r="BV142" i="1"/>
  <c r="BU142"/>
  <c r="BT142"/>
  <c r="BV132"/>
  <c r="BU132"/>
  <c r="BT132"/>
  <c r="BV122"/>
  <c r="BU122"/>
  <c r="BT122"/>
  <c r="BV113"/>
  <c r="BU113"/>
  <c r="BT113"/>
  <c r="BV103"/>
  <c r="BU103"/>
  <c r="BT103"/>
  <c r="BL213" i="7" l="1"/>
  <c r="BL243"/>
  <c r="BL233"/>
  <c r="BL188"/>
  <c r="BL198"/>
  <c r="BL208"/>
  <c r="BL218"/>
  <c r="BL228"/>
  <c r="BL238"/>
  <c r="BL248"/>
  <c r="BL223"/>
  <c r="M356" i="15"/>
  <c r="I376"/>
  <c r="M376" s="1"/>
  <c r="L300"/>
  <c r="M22"/>
  <c r="J377"/>
  <c r="H377"/>
  <c r="L377" s="1"/>
  <c r="L298"/>
  <c r="M60"/>
  <c r="L24"/>
  <c r="L289" i="17"/>
  <c r="L328"/>
  <c r="K328" s="1"/>
  <c r="M325"/>
  <c r="M286"/>
  <c r="BL193" i="7"/>
  <c r="BL203"/>
  <c r="BP189"/>
  <c r="BP199"/>
  <c r="BP209"/>
  <c r="BP219"/>
  <c r="BP229"/>
  <c r="BL185"/>
  <c r="BR41" i="1"/>
  <c r="BR40"/>
  <c r="BV266"/>
  <c r="BU266"/>
  <c r="BT266"/>
  <c r="BV258"/>
  <c r="BU258"/>
  <c r="BT258"/>
  <c r="BV257"/>
  <c r="BU257"/>
  <c r="BT257"/>
  <c r="BV254"/>
  <c r="BU254"/>
  <c r="BT254"/>
  <c r="BV253"/>
  <c r="BU253"/>
  <c r="BT253"/>
  <c r="BV252"/>
  <c r="BU252"/>
  <c r="BT252"/>
  <c r="BV98"/>
  <c r="BU98"/>
  <c r="BT98"/>
  <c r="BV96"/>
  <c r="BU96"/>
  <c r="BT96"/>
  <c r="BV95"/>
  <c r="BU95"/>
  <c r="BT95"/>
  <c r="BV81"/>
  <c r="BU81"/>
  <c r="BT81"/>
  <c r="BV80"/>
  <c r="BU80"/>
  <c r="BT80"/>
  <c r="BV67"/>
  <c r="BU67"/>
  <c r="BT67"/>
  <c r="BV63"/>
  <c r="BU63"/>
  <c r="BT63"/>
  <c r="BV53"/>
  <c r="BU53"/>
  <c r="BT53"/>
  <c r="BV52"/>
  <c r="BU52"/>
  <c r="BT52"/>
  <c r="BV49"/>
  <c r="BU49"/>
  <c r="BT49"/>
  <c r="BV47"/>
  <c r="BU47"/>
  <c r="BT47"/>
  <c r="BV44"/>
  <c r="BU44"/>
  <c r="BT44"/>
  <c r="BV41"/>
  <c r="BV40"/>
  <c r="BV34"/>
  <c r="BU34"/>
  <c r="BT34"/>
  <c r="BV33"/>
  <c r="BU33"/>
  <c r="BT33"/>
  <c r="BV31"/>
  <c r="BU31"/>
  <c r="BT31"/>
  <c r="BV28"/>
  <c r="BU28"/>
  <c r="BT28"/>
  <c r="BV27"/>
  <c r="BU27"/>
  <c r="BT27"/>
  <c r="BV24"/>
  <c r="BU24"/>
  <c r="BT24"/>
  <c r="BV18"/>
  <c r="BU18"/>
  <c r="BT18"/>
  <c r="BV15"/>
  <c r="BU15"/>
  <c r="BT15"/>
  <c r="BV14"/>
  <c r="BU14"/>
  <c r="BT14"/>
  <c r="BR94"/>
  <c r="BV94" s="1"/>
  <c r="BR93"/>
  <c r="BV93" s="1"/>
  <c r="BR92"/>
  <c r="BV92" s="1"/>
  <c r="BR91"/>
  <c r="BV91" s="1"/>
  <c r="BR90"/>
  <c r="BV90" s="1"/>
  <c r="BR89"/>
  <c r="BV89" s="1"/>
  <c r="BR88"/>
  <c r="BV88" s="1"/>
  <c r="BR87"/>
  <c r="BV87" s="1"/>
  <c r="BR86"/>
  <c r="BV86" s="1"/>
  <c r="BR85"/>
  <c r="BV85" s="1"/>
  <c r="BR84"/>
  <c r="BV84" s="1"/>
  <c r="BR83"/>
  <c r="BV83" s="1"/>
  <c r="BR82"/>
  <c r="BV82" s="1"/>
  <c r="BQ66"/>
  <c r="BU66" s="1"/>
  <c r="BP66"/>
  <c r="BT66" s="1"/>
  <c r="BR65"/>
  <c r="BV65" s="1"/>
  <c r="BR64"/>
  <c r="BV64" s="1"/>
  <c r="BR62"/>
  <c r="BV62" s="1"/>
  <c r="BR61"/>
  <c r="BV61" s="1"/>
  <c r="BR60"/>
  <c r="BV60" s="1"/>
  <c r="BR59"/>
  <c r="BV59" s="1"/>
  <c r="BR58"/>
  <c r="BV58" s="1"/>
  <c r="BR57"/>
  <c r="BV57" s="1"/>
  <c r="BR56"/>
  <c r="BV56" s="1"/>
  <c r="BR55"/>
  <c r="BV55" s="1"/>
  <c r="BR54"/>
  <c r="BV54" s="1"/>
  <c r="BR51"/>
  <c r="BV51" s="1"/>
  <c r="BR50"/>
  <c r="BV50" s="1"/>
  <c r="BR48"/>
  <c r="BV48" s="1"/>
  <c r="BR46"/>
  <c r="BV46" s="1"/>
  <c r="BR43"/>
  <c r="BV43" s="1"/>
  <c r="BR30"/>
  <c r="BV30" s="1"/>
  <c r="BR29"/>
  <c r="BV29" s="1"/>
  <c r="BR26"/>
  <c r="BV26" s="1"/>
  <c r="BR25"/>
  <c r="BV25" s="1"/>
  <c r="BR23"/>
  <c r="BV23" s="1"/>
  <c r="BR22"/>
  <c r="BV22" s="1"/>
  <c r="BR21"/>
  <c r="BV21" s="1"/>
  <c r="BQ21"/>
  <c r="BU21" s="1"/>
  <c r="M289" i="17" l="1"/>
  <c r="K289"/>
  <c r="M24" i="15"/>
  <c r="M298"/>
  <c r="I377"/>
  <c r="M377" s="1"/>
  <c r="F379"/>
  <c r="L379" s="1"/>
  <c r="L359"/>
  <c r="M328" i="17"/>
  <c r="BR20" i="1"/>
  <c r="BV20" s="1"/>
  <c r="BQ20"/>
  <c r="BU20" s="1"/>
  <c r="BR19"/>
  <c r="BV19" s="1"/>
  <c r="BR17"/>
  <c r="BV17" s="1"/>
  <c r="BR16"/>
  <c r="BV16" s="1"/>
  <c r="BR12"/>
  <c r="BV12" s="1"/>
  <c r="BP255"/>
  <c r="BT255" s="1"/>
  <c r="BP94"/>
  <c r="BT94" s="1"/>
  <c r="BP93"/>
  <c r="BT93" s="1"/>
  <c r="BP92"/>
  <c r="BT92" s="1"/>
  <c r="BP91"/>
  <c r="BT91" s="1"/>
  <c r="BP90"/>
  <c r="BT90" s="1"/>
  <c r="BP88"/>
  <c r="BT88" s="1"/>
  <c r="BP87"/>
  <c r="BT87" s="1"/>
  <c r="BP86"/>
  <c r="BT86" s="1"/>
  <c r="BP85"/>
  <c r="BT85" s="1"/>
  <c r="BP59"/>
  <c r="BT59" s="1"/>
  <c r="BP58"/>
  <c r="BT58" s="1"/>
  <c r="BP57"/>
  <c r="BT57" s="1"/>
  <c r="BP56"/>
  <c r="BT56" s="1"/>
  <c r="BP55"/>
  <c r="BT55" s="1"/>
  <c r="BP54"/>
  <c r="BT54" s="1"/>
  <c r="BP51"/>
  <c r="BT51" s="1"/>
  <c r="BP50"/>
  <c r="BT50" s="1"/>
  <c r="BP43"/>
  <c r="BT43" s="1"/>
  <c r="BP30"/>
  <c r="BT30" s="1"/>
  <c r="BP29"/>
  <c r="BT29" s="1"/>
  <c r="BP26"/>
  <c r="BT26" s="1"/>
  <c r="BP21"/>
  <c r="BT21" s="1"/>
  <c r="M300" i="15" l="1"/>
  <c r="BQ94" i="1"/>
  <c r="BU94" s="1"/>
  <c r="BQ93"/>
  <c r="BU93" s="1"/>
  <c r="BQ90"/>
  <c r="BU90" s="1"/>
  <c r="BP89"/>
  <c r="BT89" s="1"/>
  <c r="BQ87"/>
  <c r="BU87" s="1"/>
  <c r="BP83"/>
  <c r="BT83" s="1"/>
  <c r="BQ65"/>
  <c r="BU65" s="1"/>
  <c r="BQ62"/>
  <c r="BU62" s="1"/>
  <c r="BQ60"/>
  <c r="BU60" s="1"/>
  <c r="BQ55"/>
  <c r="BU55" s="1"/>
  <c r="BQ51"/>
  <c r="BU51" s="1"/>
  <c r="BQ48"/>
  <c r="BU48" s="1"/>
  <c r="BQ43"/>
  <c r="BU43" s="1"/>
  <c r="BP41"/>
  <c r="BT41" s="1"/>
  <c r="BQ40"/>
  <c r="BU40" s="1"/>
  <c r="BP40"/>
  <c r="BT40" s="1"/>
  <c r="BQ29"/>
  <c r="BU29" s="1"/>
  <c r="BQ25"/>
  <c r="BU25" s="1"/>
  <c r="BQ12"/>
  <c r="BU12" s="1"/>
  <c r="BP12"/>
  <c r="BT12" s="1"/>
  <c r="BQ16" l="1"/>
  <c r="BU16" s="1"/>
  <c r="BP17"/>
  <c r="BT17" s="1"/>
  <c r="BP19"/>
  <c r="BT19" s="1"/>
  <c r="BP20"/>
  <c r="BT20" s="1"/>
  <c r="BQ22"/>
  <c r="BU22" s="1"/>
  <c r="BP23"/>
  <c r="BT23" s="1"/>
  <c r="BP25"/>
  <c r="BT25" s="1"/>
  <c r="BP46"/>
  <c r="BT46" s="1"/>
  <c r="BP48"/>
  <c r="BT48" s="1"/>
  <c r="BP60"/>
  <c r="BT60" s="1"/>
  <c r="BQ61"/>
  <c r="BU61" s="1"/>
  <c r="BP64"/>
  <c r="BT64" s="1"/>
  <c r="BP65"/>
  <c r="BT65" s="1"/>
  <c r="BR66"/>
  <c r="BV66" s="1"/>
  <c r="BQ82"/>
  <c r="BU82" s="1"/>
  <c r="BQ83"/>
  <c r="BU83" s="1"/>
  <c r="BP84"/>
  <c r="BT84" s="1"/>
  <c r="BQ91"/>
  <c r="BU91" s="1"/>
  <c r="BQ255"/>
  <c r="BU255" s="1"/>
  <c r="BP16"/>
  <c r="BT16" s="1"/>
  <c r="BQ17"/>
  <c r="BU17" s="1"/>
  <c r="BQ19"/>
  <c r="BU19" s="1"/>
  <c r="BP22"/>
  <c r="BT22" s="1"/>
  <c r="BQ23"/>
  <c r="BU23" s="1"/>
  <c r="BQ26"/>
  <c r="BU26" s="1"/>
  <c r="BQ30"/>
  <c r="BU30" s="1"/>
  <c r="BQ41"/>
  <c r="BU41" s="1"/>
  <c r="BQ46"/>
  <c r="BU46" s="1"/>
  <c r="BQ50"/>
  <c r="BU50" s="1"/>
  <c r="BQ54"/>
  <c r="BU54" s="1"/>
  <c r="BQ56"/>
  <c r="BU56" s="1"/>
  <c r="BQ57"/>
  <c r="BU57" s="1"/>
  <c r="BQ58"/>
  <c r="BU58" s="1"/>
  <c r="BQ59"/>
  <c r="BU59" s="1"/>
  <c r="BP61"/>
  <c r="BT61" s="1"/>
  <c r="BP62"/>
  <c r="BT62" s="1"/>
  <c r="BQ64"/>
  <c r="BU64" s="1"/>
  <c r="BP82"/>
  <c r="BT82" s="1"/>
  <c r="BQ84"/>
  <c r="BU84" s="1"/>
  <c r="BQ85"/>
  <c r="BU85" s="1"/>
  <c r="BQ86"/>
  <c r="BU86" s="1"/>
  <c r="BQ88"/>
  <c r="BU88" s="1"/>
  <c r="BQ89"/>
  <c r="BU89" s="1"/>
  <c r="BQ92"/>
  <c r="BU92" s="1"/>
  <c r="BR255"/>
  <c r="BV255" s="1"/>
  <c r="AA81" i="7" l="1"/>
  <c r="BN81"/>
  <c r="BR81" s="1"/>
  <c r="BM80"/>
  <c r="BQ80" s="1"/>
  <c r="BL80"/>
  <c r="BP80" s="1"/>
  <c r="BN79"/>
  <c r="BR79" s="1"/>
  <c r="BM79"/>
  <c r="BQ79" s="1"/>
  <c r="BN78"/>
  <c r="BR78" s="1"/>
  <c r="BM78"/>
  <c r="BQ78" s="1"/>
  <c r="BL78"/>
  <c r="BP78" s="1"/>
  <c r="BL95"/>
  <c r="BP95" s="1"/>
  <c r="BL93"/>
  <c r="BP93" s="1"/>
  <c r="BM92"/>
  <c r="BQ92" s="1"/>
  <c r="BL91"/>
  <c r="BP91" s="1"/>
  <c r="BM90"/>
  <c r="BQ90" s="1"/>
  <c r="BN89"/>
  <c r="BR89" s="1"/>
  <c r="BL89"/>
  <c r="BP89" s="1"/>
  <c r="BN88"/>
  <c r="BR88" s="1"/>
  <c r="BM88"/>
  <c r="BQ88" s="1"/>
  <c r="BL88"/>
  <c r="BP88" s="1"/>
  <c r="BL87"/>
  <c r="BP87" s="1"/>
  <c r="BN84"/>
  <c r="BR84" s="1"/>
  <c r="BM84"/>
  <c r="BQ84" s="1"/>
  <c r="BL84"/>
  <c r="BP84" s="1"/>
  <c r="BL183"/>
  <c r="BP183" s="1"/>
  <c r="BM266"/>
  <c r="BQ266" s="1"/>
  <c r="BL266"/>
  <c r="BP266" s="1"/>
  <c r="BM265"/>
  <c r="BQ265" s="1"/>
  <c r="BL265"/>
  <c r="BP265" s="1"/>
  <c r="BM264"/>
  <c r="BL264"/>
  <c r="BM179"/>
  <c r="BQ179" s="1"/>
  <c r="BM178"/>
  <c r="BL261"/>
  <c r="BP261" s="1"/>
  <c r="BL260"/>
  <c r="BP260" s="1"/>
  <c r="BL259"/>
  <c r="BL175"/>
  <c r="BP175" s="1"/>
  <c r="BM256"/>
  <c r="BQ256" s="1"/>
  <c r="BM255"/>
  <c r="BQ255" s="1"/>
  <c r="BM254"/>
  <c r="BM171"/>
  <c r="BQ171" s="1"/>
  <c r="BL170"/>
  <c r="BM169"/>
  <c r="BM251"/>
  <c r="BQ251" s="1"/>
  <c r="BM250"/>
  <c r="BQ250" s="1"/>
  <c r="BM249"/>
  <c r="BM166"/>
  <c r="BQ166" s="1"/>
  <c r="BL166"/>
  <c r="BP166" s="1"/>
  <c r="BM165"/>
  <c r="BQ165" s="1"/>
  <c r="BL164"/>
  <c r="BP164" s="1"/>
  <c r="BM163"/>
  <c r="BQ163" s="1"/>
  <c r="BL162"/>
  <c r="BP162" s="1"/>
  <c r="BM161"/>
  <c r="BQ161" s="1"/>
  <c r="BM160"/>
  <c r="BQ160" s="1"/>
  <c r="BL160"/>
  <c r="BP160" s="1"/>
  <c r="BM159"/>
  <c r="BM246"/>
  <c r="BQ246" s="1"/>
  <c r="BM245"/>
  <c r="BQ245" s="1"/>
  <c r="BM244"/>
  <c r="BM156"/>
  <c r="BQ156" s="1"/>
  <c r="BN155"/>
  <c r="BL155"/>
  <c r="BP155" s="1"/>
  <c r="BN241"/>
  <c r="BR241" s="1"/>
  <c r="BM241"/>
  <c r="BQ241" s="1"/>
  <c r="BN240"/>
  <c r="BR240" s="1"/>
  <c r="BN239"/>
  <c r="BM239"/>
  <c r="BM152"/>
  <c r="BQ152" s="1"/>
  <c r="BM151"/>
  <c r="BQ151" s="1"/>
  <c r="BL151"/>
  <c r="BP151" s="1"/>
  <c r="BM150"/>
  <c r="BQ150" s="1"/>
  <c r="BL149"/>
  <c r="BP149" s="1"/>
  <c r="BM148"/>
  <c r="BQ148" s="1"/>
  <c r="BN147"/>
  <c r="BL147"/>
  <c r="BP147" s="1"/>
  <c r="BN236"/>
  <c r="BR236" s="1"/>
  <c r="BN235"/>
  <c r="BR235" s="1"/>
  <c r="BM235"/>
  <c r="BQ235" s="1"/>
  <c r="BN234"/>
  <c r="BN142"/>
  <c r="BR142" s="1"/>
  <c r="BM142"/>
  <c r="BQ142" s="1"/>
  <c r="X144"/>
  <c r="W144"/>
  <c r="BN144"/>
  <c r="BR144" s="1"/>
  <c r="BL144"/>
  <c r="BP144" s="1"/>
  <c r="BM143"/>
  <c r="BQ143" s="1"/>
  <c r="BN141"/>
  <c r="BM141"/>
  <c r="BL141"/>
  <c r="BN224"/>
  <c r="BM216"/>
  <c r="BQ216" s="1"/>
  <c r="BM215"/>
  <c r="BQ215" s="1"/>
  <c r="BM214"/>
  <c r="BM123"/>
  <c r="BQ123" s="1"/>
  <c r="BN211"/>
  <c r="BR211" s="1"/>
  <c r="BM210"/>
  <c r="BQ210" s="1"/>
  <c r="BM209"/>
  <c r="BN204"/>
  <c r="BM196"/>
  <c r="BQ196" s="1"/>
  <c r="BM195"/>
  <c r="BQ195" s="1"/>
  <c r="BN194"/>
  <c r="BM201"/>
  <c r="BQ201" s="1"/>
  <c r="BN99"/>
  <c r="BM99"/>
  <c r="BL99"/>
  <c r="BN191"/>
  <c r="BR191" s="1"/>
  <c r="BM191"/>
  <c r="BQ191" s="1"/>
  <c r="BN190"/>
  <c r="BR190" s="1"/>
  <c r="BM190"/>
  <c r="BQ190" s="1"/>
  <c r="BN189"/>
  <c r="BM189" l="1"/>
  <c r="BP99"/>
  <c r="BR99"/>
  <c r="BL100"/>
  <c r="BP100" s="1"/>
  <c r="BN100"/>
  <c r="BR100" s="1"/>
  <c r="BL101"/>
  <c r="BP101" s="1"/>
  <c r="BN101"/>
  <c r="BR101" s="1"/>
  <c r="BL102"/>
  <c r="BP102" s="1"/>
  <c r="BN102"/>
  <c r="BR102" s="1"/>
  <c r="BN199"/>
  <c r="BN200"/>
  <c r="BR200" s="1"/>
  <c r="BN201"/>
  <c r="BR201" s="1"/>
  <c r="BL110"/>
  <c r="BP110" s="1"/>
  <c r="BN110"/>
  <c r="BL111"/>
  <c r="BN111"/>
  <c r="BR111" s="1"/>
  <c r="BL112"/>
  <c r="BP112" s="1"/>
  <c r="BN112"/>
  <c r="BR112" s="1"/>
  <c r="BL113"/>
  <c r="BP113" s="1"/>
  <c r="BN113"/>
  <c r="BR113" s="1"/>
  <c r="BR194"/>
  <c r="BM106"/>
  <c r="BM105"/>
  <c r="BM107"/>
  <c r="BQ107" s="1"/>
  <c r="BR204"/>
  <c r="BM205"/>
  <c r="BQ205" s="1"/>
  <c r="BM206"/>
  <c r="BQ206" s="1"/>
  <c r="BM116"/>
  <c r="BM117"/>
  <c r="BQ117" s="1"/>
  <c r="BM118"/>
  <c r="BQ118" s="1"/>
  <c r="BM119"/>
  <c r="BQ119" s="1"/>
  <c r="BQ209"/>
  <c r="BM211"/>
  <c r="BQ211" s="1"/>
  <c r="BL122"/>
  <c r="BP122" s="1"/>
  <c r="BN122"/>
  <c r="BL124"/>
  <c r="BP124" s="1"/>
  <c r="BN124"/>
  <c r="BR124" s="1"/>
  <c r="BL125"/>
  <c r="BP125" s="1"/>
  <c r="BN125"/>
  <c r="BR125" s="1"/>
  <c r="BM126"/>
  <c r="BQ126" s="1"/>
  <c r="BN214"/>
  <c r="BN215"/>
  <c r="BR215" s="1"/>
  <c r="BN216"/>
  <c r="BR216" s="1"/>
  <c r="BL129"/>
  <c r="BN129"/>
  <c r="BM219"/>
  <c r="BM220"/>
  <c r="BQ220" s="1"/>
  <c r="BM221"/>
  <c r="BQ221" s="1"/>
  <c r="BM132"/>
  <c r="BM133"/>
  <c r="BQ133" s="1"/>
  <c r="BR224"/>
  <c r="BN225"/>
  <c r="BR225" s="1"/>
  <c r="BN226"/>
  <c r="BR226" s="1"/>
  <c r="BL136"/>
  <c r="BN136"/>
  <c r="BL137"/>
  <c r="BP137" s="1"/>
  <c r="BN137"/>
  <c r="BR137" s="1"/>
  <c r="BL138"/>
  <c r="BP138" s="1"/>
  <c r="BN138"/>
  <c r="BR138" s="1"/>
  <c r="BM229"/>
  <c r="BM230"/>
  <c r="BQ230" s="1"/>
  <c r="BM231"/>
  <c r="BQ231" s="1"/>
  <c r="BP141"/>
  <c r="BR141"/>
  <c r="BL142"/>
  <c r="BP142" s="1"/>
  <c r="BM234"/>
  <c r="BM236"/>
  <c r="BQ236" s="1"/>
  <c r="BR147"/>
  <c r="BL148"/>
  <c r="BN148"/>
  <c r="BR148" s="1"/>
  <c r="BM149"/>
  <c r="BQ149" s="1"/>
  <c r="BN238"/>
  <c r="BR239"/>
  <c r="BM155"/>
  <c r="BL156"/>
  <c r="BN156"/>
  <c r="BR156" s="1"/>
  <c r="BQ244"/>
  <c r="BM243"/>
  <c r="BL159"/>
  <c r="BN159"/>
  <c r="BM162"/>
  <c r="BQ162" s="1"/>
  <c r="BL163"/>
  <c r="BP163" s="1"/>
  <c r="BN163"/>
  <c r="BR163" s="1"/>
  <c r="BM164"/>
  <c r="BQ164" s="1"/>
  <c r="BN166"/>
  <c r="BR166" s="1"/>
  <c r="BN249"/>
  <c r="BN250"/>
  <c r="BR250" s="1"/>
  <c r="BN251"/>
  <c r="BR251" s="1"/>
  <c r="BQ169"/>
  <c r="BP170"/>
  <c r="BN170"/>
  <c r="BR170" s="1"/>
  <c r="BQ254"/>
  <c r="BM253"/>
  <c r="BM259"/>
  <c r="BM260"/>
  <c r="BQ260" s="1"/>
  <c r="BM261"/>
  <c r="BQ261" s="1"/>
  <c r="BL178"/>
  <c r="BN178"/>
  <c r="BP264"/>
  <c r="BL263"/>
  <c r="BN264"/>
  <c r="BN265"/>
  <c r="BR265" s="1"/>
  <c r="BN266"/>
  <c r="BR266" s="1"/>
  <c r="BM87"/>
  <c r="BQ87" s="1"/>
  <c r="BM89"/>
  <c r="BQ89" s="1"/>
  <c r="BL79"/>
  <c r="BP79" s="1"/>
  <c r="Y81"/>
  <c r="BM81"/>
  <c r="BQ81" s="1"/>
  <c r="BN188"/>
  <c r="BR189"/>
  <c r="BQ99"/>
  <c r="BM100"/>
  <c r="BQ100" s="1"/>
  <c r="BM101"/>
  <c r="BQ101" s="1"/>
  <c r="BM102"/>
  <c r="BQ102" s="1"/>
  <c r="BM199"/>
  <c r="BM200"/>
  <c r="BQ200" s="1"/>
  <c r="BM110"/>
  <c r="BM111"/>
  <c r="BQ111" s="1"/>
  <c r="BM112"/>
  <c r="BQ112" s="1"/>
  <c r="BM113"/>
  <c r="BQ113" s="1"/>
  <c r="BM194"/>
  <c r="BN195"/>
  <c r="BR195" s="1"/>
  <c r="BN196"/>
  <c r="BR196" s="1"/>
  <c r="BL106"/>
  <c r="BP106" s="1"/>
  <c r="BN106"/>
  <c r="BR106" s="1"/>
  <c r="BL105"/>
  <c r="BN105"/>
  <c r="BL107"/>
  <c r="BP107" s="1"/>
  <c r="BN107"/>
  <c r="BR107" s="1"/>
  <c r="BM204"/>
  <c r="BN205"/>
  <c r="BR205" s="1"/>
  <c r="BN206"/>
  <c r="BR206" s="1"/>
  <c r="BL116"/>
  <c r="BN116"/>
  <c r="BL117"/>
  <c r="BP117" s="1"/>
  <c r="BN117"/>
  <c r="BR117" s="1"/>
  <c r="BL118"/>
  <c r="BP118" s="1"/>
  <c r="BN118"/>
  <c r="BR118" s="1"/>
  <c r="BL119"/>
  <c r="BP119" s="1"/>
  <c r="BN119"/>
  <c r="BR119" s="1"/>
  <c r="BN209"/>
  <c r="BN210"/>
  <c r="BR210" s="1"/>
  <c r="BM122"/>
  <c r="BL123"/>
  <c r="BN123"/>
  <c r="BR123" s="1"/>
  <c r="BM124"/>
  <c r="BQ124" s="1"/>
  <c r="BM125"/>
  <c r="BQ125" s="1"/>
  <c r="BL126"/>
  <c r="BP126" s="1"/>
  <c r="BN126"/>
  <c r="BR126" s="1"/>
  <c r="BQ214"/>
  <c r="BM213"/>
  <c r="BM129"/>
  <c r="BN219"/>
  <c r="BN220"/>
  <c r="BR220" s="1"/>
  <c r="BN221"/>
  <c r="BR221" s="1"/>
  <c r="BL132"/>
  <c r="BP132" s="1"/>
  <c r="BN132"/>
  <c r="BL133"/>
  <c r="BN133"/>
  <c r="BR133" s="1"/>
  <c r="BM224"/>
  <c r="BM225"/>
  <c r="BQ225" s="1"/>
  <c r="BM226"/>
  <c r="BQ226" s="1"/>
  <c r="BM136"/>
  <c r="BM137"/>
  <c r="BQ137" s="1"/>
  <c r="BM138"/>
  <c r="BQ138" s="1"/>
  <c r="BN229"/>
  <c r="BN230"/>
  <c r="BR230" s="1"/>
  <c r="BN231"/>
  <c r="BR231" s="1"/>
  <c r="BQ141"/>
  <c r="BL143"/>
  <c r="BP143" s="1"/>
  <c r="BN143"/>
  <c r="BR143" s="1"/>
  <c r="BM144"/>
  <c r="BQ144" s="1"/>
  <c r="BN233"/>
  <c r="BR234"/>
  <c r="BM147"/>
  <c r="BN149"/>
  <c r="BR149" s="1"/>
  <c r="BL150"/>
  <c r="BP150" s="1"/>
  <c r="BN150"/>
  <c r="BR150" s="1"/>
  <c r="BN151"/>
  <c r="BR151" s="1"/>
  <c r="BL152"/>
  <c r="BP152" s="1"/>
  <c r="BN152"/>
  <c r="BR152" s="1"/>
  <c r="BQ239"/>
  <c r="BM240"/>
  <c r="BQ240" s="1"/>
  <c r="BN154"/>
  <c r="BR155"/>
  <c r="BN244"/>
  <c r="BN245"/>
  <c r="BR245" s="1"/>
  <c r="BN246"/>
  <c r="BR246" s="1"/>
  <c r="BQ159"/>
  <c r="BN160"/>
  <c r="BR160" s="1"/>
  <c r="BL161"/>
  <c r="BP161" s="1"/>
  <c r="BN161"/>
  <c r="BR161" s="1"/>
  <c r="BN162"/>
  <c r="BR162" s="1"/>
  <c r="BN164"/>
  <c r="BR164" s="1"/>
  <c r="BL165"/>
  <c r="BP165" s="1"/>
  <c r="BN165"/>
  <c r="BR165" s="1"/>
  <c r="BQ249"/>
  <c r="BM248"/>
  <c r="BL169"/>
  <c r="BP169" s="1"/>
  <c r="BN169"/>
  <c r="BM170"/>
  <c r="BQ170" s="1"/>
  <c r="BL171"/>
  <c r="BP171" s="1"/>
  <c r="BN171"/>
  <c r="BR171" s="1"/>
  <c r="BL254"/>
  <c r="BN254"/>
  <c r="BL255"/>
  <c r="BP255" s="1"/>
  <c r="BN255"/>
  <c r="BR255" s="1"/>
  <c r="BL256"/>
  <c r="BP256" s="1"/>
  <c r="BN256"/>
  <c r="BR256" s="1"/>
  <c r="BL174"/>
  <c r="BL258"/>
  <c r="BP259"/>
  <c r="BN259"/>
  <c r="BN260"/>
  <c r="BR260" s="1"/>
  <c r="BN261"/>
  <c r="BR261" s="1"/>
  <c r="BQ178"/>
  <c r="BM177"/>
  <c r="BL179"/>
  <c r="BP179" s="1"/>
  <c r="BN179"/>
  <c r="BR179" s="1"/>
  <c r="BQ264"/>
  <c r="BM263"/>
  <c r="BL182"/>
  <c r="BL85"/>
  <c r="BP85" s="1"/>
  <c r="BL86"/>
  <c r="BP86" s="1"/>
  <c r="BN87"/>
  <c r="BR87" s="1"/>
  <c r="BL90"/>
  <c r="BP90" s="1"/>
  <c r="BN90"/>
  <c r="BR90" s="1"/>
  <c r="BL92"/>
  <c r="BP92" s="1"/>
  <c r="BN92"/>
  <c r="BR92" s="1"/>
  <c r="BL94"/>
  <c r="BP94" s="1"/>
  <c r="BN80"/>
  <c r="BR80" s="1"/>
  <c r="BL81"/>
  <c r="BP81" s="1"/>
  <c r="W81"/>
  <c r="X81"/>
  <c r="AB81"/>
  <c r="Y144"/>
  <c r="BQ39" i="1"/>
  <c r="BU39" s="1"/>
  <c r="BP39"/>
  <c r="BT39" s="1"/>
  <c r="BQ38"/>
  <c r="BU38" s="1"/>
  <c r="BR37"/>
  <c r="BV37" s="1"/>
  <c r="BP37"/>
  <c r="BT37" s="1"/>
  <c r="BR76"/>
  <c r="BV76" s="1"/>
  <c r="BP76"/>
  <c r="BT76" s="1"/>
  <c r="BR74"/>
  <c r="BV74" s="1"/>
  <c r="BQ74"/>
  <c r="BU74" s="1"/>
  <c r="BP74"/>
  <c r="BT74" s="1"/>
  <c r="BR73"/>
  <c r="BV73" s="1"/>
  <c r="BQ73"/>
  <c r="BU73" s="1"/>
  <c r="BR72"/>
  <c r="BV72" s="1"/>
  <c r="BQ72"/>
  <c r="BU72" s="1"/>
  <c r="BR71"/>
  <c r="BV71" s="1"/>
  <c r="BQ71"/>
  <c r="BU71" s="1"/>
  <c r="BR68"/>
  <c r="BV68" s="1"/>
  <c r="BQ68"/>
  <c r="BU68" s="1"/>
  <c r="BQ245"/>
  <c r="BU245" s="1"/>
  <c r="BQ244"/>
  <c r="BU244" s="1"/>
  <c r="BQ243"/>
  <c r="BU243" s="1"/>
  <c r="BQ240"/>
  <c r="BU240" s="1"/>
  <c r="BR239"/>
  <c r="BV239" s="1"/>
  <c r="BQ239"/>
  <c r="BU239" s="1"/>
  <c r="BQ237"/>
  <c r="BU237" s="1"/>
  <c r="BP237"/>
  <c r="BT237" s="1"/>
  <c r="BQ236"/>
  <c r="BU236" s="1"/>
  <c r="BP236"/>
  <c r="BT236" s="1"/>
  <c r="BQ235"/>
  <c r="BU235" s="1"/>
  <c r="BP235"/>
  <c r="BT235" s="1"/>
  <c r="BQ229"/>
  <c r="BU229" s="1"/>
  <c r="BP229"/>
  <c r="BT229" s="1"/>
  <c r="BQ228"/>
  <c r="BU228" s="1"/>
  <c r="BP228"/>
  <c r="BT228" s="1"/>
  <c r="BQ227"/>
  <c r="BU227" s="1"/>
  <c r="BP227"/>
  <c r="BT227" s="1"/>
  <c r="BR224"/>
  <c r="BV224" s="1"/>
  <c r="BQ224"/>
  <c r="BU224" s="1"/>
  <c r="BP224"/>
  <c r="BT224" s="1"/>
  <c r="BR223"/>
  <c r="BV223" s="1"/>
  <c r="BQ223"/>
  <c r="BU223" s="1"/>
  <c r="BR222"/>
  <c r="BV222" s="1"/>
  <c r="BQ222"/>
  <c r="BU222" s="1"/>
  <c r="BP222"/>
  <c r="BT222" s="1"/>
  <c r="BQ220"/>
  <c r="BU220" s="1"/>
  <c r="BP220"/>
  <c r="BT220" s="1"/>
  <c r="BQ219"/>
  <c r="BU219" s="1"/>
  <c r="BP219"/>
  <c r="BT219" s="1"/>
  <c r="BQ218"/>
  <c r="BU218" s="1"/>
  <c r="BP218"/>
  <c r="BT218" s="1"/>
  <c r="BR215"/>
  <c r="BV215" s="1"/>
  <c r="BQ215"/>
  <c r="BU215" s="1"/>
  <c r="BR214"/>
  <c r="BV214" s="1"/>
  <c r="BQ214"/>
  <c r="BU214" s="1"/>
  <c r="BP214"/>
  <c r="BT214" s="1"/>
  <c r="BR213"/>
  <c r="BV213" s="1"/>
  <c r="BQ213"/>
  <c r="BU213" s="1"/>
  <c r="BR212"/>
  <c r="BV212" s="1"/>
  <c r="BQ212"/>
  <c r="BU212" s="1"/>
  <c r="BP212"/>
  <c r="BT212" s="1"/>
  <c r="BR211"/>
  <c r="BV211" s="1"/>
  <c r="BQ211"/>
  <c r="BU211" s="1"/>
  <c r="BR210"/>
  <c r="BV210" s="1"/>
  <c r="BR209"/>
  <c r="BV209" s="1"/>
  <c r="BQ209"/>
  <c r="BU209" s="1"/>
  <c r="BR208"/>
  <c r="BV208" s="1"/>
  <c r="BQ208"/>
  <c r="BU208" s="1"/>
  <c r="BR206"/>
  <c r="BV206" s="1"/>
  <c r="BQ206"/>
  <c r="BP206"/>
  <c r="BT206" s="1"/>
  <c r="BQ205"/>
  <c r="BU205" s="1"/>
  <c r="BP205"/>
  <c r="BT205" s="1"/>
  <c r="BQ204"/>
  <c r="BU204" s="1"/>
  <c r="BP204"/>
  <c r="BT204" s="1"/>
  <c r="BR201"/>
  <c r="BV201" s="1"/>
  <c r="BQ201"/>
  <c r="BU201" s="1"/>
  <c r="BR200"/>
  <c r="BV200" s="1"/>
  <c r="BQ200"/>
  <c r="BU200" s="1"/>
  <c r="BP198"/>
  <c r="BT198" s="1"/>
  <c r="BP197"/>
  <c r="BT197" s="1"/>
  <c r="BP196"/>
  <c r="BT196" s="1"/>
  <c r="BR193"/>
  <c r="BV193" s="1"/>
  <c r="BP193"/>
  <c r="BT193" s="1"/>
  <c r="BQ192"/>
  <c r="BU192" s="1"/>
  <c r="BQ191"/>
  <c r="BU191" s="1"/>
  <c r="BR190"/>
  <c r="BV190" s="1"/>
  <c r="BQ190"/>
  <c r="BU190" s="1"/>
  <c r="BR189"/>
  <c r="BV189" s="1"/>
  <c r="BP189"/>
  <c r="BT189" s="1"/>
  <c r="BQ188"/>
  <c r="BU188" s="1"/>
  <c r="BQ186"/>
  <c r="BU186" s="1"/>
  <c r="BP186"/>
  <c r="BT186" s="1"/>
  <c r="BQ185"/>
  <c r="BU185" s="1"/>
  <c r="BP185"/>
  <c r="BT185" s="1"/>
  <c r="BQ184"/>
  <c r="BU184" s="1"/>
  <c r="BP184"/>
  <c r="BT184" s="1"/>
  <c r="BR179"/>
  <c r="BV179" s="1"/>
  <c r="BQ179"/>
  <c r="BU179" s="1"/>
  <c r="BR181"/>
  <c r="BV181" s="1"/>
  <c r="BP181"/>
  <c r="BT181" s="1"/>
  <c r="BQ180"/>
  <c r="BU180" s="1"/>
  <c r="BR178"/>
  <c r="BV178" s="1"/>
  <c r="BQ178"/>
  <c r="BU178" s="1"/>
  <c r="BP178"/>
  <c r="BT178" s="1"/>
  <c r="BP176"/>
  <c r="BT176" s="1"/>
  <c r="BR175"/>
  <c r="BV175" s="1"/>
  <c r="BQ175"/>
  <c r="BU175" s="1"/>
  <c r="BP175"/>
  <c r="BT175" s="1"/>
  <c r="BP174"/>
  <c r="BT174" s="1"/>
  <c r="BQ171"/>
  <c r="BU171" s="1"/>
  <c r="BP171"/>
  <c r="BT171" s="1"/>
  <c r="BR170"/>
  <c r="BV170" s="1"/>
  <c r="BQ170"/>
  <c r="BU170" s="1"/>
  <c r="BR169"/>
  <c r="BV169" s="1"/>
  <c r="BQ169"/>
  <c r="BU169" s="1"/>
  <c r="BP169"/>
  <c r="BT169" s="1"/>
  <c r="BQ167"/>
  <c r="BU167" s="1"/>
  <c r="BP167"/>
  <c r="BT167" s="1"/>
  <c r="BQ166"/>
  <c r="BP166"/>
  <c r="BQ165"/>
  <c r="BU165" s="1"/>
  <c r="BP165"/>
  <c r="BT165" s="1"/>
  <c r="BR162"/>
  <c r="BV162" s="1"/>
  <c r="BR161"/>
  <c r="BV161" s="1"/>
  <c r="BQ161"/>
  <c r="BU161" s="1"/>
  <c r="BP161"/>
  <c r="BT161" s="1"/>
  <c r="BQ159"/>
  <c r="BU159" s="1"/>
  <c r="BP159"/>
  <c r="BT159" s="1"/>
  <c r="BQ158"/>
  <c r="BU158" s="1"/>
  <c r="BP158"/>
  <c r="BT158" s="1"/>
  <c r="BQ157"/>
  <c r="BU157" s="1"/>
  <c r="BP157"/>
  <c r="BT157" s="1"/>
  <c r="BR154"/>
  <c r="BV154" s="1"/>
  <c r="BQ154"/>
  <c r="BU154" s="1"/>
  <c r="BQ152"/>
  <c r="BU152" s="1"/>
  <c r="BP152"/>
  <c r="BT152" s="1"/>
  <c r="BQ151"/>
  <c r="BU151" s="1"/>
  <c r="BP151"/>
  <c r="BT151" s="1"/>
  <c r="BQ150"/>
  <c r="BU150" s="1"/>
  <c r="BP150"/>
  <c r="BT150" s="1"/>
  <c r="BR146"/>
  <c r="BV146" s="1"/>
  <c r="BQ146"/>
  <c r="BU146" s="1"/>
  <c r="BR145"/>
  <c r="BV145" s="1"/>
  <c r="BQ145"/>
  <c r="BU145" s="1"/>
  <c r="BR144"/>
  <c r="BV144" s="1"/>
  <c r="BQ144"/>
  <c r="BU144" s="1"/>
  <c r="BR143"/>
  <c r="BV143" s="1"/>
  <c r="BQ143"/>
  <c r="BU143" s="1"/>
  <c r="BP143"/>
  <c r="BT143" s="1"/>
  <c r="BQ141"/>
  <c r="BU141" s="1"/>
  <c r="BP141"/>
  <c r="BT141" s="1"/>
  <c r="BQ140"/>
  <c r="BU140" s="1"/>
  <c r="BP140"/>
  <c r="BT140" s="1"/>
  <c r="BQ139"/>
  <c r="BU139" s="1"/>
  <c r="BP139"/>
  <c r="BT139" s="1"/>
  <c r="BR136"/>
  <c r="BV136" s="1"/>
  <c r="BQ136"/>
  <c r="BU136" s="1"/>
  <c r="BP136"/>
  <c r="BT136" s="1"/>
  <c r="BR135"/>
  <c r="BV135" s="1"/>
  <c r="BQ135"/>
  <c r="BU135" s="1"/>
  <c r="BR134"/>
  <c r="BV134" s="1"/>
  <c r="BQ134"/>
  <c r="BU134" s="1"/>
  <c r="BP134"/>
  <c r="BT134" s="1"/>
  <c r="BR133"/>
  <c r="BV133" s="1"/>
  <c r="BQ133"/>
  <c r="BU133" s="1"/>
  <c r="BQ131"/>
  <c r="BU131" s="1"/>
  <c r="BP131"/>
  <c r="BT131" s="1"/>
  <c r="BR130"/>
  <c r="BV130" s="1"/>
  <c r="BQ130"/>
  <c r="BU130" s="1"/>
  <c r="BP130"/>
  <c r="BT130" s="1"/>
  <c r="BQ129"/>
  <c r="BU129" s="1"/>
  <c r="BP129"/>
  <c r="BT129" s="1"/>
  <c r="BQ116"/>
  <c r="BU116" s="1"/>
  <c r="BP116"/>
  <c r="BT116" s="1"/>
  <c r="BR114"/>
  <c r="BV114" s="1"/>
  <c r="BQ114"/>
  <c r="BU114" s="1"/>
  <c r="BQ115"/>
  <c r="BU115" s="1"/>
  <c r="BP115"/>
  <c r="BT115" s="1"/>
  <c r="BR112"/>
  <c r="BV112" s="1"/>
  <c r="BQ112"/>
  <c r="BU112" s="1"/>
  <c r="BP112"/>
  <c r="BT112" s="1"/>
  <c r="BR111"/>
  <c r="BV111" s="1"/>
  <c r="BQ111"/>
  <c r="BU111" s="1"/>
  <c r="BP111"/>
  <c r="BT111" s="1"/>
  <c r="BR110"/>
  <c r="BV110" s="1"/>
  <c r="BP110"/>
  <c r="BT110" s="1"/>
  <c r="BR126"/>
  <c r="BV126" s="1"/>
  <c r="BQ126"/>
  <c r="BU126" s="1"/>
  <c r="BP126"/>
  <c r="BT126" s="1"/>
  <c r="BR125"/>
  <c r="BV125" s="1"/>
  <c r="BQ125"/>
  <c r="BU125" s="1"/>
  <c r="BR124"/>
  <c r="BV124" s="1"/>
  <c r="BQ124"/>
  <c r="BU124" s="1"/>
  <c r="BQ123"/>
  <c r="BU123" s="1"/>
  <c r="BP123"/>
  <c r="BT123" s="1"/>
  <c r="BR121"/>
  <c r="BV121" s="1"/>
  <c r="BQ121"/>
  <c r="BU121" s="1"/>
  <c r="BP121"/>
  <c r="BT121" s="1"/>
  <c r="BQ120"/>
  <c r="BU120" s="1"/>
  <c r="BR119"/>
  <c r="BV119" s="1"/>
  <c r="BQ119"/>
  <c r="BU119" s="1"/>
  <c r="BP119"/>
  <c r="BT119" s="1"/>
  <c r="BR107"/>
  <c r="BV107" s="1"/>
  <c r="BQ107"/>
  <c r="BU107" s="1"/>
  <c r="BR106"/>
  <c r="BV106" s="1"/>
  <c r="BQ106"/>
  <c r="BU106" s="1"/>
  <c r="BQ105"/>
  <c r="BU105" s="1"/>
  <c r="BP105"/>
  <c r="BT105" s="1"/>
  <c r="BR104"/>
  <c r="BV104" s="1"/>
  <c r="BQ104"/>
  <c r="BU104" s="1"/>
  <c r="BP104"/>
  <c r="BT104" s="1"/>
  <c r="BR102"/>
  <c r="BV102" s="1"/>
  <c r="BQ102"/>
  <c r="BU102" s="1"/>
  <c r="BP102"/>
  <c r="BT102" s="1"/>
  <c r="BR101"/>
  <c r="BV101" s="1"/>
  <c r="BQ101"/>
  <c r="BU101" s="1"/>
  <c r="BP101"/>
  <c r="BT101" s="1"/>
  <c r="BR100"/>
  <c r="BV100" s="1"/>
  <c r="BQ100"/>
  <c r="BU100" s="1"/>
  <c r="BP100"/>
  <c r="BT100" s="1"/>
  <c r="BM158" i="7" l="1"/>
  <c r="BN223"/>
  <c r="BL181"/>
  <c r="BP182"/>
  <c r="BN258"/>
  <c r="BR259"/>
  <c r="BP174"/>
  <c r="BL173"/>
  <c r="BN253"/>
  <c r="BR254"/>
  <c r="BL253"/>
  <c r="BL187" s="1"/>
  <c r="BP254"/>
  <c r="BN168"/>
  <c r="BR169"/>
  <c r="BN243"/>
  <c r="BR244"/>
  <c r="BM146"/>
  <c r="BQ147"/>
  <c r="BN228"/>
  <c r="BR229"/>
  <c r="BQ136"/>
  <c r="BM135"/>
  <c r="BQ224"/>
  <c r="BM223"/>
  <c r="BL131"/>
  <c r="BP133"/>
  <c r="BN131"/>
  <c r="BR132"/>
  <c r="BN218"/>
  <c r="BR219"/>
  <c r="BQ129"/>
  <c r="BM128"/>
  <c r="BL121"/>
  <c r="BP123"/>
  <c r="BQ122"/>
  <c r="BM121"/>
  <c r="BN208"/>
  <c r="BR209"/>
  <c r="BN115"/>
  <c r="BR116"/>
  <c r="BL115"/>
  <c r="BP116"/>
  <c r="BQ204"/>
  <c r="BM203"/>
  <c r="BN104"/>
  <c r="BR105"/>
  <c r="BP105"/>
  <c r="BL104"/>
  <c r="BQ194"/>
  <c r="BM193"/>
  <c r="BQ110"/>
  <c r="BM109"/>
  <c r="BQ199"/>
  <c r="BM198"/>
  <c r="BM238"/>
  <c r="BL168"/>
  <c r="BN146"/>
  <c r="BN140"/>
  <c r="BL140"/>
  <c r="BN203"/>
  <c r="BN193"/>
  <c r="BN98"/>
  <c r="BL98"/>
  <c r="BN263"/>
  <c r="BR264"/>
  <c r="BN177"/>
  <c r="BR178"/>
  <c r="BL177"/>
  <c r="BP178"/>
  <c r="BQ259"/>
  <c r="BM258"/>
  <c r="BN248"/>
  <c r="BR249"/>
  <c r="BN158"/>
  <c r="BR159"/>
  <c r="BL158"/>
  <c r="BP159"/>
  <c r="BL154"/>
  <c r="BP156"/>
  <c r="BQ155"/>
  <c r="BM154"/>
  <c r="BL146"/>
  <c r="BP148"/>
  <c r="BQ234"/>
  <c r="BM233"/>
  <c r="BQ229"/>
  <c r="BM228"/>
  <c r="BN135"/>
  <c r="BR136"/>
  <c r="BP136"/>
  <c r="BL135"/>
  <c r="BQ132"/>
  <c r="BM131"/>
  <c r="BQ219"/>
  <c r="BM218"/>
  <c r="BN128"/>
  <c r="BR129"/>
  <c r="BL128"/>
  <c r="BP129"/>
  <c r="BN213"/>
  <c r="BR214"/>
  <c r="BN121"/>
  <c r="BR122"/>
  <c r="BQ116"/>
  <c r="BM115"/>
  <c r="BM104"/>
  <c r="BQ105"/>
  <c r="BL109"/>
  <c r="BP111"/>
  <c r="BN109"/>
  <c r="BR110"/>
  <c r="BN198"/>
  <c r="BR199"/>
  <c r="BQ189"/>
  <c r="BM188"/>
  <c r="BM140"/>
  <c r="BM98"/>
  <c r="BM168"/>
  <c r="BM208"/>
  <c r="BR105" i="1"/>
  <c r="BV105" s="1"/>
  <c r="BR123"/>
  <c r="BV123" s="1"/>
  <c r="BP125"/>
  <c r="BT125" s="1"/>
  <c r="BQ110"/>
  <c r="BU110" s="1"/>
  <c r="BR115"/>
  <c r="BV115" s="1"/>
  <c r="BR116"/>
  <c r="BV116" s="1"/>
  <c r="BR129"/>
  <c r="BV129" s="1"/>
  <c r="BR131"/>
  <c r="BV131" s="1"/>
  <c r="BP135"/>
  <c r="BT135" s="1"/>
  <c r="BP144"/>
  <c r="BT144" s="1"/>
  <c r="BP146"/>
  <c r="BT146" s="1"/>
  <c r="BP147"/>
  <c r="BT147" s="1"/>
  <c r="BR147"/>
  <c r="BV147" s="1"/>
  <c r="BP154"/>
  <c r="BT154" s="1"/>
  <c r="BP162"/>
  <c r="BT162" s="1"/>
  <c r="BR171"/>
  <c r="BV171" s="1"/>
  <c r="BQ174"/>
  <c r="BU174" s="1"/>
  <c r="BQ176"/>
  <c r="BU176" s="1"/>
  <c r="BP180"/>
  <c r="BT180" s="1"/>
  <c r="BR180"/>
  <c r="BV180" s="1"/>
  <c r="BQ181"/>
  <c r="BU181" s="1"/>
  <c r="BP190"/>
  <c r="BT190" s="1"/>
  <c r="BP191"/>
  <c r="BT191" s="1"/>
  <c r="BR191"/>
  <c r="BV191" s="1"/>
  <c r="BP192"/>
  <c r="BT192" s="1"/>
  <c r="BR192"/>
  <c r="BV192" s="1"/>
  <c r="BQ193"/>
  <c r="BU193" s="1"/>
  <c r="BQ196"/>
  <c r="BU196" s="1"/>
  <c r="BQ197"/>
  <c r="BU197" s="1"/>
  <c r="BQ198"/>
  <c r="BU198" s="1"/>
  <c r="BP209"/>
  <c r="BT209" s="1"/>
  <c r="BP210"/>
  <c r="BT210" s="1"/>
  <c r="BP211"/>
  <c r="BT211" s="1"/>
  <c r="BP213"/>
  <c r="BT213" s="1"/>
  <c r="BR218"/>
  <c r="BV218" s="1"/>
  <c r="BR219"/>
  <c r="BV219" s="1"/>
  <c r="BR220"/>
  <c r="BV220" s="1"/>
  <c r="BP223"/>
  <c r="BT223" s="1"/>
  <c r="BR227"/>
  <c r="BV227" s="1"/>
  <c r="BR228"/>
  <c r="BV228" s="1"/>
  <c r="BR229"/>
  <c r="BV229" s="1"/>
  <c r="BP239"/>
  <c r="BT239" s="1"/>
  <c r="BP240"/>
  <c r="BT240" s="1"/>
  <c r="BR240"/>
  <c r="BV240" s="1"/>
  <c r="BP243"/>
  <c r="BT243" s="1"/>
  <c r="BR243"/>
  <c r="BV243" s="1"/>
  <c r="BP244"/>
  <c r="BT244" s="1"/>
  <c r="BR244"/>
  <c r="BV244" s="1"/>
  <c r="BP245"/>
  <c r="BT245" s="1"/>
  <c r="BR245"/>
  <c r="BV245" s="1"/>
  <c r="BP68"/>
  <c r="BT68" s="1"/>
  <c r="BQ76"/>
  <c r="BU76" s="1"/>
  <c r="BP106"/>
  <c r="BT106" s="1"/>
  <c r="BP107"/>
  <c r="BT107" s="1"/>
  <c r="BP120"/>
  <c r="BT120" s="1"/>
  <c r="BR120"/>
  <c r="BV120" s="1"/>
  <c r="BP124"/>
  <c r="BT124" s="1"/>
  <c r="BP114"/>
  <c r="BT114" s="1"/>
  <c r="BP133"/>
  <c r="BT133" s="1"/>
  <c r="BR139"/>
  <c r="BV139" s="1"/>
  <c r="BR140"/>
  <c r="BV140" s="1"/>
  <c r="BR141"/>
  <c r="BV141" s="1"/>
  <c r="BP145"/>
  <c r="BT145" s="1"/>
  <c r="BQ147"/>
  <c r="BU147" s="1"/>
  <c r="BR150"/>
  <c r="BV150" s="1"/>
  <c r="BR151"/>
  <c r="BV151" s="1"/>
  <c r="BR152"/>
  <c r="BV152" s="1"/>
  <c r="BR157"/>
  <c r="BV157" s="1"/>
  <c r="BR158"/>
  <c r="BV158" s="1"/>
  <c r="BR159"/>
  <c r="BV159" s="1"/>
  <c r="BQ162"/>
  <c r="BU162" s="1"/>
  <c r="BR165"/>
  <c r="BV165" s="1"/>
  <c r="BR166"/>
  <c r="BR167"/>
  <c r="BV167" s="1"/>
  <c r="BP170"/>
  <c r="BT170" s="1"/>
  <c r="BR174"/>
  <c r="BV174" s="1"/>
  <c r="BR176"/>
  <c r="BV176" s="1"/>
  <c r="BP179"/>
  <c r="BT179" s="1"/>
  <c r="BR184"/>
  <c r="BV184" s="1"/>
  <c r="BR185"/>
  <c r="BV185" s="1"/>
  <c r="BR186"/>
  <c r="BV186" s="1"/>
  <c r="BP188"/>
  <c r="BT188" s="1"/>
  <c r="BR188"/>
  <c r="BV188" s="1"/>
  <c r="BQ189"/>
  <c r="BU189" s="1"/>
  <c r="BR196"/>
  <c r="BV196" s="1"/>
  <c r="BR197"/>
  <c r="BV197" s="1"/>
  <c r="BR198"/>
  <c r="BV198" s="1"/>
  <c r="BP200"/>
  <c r="BT200" s="1"/>
  <c r="BP201"/>
  <c r="BT201" s="1"/>
  <c r="BR204"/>
  <c r="BV204" s="1"/>
  <c r="BR205"/>
  <c r="BV205" s="1"/>
  <c r="BP208"/>
  <c r="BT208" s="1"/>
  <c r="BQ210"/>
  <c r="BU210" s="1"/>
  <c r="BP215"/>
  <c r="BT215" s="1"/>
  <c r="BR235"/>
  <c r="BV235" s="1"/>
  <c r="BR236"/>
  <c r="BV236" s="1"/>
  <c r="BR237"/>
  <c r="BV237" s="1"/>
  <c r="BP71"/>
  <c r="BT71" s="1"/>
  <c r="BP72"/>
  <c r="BT72" s="1"/>
  <c r="BP73"/>
  <c r="BT73" s="1"/>
  <c r="BP38"/>
  <c r="BT38" s="1"/>
  <c r="BR38"/>
  <c r="BV38" s="1"/>
  <c r="BR39"/>
  <c r="BV39" s="1"/>
  <c r="BR42"/>
  <c r="BV42" s="1"/>
  <c r="BQ37"/>
  <c r="BU37" s="1"/>
  <c r="BP42"/>
  <c r="BT42" s="1"/>
  <c r="BQ42"/>
  <c r="BN187" i="7" l="1"/>
  <c r="BM187"/>
  <c r="BN13" l="1"/>
  <c r="BM13"/>
  <c r="AK34" i="27"/>
  <c r="AK29"/>
  <c r="AK24"/>
  <c r="AK18"/>
  <c r="AG34"/>
  <c r="AG29"/>
  <c r="AG24"/>
  <c r="AG18"/>
  <c r="Y34"/>
  <c r="Y29"/>
  <c r="Y24"/>
  <c r="Y18"/>
  <c r="Q34"/>
  <c r="Q29"/>
  <c r="Q24"/>
  <c r="Q18"/>
  <c r="I34"/>
  <c r="I29"/>
  <c r="I24"/>
  <c r="I18"/>
  <c r="E34"/>
  <c r="E29"/>
  <c r="E24"/>
  <c r="E18"/>
  <c r="L34"/>
  <c r="K34"/>
  <c r="J34"/>
  <c r="M34" s="1"/>
  <c r="L29"/>
  <c r="K29"/>
  <c r="J29"/>
  <c r="M29" s="1"/>
  <c r="L24"/>
  <c r="K24"/>
  <c r="J24"/>
  <c r="M24" s="1"/>
  <c r="L18"/>
  <c r="K18"/>
  <c r="J18"/>
  <c r="M18" s="1"/>
  <c r="BA27" i="25"/>
  <c r="BA20"/>
  <c r="BA14"/>
  <c r="AS27"/>
  <c r="AS20"/>
  <c r="AS14"/>
  <c r="AO27"/>
  <c r="AO20"/>
  <c r="AO14"/>
  <c r="AK27"/>
  <c r="AK20"/>
  <c r="AK14"/>
  <c r="AG27"/>
  <c r="AG20"/>
  <c r="AG14"/>
  <c r="AC27"/>
  <c r="AC20"/>
  <c r="AC14"/>
  <c r="Y27"/>
  <c r="Y20"/>
  <c r="Y14"/>
  <c r="U27"/>
  <c r="U20"/>
  <c r="U14"/>
  <c r="Q27"/>
  <c r="Q20"/>
  <c r="Q14"/>
  <c r="M27"/>
  <c r="M20"/>
  <c r="M14"/>
  <c r="E27"/>
  <c r="E20"/>
  <c r="E14"/>
  <c r="AO42" i="34"/>
  <c r="AN42"/>
  <c r="AM42"/>
  <c r="AL42"/>
  <c r="P35"/>
  <c r="T35" s="1"/>
  <c r="O35"/>
  <c r="S35" s="1"/>
  <c r="N35"/>
  <c r="P30"/>
  <c r="T30" s="1"/>
  <c r="O30"/>
  <c r="S30" s="1"/>
  <c r="N30"/>
  <c r="P24"/>
  <c r="T24" s="1"/>
  <c r="O24"/>
  <c r="S24" s="1"/>
  <c r="N24"/>
  <c r="T16"/>
  <c r="S16"/>
  <c r="R16"/>
  <c r="P15"/>
  <c r="O15"/>
  <c r="N15"/>
  <c r="T14"/>
  <c r="S14"/>
  <c r="R14"/>
  <c r="P13"/>
  <c r="O13"/>
  <c r="N13"/>
  <c r="T12"/>
  <c r="S12"/>
  <c r="R12"/>
  <c r="P11"/>
  <c r="O11"/>
  <c r="N11"/>
  <c r="T10"/>
  <c r="S10"/>
  <c r="R10"/>
  <c r="N9"/>
  <c r="C51" i="33"/>
  <c r="AW42"/>
  <c r="AV42"/>
  <c r="AU42"/>
  <c r="AT42"/>
  <c r="AG42"/>
  <c r="AW35"/>
  <c r="AV35"/>
  <c r="AU35"/>
  <c r="AT35"/>
  <c r="AO35"/>
  <c r="AK35"/>
  <c r="AG35"/>
  <c r="Y35"/>
  <c r="Q35"/>
  <c r="L35"/>
  <c r="AZ35" s="1"/>
  <c r="K35"/>
  <c r="AY35" s="1"/>
  <c r="J35"/>
  <c r="AX35" s="1"/>
  <c r="E35"/>
  <c r="AW30"/>
  <c r="AV30"/>
  <c r="AU30"/>
  <c r="AT30"/>
  <c r="AO30"/>
  <c r="AK30"/>
  <c r="AG30"/>
  <c r="Y30"/>
  <c r="Q30"/>
  <c r="L30"/>
  <c r="AZ30" s="1"/>
  <c r="K30"/>
  <c r="AY30" s="1"/>
  <c r="J30"/>
  <c r="AX30" s="1"/>
  <c r="E30"/>
  <c r="AW24"/>
  <c r="AV24"/>
  <c r="AU24"/>
  <c r="AT24"/>
  <c r="AO24"/>
  <c r="AK24"/>
  <c r="AG24"/>
  <c r="Y24"/>
  <c r="Q24"/>
  <c r="L24"/>
  <c r="AZ24" s="1"/>
  <c r="K24"/>
  <c r="AY24" s="1"/>
  <c r="J24"/>
  <c r="AX24" s="1"/>
  <c r="E24"/>
  <c r="AW16"/>
  <c r="AV16"/>
  <c r="AU16"/>
  <c r="AT16"/>
  <c r="AB14"/>
  <c r="AV14" s="1"/>
  <c r="AA14"/>
  <c r="AU14" s="1"/>
  <c r="Z14"/>
  <c r="AC14" s="1"/>
  <c r="AW14" s="1"/>
  <c r="Y14"/>
  <c r="Q14"/>
  <c r="L14"/>
  <c r="K14"/>
  <c r="J14"/>
  <c r="I14"/>
  <c r="E14"/>
  <c r="AW12"/>
  <c r="AV12"/>
  <c r="AU12"/>
  <c r="AT12"/>
  <c r="AW10"/>
  <c r="AV10"/>
  <c r="AU10"/>
  <c r="AT10"/>
  <c r="Q9" i="34" l="1"/>
  <c r="Q11"/>
  <c r="Q13"/>
  <c r="Q15"/>
  <c r="BM9" i="7"/>
  <c r="BM12"/>
  <c r="BQ12" s="1"/>
  <c r="BM22"/>
  <c r="BM23"/>
  <c r="BM24"/>
  <c r="BQ24" s="1"/>
  <c r="BM28"/>
  <c r="BQ28" s="1"/>
  <c r="BM29"/>
  <c r="BQ29" s="1"/>
  <c r="BM30"/>
  <c r="BQ30" s="1"/>
  <c r="BM31"/>
  <c r="BQ31" s="1"/>
  <c r="BM32"/>
  <c r="BQ32" s="1"/>
  <c r="BM34"/>
  <c r="BQ34" s="1"/>
  <c r="BM35"/>
  <c r="BQ35" s="1"/>
  <c r="BM36"/>
  <c r="BQ36" s="1"/>
  <c r="BM37"/>
  <c r="BQ37" s="1"/>
  <c r="BM38"/>
  <c r="BQ38" s="1"/>
  <c r="BM39"/>
  <c r="BQ39" s="1"/>
  <c r="BM40"/>
  <c r="BQ40" s="1"/>
  <c r="BM41"/>
  <c r="BQ41" s="1"/>
  <c r="BM42"/>
  <c r="BQ42" s="1"/>
  <c r="BM48"/>
  <c r="BQ48" s="1"/>
  <c r="BM49"/>
  <c r="BQ49" s="1"/>
  <c r="BM50"/>
  <c r="BQ50" s="1"/>
  <c r="BM51"/>
  <c r="BQ51" s="1"/>
  <c r="BN9"/>
  <c r="BM14"/>
  <c r="BQ14" s="1"/>
  <c r="BM15"/>
  <c r="BQ15" s="1"/>
  <c r="BM16"/>
  <c r="BQ16" s="1"/>
  <c r="BM17"/>
  <c r="BQ17" s="1"/>
  <c r="BM18"/>
  <c r="BQ18" s="1"/>
  <c r="BN23"/>
  <c r="BR23" s="1"/>
  <c r="BN40"/>
  <c r="BR40" s="1"/>
  <c r="BN43"/>
  <c r="BR43" s="1"/>
  <c r="BN56"/>
  <c r="AM10" i="34"/>
  <c r="AI10"/>
  <c r="AM12"/>
  <c r="AI12"/>
  <c r="AM14"/>
  <c r="AI14"/>
  <c r="AM16"/>
  <c r="AI16"/>
  <c r="R24"/>
  <c r="Q24"/>
  <c r="AN24"/>
  <c r="AJ24"/>
  <c r="AM30"/>
  <c r="AI30"/>
  <c r="R35"/>
  <c r="Q35"/>
  <c r="AN35"/>
  <c r="AJ35"/>
  <c r="AL10"/>
  <c r="AH10"/>
  <c r="U10"/>
  <c r="AN10"/>
  <c r="AJ10"/>
  <c r="AH12"/>
  <c r="U12"/>
  <c r="AN12"/>
  <c r="AJ12"/>
  <c r="AL14"/>
  <c r="AH14"/>
  <c r="AK14" s="1"/>
  <c r="U14"/>
  <c r="AN14"/>
  <c r="AJ14"/>
  <c r="AH16"/>
  <c r="AK16" s="1"/>
  <c r="U16"/>
  <c r="AN16"/>
  <c r="AJ16"/>
  <c r="AM24"/>
  <c r="AI24"/>
  <c r="AN30"/>
  <c r="AJ30"/>
  <c r="AM35"/>
  <c r="AI35"/>
  <c r="Q30"/>
  <c r="M14" i="33"/>
  <c r="AO12" i="34"/>
  <c r="AO16"/>
  <c r="AL35"/>
  <c r="AL12"/>
  <c r="AL16"/>
  <c r="AL24"/>
  <c r="AO10"/>
  <c r="AO14"/>
  <c r="R30"/>
  <c r="AT14" i="33"/>
  <c r="M24"/>
  <c r="BA24"/>
  <c r="M30"/>
  <c r="BA30"/>
  <c r="M35"/>
  <c r="BA35"/>
  <c r="AH30" i="34" l="1"/>
  <c r="AK30" s="1"/>
  <c r="U30"/>
  <c r="AH35"/>
  <c r="AK35" s="1"/>
  <c r="U35"/>
  <c r="AO35" s="1"/>
  <c r="AH24"/>
  <c r="AK24" s="1"/>
  <c r="U24"/>
  <c r="AO24" s="1"/>
  <c r="AK12"/>
  <c r="AK10"/>
  <c r="AO30"/>
  <c r="AL30"/>
  <c r="I56" i="7" l="1"/>
  <c r="BU206" i="1" l="1"/>
  <c r="H33" i="32"/>
  <c r="G33"/>
  <c r="F33"/>
  <c r="D33"/>
  <c r="B33"/>
  <c r="H32"/>
  <c r="G32"/>
  <c r="F32"/>
  <c r="D32"/>
  <c r="B32"/>
  <c r="H31"/>
  <c r="G31"/>
  <c r="F31"/>
  <c r="D31"/>
  <c r="B31"/>
  <c r="D30"/>
  <c r="D28" s="1"/>
  <c r="B30"/>
  <c r="H37"/>
  <c r="G37"/>
  <c r="H22"/>
  <c r="G22"/>
  <c r="D22"/>
  <c r="C22"/>
  <c r="B22"/>
  <c r="H21"/>
  <c r="G21"/>
  <c r="D21"/>
  <c r="C21"/>
  <c r="B21"/>
  <c r="H16"/>
  <c r="G16"/>
  <c r="D16"/>
  <c r="C16"/>
  <c r="B16"/>
  <c r="H15"/>
  <c r="G15"/>
  <c r="D15"/>
  <c r="C15"/>
  <c r="B15"/>
  <c r="H13"/>
  <c r="G13"/>
  <c r="D13"/>
  <c r="C13"/>
  <c r="B13"/>
  <c r="H12"/>
  <c r="G12"/>
  <c r="D12"/>
  <c r="C12"/>
  <c r="B12"/>
  <c r="C36" l="1"/>
  <c r="F12"/>
  <c r="F15"/>
  <c r="F21"/>
  <c r="F13"/>
  <c r="F16"/>
  <c r="F22"/>
  <c r="F30"/>
  <c r="F28" s="1"/>
  <c r="H30"/>
  <c r="H28" s="1"/>
  <c r="G30"/>
  <c r="G28" s="1"/>
  <c r="B37"/>
  <c r="B36"/>
  <c r="F36"/>
  <c r="C30"/>
  <c r="C31"/>
  <c r="C33"/>
  <c r="D36" l="1"/>
  <c r="G36"/>
  <c r="G35" s="1"/>
  <c r="C32"/>
  <c r="F37"/>
  <c r="F35" s="1"/>
  <c r="C28"/>
  <c r="D37"/>
  <c r="C37"/>
  <c r="C35" s="1"/>
  <c r="F23"/>
  <c r="D23"/>
  <c r="B23"/>
  <c r="C20"/>
  <c r="D11"/>
  <c r="D10" s="1"/>
  <c r="H23"/>
  <c r="G20"/>
  <c r="C23"/>
  <c r="F20"/>
  <c r="D20"/>
  <c r="G23"/>
  <c r="H20"/>
  <c r="D35" l="1"/>
  <c r="B11"/>
  <c r="C11"/>
  <c r="C10" s="1"/>
  <c r="C19"/>
  <c r="C18" s="1"/>
  <c r="D19"/>
  <c r="D18" s="1"/>
  <c r="G11" l="1"/>
  <c r="G10" s="1"/>
  <c r="G19"/>
  <c r="G18" s="1"/>
  <c r="H11"/>
  <c r="H10" s="1"/>
  <c r="H19"/>
  <c r="H18" s="1"/>
  <c r="N37" l="1"/>
  <c r="N36"/>
  <c r="B35"/>
  <c r="N35" s="1"/>
  <c r="N33"/>
  <c r="I33"/>
  <c r="J33"/>
  <c r="P33"/>
  <c r="O33"/>
  <c r="I32"/>
  <c r="P32"/>
  <c r="O32"/>
  <c r="E32"/>
  <c r="I31"/>
  <c r="P31"/>
  <c r="O31"/>
  <c r="E31"/>
  <c r="I30"/>
  <c r="O30"/>
  <c r="E30"/>
  <c r="P29"/>
  <c r="O29"/>
  <c r="N29"/>
  <c r="E29"/>
  <c r="Q29" s="1"/>
  <c r="O28"/>
  <c r="I22"/>
  <c r="P22"/>
  <c r="O22"/>
  <c r="E22"/>
  <c r="I21"/>
  <c r="P21"/>
  <c r="O21"/>
  <c r="E21"/>
  <c r="P17"/>
  <c r="O17"/>
  <c r="N17"/>
  <c r="L17"/>
  <c r="K17"/>
  <c r="J17"/>
  <c r="I17"/>
  <c r="E17"/>
  <c r="Q17" s="1"/>
  <c r="N16"/>
  <c r="I16"/>
  <c r="P16"/>
  <c r="O16"/>
  <c r="N15"/>
  <c r="J15"/>
  <c r="P15"/>
  <c r="P14"/>
  <c r="O14"/>
  <c r="N14"/>
  <c r="L14"/>
  <c r="K14"/>
  <c r="J14"/>
  <c r="I14"/>
  <c r="E14"/>
  <c r="Q14" s="1"/>
  <c r="L13"/>
  <c r="I13"/>
  <c r="P13"/>
  <c r="O13"/>
  <c r="P12"/>
  <c r="L12"/>
  <c r="I12"/>
  <c r="O12"/>
  <c r="E12"/>
  <c r="P9"/>
  <c r="O9"/>
  <c r="N9"/>
  <c r="L9"/>
  <c r="K9"/>
  <c r="J9"/>
  <c r="I9"/>
  <c r="E9"/>
  <c r="Q9" s="1"/>
  <c r="M9" l="1"/>
  <c r="M17"/>
  <c r="M14"/>
  <c r="E13"/>
  <c r="Q13" s="1"/>
  <c r="N13"/>
  <c r="P28"/>
  <c r="L28"/>
  <c r="Q12"/>
  <c r="J12"/>
  <c r="N12"/>
  <c r="J13"/>
  <c r="Q21"/>
  <c r="Q22"/>
  <c r="Q30"/>
  <c r="Q31"/>
  <c r="Q32"/>
  <c r="E15"/>
  <c r="I15"/>
  <c r="K15"/>
  <c r="O15"/>
  <c r="J16"/>
  <c r="L16"/>
  <c r="J21"/>
  <c r="L21"/>
  <c r="N21"/>
  <c r="J22"/>
  <c r="L22"/>
  <c r="N22"/>
  <c r="K28"/>
  <c r="J30"/>
  <c r="L30"/>
  <c r="N30"/>
  <c r="P30"/>
  <c r="J31"/>
  <c r="L31"/>
  <c r="N31"/>
  <c r="J32"/>
  <c r="L32"/>
  <c r="N32"/>
  <c r="E33"/>
  <c r="Q33" s="1"/>
  <c r="K33"/>
  <c r="K12"/>
  <c r="K13"/>
  <c r="L15"/>
  <c r="E16"/>
  <c r="Q16" s="1"/>
  <c r="K16"/>
  <c r="K21"/>
  <c r="K22"/>
  <c r="B28"/>
  <c r="K30"/>
  <c r="K31"/>
  <c r="K32"/>
  <c r="L33"/>
  <c r="J37"/>
  <c r="Q15" l="1"/>
  <c r="M33"/>
  <c r="M15"/>
  <c r="M21"/>
  <c r="M13"/>
  <c r="M31"/>
  <c r="I37"/>
  <c r="N28"/>
  <c r="J28"/>
  <c r="M28" s="1"/>
  <c r="R28" s="1"/>
  <c r="E28"/>
  <c r="I28"/>
  <c r="M30"/>
  <c r="M16"/>
  <c r="M12"/>
  <c r="M32"/>
  <c r="M22"/>
  <c r="Q28" l="1"/>
  <c r="J35"/>
  <c r="J36"/>
  <c r="O36"/>
  <c r="E36"/>
  <c r="K36"/>
  <c r="O23" l="1"/>
  <c r="K23"/>
  <c r="I20"/>
  <c r="P23"/>
  <c r="L23"/>
  <c r="P20"/>
  <c r="L20"/>
  <c r="O20"/>
  <c r="K20"/>
  <c r="E23"/>
  <c r="J23"/>
  <c r="N23"/>
  <c r="O37"/>
  <c r="E37"/>
  <c r="Q37" s="1"/>
  <c r="K37"/>
  <c r="P37"/>
  <c r="L37"/>
  <c r="I23"/>
  <c r="M23" l="1"/>
  <c r="O11"/>
  <c r="L11"/>
  <c r="L10" s="1"/>
  <c r="Q23"/>
  <c r="K35"/>
  <c r="O35"/>
  <c r="P11"/>
  <c r="P10"/>
  <c r="P19"/>
  <c r="P18"/>
  <c r="L19"/>
  <c r="L18" s="1"/>
  <c r="O19"/>
  <c r="O18"/>
  <c r="E11"/>
  <c r="B10"/>
  <c r="M37"/>
  <c r="E35"/>
  <c r="E10" l="1"/>
  <c r="K11"/>
  <c r="K10" s="1"/>
  <c r="K19"/>
  <c r="K18" s="1"/>
  <c r="O10"/>
  <c r="B38" i="31" l="1"/>
  <c r="B37"/>
  <c r="B36"/>
  <c r="B33"/>
  <c r="B32"/>
  <c r="B31"/>
  <c r="B28"/>
  <c r="B27"/>
  <c r="B26"/>
  <c r="B23"/>
  <c r="B22"/>
  <c r="B21"/>
  <c r="B20"/>
  <c r="B17"/>
  <c r="B16"/>
  <c r="B15"/>
  <c r="B14"/>
  <c r="B13"/>
  <c r="B12"/>
  <c r="B11"/>
  <c r="B10"/>
  <c r="B9"/>
  <c r="AF34"/>
  <c r="AE34"/>
  <c r="AD34"/>
  <c r="AC34"/>
  <c r="Y34"/>
  <c r="P34"/>
  <c r="T34" s="1"/>
  <c r="O34"/>
  <c r="S34" s="1"/>
  <c r="N34"/>
  <c r="R34" s="1"/>
  <c r="M34"/>
  <c r="I34"/>
  <c r="E34"/>
  <c r="AF29"/>
  <c r="AE29"/>
  <c r="AD29"/>
  <c r="AC29"/>
  <c r="Y29"/>
  <c r="P29"/>
  <c r="T29" s="1"/>
  <c r="O29"/>
  <c r="S29" s="1"/>
  <c r="N29"/>
  <c r="R29" s="1"/>
  <c r="M29"/>
  <c r="I29"/>
  <c r="E29"/>
  <c r="AF24"/>
  <c r="AE24"/>
  <c r="AD24"/>
  <c r="AG24" s="1"/>
  <c r="AC24"/>
  <c r="Y24"/>
  <c r="P24"/>
  <c r="T24" s="1"/>
  <c r="O24"/>
  <c r="S24" s="1"/>
  <c r="N24"/>
  <c r="R24" s="1"/>
  <c r="M24"/>
  <c r="I24"/>
  <c r="E24"/>
  <c r="AF18"/>
  <c r="AE18"/>
  <c r="AD18"/>
  <c r="AG18" s="1"/>
  <c r="AC18"/>
  <c r="Y18"/>
  <c r="P18"/>
  <c r="T18" s="1"/>
  <c r="O18"/>
  <c r="S18" s="1"/>
  <c r="N18"/>
  <c r="M18"/>
  <c r="I18"/>
  <c r="E18"/>
  <c r="B27" i="30"/>
  <c r="B26"/>
  <c r="B25"/>
  <c r="B22"/>
  <c r="B21"/>
  <c r="B20"/>
  <c r="B19"/>
  <c r="B18"/>
  <c r="B17"/>
  <c r="B16"/>
  <c r="B13"/>
  <c r="B12"/>
  <c r="B11"/>
  <c r="B10"/>
  <c r="B9"/>
  <c r="AF23"/>
  <c r="AE23"/>
  <c r="AD23"/>
  <c r="AC23"/>
  <c r="Y23"/>
  <c r="T23"/>
  <c r="S23"/>
  <c r="M23"/>
  <c r="I23"/>
  <c r="E23"/>
  <c r="AF14"/>
  <c r="AE14"/>
  <c r="AD14"/>
  <c r="AC14"/>
  <c r="Y14"/>
  <c r="T14"/>
  <c r="S14"/>
  <c r="R14"/>
  <c r="M14"/>
  <c r="I14"/>
  <c r="E14"/>
  <c r="B42" i="29"/>
  <c r="B41"/>
  <c r="B40"/>
  <c r="B39"/>
  <c r="B36"/>
  <c r="B35"/>
  <c r="B34"/>
  <c r="B31"/>
  <c r="B30"/>
  <c r="B27"/>
  <c r="B26"/>
  <c r="B25"/>
  <c r="B24"/>
  <c r="B23"/>
  <c r="B20"/>
  <c r="B19"/>
  <c r="B18"/>
  <c r="B17"/>
  <c r="B16"/>
  <c r="B15"/>
  <c r="B14"/>
  <c r="B13"/>
  <c r="B12"/>
  <c r="B11"/>
  <c r="B10"/>
  <c r="B9"/>
  <c r="AF37"/>
  <c r="AE37"/>
  <c r="AD37"/>
  <c r="AC37"/>
  <c r="Y37"/>
  <c r="T37"/>
  <c r="S37"/>
  <c r="R37"/>
  <c r="M37"/>
  <c r="I37"/>
  <c r="E37"/>
  <c r="AF32"/>
  <c r="AE32"/>
  <c r="AD32"/>
  <c r="AC32"/>
  <c r="Y32"/>
  <c r="T32"/>
  <c r="S32"/>
  <c r="R32"/>
  <c r="M32"/>
  <c r="I32"/>
  <c r="E32"/>
  <c r="AF28"/>
  <c r="AE28"/>
  <c r="AD28"/>
  <c r="AC28"/>
  <c r="Y28"/>
  <c r="T28"/>
  <c r="S28"/>
  <c r="R28"/>
  <c r="M28"/>
  <c r="I28"/>
  <c r="E28"/>
  <c r="AF21"/>
  <c r="AE21"/>
  <c r="AD21"/>
  <c r="AC21"/>
  <c r="Y21"/>
  <c r="T21"/>
  <c r="S21"/>
  <c r="R21"/>
  <c r="M21"/>
  <c r="I21"/>
  <c r="E21"/>
  <c r="N14" i="28"/>
  <c r="O14"/>
  <c r="P14"/>
  <c r="T14" s="1"/>
  <c r="N20"/>
  <c r="O20"/>
  <c r="P20"/>
  <c r="N27"/>
  <c r="O27"/>
  <c r="P27"/>
  <c r="B13"/>
  <c r="B12"/>
  <c r="B11"/>
  <c r="B10"/>
  <c r="B34"/>
  <c r="B33"/>
  <c r="B32"/>
  <c r="B31"/>
  <c r="B30"/>
  <c r="B29"/>
  <c r="B28" s="1"/>
  <c r="B26"/>
  <c r="B25"/>
  <c r="B24"/>
  <c r="B23"/>
  <c r="B22"/>
  <c r="B21" s="1"/>
  <c r="B19"/>
  <c r="B18"/>
  <c r="B17"/>
  <c r="B16"/>
  <c r="B9"/>
  <c r="AF27"/>
  <c r="AE27"/>
  <c r="AD27"/>
  <c r="AC27"/>
  <c r="Y27"/>
  <c r="T27"/>
  <c r="S27"/>
  <c r="Q27"/>
  <c r="M27"/>
  <c r="I27"/>
  <c r="E27"/>
  <c r="AF20"/>
  <c r="AE20"/>
  <c r="AD20"/>
  <c r="AC20"/>
  <c r="Y20"/>
  <c r="T20"/>
  <c r="S20"/>
  <c r="R20"/>
  <c r="M20"/>
  <c r="I20"/>
  <c r="E20"/>
  <c r="AF14"/>
  <c r="AE14"/>
  <c r="AD14"/>
  <c r="AC14"/>
  <c r="Y14"/>
  <c r="S14"/>
  <c r="M14"/>
  <c r="I14"/>
  <c r="E14"/>
  <c r="AN34" i="27"/>
  <c r="AM34"/>
  <c r="AL34"/>
  <c r="AO34" s="1"/>
  <c r="AN29"/>
  <c r="AM29"/>
  <c r="AL29"/>
  <c r="AN24"/>
  <c r="AM24"/>
  <c r="AL24"/>
  <c r="AO24" s="1"/>
  <c r="AN18"/>
  <c r="AM18"/>
  <c r="AL18"/>
  <c r="AB34"/>
  <c r="AR34" s="1"/>
  <c r="AA34"/>
  <c r="AQ34" s="1"/>
  <c r="Z34"/>
  <c r="AC34" s="1"/>
  <c r="AB29"/>
  <c r="AR29" s="1"/>
  <c r="AA29"/>
  <c r="AQ29" s="1"/>
  <c r="Z29"/>
  <c r="AC29" s="1"/>
  <c r="AB24"/>
  <c r="AR24" s="1"/>
  <c r="AA24"/>
  <c r="AQ24" s="1"/>
  <c r="Z24"/>
  <c r="AC24" s="1"/>
  <c r="AB18"/>
  <c r="AV18" s="1"/>
  <c r="AA18"/>
  <c r="AQ18" s="1"/>
  <c r="Z18"/>
  <c r="AY34"/>
  <c r="AZ29"/>
  <c r="AX29"/>
  <c r="AY24"/>
  <c r="AZ18"/>
  <c r="AZ34"/>
  <c r="AX34"/>
  <c r="AV34"/>
  <c r="AT34"/>
  <c r="AY29"/>
  <c r="AV29"/>
  <c r="AU29"/>
  <c r="AT29"/>
  <c r="AZ24"/>
  <c r="AX24"/>
  <c r="AV24"/>
  <c r="AT24"/>
  <c r="AY18"/>
  <c r="AU18"/>
  <c r="BA24" l="1"/>
  <c r="BA34"/>
  <c r="BA29"/>
  <c r="AC18"/>
  <c r="AW18" s="1"/>
  <c r="AO18"/>
  <c r="AO29"/>
  <c r="AX18"/>
  <c r="BA18" s="1"/>
  <c r="AU24"/>
  <c r="AU34"/>
  <c r="AW24"/>
  <c r="AW34"/>
  <c r="B15" i="28"/>
  <c r="Q18" i="31"/>
  <c r="AG29"/>
  <c r="AG34"/>
  <c r="AN18"/>
  <c r="AJ18"/>
  <c r="AI18"/>
  <c r="AM18"/>
  <c r="AH24"/>
  <c r="U24"/>
  <c r="AO24" s="1"/>
  <c r="AJ24"/>
  <c r="AN24"/>
  <c r="AH29"/>
  <c r="U29"/>
  <c r="AO29" s="1"/>
  <c r="AJ29"/>
  <c r="AN29"/>
  <c r="AH34"/>
  <c r="U34"/>
  <c r="AO34" s="1"/>
  <c r="AJ34"/>
  <c r="AN34"/>
  <c r="R18"/>
  <c r="AM24"/>
  <c r="AI24"/>
  <c r="AM29"/>
  <c r="AI29"/>
  <c r="AM34"/>
  <c r="AI34"/>
  <c r="Q24"/>
  <c r="Q29"/>
  <c r="Q34"/>
  <c r="AG23" i="30"/>
  <c r="AG14"/>
  <c r="Q23"/>
  <c r="AI14"/>
  <c r="AM14"/>
  <c r="AI23"/>
  <c r="AM23"/>
  <c r="U14"/>
  <c r="AO14" s="1"/>
  <c r="AH14"/>
  <c r="AN14"/>
  <c r="AJ14"/>
  <c r="AN23"/>
  <c r="AJ23"/>
  <c r="R23"/>
  <c r="Q14"/>
  <c r="AG37" i="29"/>
  <c r="AG21"/>
  <c r="AG28"/>
  <c r="AG32"/>
  <c r="AM21"/>
  <c r="AI21"/>
  <c r="AM28"/>
  <c r="AI28"/>
  <c r="AM32"/>
  <c r="AI32"/>
  <c r="AM37"/>
  <c r="AI37"/>
  <c r="AH21"/>
  <c r="U21"/>
  <c r="AO21" s="1"/>
  <c r="AJ21"/>
  <c r="AN21"/>
  <c r="AH28"/>
  <c r="U28"/>
  <c r="AO28" s="1"/>
  <c r="AJ28"/>
  <c r="AN28"/>
  <c r="AH32"/>
  <c r="U32"/>
  <c r="AO32" s="1"/>
  <c r="AJ32"/>
  <c r="AN32"/>
  <c r="AH37"/>
  <c r="U37"/>
  <c r="AO37" s="1"/>
  <c r="AJ37"/>
  <c r="AN37"/>
  <c r="Q21"/>
  <c r="Q28"/>
  <c r="Q32"/>
  <c r="Q37"/>
  <c r="Q14" i="28"/>
  <c r="AG20"/>
  <c r="AG14"/>
  <c r="AG27"/>
  <c r="AN14"/>
  <c r="AJ14"/>
  <c r="U20"/>
  <c r="AO20" s="1"/>
  <c r="AH20"/>
  <c r="AN20"/>
  <c r="AJ20"/>
  <c r="AN27"/>
  <c r="AJ27"/>
  <c r="AI14"/>
  <c r="AM14"/>
  <c r="AI20"/>
  <c r="AM20"/>
  <c r="AI27"/>
  <c r="AM27"/>
  <c r="R14"/>
  <c r="R27"/>
  <c r="Q20"/>
  <c r="AP18" i="27"/>
  <c r="AS18" s="1"/>
  <c r="AR18"/>
  <c r="AP24"/>
  <c r="AS24" s="1"/>
  <c r="AP34"/>
  <c r="AS34" s="1"/>
  <c r="AW29"/>
  <c r="AP29"/>
  <c r="AS29" s="1"/>
  <c r="AT18"/>
  <c r="AN27" i="25"/>
  <c r="AM27"/>
  <c r="AL27"/>
  <c r="AN20"/>
  <c r="AM20"/>
  <c r="AL20"/>
  <c r="AN14"/>
  <c r="AM14"/>
  <c r="AL14"/>
  <c r="AB27"/>
  <c r="AA27"/>
  <c r="Z27"/>
  <c r="AB20"/>
  <c r="AR20" s="1"/>
  <c r="AA20"/>
  <c r="Z20"/>
  <c r="AB14"/>
  <c r="AV14" s="1"/>
  <c r="AA14"/>
  <c r="Z14"/>
  <c r="AT14" s="1"/>
  <c r="AZ23" i="26"/>
  <c r="AY23"/>
  <c r="AX23"/>
  <c r="AV23"/>
  <c r="AU23"/>
  <c r="AT23"/>
  <c r="AR23"/>
  <c r="AQ23"/>
  <c r="AP23"/>
  <c r="AO23"/>
  <c r="AC23"/>
  <c r="AW23" s="1"/>
  <c r="Y23"/>
  <c r="Q23"/>
  <c r="E23"/>
  <c r="AZ14"/>
  <c r="AY14"/>
  <c r="AX14"/>
  <c r="AV14"/>
  <c r="AU14"/>
  <c r="AT14"/>
  <c r="AR14"/>
  <c r="AQ14"/>
  <c r="AP14"/>
  <c r="AO14"/>
  <c r="AC14"/>
  <c r="AW14" s="1"/>
  <c r="Y14"/>
  <c r="Q14"/>
  <c r="E14"/>
  <c r="AZ27" i="25"/>
  <c r="AY27"/>
  <c r="AX27"/>
  <c r="AV27"/>
  <c r="AT27"/>
  <c r="AR27"/>
  <c r="AP27"/>
  <c r="AZ20"/>
  <c r="AY20"/>
  <c r="AX20"/>
  <c r="AV20"/>
  <c r="AU20"/>
  <c r="AT20"/>
  <c r="AQ20"/>
  <c r="AZ14"/>
  <c r="AY14"/>
  <c r="AX14"/>
  <c r="AU14"/>
  <c r="AR14"/>
  <c r="AQ14"/>
  <c r="AP14"/>
  <c r="AW14"/>
  <c r="E21" i="24"/>
  <c r="Q21"/>
  <c r="Y21"/>
  <c r="AC21"/>
  <c r="AW21" s="1"/>
  <c r="AO21"/>
  <c r="AP21"/>
  <c r="AQ21"/>
  <c r="AR21"/>
  <c r="AT21"/>
  <c r="AU21"/>
  <c r="AV21"/>
  <c r="AX21"/>
  <c r="AY21"/>
  <c r="AZ21"/>
  <c r="F23"/>
  <c r="G23"/>
  <c r="H23"/>
  <c r="F24"/>
  <c r="G24"/>
  <c r="H24"/>
  <c r="F25"/>
  <c r="G25"/>
  <c r="H25"/>
  <c r="F26"/>
  <c r="G26"/>
  <c r="H26"/>
  <c r="F27"/>
  <c r="G27"/>
  <c r="H27"/>
  <c r="E28"/>
  <c r="Q28"/>
  <c r="Y28"/>
  <c r="AC28"/>
  <c r="AW28" s="1"/>
  <c r="AO28"/>
  <c r="AP28"/>
  <c r="AQ28"/>
  <c r="AR28"/>
  <c r="AT28"/>
  <c r="AU28"/>
  <c r="AV28"/>
  <c r="AX28"/>
  <c r="AY28"/>
  <c r="AZ28"/>
  <c r="F30"/>
  <c r="G30"/>
  <c r="H30"/>
  <c r="F31"/>
  <c r="G31"/>
  <c r="H31"/>
  <c r="E32"/>
  <c r="Q32"/>
  <c r="Y32"/>
  <c r="AC32"/>
  <c r="AO32"/>
  <c r="AP32"/>
  <c r="AQ32"/>
  <c r="AR32"/>
  <c r="AT32"/>
  <c r="AU32"/>
  <c r="AV32"/>
  <c r="AW32"/>
  <c r="AX32"/>
  <c r="AY32"/>
  <c r="AZ32"/>
  <c r="F34"/>
  <c r="G34"/>
  <c r="H34"/>
  <c r="F35"/>
  <c r="G35"/>
  <c r="H35"/>
  <c r="F36"/>
  <c r="G36"/>
  <c r="H36"/>
  <c r="E37"/>
  <c r="Q37"/>
  <c r="Y37"/>
  <c r="AC37"/>
  <c r="AW37" s="1"/>
  <c r="AO37"/>
  <c r="AP37"/>
  <c r="AQ37"/>
  <c r="AR37"/>
  <c r="AT37"/>
  <c r="AU37"/>
  <c r="AV37"/>
  <c r="AX37"/>
  <c r="AY37"/>
  <c r="AZ37"/>
  <c r="F39"/>
  <c r="G39"/>
  <c r="H39"/>
  <c r="F40"/>
  <c r="G40"/>
  <c r="H40"/>
  <c r="F41"/>
  <c r="G41"/>
  <c r="H41"/>
  <c r="F42"/>
  <c r="G42"/>
  <c r="H42"/>
  <c r="H20"/>
  <c r="G20"/>
  <c r="F20"/>
  <c r="H19"/>
  <c r="G19"/>
  <c r="F19"/>
  <c r="I19" s="1"/>
  <c r="H18"/>
  <c r="G18"/>
  <c r="I18" s="1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I12" s="1"/>
  <c r="F12"/>
  <c r="H11"/>
  <c r="G11"/>
  <c r="F11"/>
  <c r="H10"/>
  <c r="G10"/>
  <c r="F10"/>
  <c r="H9"/>
  <c r="H8" s="1"/>
  <c r="G9"/>
  <c r="F9"/>
  <c r="AF133" i="23"/>
  <c r="AE133"/>
  <c r="AD133"/>
  <c r="AG133" s="1"/>
  <c r="AF128"/>
  <c r="AE128"/>
  <c r="AD128"/>
  <c r="AF123"/>
  <c r="AE123"/>
  <c r="AD123"/>
  <c r="AG123" s="1"/>
  <c r="AF117"/>
  <c r="AE117"/>
  <c r="AD117"/>
  <c r="AF105"/>
  <c r="AE105"/>
  <c r="AD105"/>
  <c r="AG105" s="1"/>
  <c r="AF100"/>
  <c r="AE100"/>
  <c r="AD100"/>
  <c r="AF91"/>
  <c r="AE91"/>
  <c r="AD91"/>
  <c r="AG91" s="1"/>
  <c r="AF83"/>
  <c r="AE83"/>
  <c r="AD83"/>
  <c r="AG83" s="1"/>
  <c r="AF75"/>
  <c r="AE75"/>
  <c r="AD75"/>
  <c r="AG75" s="1"/>
  <c r="AF68"/>
  <c r="AE68"/>
  <c r="AD68"/>
  <c r="AG68" s="1"/>
  <c r="AF62"/>
  <c r="AE62"/>
  <c r="AD62"/>
  <c r="AG62" s="1"/>
  <c r="AF54"/>
  <c r="AE54"/>
  <c r="AD54"/>
  <c r="AG54" s="1"/>
  <c r="AF48"/>
  <c r="AE48"/>
  <c r="AD48"/>
  <c r="AG48" s="1"/>
  <c r="AF43"/>
  <c r="AE43"/>
  <c r="AD43"/>
  <c r="AG43" s="1"/>
  <c r="AF39"/>
  <c r="AE39"/>
  <c r="AD39"/>
  <c r="AG39" s="1"/>
  <c r="AF32"/>
  <c r="AE32"/>
  <c r="AD32"/>
  <c r="AG32" s="1"/>
  <c r="AF16"/>
  <c r="AE16"/>
  <c r="AD16"/>
  <c r="AG16" s="1"/>
  <c r="AF14"/>
  <c r="AE14"/>
  <c r="AD14"/>
  <c r="AF12"/>
  <c r="AE12"/>
  <c r="AD12"/>
  <c r="AG12" s="1"/>
  <c r="AF10"/>
  <c r="AE10"/>
  <c r="AD10"/>
  <c r="AC133"/>
  <c r="AC128"/>
  <c r="AC123"/>
  <c r="AC117"/>
  <c r="AC105"/>
  <c r="AC100"/>
  <c r="AC91"/>
  <c r="AC83"/>
  <c r="AC75"/>
  <c r="AC68"/>
  <c r="AC62"/>
  <c r="AC54"/>
  <c r="AC48"/>
  <c r="AC43"/>
  <c r="AC39"/>
  <c r="AC32"/>
  <c r="AC16"/>
  <c r="AC14"/>
  <c r="AC12"/>
  <c r="AC10"/>
  <c r="Y133"/>
  <c r="Y128"/>
  <c r="Y123"/>
  <c r="Y117"/>
  <c r="Y105"/>
  <c r="Y100"/>
  <c r="Y91"/>
  <c r="Y83"/>
  <c r="Y75"/>
  <c r="Y68"/>
  <c r="Y62"/>
  <c r="Y54"/>
  <c r="Y48"/>
  <c r="Y43"/>
  <c r="Y39"/>
  <c r="Y32"/>
  <c r="Y16"/>
  <c r="Y14"/>
  <c r="Y12"/>
  <c r="Y10"/>
  <c r="P133"/>
  <c r="T133" s="1"/>
  <c r="O133"/>
  <c r="S133" s="1"/>
  <c r="N133"/>
  <c r="Q133" s="1"/>
  <c r="P128"/>
  <c r="T128" s="1"/>
  <c r="O128"/>
  <c r="S128" s="1"/>
  <c r="N128"/>
  <c r="Q128" s="1"/>
  <c r="P123"/>
  <c r="T123" s="1"/>
  <c r="O123"/>
  <c r="S123" s="1"/>
  <c r="N123"/>
  <c r="Q123" s="1"/>
  <c r="P117"/>
  <c r="T117" s="1"/>
  <c r="O117"/>
  <c r="S117" s="1"/>
  <c r="N117"/>
  <c r="P105"/>
  <c r="T105" s="1"/>
  <c r="O105"/>
  <c r="S105" s="1"/>
  <c r="N105"/>
  <c r="P100"/>
  <c r="T100" s="1"/>
  <c r="O100"/>
  <c r="S100" s="1"/>
  <c r="N100"/>
  <c r="Q100" s="1"/>
  <c r="P91"/>
  <c r="T91" s="1"/>
  <c r="O91"/>
  <c r="S91" s="1"/>
  <c r="N91"/>
  <c r="Q91" s="1"/>
  <c r="P83"/>
  <c r="T83" s="1"/>
  <c r="O83"/>
  <c r="S83" s="1"/>
  <c r="N83"/>
  <c r="Q83" s="1"/>
  <c r="P75"/>
  <c r="T75" s="1"/>
  <c r="O75"/>
  <c r="S75" s="1"/>
  <c r="N75"/>
  <c r="Q75" s="1"/>
  <c r="P68"/>
  <c r="T68" s="1"/>
  <c r="O68"/>
  <c r="S68" s="1"/>
  <c r="N68"/>
  <c r="Q68" s="1"/>
  <c r="P62"/>
  <c r="T62" s="1"/>
  <c r="O62"/>
  <c r="S62" s="1"/>
  <c r="N62"/>
  <c r="Q62" s="1"/>
  <c r="P54"/>
  <c r="T54" s="1"/>
  <c r="O54"/>
  <c r="S54" s="1"/>
  <c r="N54"/>
  <c r="Q54" s="1"/>
  <c r="P48"/>
  <c r="T48" s="1"/>
  <c r="O48"/>
  <c r="S48" s="1"/>
  <c r="N48"/>
  <c r="Q48" s="1"/>
  <c r="P43"/>
  <c r="T43" s="1"/>
  <c r="O43"/>
  <c r="S43" s="1"/>
  <c r="N43"/>
  <c r="Q43" s="1"/>
  <c r="P39"/>
  <c r="T39" s="1"/>
  <c r="O39"/>
  <c r="S39" s="1"/>
  <c r="N39"/>
  <c r="Q39" s="1"/>
  <c r="P32"/>
  <c r="T32" s="1"/>
  <c r="O32"/>
  <c r="S32" s="1"/>
  <c r="N32"/>
  <c r="Q32" s="1"/>
  <c r="P16"/>
  <c r="T16" s="1"/>
  <c r="O16"/>
  <c r="S16" s="1"/>
  <c r="N16"/>
  <c r="Q16" s="1"/>
  <c r="P14"/>
  <c r="T14" s="1"/>
  <c r="O14"/>
  <c r="S14" s="1"/>
  <c r="N14"/>
  <c r="Q14" s="1"/>
  <c r="P12"/>
  <c r="T12" s="1"/>
  <c r="O12"/>
  <c r="S12" s="1"/>
  <c r="N12"/>
  <c r="Q12" s="1"/>
  <c r="P10"/>
  <c r="T10" s="1"/>
  <c r="O10"/>
  <c r="S10" s="1"/>
  <c r="N10"/>
  <c r="Q10" s="1"/>
  <c r="M133"/>
  <c r="M128"/>
  <c r="M123"/>
  <c r="M117"/>
  <c r="M105"/>
  <c r="M100"/>
  <c r="M91"/>
  <c r="M83"/>
  <c r="M75"/>
  <c r="M68"/>
  <c r="M62"/>
  <c r="M54"/>
  <c r="M48"/>
  <c r="M43"/>
  <c r="M39"/>
  <c r="M32"/>
  <c r="M16"/>
  <c r="M14"/>
  <c r="M12"/>
  <c r="M10"/>
  <c r="I133"/>
  <c r="I128"/>
  <c r="I123"/>
  <c r="I117"/>
  <c r="I105"/>
  <c r="I100"/>
  <c r="I91"/>
  <c r="I83"/>
  <c r="I75"/>
  <c r="I68"/>
  <c r="I62"/>
  <c r="I54"/>
  <c r="I48"/>
  <c r="I43"/>
  <c r="I39"/>
  <c r="I32"/>
  <c r="I16"/>
  <c r="I14"/>
  <c r="I12"/>
  <c r="I10"/>
  <c r="E133"/>
  <c r="E128"/>
  <c r="E123"/>
  <c r="E117"/>
  <c r="E105"/>
  <c r="E100"/>
  <c r="E91"/>
  <c r="E83"/>
  <c r="E75"/>
  <c r="E68"/>
  <c r="E62"/>
  <c r="E54"/>
  <c r="E48"/>
  <c r="E43"/>
  <c r="E39"/>
  <c r="E32"/>
  <c r="E16"/>
  <c r="E14"/>
  <c r="E12"/>
  <c r="E10"/>
  <c r="L137"/>
  <c r="L38" i="31" s="1"/>
  <c r="K137" i="23"/>
  <c r="K38" i="31" s="1"/>
  <c r="J137" i="23"/>
  <c r="D137"/>
  <c r="D38" i="31" s="1"/>
  <c r="C137" i="23"/>
  <c r="C38" i="31" s="1"/>
  <c r="E38" s="1"/>
  <c r="L136" i="23"/>
  <c r="L37" i="31" s="1"/>
  <c r="K136" i="23"/>
  <c r="K37" i="31" s="1"/>
  <c r="J136" i="23"/>
  <c r="D136"/>
  <c r="D37" i="31" s="1"/>
  <c r="C136" i="23"/>
  <c r="C37" i="31" s="1"/>
  <c r="L132" i="23"/>
  <c r="L33" i="31" s="1"/>
  <c r="K132" i="23"/>
  <c r="K33" i="31" s="1"/>
  <c r="J132" i="23"/>
  <c r="D132"/>
  <c r="D33" i="31" s="1"/>
  <c r="C132" i="23"/>
  <c r="C33" i="31" s="1"/>
  <c r="L131" i="23"/>
  <c r="L32" i="31" s="1"/>
  <c r="K131" i="23"/>
  <c r="K32" i="31" s="1"/>
  <c r="J131" i="23"/>
  <c r="D131"/>
  <c r="D32" i="31" s="1"/>
  <c r="C131" i="23"/>
  <c r="C32" i="31" s="1"/>
  <c r="L127" i="23"/>
  <c r="L28" i="31" s="1"/>
  <c r="K127" i="23"/>
  <c r="K28" i="31" s="1"/>
  <c r="J127" i="23"/>
  <c r="D127"/>
  <c r="D28" i="31" s="1"/>
  <c r="C127" i="23"/>
  <c r="C28" i="31" s="1"/>
  <c r="E28" s="1"/>
  <c r="L126" i="23"/>
  <c r="L27" i="31" s="1"/>
  <c r="K126" i="23"/>
  <c r="K27" i="31" s="1"/>
  <c r="J126" i="23"/>
  <c r="D126"/>
  <c r="D27" i="31" s="1"/>
  <c r="C126" i="23"/>
  <c r="C27" i="31" s="1"/>
  <c r="L122" i="23"/>
  <c r="L23" i="31" s="1"/>
  <c r="K122" i="23"/>
  <c r="K23" i="31" s="1"/>
  <c r="J122" i="23"/>
  <c r="D122"/>
  <c r="D23" i="31" s="1"/>
  <c r="C122" i="23"/>
  <c r="C23" i="31" s="1"/>
  <c r="E23" s="1"/>
  <c r="L121" i="23"/>
  <c r="L22" i="31" s="1"/>
  <c r="K121" i="23"/>
  <c r="K22" i="31" s="1"/>
  <c r="J121" i="23"/>
  <c r="D121"/>
  <c r="D22" i="31" s="1"/>
  <c r="C121" i="23"/>
  <c r="C22" i="31" s="1"/>
  <c r="L120" i="23"/>
  <c r="L21" i="31" s="1"/>
  <c r="K120" i="23"/>
  <c r="K21" i="31" s="1"/>
  <c r="J120" i="23"/>
  <c r="D120"/>
  <c r="D21" i="31" s="1"/>
  <c r="C120" i="23"/>
  <c r="C21" i="31" s="1"/>
  <c r="E21" s="1"/>
  <c r="L116" i="23"/>
  <c r="L17" i="31" s="1"/>
  <c r="K116" i="23"/>
  <c r="K17" i="31" s="1"/>
  <c r="J116" i="23"/>
  <c r="D116"/>
  <c r="D17" i="31" s="1"/>
  <c r="C116" i="23"/>
  <c r="C17" i="31" s="1"/>
  <c r="L115" i="23"/>
  <c r="L16" i="31" s="1"/>
  <c r="K115" i="23"/>
  <c r="K16" i="31" s="1"/>
  <c r="J115" i="23"/>
  <c r="D115"/>
  <c r="D16" i="31" s="1"/>
  <c r="C115" i="23"/>
  <c r="C16" i="31" s="1"/>
  <c r="L114" i="23"/>
  <c r="L15" i="31" s="1"/>
  <c r="K114" i="23"/>
  <c r="K15" i="31" s="1"/>
  <c r="J114" i="23"/>
  <c r="D114"/>
  <c r="D15" i="31" s="1"/>
  <c r="C114" i="23"/>
  <c r="C15" i="31" s="1"/>
  <c r="L113" i="23"/>
  <c r="L14" i="31" s="1"/>
  <c r="K113" i="23"/>
  <c r="K14" i="31" s="1"/>
  <c r="J113" i="23"/>
  <c r="D113"/>
  <c r="D14" i="31" s="1"/>
  <c r="C113" i="23"/>
  <c r="C14" i="31" s="1"/>
  <c r="L112" i="23"/>
  <c r="L13" i="31" s="1"/>
  <c r="K112" i="23"/>
  <c r="K13" i="31" s="1"/>
  <c r="J112" i="23"/>
  <c r="D112"/>
  <c r="D13" i="31" s="1"/>
  <c r="C112" i="23"/>
  <c r="C13" i="31" s="1"/>
  <c r="L111" i="23"/>
  <c r="L12" i="31" s="1"/>
  <c r="K111" i="23"/>
  <c r="K12" i="31" s="1"/>
  <c r="J111" i="23"/>
  <c r="D111"/>
  <c r="D12" i="31" s="1"/>
  <c r="C111" i="23"/>
  <c r="C12" i="31" s="1"/>
  <c r="L110" i="23"/>
  <c r="L11" i="31" s="1"/>
  <c r="K110" i="23"/>
  <c r="K11" i="31" s="1"/>
  <c r="J110" i="23"/>
  <c r="D110"/>
  <c r="D11" i="31" s="1"/>
  <c r="C110" i="23"/>
  <c r="C11" i="31" s="1"/>
  <c r="L109" i="23"/>
  <c r="L10" i="31" s="1"/>
  <c r="K109" i="23"/>
  <c r="K10" i="31" s="1"/>
  <c r="J109" i="23"/>
  <c r="D109"/>
  <c r="D10" i="31" s="1"/>
  <c r="C109" i="23"/>
  <c r="C10" i="31" s="1"/>
  <c r="L104" i="23"/>
  <c r="L27" i="30" s="1"/>
  <c r="K104" i="23"/>
  <c r="K27" i="30" s="1"/>
  <c r="J104" i="23"/>
  <c r="D104"/>
  <c r="D27" i="30" s="1"/>
  <c r="C104" i="23"/>
  <c r="C27" i="30" s="1"/>
  <c r="L103" i="23"/>
  <c r="L26" i="30" s="1"/>
  <c r="K103" i="23"/>
  <c r="K26" i="30" s="1"/>
  <c r="J103" i="23"/>
  <c r="D103"/>
  <c r="D26" i="30" s="1"/>
  <c r="C103" i="23"/>
  <c r="C26" i="30" s="1"/>
  <c r="L99" i="23"/>
  <c r="L22" i="30" s="1"/>
  <c r="K99" i="23"/>
  <c r="K22" i="30" s="1"/>
  <c r="J99" i="23"/>
  <c r="D99"/>
  <c r="D22" i="30" s="1"/>
  <c r="C99" i="23"/>
  <c r="C22" i="30" s="1"/>
  <c r="L98" i="23"/>
  <c r="L21" i="30" s="1"/>
  <c r="K98" i="23"/>
  <c r="K21" i="30" s="1"/>
  <c r="J98" i="23"/>
  <c r="D98"/>
  <c r="D21" i="30" s="1"/>
  <c r="C98" i="23"/>
  <c r="C21" i="30" s="1"/>
  <c r="L97" i="23"/>
  <c r="L20" i="30" s="1"/>
  <c r="K97" i="23"/>
  <c r="K20" i="30" s="1"/>
  <c r="J97" i="23"/>
  <c r="D97"/>
  <c r="D20" i="30" s="1"/>
  <c r="C97" i="23"/>
  <c r="C20" i="30" s="1"/>
  <c r="L96" i="23"/>
  <c r="L19" i="30" s="1"/>
  <c r="K96" i="23"/>
  <c r="K19" i="30" s="1"/>
  <c r="J96" i="23"/>
  <c r="D96"/>
  <c r="D19" i="30" s="1"/>
  <c r="C96" i="23"/>
  <c r="C19" i="30" s="1"/>
  <c r="L95" i="23"/>
  <c r="L18" i="30" s="1"/>
  <c r="K95" i="23"/>
  <c r="K18" i="30" s="1"/>
  <c r="J95" i="23"/>
  <c r="D95"/>
  <c r="D18" i="30" s="1"/>
  <c r="C95" i="23"/>
  <c r="C18" i="30" s="1"/>
  <c r="L94" i="23"/>
  <c r="L17" i="30" s="1"/>
  <c r="K94" i="23"/>
  <c r="K17" i="30" s="1"/>
  <c r="J94" i="23"/>
  <c r="D94"/>
  <c r="D17" i="30" s="1"/>
  <c r="C94" i="23"/>
  <c r="C17" i="30" s="1"/>
  <c r="X90" i="23"/>
  <c r="X13" i="30" s="1"/>
  <c r="L90" i="23"/>
  <c r="L13" i="30" s="1"/>
  <c r="K90" i="23"/>
  <c r="K13" i="30" s="1"/>
  <c r="J90" i="23"/>
  <c r="D90"/>
  <c r="D13" i="30" s="1"/>
  <c r="C90" i="23"/>
  <c r="C13" i="30" s="1"/>
  <c r="E13" s="1"/>
  <c r="L89" i="23"/>
  <c r="L12" i="30" s="1"/>
  <c r="K89" i="23"/>
  <c r="K12" i="30" s="1"/>
  <c r="J89" i="23"/>
  <c r="D89"/>
  <c r="D12" i="30" s="1"/>
  <c r="C89" i="23"/>
  <c r="C12" i="30" s="1"/>
  <c r="L88" i="23"/>
  <c r="L11" i="30" s="1"/>
  <c r="K88" i="23"/>
  <c r="K11" i="30" s="1"/>
  <c r="J88" i="23"/>
  <c r="D88"/>
  <c r="D11" i="30" s="1"/>
  <c r="C88" i="23"/>
  <c r="C11" i="30" s="1"/>
  <c r="E11" s="1"/>
  <c r="L87" i="23"/>
  <c r="L10" i="30" s="1"/>
  <c r="K87" i="23"/>
  <c r="K10" i="30" s="1"/>
  <c r="J87" i="23"/>
  <c r="D87"/>
  <c r="D10" i="30" s="1"/>
  <c r="C87" i="23"/>
  <c r="C10" i="30" s="1"/>
  <c r="L82" i="23"/>
  <c r="L34" i="28" s="1"/>
  <c r="J82" i="23"/>
  <c r="D82"/>
  <c r="D34" i="28" s="1"/>
  <c r="C82" i="23"/>
  <c r="C34" i="28" s="1"/>
  <c r="E34" s="1"/>
  <c r="L81" i="23"/>
  <c r="L33" i="28" s="1"/>
  <c r="K81" i="23"/>
  <c r="K33" i="28" s="1"/>
  <c r="J81" i="23"/>
  <c r="D81"/>
  <c r="D33" i="28" s="1"/>
  <c r="C81" i="23"/>
  <c r="C33" i="28" s="1"/>
  <c r="L80" i="23"/>
  <c r="L32" i="28" s="1"/>
  <c r="J80" i="23"/>
  <c r="D80"/>
  <c r="D32" i="28" s="1"/>
  <c r="C80" i="23"/>
  <c r="C32" i="28" s="1"/>
  <c r="L79" i="23"/>
  <c r="L31" i="28" s="1"/>
  <c r="K79" i="23"/>
  <c r="K31" i="28" s="1"/>
  <c r="J79" i="23"/>
  <c r="D79"/>
  <c r="D31" i="28" s="1"/>
  <c r="C79" i="23"/>
  <c r="C31" i="28" s="1"/>
  <c r="L78" i="23"/>
  <c r="L30" i="28" s="1"/>
  <c r="J78" i="23"/>
  <c r="D78"/>
  <c r="D30" i="28" s="1"/>
  <c r="C78" i="23"/>
  <c r="C30" i="28" s="1"/>
  <c r="L74" i="23"/>
  <c r="L26" i="28" s="1"/>
  <c r="K74" i="23"/>
  <c r="K26" i="28" s="1"/>
  <c r="J74" i="23"/>
  <c r="D74"/>
  <c r="D26" i="28" s="1"/>
  <c r="C74" i="23"/>
  <c r="C26" i="28" s="1"/>
  <c r="L73" i="23"/>
  <c r="L25" i="28" s="1"/>
  <c r="K73" i="23"/>
  <c r="K25" i="28" s="1"/>
  <c r="J73" i="23"/>
  <c r="D73"/>
  <c r="D25" i="28" s="1"/>
  <c r="C73" i="23"/>
  <c r="C25" i="28" s="1"/>
  <c r="E25" s="1"/>
  <c r="L72" i="23"/>
  <c r="L24" i="28" s="1"/>
  <c r="K72" i="23"/>
  <c r="K24" i="28" s="1"/>
  <c r="J72" i="23"/>
  <c r="D72"/>
  <c r="D24" i="28" s="1"/>
  <c r="C72" i="23"/>
  <c r="C24" i="28" s="1"/>
  <c r="L71" i="23"/>
  <c r="L23" i="28" s="1"/>
  <c r="K71" i="23"/>
  <c r="K23" i="28" s="1"/>
  <c r="J71" i="23"/>
  <c r="D71"/>
  <c r="D23" i="28" s="1"/>
  <c r="C71" i="23"/>
  <c r="C23" i="28" s="1"/>
  <c r="L67" i="23"/>
  <c r="L19" i="28" s="1"/>
  <c r="K67" i="23"/>
  <c r="K19" i="28" s="1"/>
  <c r="J67" i="23"/>
  <c r="D67"/>
  <c r="D19" i="28" s="1"/>
  <c r="C67" i="23"/>
  <c r="C19" i="28" s="1"/>
  <c r="L66" i="23"/>
  <c r="L18" i="28" s="1"/>
  <c r="K66" i="23"/>
  <c r="K18" i="28" s="1"/>
  <c r="J66" i="23"/>
  <c r="D66"/>
  <c r="D18" i="28" s="1"/>
  <c r="L65" i="23"/>
  <c r="L17" i="28" s="1"/>
  <c r="K65" i="23"/>
  <c r="K17" i="28" s="1"/>
  <c r="J65" i="23"/>
  <c r="D65"/>
  <c r="D17" i="28" s="1"/>
  <c r="C65" i="23"/>
  <c r="C17" i="28" s="1"/>
  <c r="E17" s="1"/>
  <c r="L61" i="23"/>
  <c r="L13" i="28" s="1"/>
  <c r="K61" i="23"/>
  <c r="K13" i="28" s="1"/>
  <c r="J61" i="23"/>
  <c r="D61"/>
  <c r="D13" i="28" s="1"/>
  <c r="C61" i="23"/>
  <c r="C13" i="28" s="1"/>
  <c r="L60" i="23"/>
  <c r="L12" i="28" s="1"/>
  <c r="K60" i="23"/>
  <c r="K12" i="28" s="1"/>
  <c r="J60" i="23"/>
  <c r="D60"/>
  <c r="D12" i="28" s="1"/>
  <c r="C60" i="23"/>
  <c r="C12" i="28" s="1"/>
  <c r="E12" s="1"/>
  <c r="L59" i="23"/>
  <c r="L11" i="28" s="1"/>
  <c r="K59" i="23"/>
  <c r="K11" i="28" s="1"/>
  <c r="J59" i="23"/>
  <c r="D59"/>
  <c r="D11" i="28" s="1"/>
  <c r="C59" i="23"/>
  <c r="C11" i="28" s="1"/>
  <c r="L58" i="23"/>
  <c r="L10" i="28" s="1"/>
  <c r="K58" i="23"/>
  <c r="K10" i="28" s="1"/>
  <c r="J58" i="23"/>
  <c r="D58"/>
  <c r="D10" i="28" s="1"/>
  <c r="C58" i="23"/>
  <c r="C10" i="28" s="1"/>
  <c r="L53" i="23"/>
  <c r="L42" i="29" s="1"/>
  <c r="K53" i="23"/>
  <c r="K42" i="29" s="1"/>
  <c r="J53" i="23"/>
  <c r="D53"/>
  <c r="D42" i="29" s="1"/>
  <c r="C53" i="23"/>
  <c r="C42" i="29" s="1"/>
  <c r="L52" i="23"/>
  <c r="L41" i="29" s="1"/>
  <c r="K52" i="23"/>
  <c r="K41" i="29" s="1"/>
  <c r="J52" i="23"/>
  <c r="D52"/>
  <c r="D41" i="29" s="1"/>
  <c r="C52" i="23"/>
  <c r="C41" i="29" s="1"/>
  <c r="L51" i="23"/>
  <c r="L40" i="29" s="1"/>
  <c r="K51" i="23"/>
  <c r="K40" i="29" s="1"/>
  <c r="J51" i="23"/>
  <c r="D51"/>
  <c r="D40" i="29" s="1"/>
  <c r="C51" i="23"/>
  <c r="C40" i="29" s="1"/>
  <c r="L47" i="23"/>
  <c r="L36" i="29" s="1"/>
  <c r="K47" i="23"/>
  <c r="K36" i="29" s="1"/>
  <c r="J47" i="23"/>
  <c r="D47"/>
  <c r="D36" i="29" s="1"/>
  <c r="C47" i="23"/>
  <c r="C36" i="29" s="1"/>
  <c r="L46" i="23"/>
  <c r="L35" i="29" s="1"/>
  <c r="K46" i="23"/>
  <c r="K35" i="29" s="1"/>
  <c r="J46" i="23"/>
  <c r="D46"/>
  <c r="D35" i="29" s="1"/>
  <c r="C46" i="23"/>
  <c r="C35" i="29" s="1"/>
  <c r="L42" i="23"/>
  <c r="L31" i="29" s="1"/>
  <c r="K42" i="23"/>
  <c r="K31" i="29" s="1"/>
  <c r="J42" i="23"/>
  <c r="D42"/>
  <c r="D31" i="29" s="1"/>
  <c r="C42" i="23"/>
  <c r="C31" i="29" s="1"/>
  <c r="L38" i="23"/>
  <c r="L27" i="29" s="1"/>
  <c r="K38" i="23"/>
  <c r="K27" i="29" s="1"/>
  <c r="J38" i="23"/>
  <c r="D38"/>
  <c r="D27" i="29" s="1"/>
  <c r="C38" i="23"/>
  <c r="C27" i="29" s="1"/>
  <c r="E27" s="1"/>
  <c r="L37" i="23"/>
  <c r="L26" i="29" s="1"/>
  <c r="K37" i="23"/>
  <c r="K26" i="29" s="1"/>
  <c r="J37" i="23"/>
  <c r="D37"/>
  <c r="D26" i="29" s="1"/>
  <c r="C37" i="23"/>
  <c r="C26" i="29" s="1"/>
  <c r="L36" i="23"/>
  <c r="L25" i="29" s="1"/>
  <c r="K36" i="23"/>
  <c r="K25" i="29" s="1"/>
  <c r="J36" i="23"/>
  <c r="D36"/>
  <c r="D25" i="29" s="1"/>
  <c r="C36" i="23"/>
  <c r="C25" i="29" s="1"/>
  <c r="E25" s="1"/>
  <c r="L35" i="23"/>
  <c r="L24" i="29" s="1"/>
  <c r="K35" i="23"/>
  <c r="K24" i="29" s="1"/>
  <c r="J35" i="23"/>
  <c r="D35"/>
  <c r="D24" i="29" s="1"/>
  <c r="C35" i="23"/>
  <c r="C24" i="29" s="1"/>
  <c r="L31" i="23"/>
  <c r="L20" i="29" s="1"/>
  <c r="K31" i="23"/>
  <c r="K20" i="29" s="1"/>
  <c r="J31" i="23"/>
  <c r="D31"/>
  <c r="D20" i="29" s="1"/>
  <c r="C31" i="23"/>
  <c r="C20" i="29" s="1"/>
  <c r="E20" s="1"/>
  <c r="L30" i="23"/>
  <c r="L19" i="29" s="1"/>
  <c r="K30" i="23"/>
  <c r="K19" i="29" s="1"/>
  <c r="J30" i="23"/>
  <c r="D30"/>
  <c r="D19" i="29" s="1"/>
  <c r="C30" i="23"/>
  <c r="C19" i="29" s="1"/>
  <c r="L29" i="23"/>
  <c r="L18" i="29" s="1"/>
  <c r="K29" i="23"/>
  <c r="K18" i="29" s="1"/>
  <c r="J29" i="23"/>
  <c r="D29"/>
  <c r="D18" i="29" s="1"/>
  <c r="C29" i="23"/>
  <c r="C18" i="29" s="1"/>
  <c r="L28" i="23"/>
  <c r="L17" i="29" s="1"/>
  <c r="K28" i="23"/>
  <c r="K17" i="29" s="1"/>
  <c r="J28" i="23"/>
  <c r="D28"/>
  <c r="D17" i="29" s="1"/>
  <c r="C28" i="23"/>
  <c r="C17" i="29" s="1"/>
  <c r="L27" i="23"/>
  <c r="L16" i="29" s="1"/>
  <c r="K27" i="23"/>
  <c r="K16" i="29" s="1"/>
  <c r="J27" i="23"/>
  <c r="D27"/>
  <c r="D16" i="29" s="1"/>
  <c r="C27" i="23"/>
  <c r="C16" i="29" s="1"/>
  <c r="L26" i="23"/>
  <c r="L15" i="29" s="1"/>
  <c r="K26" i="23"/>
  <c r="K15" i="29" s="1"/>
  <c r="J26" i="23"/>
  <c r="D26"/>
  <c r="D15" i="29" s="1"/>
  <c r="C26" i="23"/>
  <c r="C15" i="29" s="1"/>
  <c r="L25" i="23"/>
  <c r="L14" i="29" s="1"/>
  <c r="K25" i="23"/>
  <c r="K14" i="29" s="1"/>
  <c r="J25" i="23"/>
  <c r="D25"/>
  <c r="D14" i="29" s="1"/>
  <c r="C25" i="23"/>
  <c r="C14" i="29" s="1"/>
  <c r="L24" i="23"/>
  <c r="L13" i="29" s="1"/>
  <c r="K24" i="23"/>
  <c r="K13" i="29" s="1"/>
  <c r="J24" i="23"/>
  <c r="D24"/>
  <c r="D13" i="29" s="1"/>
  <c r="C24" i="23"/>
  <c r="C13" i="29" s="1"/>
  <c r="L23" i="23"/>
  <c r="L12" i="29" s="1"/>
  <c r="K23" i="23"/>
  <c r="K12" i="29" s="1"/>
  <c r="J23" i="23"/>
  <c r="D23"/>
  <c r="D12" i="29" s="1"/>
  <c r="C23" i="23"/>
  <c r="C12" i="29" s="1"/>
  <c r="L22" i="23"/>
  <c r="L11" i="29" s="1"/>
  <c r="K22" i="23"/>
  <c r="K11" i="29" s="1"/>
  <c r="J22" i="23"/>
  <c r="D22"/>
  <c r="D11" i="29" s="1"/>
  <c r="C22" i="23"/>
  <c r="C11" i="29" s="1"/>
  <c r="L21" i="23"/>
  <c r="L10" i="29" s="1"/>
  <c r="K21" i="23"/>
  <c r="K10" i="29" s="1"/>
  <c r="J21" i="23"/>
  <c r="D21"/>
  <c r="D10" i="29" s="1"/>
  <c r="C21" i="23"/>
  <c r="C10" i="29" s="1"/>
  <c r="L20" i="23"/>
  <c r="K20"/>
  <c r="J20"/>
  <c r="J9" i="29" s="1"/>
  <c r="D20" i="23"/>
  <c r="D9" i="29" s="1"/>
  <c r="C20" i="23"/>
  <c r="C9" i="29" s="1"/>
  <c r="AZ133" i="22"/>
  <c r="AY133"/>
  <c r="AX133"/>
  <c r="BA133" s="1"/>
  <c r="AV133"/>
  <c r="AU133"/>
  <c r="AT133"/>
  <c r="AZ128"/>
  <c r="AY128"/>
  <c r="AX128"/>
  <c r="AV128"/>
  <c r="AU128"/>
  <c r="AT128"/>
  <c r="AZ123"/>
  <c r="AY123"/>
  <c r="AX123"/>
  <c r="AV123"/>
  <c r="AU123"/>
  <c r="AT123"/>
  <c r="AZ117"/>
  <c r="AY117"/>
  <c r="AX117"/>
  <c r="BA117" s="1"/>
  <c r="AV117"/>
  <c r="AU117"/>
  <c r="AT117"/>
  <c r="AV105"/>
  <c r="AU105"/>
  <c r="AT105"/>
  <c r="AZ100"/>
  <c r="AY100"/>
  <c r="AX100"/>
  <c r="AV100"/>
  <c r="AU100"/>
  <c r="AT100"/>
  <c r="AZ91"/>
  <c r="AY91"/>
  <c r="AX91"/>
  <c r="AV91"/>
  <c r="AU91"/>
  <c r="AT91"/>
  <c r="AV83"/>
  <c r="AU83"/>
  <c r="AT83"/>
  <c r="AZ75"/>
  <c r="AY75"/>
  <c r="AX75"/>
  <c r="AV75"/>
  <c r="AU75"/>
  <c r="AT75"/>
  <c r="AZ68"/>
  <c r="AY68"/>
  <c r="AX68"/>
  <c r="BA68" s="1"/>
  <c r="AV68"/>
  <c r="AU68"/>
  <c r="AT68"/>
  <c r="AZ62"/>
  <c r="AY62"/>
  <c r="AX62"/>
  <c r="AV62"/>
  <c r="AU62"/>
  <c r="AT62"/>
  <c r="AV54"/>
  <c r="AU54"/>
  <c r="AT54"/>
  <c r="AZ48"/>
  <c r="AY48"/>
  <c r="AX48"/>
  <c r="BA48" s="1"/>
  <c r="AV48"/>
  <c r="AU48"/>
  <c r="AT48"/>
  <c r="AZ43"/>
  <c r="AY43"/>
  <c r="AX43"/>
  <c r="AV43"/>
  <c r="AU43"/>
  <c r="AT43"/>
  <c r="AZ39"/>
  <c r="AY39"/>
  <c r="AX39"/>
  <c r="BA39" s="1"/>
  <c r="AV39"/>
  <c r="AU39"/>
  <c r="AT39"/>
  <c r="AZ32"/>
  <c r="AY32"/>
  <c r="AX32"/>
  <c r="AV32"/>
  <c r="AU32"/>
  <c r="AT32"/>
  <c r="AZ12"/>
  <c r="AY12"/>
  <c r="AX12"/>
  <c r="AV12"/>
  <c r="AU12"/>
  <c r="AT12"/>
  <c r="AZ10"/>
  <c r="AY10"/>
  <c r="AX10"/>
  <c r="BA10" s="1"/>
  <c r="AV10"/>
  <c r="AU10"/>
  <c r="AT10"/>
  <c r="AR133"/>
  <c r="AQ133"/>
  <c r="AP133"/>
  <c r="AR128"/>
  <c r="AQ128"/>
  <c r="AP128"/>
  <c r="AR123"/>
  <c r="AQ123"/>
  <c r="AP123"/>
  <c r="AR117"/>
  <c r="AQ117"/>
  <c r="AP117"/>
  <c r="AR105"/>
  <c r="AQ105"/>
  <c r="AP105"/>
  <c r="AR100"/>
  <c r="AQ100"/>
  <c r="AP100"/>
  <c r="AR91"/>
  <c r="AQ91"/>
  <c r="AP91"/>
  <c r="AR83"/>
  <c r="AQ83"/>
  <c r="AP83"/>
  <c r="AR75"/>
  <c r="AQ75"/>
  <c r="AP75"/>
  <c r="AR68"/>
  <c r="AQ68"/>
  <c r="AS68" s="1"/>
  <c r="AP68"/>
  <c r="AR62"/>
  <c r="AQ62"/>
  <c r="AP62"/>
  <c r="AR54"/>
  <c r="AQ54"/>
  <c r="AP54"/>
  <c r="AR48"/>
  <c r="AQ48"/>
  <c r="AP48"/>
  <c r="AR43"/>
  <c r="AQ43"/>
  <c r="AP43"/>
  <c r="AR39"/>
  <c r="AQ39"/>
  <c r="AP39"/>
  <c r="AR32"/>
  <c r="AQ32"/>
  <c r="AS32" s="1"/>
  <c r="AP32"/>
  <c r="AR12"/>
  <c r="AQ12"/>
  <c r="AS12" s="1"/>
  <c r="AP12"/>
  <c r="AR10"/>
  <c r="AQ10"/>
  <c r="AP10"/>
  <c r="AS123"/>
  <c r="AS105"/>
  <c r="AS100"/>
  <c r="AS83"/>
  <c r="AS75"/>
  <c r="AS62"/>
  <c r="AS54"/>
  <c r="AS43"/>
  <c r="AS39"/>
  <c r="AO133"/>
  <c r="AO128"/>
  <c r="AO123"/>
  <c r="AO117"/>
  <c r="AO105"/>
  <c r="AO100"/>
  <c r="AO91"/>
  <c r="AO83"/>
  <c r="AO75"/>
  <c r="AO68"/>
  <c r="AO62"/>
  <c r="AO54"/>
  <c r="AO48"/>
  <c r="AO43"/>
  <c r="AO39"/>
  <c r="AO32"/>
  <c r="AO14"/>
  <c r="AO12"/>
  <c r="AO10"/>
  <c r="AC133"/>
  <c r="AW133" s="1"/>
  <c r="AC128"/>
  <c r="AW128" s="1"/>
  <c r="AC123"/>
  <c r="AW123" s="1"/>
  <c r="AC117"/>
  <c r="AW117" s="1"/>
  <c r="AC105"/>
  <c r="AW105" s="1"/>
  <c r="AC100"/>
  <c r="AW100" s="1"/>
  <c r="AC91"/>
  <c r="AW91" s="1"/>
  <c r="AC83"/>
  <c r="AW83" s="1"/>
  <c r="AC75"/>
  <c r="AW75" s="1"/>
  <c r="AC68"/>
  <c r="AW68" s="1"/>
  <c r="AC62"/>
  <c r="AW62" s="1"/>
  <c r="AC54"/>
  <c r="AW54" s="1"/>
  <c r="AC48"/>
  <c r="AW48" s="1"/>
  <c r="AC43"/>
  <c r="AW43" s="1"/>
  <c r="AC39"/>
  <c r="AW39" s="1"/>
  <c r="AC32"/>
  <c r="AW32" s="1"/>
  <c r="AC12"/>
  <c r="AW12" s="1"/>
  <c r="AC10"/>
  <c r="AW10" s="1"/>
  <c r="Y133"/>
  <c r="Y128"/>
  <c r="Y123"/>
  <c r="Y117"/>
  <c r="Y105"/>
  <c r="Y100"/>
  <c r="Y91"/>
  <c r="Y83"/>
  <c r="Y75"/>
  <c r="Y68"/>
  <c r="Y62"/>
  <c r="Y54"/>
  <c r="Y48"/>
  <c r="Y43"/>
  <c r="Y39"/>
  <c r="Y32"/>
  <c r="Y14"/>
  <c r="Y12"/>
  <c r="Y10"/>
  <c r="Q133"/>
  <c r="Q128"/>
  <c r="Q123"/>
  <c r="Q117"/>
  <c r="Q105"/>
  <c r="Q100"/>
  <c r="Q91"/>
  <c r="Q83"/>
  <c r="Q75"/>
  <c r="Q68"/>
  <c r="Q62"/>
  <c r="Q54"/>
  <c r="Q48"/>
  <c r="Q43"/>
  <c r="Q39"/>
  <c r="Q32"/>
  <c r="Q14"/>
  <c r="Q12"/>
  <c r="Q10"/>
  <c r="E133"/>
  <c r="E128"/>
  <c r="E123"/>
  <c r="E117"/>
  <c r="E105"/>
  <c r="E100"/>
  <c r="E91"/>
  <c r="E83"/>
  <c r="E75"/>
  <c r="E68"/>
  <c r="E62"/>
  <c r="E54"/>
  <c r="E48"/>
  <c r="E43"/>
  <c r="E39"/>
  <c r="E32"/>
  <c r="E14"/>
  <c r="E12"/>
  <c r="E10"/>
  <c r="T135"/>
  <c r="S135"/>
  <c r="R135"/>
  <c r="P135"/>
  <c r="O135"/>
  <c r="N135"/>
  <c r="H135"/>
  <c r="G135"/>
  <c r="F135"/>
  <c r="D135"/>
  <c r="C135"/>
  <c r="B135"/>
  <c r="T130"/>
  <c r="S130"/>
  <c r="R130"/>
  <c r="P130"/>
  <c r="O130"/>
  <c r="N130"/>
  <c r="H130"/>
  <c r="G130"/>
  <c r="F130"/>
  <c r="D130"/>
  <c r="C130"/>
  <c r="B130"/>
  <c r="T125"/>
  <c r="S125"/>
  <c r="R125"/>
  <c r="P125"/>
  <c r="O125"/>
  <c r="N125"/>
  <c r="H125"/>
  <c r="G125"/>
  <c r="F125"/>
  <c r="D125"/>
  <c r="C125"/>
  <c r="B125"/>
  <c r="T119"/>
  <c r="S119"/>
  <c r="R119"/>
  <c r="P119"/>
  <c r="O119"/>
  <c r="N119"/>
  <c r="H119"/>
  <c r="G119"/>
  <c r="F119"/>
  <c r="D119"/>
  <c r="C119"/>
  <c r="B119"/>
  <c r="T108"/>
  <c r="S108"/>
  <c r="R108"/>
  <c r="P108"/>
  <c r="O108"/>
  <c r="N108"/>
  <c r="H108"/>
  <c r="G108"/>
  <c r="F108"/>
  <c r="D108"/>
  <c r="C108"/>
  <c r="B108"/>
  <c r="T102"/>
  <c r="T25" i="26" s="1"/>
  <c r="S102" i="22"/>
  <c r="R102"/>
  <c r="R25" i="26" s="1"/>
  <c r="P102" i="22"/>
  <c r="O102"/>
  <c r="O25" i="26" s="1"/>
  <c r="N102" i="22"/>
  <c r="H102"/>
  <c r="G102"/>
  <c r="F102"/>
  <c r="D102"/>
  <c r="C102"/>
  <c r="C25" i="26" s="1"/>
  <c r="B102" i="22"/>
  <c r="T93"/>
  <c r="T16" i="26" s="1"/>
  <c r="S93" i="22"/>
  <c r="R93"/>
  <c r="R16" i="26" s="1"/>
  <c r="P93" i="22"/>
  <c r="O93"/>
  <c r="O16" i="26" s="1"/>
  <c r="N93" i="22"/>
  <c r="H93"/>
  <c r="G93"/>
  <c r="F93"/>
  <c r="F16" i="26" s="1"/>
  <c r="D93" i="22"/>
  <c r="D16" i="26" s="1"/>
  <c r="C93" i="22"/>
  <c r="B93"/>
  <c r="B16" i="26" s="1"/>
  <c r="T86" i="22"/>
  <c r="T9" i="26" s="1"/>
  <c r="S86" i="22"/>
  <c r="R86"/>
  <c r="R9" i="26" s="1"/>
  <c r="P86" i="22"/>
  <c r="O86"/>
  <c r="O9" i="26" s="1"/>
  <c r="N86" i="22"/>
  <c r="H86"/>
  <c r="G86"/>
  <c r="F86"/>
  <c r="F9" i="26" s="1"/>
  <c r="D86" i="22"/>
  <c r="C86"/>
  <c r="B86"/>
  <c r="T77"/>
  <c r="S77"/>
  <c r="S29" i="25" s="1"/>
  <c r="R77" i="22"/>
  <c r="P77"/>
  <c r="O77"/>
  <c r="N77"/>
  <c r="H77"/>
  <c r="G77"/>
  <c r="F77"/>
  <c r="F29" i="25" s="1"/>
  <c r="D77" i="22"/>
  <c r="C77"/>
  <c r="B77"/>
  <c r="T70"/>
  <c r="T22" i="25" s="1"/>
  <c r="S70" i="22"/>
  <c r="R70"/>
  <c r="R22" i="25" s="1"/>
  <c r="P70" i="22"/>
  <c r="O70"/>
  <c r="O22" i="25" s="1"/>
  <c r="N70" i="22"/>
  <c r="H70"/>
  <c r="G70"/>
  <c r="G22" i="25" s="1"/>
  <c r="F70" i="22"/>
  <c r="D70"/>
  <c r="D22" i="25" s="1"/>
  <c r="C70" i="22"/>
  <c r="B70"/>
  <c r="B22" i="25" s="1"/>
  <c r="T64" i="22"/>
  <c r="T16" i="25" s="1"/>
  <c r="S64" i="22"/>
  <c r="R64"/>
  <c r="R16" i="25" s="1"/>
  <c r="P64" i="22"/>
  <c r="O64"/>
  <c r="O16" i="25" s="1"/>
  <c r="N64" i="22"/>
  <c r="H64"/>
  <c r="G64"/>
  <c r="G16" i="25" s="1"/>
  <c r="F64" i="22"/>
  <c r="D64"/>
  <c r="D16" i="25" s="1"/>
  <c r="C64" i="22"/>
  <c r="B64"/>
  <c r="B16" i="25" s="1"/>
  <c r="T57" i="22"/>
  <c r="T9" i="25" s="1"/>
  <c r="S57" i="22"/>
  <c r="R57"/>
  <c r="R9" i="25" s="1"/>
  <c r="P57" i="22"/>
  <c r="O57"/>
  <c r="O9" i="25" s="1"/>
  <c r="N57" i="22"/>
  <c r="H57"/>
  <c r="G57"/>
  <c r="G9" i="25" s="1"/>
  <c r="F57" i="22"/>
  <c r="D57"/>
  <c r="D9" i="25" s="1"/>
  <c r="C57" i="22"/>
  <c r="B57"/>
  <c r="B9" i="25" s="1"/>
  <c r="T50" i="22"/>
  <c r="T39" i="24" s="1"/>
  <c r="S50" i="22"/>
  <c r="R50"/>
  <c r="R39" i="24" s="1"/>
  <c r="P50" i="22"/>
  <c r="O50"/>
  <c r="N50"/>
  <c r="H50"/>
  <c r="G50"/>
  <c r="F50"/>
  <c r="D50"/>
  <c r="C50"/>
  <c r="B50"/>
  <c r="B39" i="24" s="1"/>
  <c r="T45" i="22"/>
  <c r="T34" i="24" s="1"/>
  <c r="S45" i="22"/>
  <c r="R45"/>
  <c r="R34" i="24" s="1"/>
  <c r="P45" i="22"/>
  <c r="O45"/>
  <c r="N45"/>
  <c r="N34" i="24" s="1"/>
  <c r="H45" i="22"/>
  <c r="G45"/>
  <c r="F45"/>
  <c r="D45"/>
  <c r="C45"/>
  <c r="B45"/>
  <c r="T41"/>
  <c r="S41"/>
  <c r="R41"/>
  <c r="P41"/>
  <c r="O41"/>
  <c r="O30" i="24" s="1"/>
  <c r="N41" i="22"/>
  <c r="H41"/>
  <c r="G41"/>
  <c r="F41"/>
  <c r="D41"/>
  <c r="C41"/>
  <c r="C30" i="24" s="1"/>
  <c r="B41" i="22"/>
  <c r="T34"/>
  <c r="T23" i="24" s="1"/>
  <c r="S34" i="22"/>
  <c r="S23" i="24" s="1"/>
  <c r="R34" i="22"/>
  <c r="R23" i="24" s="1"/>
  <c r="P34" i="22"/>
  <c r="P23" i="24" s="1"/>
  <c r="O34" i="22"/>
  <c r="O23" i="24" s="1"/>
  <c r="N34" i="22"/>
  <c r="H34"/>
  <c r="G34"/>
  <c r="F34"/>
  <c r="D34"/>
  <c r="D23" i="24" s="1"/>
  <c r="C34" i="22"/>
  <c r="C23" i="24" s="1"/>
  <c r="B34" i="22"/>
  <c r="B23" i="24" s="1"/>
  <c r="T137" i="22"/>
  <c r="T38" i="27" s="1"/>
  <c r="S137" i="22"/>
  <c r="S38" i="27" s="1"/>
  <c r="R137" i="22"/>
  <c r="P137"/>
  <c r="P38" i="27" s="1"/>
  <c r="O137" i="22"/>
  <c r="O38" i="27" s="1"/>
  <c r="N137" i="22"/>
  <c r="H137"/>
  <c r="H38" i="27" s="1"/>
  <c r="G137" i="22"/>
  <c r="G38" i="27" s="1"/>
  <c r="F137" i="22"/>
  <c r="D137"/>
  <c r="C137"/>
  <c r="B137"/>
  <c r="T136"/>
  <c r="T37" i="27" s="1"/>
  <c r="S136" i="22"/>
  <c r="S37" i="27" s="1"/>
  <c r="R136" i="22"/>
  <c r="R37" i="27" s="1"/>
  <c r="P136" i="22"/>
  <c r="P37" i="27" s="1"/>
  <c r="O136" i="22"/>
  <c r="O37" i="27" s="1"/>
  <c r="N136" i="22"/>
  <c r="N37" i="27" s="1"/>
  <c r="H136" i="22"/>
  <c r="H37" i="27" s="1"/>
  <c r="G136" i="22"/>
  <c r="G37" i="27" s="1"/>
  <c r="F136" i="22"/>
  <c r="D136"/>
  <c r="C136"/>
  <c r="C37" i="27" s="1"/>
  <c r="B136" i="22"/>
  <c r="U136"/>
  <c r="T132"/>
  <c r="T33" i="27" s="1"/>
  <c r="S132" i="22"/>
  <c r="S33" i="27" s="1"/>
  <c r="R132" i="22"/>
  <c r="P132"/>
  <c r="P33" i="27" s="1"/>
  <c r="O132" i="22"/>
  <c r="O33" i="27" s="1"/>
  <c r="N132" i="22"/>
  <c r="H132"/>
  <c r="H33" i="27" s="1"/>
  <c r="G132" i="22"/>
  <c r="G33" i="27" s="1"/>
  <c r="F132" i="22"/>
  <c r="D132"/>
  <c r="D33" i="27" s="1"/>
  <c r="L33" s="1"/>
  <c r="C132" i="22"/>
  <c r="B132"/>
  <c r="T131"/>
  <c r="T32" i="27" s="1"/>
  <c r="S131" i="22"/>
  <c r="R131"/>
  <c r="R32" i="27" s="1"/>
  <c r="P131" i="22"/>
  <c r="P32" i="27" s="1"/>
  <c r="O131" i="22"/>
  <c r="O32" i="27" s="1"/>
  <c r="N131" i="22"/>
  <c r="N32" i="27" s="1"/>
  <c r="Q32" s="1"/>
  <c r="H131" i="22"/>
  <c r="H32" i="27" s="1"/>
  <c r="G131" i="22"/>
  <c r="F131"/>
  <c r="F32" i="27" s="1"/>
  <c r="D131" i="22"/>
  <c r="C131"/>
  <c r="C32" i="27" s="1"/>
  <c r="B131" i="22"/>
  <c r="T127"/>
  <c r="T28" i="27" s="1"/>
  <c r="S127" i="22"/>
  <c r="S28" i="27" s="1"/>
  <c r="R127" i="22"/>
  <c r="P127"/>
  <c r="P28" i="27" s="1"/>
  <c r="O127" i="22"/>
  <c r="O28" i="27" s="1"/>
  <c r="N127" i="22"/>
  <c r="H127"/>
  <c r="H28" i="27" s="1"/>
  <c r="G127" i="22"/>
  <c r="G28" i="27" s="1"/>
  <c r="F127" i="22"/>
  <c r="D127"/>
  <c r="D28" i="27" s="1"/>
  <c r="L28" s="1"/>
  <c r="C127" i="22"/>
  <c r="B127"/>
  <c r="B28" i="27" s="1"/>
  <c r="T126" i="22"/>
  <c r="T27" i="27" s="1"/>
  <c r="S126" i="22"/>
  <c r="R126"/>
  <c r="R27" i="27" s="1"/>
  <c r="P126" i="22"/>
  <c r="P27" i="27" s="1"/>
  <c r="O126" i="22"/>
  <c r="O27" i="27" s="1"/>
  <c r="N126" i="22"/>
  <c r="N27" i="27" s="1"/>
  <c r="Q27" s="1"/>
  <c r="H126" i="22"/>
  <c r="H27" i="27" s="1"/>
  <c r="G126" i="22"/>
  <c r="F126"/>
  <c r="F27" i="27" s="1"/>
  <c r="D126" i="22"/>
  <c r="C126"/>
  <c r="C27" i="27" s="1"/>
  <c r="B126" i="22"/>
  <c r="T122"/>
  <c r="T23" i="27" s="1"/>
  <c r="S122" i="22"/>
  <c r="S23" i="27" s="1"/>
  <c r="R122" i="22"/>
  <c r="P122"/>
  <c r="P23" i="27" s="1"/>
  <c r="O122" i="22"/>
  <c r="O23" i="27" s="1"/>
  <c r="N122" i="22"/>
  <c r="N23" i="27" s="1"/>
  <c r="H122" i="22"/>
  <c r="H23" i="27" s="1"/>
  <c r="G122" i="22"/>
  <c r="G23" i="27" s="1"/>
  <c r="F122" i="22"/>
  <c r="D122"/>
  <c r="D23" i="27" s="1"/>
  <c r="L23" s="1"/>
  <c r="C122" i="22"/>
  <c r="B122"/>
  <c r="T121"/>
  <c r="T22" i="27" s="1"/>
  <c r="S121" i="22"/>
  <c r="R121"/>
  <c r="R22" i="27" s="1"/>
  <c r="P121" i="22"/>
  <c r="P22" i="27" s="1"/>
  <c r="O121" i="22"/>
  <c r="O22" i="27" s="1"/>
  <c r="N121" i="22"/>
  <c r="N22" i="27" s="1"/>
  <c r="Q22" s="1"/>
  <c r="H121" i="22"/>
  <c r="H22" i="27" s="1"/>
  <c r="G121" i="22"/>
  <c r="G22" i="27" s="1"/>
  <c r="F121" i="22"/>
  <c r="F22" i="27" s="1"/>
  <c r="D121" i="22"/>
  <c r="C121"/>
  <c r="C22" i="27" s="1"/>
  <c r="B121" i="22"/>
  <c r="T120"/>
  <c r="T21" i="27" s="1"/>
  <c r="S120" i="22"/>
  <c r="S21" i="27" s="1"/>
  <c r="R120" i="22"/>
  <c r="R21" i="27" s="1"/>
  <c r="P120" i="22"/>
  <c r="P21" i="27" s="1"/>
  <c r="O120" i="22"/>
  <c r="O21" i="27" s="1"/>
  <c r="N120" i="22"/>
  <c r="H120"/>
  <c r="G120"/>
  <c r="G21" i="27" s="1"/>
  <c r="F120" i="22"/>
  <c r="D120"/>
  <c r="D21" i="27" s="1"/>
  <c r="C120" i="22"/>
  <c r="C21" i="27" s="1"/>
  <c r="B120" i="22"/>
  <c r="T116"/>
  <c r="S116"/>
  <c r="R116"/>
  <c r="P116"/>
  <c r="O116"/>
  <c r="N116"/>
  <c r="H116"/>
  <c r="G116"/>
  <c r="F116"/>
  <c r="D116"/>
  <c r="C116"/>
  <c r="B116"/>
  <c r="T115"/>
  <c r="T16" i="27" s="1"/>
  <c r="S115" i="22"/>
  <c r="S16" i="27" s="1"/>
  <c r="R115" i="22"/>
  <c r="R16" i="27" s="1"/>
  <c r="P115" i="22"/>
  <c r="P16" i="27" s="1"/>
  <c r="O115" i="22"/>
  <c r="O16" i="27" s="1"/>
  <c r="N115" i="22"/>
  <c r="H115"/>
  <c r="H16" i="27" s="1"/>
  <c r="G115" i="22"/>
  <c r="G16" i="27" s="1"/>
  <c r="F115" i="22"/>
  <c r="D115"/>
  <c r="D16" i="27" s="1"/>
  <c r="C115" i="22"/>
  <c r="B115"/>
  <c r="B16" i="27" s="1"/>
  <c r="T114" i="22"/>
  <c r="T15" i="27" s="1"/>
  <c r="S114" i="22"/>
  <c r="S15" i="27" s="1"/>
  <c r="R114" i="22"/>
  <c r="R15" i="27" s="1"/>
  <c r="P114" i="22"/>
  <c r="P15" i="27" s="1"/>
  <c r="O114" i="22"/>
  <c r="O15" i="27" s="1"/>
  <c r="N114" i="22"/>
  <c r="N15" i="27" s="1"/>
  <c r="H114" i="22"/>
  <c r="H15" i="27" s="1"/>
  <c r="G114" i="22"/>
  <c r="G15" i="27" s="1"/>
  <c r="F114" i="22"/>
  <c r="F15" i="27" s="1"/>
  <c r="D114" i="22"/>
  <c r="C114"/>
  <c r="C15" i="27" s="1"/>
  <c r="B114" i="22"/>
  <c r="T113"/>
  <c r="T14" i="27" s="1"/>
  <c r="S113" i="22"/>
  <c r="S14" i="27" s="1"/>
  <c r="R113" i="22"/>
  <c r="P113"/>
  <c r="P14" i="27" s="1"/>
  <c r="O113" i="22"/>
  <c r="O14" i="27" s="1"/>
  <c r="N113" i="22"/>
  <c r="H113"/>
  <c r="H14" i="27" s="1"/>
  <c r="G113" i="22"/>
  <c r="G14" i="27" s="1"/>
  <c r="F113" i="22"/>
  <c r="D113"/>
  <c r="D14" i="27" s="1"/>
  <c r="C113" i="22"/>
  <c r="B113"/>
  <c r="B14" i="27" s="1"/>
  <c r="T112" i="22"/>
  <c r="T13" i="27" s="1"/>
  <c r="S112" i="22"/>
  <c r="S13" i="27" s="1"/>
  <c r="R112" i="22"/>
  <c r="R13" i="27" s="1"/>
  <c r="P112" i="22"/>
  <c r="P13" i="27" s="1"/>
  <c r="O112" i="22"/>
  <c r="O13" i="27" s="1"/>
  <c r="N112" i="22"/>
  <c r="N13" i="27" s="1"/>
  <c r="H112" i="22"/>
  <c r="H13" i="27" s="1"/>
  <c r="G112" i="22"/>
  <c r="G13" i="27" s="1"/>
  <c r="F112" i="22"/>
  <c r="F13" i="27" s="1"/>
  <c r="D112" i="22"/>
  <c r="C112"/>
  <c r="C13" i="27" s="1"/>
  <c r="K13" s="1"/>
  <c r="B112" i="22"/>
  <c r="T111"/>
  <c r="T12" i="27" s="1"/>
  <c r="S111" i="22"/>
  <c r="S12" i="27" s="1"/>
  <c r="R111" i="22"/>
  <c r="P111"/>
  <c r="P12" i="27" s="1"/>
  <c r="O111" i="22"/>
  <c r="O12" i="27" s="1"/>
  <c r="N111" i="22"/>
  <c r="H111"/>
  <c r="H12" i="27" s="1"/>
  <c r="G111" i="22"/>
  <c r="G12" i="27" s="1"/>
  <c r="F111" i="22"/>
  <c r="D111"/>
  <c r="D12" i="27" s="1"/>
  <c r="C111" i="22"/>
  <c r="B111"/>
  <c r="B12" i="27" s="1"/>
  <c r="T110" i="22"/>
  <c r="T11" i="27" s="1"/>
  <c r="S110" i="22"/>
  <c r="S11" i="27" s="1"/>
  <c r="R110" i="22"/>
  <c r="R11" i="27" s="1"/>
  <c r="P110" i="22"/>
  <c r="P11" i="27" s="1"/>
  <c r="O110" i="22"/>
  <c r="O11" i="27" s="1"/>
  <c r="N110" i="22"/>
  <c r="N11" i="27" s="1"/>
  <c r="H110" i="22"/>
  <c r="H11" i="27" s="1"/>
  <c r="G110" i="22"/>
  <c r="G11" i="27" s="1"/>
  <c r="F110" i="22"/>
  <c r="F11" i="27" s="1"/>
  <c r="D110" i="22"/>
  <c r="C110"/>
  <c r="C11" i="27" s="1"/>
  <c r="K11" s="1"/>
  <c r="B110" i="22"/>
  <c r="T109"/>
  <c r="T10" i="27" s="1"/>
  <c r="S109" i="22"/>
  <c r="R109"/>
  <c r="R10" i="27" s="1"/>
  <c r="P109" i="22"/>
  <c r="P10" i="27" s="1"/>
  <c r="O109" i="22"/>
  <c r="O10" i="27" s="1"/>
  <c r="N109" i="22"/>
  <c r="H109"/>
  <c r="H10" i="27" s="1"/>
  <c r="G109" i="22"/>
  <c r="G10" i="27" s="1"/>
  <c r="F109" i="22"/>
  <c r="F10" i="27" s="1"/>
  <c r="I10" s="1"/>
  <c r="D109" i="22"/>
  <c r="D10" i="27" s="1"/>
  <c r="C109" i="22"/>
  <c r="B109"/>
  <c r="B10" i="27" s="1"/>
  <c r="T104" i="22"/>
  <c r="T27" i="26" s="1"/>
  <c r="S104" i="22"/>
  <c r="S27" i="26" s="1"/>
  <c r="R104" i="22"/>
  <c r="R27" i="26" s="1"/>
  <c r="P104" i="22"/>
  <c r="P27" i="26" s="1"/>
  <c r="O104" i="22"/>
  <c r="O27" i="26" s="1"/>
  <c r="N104" i="22"/>
  <c r="N27" i="26" s="1"/>
  <c r="H104" i="22"/>
  <c r="H27" i="26" s="1"/>
  <c r="G104" i="22"/>
  <c r="G27" i="26" s="1"/>
  <c r="F104" i="22"/>
  <c r="F27" i="26" s="1"/>
  <c r="D104" i="22"/>
  <c r="C104"/>
  <c r="C27" i="26" s="1"/>
  <c r="B104" i="22"/>
  <c r="T103"/>
  <c r="T26" i="26" s="1"/>
  <c r="S103" i="22"/>
  <c r="R103"/>
  <c r="R26" i="26" s="1"/>
  <c r="P103" i="22"/>
  <c r="P26" i="26" s="1"/>
  <c r="O103" i="22"/>
  <c r="O26" i="26" s="1"/>
  <c r="N103" i="22"/>
  <c r="H103"/>
  <c r="H26" i="26" s="1"/>
  <c r="G103" i="22"/>
  <c r="F103"/>
  <c r="F26" i="26" s="1"/>
  <c r="D103" i="22"/>
  <c r="C103"/>
  <c r="C26" i="26" s="1"/>
  <c r="B103" i="22"/>
  <c r="T99"/>
  <c r="T22" i="26" s="1"/>
  <c r="S99" i="22"/>
  <c r="R99"/>
  <c r="R22" i="26" s="1"/>
  <c r="P99" i="22"/>
  <c r="P22" i="26" s="1"/>
  <c r="O99" i="22"/>
  <c r="O22" i="26" s="1"/>
  <c r="N99" i="22"/>
  <c r="N22" i="26" s="1"/>
  <c r="H99" i="22"/>
  <c r="H22" i="26" s="1"/>
  <c r="G99" i="22"/>
  <c r="F99"/>
  <c r="F22" i="26" s="1"/>
  <c r="D99" i="22"/>
  <c r="D22" i="26" s="1"/>
  <c r="C99" i="22"/>
  <c r="B99"/>
  <c r="B22" i="26" s="1"/>
  <c r="T98" i="22"/>
  <c r="T21" i="26" s="1"/>
  <c r="S98" i="22"/>
  <c r="S21" i="26" s="1"/>
  <c r="R98" i="22"/>
  <c r="R21" i="26" s="1"/>
  <c r="P98" i="22"/>
  <c r="P21" i="26" s="1"/>
  <c r="O98" i="22"/>
  <c r="O21" i="26" s="1"/>
  <c r="N98" i="22"/>
  <c r="N21" i="26" s="1"/>
  <c r="H98" i="22"/>
  <c r="H21" i="26" s="1"/>
  <c r="G98" i="22"/>
  <c r="G21" i="26" s="1"/>
  <c r="F98" i="22"/>
  <c r="F21" i="26" s="1"/>
  <c r="D98" i="22"/>
  <c r="C98"/>
  <c r="K98" s="1"/>
  <c r="AY98" s="1"/>
  <c r="B98"/>
  <c r="T97"/>
  <c r="T20" i="26" s="1"/>
  <c r="S97" i="22"/>
  <c r="S20" i="26" s="1"/>
  <c r="R97" i="22"/>
  <c r="R20" i="26" s="1"/>
  <c r="P97" i="22"/>
  <c r="P20" i="26" s="1"/>
  <c r="O97" i="22"/>
  <c r="O20" i="26" s="1"/>
  <c r="N97" i="22"/>
  <c r="N20" i="26" s="1"/>
  <c r="H97" i="22"/>
  <c r="H20" i="26" s="1"/>
  <c r="G97" i="22"/>
  <c r="G20" i="26" s="1"/>
  <c r="F97" i="22"/>
  <c r="F20" i="26" s="1"/>
  <c r="I20" s="1"/>
  <c r="D97" i="22"/>
  <c r="D20" i="26" s="1"/>
  <c r="C97" i="22"/>
  <c r="B97"/>
  <c r="B20" i="26" s="1"/>
  <c r="T96" i="22"/>
  <c r="T19" i="26" s="1"/>
  <c r="S96" i="22"/>
  <c r="S19" i="26" s="1"/>
  <c r="R96" i="22"/>
  <c r="R19" i="26" s="1"/>
  <c r="P96" i="22"/>
  <c r="P19" i="26" s="1"/>
  <c r="O96" i="22"/>
  <c r="O19" i="26" s="1"/>
  <c r="N96" i="22"/>
  <c r="N19" i="26" s="1"/>
  <c r="H96" i="22"/>
  <c r="H19" i="26" s="1"/>
  <c r="G96" i="22"/>
  <c r="G19" i="26" s="1"/>
  <c r="F96" i="22"/>
  <c r="F19" i="26" s="1"/>
  <c r="D96" i="22"/>
  <c r="C96"/>
  <c r="B96"/>
  <c r="T95"/>
  <c r="T18" i="26" s="1"/>
  <c r="S95" i="22"/>
  <c r="S18" i="26" s="1"/>
  <c r="R95" i="22"/>
  <c r="R18" i="26" s="1"/>
  <c r="P95" i="22"/>
  <c r="P18" i="26" s="1"/>
  <c r="O95" i="22"/>
  <c r="O18" i="26" s="1"/>
  <c r="N95" i="22"/>
  <c r="N18" i="26" s="1"/>
  <c r="H95" i="22"/>
  <c r="H18" i="26" s="1"/>
  <c r="G95" i="22"/>
  <c r="G18" i="26" s="1"/>
  <c r="F95" i="22"/>
  <c r="F18" i="26" s="1"/>
  <c r="D95" i="22"/>
  <c r="D18" i="26" s="1"/>
  <c r="C95" i="22"/>
  <c r="B95"/>
  <c r="B18" i="26" s="1"/>
  <c r="T94" i="22"/>
  <c r="T17" i="26" s="1"/>
  <c r="S94" i="22"/>
  <c r="S17" i="26" s="1"/>
  <c r="R94" i="22"/>
  <c r="R17" i="26" s="1"/>
  <c r="P94" i="22"/>
  <c r="P17" i="26" s="1"/>
  <c r="O94" i="22"/>
  <c r="O17" i="26" s="1"/>
  <c r="N94" i="22"/>
  <c r="N17" i="26" s="1"/>
  <c r="H94" i="22"/>
  <c r="H17" i="26" s="1"/>
  <c r="G94" i="22"/>
  <c r="G17" i="26" s="1"/>
  <c r="F94" i="22"/>
  <c r="D94"/>
  <c r="D17" i="26" s="1"/>
  <c r="C94" i="22"/>
  <c r="B94"/>
  <c r="T90"/>
  <c r="T13" i="26" s="1"/>
  <c r="S90" i="22"/>
  <c r="S13" i="26" s="1"/>
  <c r="R90" i="22"/>
  <c r="R13" i="26" s="1"/>
  <c r="P90" i="22"/>
  <c r="P13" i="26" s="1"/>
  <c r="O90" i="22"/>
  <c r="O13" i="26" s="1"/>
  <c r="N90" i="22"/>
  <c r="N13" i="26" s="1"/>
  <c r="H90" i="22"/>
  <c r="H13" i="26" s="1"/>
  <c r="G90" i="22"/>
  <c r="G13" i="26" s="1"/>
  <c r="F90" i="22"/>
  <c r="F13" i="26" s="1"/>
  <c r="D90" i="22"/>
  <c r="C90"/>
  <c r="C13" i="26" s="1"/>
  <c r="K13" s="1"/>
  <c r="AY13" s="1"/>
  <c r="B90" i="22"/>
  <c r="T89"/>
  <c r="T12" i="26" s="1"/>
  <c r="S89" i="22"/>
  <c r="S12" i="26" s="1"/>
  <c r="R89" i="22"/>
  <c r="P89"/>
  <c r="P12" i="26" s="1"/>
  <c r="O89" i="22"/>
  <c r="O12" i="26" s="1"/>
  <c r="N89" i="22"/>
  <c r="H89"/>
  <c r="H12" i="26" s="1"/>
  <c r="G89" i="22"/>
  <c r="F89"/>
  <c r="F12" i="26" s="1"/>
  <c r="D89" i="22"/>
  <c r="C89"/>
  <c r="B89"/>
  <c r="T88"/>
  <c r="T11" i="26" s="1"/>
  <c r="S88" i="22"/>
  <c r="S11" i="26" s="1"/>
  <c r="R88" i="22"/>
  <c r="R11" i="26" s="1"/>
  <c r="P88" i="22"/>
  <c r="P11" i="26" s="1"/>
  <c r="O88" i="22"/>
  <c r="O11" i="26" s="1"/>
  <c r="N88" i="22"/>
  <c r="N11" i="26" s="1"/>
  <c r="H88" i="22"/>
  <c r="H11" i="26" s="1"/>
  <c r="G88" i="22"/>
  <c r="G11" i="26" s="1"/>
  <c r="F88" i="22"/>
  <c r="F11" i="26" s="1"/>
  <c r="D88" i="22"/>
  <c r="C88"/>
  <c r="C11" i="26" s="1"/>
  <c r="B88" i="22"/>
  <c r="T87"/>
  <c r="T10" i="26" s="1"/>
  <c r="S87" i="22"/>
  <c r="R87"/>
  <c r="R10" i="26" s="1"/>
  <c r="P87" i="22"/>
  <c r="P10" i="26" s="1"/>
  <c r="O87" i="22"/>
  <c r="O10" i="26" s="1"/>
  <c r="N87" i="22"/>
  <c r="H87"/>
  <c r="H10" i="26" s="1"/>
  <c r="G87" i="22"/>
  <c r="F87"/>
  <c r="F10" i="26" s="1"/>
  <c r="D87" i="22"/>
  <c r="C87"/>
  <c r="C10" i="26" s="1"/>
  <c r="B87" i="22"/>
  <c r="T82"/>
  <c r="T34" i="25" s="1"/>
  <c r="S82" i="22"/>
  <c r="S34" i="25" s="1"/>
  <c r="R82" i="22"/>
  <c r="R34" i="25" s="1"/>
  <c r="U34" s="1"/>
  <c r="P82" i="22"/>
  <c r="P34" i="25" s="1"/>
  <c r="O82" i="22"/>
  <c r="O34" i="25" s="1"/>
  <c r="N82" i="22"/>
  <c r="N34" i="25" s="1"/>
  <c r="H82" i="22"/>
  <c r="H34" i="25" s="1"/>
  <c r="G82" i="22"/>
  <c r="G34" i="25" s="1"/>
  <c r="F82" i="22"/>
  <c r="F34" i="25" s="1"/>
  <c r="D82" i="22"/>
  <c r="D34" i="25" s="1"/>
  <c r="C82" i="22"/>
  <c r="B82"/>
  <c r="B34" i="25" s="1"/>
  <c r="T81" i="22"/>
  <c r="T33" i="25" s="1"/>
  <c r="S81" i="22"/>
  <c r="S33" i="25" s="1"/>
  <c r="R81" i="22"/>
  <c r="R33" i="25" s="1"/>
  <c r="U33" s="1"/>
  <c r="P81" i="22"/>
  <c r="P33" i="25" s="1"/>
  <c r="O81" i="22"/>
  <c r="O33" i="25" s="1"/>
  <c r="N81" i="22"/>
  <c r="N33" i="25" s="1"/>
  <c r="H81" i="22"/>
  <c r="H33" i="25" s="1"/>
  <c r="G81" i="22"/>
  <c r="G33" i="25" s="1"/>
  <c r="F81" i="22"/>
  <c r="F33" i="25" s="1"/>
  <c r="D81" i="22"/>
  <c r="C81"/>
  <c r="K81" s="1"/>
  <c r="B81"/>
  <c r="T80"/>
  <c r="T32" i="25" s="1"/>
  <c r="S80" i="22"/>
  <c r="S32" i="25" s="1"/>
  <c r="R80" i="22"/>
  <c r="R32" i="25" s="1"/>
  <c r="U32" s="1"/>
  <c r="P80" i="22"/>
  <c r="P32" i="25" s="1"/>
  <c r="O80" i="22"/>
  <c r="O32" i="25" s="1"/>
  <c r="N80" i="22"/>
  <c r="N32" i="25" s="1"/>
  <c r="H80" i="22"/>
  <c r="H32" i="25" s="1"/>
  <c r="G80" i="22"/>
  <c r="G32" i="25" s="1"/>
  <c r="F80" i="22"/>
  <c r="F32" i="25" s="1"/>
  <c r="D80" i="22"/>
  <c r="D32" i="25" s="1"/>
  <c r="C80" i="22"/>
  <c r="B80"/>
  <c r="B32" i="25" s="1"/>
  <c r="T79" i="22"/>
  <c r="T31" i="25" s="1"/>
  <c r="S79" i="22"/>
  <c r="S31" i="25" s="1"/>
  <c r="R79" i="22"/>
  <c r="R31" i="25" s="1"/>
  <c r="U31" s="1"/>
  <c r="P79" i="22"/>
  <c r="P31" i="25" s="1"/>
  <c r="O79" i="22"/>
  <c r="O31" i="25" s="1"/>
  <c r="N79" i="22"/>
  <c r="N31" i="25" s="1"/>
  <c r="H79" i="22"/>
  <c r="H31" i="25" s="1"/>
  <c r="G79" i="22"/>
  <c r="F79"/>
  <c r="F31" i="25" s="1"/>
  <c r="D79" i="22"/>
  <c r="C79"/>
  <c r="K79" s="1"/>
  <c r="B79"/>
  <c r="T78"/>
  <c r="T30" i="25" s="1"/>
  <c r="S78" i="22"/>
  <c r="S30" i="25" s="1"/>
  <c r="R78" i="22"/>
  <c r="R30" i="25" s="1"/>
  <c r="U30" s="1"/>
  <c r="P78" i="22"/>
  <c r="P30" i="25" s="1"/>
  <c r="O78" i="22"/>
  <c r="O30" i="25" s="1"/>
  <c r="N78" i="22"/>
  <c r="H78"/>
  <c r="H30" i="25" s="1"/>
  <c r="G78" i="22"/>
  <c r="G30" i="25" s="1"/>
  <c r="F78" i="22"/>
  <c r="D78"/>
  <c r="D30" i="25" s="1"/>
  <c r="C78" i="22"/>
  <c r="B78"/>
  <c r="B30" i="25" s="1"/>
  <c r="U78" i="22"/>
  <c r="T74"/>
  <c r="T26" i="25" s="1"/>
  <c r="S74" i="22"/>
  <c r="R74"/>
  <c r="R26" i="25" s="1"/>
  <c r="P74" i="22"/>
  <c r="P26" i="25" s="1"/>
  <c r="O74" i="22"/>
  <c r="O26" i="25" s="1"/>
  <c r="N74" i="22"/>
  <c r="N26" i="25" s="1"/>
  <c r="H74" i="22"/>
  <c r="H26" i="25" s="1"/>
  <c r="G74" i="22"/>
  <c r="F74"/>
  <c r="F26" i="25" s="1"/>
  <c r="D74" i="22"/>
  <c r="C74"/>
  <c r="B74"/>
  <c r="T73"/>
  <c r="T25" i="25" s="1"/>
  <c r="S73" i="22"/>
  <c r="S25" i="25" s="1"/>
  <c r="R73" i="22"/>
  <c r="R25" i="25" s="1"/>
  <c r="P73" i="22"/>
  <c r="P25" i="25" s="1"/>
  <c r="O73" i="22"/>
  <c r="O25" i="25" s="1"/>
  <c r="N73" i="22"/>
  <c r="N25" i="25" s="1"/>
  <c r="H73" i="22"/>
  <c r="H25" i="25" s="1"/>
  <c r="G73" i="22"/>
  <c r="G25" i="25" s="1"/>
  <c r="F73" i="22"/>
  <c r="F25" i="25" s="1"/>
  <c r="D73" i="22"/>
  <c r="D25" i="25" s="1"/>
  <c r="C73" i="22"/>
  <c r="C25" i="25" s="1"/>
  <c r="B73" i="22"/>
  <c r="T72"/>
  <c r="T24" i="25" s="1"/>
  <c r="S72" i="22"/>
  <c r="S24" i="25" s="1"/>
  <c r="R72" i="22"/>
  <c r="R24" i="25" s="1"/>
  <c r="P72" i="22"/>
  <c r="P24" i="25" s="1"/>
  <c r="O72" i="22"/>
  <c r="O24" i="25" s="1"/>
  <c r="N72" i="22"/>
  <c r="N24" i="25" s="1"/>
  <c r="H72" i="22"/>
  <c r="H24" i="25" s="1"/>
  <c r="G72" i="22"/>
  <c r="F72"/>
  <c r="F24" i="25" s="1"/>
  <c r="D72" i="22"/>
  <c r="C72"/>
  <c r="B72"/>
  <c r="T71"/>
  <c r="T23" i="25" s="1"/>
  <c r="S71" i="22"/>
  <c r="R71"/>
  <c r="R23" i="25" s="1"/>
  <c r="P71" i="22"/>
  <c r="P23" i="25" s="1"/>
  <c r="O71" i="22"/>
  <c r="O23" i="25" s="1"/>
  <c r="N71" i="22"/>
  <c r="H71"/>
  <c r="H23" i="25" s="1"/>
  <c r="G71" i="22"/>
  <c r="G23" i="25" s="1"/>
  <c r="F71" i="22"/>
  <c r="F23" i="25" s="1"/>
  <c r="D71" i="22"/>
  <c r="C71"/>
  <c r="C23" i="25" s="1"/>
  <c r="B71" i="22"/>
  <c r="T67"/>
  <c r="T19" i="25" s="1"/>
  <c r="S67" i="22"/>
  <c r="S19" i="25" s="1"/>
  <c r="R67" i="22"/>
  <c r="P67"/>
  <c r="P19" i="25" s="1"/>
  <c r="O67" i="22"/>
  <c r="O19" i="25" s="1"/>
  <c r="N67" i="22"/>
  <c r="N19" i="25" s="1"/>
  <c r="H67" i="22"/>
  <c r="H19" i="25" s="1"/>
  <c r="G67" i="22"/>
  <c r="G19" i="25" s="1"/>
  <c r="F67" i="22"/>
  <c r="D67"/>
  <c r="C67"/>
  <c r="B67"/>
  <c r="T66"/>
  <c r="T18" i="25" s="1"/>
  <c r="S66" i="22"/>
  <c r="S18" i="25" s="1"/>
  <c r="R66" i="22"/>
  <c r="P66"/>
  <c r="P18" i="25" s="1"/>
  <c r="O66" i="22"/>
  <c r="O18" i="25" s="1"/>
  <c r="N66" i="22"/>
  <c r="N18" i="25" s="1"/>
  <c r="Q18" s="1"/>
  <c r="H66" i="22"/>
  <c r="H18" i="25" s="1"/>
  <c r="G66" i="22"/>
  <c r="G18" i="25" s="1"/>
  <c r="F66" i="22"/>
  <c r="D66"/>
  <c r="D18" i="25" s="1"/>
  <c r="C66" i="22"/>
  <c r="B66"/>
  <c r="B18" i="25" s="1"/>
  <c r="T65" i="22"/>
  <c r="T17" i="25" s="1"/>
  <c r="S65" i="22"/>
  <c r="S17" i="25" s="1"/>
  <c r="R65" i="22"/>
  <c r="R17" i="25" s="1"/>
  <c r="P65" i="22"/>
  <c r="P17" i="25" s="1"/>
  <c r="O65" i="22"/>
  <c r="O17" i="25" s="1"/>
  <c r="N65" i="22"/>
  <c r="N17" i="25" s="1"/>
  <c r="Q17" s="1"/>
  <c r="H65" i="22"/>
  <c r="H17" i="25" s="1"/>
  <c r="G65" i="22"/>
  <c r="G17" i="25" s="1"/>
  <c r="F65" i="22"/>
  <c r="D65"/>
  <c r="C65"/>
  <c r="B65"/>
  <c r="B61"/>
  <c r="B13" i="25" s="1"/>
  <c r="T61" i="22"/>
  <c r="T13" i="25" s="1"/>
  <c r="S61" i="22"/>
  <c r="S13" i="25" s="1"/>
  <c r="R61" i="22"/>
  <c r="P61"/>
  <c r="P13" i="25" s="1"/>
  <c r="O61" i="22"/>
  <c r="O13" i="25" s="1"/>
  <c r="N61" i="22"/>
  <c r="N13" i="25" s="1"/>
  <c r="H61" i="22"/>
  <c r="H13" i="25" s="1"/>
  <c r="G61" i="22"/>
  <c r="G13" i="25" s="1"/>
  <c r="F61" i="22"/>
  <c r="D61"/>
  <c r="C61"/>
  <c r="T60"/>
  <c r="T12" i="25" s="1"/>
  <c r="S60" i="22"/>
  <c r="S12" i="25" s="1"/>
  <c r="R60" i="22"/>
  <c r="R12" i="25" s="1"/>
  <c r="U12" s="1"/>
  <c r="P60" i="22"/>
  <c r="P12" i="25" s="1"/>
  <c r="O60" i="22"/>
  <c r="O12" i="25" s="1"/>
  <c r="N60" i="22"/>
  <c r="N12" i="25" s="1"/>
  <c r="H60" i="22"/>
  <c r="H12" i="25" s="1"/>
  <c r="G60" i="22"/>
  <c r="G12" i="25" s="1"/>
  <c r="F60" i="22"/>
  <c r="F12" i="25" s="1"/>
  <c r="D60" i="22"/>
  <c r="C60"/>
  <c r="B60"/>
  <c r="T59"/>
  <c r="T11" i="25" s="1"/>
  <c r="S59" i="22"/>
  <c r="S11" i="25" s="1"/>
  <c r="R59" i="22"/>
  <c r="P59"/>
  <c r="P11" i="25" s="1"/>
  <c r="O59" i="22"/>
  <c r="O11" i="25" s="1"/>
  <c r="N59" i="22"/>
  <c r="N11" i="25" s="1"/>
  <c r="H59" i="22"/>
  <c r="H11" i="25" s="1"/>
  <c r="G59" i="22"/>
  <c r="G11" i="25" s="1"/>
  <c r="F59" i="22"/>
  <c r="F11" i="25" s="1"/>
  <c r="D59" i="22"/>
  <c r="C59"/>
  <c r="C11" i="25" s="1"/>
  <c r="B59" i="22"/>
  <c r="T58"/>
  <c r="T10" i="25" s="1"/>
  <c r="S58" i="22"/>
  <c r="R58"/>
  <c r="R10" i="25" s="1"/>
  <c r="P58" i="22"/>
  <c r="P10" i="25" s="1"/>
  <c r="O58" i="22"/>
  <c r="O10" i="25" s="1"/>
  <c r="N58" i="22"/>
  <c r="N10" i="25" s="1"/>
  <c r="H58" i="22"/>
  <c r="H10" i="25" s="1"/>
  <c r="G58" i="22"/>
  <c r="F58"/>
  <c r="F10" i="25" s="1"/>
  <c r="D58" i="22"/>
  <c r="C58"/>
  <c r="C10" i="25" s="1"/>
  <c r="B58" i="22"/>
  <c r="T53"/>
  <c r="T42" i="24" s="1"/>
  <c r="S53" i="22"/>
  <c r="S42" i="24" s="1"/>
  <c r="R53" i="22"/>
  <c r="R42" i="24" s="1"/>
  <c r="P53" i="22"/>
  <c r="P42" i="24" s="1"/>
  <c r="O53" i="22"/>
  <c r="O42" i="24" s="1"/>
  <c r="N53" i="22"/>
  <c r="N42" i="24" s="1"/>
  <c r="H53" i="22"/>
  <c r="G53"/>
  <c r="F53"/>
  <c r="D53"/>
  <c r="C53"/>
  <c r="B53"/>
  <c r="T52"/>
  <c r="T41" i="24" s="1"/>
  <c r="S52" i="22"/>
  <c r="S41" i="24" s="1"/>
  <c r="R52" i="22"/>
  <c r="R41" i="24" s="1"/>
  <c r="P52" i="22"/>
  <c r="P41" i="24" s="1"/>
  <c r="O52" i="22"/>
  <c r="O41" i="24" s="1"/>
  <c r="N52" i="22"/>
  <c r="N41" i="24" s="1"/>
  <c r="H52" i="22"/>
  <c r="G52"/>
  <c r="F52"/>
  <c r="D52"/>
  <c r="C52"/>
  <c r="B52"/>
  <c r="B41" i="24" s="1"/>
  <c r="T51" i="22"/>
  <c r="T40" i="24" s="1"/>
  <c r="S51" i="22"/>
  <c r="S40" i="24" s="1"/>
  <c r="R51" i="22"/>
  <c r="R40" i="24" s="1"/>
  <c r="P51" i="22"/>
  <c r="P40" i="24" s="1"/>
  <c r="O51" i="22"/>
  <c r="O40" i="24" s="1"/>
  <c r="N51" i="22"/>
  <c r="H51"/>
  <c r="G51"/>
  <c r="F51"/>
  <c r="D51"/>
  <c r="D40" i="24" s="1"/>
  <c r="C51" i="22"/>
  <c r="B51"/>
  <c r="T47"/>
  <c r="T36" i="24" s="1"/>
  <c r="S47" i="22"/>
  <c r="S36" i="24" s="1"/>
  <c r="R47" i="22"/>
  <c r="R36" i="24" s="1"/>
  <c r="P47" i="22"/>
  <c r="P36" i="24" s="1"/>
  <c r="O47" i="22"/>
  <c r="O36" i="24" s="1"/>
  <c r="N47" i="22"/>
  <c r="H47"/>
  <c r="G47"/>
  <c r="F47"/>
  <c r="D47"/>
  <c r="C47"/>
  <c r="C36" i="24" s="1"/>
  <c r="K36" s="1"/>
  <c r="B47" i="22"/>
  <c r="T46"/>
  <c r="T35" i="24" s="1"/>
  <c r="S46" i="22"/>
  <c r="R46"/>
  <c r="R35" i="24" s="1"/>
  <c r="P46" i="22"/>
  <c r="P35" i="24" s="1"/>
  <c r="O46" i="22"/>
  <c r="O35" i="24" s="1"/>
  <c r="N46" i="22"/>
  <c r="H46"/>
  <c r="G46"/>
  <c r="F46"/>
  <c r="D46"/>
  <c r="C46"/>
  <c r="C35" i="24" s="1"/>
  <c r="K35" s="1"/>
  <c r="AY35" s="1"/>
  <c r="B46" i="22"/>
  <c r="B35" i="24" s="1"/>
  <c r="J35" s="1"/>
  <c r="T42" i="22"/>
  <c r="T31" i="24" s="1"/>
  <c r="S42" i="22"/>
  <c r="S31" i="24" s="1"/>
  <c r="R42" i="22"/>
  <c r="R31" i="24" s="1"/>
  <c r="P42" i="22"/>
  <c r="P31" i="24" s="1"/>
  <c r="O42" i="22"/>
  <c r="O31" i="24" s="1"/>
  <c r="N42" i="22"/>
  <c r="N31" i="24" s="1"/>
  <c r="H42" i="22"/>
  <c r="G42"/>
  <c r="F42"/>
  <c r="D42"/>
  <c r="D31" i="24" s="1"/>
  <c r="C42" i="22"/>
  <c r="B42"/>
  <c r="B31" i="24" s="1"/>
  <c r="U42" i="22"/>
  <c r="T38"/>
  <c r="T27" i="24" s="1"/>
  <c r="S38" i="22"/>
  <c r="S27" i="24" s="1"/>
  <c r="R38" i="22"/>
  <c r="P38"/>
  <c r="P27" i="24" s="1"/>
  <c r="O38" i="22"/>
  <c r="O27" i="24" s="1"/>
  <c r="N38" i="22"/>
  <c r="N27" i="24" s="1"/>
  <c r="H38" i="22"/>
  <c r="G38"/>
  <c r="F38"/>
  <c r="D38"/>
  <c r="C38"/>
  <c r="B38"/>
  <c r="B27" i="24" s="1"/>
  <c r="T37" i="22"/>
  <c r="T26" i="24" s="1"/>
  <c r="S37" i="22"/>
  <c r="S26" i="24" s="1"/>
  <c r="R37" i="22"/>
  <c r="P37"/>
  <c r="P26" i="24" s="1"/>
  <c r="O37" i="22"/>
  <c r="O26" i="24" s="1"/>
  <c r="N37" i="22"/>
  <c r="N26" i="24" s="1"/>
  <c r="H37" i="22"/>
  <c r="G37"/>
  <c r="F37"/>
  <c r="D37"/>
  <c r="C37"/>
  <c r="B37"/>
  <c r="T36"/>
  <c r="T25" i="24" s="1"/>
  <c r="S36" i="22"/>
  <c r="S25" i="24" s="1"/>
  <c r="R36" i="22"/>
  <c r="R25" i="24" s="1"/>
  <c r="P36" i="22"/>
  <c r="P25" i="24" s="1"/>
  <c r="O36" i="22"/>
  <c r="O25" i="24" s="1"/>
  <c r="N36" i="22"/>
  <c r="N25" i="24" s="1"/>
  <c r="H36" i="22"/>
  <c r="G36"/>
  <c r="F36"/>
  <c r="D36"/>
  <c r="C36"/>
  <c r="B36"/>
  <c r="B25" i="24" s="1"/>
  <c r="T35" i="22"/>
  <c r="T24" i="24" s="1"/>
  <c r="S35" i="22"/>
  <c r="S24" i="24" s="1"/>
  <c r="R35" i="22"/>
  <c r="R24" i="24" s="1"/>
  <c r="P35" i="22"/>
  <c r="P24" i="24" s="1"/>
  <c r="O35" i="22"/>
  <c r="O24" i="24" s="1"/>
  <c r="N35" i="22"/>
  <c r="N24" i="24" s="1"/>
  <c r="H35" i="22"/>
  <c r="G35"/>
  <c r="F35"/>
  <c r="D35"/>
  <c r="D24" i="24" s="1"/>
  <c r="L24" s="1"/>
  <c r="AZ24" s="1"/>
  <c r="C35" i="22"/>
  <c r="B35"/>
  <c r="B24" i="24" s="1"/>
  <c r="J24" s="1"/>
  <c r="AX24" s="1"/>
  <c r="T31" i="22"/>
  <c r="T20" i="24" s="1"/>
  <c r="S31" i="22"/>
  <c r="R31"/>
  <c r="R20" i="24" s="1"/>
  <c r="P31" i="22"/>
  <c r="P20" i="24" s="1"/>
  <c r="O31" i="22"/>
  <c r="O20" i="24" s="1"/>
  <c r="N31" i="22"/>
  <c r="N20" i="24" s="1"/>
  <c r="H31" i="22"/>
  <c r="G31"/>
  <c r="F31"/>
  <c r="D31"/>
  <c r="C31"/>
  <c r="C20" i="24" s="1"/>
  <c r="B31" i="22"/>
  <c r="B20" i="24" s="1"/>
  <c r="J20" s="1"/>
  <c r="T30" i="22"/>
  <c r="T19" i="24" s="1"/>
  <c r="S30" i="22"/>
  <c r="S19" i="24" s="1"/>
  <c r="R30" i="22"/>
  <c r="R19" i="24" s="1"/>
  <c r="P30" i="22"/>
  <c r="P19" i="24" s="1"/>
  <c r="O30" i="22"/>
  <c r="O19" i="24" s="1"/>
  <c r="N30" i="22"/>
  <c r="N19" i="24" s="1"/>
  <c r="H30" i="22"/>
  <c r="G30"/>
  <c r="F30"/>
  <c r="D30"/>
  <c r="C30"/>
  <c r="C19" i="24" s="1"/>
  <c r="K19" s="1"/>
  <c r="B30" i="22"/>
  <c r="B19" i="24" s="1"/>
  <c r="T29" i="22"/>
  <c r="T18" i="24" s="1"/>
  <c r="S29" i="22"/>
  <c r="S18" i="24" s="1"/>
  <c r="R29" i="22"/>
  <c r="R18" i="24" s="1"/>
  <c r="P29" i="22"/>
  <c r="P18" i="24" s="1"/>
  <c r="O29" i="22"/>
  <c r="O18" i="24" s="1"/>
  <c r="N29" i="22"/>
  <c r="N18" i="24" s="1"/>
  <c r="H29" i="22"/>
  <c r="G29"/>
  <c r="F29"/>
  <c r="D29"/>
  <c r="C29"/>
  <c r="C18" i="24" s="1"/>
  <c r="B29" i="22"/>
  <c r="B18" i="24" s="1"/>
  <c r="J18" s="1"/>
  <c r="T28" i="22"/>
  <c r="T17" i="24" s="1"/>
  <c r="S28" i="22"/>
  <c r="S17" i="24" s="1"/>
  <c r="R28" i="22"/>
  <c r="R17" i="24" s="1"/>
  <c r="P28" i="22"/>
  <c r="P17" i="24" s="1"/>
  <c r="O28" i="22"/>
  <c r="O17" i="24" s="1"/>
  <c r="N28" i="22"/>
  <c r="N17" i="24" s="1"/>
  <c r="H28" i="22"/>
  <c r="G28"/>
  <c r="F28"/>
  <c r="D28"/>
  <c r="C28"/>
  <c r="C17" i="24" s="1"/>
  <c r="K17" s="1"/>
  <c r="B28" i="22"/>
  <c r="B17" i="24" s="1"/>
  <c r="T27" i="22"/>
  <c r="T16" i="24" s="1"/>
  <c r="S27" i="22"/>
  <c r="R27"/>
  <c r="R16" i="24" s="1"/>
  <c r="P27" i="22"/>
  <c r="P16" i="24" s="1"/>
  <c r="O27" i="22"/>
  <c r="O16" i="24" s="1"/>
  <c r="N27" i="22"/>
  <c r="N16" i="24" s="1"/>
  <c r="H27" i="22"/>
  <c r="G27"/>
  <c r="F27"/>
  <c r="D27"/>
  <c r="C27"/>
  <c r="C16" i="24" s="1"/>
  <c r="B27" i="22"/>
  <c r="B16" i="24" s="1"/>
  <c r="J16" s="1"/>
  <c r="T26" i="22"/>
  <c r="T15" i="24" s="1"/>
  <c r="S26" i="22"/>
  <c r="S15" i="24" s="1"/>
  <c r="R26" i="22"/>
  <c r="R15" i="24" s="1"/>
  <c r="P26" i="22"/>
  <c r="P15" i="24" s="1"/>
  <c r="O26" i="22"/>
  <c r="O15" i="24" s="1"/>
  <c r="N26" i="22"/>
  <c r="N15" i="24" s="1"/>
  <c r="H26" i="22"/>
  <c r="G26"/>
  <c r="F26"/>
  <c r="D26"/>
  <c r="C26"/>
  <c r="C15" i="24" s="1"/>
  <c r="K15" s="1"/>
  <c r="B26" i="22"/>
  <c r="B15" i="24" s="1"/>
  <c r="T25" i="22"/>
  <c r="T14" i="24" s="1"/>
  <c r="S25" i="22"/>
  <c r="R25"/>
  <c r="R14" i="24" s="1"/>
  <c r="P25" i="22"/>
  <c r="P14" i="24" s="1"/>
  <c r="O25" i="22"/>
  <c r="O14" i="24" s="1"/>
  <c r="N25" i="22"/>
  <c r="N14" i="24" s="1"/>
  <c r="H25" i="22"/>
  <c r="G25"/>
  <c r="F25"/>
  <c r="D25"/>
  <c r="C25"/>
  <c r="C14" i="24" s="1"/>
  <c r="B25" i="22"/>
  <c r="B14" i="24" s="1"/>
  <c r="J14" s="1"/>
  <c r="T24" i="22"/>
  <c r="T13" i="24" s="1"/>
  <c r="S24" i="22"/>
  <c r="S13" i="24" s="1"/>
  <c r="R24" i="22"/>
  <c r="R13" i="24" s="1"/>
  <c r="P24" i="22"/>
  <c r="P13" i="24" s="1"/>
  <c r="O24" i="22"/>
  <c r="O13" i="24" s="1"/>
  <c r="N24" i="22"/>
  <c r="N13" i="24" s="1"/>
  <c r="H24" i="22"/>
  <c r="G24"/>
  <c r="F24"/>
  <c r="D24"/>
  <c r="C24"/>
  <c r="C13" i="24" s="1"/>
  <c r="K13" s="1"/>
  <c r="B24" i="22"/>
  <c r="B13" i="24" s="1"/>
  <c r="T23" i="22"/>
  <c r="T12" i="24" s="1"/>
  <c r="S23" i="22"/>
  <c r="R23"/>
  <c r="R12" i="24" s="1"/>
  <c r="P23" i="22"/>
  <c r="P12" i="24" s="1"/>
  <c r="O23" i="22"/>
  <c r="O12" i="24" s="1"/>
  <c r="N23" i="22"/>
  <c r="N12" i="24" s="1"/>
  <c r="H23" i="22"/>
  <c r="G23"/>
  <c r="F23"/>
  <c r="D23"/>
  <c r="C23"/>
  <c r="C12" i="24" s="1"/>
  <c r="B23" i="22"/>
  <c r="B12" i="24" s="1"/>
  <c r="J12" s="1"/>
  <c r="T22" i="22"/>
  <c r="T11" i="24" s="1"/>
  <c r="S22" i="22"/>
  <c r="S11" i="24" s="1"/>
  <c r="R22" i="22"/>
  <c r="R11" i="24" s="1"/>
  <c r="P22" i="22"/>
  <c r="P11" i="24" s="1"/>
  <c r="O22" i="22"/>
  <c r="O11" i="24" s="1"/>
  <c r="N22" i="22"/>
  <c r="N11" i="24" s="1"/>
  <c r="H22" i="22"/>
  <c r="G22"/>
  <c r="F22"/>
  <c r="D22"/>
  <c r="C22"/>
  <c r="C11" i="24" s="1"/>
  <c r="B22" i="22"/>
  <c r="B11" i="24" s="1"/>
  <c r="T21" i="22"/>
  <c r="T10" i="24" s="1"/>
  <c r="S21" i="22"/>
  <c r="S10" i="24" s="1"/>
  <c r="R21" i="22"/>
  <c r="R10" i="24" s="1"/>
  <c r="P21" i="22"/>
  <c r="P10" i="24" s="1"/>
  <c r="O21" i="22"/>
  <c r="O10" i="24" s="1"/>
  <c r="N21" i="22"/>
  <c r="N10" i="24" s="1"/>
  <c r="H21" i="22"/>
  <c r="G21"/>
  <c r="F21"/>
  <c r="D21"/>
  <c r="C21"/>
  <c r="C10" i="24" s="1"/>
  <c r="B21" i="22"/>
  <c r="B10" i="24" s="1"/>
  <c r="J10" s="1"/>
  <c r="T20" i="22"/>
  <c r="S20"/>
  <c r="R20"/>
  <c r="P20"/>
  <c r="O20"/>
  <c r="O19" s="1"/>
  <c r="O19" i="33" s="1"/>
  <c r="N20" i="22"/>
  <c r="N9" i="24" s="1"/>
  <c r="N8" s="1"/>
  <c r="H20" i="22"/>
  <c r="G20"/>
  <c r="G19" s="1"/>
  <c r="G19" i="33" s="1"/>
  <c r="F20" i="22"/>
  <c r="F19" s="1"/>
  <c r="F19" i="33" s="1"/>
  <c r="D20" i="22"/>
  <c r="C20"/>
  <c r="B20"/>
  <c r="Q13" i="25" l="1"/>
  <c r="Q11" i="27"/>
  <c r="Q13"/>
  <c r="Q15"/>
  <c r="U120" i="22"/>
  <c r="K22" i="27"/>
  <c r="Q37"/>
  <c r="BA123" i="22"/>
  <c r="U24" i="25"/>
  <c r="K96" i="22"/>
  <c r="AY96" s="1"/>
  <c r="I13" i="27"/>
  <c r="I22"/>
  <c r="U35" i="22"/>
  <c r="U51"/>
  <c r="I51"/>
  <c r="L51"/>
  <c r="AZ51" s="1"/>
  <c r="K52"/>
  <c r="AY52" s="1"/>
  <c r="H19"/>
  <c r="H19" i="33" s="1"/>
  <c r="I11" i="27"/>
  <c r="K15"/>
  <c r="U25" i="25"/>
  <c r="I16" i="24"/>
  <c r="F8"/>
  <c r="G8"/>
  <c r="Q117" i="23"/>
  <c r="E13" i="28"/>
  <c r="Q105" i="23"/>
  <c r="Q31" i="25"/>
  <c r="Q11"/>
  <c r="J10" i="27"/>
  <c r="L10"/>
  <c r="AZ10" s="1"/>
  <c r="L12"/>
  <c r="AZ12" s="1"/>
  <c r="L14"/>
  <c r="AZ14" s="1"/>
  <c r="L16"/>
  <c r="AZ16" s="1"/>
  <c r="K21"/>
  <c r="AY21" s="1"/>
  <c r="I22" i="22"/>
  <c r="U17" i="25"/>
  <c r="Q32"/>
  <c r="Q33"/>
  <c r="Q34"/>
  <c r="J103" i="22"/>
  <c r="L103"/>
  <c r="AZ103" s="1"/>
  <c r="I19" i="33"/>
  <c r="K37" i="27"/>
  <c r="AY37" s="1"/>
  <c r="Q10" i="25"/>
  <c r="Q12"/>
  <c r="Q19"/>
  <c r="Q24"/>
  <c r="Q25"/>
  <c r="Q26"/>
  <c r="I15" i="27"/>
  <c r="Q23"/>
  <c r="E32" i="28"/>
  <c r="AG100" i="23"/>
  <c r="AS91" i="22"/>
  <c r="AS10"/>
  <c r="AS48"/>
  <c r="BA128"/>
  <c r="J58"/>
  <c r="K71"/>
  <c r="AS128"/>
  <c r="AS133"/>
  <c r="BA12"/>
  <c r="BA43"/>
  <c r="BA62"/>
  <c r="K20"/>
  <c r="AY20" s="1"/>
  <c r="C17" i="27"/>
  <c r="F17"/>
  <c r="H17"/>
  <c r="O17"/>
  <c r="R17"/>
  <c r="T17"/>
  <c r="N17"/>
  <c r="P17"/>
  <c r="E10" i="28"/>
  <c r="AM10" i="23"/>
  <c r="AI10"/>
  <c r="AN12"/>
  <c r="AJ12"/>
  <c r="AM14"/>
  <c r="AI14"/>
  <c r="AN16"/>
  <c r="AJ16"/>
  <c r="AM32"/>
  <c r="AI32"/>
  <c r="AN39"/>
  <c r="AJ39"/>
  <c r="AM43"/>
  <c r="AI43"/>
  <c r="AN48"/>
  <c r="AJ48"/>
  <c r="AM54"/>
  <c r="AI54"/>
  <c r="AN62"/>
  <c r="AJ62"/>
  <c r="AM68"/>
  <c r="AI68"/>
  <c r="AN75"/>
  <c r="AJ75"/>
  <c r="AM83"/>
  <c r="AI83"/>
  <c r="AN91"/>
  <c r="AJ91"/>
  <c r="AM100"/>
  <c r="AI100"/>
  <c r="AN105"/>
  <c r="AJ105"/>
  <c r="AM117"/>
  <c r="AI117"/>
  <c r="AN123"/>
  <c r="AJ123"/>
  <c r="AM128"/>
  <c r="AI128"/>
  <c r="AN133"/>
  <c r="AJ133"/>
  <c r="AJ10"/>
  <c r="AN10"/>
  <c r="AI12"/>
  <c r="AM12"/>
  <c r="AJ14"/>
  <c r="AN14"/>
  <c r="AI16"/>
  <c r="AM16"/>
  <c r="AJ32"/>
  <c r="AN32"/>
  <c r="AI39"/>
  <c r="AM39"/>
  <c r="AJ43"/>
  <c r="AN43"/>
  <c r="AI48"/>
  <c r="AM48"/>
  <c r="AJ54"/>
  <c r="AN54"/>
  <c r="AI62"/>
  <c r="AM62"/>
  <c r="AJ68"/>
  <c r="AN68"/>
  <c r="AI75"/>
  <c r="AM75"/>
  <c r="AJ83"/>
  <c r="AN83"/>
  <c r="AI91"/>
  <c r="AM91"/>
  <c r="AJ100"/>
  <c r="AN100"/>
  <c r="AI105"/>
  <c r="AM105"/>
  <c r="AJ117"/>
  <c r="AN117"/>
  <c r="AI123"/>
  <c r="AM123"/>
  <c r="AJ128"/>
  <c r="AN128"/>
  <c r="AI133"/>
  <c r="AM133"/>
  <c r="R12"/>
  <c r="R16"/>
  <c r="R39"/>
  <c r="R48"/>
  <c r="R62"/>
  <c r="R75"/>
  <c r="R91"/>
  <c r="R105"/>
  <c r="R123"/>
  <c r="R133"/>
  <c r="R10"/>
  <c r="R14"/>
  <c r="R32"/>
  <c r="R43"/>
  <c r="R54"/>
  <c r="R68"/>
  <c r="R83"/>
  <c r="R100"/>
  <c r="R117"/>
  <c r="R128"/>
  <c r="AG10"/>
  <c r="AG14"/>
  <c r="AG117"/>
  <c r="AG128"/>
  <c r="K46" i="22"/>
  <c r="AY46" s="1"/>
  <c r="J78"/>
  <c r="I58"/>
  <c r="I26"/>
  <c r="I35"/>
  <c r="I36"/>
  <c r="Q71"/>
  <c r="J72"/>
  <c r="L72"/>
  <c r="J74"/>
  <c r="L74"/>
  <c r="U94"/>
  <c r="K94"/>
  <c r="AY94" s="1"/>
  <c r="I21"/>
  <c r="AS117"/>
  <c r="BA91"/>
  <c r="Q50"/>
  <c r="BA75"/>
  <c r="BA100"/>
  <c r="I27"/>
  <c r="I29"/>
  <c r="I31"/>
  <c r="I46"/>
  <c r="U46"/>
  <c r="Q47"/>
  <c r="J51"/>
  <c r="AX51" s="1"/>
  <c r="U71"/>
  <c r="I72"/>
  <c r="I74"/>
  <c r="J94"/>
  <c r="AX94" s="1"/>
  <c r="I23"/>
  <c r="U23"/>
  <c r="I25"/>
  <c r="U27"/>
  <c r="U31"/>
  <c r="P19"/>
  <c r="P19" i="33" s="1"/>
  <c r="P9" i="24"/>
  <c r="C19" i="22"/>
  <c r="C19" i="33" s="1"/>
  <c r="C9" i="24"/>
  <c r="K9" s="1"/>
  <c r="R19" i="22"/>
  <c r="R19" i="33" s="1"/>
  <c r="R9" i="24"/>
  <c r="R8" s="1"/>
  <c r="T19" i="22"/>
  <c r="T19" i="33" s="1"/>
  <c r="T9" i="24"/>
  <c r="I20" i="22"/>
  <c r="U17" i="24"/>
  <c r="U19"/>
  <c r="I42" i="22"/>
  <c r="L42"/>
  <c r="AZ42" s="1"/>
  <c r="U36" i="24"/>
  <c r="F8" i="26"/>
  <c r="O8"/>
  <c r="T8"/>
  <c r="C24"/>
  <c r="O24"/>
  <c r="R24"/>
  <c r="J20" i="22"/>
  <c r="AX20" s="1"/>
  <c r="B9" i="24"/>
  <c r="U25" i="22"/>
  <c r="S14" i="24"/>
  <c r="U14" s="1"/>
  <c r="K51" i="22"/>
  <c r="AY51" s="1"/>
  <c r="C40" i="24"/>
  <c r="K40" s="1"/>
  <c r="AY40" s="1"/>
  <c r="K53" i="22"/>
  <c r="AY53" s="1"/>
  <c r="C42" i="24"/>
  <c r="K42" s="1"/>
  <c r="L58" i="22"/>
  <c r="D10" i="25"/>
  <c r="P22" i="24"/>
  <c r="S22"/>
  <c r="G15" i="25"/>
  <c r="K58" i="22"/>
  <c r="AY58" s="1"/>
  <c r="J60"/>
  <c r="J12" i="25" s="1"/>
  <c r="L60" i="22"/>
  <c r="K61"/>
  <c r="I61"/>
  <c r="U65"/>
  <c r="I71"/>
  <c r="R21" i="25"/>
  <c r="L78" i="22"/>
  <c r="S28" i="25"/>
  <c r="E87" i="22"/>
  <c r="L87"/>
  <c r="AZ87" s="1"/>
  <c r="Q87"/>
  <c r="U87"/>
  <c r="J89"/>
  <c r="L89"/>
  <c r="AZ89" s="1"/>
  <c r="I89"/>
  <c r="Q89"/>
  <c r="K103"/>
  <c r="AY103" s="1"/>
  <c r="Q103"/>
  <c r="U103"/>
  <c r="I109"/>
  <c r="AZ28" i="27"/>
  <c r="AZ33"/>
  <c r="K136" i="22"/>
  <c r="AY136" s="1"/>
  <c r="J41" i="24"/>
  <c r="AX41" s="1"/>
  <c r="N39"/>
  <c r="F13" i="25"/>
  <c r="N23"/>
  <c r="Q23" s="1"/>
  <c r="D26"/>
  <c r="U17" i="26"/>
  <c r="L20"/>
  <c r="S40" i="22"/>
  <c r="S21" i="33" s="1"/>
  <c r="C44" i="22"/>
  <c r="C22" i="33" s="1"/>
  <c r="F44" i="22"/>
  <c r="F22" i="33" s="1"/>
  <c r="H44" i="22"/>
  <c r="H22" i="33" s="1"/>
  <c r="P49" i="22"/>
  <c r="P23" i="33" s="1"/>
  <c r="N76" i="22"/>
  <c r="N29" i="33" s="1"/>
  <c r="P76" i="22"/>
  <c r="P29" i="33" s="1"/>
  <c r="S76" i="22"/>
  <c r="S29" i="33" s="1"/>
  <c r="C85" i="22"/>
  <c r="C32" i="33" s="1"/>
  <c r="F85" i="22"/>
  <c r="F32" i="33" s="1"/>
  <c r="H85" i="22"/>
  <c r="H32" i="33" s="1"/>
  <c r="C101" i="22"/>
  <c r="C34" i="33" s="1"/>
  <c r="F101" i="22"/>
  <c r="F34" i="33" s="1"/>
  <c r="H101" i="22"/>
  <c r="H34" i="33" s="1"/>
  <c r="BA32" i="22"/>
  <c r="D12" i="25"/>
  <c r="S23"/>
  <c r="U23" s="1"/>
  <c r="D24"/>
  <c r="N29"/>
  <c r="C9" i="26"/>
  <c r="H25"/>
  <c r="H24" s="1"/>
  <c r="C24" i="24"/>
  <c r="E24" s="1"/>
  <c r="K35" i="22"/>
  <c r="AY35" s="1"/>
  <c r="K36"/>
  <c r="AY36" s="1"/>
  <c r="C25" i="24"/>
  <c r="K25" s="1"/>
  <c r="K37" i="22"/>
  <c r="AY37" s="1"/>
  <c r="C26" i="24"/>
  <c r="U37" i="22"/>
  <c r="R26" i="24"/>
  <c r="K38" i="22"/>
  <c r="AY38" s="1"/>
  <c r="C27" i="24"/>
  <c r="K27" s="1"/>
  <c r="U38" i="22"/>
  <c r="R27" i="24"/>
  <c r="C17" i="25"/>
  <c r="K65" i="22"/>
  <c r="I65"/>
  <c r="F17" i="25"/>
  <c r="K66" i="22"/>
  <c r="C18" i="25"/>
  <c r="E18" s="1"/>
  <c r="I66" i="22"/>
  <c r="F18" i="25"/>
  <c r="U66" i="22"/>
  <c r="R18" i="25"/>
  <c r="U18" s="1"/>
  <c r="K67" i="22"/>
  <c r="C19" i="25"/>
  <c r="I67" i="22"/>
  <c r="F19" i="25"/>
  <c r="K42" i="22"/>
  <c r="AY42" s="1"/>
  <c r="C31" i="24"/>
  <c r="C29" s="1"/>
  <c r="AY36"/>
  <c r="O8" i="25"/>
  <c r="T22" i="24"/>
  <c r="AY42"/>
  <c r="T8" i="25"/>
  <c r="O15" i="26"/>
  <c r="O28" s="1"/>
  <c r="U67" i="22"/>
  <c r="R19" i="25"/>
  <c r="U19" s="1"/>
  <c r="AZ78" i="22"/>
  <c r="L30" i="25"/>
  <c r="AZ30" s="1"/>
  <c r="I87" i="22"/>
  <c r="K87"/>
  <c r="AY87" s="1"/>
  <c r="J88"/>
  <c r="B11" i="26"/>
  <c r="J11" s="1"/>
  <c r="L88" i="22"/>
  <c r="AZ88" s="1"/>
  <c r="D11" i="26"/>
  <c r="J90" i="22"/>
  <c r="B13" i="26"/>
  <c r="L90" i="22"/>
  <c r="AZ90" s="1"/>
  <c r="D13" i="26"/>
  <c r="F17"/>
  <c r="I17" s="1"/>
  <c r="I94" i="22"/>
  <c r="K95"/>
  <c r="AY95" s="1"/>
  <c r="C18" i="26"/>
  <c r="E18" s="1"/>
  <c r="K97" i="22"/>
  <c r="AY97" s="1"/>
  <c r="C20" i="26"/>
  <c r="K20" s="1"/>
  <c r="K99" i="22"/>
  <c r="AY99" s="1"/>
  <c r="C22" i="26"/>
  <c r="E22" s="1"/>
  <c r="J104" i="22"/>
  <c r="B27" i="26"/>
  <c r="J27" s="1"/>
  <c r="L104" i="22"/>
  <c r="AZ104" s="1"/>
  <c r="D27" i="26"/>
  <c r="L27" s="1"/>
  <c r="J120" i="22"/>
  <c r="F21" i="27"/>
  <c r="I21" s="1"/>
  <c r="I120" i="22"/>
  <c r="L120"/>
  <c r="AZ120" s="1"/>
  <c r="H21" i="27"/>
  <c r="L21" s="1"/>
  <c r="AZ21" s="1"/>
  <c r="K122" i="22"/>
  <c r="AY122" s="1"/>
  <c r="C23" i="27"/>
  <c r="I122" i="22"/>
  <c r="F23" i="27"/>
  <c r="I23" s="1"/>
  <c r="U122" i="22"/>
  <c r="R23" i="27"/>
  <c r="J131" i="22"/>
  <c r="AX131" s="1"/>
  <c r="B32" i="27"/>
  <c r="L131" i="22"/>
  <c r="AZ131" s="1"/>
  <c r="D32" i="27"/>
  <c r="I131" i="22"/>
  <c r="G32" i="27"/>
  <c r="K32" s="1"/>
  <c r="S32"/>
  <c r="U131" i="22"/>
  <c r="E132"/>
  <c r="B33" i="27"/>
  <c r="Q132" i="22"/>
  <c r="N33" i="27"/>
  <c r="Q33" s="1"/>
  <c r="AU27" i="25"/>
  <c r="AW27"/>
  <c r="D19" i="22"/>
  <c r="D19" i="33" s="1"/>
  <c r="D9" i="24"/>
  <c r="L20" i="22"/>
  <c r="AZ20" s="1"/>
  <c r="BA20" s="1"/>
  <c r="S19"/>
  <c r="S19" i="33" s="1"/>
  <c r="S9" i="24"/>
  <c r="U20" i="22"/>
  <c r="L21"/>
  <c r="AZ21" s="1"/>
  <c r="D10" i="24"/>
  <c r="L22" i="22"/>
  <c r="AZ22" s="1"/>
  <c r="D11" i="24"/>
  <c r="L23" i="22"/>
  <c r="AZ23" s="1"/>
  <c r="D12" i="24"/>
  <c r="L12" s="1"/>
  <c r="AZ12" s="1"/>
  <c r="L24" i="22"/>
  <c r="AZ24" s="1"/>
  <c r="D13" i="24"/>
  <c r="L25" i="22"/>
  <c r="AZ25" s="1"/>
  <c r="D14" i="24"/>
  <c r="L14" s="1"/>
  <c r="AZ14" s="1"/>
  <c r="L26" i="22"/>
  <c r="AZ26" s="1"/>
  <c r="D15" i="24"/>
  <c r="L27" i="22"/>
  <c r="AZ27" s="1"/>
  <c r="D16" i="24"/>
  <c r="L16" s="1"/>
  <c r="AZ16" s="1"/>
  <c r="L28" i="22"/>
  <c r="AZ28" s="1"/>
  <c r="D17" i="24"/>
  <c r="L29" i="22"/>
  <c r="AZ29" s="1"/>
  <c r="D18" i="24"/>
  <c r="L18" s="1"/>
  <c r="AZ18" s="1"/>
  <c r="L30" i="22"/>
  <c r="AZ30" s="1"/>
  <c r="D19" i="24"/>
  <c r="L31" i="22"/>
  <c r="AZ31" s="1"/>
  <c r="D20" i="24"/>
  <c r="L20" s="1"/>
  <c r="AZ20" s="1"/>
  <c r="E46" i="22"/>
  <c r="J46"/>
  <c r="D35" i="24"/>
  <c r="L35" s="1"/>
  <c r="L46" i="22"/>
  <c r="AZ46" s="1"/>
  <c r="Q46"/>
  <c r="N35" i="24"/>
  <c r="J47" i="22"/>
  <c r="AX47" s="1"/>
  <c r="B36" i="24"/>
  <c r="L47" i="22"/>
  <c r="AZ47" s="1"/>
  <c r="D36" i="24"/>
  <c r="L36" s="1"/>
  <c r="AZ36" s="1"/>
  <c r="AX58" i="22"/>
  <c r="J10" i="25"/>
  <c r="AZ58" i="22"/>
  <c r="L10" i="25"/>
  <c r="AZ10" s="1"/>
  <c r="S10"/>
  <c r="U10" s="1"/>
  <c r="U58" i="22"/>
  <c r="J59"/>
  <c r="J11" i="25" s="1"/>
  <c r="B11"/>
  <c r="L59" i="22"/>
  <c r="D11" i="25"/>
  <c r="AZ60" i="22"/>
  <c r="L12" i="25"/>
  <c r="AZ12" s="1"/>
  <c r="AY61" i="22"/>
  <c r="K13" i="25"/>
  <c r="AY13" s="1"/>
  <c r="U61" i="22"/>
  <c r="R13" i="25"/>
  <c r="U13" s="1"/>
  <c r="AY71" i="22"/>
  <c r="K23" i="25"/>
  <c r="AY23" s="1"/>
  <c r="E71" i="22"/>
  <c r="B23" i="25"/>
  <c r="J71" i="22"/>
  <c r="D23" i="25"/>
  <c r="L71" i="22"/>
  <c r="AX72"/>
  <c r="J24" i="25"/>
  <c r="AZ72" i="22"/>
  <c r="L24" i="25"/>
  <c r="AZ24" s="1"/>
  <c r="J73" i="22"/>
  <c r="J25" i="25" s="1"/>
  <c r="B25"/>
  <c r="E25" s="1"/>
  <c r="AX74" i="22"/>
  <c r="J26" i="25"/>
  <c r="AZ74" i="22"/>
  <c r="L26" i="25"/>
  <c r="AZ26" s="1"/>
  <c r="U74" i="22"/>
  <c r="S26" i="25"/>
  <c r="U26" s="1"/>
  <c r="AX78" i="22"/>
  <c r="J30" i="25"/>
  <c r="C30"/>
  <c r="E30" s="1"/>
  <c r="K78" i="22"/>
  <c r="F30" i="25"/>
  <c r="F28" s="1"/>
  <c r="I78" i="22"/>
  <c r="AY79"/>
  <c r="K31" i="25"/>
  <c r="AY31" s="1"/>
  <c r="K80" i="22"/>
  <c r="C32" i="25"/>
  <c r="E32" s="1"/>
  <c r="AY81" i="22"/>
  <c r="K33" i="25"/>
  <c r="AY33" s="1"/>
  <c r="K82" i="22"/>
  <c r="C34" i="25"/>
  <c r="E34" s="1"/>
  <c r="Q109" i="22"/>
  <c r="N10" i="27"/>
  <c r="Q10" s="1"/>
  <c r="S10"/>
  <c r="U109" i="22"/>
  <c r="J110"/>
  <c r="B11" i="27"/>
  <c r="L110" i="22"/>
  <c r="AZ110" s="1"/>
  <c r="D11" i="27"/>
  <c r="Q111" i="22"/>
  <c r="N12" i="27"/>
  <c r="Q12" s="1"/>
  <c r="J112" i="22"/>
  <c r="B13" i="27"/>
  <c r="L112" i="22"/>
  <c r="AZ112" s="1"/>
  <c r="D13" i="27"/>
  <c r="Q113" i="22"/>
  <c r="N14" i="27"/>
  <c r="Q14" s="1"/>
  <c r="J114" i="22"/>
  <c r="B15" i="27"/>
  <c r="L114" i="22"/>
  <c r="AZ114" s="1"/>
  <c r="D15" i="27"/>
  <c r="Q115" i="22"/>
  <c r="N16" i="27"/>
  <c r="Q16" s="1"/>
  <c r="J116" i="22"/>
  <c r="B17" i="27"/>
  <c r="L116" i="22"/>
  <c r="D17" i="27"/>
  <c r="I116" i="22"/>
  <c r="G17" i="27"/>
  <c r="U116" i="22"/>
  <c r="S17" i="27"/>
  <c r="J126" i="22"/>
  <c r="AX126" s="1"/>
  <c r="B27" i="27"/>
  <c r="L126" i="22"/>
  <c r="AZ126" s="1"/>
  <c r="D27" i="27"/>
  <c r="I126" i="22"/>
  <c r="G27" i="27"/>
  <c r="I27" s="1"/>
  <c r="K126" i="22"/>
  <c r="AY126" s="1"/>
  <c r="U126"/>
  <c r="S27" i="27"/>
  <c r="Q127" i="22"/>
  <c r="N28" i="27"/>
  <c r="Q28" s="1"/>
  <c r="F37"/>
  <c r="I37" s="1"/>
  <c r="I136" i="22"/>
  <c r="K137"/>
  <c r="AY137" s="1"/>
  <c r="C38" i="27"/>
  <c r="I137" i="22"/>
  <c r="F38" i="27"/>
  <c r="I38" s="1"/>
  <c r="U137" i="22"/>
  <c r="R38" i="27"/>
  <c r="Q34" i="22"/>
  <c r="N23" i="24"/>
  <c r="Q41" i="22"/>
  <c r="N30" i="24"/>
  <c r="N29" s="1"/>
  <c r="P40" i="22"/>
  <c r="P21" i="33" s="1"/>
  <c r="P30" i="24"/>
  <c r="S44" i="22"/>
  <c r="S22" i="33" s="1"/>
  <c r="S34" i="24"/>
  <c r="S49" i="22"/>
  <c r="S23" i="33" s="1"/>
  <c r="S39" i="24"/>
  <c r="S38" s="1"/>
  <c r="C56" i="22"/>
  <c r="C26" i="33" s="1"/>
  <c r="C9" i="25"/>
  <c r="E9" s="1"/>
  <c r="F56" i="22"/>
  <c r="F26" i="33" s="1"/>
  <c r="F9" i="25"/>
  <c r="F8" s="1"/>
  <c r="H56" i="22"/>
  <c r="H26" i="33" s="1"/>
  <c r="H9" i="25"/>
  <c r="H8" s="1"/>
  <c r="N56" i="22"/>
  <c r="N26" i="33" s="1"/>
  <c r="N9" i="25"/>
  <c r="P56" i="22"/>
  <c r="P26" i="33" s="1"/>
  <c r="P9" i="25"/>
  <c r="S56" i="22"/>
  <c r="S26" i="33" s="1"/>
  <c r="S9" i="25"/>
  <c r="U9" s="1"/>
  <c r="C63" i="22"/>
  <c r="C27" i="33" s="1"/>
  <c r="C16" i="25"/>
  <c r="E16" s="1"/>
  <c r="F63" i="22"/>
  <c r="F27" i="33" s="1"/>
  <c r="F16" i="25"/>
  <c r="H63" i="22"/>
  <c r="H27" i="33" s="1"/>
  <c r="H16" i="25"/>
  <c r="H15" s="1"/>
  <c r="Q64" i="22"/>
  <c r="N16" i="25"/>
  <c r="P63" i="22"/>
  <c r="P27" i="33" s="1"/>
  <c r="P16" i="25"/>
  <c r="S63" i="22"/>
  <c r="S27" i="33" s="1"/>
  <c r="S16" i="25"/>
  <c r="U16" s="1"/>
  <c r="C69" i="22"/>
  <c r="C28" i="33" s="1"/>
  <c r="C22" i="25"/>
  <c r="E22" s="1"/>
  <c r="F69" i="22"/>
  <c r="F28" i="33" s="1"/>
  <c r="F22" i="25"/>
  <c r="F21" s="1"/>
  <c r="H69" i="22"/>
  <c r="H28" i="33" s="1"/>
  <c r="H22" i="25"/>
  <c r="H21" s="1"/>
  <c r="Q70" i="22"/>
  <c r="N22" i="25"/>
  <c r="P69" i="22"/>
  <c r="P28" i="33" s="1"/>
  <c r="P22" i="25"/>
  <c r="S69" i="22"/>
  <c r="S28" i="33" s="1"/>
  <c r="S22" i="25"/>
  <c r="U22" s="1"/>
  <c r="Q86" i="22"/>
  <c r="N9" i="26"/>
  <c r="P85" i="22"/>
  <c r="P32" i="33" s="1"/>
  <c r="P9" i="26"/>
  <c r="P8" s="1"/>
  <c r="S85" i="22"/>
  <c r="S32" i="33" s="1"/>
  <c r="S9" i="26"/>
  <c r="C92" i="22"/>
  <c r="C16" i="26"/>
  <c r="N92" i="22"/>
  <c r="N33" i="33" s="1"/>
  <c r="N16" i="26"/>
  <c r="N15" s="1"/>
  <c r="P92" i="22"/>
  <c r="P33" i="33" s="1"/>
  <c r="P16" i="26"/>
  <c r="P15" s="1"/>
  <c r="S92" i="22"/>
  <c r="S33" i="33" s="1"/>
  <c r="S16" i="26"/>
  <c r="Q102" i="22"/>
  <c r="N25" i="26"/>
  <c r="P101" i="22"/>
  <c r="P34" i="33" s="1"/>
  <c r="P25" i="26"/>
  <c r="P24" s="1"/>
  <c r="S101" i="22"/>
  <c r="S34" i="33" s="1"/>
  <c r="S25" i="26"/>
  <c r="C107" i="22"/>
  <c r="C37" i="33" s="1"/>
  <c r="C9" i="27"/>
  <c r="F107" i="22"/>
  <c r="F37" i="33" s="1"/>
  <c r="F9" i="27"/>
  <c r="H107" i="22"/>
  <c r="H37" i="33" s="1"/>
  <c r="H9" i="27"/>
  <c r="H8" s="1"/>
  <c r="Q108" i="22"/>
  <c r="N9" i="27"/>
  <c r="P107" i="22"/>
  <c r="P37" i="33" s="1"/>
  <c r="P9" i="27"/>
  <c r="S107" i="22"/>
  <c r="S37" i="33" s="1"/>
  <c r="S9" i="27"/>
  <c r="C118" i="22"/>
  <c r="C38" i="33" s="1"/>
  <c r="C20" i="27"/>
  <c r="F118" i="22"/>
  <c r="F38" i="33" s="1"/>
  <c r="F20" i="27"/>
  <c r="H118" i="22"/>
  <c r="H38" i="33" s="1"/>
  <c r="H20" i="27"/>
  <c r="H19" s="1"/>
  <c r="N118" i="22"/>
  <c r="N38" i="33" s="1"/>
  <c r="N20" i="27"/>
  <c r="P118" i="22"/>
  <c r="P38" i="33" s="1"/>
  <c r="P20" i="27"/>
  <c r="S118" i="22"/>
  <c r="S38" i="33" s="1"/>
  <c r="S20" i="27"/>
  <c r="C124" i="22"/>
  <c r="C39" i="33" s="1"/>
  <c r="C26" i="27"/>
  <c r="F124" i="22"/>
  <c r="F39" i="33" s="1"/>
  <c r="F26" i="27"/>
  <c r="H124" i="22"/>
  <c r="H39" i="33" s="1"/>
  <c r="H26" i="27"/>
  <c r="H25" s="1"/>
  <c r="N124" i="22"/>
  <c r="N39" i="33" s="1"/>
  <c r="N26" i="27"/>
  <c r="P124" i="22"/>
  <c r="P39" i="33" s="1"/>
  <c r="P26" i="27"/>
  <c r="S124" i="22"/>
  <c r="S39" i="33" s="1"/>
  <c r="S26" i="27"/>
  <c r="S25" s="1"/>
  <c r="C129" i="22"/>
  <c r="C40" i="33" s="1"/>
  <c r="C31" i="27"/>
  <c r="F129" i="22"/>
  <c r="F40" i="33" s="1"/>
  <c r="F31" i="27"/>
  <c r="H129" i="22"/>
  <c r="H40" i="33" s="1"/>
  <c r="H31" i="27"/>
  <c r="H30" s="1"/>
  <c r="Q130" i="22"/>
  <c r="N31" i="27"/>
  <c r="P129" i="22"/>
  <c r="P40" i="33" s="1"/>
  <c r="P31" i="27"/>
  <c r="S129" i="22"/>
  <c r="S40" i="33" s="1"/>
  <c r="S31" i="27"/>
  <c r="C134" i="22"/>
  <c r="C41" i="33" s="1"/>
  <c r="C36" i="27"/>
  <c r="F134" i="22"/>
  <c r="F41" i="33" s="1"/>
  <c r="F36" i="27"/>
  <c r="H134" i="22"/>
  <c r="H41" i="33" s="1"/>
  <c r="H36" i="27"/>
  <c r="H35" s="1"/>
  <c r="N134" i="22"/>
  <c r="N41" i="33" s="1"/>
  <c r="N36" i="27"/>
  <c r="P134" i="22"/>
  <c r="P41" i="33" s="1"/>
  <c r="P36" i="27"/>
  <c r="S134" i="22"/>
  <c r="S41" i="33" s="1"/>
  <c r="S36" i="27"/>
  <c r="S35" s="1"/>
  <c r="E9" i="29"/>
  <c r="L19" i="23"/>
  <c r="L19" i="34" s="1"/>
  <c r="L9" i="29"/>
  <c r="E10"/>
  <c r="E11"/>
  <c r="M22" i="23"/>
  <c r="J11" i="29"/>
  <c r="M11" s="1"/>
  <c r="E13"/>
  <c r="M24" i="23"/>
  <c r="J13" i="29"/>
  <c r="M13" s="1"/>
  <c r="E14"/>
  <c r="E15"/>
  <c r="M26" i="23"/>
  <c r="J15" i="29"/>
  <c r="M15" s="1"/>
  <c r="E17"/>
  <c r="M28" i="23"/>
  <c r="J17" i="29"/>
  <c r="M17" s="1"/>
  <c r="E18"/>
  <c r="E19"/>
  <c r="M30" i="23"/>
  <c r="J19" i="29"/>
  <c r="M19" s="1"/>
  <c r="E24"/>
  <c r="M35" i="23"/>
  <c r="J24" i="29"/>
  <c r="M24" s="1"/>
  <c r="E26"/>
  <c r="M37" i="23"/>
  <c r="J26" i="29"/>
  <c r="M26" s="1"/>
  <c r="E31"/>
  <c r="M42" i="23"/>
  <c r="J31" i="29"/>
  <c r="M31" s="1"/>
  <c r="E36"/>
  <c r="M47" i="23"/>
  <c r="J36" i="29"/>
  <c r="M36" s="1"/>
  <c r="E41"/>
  <c r="M52" i="23"/>
  <c r="J41" i="29"/>
  <c r="M41" s="1"/>
  <c r="M58" i="23"/>
  <c r="J10" i="28"/>
  <c r="M10" s="1"/>
  <c r="M60" i="23"/>
  <c r="J12" i="28"/>
  <c r="M12" s="1"/>
  <c r="M65" i="23"/>
  <c r="J17" i="28"/>
  <c r="M17" s="1"/>
  <c r="M67" i="23"/>
  <c r="J19" i="28"/>
  <c r="M19" s="1"/>
  <c r="E24"/>
  <c r="M72" i="23"/>
  <c r="J24" i="28"/>
  <c r="M24" s="1"/>
  <c r="E26"/>
  <c r="M74" i="23"/>
  <c r="J26" i="28"/>
  <c r="M26" s="1"/>
  <c r="M79" i="23"/>
  <c r="J31" i="28"/>
  <c r="M31" s="1"/>
  <c r="M81" i="23"/>
  <c r="J33" i="28"/>
  <c r="M33" s="1"/>
  <c r="E10" i="30"/>
  <c r="M87" i="23"/>
  <c r="J10" i="30"/>
  <c r="M10" s="1"/>
  <c r="E12"/>
  <c r="M89" i="23"/>
  <c r="J12" i="30"/>
  <c r="M12" s="1"/>
  <c r="E17"/>
  <c r="E18"/>
  <c r="M95" i="23"/>
  <c r="J18" i="30"/>
  <c r="M18" s="1"/>
  <c r="E19"/>
  <c r="E20"/>
  <c r="M97" i="23"/>
  <c r="J20" i="30"/>
  <c r="M20" s="1"/>
  <c r="E21"/>
  <c r="E22"/>
  <c r="M99" i="23"/>
  <c r="J22" i="30"/>
  <c r="M22" s="1"/>
  <c r="E27"/>
  <c r="M104" i="23"/>
  <c r="J27" i="30"/>
  <c r="M27" s="1"/>
  <c r="E10" i="31"/>
  <c r="E11"/>
  <c r="M110" i="23"/>
  <c r="J11" i="31"/>
  <c r="M11" s="1"/>
  <c r="E12"/>
  <c r="E13"/>
  <c r="M112" i="23"/>
  <c r="J13" i="31"/>
  <c r="M13" s="1"/>
  <c r="E14"/>
  <c r="E15"/>
  <c r="M114" i="23"/>
  <c r="J15" i="31"/>
  <c r="M15" s="1"/>
  <c r="E16"/>
  <c r="E17"/>
  <c r="M116" i="23"/>
  <c r="J17" i="31"/>
  <c r="M17" s="1"/>
  <c r="E22"/>
  <c r="M121" i="23"/>
  <c r="J22" i="31"/>
  <c r="M22" s="1"/>
  <c r="E27"/>
  <c r="M126" i="23"/>
  <c r="J27" i="31"/>
  <c r="M27" s="1"/>
  <c r="E32"/>
  <c r="M131" i="23"/>
  <c r="J32" i="31"/>
  <c r="M32" s="1"/>
  <c r="E37"/>
  <c r="M136" i="23"/>
  <c r="J37" i="31"/>
  <c r="M37" s="1"/>
  <c r="O15" i="25"/>
  <c r="AP20"/>
  <c r="AW20"/>
  <c r="AY17" i="24"/>
  <c r="I36"/>
  <c r="K24"/>
  <c r="AY24" s="1"/>
  <c r="BA24" s="1"/>
  <c r="AS21"/>
  <c r="AX35"/>
  <c r="P8"/>
  <c r="O29"/>
  <c r="T33"/>
  <c r="T38"/>
  <c r="R15" i="25"/>
  <c r="D10" i="26"/>
  <c r="L10" s="1"/>
  <c r="B12"/>
  <c r="C19"/>
  <c r="K19" s="1"/>
  <c r="AY19" s="1"/>
  <c r="D26"/>
  <c r="G10"/>
  <c r="K10" s="1"/>
  <c r="I13"/>
  <c r="F15"/>
  <c r="I27"/>
  <c r="N12"/>
  <c r="Q12" s="1"/>
  <c r="N26"/>
  <c r="R15"/>
  <c r="S26"/>
  <c r="BA51" i="22"/>
  <c r="L94"/>
  <c r="AZ94" s="1"/>
  <c r="BA94" s="1"/>
  <c r="L17" i="26"/>
  <c r="I103" i="22"/>
  <c r="K120"/>
  <c r="AY120" s="1"/>
  <c r="K131"/>
  <c r="AY131" s="1"/>
  <c r="C40"/>
  <c r="C21" i="33" s="1"/>
  <c r="F40" i="22"/>
  <c r="F21" i="33" s="1"/>
  <c r="H40" i="22"/>
  <c r="H21" i="33" s="1"/>
  <c r="N44" i="22"/>
  <c r="N22" i="33" s="1"/>
  <c r="P44" i="22"/>
  <c r="P22" i="33" s="1"/>
  <c r="C49" i="22"/>
  <c r="C23" i="33" s="1"/>
  <c r="F49" i="22"/>
  <c r="F23" i="33" s="1"/>
  <c r="H49" i="22"/>
  <c r="H23" i="33" s="1"/>
  <c r="C76" i="22"/>
  <c r="C29" i="33" s="1"/>
  <c r="F76" i="22"/>
  <c r="F29" i="33" s="1"/>
  <c r="H76" i="22"/>
  <c r="H29" i="33" s="1"/>
  <c r="F92" i="22"/>
  <c r="H92"/>
  <c r="AY13" i="24"/>
  <c r="L40"/>
  <c r="AZ40" s="1"/>
  <c r="AY15"/>
  <c r="AY19"/>
  <c r="C34"/>
  <c r="C33" s="1"/>
  <c r="C39"/>
  <c r="C41"/>
  <c r="O22"/>
  <c r="P34"/>
  <c r="P33" s="1"/>
  <c r="N36"/>
  <c r="P39"/>
  <c r="P38" s="1"/>
  <c r="T8"/>
  <c r="S12"/>
  <c r="S16"/>
  <c r="U16" s="1"/>
  <c r="S20"/>
  <c r="S30"/>
  <c r="S29" s="1"/>
  <c r="R33"/>
  <c r="S35"/>
  <c r="U35" s="1"/>
  <c r="R38"/>
  <c r="AQ27" i="25"/>
  <c r="B10"/>
  <c r="E10" s="1"/>
  <c r="G10"/>
  <c r="G8" s="1"/>
  <c r="K10"/>
  <c r="AY10" s="1"/>
  <c r="B12"/>
  <c r="C13"/>
  <c r="T15"/>
  <c r="T21"/>
  <c r="B24"/>
  <c r="G24"/>
  <c r="B26"/>
  <c r="G26"/>
  <c r="G21" s="1"/>
  <c r="C29"/>
  <c r="H29"/>
  <c r="H28" s="1"/>
  <c r="H35" s="1"/>
  <c r="P29"/>
  <c r="C31"/>
  <c r="C33"/>
  <c r="B10" i="26"/>
  <c r="J10" s="1"/>
  <c r="D12"/>
  <c r="L12" s="1"/>
  <c r="AZ12" s="1"/>
  <c r="C17"/>
  <c r="J20"/>
  <c r="AX20" s="1"/>
  <c r="C21"/>
  <c r="K21" s="1"/>
  <c r="L22"/>
  <c r="B26"/>
  <c r="J26" s="1"/>
  <c r="H9"/>
  <c r="H8" s="1"/>
  <c r="G12"/>
  <c r="I12" s="1"/>
  <c r="H16"/>
  <c r="H15" s="1"/>
  <c r="F25"/>
  <c r="F24" s="1"/>
  <c r="G26"/>
  <c r="I26" s="1"/>
  <c r="N10"/>
  <c r="S10"/>
  <c r="U13"/>
  <c r="T15"/>
  <c r="T24"/>
  <c r="E33" i="28"/>
  <c r="E31"/>
  <c r="E23"/>
  <c r="E19"/>
  <c r="E11"/>
  <c r="K109" i="22"/>
  <c r="AY109" s="1"/>
  <c r="C10" i="27"/>
  <c r="E10" s="1"/>
  <c r="K111" i="22"/>
  <c r="AY111" s="1"/>
  <c r="C12" i="27"/>
  <c r="E12" s="1"/>
  <c r="I111" i="22"/>
  <c r="F12" i="27"/>
  <c r="I12" s="1"/>
  <c r="U111" i="22"/>
  <c r="R12" i="27"/>
  <c r="K113" i="22"/>
  <c r="AY113" s="1"/>
  <c r="C14" i="27"/>
  <c r="E14" s="1"/>
  <c r="I113" i="22"/>
  <c r="F14" i="27"/>
  <c r="I14" s="1"/>
  <c r="U113" i="22"/>
  <c r="R14" i="27"/>
  <c r="K115" i="22"/>
  <c r="AY115" s="1"/>
  <c r="C16" i="27"/>
  <c r="E16" s="1"/>
  <c r="I115" i="22"/>
  <c r="F16" i="27"/>
  <c r="I16" s="1"/>
  <c r="E120" i="22"/>
  <c r="B21" i="27"/>
  <c r="Q120" i="22"/>
  <c r="N21" i="27"/>
  <c r="Q21" s="1"/>
  <c r="J121" i="22"/>
  <c r="B22" i="27"/>
  <c r="L121" i="22"/>
  <c r="AZ121" s="1"/>
  <c r="D22" i="27"/>
  <c r="U121" i="22"/>
  <c r="S22" i="27"/>
  <c r="E122" i="22"/>
  <c r="B23" i="27"/>
  <c r="K127" i="22"/>
  <c r="AY127" s="1"/>
  <c r="C28" i="27"/>
  <c r="K28" s="1"/>
  <c r="I127" i="22"/>
  <c r="F28" i="27"/>
  <c r="U127" i="22"/>
  <c r="R28" i="27"/>
  <c r="K132" i="22"/>
  <c r="AY132" s="1"/>
  <c r="C33" i="27"/>
  <c r="I132" i="22"/>
  <c r="F33" i="27"/>
  <c r="I33" s="1"/>
  <c r="U132" i="22"/>
  <c r="R33" i="27"/>
  <c r="J136" i="22"/>
  <c r="AX136" s="1"/>
  <c r="B37" i="27"/>
  <c r="L136" i="22"/>
  <c r="AZ136" s="1"/>
  <c r="D37" i="27"/>
  <c r="J137" i="22"/>
  <c r="AX137" s="1"/>
  <c r="B38" i="27"/>
  <c r="L137" i="22"/>
  <c r="AZ137" s="1"/>
  <c r="D38" i="27"/>
  <c r="Q137" i="22"/>
  <c r="N38" i="27"/>
  <c r="Q38" s="1"/>
  <c r="B107" i="22"/>
  <c r="B37" i="33" s="1"/>
  <c r="B9" i="27"/>
  <c r="D107" i="22"/>
  <c r="D37" i="33" s="1"/>
  <c r="D9" i="27"/>
  <c r="L9" s="1"/>
  <c r="G107" i="22"/>
  <c r="G37" i="33" s="1"/>
  <c r="G9" i="27"/>
  <c r="O107" i="22"/>
  <c r="O37" i="33" s="1"/>
  <c r="O9" i="27"/>
  <c r="R107" i="22"/>
  <c r="R37" i="33" s="1"/>
  <c r="R9" i="27"/>
  <c r="R8" s="1"/>
  <c r="T107" i="22"/>
  <c r="T37" i="33" s="1"/>
  <c r="T9" i="27"/>
  <c r="T8" s="1"/>
  <c r="E119" i="22"/>
  <c r="B20" i="27"/>
  <c r="D118" i="22"/>
  <c r="D38" i="33" s="1"/>
  <c r="D20" i="27"/>
  <c r="L20" s="1"/>
  <c r="G118" i="22"/>
  <c r="G38" i="33" s="1"/>
  <c r="G20" i="27"/>
  <c r="G19" s="1"/>
  <c r="O118" i="22"/>
  <c r="O38" i="33" s="1"/>
  <c r="O20" i="27"/>
  <c r="R118" i="22"/>
  <c r="R38" i="33" s="1"/>
  <c r="R20" i="27"/>
  <c r="R19" s="1"/>
  <c r="T118" i="22"/>
  <c r="T38" i="33" s="1"/>
  <c r="T20" i="27"/>
  <c r="T19" s="1"/>
  <c r="E125" i="22"/>
  <c r="B26" i="27"/>
  <c r="D124" i="22"/>
  <c r="D39" i="33" s="1"/>
  <c r="D26" i="27"/>
  <c r="L26" s="1"/>
  <c r="G124" i="22"/>
  <c r="G39" i="33" s="1"/>
  <c r="G26" i="27"/>
  <c r="O124" i="22"/>
  <c r="O39" i="33" s="1"/>
  <c r="O26" i="27"/>
  <c r="R124" i="22"/>
  <c r="R39" i="33" s="1"/>
  <c r="R26" i="27"/>
  <c r="R25" s="1"/>
  <c r="T124" i="22"/>
  <c r="T39" i="33" s="1"/>
  <c r="T26" i="27"/>
  <c r="T25" s="1"/>
  <c r="E130" i="22"/>
  <c r="B31" i="27"/>
  <c r="D129" i="22"/>
  <c r="D40" i="33" s="1"/>
  <c r="D31" i="27"/>
  <c r="L31" s="1"/>
  <c r="G129" i="22"/>
  <c r="G40" i="33" s="1"/>
  <c r="G31" i="27"/>
  <c r="G30" s="1"/>
  <c r="O129" i="22"/>
  <c r="O40" i="33" s="1"/>
  <c r="O31" i="27"/>
  <c r="R129" i="22"/>
  <c r="R40" i="33" s="1"/>
  <c r="R31" i="27"/>
  <c r="R30" s="1"/>
  <c r="T129" i="22"/>
  <c r="T40" i="33" s="1"/>
  <c r="T31" i="27"/>
  <c r="T30" s="1"/>
  <c r="E135" i="22"/>
  <c r="B36" i="27"/>
  <c r="D134" i="22"/>
  <c r="D41" i="33" s="1"/>
  <c r="D36" i="27"/>
  <c r="L36" s="1"/>
  <c r="G134" i="22"/>
  <c r="G41" i="33" s="1"/>
  <c r="G36" i="27"/>
  <c r="G35" s="1"/>
  <c r="O134" i="22"/>
  <c r="O41" i="33" s="1"/>
  <c r="O36" i="27"/>
  <c r="R134" i="22"/>
  <c r="R41" i="33" s="1"/>
  <c r="R36" i="27"/>
  <c r="R35" s="1"/>
  <c r="T134" i="22"/>
  <c r="T41" i="33" s="1"/>
  <c r="T36" i="27"/>
  <c r="T35" s="1"/>
  <c r="K19" i="23"/>
  <c r="K19" i="34" s="1"/>
  <c r="K9" i="29"/>
  <c r="M21" i="23"/>
  <c r="J10" i="29"/>
  <c r="M10" s="1"/>
  <c r="M23" i="23"/>
  <c r="J12" i="29"/>
  <c r="M12" s="1"/>
  <c r="M25" i="23"/>
  <c r="J14" i="29"/>
  <c r="M14" s="1"/>
  <c r="M27" i="23"/>
  <c r="J16" i="29"/>
  <c r="M16" s="1"/>
  <c r="M29" i="23"/>
  <c r="J18" i="29"/>
  <c r="M18" s="1"/>
  <c r="M31" i="23"/>
  <c r="J20" i="29"/>
  <c r="M20" s="1"/>
  <c r="M36" i="23"/>
  <c r="J25" i="29"/>
  <c r="M25" s="1"/>
  <c r="M38" i="23"/>
  <c r="J27" i="29"/>
  <c r="M27" s="1"/>
  <c r="M46" i="23"/>
  <c r="J35" i="29"/>
  <c r="M35" s="1"/>
  <c r="M51" i="23"/>
  <c r="J40" i="29"/>
  <c r="M40" s="1"/>
  <c r="M53" i="23"/>
  <c r="J42" i="29"/>
  <c r="M42" s="1"/>
  <c r="M59" i="23"/>
  <c r="J11" i="28"/>
  <c r="M11" s="1"/>
  <c r="M61" i="23"/>
  <c r="J13" i="28"/>
  <c r="M13" s="1"/>
  <c r="M66" i="23"/>
  <c r="J18" i="28"/>
  <c r="M18" s="1"/>
  <c r="M71" i="23"/>
  <c r="J23" i="28"/>
  <c r="M23" s="1"/>
  <c r="M73" i="23"/>
  <c r="J25" i="28"/>
  <c r="M25" s="1"/>
  <c r="J30"/>
  <c r="J32"/>
  <c r="J34"/>
  <c r="M88" i="23"/>
  <c r="J11" i="30"/>
  <c r="M11" s="1"/>
  <c r="M90" i="23"/>
  <c r="J13" i="30"/>
  <c r="M13" s="1"/>
  <c r="M94" i="23"/>
  <c r="J17" i="30"/>
  <c r="M17" s="1"/>
  <c r="M96" i="23"/>
  <c r="J19" i="30"/>
  <c r="M19" s="1"/>
  <c r="M98" i="23"/>
  <c r="J21" i="30"/>
  <c r="M21" s="1"/>
  <c r="M103" i="23"/>
  <c r="J26" i="30"/>
  <c r="M26" s="1"/>
  <c r="M109" i="23"/>
  <c r="J10" i="31"/>
  <c r="M10" s="1"/>
  <c r="M111" i="23"/>
  <c r="J12" i="31"/>
  <c r="M12" s="1"/>
  <c r="M113" i="23"/>
  <c r="J14" i="31"/>
  <c r="M14" s="1"/>
  <c r="M115" i="23"/>
  <c r="J16" i="31"/>
  <c r="M16" s="1"/>
  <c r="M120" i="23"/>
  <c r="J21" i="31"/>
  <c r="M21" s="1"/>
  <c r="M122" i="23"/>
  <c r="J23" i="31"/>
  <c r="M23" s="1"/>
  <c r="M127" i="23"/>
  <c r="J28" i="31"/>
  <c r="M28" s="1"/>
  <c r="M132" i="23"/>
  <c r="J33" i="31"/>
  <c r="M33" s="1"/>
  <c r="M137" i="23"/>
  <c r="J38" i="31"/>
  <c r="M38" s="1"/>
  <c r="K21" i="22"/>
  <c r="AY21" s="1"/>
  <c r="K22"/>
  <c r="AY22" s="1"/>
  <c r="K23"/>
  <c r="AY23" s="1"/>
  <c r="K24"/>
  <c r="AY24" s="1"/>
  <c r="K25"/>
  <c r="AY25" s="1"/>
  <c r="K26"/>
  <c r="AY26" s="1"/>
  <c r="K27"/>
  <c r="AY27" s="1"/>
  <c r="K28"/>
  <c r="AY28" s="1"/>
  <c r="K29"/>
  <c r="AY29" s="1"/>
  <c r="K30"/>
  <c r="AY30" s="1"/>
  <c r="K31"/>
  <c r="AY31" s="1"/>
  <c r="J36"/>
  <c r="L36"/>
  <c r="AZ36" s="1"/>
  <c r="J37"/>
  <c r="AX37" s="1"/>
  <c r="L37"/>
  <c r="AZ37" s="1"/>
  <c r="Q37"/>
  <c r="J38"/>
  <c r="AX38" s="1"/>
  <c r="L38"/>
  <c r="AZ38" s="1"/>
  <c r="E42"/>
  <c r="Q42"/>
  <c r="K47"/>
  <c r="AY47" s="1"/>
  <c r="I47"/>
  <c r="U47"/>
  <c r="E51"/>
  <c r="Q51"/>
  <c r="J52"/>
  <c r="AX52" s="1"/>
  <c r="L52"/>
  <c r="AZ52" s="1"/>
  <c r="I52"/>
  <c r="J53"/>
  <c r="L53"/>
  <c r="AZ53" s="1"/>
  <c r="K59"/>
  <c r="I59"/>
  <c r="U59"/>
  <c r="K60"/>
  <c r="L61"/>
  <c r="Q61"/>
  <c r="J65"/>
  <c r="L65"/>
  <c r="Q65"/>
  <c r="J66"/>
  <c r="L66"/>
  <c r="J67"/>
  <c r="J19" i="25" s="1"/>
  <c r="L67" i="22"/>
  <c r="Q67"/>
  <c r="K72"/>
  <c r="M72" s="1"/>
  <c r="K73"/>
  <c r="K74"/>
  <c r="E78"/>
  <c r="Q78"/>
  <c r="J79"/>
  <c r="L79"/>
  <c r="I79"/>
  <c r="Q79"/>
  <c r="J80"/>
  <c r="J32" i="25" s="1"/>
  <c r="L80" i="22"/>
  <c r="I80"/>
  <c r="J81"/>
  <c r="J33" i="25" s="1"/>
  <c r="L81" i="22"/>
  <c r="Q81"/>
  <c r="J82"/>
  <c r="J34" i="25" s="1"/>
  <c r="L82" i="22"/>
  <c r="I82"/>
  <c r="K88"/>
  <c r="AY88" s="1"/>
  <c r="I88"/>
  <c r="U88"/>
  <c r="K89"/>
  <c r="AY89" s="1"/>
  <c r="U89"/>
  <c r="K90"/>
  <c r="AY90" s="1"/>
  <c r="I90"/>
  <c r="U90"/>
  <c r="E94"/>
  <c r="Q94"/>
  <c r="J95"/>
  <c r="AX95" s="1"/>
  <c r="L95"/>
  <c r="AZ95" s="1"/>
  <c r="J96"/>
  <c r="AX96" s="1"/>
  <c r="L96"/>
  <c r="AZ96" s="1"/>
  <c r="I96"/>
  <c r="J97"/>
  <c r="M97" s="1"/>
  <c r="L97"/>
  <c r="AZ97" s="1"/>
  <c r="J98"/>
  <c r="AX98" s="1"/>
  <c r="L98"/>
  <c r="AZ98" s="1"/>
  <c r="J99"/>
  <c r="AX99" s="1"/>
  <c r="L99"/>
  <c r="AZ99" s="1"/>
  <c r="I99"/>
  <c r="U99"/>
  <c r="K104"/>
  <c r="AY104" s="1"/>
  <c r="AY11" i="27"/>
  <c r="AY13"/>
  <c r="AY15"/>
  <c r="AZ23"/>
  <c r="E34" i="22"/>
  <c r="E41"/>
  <c r="D40"/>
  <c r="D21" i="33" s="1"/>
  <c r="L21" s="1"/>
  <c r="AZ21" s="1"/>
  <c r="G40" i="22"/>
  <c r="G21" i="33" s="1"/>
  <c r="O40" i="22"/>
  <c r="O21" i="33" s="1"/>
  <c r="R40" i="22"/>
  <c r="R21" i="33" s="1"/>
  <c r="T40" i="22"/>
  <c r="T21" i="33" s="1"/>
  <c r="E45" i="22"/>
  <c r="D44"/>
  <c r="D22" i="33" s="1"/>
  <c r="L22" s="1"/>
  <c r="AZ22" s="1"/>
  <c r="G44" i="22"/>
  <c r="G22" i="33" s="1"/>
  <c r="O44" i="22"/>
  <c r="O22" i="33" s="1"/>
  <c r="R44" i="22"/>
  <c r="R22" i="33" s="1"/>
  <c r="T44" i="22"/>
  <c r="T22" i="33" s="1"/>
  <c r="B49" i="22"/>
  <c r="B23" i="33" s="1"/>
  <c r="D49" i="22"/>
  <c r="D23" i="33" s="1"/>
  <c r="L23" s="1"/>
  <c r="AZ23" s="1"/>
  <c r="G49" i="22"/>
  <c r="G23" i="33" s="1"/>
  <c r="O49" i="22"/>
  <c r="O23" i="33" s="1"/>
  <c r="R49" i="22"/>
  <c r="R23" i="33" s="1"/>
  <c r="T49" i="22"/>
  <c r="T23" i="33" s="1"/>
  <c r="E57" i="22"/>
  <c r="D56"/>
  <c r="D26" i="33" s="1"/>
  <c r="G56" i="22"/>
  <c r="G26" i="33" s="1"/>
  <c r="O56" i="22"/>
  <c r="O26" i="33" s="1"/>
  <c r="R56" i="22"/>
  <c r="R26" i="33" s="1"/>
  <c r="T56" i="22"/>
  <c r="T26" i="33" s="1"/>
  <c r="B63" i="22"/>
  <c r="B27" i="33" s="1"/>
  <c r="D63" i="22"/>
  <c r="D27" i="33" s="1"/>
  <c r="L27" s="1"/>
  <c r="AZ27" s="1"/>
  <c r="G63" i="22"/>
  <c r="G27" i="33" s="1"/>
  <c r="O63" i="22"/>
  <c r="O27" i="33" s="1"/>
  <c r="R63" i="22"/>
  <c r="R27" i="33" s="1"/>
  <c r="T63" i="22"/>
  <c r="T27" i="33" s="1"/>
  <c r="E70" i="22"/>
  <c r="D69"/>
  <c r="D28" i="33" s="1"/>
  <c r="L28" s="1"/>
  <c r="AZ28" s="1"/>
  <c r="G69" i="22"/>
  <c r="G28" i="33" s="1"/>
  <c r="O69" i="22"/>
  <c r="O28" i="33" s="1"/>
  <c r="R69" i="22"/>
  <c r="R28" i="33" s="1"/>
  <c r="T69" i="22"/>
  <c r="T28" i="33" s="1"/>
  <c r="E77" i="22"/>
  <c r="D76"/>
  <c r="D29" i="33" s="1"/>
  <c r="L29" s="1"/>
  <c r="AZ29" s="1"/>
  <c r="G76" i="22"/>
  <c r="G29" i="33" s="1"/>
  <c r="O76" i="22"/>
  <c r="O29" i="33" s="1"/>
  <c r="R76" i="22"/>
  <c r="R29" i="33" s="1"/>
  <c r="T76" i="22"/>
  <c r="T29" i="33" s="1"/>
  <c r="E86" i="22"/>
  <c r="D85"/>
  <c r="D32" i="33" s="1"/>
  <c r="G85" i="22"/>
  <c r="G32" i="33" s="1"/>
  <c r="O85" i="22"/>
  <c r="O32" i="33" s="1"/>
  <c r="R85" i="22"/>
  <c r="R32" i="33" s="1"/>
  <c r="T85" i="22"/>
  <c r="T32" i="33" s="1"/>
  <c r="E93" i="22"/>
  <c r="D92"/>
  <c r="D33" i="33" s="1"/>
  <c r="G92" i="22"/>
  <c r="G33" i="33" s="1"/>
  <c r="O92" i="22"/>
  <c r="O33" i="33" s="1"/>
  <c r="R92" i="22"/>
  <c r="R33" i="33" s="1"/>
  <c r="T92" i="22"/>
  <c r="T33" i="33" s="1"/>
  <c r="E102" i="22"/>
  <c r="D101"/>
  <c r="D34" i="33" s="1"/>
  <c r="L34" s="1"/>
  <c r="AZ34" s="1"/>
  <c r="G101" i="22"/>
  <c r="G34" i="33" s="1"/>
  <c r="O101" i="22"/>
  <c r="O34" i="33" s="1"/>
  <c r="R101" i="22"/>
  <c r="R34" i="33" s="1"/>
  <c r="T101" i="22"/>
  <c r="T34" i="33" s="1"/>
  <c r="I14" i="24"/>
  <c r="I17"/>
  <c r="L31"/>
  <c r="B26"/>
  <c r="B30"/>
  <c r="B34"/>
  <c r="B33" s="1"/>
  <c r="B40"/>
  <c r="J40" s="1"/>
  <c r="B42"/>
  <c r="J42" s="1"/>
  <c r="D25"/>
  <c r="E25" s="1"/>
  <c r="D26"/>
  <c r="L26" s="1"/>
  <c r="AZ26" s="1"/>
  <c r="D27"/>
  <c r="L27" s="1"/>
  <c r="AZ27" s="1"/>
  <c r="D30"/>
  <c r="D29" s="1"/>
  <c r="D34"/>
  <c r="D39"/>
  <c r="D41"/>
  <c r="L41" s="1"/>
  <c r="AZ41" s="1"/>
  <c r="D42"/>
  <c r="L42" s="1"/>
  <c r="O9"/>
  <c r="O8" s="1"/>
  <c r="O34"/>
  <c r="O33" s="1"/>
  <c r="O39"/>
  <c r="Q39" s="1"/>
  <c r="N40"/>
  <c r="N38" s="1"/>
  <c r="R30"/>
  <c r="R29" s="1"/>
  <c r="T30"/>
  <c r="T29" s="1"/>
  <c r="R11" i="25"/>
  <c r="C12"/>
  <c r="D13"/>
  <c r="B17"/>
  <c r="D17"/>
  <c r="B19"/>
  <c r="D19"/>
  <c r="C24"/>
  <c r="C26"/>
  <c r="B29"/>
  <c r="D29"/>
  <c r="G29"/>
  <c r="O29"/>
  <c r="O28" s="1"/>
  <c r="R29"/>
  <c r="T29"/>
  <c r="N30"/>
  <c r="Q30" s="1"/>
  <c r="B31"/>
  <c r="D31"/>
  <c r="G31"/>
  <c r="B33"/>
  <c r="D33"/>
  <c r="B9" i="26"/>
  <c r="B8" s="1"/>
  <c r="D9"/>
  <c r="C12"/>
  <c r="C8" s="1"/>
  <c r="B17"/>
  <c r="J17" s="1"/>
  <c r="B19"/>
  <c r="D19"/>
  <c r="L19" s="1"/>
  <c r="AZ19" s="1"/>
  <c r="B21"/>
  <c r="J21" s="1"/>
  <c r="AX21" s="1"/>
  <c r="D21"/>
  <c r="B25"/>
  <c r="B24" s="1"/>
  <c r="D25"/>
  <c r="G9"/>
  <c r="G8" s="1"/>
  <c r="G16"/>
  <c r="G22"/>
  <c r="I22" s="1"/>
  <c r="G25"/>
  <c r="R12"/>
  <c r="R8" s="1"/>
  <c r="R28" s="1"/>
  <c r="S22"/>
  <c r="U22" s="1"/>
  <c r="E30" i="28"/>
  <c r="E16" i="29"/>
  <c r="E12"/>
  <c r="E42"/>
  <c r="E40"/>
  <c r="E35"/>
  <c r="E26" i="30"/>
  <c r="E33" i="31"/>
  <c r="AK29"/>
  <c r="U18"/>
  <c r="AO18" s="1"/>
  <c r="AH18"/>
  <c r="AK18" s="1"/>
  <c r="AK34"/>
  <c r="AK24"/>
  <c r="U23" i="30"/>
  <c r="AO23" s="1"/>
  <c r="AH23"/>
  <c r="AK23" s="1"/>
  <c r="AK14"/>
  <c r="E8" i="29"/>
  <c r="AK37"/>
  <c r="AK32"/>
  <c r="AK28"/>
  <c r="AK21"/>
  <c r="U27" i="28"/>
  <c r="AO27" s="1"/>
  <c r="AH27"/>
  <c r="AK27" s="1"/>
  <c r="U14"/>
  <c r="AO14" s="1"/>
  <c r="AH14"/>
  <c r="AK14" s="1"/>
  <c r="AK20"/>
  <c r="AZ22" i="26"/>
  <c r="AZ27"/>
  <c r="AZ20"/>
  <c r="J22"/>
  <c r="AX22" s="1"/>
  <c r="BA14"/>
  <c r="K18"/>
  <c r="AY18" s="1"/>
  <c r="L11"/>
  <c r="AZ11" s="1"/>
  <c r="I19"/>
  <c r="L21"/>
  <c r="AZ21" s="1"/>
  <c r="I11"/>
  <c r="U11"/>
  <c r="L13"/>
  <c r="AZ13" s="1"/>
  <c r="Q13"/>
  <c r="J18"/>
  <c r="AX18" s="1"/>
  <c r="L18"/>
  <c r="AZ18" s="1"/>
  <c r="U19"/>
  <c r="I21"/>
  <c r="L26"/>
  <c r="AZ26" s="1"/>
  <c r="K27"/>
  <c r="AY27" s="1"/>
  <c r="AS14"/>
  <c r="Q16"/>
  <c r="K17"/>
  <c r="AY17" s="1"/>
  <c r="I18"/>
  <c r="U18"/>
  <c r="U20"/>
  <c r="AS23"/>
  <c r="BA23"/>
  <c r="K26"/>
  <c r="AY26" s="1"/>
  <c r="U27"/>
  <c r="U10"/>
  <c r="K11"/>
  <c r="AY11" s="1"/>
  <c r="U21"/>
  <c r="U26"/>
  <c r="AX10"/>
  <c r="AZ10"/>
  <c r="AX17"/>
  <c r="AZ17"/>
  <c r="J13"/>
  <c r="Q17"/>
  <c r="Q18"/>
  <c r="Q19"/>
  <c r="Q20"/>
  <c r="Q21"/>
  <c r="Q22"/>
  <c r="Q10"/>
  <c r="E11"/>
  <c r="Q11"/>
  <c r="E26"/>
  <c r="Q26"/>
  <c r="Q27"/>
  <c r="B21" i="25"/>
  <c r="T28"/>
  <c r="N8"/>
  <c r="P8"/>
  <c r="F15"/>
  <c r="D21"/>
  <c r="N21"/>
  <c r="B8"/>
  <c r="N15"/>
  <c r="P15"/>
  <c r="S15"/>
  <c r="O21"/>
  <c r="K41" i="24"/>
  <c r="AY41" s="1"/>
  <c r="K26"/>
  <c r="AY26" s="1"/>
  <c r="K31"/>
  <c r="AY31" s="1"/>
  <c r="AY27"/>
  <c r="AY25"/>
  <c r="Q35"/>
  <c r="I35"/>
  <c r="H33"/>
  <c r="F33"/>
  <c r="AZ31"/>
  <c r="G29"/>
  <c r="G22"/>
  <c r="Q42"/>
  <c r="I42"/>
  <c r="U41"/>
  <c r="I40"/>
  <c r="H38"/>
  <c r="F38"/>
  <c r="BA37"/>
  <c r="AS37"/>
  <c r="BA32"/>
  <c r="Q31"/>
  <c r="I31"/>
  <c r="E30"/>
  <c r="Q27"/>
  <c r="I27"/>
  <c r="U26"/>
  <c r="Q25"/>
  <c r="I25"/>
  <c r="U24"/>
  <c r="B22"/>
  <c r="U42"/>
  <c r="E42"/>
  <c r="Q41"/>
  <c r="I41"/>
  <c r="U40"/>
  <c r="E40"/>
  <c r="U31"/>
  <c r="J31"/>
  <c r="E31"/>
  <c r="U27"/>
  <c r="J27"/>
  <c r="E27"/>
  <c r="Q26"/>
  <c r="I26"/>
  <c r="U25"/>
  <c r="J25"/>
  <c r="Q24"/>
  <c r="I24"/>
  <c r="G38"/>
  <c r="E39"/>
  <c r="G33"/>
  <c r="AS32"/>
  <c r="Q30"/>
  <c r="H29"/>
  <c r="F29"/>
  <c r="BA28"/>
  <c r="AS28"/>
  <c r="H22"/>
  <c r="F22"/>
  <c r="BA21"/>
  <c r="B8"/>
  <c r="B29"/>
  <c r="E23"/>
  <c r="C8"/>
  <c r="J9"/>
  <c r="L9"/>
  <c r="I9"/>
  <c r="J11"/>
  <c r="AX11" s="1"/>
  <c r="L11"/>
  <c r="AZ11" s="1"/>
  <c r="I11"/>
  <c r="U11"/>
  <c r="K12"/>
  <c r="AY12" s="1"/>
  <c r="J13"/>
  <c r="AX13" s="1"/>
  <c r="L13"/>
  <c r="AZ13" s="1"/>
  <c r="I13"/>
  <c r="J17"/>
  <c r="AX17" s="1"/>
  <c r="L17"/>
  <c r="AZ17" s="1"/>
  <c r="K18"/>
  <c r="AY18" s="1"/>
  <c r="J19"/>
  <c r="AX19" s="1"/>
  <c r="L19"/>
  <c r="AZ19" s="1"/>
  <c r="K20"/>
  <c r="AY20" s="1"/>
  <c r="K14"/>
  <c r="AY14" s="1"/>
  <c r="J15"/>
  <c r="AX15" s="1"/>
  <c r="L15"/>
  <c r="AZ15" s="1"/>
  <c r="I15"/>
  <c r="L10"/>
  <c r="AZ10" s="1"/>
  <c r="I10"/>
  <c r="U10"/>
  <c r="U12"/>
  <c r="U9"/>
  <c r="K10"/>
  <c r="AY10" s="1"/>
  <c r="U13"/>
  <c r="U15"/>
  <c r="K16"/>
  <c r="AY16" s="1"/>
  <c r="I20"/>
  <c r="U20"/>
  <c r="K11"/>
  <c r="AY11" s="1"/>
  <c r="U18"/>
  <c r="AX9"/>
  <c r="AZ9"/>
  <c r="AY9"/>
  <c r="AX10"/>
  <c r="AX12"/>
  <c r="AX14"/>
  <c r="AX16"/>
  <c r="AX18"/>
  <c r="AX20"/>
  <c r="E9"/>
  <c r="E10"/>
  <c r="Q10"/>
  <c r="E11"/>
  <c r="Q11"/>
  <c r="E12"/>
  <c r="Q12"/>
  <c r="E13"/>
  <c r="Q13"/>
  <c r="E14"/>
  <c r="Q14"/>
  <c r="E15"/>
  <c r="Q15"/>
  <c r="E16"/>
  <c r="Q16"/>
  <c r="E17"/>
  <c r="Q17"/>
  <c r="E18"/>
  <c r="Q18"/>
  <c r="E19"/>
  <c r="Q19"/>
  <c r="E20"/>
  <c r="Q20"/>
  <c r="J22" i="22"/>
  <c r="AX22" s="1"/>
  <c r="BA22" s="1"/>
  <c r="E22"/>
  <c r="Q22"/>
  <c r="J24"/>
  <c r="AX24" s="1"/>
  <c r="E24"/>
  <c r="Q24"/>
  <c r="J26"/>
  <c r="AX26" s="1"/>
  <c r="BA26" s="1"/>
  <c r="E26"/>
  <c r="Q26"/>
  <c r="J28"/>
  <c r="AX28" s="1"/>
  <c r="E28"/>
  <c r="Q28"/>
  <c r="J30"/>
  <c r="AX30" s="1"/>
  <c r="BA30" s="1"/>
  <c r="E30"/>
  <c r="Q30"/>
  <c r="E20"/>
  <c r="Q20"/>
  <c r="U22"/>
  <c r="I24"/>
  <c r="U24"/>
  <c r="U26"/>
  <c r="I28"/>
  <c r="U28"/>
  <c r="I30"/>
  <c r="U30"/>
  <c r="B19"/>
  <c r="B19" i="33" s="1"/>
  <c r="D33" i="22"/>
  <c r="G33"/>
  <c r="G20" i="33" s="1"/>
  <c r="O33" i="22"/>
  <c r="R33"/>
  <c r="R20" i="33" s="1"/>
  <c r="T33" i="22"/>
  <c r="J21"/>
  <c r="AX21" s="1"/>
  <c r="E21"/>
  <c r="Q21"/>
  <c r="J23"/>
  <c r="AX23" s="1"/>
  <c r="E23"/>
  <c r="Q23"/>
  <c r="J25"/>
  <c r="AX25" s="1"/>
  <c r="E25"/>
  <c r="Q25"/>
  <c r="J27"/>
  <c r="AX27" s="1"/>
  <c r="E27"/>
  <c r="Q27"/>
  <c r="J29"/>
  <c r="AX29" s="1"/>
  <c r="E29"/>
  <c r="Q29"/>
  <c r="J31"/>
  <c r="AX31" s="1"/>
  <c r="E31"/>
  <c r="Q31"/>
  <c r="J35"/>
  <c r="AX35" s="1"/>
  <c r="E35"/>
  <c r="Q35"/>
  <c r="AX120"/>
  <c r="U21"/>
  <c r="U29"/>
  <c r="N19"/>
  <c r="N19" i="33" s="1"/>
  <c r="L35" i="22"/>
  <c r="AZ35" s="1"/>
  <c r="C33"/>
  <c r="F33"/>
  <c r="F20" i="33" s="1"/>
  <c r="H33" i="22"/>
  <c r="P33"/>
  <c r="P20" i="33" s="1"/>
  <c r="S33" i="22"/>
  <c r="AX36"/>
  <c r="BA36" s="1"/>
  <c r="M46"/>
  <c r="AX46"/>
  <c r="BA46" s="1"/>
  <c r="AX53"/>
  <c r="AX59"/>
  <c r="AX73"/>
  <c r="AX80"/>
  <c r="AX88"/>
  <c r="AX90"/>
  <c r="BA90" s="1"/>
  <c r="AX97"/>
  <c r="M104"/>
  <c r="AX104"/>
  <c r="AX110"/>
  <c r="AX112"/>
  <c r="AX114"/>
  <c r="AX116"/>
  <c r="AX121"/>
  <c r="I53"/>
  <c r="U53"/>
  <c r="I60"/>
  <c r="J61"/>
  <c r="J13" i="25" s="1"/>
  <c r="L73" i="22"/>
  <c r="I73"/>
  <c r="U73"/>
  <c r="U80"/>
  <c r="U82"/>
  <c r="J87"/>
  <c r="AX87" s="1"/>
  <c r="BA87" s="1"/>
  <c r="I95"/>
  <c r="U95"/>
  <c r="I97"/>
  <c r="U97"/>
  <c r="BA126"/>
  <c r="BA131"/>
  <c r="B33"/>
  <c r="B20" i="33" s="1"/>
  <c r="N40" i="22"/>
  <c r="N21" i="33" s="1"/>
  <c r="Q21" s="1"/>
  <c r="B44" i="22"/>
  <c r="B56"/>
  <c r="B26" i="33" s="1"/>
  <c r="B69" i="22"/>
  <c r="B85"/>
  <c r="B32" i="33" s="1"/>
  <c r="B101" i="22"/>
  <c r="B118"/>
  <c r="B38" i="33" s="1"/>
  <c r="B129" i="22"/>
  <c r="E36"/>
  <c r="E38"/>
  <c r="E50"/>
  <c r="E52"/>
  <c r="E58"/>
  <c r="E60"/>
  <c r="E64"/>
  <c r="E66"/>
  <c r="E72"/>
  <c r="E74"/>
  <c r="E80"/>
  <c r="E82"/>
  <c r="E88"/>
  <c r="E90"/>
  <c r="E96"/>
  <c r="E98"/>
  <c r="E104"/>
  <c r="E108"/>
  <c r="E110"/>
  <c r="E112"/>
  <c r="E114"/>
  <c r="E116"/>
  <c r="E126"/>
  <c r="E136"/>
  <c r="Q45"/>
  <c r="Q53"/>
  <c r="Q57"/>
  <c r="Q59"/>
  <c r="Q73"/>
  <c r="Q77"/>
  <c r="Q93"/>
  <c r="Q95"/>
  <c r="Q97"/>
  <c r="Q99"/>
  <c r="Q119"/>
  <c r="Q121"/>
  <c r="Q125"/>
  <c r="Q131"/>
  <c r="Q135"/>
  <c r="M60"/>
  <c r="AX60"/>
  <c r="M67"/>
  <c r="M81"/>
  <c r="AX89"/>
  <c r="BA89" s="1"/>
  <c r="M103"/>
  <c r="AX103"/>
  <c r="BA103" s="1"/>
  <c r="U36"/>
  <c r="I37"/>
  <c r="I38"/>
  <c r="U52"/>
  <c r="BA58"/>
  <c r="U60"/>
  <c r="U72"/>
  <c r="U79"/>
  <c r="I81"/>
  <c r="U81"/>
  <c r="U96"/>
  <c r="I98"/>
  <c r="U98"/>
  <c r="I104"/>
  <c r="U104"/>
  <c r="J109"/>
  <c r="AX109" s="1"/>
  <c r="L109"/>
  <c r="AZ109" s="1"/>
  <c r="K110"/>
  <c r="AY110" s="1"/>
  <c r="I110"/>
  <c r="U110"/>
  <c r="J111"/>
  <c r="AX111" s="1"/>
  <c r="L111"/>
  <c r="AZ111" s="1"/>
  <c r="K112"/>
  <c r="AY112" s="1"/>
  <c r="I112"/>
  <c r="U112"/>
  <c r="J113"/>
  <c r="L113"/>
  <c r="AZ113" s="1"/>
  <c r="K114"/>
  <c r="AY114" s="1"/>
  <c r="I114"/>
  <c r="U114"/>
  <c r="J115"/>
  <c r="AX115" s="1"/>
  <c r="L115"/>
  <c r="AZ115" s="1"/>
  <c r="U115"/>
  <c r="K116"/>
  <c r="K121"/>
  <c r="AY121" s="1"/>
  <c r="I121"/>
  <c r="J122"/>
  <c r="L122"/>
  <c r="AZ122" s="1"/>
  <c r="J127"/>
  <c r="L127"/>
  <c r="AZ127" s="1"/>
  <c r="L132"/>
  <c r="AZ132" s="1"/>
  <c r="N33"/>
  <c r="B40"/>
  <c r="N49"/>
  <c r="N63"/>
  <c r="N69"/>
  <c r="N28" i="33" s="1"/>
  <c r="N85" i="22"/>
  <c r="N32" i="33" s="1"/>
  <c r="N101" i="22"/>
  <c r="N34" i="33" s="1"/>
  <c r="N107" i="22"/>
  <c r="N37" i="33" s="1"/>
  <c r="N129" i="22"/>
  <c r="B76"/>
  <c r="B29" i="33" s="1"/>
  <c r="B92" i="22"/>
  <c r="B124"/>
  <c r="B39" i="33" s="1"/>
  <c r="B134" i="22"/>
  <c r="E37"/>
  <c r="E47"/>
  <c r="E53"/>
  <c r="E59"/>
  <c r="E61"/>
  <c r="E65"/>
  <c r="E67"/>
  <c r="E73"/>
  <c r="E79"/>
  <c r="E81"/>
  <c r="E89"/>
  <c r="E95"/>
  <c r="E97"/>
  <c r="E99"/>
  <c r="E103"/>
  <c r="E109"/>
  <c r="E111"/>
  <c r="E113"/>
  <c r="E115"/>
  <c r="E121"/>
  <c r="E127"/>
  <c r="E131"/>
  <c r="E137"/>
  <c r="Q36"/>
  <c r="Q38"/>
  <c r="Q52"/>
  <c r="Q58"/>
  <c r="Q60"/>
  <c r="Q66"/>
  <c r="Q72"/>
  <c r="Q74"/>
  <c r="Q80"/>
  <c r="Q82"/>
  <c r="Q88"/>
  <c r="Q90"/>
  <c r="Q96"/>
  <c r="Q98"/>
  <c r="Q104"/>
  <c r="Q110"/>
  <c r="Q112"/>
  <c r="Q114"/>
  <c r="Q116"/>
  <c r="Q122"/>
  <c r="Q126"/>
  <c r="Q136"/>
  <c r="D19" i="23"/>
  <c r="D19" i="34" s="1"/>
  <c r="J19" i="23"/>
  <c r="J19" i="34" s="1"/>
  <c r="M19" s="1"/>
  <c r="M20" i="23"/>
  <c r="C19"/>
  <c r="C19" i="34" s="1"/>
  <c r="E20" i="23"/>
  <c r="E21"/>
  <c r="E22"/>
  <c r="E23"/>
  <c r="E24"/>
  <c r="E25"/>
  <c r="E26"/>
  <c r="E27"/>
  <c r="E28"/>
  <c r="E29"/>
  <c r="E30"/>
  <c r="E31"/>
  <c r="E35"/>
  <c r="E36"/>
  <c r="E37"/>
  <c r="E38"/>
  <c r="E42"/>
  <c r="E46"/>
  <c r="E47"/>
  <c r="E51"/>
  <c r="E52"/>
  <c r="E53"/>
  <c r="E58"/>
  <c r="E59"/>
  <c r="E60"/>
  <c r="E61"/>
  <c r="E65"/>
  <c r="E67"/>
  <c r="E71"/>
  <c r="E72"/>
  <c r="E73"/>
  <c r="E74"/>
  <c r="E78"/>
  <c r="E79"/>
  <c r="E80"/>
  <c r="E81"/>
  <c r="E82"/>
  <c r="E87"/>
  <c r="E88"/>
  <c r="E89"/>
  <c r="E90"/>
  <c r="E94"/>
  <c r="E95"/>
  <c r="E96"/>
  <c r="E97"/>
  <c r="E98"/>
  <c r="E99"/>
  <c r="E103"/>
  <c r="E104"/>
  <c r="E109"/>
  <c r="E110"/>
  <c r="E111"/>
  <c r="E112"/>
  <c r="E113"/>
  <c r="E114"/>
  <c r="E115"/>
  <c r="E116"/>
  <c r="E120"/>
  <c r="E121"/>
  <c r="E126"/>
  <c r="E131"/>
  <c r="E136"/>
  <c r="E122"/>
  <c r="E127"/>
  <c r="E132"/>
  <c r="E137"/>
  <c r="J132" i="22"/>
  <c r="M126"/>
  <c r="M94"/>
  <c r="M71"/>
  <c r="M58"/>
  <c r="M51"/>
  <c r="J42"/>
  <c r="M35"/>
  <c r="M25"/>
  <c r="M22"/>
  <c r="M30"/>
  <c r="AP120" i="7"/>
  <c r="AO120"/>
  <c r="AN120"/>
  <c r="AM120"/>
  <c r="AP75"/>
  <c r="AO75"/>
  <c r="AN75"/>
  <c r="AM75"/>
  <c r="AP73"/>
  <c r="AO73"/>
  <c r="AN73"/>
  <c r="AM73"/>
  <c r="AP58"/>
  <c r="AO58"/>
  <c r="AN58"/>
  <c r="AM58"/>
  <c r="AP55"/>
  <c r="AO55"/>
  <c r="AN55"/>
  <c r="AM55"/>
  <c r="AP54"/>
  <c r="AO54"/>
  <c r="AN54"/>
  <c r="AM54"/>
  <c r="AP53"/>
  <c r="AO53"/>
  <c r="AN53"/>
  <c r="AM53"/>
  <c r="AP46"/>
  <c r="AO46"/>
  <c r="AN46"/>
  <c r="AM46"/>
  <c r="AP20"/>
  <c r="AO20"/>
  <c r="AN20"/>
  <c r="AM20"/>
  <c r="AP10"/>
  <c r="AO10"/>
  <c r="AN10"/>
  <c r="AM10"/>
  <c r="M79" i="22" l="1"/>
  <c r="M26"/>
  <c r="M96"/>
  <c r="M137"/>
  <c r="M89"/>
  <c r="AX67"/>
  <c r="BA104"/>
  <c r="M90"/>
  <c r="AX82"/>
  <c r="BA53"/>
  <c r="G18" i="33"/>
  <c r="Q9" i="24"/>
  <c r="M20"/>
  <c r="B38"/>
  <c r="E41"/>
  <c r="BA41"/>
  <c r="E17" i="26"/>
  <c r="E19"/>
  <c r="E33" i="25"/>
  <c r="E29"/>
  <c r="E19"/>
  <c r="E17"/>
  <c r="M82" i="22"/>
  <c r="M80"/>
  <c r="M65"/>
  <c r="BA38"/>
  <c r="M99"/>
  <c r="M18" i="24"/>
  <c r="BA16"/>
  <c r="R22"/>
  <c r="BA18"/>
  <c r="M14"/>
  <c r="M12"/>
  <c r="E29"/>
  <c r="BA13"/>
  <c r="H28" i="26"/>
  <c r="C28" i="25"/>
  <c r="M17" i="24"/>
  <c r="H43"/>
  <c r="E21" i="26"/>
  <c r="AY10"/>
  <c r="M10"/>
  <c r="M29" i="22"/>
  <c r="M21"/>
  <c r="M52"/>
  <c r="M115"/>
  <c r="Q34" i="33"/>
  <c r="Q28"/>
  <c r="M47" i="22"/>
  <c r="M37"/>
  <c r="M95"/>
  <c r="M88"/>
  <c r="Q76"/>
  <c r="Q56"/>
  <c r="M120"/>
  <c r="BA31"/>
  <c r="BA27"/>
  <c r="BA23"/>
  <c r="M19" i="24"/>
  <c r="E34"/>
  <c r="F43"/>
  <c r="M24"/>
  <c r="Q40"/>
  <c r="E10" i="26"/>
  <c r="U12"/>
  <c r="I10"/>
  <c r="J19"/>
  <c r="AX19" s="1"/>
  <c r="BA19" s="1"/>
  <c r="G24"/>
  <c r="L41" i="33"/>
  <c r="AZ41" s="1"/>
  <c r="L40"/>
  <c r="AZ40" s="1"/>
  <c r="L39"/>
  <c r="AZ39" s="1"/>
  <c r="L38"/>
  <c r="AZ38" s="1"/>
  <c r="F28" i="26"/>
  <c r="Q17" i="27"/>
  <c r="BA14" i="24"/>
  <c r="Q15" i="25"/>
  <c r="Q8"/>
  <c r="M17" i="26"/>
  <c r="M18"/>
  <c r="U34" i="33"/>
  <c r="U33"/>
  <c r="U29"/>
  <c r="U28"/>
  <c r="U27"/>
  <c r="U23"/>
  <c r="U22"/>
  <c r="U21"/>
  <c r="T28" i="26"/>
  <c r="E13" i="25"/>
  <c r="E39" i="33"/>
  <c r="J39"/>
  <c r="E29"/>
  <c r="J29"/>
  <c r="Q37"/>
  <c r="Q32"/>
  <c r="N31"/>
  <c r="Q63" i="22"/>
  <c r="N27" i="33"/>
  <c r="Q27" s="1"/>
  <c r="E40" i="22"/>
  <c r="B21" i="33"/>
  <c r="E38"/>
  <c r="J38"/>
  <c r="E32"/>
  <c r="J32"/>
  <c r="E26"/>
  <c r="J26"/>
  <c r="AX13" i="25"/>
  <c r="S18" i="22"/>
  <c r="S20" i="33"/>
  <c r="H18" i="22"/>
  <c r="H20" i="33"/>
  <c r="H18" s="1"/>
  <c r="C18" i="22"/>
  <c r="C20" i="33"/>
  <c r="K20" s="1"/>
  <c r="Q19"/>
  <c r="E19"/>
  <c r="J19"/>
  <c r="R8" i="25"/>
  <c r="U11"/>
  <c r="R31" i="33"/>
  <c r="U32"/>
  <c r="U31" s="1"/>
  <c r="E27"/>
  <c r="J27"/>
  <c r="R25"/>
  <c r="U26"/>
  <c r="U25" s="1"/>
  <c r="E23"/>
  <c r="J23"/>
  <c r="AX34" i="25"/>
  <c r="AX32"/>
  <c r="AX19"/>
  <c r="R36" i="33"/>
  <c r="U37"/>
  <c r="D36"/>
  <c r="L37"/>
  <c r="AZ37" s="1"/>
  <c r="E37"/>
  <c r="J37"/>
  <c r="F84" i="22"/>
  <c r="F33" i="33"/>
  <c r="K38" i="27"/>
  <c r="AY38" s="1"/>
  <c r="AX25" i="25"/>
  <c r="AX10"/>
  <c r="BA10" s="1"/>
  <c r="M10"/>
  <c r="E33" i="27"/>
  <c r="J33"/>
  <c r="L32"/>
  <c r="AZ32" s="1"/>
  <c r="E32"/>
  <c r="J32"/>
  <c r="M32" s="1"/>
  <c r="K23"/>
  <c r="AY23" s="1"/>
  <c r="F31" i="33"/>
  <c r="I32"/>
  <c r="AX12" i="25"/>
  <c r="R18" i="33"/>
  <c r="R17" s="1"/>
  <c r="U19"/>
  <c r="C18"/>
  <c r="K19"/>
  <c r="AY19" s="1"/>
  <c r="H45" i="24"/>
  <c r="E31" i="25"/>
  <c r="G31" i="33"/>
  <c r="G25"/>
  <c r="U41"/>
  <c r="U40"/>
  <c r="U39"/>
  <c r="U38"/>
  <c r="T36"/>
  <c r="O36"/>
  <c r="G36"/>
  <c r="F30" i="26"/>
  <c r="I29" i="33"/>
  <c r="K23"/>
  <c r="AY23" s="1"/>
  <c r="Q22"/>
  <c r="I21"/>
  <c r="U15" i="25"/>
  <c r="Q36" i="27"/>
  <c r="I36"/>
  <c r="K36"/>
  <c r="Q31"/>
  <c r="I31"/>
  <c r="K31"/>
  <c r="Q26"/>
  <c r="I26"/>
  <c r="K26"/>
  <c r="Q20"/>
  <c r="I20"/>
  <c r="K20"/>
  <c r="Q9"/>
  <c r="I9"/>
  <c r="K9"/>
  <c r="Q22" i="25"/>
  <c r="Q16"/>
  <c r="Q9"/>
  <c r="E23"/>
  <c r="E11"/>
  <c r="S18" i="33"/>
  <c r="K34"/>
  <c r="AY34" s="1"/>
  <c r="Q29"/>
  <c r="K22"/>
  <c r="AY22" s="1"/>
  <c r="P18"/>
  <c r="K17" i="27"/>
  <c r="AY17" s="1"/>
  <c r="E28"/>
  <c r="I32"/>
  <c r="E134" i="22"/>
  <c r="B41" i="33"/>
  <c r="E92" i="22"/>
  <c r="B33" i="33"/>
  <c r="Q129" i="22"/>
  <c r="N40" i="33"/>
  <c r="Q40" s="1"/>
  <c r="Q49" i="22"/>
  <c r="N23" i="33"/>
  <c r="Q23" s="1"/>
  <c r="Q33" i="22"/>
  <c r="N20" i="33"/>
  <c r="E129" i="22"/>
  <c r="B40" i="33"/>
  <c r="E101" i="22"/>
  <c r="B34" i="33"/>
  <c r="E69" i="22"/>
  <c r="B28" i="33"/>
  <c r="E44" i="22"/>
  <c r="B22" i="33"/>
  <c r="J20"/>
  <c r="T18" i="22"/>
  <c r="T20" i="33"/>
  <c r="U20" s="1"/>
  <c r="O18" i="22"/>
  <c r="O20" i="33"/>
  <c r="O18" s="1"/>
  <c r="D18" i="22"/>
  <c r="D20" i="33"/>
  <c r="L20" s="1"/>
  <c r="AZ20" s="1"/>
  <c r="R28" i="25"/>
  <c r="U28" s="1"/>
  <c r="U29"/>
  <c r="D31" i="33"/>
  <c r="L32"/>
  <c r="AZ32" s="1"/>
  <c r="D25"/>
  <c r="L26"/>
  <c r="AZ26" s="1"/>
  <c r="AX33" i="25"/>
  <c r="E36" i="27"/>
  <c r="J36"/>
  <c r="M36" s="1"/>
  <c r="E31"/>
  <c r="J31"/>
  <c r="M31" s="1"/>
  <c r="E26"/>
  <c r="J26"/>
  <c r="M26" s="1"/>
  <c r="E20"/>
  <c r="J20"/>
  <c r="M20" s="1"/>
  <c r="E9"/>
  <c r="J9"/>
  <c r="M9" s="1"/>
  <c r="L38"/>
  <c r="AZ38" s="1"/>
  <c r="E38"/>
  <c r="J38"/>
  <c r="M38" s="1"/>
  <c r="L37"/>
  <c r="AZ37" s="1"/>
  <c r="E37"/>
  <c r="J37"/>
  <c r="M37" s="1"/>
  <c r="K33"/>
  <c r="AY33" s="1"/>
  <c r="I28"/>
  <c r="E23"/>
  <c r="J23"/>
  <c r="M23" s="1"/>
  <c r="L22"/>
  <c r="AZ22" s="1"/>
  <c r="E22"/>
  <c r="J22"/>
  <c r="M22" s="1"/>
  <c r="E21"/>
  <c r="J21"/>
  <c r="M21" s="1"/>
  <c r="K16"/>
  <c r="AY16" s="1"/>
  <c r="K14"/>
  <c r="AY14" s="1"/>
  <c r="K12"/>
  <c r="AY12" s="1"/>
  <c r="K10"/>
  <c r="AY10" s="1"/>
  <c r="H84" i="22"/>
  <c r="H30" i="26" s="1"/>
  <c r="H33" i="33"/>
  <c r="F36"/>
  <c r="I37"/>
  <c r="C36"/>
  <c r="K36" s="1"/>
  <c r="AY36" s="1"/>
  <c r="K37"/>
  <c r="AY37" s="1"/>
  <c r="C84" i="22"/>
  <c r="C33" i="33"/>
  <c r="K33" s="1"/>
  <c r="AY33" s="1"/>
  <c r="N25"/>
  <c r="Q26"/>
  <c r="F25"/>
  <c r="I26"/>
  <c r="K26"/>
  <c r="AY26" s="1"/>
  <c r="C25"/>
  <c r="K25" s="1"/>
  <c r="L27" i="27"/>
  <c r="AZ27" s="1"/>
  <c r="E27"/>
  <c r="J27"/>
  <c r="L17"/>
  <c r="AZ17" s="1"/>
  <c r="E17"/>
  <c r="J17"/>
  <c r="M17" s="1"/>
  <c r="L15"/>
  <c r="AZ15" s="1"/>
  <c r="E15"/>
  <c r="J15"/>
  <c r="M15" s="1"/>
  <c r="L13"/>
  <c r="AZ13" s="1"/>
  <c r="E13"/>
  <c r="J13"/>
  <c r="M13" s="1"/>
  <c r="L11"/>
  <c r="AZ11" s="1"/>
  <c r="E11"/>
  <c r="J11"/>
  <c r="M11" s="1"/>
  <c r="AX26" i="25"/>
  <c r="AX24"/>
  <c r="AX11"/>
  <c r="D18" i="33"/>
  <c r="L19"/>
  <c r="AZ19" s="1"/>
  <c r="C31"/>
  <c r="K31" s="1"/>
  <c r="K32"/>
  <c r="AY32" s="1"/>
  <c r="I20"/>
  <c r="L33"/>
  <c r="AZ33" s="1"/>
  <c r="T31"/>
  <c r="O31"/>
  <c r="T25"/>
  <c r="O25"/>
  <c r="E26" i="25"/>
  <c r="E24"/>
  <c r="E12"/>
  <c r="K29" i="33"/>
  <c r="AY29" s="1"/>
  <c r="I23"/>
  <c r="K21"/>
  <c r="AY21" s="1"/>
  <c r="Q41"/>
  <c r="I41"/>
  <c r="K41"/>
  <c r="AY41" s="1"/>
  <c r="I40"/>
  <c r="K40"/>
  <c r="AY40" s="1"/>
  <c r="Q39"/>
  <c r="I39"/>
  <c r="K39"/>
  <c r="AY39" s="1"/>
  <c r="Q38"/>
  <c r="I38"/>
  <c r="K38"/>
  <c r="AY38" s="1"/>
  <c r="S36"/>
  <c r="P36"/>
  <c r="H36"/>
  <c r="Q33"/>
  <c r="S31"/>
  <c r="P31"/>
  <c r="I28"/>
  <c r="K28"/>
  <c r="AY28" s="1"/>
  <c r="I27"/>
  <c r="K27"/>
  <c r="AY27" s="1"/>
  <c r="S25"/>
  <c r="P25"/>
  <c r="H25"/>
  <c r="Q29" i="25"/>
  <c r="I34" i="33"/>
  <c r="H31"/>
  <c r="I22"/>
  <c r="I17" i="27"/>
  <c r="J28"/>
  <c r="M28" s="1"/>
  <c r="F18" i="33"/>
  <c r="K27" i="27"/>
  <c r="AY27" s="1"/>
  <c r="J16"/>
  <c r="M16" s="1"/>
  <c r="J14"/>
  <c r="M14" s="1"/>
  <c r="J12"/>
  <c r="M12" s="1"/>
  <c r="M10"/>
  <c r="J8" i="24"/>
  <c r="B15" i="25"/>
  <c r="E33" i="22"/>
  <c r="M10" i="24"/>
  <c r="BA11"/>
  <c r="BA17"/>
  <c r="E25" i="26"/>
  <c r="E9"/>
  <c r="K22"/>
  <c r="K12"/>
  <c r="AY12" s="1"/>
  <c r="AY116" i="22"/>
  <c r="AZ116"/>
  <c r="M19" i="23"/>
  <c r="M9" i="29"/>
  <c r="M8" s="1"/>
  <c r="U128" i="23"/>
  <c r="AO128" s="1"/>
  <c r="AH128"/>
  <c r="AK128" s="1"/>
  <c r="U100"/>
  <c r="AO100" s="1"/>
  <c r="AH100"/>
  <c r="AK100" s="1"/>
  <c r="U68"/>
  <c r="AO68" s="1"/>
  <c r="AH68"/>
  <c r="AK68" s="1"/>
  <c r="U43"/>
  <c r="AO43" s="1"/>
  <c r="AH43"/>
  <c r="AK43" s="1"/>
  <c r="U14"/>
  <c r="AO14" s="1"/>
  <c r="AH14"/>
  <c r="AK14" s="1"/>
  <c r="U123"/>
  <c r="AO123" s="1"/>
  <c r="AH123"/>
  <c r="AK123" s="1"/>
  <c r="U91"/>
  <c r="AO91" s="1"/>
  <c r="AH91"/>
  <c r="AK91" s="1"/>
  <c r="U62"/>
  <c r="AO62" s="1"/>
  <c r="AH62"/>
  <c r="AK62" s="1"/>
  <c r="U39"/>
  <c r="AO39" s="1"/>
  <c r="AH39"/>
  <c r="AK39" s="1"/>
  <c r="U12"/>
  <c r="AO12" s="1"/>
  <c r="AH12"/>
  <c r="AK12" s="1"/>
  <c r="U117"/>
  <c r="AO117" s="1"/>
  <c r="AH117"/>
  <c r="AK117" s="1"/>
  <c r="U83"/>
  <c r="AO83" s="1"/>
  <c r="AH83"/>
  <c r="AK83" s="1"/>
  <c r="U54"/>
  <c r="AO54" s="1"/>
  <c r="AH54"/>
  <c r="AK54" s="1"/>
  <c r="U32"/>
  <c r="AO32" s="1"/>
  <c r="AH32"/>
  <c r="AK32" s="1"/>
  <c r="U10"/>
  <c r="AO10" s="1"/>
  <c r="AH10"/>
  <c r="AK10" s="1"/>
  <c r="U133"/>
  <c r="AO133" s="1"/>
  <c r="AH133"/>
  <c r="AK133" s="1"/>
  <c r="U105"/>
  <c r="AO105" s="1"/>
  <c r="AH105"/>
  <c r="AK105" s="1"/>
  <c r="U75"/>
  <c r="AO75" s="1"/>
  <c r="AH75"/>
  <c r="AK75" s="1"/>
  <c r="U48"/>
  <c r="AO48" s="1"/>
  <c r="AH48"/>
  <c r="AK48" s="1"/>
  <c r="U16"/>
  <c r="AO16" s="1"/>
  <c r="AH16"/>
  <c r="AK16" s="1"/>
  <c r="E63" i="22"/>
  <c r="C22" i="24"/>
  <c r="M9"/>
  <c r="E49" i="22"/>
  <c r="BA96"/>
  <c r="BA95"/>
  <c r="M53"/>
  <c r="M38"/>
  <c r="M15" i="24"/>
  <c r="G43"/>
  <c r="D15" i="25"/>
  <c r="E26" i="24"/>
  <c r="D84" i="22"/>
  <c r="R43" i="24"/>
  <c r="Q44" i="22"/>
  <c r="S8" i="25"/>
  <c r="BA47" i="22"/>
  <c r="E13" i="26"/>
  <c r="BA18"/>
  <c r="M19"/>
  <c r="D15"/>
  <c r="D22" i="24"/>
  <c r="E22" s="1"/>
  <c r="R55" i="22"/>
  <c r="E107"/>
  <c r="BA137"/>
  <c r="BA136"/>
  <c r="C38" i="24"/>
  <c r="C43" s="1"/>
  <c r="C45" s="1"/>
  <c r="Q92" i="22"/>
  <c r="AZ42" i="24"/>
  <c r="AX16" i="27"/>
  <c r="AX14"/>
  <c r="AX12"/>
  <c r="M27" i="26"/>
  <c r="AX27"/>
  <c r="BA27" s="1"/>
  <c r="AY20"/>
  <c r="BA20" s="1"/>
  <c r="M20"/>
  <c r="M11"/>
  <c r="AX11"/>
  <c r="BA11" s="1"/>
  <c r="AX26"/>
  <c r="BA26" s="1"/>
  <c r="M26"/>
  <c r="AY21"/>
  <c r="M21"/>
  <c r="BA21"/>
  <c r="AZ73" i="22"/>
  <c r="L25" i="25"/>
  <c r="AZ25" s="1"/>
  <c r="AZ82" i="22"/>
  <c r="L34" i="25"/>
  <c r="AZ34" s="1"/>
  <c r="AZ80" i="22"/>
  <c r="L32" i="25"/>
  <c r="AZ32" s="1"/>
  <c r="AZ79" i="22"/>
  <c r="L31" i="25"/>
  <c r="AY74" i="22"/>
  <c r="K26" i="25"/>
  <c r="AY26" s="1"/>
  <c r="AY72" i="22"/>
  <c r="K24" i="25"/>
  <c r="M24" s="1"/>
  <c r="AZ67" i="22"/>
  <c r="L19" i="25"/>
  <c r="AZ19" s="1"/>
  <c r="AZ66" i="22"/>
  <c r="L18" i="25"/>
  <c r="AZ18" s="1"/>
  <c r="AX65" i="22"/>
  <c r="J17" i="25"/>
  <c r="AZ61" i="22"/>
  <c r="L13" i="25"/>
  <c r="AZ13" s="1"/>
  <c r="AY59" i="22"/>
  <c r="K11" i="25"/>
  <c r="AY11" s="1"/>
  <c r="P28"/>
  <c r="AY32" i="27"/>
  <c r="AY78" i="22"/>
  <c r="BA78" s="1"/>
  <c r="K30" i="25"/>
  <c r="M30" s="1"/>
  <c r="AZ71" i="22"/>
  <c r="L23" i="25"/>
  <c r="AX71" i="22"/>
  <c r="BA71" s="1"/>
  <c r="J23" i="25"/>
  <c r="M23" s="1"/>
  <c r="AZ59" i="22"/>
  <c r="L11" i="25"/>
  <c r="AZ11" s="1"/>
  <c r="M35" i="24"/>
  <c r="AZ35"/>
  <c r="BA35" s="1"/>
  <c r="AY67" i="22"/>
  <c r="K19" i="25"/>
  <c r="AY19" s="1"/>
  <c r="AY66" i="22"/>
  <c r="K18" i="25"/>
  <c r="AY18" s="1"/>
  <c r="O35"/>
  <c r="B28"/>
  <c r="O38" i="24"/>
  <c r="Q38" s="1"/>
  <c r="AZ81" i="22"/>
  <c r="L33" i="25"/>
  <c r="AZ33" s="1"/>
  <c r="AX79" i="22"/>
  <c r="BA79" s="1"/>
  <c r="J31" i="25"/>
  <c r="AY73" i="22"/>
  <c r="K25" i="25"/>
  <c r="AY25" s="1"/>
  <c r="AX66" i="22"/>
  <c r="J18" i="25"/>
  <c r="AZ65" i="22"/>
  <c r="L17" i="25"/>
  <c r="AY60" i="22"/>
  <c r="K12" i="25"/>
  <c r="AY12" s="1"/>
  <c r="O35" i="27"/>
  <c r="AZ36"/>
  <c r="D35"/>
  <c r="L35" s="1"/>
  <c r="B35"/>
  <c r="O30"/>
  <c r="AZ31"/>
  <c r="D30"/>
  <c r="L30" s="1"/>
  <c r="B30"/>
  <c r="O25"/>
  <c r="AZ26"/>
  <c r="D25"/>
  <c r="L25" s="1"/>
  <c r="B25"/>
  <c r="O19"/>
  <c r="AZ20"/>
  <c r="D19"/>
  <c r="L19" s="1"/>
  <c r="B19"/>
  <c r="O8"/>
  <c r="D8"/>
  <c r="B8"/>
  <c r="AY28"/>
  <c r="Q36" i="24"/>
  <c r="P35" i="27"/>
  <c r="N35"/>
  <c r="Q35" s="1"/>
  <c r="AY36"/>
  <c r="C35"/>
  <c r="K35" s="1"/>
  <c r="P30"/>
  <c r="N30"/>
  <c r="Q30" s="1"/>
  <c r="AY31"/>
  <c r="C30"/>
  <c r="P25"/>
  <c r="N25"/>
  <c r="Q25" s="1"/>
  <c r="AY26"/>
  <c r="C25"/>
  <c r="P19"/>
  <c r="N19"/>
  <c r="Q19" s="1"/>
  <c r="AY20"/>
  <c r="C19"/>
  <c r="K19" s="1"/>
  <c r="P8"/>
  <c r="N8"/>
  <c r="Q8" s="1"/>
  <c r="C8"/>
  <c r="N24" i="26"/>
  <c r="Q24" s="1"/>
  <c r="Q25"/>
  <c r="E16"/>
  <c r="C15"/>
  <c r="C28" s="1"/>
  <c r="C30" s="1"/>
  <c r="N8"/>
  <c r="Q9"/>
  <c r="P21" i="25"/>
  <c r="Q21" s="1"/>
  <c r="C15"/>
  <c r="P29" i="24"/>
  <c r="Q23"/>
  <c r="N22"/>
  <c r="AX10" i="27"/>
  <c r="AY82" i="22"/>
  <c r="BA82" s="1"/>
  <c r="K34" i="25"/>
  <c r="AY34" s="1"/>
  <c r="AY80" i="22"/>
  <c r="K32" i="25"/>
  <c r="AY32" s="1"/>
  <c r="E36" i="24"/>
  <c r="J36"/>
  <c r="AX32" i="27"/>
  <c r="AY22"/>
  <c r="AY65" i="22"/>
  <c r="K17" i="25"/>
  <c r="BA59" i="22"/>
  <c r="R35" i="25"/>
  <c r="R37" s="1"/>
  <c r="D28"/>
  <c r="D38" i="24"/>
  <c r="E38" s="1"/>
  <c r="J26"/>
  <c r="R84" i="22"/>
  <c r="R30" i="26" s="1"/>
  <c r="G55" i="22"/>
  <c r="T106"/>
  <c r="R106"/>
  <c r="O106"/>
  <c r="G106"/>
  <c r="D106"/>
  <c r="N28" i="25"/>
  <c r="Q28" s="1"/>
  <c r="E12" i="26"/>
  <c r="Q134" i="22"/>
  <c r="Q124"/>
  <c r="Q118"/>
  <c r="S106"/>
  <c r="P106"/>
  <c r="H106"/>
  <c r="F106"/>
  <c r="C106"/>
  <c r="S84"/>
  <c r="P84"/>
  <c r="S55"/>
  <c r="P55"/>
  <c r="H55"/>
  <c r="H37" i="25" s="1"/>
  <c r="F55" i="22"/>
  <c r="C55"/>
  <c r="AX30" i="25"/>
  <c r="S8" i="24"/>
  <c r="M20" i="22"/>
  <c r="M28"/>
  <c r="M24"/>
  <c r="M31"/>
  <c r="M27"/>
  <c r="M23"/>
  <c r="M66"/>
  <c r="M74"/>
  <c r="M78"/>
  <c r="M87"/>
  <c r="M98"/>
  <c r="M109"/>
  <c r="M111"/>
  <c r="M131"/>
  <c r="M136"/>
  <c r="E124"/>
  <c r="E76"/>
  <c r="Q101"/>
  <c r="Q69"/>
  <c r="AX81"/>
  <c r="BA81" s="1"/>
  <c r="BA67"/>
  <c r="BA60"/>
  <c r="BA37"/>
  <c r="E118"/>
  <c r="Q40"/>
  <c r="BA99"/>
  <c r="BA97"/>
  <c r="BA88"/>
  <c r="BA80"/>
  <c r="M59"/>
  <c r="M36"/>
  <c r="P18"/>
  <c r="F18"/>
  <c r="F45" i="24" s="1"/>
  <c r="L19" i="22"/>
  <c r="AZ19" s="1"/>
  <c r="U19"/>
  <c r="BA120"/>
  <c r="BA29"/>
  <c r="BA25"/>
  <c r="BA21"/>
  <c r="R18"/>
  <c r="G18"/>
  <c r="K19"/>
  <c r="AY19" s="1"/>
  <c r="I19"/>
  <c r="BA28"/>
  <c r="BA24"/>
  <c r="BA20" i="24"/>
  <c r="BA12"/>
  <c r="BA10"/>
  <c r="BA19"/>
  <c r="M13"/>
  <c r="M11"/>
  <c r="L8"/>
  <c r="I8"/>
  <c r="O43"/>
  <c r="O45" s="1"/>
  <c r="Q34"/>
  <c r="M41"/>
  <c r="E35"/>
  <c r="T35" i="25"/>
  <c r="E27" i="26"/>
  <c r="E20"/>
  <c r="J12"/>
  <c r="M12" s="1"/>
  <c r="Q15"/>
  <c r="G15"/>
  <c r="G28" s="1"/>
  <c r="D24"/>
  <c r="E24" s="1"/>
  <c r="D8"/>
  <c r="G28" i="25"/>
  <c r="G35" s="1"/>
  <c r="G37" s="1"/>
  <c r="D33" i="24"/>
  <c r="E33" s="1"/>
  <c r="L25"/>
  <c r="T84" i="22"/>
  <c r="T30" i="26" s="1"/>
  <c r="O84" i="22"/>
  <c r="O30" i="26" s="1"/>
  <c r="G84" i="22"/>
  <c r="T55"/>
  <c r="O55"/>
  <c r="D55"/>
  <c r="BA98"/>
  <c r="BA52"/>
  <c r="G25" i="27"/>
  <c r="T39"/>
  <c r="T41" s="1"/>
  <c r="R39"/>
  <c r="R41" s="1"/>
  <c r="G8"/>
  <c r="B15" i="26"/>
  <c r="E15" s="1"/>
  <c r="T43" i="24"/>
  <c r="T45" s="1"/>
  <c r="N33"/>
  <c r="Q33" s="1"/>
  <c r="P43"/>
  <c r="P45" s="1"/>
  <c r="F35" i="27"/>
  <c r="I35" s="1"/>
  <c r="S30"/>
  <c r="F30"/>
  <c r="I30" s="1"/>
  <c r="F25"/>
  <c r="I25" s="1"/>
  <c r="S19"/>
  <c r="F19"/>
  <c r="I19" s="1"/>
  <c r="S8"/>
  <c r="H39"/>
  <c r="H41" s="1"/>
  <c r="F8"/>
  <c r="S24" i="26"/>
  <c r="S15"/>
  <c r="S8"/>
  <c r="P28"/>
  <c r="P30" s="1"/>
  <c r="S21" i="25"/>
  <c r="S35" s="1"/>
  <c r="S37" s="1"/>
  <c r="C21"/>
  <c r="E21" s="1"/>
  <c r="C8"/>
  <c r="S33" i="24"/>
  <c r="F35" i="25"/>
  <c r="F37" s="1"/>
  <c r="BA74" i="22"/>
  <c r="BA72"/>
  <c r="D8" i="25"/>
  <c r="D8" i="24"/>
  <c r="E8" s="1"/>
  <c r="AX12" i="26"/>
  <c r="BA12" s="1"/>
  <c r="BA17"/>
  <c r="M13"/>
  <c r="AX13"/>
  <c r="BA13" s="1"/>
  <c r="BA10"/>
  <c r="E8" i="25"/>
  <c r="BA15" i="24"/>
  <c r="B43"/>
  <c r="M25"/>
  <c r="AX25"/>
  <c r="M31"/>
  <c r="AX31"/>
  <c r="BA31" s="1"/>
  <c r="M42"/>
  <c r="AX42"/>
  <c r="M27"/>
  <c r="AX27"/>
  <c r="BA27" s="1"/>
  <c r="M40"/>
  <c r="AX40"/>
  <c r="BA40" s="1"/>
  <c r="Q29"/>
  <c r="Q8"/>
  <c r="M16"/>
  <c r="K8"/>
  <c r="AY8" s="1"/>
  <c r="U8"/>
  <c r="AZ8"/>
  <c r="M8"/>
  <c r="BA9"/>
  <c r="AX8"/>
  <c r="M132" i="22"/>
  <c r="AX132"/>
  <c r="BA132" s="1"/>
  <c r="M61"/>
  <c r="AX61"/>
  <c r="BA61" s="1"/>
  <c r="E19" i="23"/>
  <c r="M121" i="22"/>
  <c r="M116"/>
  <c r="M114"/>
  <c r="M112"/>
  <c r="M110"/>
  <c r="M73"/>
  <c r="BA35"/>
  <c r="M42"/>
  <c r="AX42"/>
  <c r="BA42" s="1"/>
  <c r="Q107"/>
  <c r="N106"/>
  <c r="Q106" s="1"/>
  <c r="N84"/>
  <c r="Q85"/>
  <c r="M127"/>
  <c r="AX127"/>
  <c r="BA127" s="1"/>
  <c r="M122"/>
  <c r="AX122"/>
  <c r="BA122" s="1"/>
  <c r="M113"/>
  <c r="AX113"/>
  <c r="BA113" s="1"/>
  <c r="E85"/>
  <c r="B84"/>
  <c r="E84" s="1"/>
  <c r="B55"/>
  <c r="E56"/>
  <c r="N18"/>
  <c r="Q19"/>
  <c r="E19"/>
  <c r="B18"/>
  <c r="E18" s="1"/>
  <c r="BA115"/>
  <c r="BA111"/>
  <c r="BA109"/>
  <c r="BA121"/>
  <c r="BA116"/>
  <c r="BA114"/>
  <c r="BA112"/>
  <c r="BA110"/>
  <c r="BA73"/>
  <c r="J19"/>
  <c r="N55"/>
  <c r="Q55" s="1"/>
  <c r="B106"/>
  <c r="E106" s="1"/>
  <c r="D270" i="7"/>
  <c r="I8" i="27" l="1"/>
  <c r="G17" i="33"/>
  <c r="K30" i="27"/>
  <c r="AY30" s="1"/>
  <c r="B35" i="25"/>
  <c r="B37" s="1"/>
  <c r="E28"/>
  <c r="AX17"/>
  <c r="M17"/>
  <c r="F17" i="33"/>
  <c r="I18"/>
  <c r="D17"/>
  <c r="L18"/>
  <c r="AZ18" s="1"/>
  <c r="M20"/>
  <c r="AX20"/>
  <c r="E22"/>
  <c r="J22"/>
  <c r="E28"/>
  <c r="J28"/>
  <c r="E34"/>
  <c r="J34"/>
  <c r="E40"/>
  <c r="J40"/>
  <c r="E33"/>
  <c r="J33"/>
  <c r="E41"/>
  <c r="J41"/>
  <c r="M26"/>
  <c r="AX26"/>
  <c r="BA26" s="1"/>
  <c r="M32"/>
  <c r="AX32"/>
  <c r="BA32" s="1"/>
  <c r="AX38"/>
  <c r="BA38" s="1"/>
  <c r="M38"/>
  <c r="E21"/>
  <c r="J21"/>
  <c r="M29"/>
  <c r="AX29"/>
  <c r="BA29" s="1"/>
  <c r="M39"/>
  <c r="AX39"/>
  <c r="BA39" s="1"/>
  <c r="B45" i="24"/>
  <c r="T37" i="25"/>
  <c r="BA32" i="27"/>
  <c r="K25"/>
  <c r="BA14"/>
  <c r="AY31" i="33"/>
  <c r="BA11" i="25"/>
  <c r="BA26"/>
  <c r="Q25" i="33"/>
  <c r="M33" i="25"/>
  <c r="O17" i="33"/>
  <c r="Q20"/>
  <c r="T18"/>
  <c r="T17" s="1"/>
  <c r="U18"/>
  <c r="M12" i="25"/>
  <c r="M33" i="27"/>
  <c r="M25" i="25"/>
  <c r="I33" i="33"/>
  <c r="I31" s="1"/>
  <c r="B36"/>
  <c r="L36"/>
  <c r="AZ36" s="1"/>
  <c r="BA19" i="25"/>
  <c r="BA32"/>
  <c r="BA34"/>
  <c r="U8"/>
  <c r="B18" i="33"/>
  <c r="AY20"/>
  <c r="H17"/>
  <c r="M13" i="25"/>
  <c r="Q31" i="33"/>
  <c r="N36"/>
  <c r="Q36" s="1"/>
  <c r="E19" i="27"/>
  <c r="J19"/>
  <c r="M19" s="1"/>
  <c r="E25"/>
  <c r="J25"/>
  <c r="M25" s="1"/>
  <c r="E30"/>
  <c r="J30"/>
  <c r="M30" s="1"/>
  <c r="E35"/>
  <c r="J35"/>
  <c r="M35" s="1"/>
  <c r="AX18" i="25"/>
  <c r="BA18" s="1"/>
  <c r="M18"/>
  <c r="AX31"/>
  <c r="M31"/>
  <c r="C17" i="33"/>
  <c r="K17" s="1"/>
  <c r="AY17" s="1"/>
  <c r="K18"/>
  <c r="AY18" s="1"/>
  <c r="M37"/>
  <c r="AX37"/>
  <c r="BA37" s="1"/>
  <c r="M23"/>
  <c r="AX23"/>
  <c r="BA23" s="1"/>
  <c r="M27"/>
  <c r="AX27"/>
  <c r="BA27" s="1"/>
  <c r="M19"/>
  <c r="AX19"/>
  <c r="BA19" s="1"/>
  <c r="G30" i="26"/>
  <c r="BA10" i="27"/>
  <c r="O37" i="25"/>
  <c r="BA12" i="27"/>
  <c r="BA16"/>
  <c r="R45" i="24"/>
  <c r="G45"/>
  <c r="E15" i="25"/>
  <c r="M11"/>
  <c r="M26"/>
  <c r="M27" i="27"/>
  <c r="AY25" i="33"/>
  <c r="I25"/>
  <c r="I36"/>
  <c r="AX22" i="27"/>
  <c r="BA22" s="1"/>
  <c r="AX28"/>
  <c r="BA28" s="1"/>
  <c r="BA33" i="25"/>
  <c r="L25" i="33"/>
  <c r="AZ25" s="1"/>
  <c r="L31"/>
  <c r="AZ31" s="1"/>
  <c r="E20"/>
  <c r="P17"/>
  <c r="U21" i="25"/>
  <c r="S17" i="33"/>
  <c r="BA12" i="25"/>
  <c r="BA25"/>
  <c r="U36" i="33"/>
  <c r="M19" i="25"/>
  <c r="M32"/>
  <c r="M34"/>
  <c r="N18" i="33"/>
  <c r="BA13" i="25"/>
  <c r="B25" i="33"/>
  <c r="B31"/>
  <c r="AY22" i="26"/>
  <c r="BA22" s="1"/>
  <c r="M22"/>
  <c r="S28"/>
  <c r="S30" s="1"/>
  <c r="S39" i="27"/>
  <c r="S41" s="1"/>
  <c r="C35" i="25"/>
  <c r="C37" s="1"/>
  <c r="G39" i="27"/>
  <c r="G41" s="1"/>
  <c r="D35" i="25"/>
  <c r="D37" s="1"/>
  <c r="AY25" i="27"/>
  <c r="BA66" i="22"/>
  <c r="AZ30" i="27"/>
  <c r="AX26" i="24"/>
  <c r="BA26" s="1"/>
  <c r="M26"/>
  <c r="AX33" i="27"/>
  <c r="BA33" s="1"/>
  <c r="Q22" i="24"/>
  <c r="Q43" s="1"/>
  <c r="N43"/>
  <c r="N45" s="1"/>
  <c r="P39" i="27"/>
  <c r="P41" s="1"/>
  <c r="AX37"/>
  <c r="BA37" s="1"/>
  <c r="AX38"/>
  <c r="BA38" s="1"/>
  <c r="J8"/>
  <c r="AX9"/>
  <c r="AZ9"/>
  <c r="L8"/>
  <c r="AX26"/>
  <c r="BA26" s="1"/>
  <c r="B39"/>
  <c r="B41" s="1"/>
  <c r="AZ17" i="25"/>
  <c r="AX23"/>
  <c r="AZ23"/>
  <c r="AY30"/>
  <c r="BA30" s="1"/>
  <c r="AX27" i="27"/>
  <c r="BA27" s="1"/>
  <c r="P35" i="25"/>
  <c r="P37" s="1"/>
  <c r="AY24"/>
  <c r="BA24" s="1"/>
  <c r="AZ31"/>
  <c r="AZ25" i="24"/>
  <c r="BA25" s="1"/>
  <c r="D28" i="26"/>
  <c r="D30" s="1"/>
  <c r="E8"/>
  <c r="N35" i="25"/>
  <c r="N37" s="1"/>
  <c r="Q35"/>
  <c r="Q37" s="1"/>
  <c r="AY17"/>
  <c r="AX36" i="24"/>
  <c r="BA36" s="1"/>
  <c r="M36"/>
  <c r="N28" i="26"/>
  <c r="N30" s="1"/>
  <c r="Q8"/>
  <c r="Q28" s="1"/>
  <c r="AY9" i="27"/>
  <c r="K8"/>
  <c r="AY35"/>
  <c r="C39"/>
  <c r="C41" s="1"/>
  <c r="N39"/>
  <c r="N41" s="1"/>
  <c r="AX21"/>
  <c r="BA21" s="1"/>
  <c r="AX23"/>
  <c r="BA23" s="1"/>
  <c r="AX20"/>
  <c r="BA20" s="1"/>
  <c r="AX31"/>
  <c r="BA31" s="1"/>
  <c r="AX36"/>
  <c r="BA36" s="1"/>
  <c r="AX11"/>
  <c r="BA11" s="1"/>
  <c r="AX13"/>
  <c r="BA13" s="1"/>
  <c r="AX15"/>
  <c r="BA15" s="1"/>
  <c r="AX17"/>
  <c r="BA17" s="1"/>
  <c r="E43" i="24"/>
  <c r="E45" s="1"/>
  <c r="M19" i="22"/>
  <c r="B28" i="26"/>
  <c r="B30" s="1"/>
  <c r="AZ19" i="27"/>
  <c r="AZ35"/>
  <c r="Q18" i="22"/>
  <c r="E55"/>
  <c r="Q84"/>
  <c r="BA42" i="24"/>
  <c r="D43"/>
  <c r="D45" s="1"/>
  <c r="F39" i="27"/>
  <c r="F41" s="1"/>
  <c r="S43" i="24"/>
  <c r="S45" s="1"/>
  <c r="AY19" i="27"/>
  <c r="E8"/>
  <c r="E39" s="1"/>
  <c r="E41" s="1"/>
  <c r="D39"/>
  <c r="D41" s="1"/>
  <c r="O39"/>
  <c r="O41" s="1"/>
  <c r="AZ25"/>
  <c r="BA65" i="22"/>
  <c r="BA8" i="24"/>
  <c r="AX19" i="22"/>
  <c r="BA19" s="1"/>
  <c r="B15" i="23"/>
  <c r="B15" i="34" s="1"/>
  <c r="E15" s="1"/>
  <c r="B13" i="23"/>
  <c r="B13" i="34" s="1"/>
  <c r="L15" i="23"/>
  <c r="L15" i="34" s="1"/>
  <c r="J15" i="23"/>
  <c r="J15" i="34" s="1"/>
  <c r="K13" i="23"/>
  <c r="K13" i="34" s="1"/>
  <c r="D15" i="23"/>
  <c r="D15" i="34" s="1"/>
  <c r="T15" s="1"/>
  <c r="D13" i="23"/>
  <c r="D13" i="34" s="1"/>
  <c r="T13" s="1"/>
  <c r="C15" i="23"/>
  <c r="C15" i="34" s="1"/>
  <c r="S15" s="1"/>
  <c r="C13" i="23"/>
  <c r="C13" i="34" s="1"/>
  <c r="E13" i="7"/>
  <c r="BR13" s="1"/>
  <c r="AN15" i="34" l="1"/>
  <c r="R13"/>
  <c r="E13"/>
  <c r="S13"/>
  <c r="R15"/>
  <c r="E25" i="33"/>
  <c r="J25"/>
  <c r="N17"/>
  <c r="Q17" s="1"/>
  <c r="Q18"/>
  <c r="E18"/>
  <c r="J18"/>
  <c r="B17"/>
  <c r="E36"/>
  <c r="J36"/>
  <c r="M8" i="27"/>
  <c r="BA31" i="25"/>
  <c r="U17" i="33"/>
  <c r="L17"/>
  <c r="AZ17" s="1"/>
  <c r="I17"/>
  <c r="BA17" i="25"/>
  <c r="E31" i="33"/>
  <c r="J31"/>
  <c r="M21"/>
  <c r="AX21"/>
  <c r="BA21" s="1"/>
  <c r="M41"/>
  <c r="AX41"/>
  <c r="BA41" s="1"/>
  <c r="AX33"/>
  <c r="BA33" s="1"/>
  <c r="M33"/>
  <c r="AX40"/>
  <c r="BA40" s="1"/>
  <c r="M40"/>
  <c r="M34"/>
  <c r="AX34"/>
  <c r="BA34" s="1"/>
  <c r="M28"/>
  <c r="AX28"/>
  <c r="BA28" s="1"/>
  <c r="M22"/>
  <c r="AX22"/>
  <c r="BA22" s="1"/>
  <c r="Q30" i="26"/>
  <c r="BA23" i="25"/>
  <c r="BA9" i="27"/>
  <c r="Q45" i="24"/>
  <c r="BA20" i="33"/>
  <c r="E35" i="25"/>
  <c r="E37" s="1"/>
  <c r="Q39" i="27"/>
  <c r="Q41" s="1"/>
  <c r="L39"/>
  <c r="AZ8"/>
  <c r="AZ39" s="1"/>
  <c r="AX25"/>
  <c r="BA25" s="1"/>
  <c r="AX19"/>
  <c r="BA19" s="1"/>
  <c r="K39"/>
  <c r="AY8"/>
  <c r="AY39" s="1"/>
  <c r="AX35"/>
  <c r="BA35" s="1"/>
  <c r="AX30"/>
  <c r="BA30" s="1"/>
  <c r="J39"/>
  <c r="AX8"/>
  <c r="BA8" s="1"/>
  <c r="E28" i="26"/>
  <c r="E30" s="1"/>
  <c r="E13" i="23"/>
  <c r="E15"/>
  <c r="U15" i="34" l="1"/>
  <c r="U13"/>
  <c r="AL13"/>
  <c r="AL15"/>
  <c r="M31" i="33"/>
  <c r="AX31"/>
  <c r="BA31" s="1"/>
  <c r="AX36"/>
  <c r="BA36" s="1"/>
  <c r="M36"/>
  <c r="E17"/>
  <c r="J17"/>
  <c r="M18"/>
  <c r="AX18"/>
  <c r="BA18" s="1"/>
  <c r="AX25"/>
  <c r="BA25" s="1"/>
  <c r="M25"/>
  <c r="M39" i="27"/>
  <c r="AX39"/>
  <c r="BA39"/>
  <c r="AX17" i="33" l="1"/>
  <c r="BA17" s="1"/>
  <c r="M17"/>
  <c r="AQ164" i="22" l="1"/>
  <c r="AQ163"/>
  <c r="AQ162"/>
  <c r="AO162"/>
  <c r="AR162" s="1"/>
  <c r="AM165"/>
  <c r="AN165"/>
  <c r="AO164"/>
  <c r="AR164" s="1"/>
  <c r="AO163"/>
  <c r="AR163" s="1"/>
  <c r="AL16" i="23"/>
  <c r="AL14"/>
  <c r="AL12"/>
  <c r="AL10"/>
  <c r="L14" i="22"/>
  <c r="AZ14" s="1"/>
  <c r="K14"/>
  <c r="AY14" s="1"/>
  <c r="J14"/>
  <c r="AX14" s="1"/>
  <c r="BA14" s="1"/>
  <c r="I14"/>
  <c r="AB14"/>
  <c r="AA14"/>
  <c r="Z14"/>
  <c r="AV14" l="1"/>
  <c r="AR14"/>
  <c r="AT14"/>
  <c r="AP14"/>
  <c r="AC14"/>
  <c r="AW14" s="1"/>
  <c r="AU14"/>
  <c r="AQ14"/>
  <c r="AS14" s="1"/>
  <c r="AQ165"/>
  <c r="AO165"/>
  <c r="AR165" s="1"/>
  <c r="M14"/>
  <c r="AL105" i="23"/>
  <c r="X13" i="22"/>
  <c r="X13" i="33" s="1"/>
  <c r="W13" i="22"/>
  <c r="W13" i="33" s="1"/>
  <c r="V13" i="22"/>
  <c r="V13" i="33" s="1"/>
  <c r="T15" i="22"/>
  <c r="T15" i="33" s="1"/>
  <c r="S15" i="22"/>
  <c r="S15" i="33" s="1"/>
  <c r="R15" i="22"/>
  <c r="R15" i="33" s="1"/>
  <c r="U15" s="1"/>
  <c r="T13" i="22"/>
  <c r="T13" i="33" s="1"/>
  <c r="S13" i="22"/>
  <c r="S13" i="33" s="1"/>
  <c r="R13" i="22"/>
  <c r="R13" i="33" s="1"/>
  <c r="P15" i="22"/>
  <c r="P15" i="33" s="1"/>
  <c r="N15" i="22"/>
  <c r="N15" i="33" s="1"/>
  <c r="P13" i="22"/>
  <c r="P13" i="33" s="1"/>
  <c r="AB13" s="1"/>
  <c r="AV13" s="1"/>
  <c r="O13" i="22"/>
  <c r="O13" i="33" s="1"/>
  <c r="N13" i="22"/>
  <c r="N13" i="33" s="1"/>
  <c r="H15" i="22"/>
  <c r="H15" i="33" s="1"/>
  <c r="G15" i="22"/>
  <c r="G15" i="33" s="1"/>
  <c r="F15" i="22"/>
  <c r="F15" i="33" s="1"/>
  <c r="H13" i="22"/>
  <c r="H13" i="33" s="1"/>
  <c r="G13" i="22"/>
  <c r="G13" i="33" s="1"/>
  <c r="F13" i="22"/>
  <c r="F13" i="33" s="1"/>
  <c r="D15" i="22"/>
  <c r="D15" i="33" s="1"/>
  <c r="L15" s="1"/>
  <c r="C15" i="22"/>
  <c r="C15" i="33" s="1"/>
  <c r="K15" s="1"/>
  <c r="D13" i="22"/>
  <c r="D13" i="33" s="1"/>
  <c r="C13" i="22"/>
  <c r="C13" i="33" s="1"/>
  <c r="K13" s="1"/>
  <c r="AY13" s="1"/>
  <c r="B15" i="22"/>
  <c r="B15" i="33" s="1"/>
  <c r="B13" i="22"/>
  <c r="C10" i="14"/>
  <c r="G10"/>
  <c r="I10"/>
  <c r="K10"/>
  <c r="L10"/>
  <c r="M10"/>
  <c r="O10"/>
  <c r="AA10"/>
  <c r="AB10"/>
  <c r="AC10"/>
  <c r="F11"/>
  <c r="J11"/>
  <c r="N11"/>
  <c r="O11"/>
  <c r="P11"/>
  <c r="Q11"/>
  <c r="U11" s="1"/>
  <c r="T11"/>
  <c r="AN11" s="1"/>
  <c r="Z11"/>
  <c r="AD11"/>
  <c r="AE11"/>
  <c r="AF11"/>
  <c r="AG11"/>
  <c r="AJ11"/>
  <c r="C13"/>
  <c r="D13"/>
  <c r="E13"/>
  <c r="K13"/>
  <c r="L13"/>
  <c r="M13"/>
  <c r="AA13"/>
  <c r="AB13"/>
  <c r="AC13"/>
  <c r="C14"/>
  <c r="D14"/>
  <c r="E14"/>
  <c r="K14"/>
  <c r="L14"/>
  <c r="M14"/>
  <c r="AA14"/>
  <c r="AB14"/>
  <c r="AC14"/>
  <c r="C15"/>
  <c r="D15"/>
  <c r="E15"/>
  <c r="K15"/>
  <c r="L15"/>
  <c r="M15"/>
  <c r="AA15"/>
  <c r="AB15"/>
  <c r="AC15"/>
  <c r="F16"/>
  <c r="J16"/>
  <c r="N16"/>
  <c r="O16"/>
  <c r="S16" s="1"/>
  <c r="P16"/>
  <c r="T16" s="1"/>
  <c r="Q16"/>
  <c r="U16"/>
  <c r="AK16" s="1"/>
  <c r="Z16"/>
  <c r="AD16"/>
  <c r="AE16"/>
  <c r="AF16"/>
  <c r="AG16"/>
  <c r="C18"/>
  <c r="C17" s="1"/>
  <c r="D18"/>
  <c r="D17" s="1"/>
  <c r="E18"/>
  <c r="E17" s="1"/>
  <c r="K18"/>
  <c r="L18"/>
  <c r="L17" s="1"/>
  <c r="M18"/>
  <c r="M17" s="1"/>
  <c r="AA18"/>
  <c r="AB18"/>
  <c r="AB17" s="1"/>
  <c r="AC18"/>
  <c r="AC17" s="1"/>
  <c r="F19"/>
  <c r="J19"/>
  <c r="N19"/>
  <c r="O19"/>
  <c r="S19" s="1"/>
  <c r="P19"/>
  <c r="T19" s="1"/>
  <c r="AN19" s="1"/>
  <c r="Q19"/>
  <c r="U19" s="1"/>
  <c r="Z19"/>
  <c r="AD19"/>
  <c r="AE19"/>
  <c r="AF19"/>
  <c r="AG19"/>
  <c r="C21"/>
  <c r="D21"/>
  <c r="E21"/>
  <c r="K21"/>
  <c r="L21"/>
  <c r="M21"/>
  <c r="AA21"/>
  <c r="AB21"/>
  <c r="AC21"/>
  <c r="C22"/>
  <c r="D22"/>
  <c r="E22"/>
  <c r="K22"/>
  <c r="L22"/>
  <c r="M22"/>
  <c r="AA22"/>
  <c r="AB22"/>
  <c r="AC22"/>
  <c r="K23"/>
  <c r="L23"/>
  <c r="M23"/>
  <c r="AA23"/>
  <c r="AB23"/>
  <c r="AC23"/>
  <c r="F24"/>
  <c r="J24"/>
  <c r="N24"/>
  <c r="O24"/>
  <c r="P24"/>
  <c r="Q24"/>
  <c r="U24" s="1"/>
  <c r="T24"/>
  <c r="AN24" s="1"/>
  <c r="Z24"/>
  <c r="AD24"/>
  <c r="AE24"/>
  <c r="AF24"/>
  <c r="AG24"/>
  <c r="AJ24"/>
  <c r="C26"/>
  <c r="D26"/>
  <c r="E26"/>
  <c r="L26"/>
  <c r="C27"/>
  <c r="E27"/>
  <c r="K27"/>
  <c r="L27"/>
  <c r="M27"/>
  <c r="AA27"/>
  <c r="AB27"/>
  <c r="AC27"/>
  <c r="F28"/>
  <c r="J28"/>
  <c r="N28"/>
  <c r="O28"/>
  <c r="S28" s="1"/>
  <c r="P28"/>
  <c r="T28" s="1"/>
  <c r="Q28"/>
  <c r="U28" s="1"/>
  <c r="AO28" s="1"/>
  <c r="Z28"/>
  <c r="AD28"/>
  <c r="AE28"/>
  <c r="AF28"/>
  <c r="AG28"/>
  <c r="C30"/>
  <c r="D30"/>
  <c r="D29" s="1"/>
  <c r="E30"/>
  <c r="E29" s="1"/>
  <c r="K30"/>
  <c r="L30"/>
  <c r="L29" s="1"/>
  <c r="M30"/>
  <c r="M29" s="1"/>
  <c r="AA30"/>
  <c r="AB30"/>
  <c r="AB29" s="1"/>
  <c r="AC30"/>
  <c r="AC29" s="1"/>
  <c r="F31"/>
  <c r="J31"/>
  <c r="N31"/>
  <c r="O31"/>
  <c r="P31"/>
  <c r="Q31"/>
  <c r="U31" s="1"/>
  <c r="T31"/>
  <c r="AN31" s="1"/>
  <c r="Z31"/>
  <c r="AD31"/>
  <c r="AE31"/>
  <c r="AF31"/>
  <c r="AG31"/>
  <c r="AJ31"/>
  <c r="C33"/>
  <c r="C32" s="1"/>
  <c r="E33"/>
  <c r="E32" s="1"/>
  <c r="K33"/>
  <c r="K32" s="1"/>
  <c r="L33"/>
  <c r="L32" s="1"/>
  <c r="M33"/>
  <c r="M32" s="1"/>
  <c r="AA33"/>
  <c r="AA32" s="1"/>
  <c r="AB33"/>
  <c r="AB32" s="1"/>
  <c r="AC33"/>
  <c r="AC32" s="1"/>
  <c r="F34"/>
  <c r="J34"/>
  <c r="N34"/>
  <c r="O34"/>
  <c r="S34" s="1"/>
  <c r="P34"/>
  <c r="T34" s="1"/>
  <c r="Q34"/>
  <c r="U34" s="1"/>
  <c r="Z34"/>
  <c r="AD34"/>
  <c r="AE34"/>
  <c r="AF34"/>
  <c r="AG34"/>
  <c r="C36"/>
  <c r="D36"/>
  <c r="D35" s="1"/>
  <c r="K36"/>
  <c r="L36"/>
  <c r="L35" s="1"/>
  <c r="M36"/>
  <c r="M35" s="1"/>
  <c r="AA36"/>
  <c r="AB36"/>
  <c r="AB35" s="1"/>
  <c r="AC36"/>
  <c r="AC35" s="1"/>
  <c r="F37"/>
  <c r="J37"/>
  <c r="N37"/>
  <c r="O37"/>
  <c r="S37" s="1"/>
  <c r="P37"/>
  <c r="Q37"/>
  <c r="U37" s="1"/>
  <c r="T37"/>
  <c r="Z37"/>
  <c r="AD37"/>
  <c r="AE37"/>
  <c r="AF37"/>
  <c r="AG37"/>
  <c r="AH37" s="1"/>
  <c r="AJ37"/>
  <c r="AN37"/>
  <c r="C39"/>
  <c r="E39"/>
  <c r="K39"/>
  <c r="L39"/>
  <c r="M39"/>
  <c r="AA39"/>
  <c r="AB39"/>
  <c r="AC39"/>
  <c r="C40"/>
  <c r="E40"/>
  <c r="K40"/>
  <c r="L40"/>
  <c r="M40"/>
  <c r="AA40"/>
  <c r="AB40"/>
  <c r="AC40"/>
  <c r="C41"/>
  <c r="D41"/>
  <c r="E41"/>
  <c r="K41"/>
  <c r="L41"/>
  <c r="M41"/>
  <c r="AA41"/>
  <c r="AB41"/>
  <c r="AC41"/>
  <c r="C42"/>
  <c r="D42"/>
  <c r="E42"/>
  <c r="K42"/>
  <c r="L42"/>
  <c r="M42"/>
  <c r="AA42"/>
  <c r="AB42"/>
  <c r="AC42"/>
  <c r="F43"/>
  <c r="J43"/>
  <c r="N43"/>
  <c r="O43"/>
  <c r="P43"/>
  <c r="Q43"/>
  <c r="U43" s="1"/>
  <c r="T43"/>
  <c r="AN43" s="1"/>
  <c r="Z43"/>
  <c r="AD43"/>
  <c r="AE43"/>
  <c r="AF43"/>
  <c r="AG43"/>
  <c r="AJ43"/>
  <c r="C45"/>
  <c r="E45"/>
  <c r="K45"/>
  <c r="L45"/>
  <c r="M45"/>
  <c r="AA45"/>
  <c r="AB45"/>
  <c r="AC45"/>
  <c r="C46"/>
  <c r="D46"/>
  <c r="E46"/>
  <c r="K46"/>
  <c r="M46"/>
  <c r="M44" s="1"/>
  <c r="F47"/>
  <c r="J47"/>
  <c r="N47"/>
  <c r="O47"/>
  <c r="S47" s="1"/>
  <c r="P47"/>
  <c r="T47" s="1"/>
  <c r="Q47"/>
  <c r="U47" s="1"/>
  <c r="Z47"/>
  <c r="AD47"/>
  <c r="AE47"/>
  <c r="AF47"/>
  <c r="AG47"/>
  <c r="I13" i="33" l="1"/>
  <c r="AK19" i="14"/>
  <c r="AO19"/>
  <c r="AH24"/>
  <c r="L13" i="33"/>
  <c r="AZ13" s="1"/>
  <c r="AZ15"/>
  <c r="I15"/>
  <c r="AA13"/>
  <c r="U13"/>
  <c r="E13" i="22"/>
  <c r="B13" i="33"/>
  <c r="Q13"/>
  <c r="Z13"/>
  <c r="E15"/>
  <c r="J15"/>
  <c r="Y13"/>
  <c r="AK34" i="14"/>
  <c r="AK28"/>
  <c r="E15" i="22"/>
  <c r="Y13"/>
  <c r="S10" i="14"/>
  <c r="AM10" s="1"/>
  <c r="Q13" i="22"/>
  <c r="K15"/>
  <c r="Q10" i="14"/>
  <c r="L15" i="22"/>
  <c r="AZ15" s="1"/>
  <c r="AK11" i="14"/>
  <c r="AO11"/>
  <c r="AH11"/>
  <c r="R11"/>
  <c r="N10"/>
  <c r="S11"/>
  <c r="AD10"/>
  <c r="AO47"/>
  <c r="AK47"/>
  <c r="AK37"/>
  <c r="AO37"/>
  <c r="V37"/>
  <c r="AP37" s="1"/>
  <c r="AI37"/>
  <c r="AM37"/>
  <c r="AI34"/>
  <c r="AM34"/>
  <c r="AI16"/>
  <c r="AM16"/>
  <c r="AI19"/>
  <c r="AM19"/>
  <c r="AO34"/>
  <c r="AO16"/>
  <c r="R37"/>
  <c r="AI28"/>
  <c r="E44"/>
  <c r="AD13"/>
  <c r="F13"/>
  <c r="K13" i="22"/>
  <c r="AY13" s="1"/>
  <c r="I13"/>
  <c r="AA13"/>
  <c r="N13" i="14"/>
  <c r="AB13" i="22"/>
  <c r="K17" i="14"/>
  <c r="N17" s="1"/>
  <c r="N18"/>
  <c r="AA17"/>
  <c r="AD17" s="1"/>
  <c r="AD18"/>
  <c r="J13" i="22"/>
  <c r="AX13" s="1"/>
  <c r="Z13"/>
  <c r="J15"/>
  <c r="AX15" s="1"/>
  <c r="AD14" i="14"/>
  <c r="F26"/>
  <c r="AD15"/>
  <c r="N15"/>
  <c r="L13" i="22"/>
  <c r="AZ13" s="1"/>
  <c r="I15"/>
  <c r="AM47" i="14"/>
  <c r="AI47"/>
  <c r="AK31"/>
  <c r="AO31"/>
  <c r="AK24"/>
  <c r="AO24"/>
  <c r="AJ16"/>
  <c r="AN16"/>
  <c r="F46"/>
  <c r="AD45"/>
  <c r="N45"/>
  <c r="AH31"/>
  <c r="R31"/>
  <c r="AD27"/>
  <c r="N27"/>
  <c r="R24"/>
  <c r="N14"/>
  <c r="F14"/>
  <c r="AD42"/>
  <c r="N42"/>
  <c r="F42"/>
  <c r="AD41"/>
  <c r="N41"/>
  <c r="F41"/>
  <c r="AD40"/>
  <c r="N40"/>
  <c r="AD39"/>
  <c r="N39"/>
  <c r="S31"/>
  <c r="AM28"/>
  <c r="S24"/>
  <c r="AJ19"/>
  <c r="AL19" s="1"/>
  <c r="F15"/>
  <c r="AN47"/>
  <c r="AJ47"/>
  <c r="AN28"/>
  <c r="AJ28"/>
  <c r="AJ34"/>
  <c r="AN34"/>
  <c r="AH47"/>
  <c r="R47"/>
  <c r="AD36"/>
  <c r="N36"/>
  <c r="AL34"/>
  <c r="V34"/>
  <c r="AP34" s="1"/>
  <c r="AH28"/>
  <c r="R28"/>
  <c r="L25"/>
  <c r="AD23"/>
  <c r="N23"/>
  <c r="AD22"/>
  <c r="N22"/>
  <c r="F22"/>
  <c r="AC20"/>
  <c r="AD21"/>
  <c r="M20"/>
  <c r="N21"/>
  <c r="F21"/>
  <c r="V19"/>
  <c r="AP19" s="1"/>
  <c r="AH16"/>
  <c r="R16"/>
  <c r="AB12"/>
  <c r="L12"/>
  <c r="D12"/>
  <c r="AL47"/>
  <c r="V47"/>
  <c r="AP47" s="1"/>
  <c r="K44"/>
  <c r="C44"/>
  <c r="AC38"/>
  <c r="AA38"/>
  <c r="M38"/>
  <c r="K38"/>
  <c r="E38"/>
  <c r="C38"/>
  <c r="AH34"/>
  <c r="R34"/>
  <c r="AD33"/>
  <c r="N33"/>
  <c r="AD30"/>
  <c r="N30"/>
  <c r="F30"/>
  <c r="AL28"/>
  <c r="V28"/>
  <c r="AP28" s="1"/>
  <c r="E25"/>
  <c r="C25"/>
  <c r="AB20"/>
  <c r="L20"/>
  <c r="AH19"/>
  <c r="R19"/>
  <c r="AL16"/>
  <c r="V16"/>
  <c r="AP16" s="1"/>
  <c r="AC12"/>
  <c r="AA12"/>
  <c r="M12"/>
  <c r="K12"/>
  <c r="E12"/>
  <c r="C12"/>
  <c r="AK43"/>
  <c r="AO43"/>
  <c r="AH43"/>
  <c r="R43"/>
  <c r="AB38"/>
  <c r="L38"/>
  <c r="AD32"/>
  <c r="N32"/>
  <c r="AD20"/>
  <c r="F17"/>
  <c r="F12"/>
  <c r="S43"/>
  <c r="AA35"/>
  <c r="AD35" s="1"/>
  <c r="K35"/>
  <c r="N35" s="1"/>
  <c r="C35"/>
  <c r="AA29"/>
  <c r="AD29" s="1"/>
  <c r="K29"/>
  <c r="N29" s="1"/>
  <c r="C29"/>
  <c r="AA20"/>
  <c r="K20"/>
  <c r="F18"/>
  <c r="AC13" i="33" l="1"/>
  <c r="M15"/>
  <c r="AX15"/>
  <c r="E13"/>
  <c r="J13"/>
  <c r="AC13" i="22"/>
  <c r="AV13"/>
  <c r="AD12" i="14"/>
  <c r="N20"/>
  <c r="BA13" i="22"/>
  <c r="AL37" i="14"/>
  <c r="V11"/>
  <c r="AP11" s="1"/>
  <c r="AI11"/>
  <c r="AL11" s="1"/>
  <c r="AM11"/>
  <c r="N38"/>
  <c r="AD38"/>
  <c r="M15" i="22"/>
  <c r="M13"/>
  <c r="N12" i="14"/>
  <c r="U13" i="22"/>
  <c r="U15"/>
  <c r="V24" i="14"/>
  <c r="AP24" s="1"/>
  <c r="AI24"/>
  <c r="AL24" s="1"/>
  <c r="AM24"/>
  <c r="V31"/>
  <c r="AP31" s="1"/>
  <c r="AI31"/>
  <c r="AL31" s="1"/>
  <c r="AM31"/>
  <c r="F29"/>
  <c r="V43"/>
  <c r="AP43" s="1"/>
  <c r="AI43"/>
  <c r="AL43" s="1"/>
  <c r="AM43"/>
  <c r="AX13" i="33" l="1"/>
  <c r="BA13" s="1"/>
  <c r="M13"/>
  <c r="C146" i="22"/>
  <c r="AK105"/>
  <c r="AG105"/>
  <c r="L105"/>
  <c r="AZ105" s="1"/>
  <c r="K105"/>
  <c r="AY105" s="1"/>
  <c r="J105"/>
  <c r="AX105" s="1"/>
  <c r="AK83"/>
  <c r="AG83"/>
  <c r="L83"/>
  <c r="AZ83" s="1"/>
  <c r="K83"/>
  <c r="AY83" s="1"/>
  <c r="J83"/>
  <c r="AX83" s="1"/>
  <c r="AK54"/>
  <c r="AG54"/>
  <c r="L54"/>
  <c r="AZ54" s="1"/>
  <c r="K54"/>
  <c r="AY54" s="1"/>
  <c r="J54"/>
  <c r="AX54" s="1"/>
  <c r="Y56" i="7"/>
  <c r="Y23" i="14" s="1"/>
  <c r="AG23" s="1"/>
  <c r="X56" i="7"/>
  <c r="X23" i="14" s="1"/>
  <c r="AF23" s="1"/>
  <c r="W56" i="7"/>
  <c r="W23" i="14" s="1"/>
  <c r="H56" i="7"/>
  <c r="P56" s="1"/>
  <c r="P23" i="14" s="1"/>
  <c r="G56" i="7"/>
  <c r="G57" s="1"/>
  <c r="D56"/>
  <c r="C56"/>
  <c r="AQ58"/>
  <c r="AT58" s="1"/>
  <c r="AC57"/>
  <c r="AW57" s="1"/>
  <c r="AB57"/>
  <c r="AV57" s="1"/>
  <c r="AA57"/>
  <c r="AU57" s="1"/>
  <c r="M57"/>
  <c r="L57"/>
  <c r="K57"/>
  <c r="AW56"/>
  <c r="AV56"/>
  <c r="AU56"/>
  <c r="AD56"/>
  <c r="AD57" s="1"/>
  <c r="AX57" s="1"/>
  <c r="W57"/>
  <c r="N56"/>
  <c r="N57" s="1"/>
  <c r="I57"/>
  <c r="BB55"/>
  <c r="BA55"/>
  <c r="AZ55"/>
  <c r="AY55"/>
  <c r="AC55"/>
  <c r="AW55" s="1"/>
  <c r="AB55"/>
  <c r="AV55" s="1"/>
  <c r="AA55"/>
  <c r="AU55" s="1"/>
  <c r="Z55"/>
  <c r="BB54"/>
  <c r="BA54"/>
  <c r="AZ54"/>
  <c r="AY54"/>
  <c r="AC54"/>
  <c r="AW54" s="1"/>
  <c r="AB54"/>
  <c r="AV54" s="1"/>
  <c r="AA54"/>
  <c r="AD54" s="1"/>
  <c r="AX54" s="1"/>
  <c r="Z54"/>
  <c r="C23" i="14" l="1"/>
  <c r="BP56" i="7"/>
  <c r="D23" i="14"/>
  <c r="T23" s="1"/>
  <c r="BQ56" i="7"/>
  <c r="BA54" i="22"/>
  <c r="BA105"/>
  <c r="BA83"/>
  <c r="Y57" i="7"/>
  <c r="X57"/>
  <c r="B17" i="22"/>
  <c r="C20" i="14"/>
  <c r="C9" s="1"/>
  <c r="D20"/>
  <c r="AE23"/>
  <c r="AH23" s="1"/>
  <c r="Z23"/>
  <c r="F17" i="22"/>
  <c r="C57" i="7"/>
  <c r="D57"/>
  <c r="P17" i="22"/>
  <c r="H17"/>
  <c r="T17"/>
  <c r="N17"/>
  <c r="G17"/>
  <c r="S17"/>
  <c r="R17"/>
  <c r="D17"/>
  <c r="C17"/>
  <c r="O17"/>
  <c r="M54"/>
  <c r="M83"/>
  <c r="M105"/>
  <c r="T56" i="7"/>
  <c r="P57"/>
  <c r="AZ56"/>
  <c r="AU58"/>
  <c r="AW58"/>
  <c r="AZ57"/>
  <c r="AQ54"/>
  <c r="AT54" s="1"/>
  <c r="AS54"/>
  <c r="AU54"/>
  <c r="AD55"/>
  <c r="AX55" s="1"/>
  <c r="AR55"/>
  <c r="J56"/>
  <c r="J57" s="1"/>
  <c r="O56"/>
  <c r="O23" i="14" s="1"/>
  <c r="Q56" i="7"/>
  <c r="Q23" i="14" s="1"/>
  <c r="AF56" i="7"/>
  <c r="AF57" s="1"/>
  <c r="AX56"/>
  <c r="H57"/>
  <c r="AR54"/>
  <c r="AQ55"/>
  <c r="AT55" s="1"/>
  <c r="AS55"/>
  <c r="Z56"/>
  <c r="Z57" s="1"/>
  <c r="AE56"/>
  <c r="AG56"/>
  <c r="AG57" s="1"/>
  <c r="S23" i="14" l="1"/>
  <c r="AN56" i="7"/>
  <c r="Q17" i="22"/>
  <c r="E17"/>
  <c r="K17"/>
  <c r="AY17" s="1"/>
  <c r="I17"/>
  <c r="AI23" i="14"/>
  <c r="AM23"/>
  <c r="L17" i="22"/>
  <c r="AZ17" s="1"/>
  <c r="AN23" i="14"/>
  <c r="AJ23"/>
  <c r="R23"/>
  <c r="J17" i="22"/>
  <c r="AX17" s="1"/>
  <c r="O57" i="7"/>
  <c r="AY57" s="1"/>
  <c r="AY56"/>
  <c r="R56"/>
  <c r="S56"/>
  <c r="AM56" s="1"/>
  <c r="T57"/>
  <c r="AR56"/>
  <c r="AJ56"/>
  <c r="AJ57" s="1"/>
  <c r="AE57"/>
  <c r="AH56"/>
  <c r="AH57" s="1"/>
  <c r="Q57"/>
  <c r="BA57" s="1"/>
  <c r="BA56"/>
  <c r="BA17" i="22" l="1"/>
  <c r="AN57" i="7"/>
  <c r="AR57" s="1"/>
  <c r="M17" i="22"/>
  <c r="R57" i="7"/>
  <c r="BB57" s="1"/>
  <c r="BB56"/>
  <c r="S57"/>
  <c r="AQ56"/>
  <c r="AT56" s="1"/>
  <c r="AI56"/>
  <c r="AM57" l="1"/>
  <c r="AQ57" s="1"/>
  <c r="AT57" s="1"/>
  <c r="AI57"/>
  <c r="L81" l="1"/>
  <c r="L46" i="14" l="1"/>
  <c r="L44" s="1"/>
  <c r="K15" i="23"/>
  <c r="N46" i="14"/>
  <c r="M15" i="23" l="1"/>
  <c r="K15" i="34"/>
  <c r="M15" s="1"/>
  <c r="N44" i="14"/>
  <c r="L9"/>
  <c r="D9" i="7" l="1"/>
  <c r="E9"/>
  <c r="E36" i="14"/>
  <c r="D40"/>
  <c r="F40" s="1"/>
  <c r="D39"/>
  <c r="D23" i="7"/>
  <c r="D22"/>
  <c r="D13"/>
  <c r="D45" i="14" l="1"/>
  <c r="BQ22" i="7"/>
  <c r="D10" i="14"/>
  <c r="BQ9" i="7"/>
  <c r="D33" i="14"/>
  <c r="BQ13" i="7"/>
  <c r="D27" i="14"/>
  <c r="BQ23" i="7"/>
  <c r="E10" i="14"/>
  <c r="U10" s="1"/>
  <c r="BR9" i="7"/>
  <c r="F10" i="14"/>
  <c r="D44"/>
  <c r="F44" s="1"/>
  <c r="F45"/>
  <c r="F39"/>
  <c r="D38"/>
  <c r="F38" s="1"/>
  <c r="E35"/>
  <c r="F35" s="1"/>
  <c r="F36"/>
  <c r="D32"/>
  <c r="F32" s="1"/>
  <c r="F33"/>
  <c r="F27"/>
  <c r="D25"/>
  <c r="E56" i="7"/>
  <c r="E23" i="14" l="1"/>
  <c r="E20" s="1"/>
  <c r="E9" s="1"/>
  <c r="BR56" i="7"/>
  <c r="F25" i="14"/>
  <c r="D9"/>
  <c r="U23"/>
  <c r="E57" i="7"/>
  <c r="F56"/>
  <c r="F57" s="1"/>
  <c r="U56"/>
  <c r="AO56" s="1"/>
  <c r="F23" i="14" l="1"/>
  <c r="F20" s="1"/>
  <c r="F9" s="1"/>
  <c r="AK23"/>
  <c r="AL23" s="1"/>
  <c r="AO23"/>
  <c r="V23"/>
  <c r="AP23" s="1"/>
  <c r="AS56" i="7"/>
  <c r="U57"/>
  <c r="AO57" s="1"/>
  <c r="AK56"/>
  <c r="V56"/>
  <c r="AP56" s="1"/>
  <c r="V57" l="1"/>
  <c r="AP57" s="1"/>
  <c r="AS57"/>
  <c r="AK57"/>
  <c r="AL56"/>
  <c r="AL57" s="1"/>
  <c r="AQ297" l="1"/>
  <c r="AQ293" l="1"/>
  <c r="Y266" l="1"/>
  <c r="X266"/>
  <c r="W266"/>
  <c r="N266"/>
  <c r="G266"/>
  <c r="O266" s="1"/>
  <c r="F266"/>
  <c r="Z266" l="1"/>
  <c r="S266"/>
  <c r="AM266" s="1"/>
  <c r="AD265" l="1"/>
  <c r="Y265"/>
  <c r="AG265" s="1"/>
  <c r="X265"/>
  <c r="W265"/>
  <c r="AE265" s="1"/>
  <c r="Q265"/>
  <c r="P265"/>
  <c r="O265"/>
  <c r="N265"/>
  <c r="J265"/>
  <c r="F265"/>
  <c r="AD264"/>
  <c r="Y264"/>
  <c r="AG264" s="1"/>
  <c r="X264"/>
  <c r="W264"/>
  <c r="AE264" s="1"/>
  <c r="Q264"/>
  <c r="P264"/>
  <c r="O264"/>
  <c r="N264"/>
  <c r="J264"/>
  <c r="F264"/>
  <c r="F263" s="1"/>
  <c r="M263"/>
  <c r="L135" i="23" s="1"/>
  <c r="L263" i="7"/>
  <c r="K135" i="23" s="1"/>
  <c r="K263" i="7"/>
  <c r="J135" i="23" s="1"/>
  <c r="G263" i="7"/>
  <c r="F135" i="23" s="1"/>
  <c r="F36" i="31" s="1"/>
  <c r="E263" i="7"/>
  <c r="D263"/>
  <c r="C263"/>
  <c r="BP263" s="1"/>
  <c r="AQ262"/>
  <c r="AG262"/>
  <c r="AF262"/>
  <c r="AE262"/>
  <c r="AD262"/>
  <c r="Z262"/>
  <c r="Q262"/>
  <c r="P262"/>
  <c r="O262"/>
  <c r="N262"/>
  <c r="J262"/>
  <c r="F262"/>
  <c r="Y261"/>
  <c r="X261"/>
  <c r="W261"/>
  <c r="N261"/>
  <c r="I261"/>
  <c r="Q261" s="1"/>
  <c r="U261" s="1"/>
  <c r="C135" i="23" l="1"/>
  <c r="C134" s="1"/>
  <c r="C41" i="34" s="1"/>
  <c r="BQ263" i="7"/>
  <c r="D135" i="23"/>
  <c r="D36" i="31" s="1"/>
  <c r="BR263" i="7"/>
  <c r="R264"/>
  <c r="J36" i="31"/>
  <c r="N36" s="1"/>
  <c r="M135" i="23"/>
  <c r="M134" s="1"/>
  <c r="J134"/>
  <c r="J41" i="34" s="1"/>
  <c r="L36" i="31"/>
  <c r="L134" i="23"/>
  <c r="L41" i="34" s="1"/>
  <c r="C36" i="31"/>
  <c r="E135" i="23"/>
  <c r="E134" s="1"/>
  <c r="K36" i="31"/>
  <c r="K134" i="23"/>
  <c r="K41" i="34" s="1"/>
  <c r="R265" i="7"/>
  <c r="N135" i="23"/>
  <c r="R262" i="7"/>
  <c r="AH262"/>
  <c r="Z261"/>
  <c r="Y263"/>
  <c r="X135" i="23" s="1"/>
  <c r="X36" i="31" s="1"/>
  <c r="Z264" i="7"/>
  <c r="W263"/>
  <c r="V135" i="23" s="1"/>
  <c r="V36" i="31" s="1"/>
  <c r="Z265" i="7"/>
  <c r="O263"/>
  <c r="AF264"/>
  <c r="AF265"/>
  <c r="X263"/>
  <c r="W135" i="23" s="1"/>
  <c r="W36" i="31" s="1"/>
  <c r="H261" i="7"/>
  <c r="P261" s="1"/>
  <c r="T261" s="1"/>
  <c r="G261"/>
  <c r="F261"/>
  <c r="M41" i="34" l="1"/>
  <c r="D134" i="23"/>
  <c r="D41" i="34" s="1"/>
  <c r="E36" i="31"/>
  <c r="E35" s="1"/>
  <c r="M36"/>
  <c r="M35" s="1"/>
  <c r="Y36"/>
  <c r="R36"/>
  <c r="R135" i="23"/>
  <c r="Y135"/>
  <c r="AH265" i="7"/>
  <c r="N263"/>
  <c r="S263"/>
  <c r="AM263" s="1"/>
  <c r="O261"/>
  <c r="R261" s="1"/>
  <c r="J261"/>
  <c r="Z263"/>
  <c r="AH264"/>
  <c r="S261" l="1"/>
  <c r="AM261" s="1"/>
  <c r="AD260"/>
  <c r="Y260"/>
  <c r="AG260" s="1"/>
  <c r="X260"/>
  <c r="AF260" s="1"/>
  <c r="W260"/>
  <c r="AE260" s="1"/>
  <c r="Q260"/>
  <c r="P260"/>
  <c r="O260"/>
  <c r="N260"/>
  <c r="J260"/>
  <c r="F260"/>
  <c r="R260" l="1"/>
  <c r="AH260"/>
  <c r="V261"/>
  <c r="Z260"/>
  <c r="AD259" l="1"/>
  <c r="Y259"/>
  <c r="AG259" s="1"/>
  <c r="X259"/>
  <c r="AF259" s="1"/>
  <c r="W259"/>
  <c r="AE259" s="1"/>
  <c r="Q259"/>
  <c r="P259"/>
  <c r="O259"/>
  <c r="N259"/>
  <c r="J259"/>
  <c r="F259"/>
  <c r="F258" s="1"/>
  <c r="M258"/>
  <c r="L258"/>
  <c r="K258"/>
  <c r="I258"/>
  <c r="H258"/>
  <c r="G258"/>
  <c r="E258"/>
  <c r="BR258" s="1"/>
  <c r="D258"/>
  <c r="BQ258" s="1"/>
  <c r="C258"/>
  <c r="BP258" s="1"/>
  <c r="AQ257"/>
  <c r="AG257"/>
  <c r="AF257"/>
  <c r="AE257"/>
  <c r="AD257"/>
  <c r="Z257"/>
  <c r="Q257"/>
  <c r="P257"/>
  <c r="O257"/>
  <c r="N257"/>
  <c r="J257"/>
  <c r="F257"/>
  <c r="W258" l="1"/>
  <c r="R257"/>
  <c r="AH257"/>
  <c r="C130" i="23"/>
  <c r="J130"/>
  <c r="L130"/>
  <c r="D130"/>
  <c r="K130"/>
  <c r="F130"/>
  <c r="F31" i="31" s="1"/>
  <c r="H130" i="23"/>
  <c r="H31" i="31" s="1"/>
  <c r="V130" i="23"/>
  <c r="V31" i="31" s="1"/>
  <c r="G130" i="23"/>
  <c r="G31" i="31" s="1"/>
  <c r="Y258" i="7"/>
  <c r="R259"/>
  <c r="J258"/>
  <c r="AH259"/>
  <c r="O258"/>
  <c r="Q258"/>
  <c r="X258"/>
  <c r="P258"/>
  <c r="Z259"/>
  <c r="X256"/>
  <c r="W256"/>
  <c r="N256"/>
  <c r="F256"/>
  <c r="AD255"/>
  <c r="P130" i="23" l="1"/>
  <c r="T130" s="1"/>
  <c r="K31" i="31"/>
  <c r="K129" i="23"/>
  <c r="K40" i="34" s="1"/>
  <c r="D31" i="31"/>
  <c r="D129" i="23"/>
  <c r="D40" i="34" s="1"/>
  <c r="L31" i="31"/>
  <c r="L129" i="23"/>
  <c r="L40" i="34" s="1"/>
  <c r="M130" i="23"/>
  <c r="M129" s="1"/>
  <c r="J31" i="31"/>
  <c r="M31" s="1"/>
  <c r="M30" s="1"/>
  <c r="J129" i="23"/>
  <c r="J40" i="34" s="1"/>
  <c r="C31" i="31"/>
  <c r="E31" s="1"/>
  <c r="E30" s="1"/>
  <c r="E130" i="23"/>
  <c r="E129" s="1"/>
  <c r="C129"/>
  <c r="C40" i="34" s="1"/>
  <c r="O31" i="31"/>
  <c r="S31" s="1"/>
  <c r="P31"/>
  <c r="T31" s="1"/>
  <c r="I130" i="23"/>
  <c r="W130"/>
  <c r="W31" i="31" s="1"/>
  <c r="X130" i="23"/>
  <c r="X31" i="31" s="1"/>
  <c r="I31"/>
  <c r="O130" i="23"/>
  <c r="N130"/>
  <c r="R130" s="1"/>
  <c r="S130"/>
  <c r="Z258" i="7"/>
  <c r="U258"/>
  <c r="T258"/>
  <c r="N258"/>
  <c r="R258"/>
  <c r="S258"/>
  <c r="AM258" s="1"/>
  <c r="X255"/>
  <c r="AF255" s="1"/>
  <c r="W255"/>
  <c r="AE255" s="1"/>
  <c r="Q255"/>
  <c r="P255"/>
  <c r="O255"/>
  <c r="N255"/>
  <c r="J255"/>
  <c r="F255"/>
  <c r="M40" i="34" l="1"/>
  <c r="N31" i="31"/>
  <c r="R31" s="1"/>
  <c r="Y130" i="23"/>
  <c r="Q130"/>
  <c r="Y31" i="31"/>
  <c r="U130" i="23"/>
  <c r="R255" i="7"/>
  <c r="V258"/>
  <c r="AD254"/>
  <c r="X254"/>
  <c r="AF254" s="1"/>
  <c r="W254"/>
  <c r="AQ254" s="1"/>
  <c r="Q254"/>
  <c r="P254"/>
  <c r="O254"/>
  <c r="N254"/>
  <c r="J254"/>
  <c r="F254"/>
  <c r="F253" s="1"/>
  <c r="M253"/>
  <c r="L125" i="23" s="1"/>
  <c r="L253" i="7"/>
  <c r="K125" i="23" s="1"/>
  <c r="K253" i="7"/>
  <c r="J125" i="23" s="1"/>
  <c r="E253" i="7"/>
  <c r="D253"/>
  <c r="C253"/>
  <c r="BP253" s="1"/>
  <c r="AQ252"/>
  <c r="AG252"/>
  <c r="AF252"/>
  <c r="AE252"/>
  <c r="AD252"/>
  <c r="Z252"/>
  <c r="Q252"/>
  <c r="P252"/>
  <c r="O252"/>
  <c r="N252"/>
  <c r="J252"/>
  <c r="F252"/>
  <c r="Q31" i="31" l="1"/>
  <c r="C125" i="23"/>
  <c r="C26" i="31" s="1"/>
  <c r="BQ253" i="7"/>
  <c r="D125" i="23"/>
  <c r="D124" s="1"/>
  <c r="D39" i="34" s="1"/>
  <c r="BR253" i="7"/>
  <c r="R254"/>
  <c r="C124" i="23"/>
  <c r="C39" i="34" s="1"/>
  <c r="K26" i="31"/>
  <c r="K124" i="23"/>
  <c r="K39" i="34" s="1"/>
  <c r="D26" i="31"/>
  <c r="J26"/>
  <c r="M125" i="23"/>
  <c r="M124" s="1"/>
  <c r="J124"/>
  <c r="J39" i="34" s="1"/>
  <c r="L26" i="31"/>
  <c r="L124" i="23"/>
  <c r="L39" i="34" s="1"/>
  <c r="U31" i="31"/>
  <c r="R252" i="7"/>
  <c r="AH252"/>
  <c r="W253"/>
  <c r="AE254"/>
  <c r="Y251"/>
  <c r="X251"/>
  <c r="W251"/>
  <c r="AQ251" s="1"/>
  <c r="N251"/>
  <c r="I251"/>
  <c r="Q251" s="1"/>
  <c r="H251"/>
  <c r="P251" s="1"/>
  <c r="G251"/>
  <c r="O251" s="1"/>
  <c r="S251" s="1"/>
  <c r="AM251" s="1"/>
  <c r="F251"/>
  <c r="V125" i="23" l="1"/>
  <c r="V26" i="31" s="1"/>
  <c r="M39" i="34"/>
  <c r="E125" i="23"/>
  <c r="E124" s="1"/>
  <c r="E26" i="31"/>
  <c r="E25" s="1"/>
  <c r="M26"/>
  <c r="M25" s="1"/>
  <c r="X253" i="7"/>
  <c r="J251"/>
  <c r="R251"/>
  <c r="Z251"/>
  <c r="N253"/>
  <c r="AD250"/>
  <c r="W125" i="23" l="1"/>
  <c r="W26" i="31" s="1"/>
  <c r="Y250" i="7"/>
  <c r="AG250" s="1"/>
  <c r="X250"/>
  <c r="AF250" s="1"/>
  <c r="W250"/>
  <c r="Q250"/>
  <c r="P250"/>
  <c r="O250"/>
  <c r="N250"/>
  <c r="J250"/>
  <c r="F250"/>
  <c r="R250" l="1"/>
  <c r="Z250"/>
  <c r="AQ250"/>
  <c r="AE250"/>
  <c r="AH250" s="1"/>
  <c r="AD249"/>
  <c r="Y249"/>
  <c r="AG249" s="1"/>
  <c r="X249"/>
  <c r="AF249" s="1"/>
  <c r="W249"/>
  <c r="AQ249" s="1"/>
  <c r="Q249"/>
  <c r="P249"/>
  <c r="O249"/>
  <c r="N249"/>
  <c r="J249"/>
  <c r="F249"/>
  <c r="R249" l="1"/>
  <c r="Z249"/>
  <c r="AE249"/>
  <c r="AH249" s="1"/>
  <c r="Y248"/>
  <c r="X248"/>
  <c r="W248"/>
  <c r="M248"/>
  <c r="L248"/>
  <c r="K248"/>
  <c r="I248"/>
  <c r="H248"/>
  <c r="G248"/>
  <c r="F248"/>
  <c r="E248"/>
  <c r="BR248" s="1"/>
  <c r="D248"/>
  <c r="BQ248" s="1"/>
  <c r="C248"/>
  <c r="BP248" s="1"/>
  <c r="AG247"/>
  <c r="AF247"/>
  <c r="AE247"/>
  <c r="AD247"/>
  <c r="Z247"/>
  <c r="Q247"/>
  <c r="P247"/>
  <c r="O247"/>
  <c r="N247"/>
  <c r="J247"/>
  <c r="F247"/>
  <c r="C119" i="23" l="1"/>
  <c r="J119"/>
  <c r="L119"/>
  <c r="D119"/>
  <c r="K119"/>
  <c r="R247" i="7"/>
  <c r="G119" i="23"/>
  <c r="G20" i="31" s="1"/>
  <c r="W119" i="23"/>
  <c r="W20" i="31" s="1"/>
  <c r="F119" i="23"/>
  <c r="F20" i="31" s="1"/>
  <c r="H119" i="23"/>
  <c r="H20" i="31" s="1"/>
  <c r="V119" i="23"/>
  <c r="V20" i="31" s="1"/>
  <c r="X119" i="23"/>
  <c r="X20" i="31" s="1"/>
  <c r="N119" i="23"/>
  <c r="P119"/>
  <c r="O119"/>
  <c r="AH247" i="7"/>
  <c r="AQ247"/>
  <c r="J248"/>
  <c r="AQ248"/>
  <c r="O248"/>
  <c r="Q248"/>
  <c r="P248"/>
  <c r="Z248"/>
  <c r="Y246"/>
  <c r="X246"/>
  <c r="W246"/>
  <c r="AQ246" s="1"/>
  <c r="N246"/>
  <c r="I246"/>
  <c r="Q246" s="1"/>
  <c r="H246"/>
  <c r="P246" s="1"/>
  <c r="T246" s="1"/>
  <c r="G246"/>
  <c r="O246" s="1"/>
  <c r="F246"/>
  <c r="K20" i="31" l="1"/>
  <c r="K118" i="23"/>
  <c r="K38" i="34" s="1"/>
  <c r="D20" i="31"/>
  <c r="D118" i="23"/>
  <c r="D38" i="34" s="1"/>
  <c r="L20" i="31"/>
  <c r="P20" s="1"/>
  <c r="T20" s="1"/>
  <c r="L118" i="23"/>
  <c r="L38" i="34" s="1"/>
  <c r="J20" i="31"/>
  <c r="M20" s="1"/>
  <c r="M19" s="1"/>
  <c r="M119" i="23"/>
  <c r="M118" s="1"/>
  <c r="J118"/>
  <c r="J38" i="34" s="1"/>
  <c r="M38" s="1"/>
  <c r="C20" i="31"/>
  <c r="E20" s="1"/>
  <c r="E19" s="1"/>
  <c r="C118" i="23"/>
  <c r="C38" i="34" s="1"/>
  <c r="E119" i="23"/>
  <c r="E118" s="1"/>
  <c r="O20" i="31"/>
  <c r="Y20"/>
  <c r="I20"/>
  <c r="N20"/>
  <c r="S20"/>
  <c r="Y119" i="23"/>
  <c r="I119"/>
  <c r="T119"/>
  <c r="S119"/>
  <c r="Q119"/>
  <c r="R119"/>
  <c r="R246" i="7"/>
  <c r="S246"/>
  <c r="AM246" s="1"/>
  <c r="T248"/>
  <c r="N248"/>
  <c r="R248"/>
  <c r="S248"/>
  <c r="AM248" s="1"/>
  <c r="Z246"/>
  <c r="U248"/>
  <c r="J246"/>
  <c r="AD245"/>
  <c r="Y245"/>
  <c r="AG245" s="1"/>
  <c r="X245"/>
  <c r="AF245" s="1"/>
  <c r="W245"/>
  <c r="AQ245" s="1"/>
  <c r="Q245"/>
  <c r="P245"/>
  <c r="O245"/>
  <c r="N245"/>
  <c r="J245"/>
  <c r="F245"/>
  <c r="Q20" i="31" l="1"/>
  <c r="R20"/>
  <c r="U119" i="23"/>
  <c r="R245" i="7"/>
  <c r="V248"/>
  <c r="Z245"/>
  <c r="AE245"/>
  <c r="AH245" s="1"/>
  <c r="AD244"/>
  <c r="Y244"/>
  <c r="AG244" s="1"/>
  <c r="X244"/>
  <c r="AF244" s="1"/>
  <c r="W244"/>
  <c r="AQ244" s="1"/>
  <c r="Q244"/>
  <c r="P244"/>
  <c r="O244"/>
  <c r="N244"/>
  <c r="J244"/>
  <c r="F244"/>
  <c r="X243"/>
  <c r="W108" i="23" s="1"/>
  <c r="W9" i="31" s="1"/>
  <c r="M243" i="7"/>
  <c r="L108" i="23" s="1"/>
  <c r="L243" i="7"/>
  <c r="K108" i="23" s="1"/>
  <c r="K243" i="7"/>
  <c r="J108" i="23" s="1"/>
  <c r="I243" i="7"/>
  <c r="H108" i="23" s="1"/>
  <c r="H9" i="31" s="1"/>
  <c r="H243" i="7"/>
  <c r="G108" i="23" s="1"/>
  <c r="G9" i="31" s="1"/>
  <c r="F243" i="7"/>
  <c r="E243"/>
  <c r="D243"/>
  <c r="C243"/>
  <c r="BP243" s="1"/>
  <c r="AQ242"/>
  <c r="AG242"/>
  <c r="AF242"/>
  <c r="AE242"/>
  <c r="AD242"/>
  <c r="Z242"/>
  <c r="Q242"/>
  <c r="P242"/>
  <c r="O242"/>
  <c r="R242" s="1"/>
  <c r="N242"/>
  <c r="J242"/>
  <c r="F242"/>
  <c r="D108" i="23" l="1"/>
  <c r="BR243" i="7"/>
  <c r="C108" i="23"/>
  <c r="BQ243" i="7"/>
  <c r="R244"/>
  <c r="C9" i="31"/>
  <c r="C107" i="23"/>
  <c r="E108"/>
  <c r="E107" s="1"/>
  <c r="E106" s="1"/>
  <c r="K9" i="31"/>
  <c r="O9" s="1"/>
  <c r="S9" s="1"/>
  <c r="K107" i="23"/>
  <c r="D9" i="31"/>
  <c r="D107" i="23"/>
  <c r="J9" i="31"/>
  <c r="J107" i="23"/>
  <c r="M108"/>
  <c r="M107" s="1"/>
  <c r="M106" s="1"/>
  <c r="L9" i="31"/>
  <c r="P9" s="1"/>
  <c r="L107" i="23"/>
  <c r="U20" i="31"/>
  <c r="P108" i="23"/>
  <c r="O108"/>
  <c r="AH242" i="7"/>
  <c r="J243"/>
  <c r="W243"/>
  <c r="Y243"/>
  <c r="X108" i="23" s="1"/>
  <c r="X9" i="31" s="1"/>
  <c r="G243" i="7"/>
  <c r="F108" i="23" s="1"/>
  <c r="F9" i="31" s="1"/>
  <c r="Q243" i="7"/>
  <c r="P243"/>
  <c r="Z244"/>
  <c r="AE244"/>
  <c r="AH244" s="1"/>
  <c r="L106" i="23" l="1"/>
  <c r="L37" i="34"/>
  <c r="L36" s="1"/>
  <c r="C106" i="23"/>
  <c r="C37" i="34"/>
  <c r="C36" s="1"/>
  <c r="J106" i="23"/>
  <c r="J37" i="34"/>
  <c r="D106" i="23"/>
  <c r="D37" i="34"/>
  <c r="D36" s="1"/>
  <c r="K106" i="23"/>
  <c r="K37" i="34"/>
  <c r="K36" s="1"/>
  <c r="T9" i="31"/>
  <c r="E9"/>
  <c r="E8" s="1"/>
  <c r="E39" s="1"/>
  <c r="E41" s="1"/>
  <c r="M9"/>
  <c r="M8" s="1"/>
  <c r="M39" s="1"/>
  <c r="M41" s="1"/>
  <c r="I9"/>
  <c r="N9"/>
  <c r="N108" i="23"/>
  <c r="I108"/>
  <c r="AQ243" i="7"/>
  <c r="V108" i="23"/>
  <c r="V9" i="31" s="1"/>
  <c r="S108" i="23"/>
  <c r="T108"/>
  <c r="Z243" i="7"/>
  <c r="T243"/>
  <c r="U243"/>
  <c r="O243"/>
  <c r="Y241"/>
  <c r="X241"/>
  <c r="W241"/>
  <c r="AQ241" s="1"/>
  <c r="M37" i="34" l="1"/>
  <c r="J36"/>
  <c r="M36" s="1"/>
  <c r="Y9" i="31"/>
  <c r="Q9"/>
  <c r="R9"/>
  <c r="Y108" i="23"/>
  <c r="Q108"/>
  <c r="R108"/>
  <c r="N243" i="7"/>
  <c r="R243"/>
  <c r="S243"/>
  <c r="AM243" s="1"/>
  <c r="Z241"/>
  <c r="N241"/>
  <c r="U9" i="31" l="1"/>
  <c r="U108" i="23"/>
  <c r="V243" i="7"/>
  <c r="I241"/>
  <c r="Q241" s="1"/>
  <c r="H241"/>
  <c r="P241" s="1"/>
  <c r="G241"/>
  <c r="F241"/>
  <c r="O241" l="1"/>
  <c r="J241"/>
  <c r="AD240"/>
  <c r="Y240"/>
  <c r="AG240" s="1"/>
  <c r="X240"/>
  <c r="AF240" s="1"/>
  <c r="W240"/>
  <c r="AQ240" s="1"/>
  <c r="Q240"/>
  <c r="P240"/>
  <c r="O240"/>
  <c r="N240"/>
  <c r="J240"/>
  <c r="F240"/>
  <c r="R240" l="1"/>
  <c r="Z240"/>
  <c r="AE240"/>
  <c r="AH240" s="1"/>
  <c r="R241"/>
  <c r="S241"/>
  <c r="AM241" s="1"/>
  <c r="AD239" l="1"/>
  <c r="Y239"/>
  <c r="AG239" s="1"/>
  <c r="X239"/>
  <c r="AF239" s="1"/>
  <c r="W239"/>
  <c r="AQ239" s="1"/>
  <c r="Q239"/>
  <c r="P239"/>
  <c r="O239"/>
  <c r="N239"/>
  <c r="J239"/>
  <c r="F239"/>
  <c r="X238"/>
  <c r="W238"/>
  <c r="M238"/>
  <c r="L238"/>
  <c r="K238"/>
  <c r="I238"/>
  <c r="H238"/>
  <c r="G238"/>
  <c r="F238"/>
  <c r="E238"/>
  <c r="BR238" s="1"/>
  <c r="D238"/>
  <c r="BQ238" s="1"/>
  <c r="C238"/>
  <c r="BP238" s="1"/>
  <c r="AQ237"/>
  <c r="AG237"/>
  <c r="AF237"/>
  <c r="AE237"/>
  <c r="AD237"/>
  <c r="Z237"/>
  <c r="Q237"/>
  <c r="P237"/>
  <c r="O237"/>
  <c r="N237"/>
  <c r="J237"/>
  <c r="F237"/>
  <c r="AQ236"/>
  <c r="Y236"/>
  <c r="X236"/>
  <c r="W236"/>
  <c r="N236"/>
  <c r="R239" l="1"/>
  <c r="D102" i="23"/>
  <c r="K102"/>
  <c r="C102"/>
  <c r="J102"/>
  <c r="L102"/>
  <c r="R237" i="7"/>
  <c r="G102" i="23"/>
  <c r="G25" i="30" s="1"/>
  <c r="W102" i="23"/>
  <c r="W25" i="30" s="1"/>
  <c r="F102" i="23"/>
  <c r="F25" i="30" s="1"/>
  <c r="H102" i="23"/>
  <c r="H25" i="30" s="1"/>
  <c r="V102" i="23"/>
  <c r="V25" i="30" s="1"/>
  <c r="AH237" i="7"/>
  <c r="J238"/>
  <c r="Y238"/>
  <c r="P238"/>
  <c r="Z238"/>
  <c r="Z236"/>
  <c r="O238"/>
  <c r="Q238"/>
  <c r="AQ238"/>
  <c r="Z239"/>
  <c r="AE239"/>
  <c r="AH239" s="1"/>
  <c r="I236"/>
  <c r="Q236" s="1"/>
  <c r="H236"/>
  <c r="P236" s="1"/>
  <c r="T236" s="1"/>
  <c r="G236"/>
  <c r="F236"/>
  <c r="I102" i="23" l="1"/>
  <c r="L25" i="30"/>
  <c r="L101" i="23"/>
  <c r="L34" i="34" s="1"/>
  <c r="J25" i="30"/>
  <c r="M102" i="23"/>
  <c r="M101" s="1"/>
  <c r="J101"/>
  <c r="J34" i="34" s="1"/>
  <c r="C25" i="30"/>
  <c r="C101" i="23"/>
  <c r="C34" i="34" s="1"/>
  <c r="E102" i="23"/>
  <c r="E101" s="1"/>
  <c r="K25" i="30"/>
  <c r="K101" i="23"/>
  <c r="K34" i="34" s="1"/>
  <c r="D25" i="30"/>
  <c r="D101" i="23"/>
  <c r="D34" i="34" s="1"/>
  <c r="O102" i="23"/>
  <c r="O25" i="30" s="1"/>
  <c r="X102" i="23"/>
  <c r="X25" i="30" s="1"/>
  <c r="Y25" s="1"/>
  <c r="I25"/>
  <c r="P102" i="23"/>
  <c r="P25" i="30" s="1"/>
  <c r="T25" s="1"/>
  <c r="N102" i="23"/>
  <c r="N25" i="30" s="1"/>
  <c r="O236" i="7"/>
  <c r="J236"/>
  <c r="U238"/>
  <c r="N238"/>
  <c r="S238"/>
  <c r="AM238" s="1"/>
  <c r="R238"/>
  <c r="T238"/>
  <c r="R102" i="23" l="1"/>
  <c r="T102"/>
  <c r="M34" i="34"/>
  <c r="S102" i="23"/>
  <c r="S25" i="30"/>
  <c r="Y102" i="23"/>
  <c r="M25" i="30"/>
  <c r="M24" s="1"/>
  <c r="E25"/>
  <c r="E24" s="1"/>
  <c r="R25"/>
  <c r="Q25"/>
  <c r="Q102" i="23"/>
  <c r="V238" i="7"/>
  <c r="R236"/>
  <c r="S236"/>
  <c r="AM236" s="1"/>
  <c r="AD235"/>
  <c r="U102" i="23" l="1"/>
  <c r="U25" i="30"/>
  <c r="Y235" i="7"/>
  <c r="AG235" s="1"/>
  <c r="X235"/>
  <c r="AF235" s="1"/>
  <c r="W235"/>
  <c r="Q235"/>
  <c r="P235"/>
  <c r="O235"/>
  <c r="R235" s="1"/>
  <c r="N235"/>
  <c r="J235"/>
  <c r="F235"/>
  <c r="AQ235" l="1"/>
  <c r="AE235"/>
  <c r="AH235" s="1"/>
  <c r="Z235"/>
  <c r="AD234"/>
  <c r="Y234"/>
  <c r="AG234" s="1"/>
  <c r="X234"/>
  <c r="AF234" s="1"/>
  <c r="W234"/>
  <c r="AQ234" s="1"/>
  <c r="Q234"/>
  <c r="P234"/>
  <c r="R234" s="1"/>
  <c r="O234"/>
  <c r="N234"/>
  <c r="J234"/>
  <c r="F234"/>
  <c r="X233"/>
  <c r="W93" i="23" s="1"/>
  <c r="W16" i="30" s="1"/>
  <c r="W233" i="7"/>
  <c r="V93" i="23" s="1"/>
  <c r="V16" i="30" s="1"/>
  <c r="M233" i="7"/>
  <c r="L93" i="23" s="1"/>
  <c r="L233" i="7"/>
  <c r="K93" i="23" s="1"/>
  <c r="K233" i="7"/>
  <c r="J93" i="23" s="1"/>
  <c r="I233" i="7"/>
  <c r="H93" i="23" s="1"/>
  <c r="H16" i="30" s="1"/>
  <c r="H233" i="7"/>
  <c r="G93" i="23" s="1"/>
  <c r="G16" i="30" s="1"/>
  <c r="G233" i="7"/>
  <c r="F93" i="23" s="1"/>
  <c r="F16" i="30" s="1"/>
  <c r="F233" i="7"/>
  <c r="E233"/>
  <c r="D233"/>
  <c r="C233"/>
  <c r="BP233" s="1"/>
  <c r="AQ232"/>
  <c r="AG232"/>
  <c r="AF232"/>
  <c r="AE232"/>
  <c r="AD232"/>
  <c r="Z232"/>
  <c r="Q232"/>
  <c r="P232"/>
  <c r="O232"/>
  <c r="N232"/>
  <c r="J232"/>
  <c r="F232"/>
  <c r="Y231"/>
  <c r="X231"/>
  <c r="W231"/>
  <c r="AQ231" s="1"/>
  <c r="N231"/>
  <c r="I231"/>
  <c r="Q231" s="1"/>
  <c r="U231" s="1"/>
  <c r="H231"/>
  <c r="P231" s="1"/>
  <c r="T231" s="1"/>
  <c r="G231"/>
  <c r="O231" s="1"/>
  <c r="F231"/>
  <c r="AD230"/>
  <c r="Y230"/>
  <c r="AG230" s="1"/>
  <c r="X230"/>
  <c r="W230"/>
  <c r="AQ230" s="1"/>
  <c r="Q230"/>
  <c r="P230"/>
  <c r="R230" s="1"/>
  <c r="O230"/>
  <c r="N230"/>
  <c r="J230"/>
  <c r="F230"/>
  <c r="AD229"/>
  <c r="Y229"/>
  <c r="AG229" s="1"/>
  <c r="X229"/>
  <c r="AF229" s="1"/>
  <c r="W229"/>
  <c r="AQ229" s="1"/>
  <c r="Q229"/>
  <c r="P229"/>
  <c r="R229" s="1"/>
  <c r="O229"/>
  <c r="N229"/>
  <c r="J229"/>
  <c r="F229"/>
  <c r="F228" s="1"/>
  <c r="M228"/>
  <c r="L228"/>
  <c r="K228"/>
  <c r="E228"/>
  <c r="BR228" s="1"/>
  <c r="D228"/>
  <c r="BQ228" s="1"/>
  <c r="C228"/>
  <c r="BP228" s="1"/>
  <c r="AQ227"/>
  <c r="AG227"/>
  <c r="AF227"/>
  <c r="AE227"/>
  <c r="AH227" s="1"/>
  <c r="AD227"/>
  <c r="Z227"/>
  <c r="Q227"/>
  <c r="P227"/>
  <c r="O227"/>
  <c r="I16" i="30" l="1"/>
  <c r="D93" i="23"/>
  <c r="BR233" i="7"/>
  <c r="C93" i="23"/>
  <c r="BQ233" i="7"/>
  <c r="R232"/>
  <c r="C86" i="23"/>
  <c r="J86"/>
  <c r="L86"/>
  <c r="C16" i="30"/>
  <c r="E93" i="23"/>
  <c r="E92" s="1"/>
  <c r="C92"/>
  <c r="C33" i="34" s="1"/>
  <c r="J16" i="30"/>
  <c r="J92" i="23"/>
  <c r="J33" i="34" s="1"/>
  <c r="M33" s="1"/>
  <c r="M93" i="23"/>
  <c r="M92" s="1"/>
  <c r="L16" i="30"/>
  <c r="L92" i="23"/>
  <c r="L33" i="34" s="1"/>
  <c r="D86" i="23"/>
  <c r="K86"/>
  <c r="D16" i="30"/>
  <c r="D92" i="23"/>
  <c r="D33" i="34" s="1"/>
  <c r="K16" i="30"/>
  <c r="K92" i="23"/>
  <c r="K33" i="34" s="1"/>
  <c r="N93" i="23"/>
  <c r="N16" i="30" s="1"/>
  <c r="I93" i="23"/>
  <c r="P93"/>
  <c r="P16" i="30" s="1"/>
  <c r="T16" s="1"/>
  <c r="O93" i="23"/>
  <c r="O16" i="30" s="1"/>
  <c r="S16" s="1"/>
  <c r="I228" i="7"/>
  <c r="R227"/>
  <c r="AH232"/>
  <c r="J233"/>
  <c r="W228"/>
  <c r="H228"/>
  <c r="Y228"/>
  <c r="X228"/>
  <c r="Y233"/>
  <c r="AE230"/>
  <c r="R231"/>
  <c r="Z230"/>
  <c r="S231"/>
  <c r="AF230"/>
  <c r="J231"/>
  <c r="J228" s="1"/>
  <c r="Z231"/>
  <c r="O233"/>
  <c r="Q233"/>
  <c r="AQ233"/>
  <c r="Z234"/>
  <c r="AE234"/>
  <c r="AH234" s="1"/>
  <c r="G228"/>
  <c r="Q228"/>
  <c r="Z229"/>
  <c r="AE229"/>
  <c r="AH229" s="1"/>
  <c r="P233"/>
  <c r="K9" i="30" l="1"/>
  <c r="K85" i="23"/>
  <c r="D9" i="30"/>
  <c r="D85" i="23"/>
  <c r="E16" i="30"/>
  <c r="E15" s="1"/>
  <c r="L9"/>
  <c r="L85" i="23"/>
  <c r="J9" i="30"/>
  <c r="M9" s="1"/>
  <c r="M8" s="1"/>
  <c r="J85" i="23"/>
  <c r="M86"/>
  <c r="M85" s="1"/>
  <c r="M84" s="1"/>
  <c r="C9" i="30"/>
  <c r="E9" s="1"/>
  <c r="E8" s="1"/>
  <c r="C85" i="23"/>
  <c r="E86"/>
  <c r="E85" s="1"/>
  <c r="E84" s="1"/>
  <c r="M16" i="30"/>
  <c r="M15" s="1"/>
  <c r="M28" s="1"/>
  <c r="M30" s="1"/>
  <c r="X86" i="23"/>
  <c r="X9" i="30" s="1"/>
  <c r="V86" i="23"/>
  <c r="V9" i="30" s="1"/>
  <c r="H86" i="23"/>
  <c r="H9" i="30" s="1"/>
  <c r="Q16"/>
  <c r="R16"/>
  <c r="F86" i="23"/>
  <c r="F9" i="30" s="1"/>
  <c r="W86" i="23"/>
  <c r="W9" i="30" s="1"/>
  <c r="G86" i="23"/>
  <c r="G9" i="30" s="1"/>
  <c r="Z233" i="7"/>
  <c r="X93" i="23"/>
  <c r="X16" i="30" s="1"/>
  <c r="T93" i="23"/>
  <c r="O86"/>
  <c r="O9" i="30" s="1"/>
  <c r="S9" s="1"/>
  <c r="S93" i="23"/>
  <c r="Q93"/>
  <c r="R93"/>
  <c r="V231" i="7"/>
  <c r="AM231"/>
  <c r="AQ228"/>
  <c r="P228"/>
  <c r="Z228"/>
  <c r="T233"/>
  <c r="U228"/>
  <c r="N233"/>
  <c r="R233"/>
  <c r="S233"/>
  <c r="AM233" s="1"/>
  <c r="AH230"/>
  <c r="T228"/>
  <c r="O228"/>
  <c r="U233"/>
  <c r="Y226"/>
  <c r="X226"/>
  <c r="W226"/>
  <c r="AQ226" s="1"/>
  <c r="N226"/>
  <c r="I226"/>
  <c r="I223" s="1"/>
  <c r="H226"/>
  <c r="H223" s="1"/>
  <c r="G226"/>
  <c r="F226"/>
  <c r="AD225"/>
  <c r="Y225"/>
  <c r="AG225" s="1"/>
  <c r="X225"/>
  <c r="W225"/>
  <c r="AE225" s="1"/>
  <c r="Q225"/>
  <c r="P225"/>
  <c r="O225"/>
  <c r="R225" s="1"/>
  <c r="N225"/>
  <c r="J225"/>
  <c r="F225"/>
  <c r="AD224"/>
  <c r="Y224"/>
  <c r="X224"/>
  <c r="W224"/>
  <c r="Q224"/>
  <c r="P224"/>
  <c r="O224"/>
  <c r="N224"/>
  <c r="J224"/>
  <c r="F224"/>
  <c r="X223" l="1"/>
  <c r="AQ224"/>
  <c r="W223"/>
  <c r="O226"/>
  <c r="O223" s="1"/>
  <c r="G223"/>
  <c r="AG224"/>
  <c r="Y223"/>
  <c r="J84" i="23"/>
  <c r="J32" i="34"/>
  <c r="L84" i="23"/>
  <c r="L32" i="34"/>
  <c r="L31" s="1"/>
  <c r="C84" i="23"/>
  <c r="C32" i="34"/>
  <c r="C31" s="1"/>
  <c r="D84" i="23"/>
  <c r="D32" i="34"/>
  <c r="D31" s="1"/>
  <c r="K84" i="23"/>
  <c r="K32" i="34"/>
  <c r="K31" s="1"/>
  <c r="E28" i="30"/>
  <c r="E30" s="1"/>
  <c r="R224" i="7"/>
  <c r="N86" i="23"/>
  <c r="N9" i="30" s="1"/>
  <c r="Y86" i="23"/>
  <c r="I86"/>
  <c r="Y9" i="30"/>
  <c r="R9"/>
  <c r="Y16"/>
  <c r="P86" i="23"/>
  <c r="P9" i="30" s="1"/>
  <c r="T9" s="1"/>
  <c r="U16"/>
  <c r="I9"/>
  <c r="S86" i="23"/>
  <c r="U93"/>
  <c r="Y93"/>
  <c r="AQ225" i="7"/>
  <c r="Z224"/>
  <c r="J226"/>
  <c r="J223" s="1"/>
  <c r="AE224"/>
  <c r="Z225"/>
  <c r="R226"/>
  <c r="R223" s="1"/>
  <c r="V233"/>
  <c r="AF224"/>
  <c r="AF225"/>
  <c r="AH225" s="1"/>
  <c r="Z226"/>
  <c r="N228"/>
  <c r="R228"/>
  <c r="S228"/>
  <c r="AM228" s="1"/>
  <c r="AH224" l="1"/>
  <c r="Z223"/>
  <c r="M32" i="34"/>
  <c r="J31"/>
  <c r="M31" s="1"/>
  <c r="R86" i="23"/>
  <c r="U9" i="30"/>
  <c r="Q86" i="23"/>
  <c r="T86"/>
  <c r="Q9" i="30"/>
  <c r="V228" i="7"/>
  <c r="U86" i="23" l="1"/>
  <c r="X50"/>
  <c r="X39" i="29" s="1"/>
  <c r="W50" i="23"/>
  <c r="W39" i="29" s="1"/>
  <c r="V50" i="23"/>
  <c r="V39" i="29" s="1"/>
  <c r="Y39" l="1"/>
  <c r="Y50" i="23"/>
  <c r="AQ223" i="7"/>
  <c r="J50" i="23" l="1"/>
  <c r="L39" i="29" l="1"/>
  <c r="L49" i="23"/>
  <c r="L23" i="34" s="1"/>
  <c r="J39" i="29"/>
  <c r="M50" i="23"/>
  <c r="M49" s="1"/>
  <c r="J49"/>
  <c r="J23" i="34" s="1"/>
  <c r="K39" i="29"/>
  <c r="K49" i="23"/>
  <c r="K23" i="34" s="1"/>
  <c r="H39" i="29"/>
  <c r="G39"/>
  <c r="C223" i="7"/>
  <c r="BP223" s="1"/>
  <c r="AQ222"/>
  <c r="AG222"/>
  <c r="AF222"/>
  <c r="AE222"/>
  <c r="AD222"/>
  <c r="Z222"/>
  <c r="Q222"/>
  <c r="P222"/>
  <c r="O222"/>
  <c r="R222" s="1"/>
  <c r="N222"/>
  <c r="J222"/>
  <c r="F222"/>
  <c r="M23" i="34" l="1"/>
  <c r="D50" i="23"/>
  <c r="BR223" i="7"/>
  <c r="C50" i="23"/>
  <c r="BQ223" i="7"/>
  <c r="D39" i="29"/>
  <c r="D49" i="23"/>
  <c r="D23" i="34" s="1"/>
  <c r="M39" i="29"/>
  <c r="M38" s="1"/>
  <c r="C39"/>
  <c r="E39" s="1"/>
  <c r="E38" s="1"/>
  <c r="E50" i="23"/>
  <c r="E49" s="1"/>
  <c r="C49"/>
  <c r="C23" i="34" s="1"/>
  <c r="O50" i="23"/>
  <c r="O39" i="29" s="1"/>
  <c r="S39" s="1"/>
  <c r="F50" i="23"/>
  <c r="F39" i="29" s="1"/>
  <c r="I39" s="1"/>
  <c r="P50" i="23"/>
  <c r="P39" i="29" s="1"/>
  <c r="T39" s="1"/>
  <c r="AH222" i="7"/>
  <c r="Y221"/>
  <c r="X221"/>
  <c r="W221"/>
  <c r="AQ221" s="1"/>
  <c r="N221"/>
  <c r="T50" i="23" l="1"/>
  <c r="I50"/>
  <c r="N50"/>
  <c r="N39" i="29" s="1"/>
  <c r="S50" i="23"/>
  <c r="Z221" i="7"/>
  <c r="I221"/>
  <c r="Q221" s="1"/>
  <c r="H221"/>
  <c r="P221" s="1"/>
  <c r="T221" s="1"/>
  <c r="G221"/>
  <c r="F221"/>
  <c r="AD220"/>
  <c r="R39" i="29" l="1"/>
  <c r="Q39"/>
  <c r="Q50" i="23"/>
  <c r="R50"/>
  <c r="J221" i="7"/>
  <c r="O221"/>
  <c r="R221" s="1"/>
  <c r="Y220"/>
  <c r="AG220" s="1"/>
  <c r="X220"/>
  <c r="AF220" s="1"/>
  <c r="W220"/>
  <c r="Q220"/>
  <c r="P220"/>
  <c r="O220"/>
  <c r="R220" s="1"/>
  <c r="N220"/>
  <c r="J220"/>
  <c r="F220"/>
  <c r="U39" i="29" l="1"/>
  <c r="U50" i="23"/>
  <c r="Z220" i="7"/>
  <c r="S221"/>
  <c r="AM221" s="1"/>
  <c r="AQ220"/>
  <c r="AE220"/>
  <c r="AH220" s="1"/>
  <c r="AD219" l="1"/>
  <c r="Y219"/>
  <c r="AG219" s="1"/>
  <c r="X219"/>
  <c r="AF219" s="1"/>
  <c r="W219"/>
  <c r="AQ219" s="1"/>
  <c r="Q219"/>
  <c r="P219"/>
  <c r="O219"/>
  <c r="N219"/>
  <c r="J219"/>
  <c r="F219"/>
  <c r="F218" s="1"/>
  <c r="M218"/>
  <c r="L218"/>
  <c r="K218"/>
  <c r="I218"/>
  <c r="H218"/>
  <c r="G218"/>
  <c r="E218"/>
  <c r="BR218" s="1"/>
  <c r="D218"/>
  <c r="BQ218" s="1"/>
  <c r="C218"/>
  <c r="BP218" s="1"/>
  <c r="AQ217"/>
  <c r="AG217"/>
  <c r="AF217"/>
  <c r="AE217"/>
  <c r="AD217"/>
  <c r="Z217"/>
  <c r="Q217"/>
  <c r="P217"/>
  <c r="O217"/>
  <c r="N217"/>
  <c r="J217"/>
  <c r="F217"/>
  <c r="R219" l="1"/>
  <c r="C45" i="23"/>
  <c r="K45"/>
  <c r="D45"/>
  <c r="J45"/>
  <c r="L45"/>
  <c r="G45"/>
  <c r="G34" i="29" s="1"/>
  <c r="F45" i="23"/>
  <c r="F34" i="29" s="1"/>
  <c r="H45" i="23"/>
  <c r="H34" i="29" s="1"/>
  <c r="R217" i="7"/>
  <c r="W218"/>
  <c r="AH217"/>
  <c r="Y218"/>
  <c r="J218"/>
  <c r="X218"/>
  <c r="O218"/>
  <c r="Q218"/>
  <c r="P218"/>
  <c r="Z218"/>
  <c r="Z219"/>
  <c r="AE219"/>
  <c r="AH219" s="1"/>
  <c r="N45" i="23" l="1"/>
  <c r="N34" i="29" s="1"/>
  <c r="L34"/>
  <c r="L44" i="23"/>
  <c r="L22" i="34" s="1"/>
  <c r="J34" i="29"/>
  <c r="J44" i="23"/>
  <c r="J22" i="34" s="1"/>
  <c r="M45" i="23"/>
  <c r="M44" s="1"/>
  <c r="D34" i="29"/>
  <c r="D44" i="23"/>
  <c r="D22" i="34" s="1"/>
  <c r="K34" i="29"/>
  <c r="K44" i="23"/>
  <c r="K22" i="34" s="1"/>
  <c r="C34" i="29"/>
  <c r="E34" s="1"/>
  <c r="E33" s="1"/>
  <c r="C44" i="23"/>
  <c r="C22" i="34" s="1"/>
  <c r="E45" i="23"/>
  <c r="E44" s="1"/>
  <c r="O45"/>
  <c r="O34" i="29" s="1"/>
  <c r="S34" s="1"/>
  <c r="R34"/>
  <c r="U218" i="7"/>
  <c r="W45" i="23"/>
  <c r="W34" i="29" s="1"/>
  <c r="X45" i="23"/>
  <c r="X34" i="29" s="1"/>
  <c r="I34"/>
  <c r="P45" i="23"/>
  <c r="P34" i="29" s="1"/>
  <c r="T34" s="1"/>
  <c r="I45" i="23"/>
  <c r="AQ218" i="7"/>
  <c r="V45" i="23"/>
  <c r="V34" i="29" s="1"/>
  <c r="T45" i="23"/>
  <c r="R45"/>
  <c r="T218" i="7"/>
  <c r="N218"/>
  <c r="R218"/>
  <c r="S218"/>
  <c r="AM218" s="1"/>
  <c r="Y216"/>
  <c r="X216"/>
  <c r="W216"/>
  <c r="AQ216" s="1"/>
  <c r="N216"/>
  <c r="I216"/>
  <c r="Q216" s="1"/>
  <c r="H216"/>
  <c r="G216"/>
  <c r="O216" s="1"/>
  <c r="F216"/>
  <c r="M22" i="34" l="1"/>
  <c r="M34" i="29"/>
  <c r="M33" s="1"/>
  <c r="S45" i="23"/>
  <c r="U45" s="1"/>
  <c r="Q45"/>
  <c r="Q34" i="29"/>
  <c r="Y34"/>
  <c r="U34"/>
  <c r="Y45" i="23"/>
  <c r="J216" i="7"/>
  <c r="P216"/>
  <c r="R216" s="1"/>
  <c r="Z216"/>
  <c r="V218"/>
  <c r="AA215"/>
  <c r="Y215"/>
  <c r="AG215" s="1"/>
  <c r="X215"/>
  <c r="AF215" s="1"/>
  <c r="W215"/>
  <c r="AQ215" s="1"/>
  <c r="Q215"/>
  <c r="P215"/>
  <c r="R215" s="1"/>
  <c r="O215"/>
  <c r="N215"/>
  <c r="J215"/>
  <c r="F215"/>
  <c r="AA214"/>
  <c r="Y214"/>
  <c r="AG214" s="1"/>
  <c r="X214"/>
  <c r="W214"/>
  <c r="AQ214" s="1"/>
  <c r="Q214"/>
  <c r="P214"/>
  <c r="R214" s="1"/>
  <c r="O214"/>
  <c r="N214"/>
  <c r="J214"/>
  <c r="F214"/>
  <c r="M213"/>
  <c r="L41" i="23" s="1"/>
  <c r="L213" i="7"/>
  <c r="K41" i="23" s="1"/>
  <c r="K213" i="7"/>
  <c r="J41" i="23" s="1"/>
  <c r="I213" i="7"/>
  <c r="H213"/>
  <c r="F213"/>
  <c r="E213"/>
  <c r="D213"/>
  <c r="C213"/>
  <c r="BP213" s="1"/>
  <c r="AQ212"/>
  <c r="AG212"/>
  <c r="AF212"/>
  <c r="AE212"/>
  <c r="AD212"/>
  <c r="Z212"/>
  <c r="Q212"/>
  <c r="P212"/>
  <c r="O212"/>
  <c r="R212" s="1"/>
  <c r="N212"/>
  <c r="J212"/>
  <c r="F212"/>
  <c r="D41" i="23" l="1"/>
  <c r="BR213" i="7"/>
  <c r="C41" i="23"/>
  <c r="BQ213" i="7"/>
  <c r="C30" i="29"/>
  <c r="E41" i="23"/>
  <c r="E40" s="1"/>
  <c r="C40"/>
  <c r="C21" i="34" s="1"/>
  <c r="K30" i="29"/>
  <c r="K40" i="23"/>
  <c r="K21" i="34" s="1"/>
  <c r="D30" i="29"/>
  <c r="D40" i="23"/>
  <c r="D21" i="34" s="1"/>
  <c r="J30" i="29"/>
  <c r="J40" i="23"/>
  <c r="J21" i="34" s="1"/>
  <c r="M21" s="1"/>
  <c r="M41" i="23"/>
  <c r="M40" s="1"/>
  <c r="L30" i="29"/>
  <c r="L40" i="23"/>
  <c r="L21" i="34" s="1"/>
  <c r="Q213" i="7"/>
  <c r="U213" s="1"/>
  <c r="H41" i="23"/>
  <c r="H30" i="29" s="1"/>
  <c r="G213" i="7"/>
  <c r="G41" i="23"/>
  <c r="G30" i="29" s="1"/>
  <c r="N213" i="7"/>
  <c r="AH212"/>
  <c r="W213"/>
  <c r="Y213"/>
  <c r="X41" i="23" s="1"/>
  <c r="X30" i="29" s="1"/>
  <c r="Z214" i="7"/>
  <c r="J213"/>
  <c r="X213"/>
  <c r="W41" i="23" s="1"/>
  <c r="W30" i="29" s="1"/>
  <c r="AE214" i="7"/>
  <c r="AD214" s="1"/>
  <c r="AE215"/>
  <c r="AD215"/>
  <c r="AH215"/>
  <c r="P213"/>
  <c r="T213" s="1"/>
  <c r="AF214"/>
  <c r="Z215"/>
  <c r="Y211"/>
  <c r="X211"/>
  <c r="W211"/>
  <c r="AQ211" s="1"/>
  <c r="N211"/>
  <c r="I211"/>
  <c r="Q211" s="1"/>
  <c r="H211"/>
  <c r="G211"/>
  <c r="F211"/>
  <c r="E30" i="29" l="1"/>
  <c r="E29" s="1"/>
  <c r="M30"/>
  <c r="M29" s="1"/>
  <c r="O213" i="7"/>
  <c r="S213" s="1"/>
  <c r="AM213" s="1"/>
  <c r="F41" i="23"/>
  <c r="F30" i="29" s="1"/>
  <c r="I30" s="1"/>
  <c r="AQ213" i="7"/>
  <c r="V41" i="23"/>
  <c r="V30" i="29" s="1"/>
  <c r="O41" i="23"/>
  <c r="O30" i="29" s="1"/>
  <c r="S30" s="1"/>
  <c r="P41" i="23"/>
  <c r="P30" i="29" s="1"/>
  <c r="T30" s="1"/>
  <c r="Z213" i="7"/>
  <c r="AH214"/>
  <c r="J211"/>
  <c r="P211"/>
  <c r="O211"/>
  <c r="Z211"/>
  <c r="AD210"/>
  <c r="Y210"/>
  <c r="AG210" s="1"/>
  <c r="X210"/>
  <c r="AF210" s="1"/>
  <c r="W210"/>
  <c r="AQ210" s="1"/>
  <c r="Q210"/>
  <c r="P210"/>
  <c r="O210"/>
  <c r="N210"/>
  <c r="J210"/>
  <c r="F210"/>
  <c r="R210" l="1"/>
  <c r="Y30" i="29"/>
  <c r="R213" i="7"/>
  <c r="V213"/>
  <c r="T41" i="23"/>
  <c r="S41"/>
  <c r="Y41"/>
  <c r="N41"/>
  <c r="N30" i="29" s="1"/>
  <c r="I41" i="23"/>
  <c r="R211" i="7"/>
  <c r="AE210"/>
  <c r="Z210"/>
  <c r="AH210"/>
  <c r="AD209"/>
  <c r="Y209"/>
  <c r="AG209" s="1"/>
  <c r="X209"/>
  <c r="AF209" s="1"/>
  <c r="W209"/>
  <c r="AQ209" s="1"/>
  <c r="Q209"/>
  <c r="P209"/>
  <c r="R209" s="1"/>
  <c r="O209"/>
  <c r="N209"/>
  <c r="J209"/>
  <c r="F209"/>
  <c r="Q30" i="29" l="1"/>
  <c r="R30"/>
  <c r="Q41" i="23"/>
  <c r="R41"/>
  <c r="Z209" i="7"/>
  <c r="AE209"/>
  <c r="AH209" s="1"/>
  <c r="Y208"/>
  <c r="X77" i="23" s="1"/>
  <c r="X29" i="28" s="1"/>
  <c r="X208" i="7"/>
  <c r="W77" i="23" s="1"/>
  <c r="W29" i="28" s="1"/>
  <c r="W208" i="7"/>
  <c r="V77" i="23" s="1"/>
  <c r="V29" i="28" s="1"/>
  <c r="M208" i="7"/>
  <c r="L77" i="23" s="1"/>
  <c r="L208" i="7"/>
  <c r="K77" i="23" s="1"/>
  <c r="K208" i="7"/>
  <c r="J77" i="23" s="1"/>
  <c r="I208" i="7"/>
  <c r="H208"/>
  <c r="G208"/>
  <c r="F77" i="23" s="1"/>
  <c r="F29" i="28" s="1"/>
  <c r="F208" i="7"/>
  <c r="E208"/>
  <c r="D208"/>
  <c r="C208"/>
  <c r="BP208" s="1"/>
  <c r="AQ207"/>
  <c r="AG207"/>
  <c r="AF207"/>
  <c r="AE207"/>
  <c r="AD207"/>
  <c r="Z207"/>
  <c r="Q207"/>
  <c r="P207"/>
  <c r="O207"/>
  <c r="R207" s="1"/>
  <c r="N207"/>
  <c r="J207"/>
  <c r="F207"/>
  <c r="Y206"/>
  <c r="X206"/>
  <c r="W206"/>
  <c r="AQ206" s="1"/>
  <c r="N206"/>
  <c r="I206"/>
  <c r="Q206" s="1"/>
  <c r="D77" i="23" l="1"/>
  <c r="BR208" i="7"/>
  <c r="C77" i="23"/>
  <c r="BQ208" i="7"/>
  <c r="C29" i="28"/>
  <c r="E77" i="23"/>
  <c r="E76" s="1"/>
  <c r="C76"/>
  <c r="C29" i="34" s="1"/>
  <c r="J29" i="28"/>
  <c r="M77" i="23"/>
  <c r="J76"/>
  <c r="J29" i="34" s="1"/>
  <c r="L29" i="28"/>
  <c r="L28" s="1"/>
  <c r="L76" i="23"/>
  <c r="L29" i="34" s="1"/>
  <c r="D29" i="28"/>
  <c r="D28" s="1"/>
  <c r="D76" i="23"/>
  <c r="D29" i="34" s="1"/>
  <c r="K29" i="28"/>
  <c r="N29"/>
  <c r="Y29"/>
  <c r="U30" i="29"/>
  <c r="P208" i="7"/>
  <c r="T208" s="1"/>
  <c r="G77" i="23"/>
  <c r="G29" i="28" s="1"/>
  <c r="U41" i="23"/>
  <c r="N77"/>
  <c r="Q208" i="7"/>
  <c r="U208" s="1"/>
  <c r="H77" i="23"/>
  <c r="H29" i="28" s="1"/>
  <c r="Y77" i="23"/>
  <c r="AH207" i="7"/>
  <c r="J208"/>
  <c r="Z206"/>
  <c r="AQ208"/>
  <c r="O208"/>
  <c r="Z208"/>
  <c r="H206"/>
  <c r="P206" s="1"/>
  <c r="T206" s="1"/>
  <c r="G206"/>
  <c r="F206"/>
  <c r="AD205"/>
  <c r="Y205"/>
  <c r="AG205" s="1"/>
  <c r="X205"/>
  <c r="W205"/>
  <c r="AQ205" s="1"/>
  <c r="Q205"/>
  <c r="P205"/>
  <c r="O205"/>
  <c r="N205"/>
  <c r="J205"/>
  <c r="F205"/>
  <c r="AD204"/>
  <c r="Y204"/>
  <c r="AG204" s="1"/>
  <c r="X204"/>
  <c r="AF204" s="1"/>
  <c r="W204"/>
  <c r="AQ204" s="1"/>
  <c r="Q204"/>
  <c r="P204"/>
  <c r="R204" s="1"/>
  <c r="O204"/>
  <c r="N204"/>
  <c r="J204"/>
  <c r="F204"/>
  <c r="X203"/>
  <c r="W70" i="23" s="1"/>
  <c r="W22" i="28" s="1"/>
  <c r="W203" i="7"/>
  <c r="V70" i="23" s="1"/>
  <c r="V22" i="28" s="1"/>
  <c r="R205" i="7" l="1"/>
  <c r="E29" i="28"/>
  <c r="E28" s="1"/>
  <c r="C28"/>
  <c r="J28"/>
  <c r="M29"/>
  <c r="I29"/>
  <c r="P29"/>
  <c r="O29"/>
  <c r="S29" s="1"/>
  <c r="R29"/>
  <c r="P77" i="23"/>
  <c r="R77"/>
  <c r="O77"/>
  <c r="I77"/>
  <c r="Y203" i="7"/>
  <c r="X70" i="23" s="1"/>
  <c r="X22" i="28" s="1"/>
  <c r="AE205" i="7"/>
  <c r="Z205"/>
  <c r="O206"/>
  <c r="R206" s="1"/>
  <c r="J206"/>
  <c r="N208"/>
  <c r="R208"/>
  <c r="S208"/>
  <c r="AM208" s="1"/>
  <c r="Z204"/>
  <c r="AE204"/>
  <c r="AH204" s="1"/>
  <c r="AF205"/>
  <c r="S206"/>
  <c r="AM206" s="1"/>
  <c r="Z203"/>
  <c r="AQ203"/>
  <c r="M203"/>
  <c r="L70" i="23" s="1"/>
  <c r="L203" i="7"/>
  <c r="K70" i="23" s="1"/>
  <c r="K203" i="7"/>
  <c r="J70" i="23" s="1"/>
  <c r="I203" i="7"/>
  <c r="H70" i="23" s="1"/>
  <c r="H22" i="28" s="1"/>
  <c r="H203" i="7"/>
  <c r="G70" i="23" s="1"/>
  <c r="G22" i="28" s="1"/>
  <c r="G203" i="7"/>
  <c r="F70" i="23" s="1"/>
  <c r="F22" i="28" s="1"/>
  <c r="F203" i="7"/>
  <c r="E203"/>
  <c r="D203"/>
  <c r="C203"/>
  <c r="BP203" s="1"/>
  <c r="AQ202"/>
  <c r="AG202"/>
  <c r="AF202"/>
  <c r="AE202"/>
  <c r="AD202"/>
  <c r="Z202"/>
  <c r="Q202"/>
  <c r="P202"/>
  <c r="O202"/>
  <c r="N202"/>
  <c r="J202"/>
  <c r="F202"/>
  <c r="D70" i="23" l="1"/>
  <c r="BR203" i="7"/>
  <c r="C70" i="23"/>
  <c r="BQ203" i="7"/>
  <c r="D22" i="28"/>
  <c r="D21" s="1"/>
  <c r="D69" i="23"/>
  <c r="D28" i="34" s="1"/>
  <c r="K22" i="28"/>
  <c r="K21" s="1"/>
  <c r="K69" i="23"/>
  <c r="K28" i="34" s="1"/>
  <c r="C22" i="28"/>
  <c r="C69" i="23"/>
  <c r="C28" i="34" s="1"/>
  <c r="E70" i="23"/>
  <c r="E69" s="1"/>
  <c r="M70"/>
  <c r="M69" s="1"/>
  <c r="J69"/>
  <c r="J28" i="34" s="1"/>
  <c r="M28" s="1"/>
  <c r="J22" i="28"/>
  <c r="L22"/>
  <c r="L21" s="1"/>
  <c r="L69" i="23"/>
  <c r="L28" i="34" s="1"/>
  <c r="R202" i="7"/>
  <c r="Q29" i="28"/>
  <c r="O22"/>
  <c r="T29"/>
  <c r="U29" s="1"/>
  <c r="N22"/>
  <c r="I22"/>
  <c r="Y22"/>
  <c r="P70" i="23"/>
  <c r="O70"/>
  <c r="S77"/>
  <c r="T77"/>
  <c r="I70"/>
  <c r="N70"/>
  <c r="Q77"/>
  <c r="Y70"/>
  <c r="AH202" i="7"/>
  <c r="J203"/>
  <c r="P203"/>
  <c r="T203" s="1"/>
  <c r="V208"/>
  <c r="O203"/>
  <c r="Q203"/>
  <c r="AH205"/>
  <c r="C21" i="28" l="1"/>
  <c r="E22"/>
  <c r="E21" s="1"/>
  <c r="J21"/>
  <c r="M22"/>
  <c r="M21" s="1"/>
  <c r="P22"/>
  <c r="Q22" s="1"/>
  <c r="U77" i="23"/>
  <c r="S22" i="28"/>
  <c r="R22"/>
  <c r="Q70" i="23"/>
  <c r="R70"/>
  <c r="S70"/>
  <c r="T70"/>
  <c r="U203" i="7"/>
  <c r="N203"/>
  <c r="R203"/>
  <c r="S203"/>
  <c r="AM203" s="1"/>
  <c r="Y201"/>
  <c r="X201"/>
  <c r="W201"/>
  <c r="AQ201" s="1"/>
  <c r="T22" i="28" l="1"/>
  <c r="U22" s="1"/>
  <c r="U70" i="23"/>
  <c r="V203" i="7"/>
  <c r="Z201"/>
  <c r="N201"/>
  <c r="I201"/>
  <c r="Q201" s="1"/>
  <c r="H201"/>
  <c r="P201" s="1"/>
  <c r="T201" s="1"/>
  <c r="G201"/>
  <c r="O201" s="1"/>
  <c r="F201"/>
  <c r="S201" l="1"/>
  <c r="AM201" s="1"/>
  <c r="J201"/>
  <c r="R201"/>
  <c r="AD200" l="1"/>
  <c r="Y200"/>
  <c r="AG200" s="1"/>
  <c r="X200"/>
  <c r="AF200" s="1"/>
  <c r="W200"/>
  <c r="AQ200" s="1"/>
  <c r="Q200"/>
  <c r="P200"/>
  <c r="R200" s="1"/>
  <c r="O200"/>
  <c r="N200"/>
  <c r="J200"/>
  <c r="F200"/>
  <c r="Z200" l="1"/>
  <c r="AE200"/>
  <c r="AH200" s="1"/>
  <c r="AD199"/>
  <c r="Y199"/>
  <c r="AG199" s="1"/>
  <c r="X199"/>
  <c r="AF199" s="1"/>
  <c r="W199"/>
  <c r="AQ199" s="1"/>
  <c r="Q199"/>
  <c r="P199"/>
  <c r="R199" s="1"/>
  <c r="O199"/>
  <c r="N199"/>
  <c r="J199"/>
  <c r="F199"/>
  <c r="X198"/>
  <c r="W57" i="23" s="1"/>
  <c r="W9" i="28" s="1"/>
  <c r="M198" i="7"/>
  <c r="L57" i="23" s="1"/>
  <c r="L198" i="7"/>
  <c r="K57" i="23" s="1"/>
  <c r="K198" i="7"/>
  <c r="J57" i="23" s="1"/>
  <c r="I198" i="7"/>
  <c r="H57" i="23" s="1"/>
  <c r="H9" i="28" s="1"/>
  <c r="H198" i="7"/>
  <c r="G57" i="23" s="1"/>
  <c r="G9" i="28" s="1"/>
  <c r="G198" i="7"/>
  <c r="F57" i="23" s="1"/>
  <c r="F9" i="28" s="1"/>
  <c r="F198" i="7"/>
  <c r="E198"/>
  <c r="D198"/>
  <c r="C198"/>
  <c r="BP198" s="1"/>
  <c r="AQ197"/>
  <c r="AG197"/>
  <c r="AF197"/>
  <c r="AE197"/>
  <c r="AD197"/>
  <c r="Z197"/>
  <c r="Q197"/>
  <c r="P197"/>
  <c r="O197"/>
  <c r="R197" s="1"/>
  <c r="N197"/>
  <c r="J197"/>
  <c r="F197"/>
  <c r="D57" i="23" l="1"/>
  <c r="BR198" i="7"/>
  <c r="C57" i="23"/>
  <c r="BQ198" i="7"/>
  <c r="C9" i="28"/>
  <c r="C56" i="23"/>
  <c r="C26" i="34" s="1"/>
  <c r="E57" i="23"/>
  <c r="E56" s="1"/>
  <c r="J9" i="28"/>
  <c r="J56" i="23"/>
  <c r="J26" i="34" s="1"/>
  <c r="M26" s="1"/>
  <c r="M57" i="23"/>
  <c r="M56" s="1"/>
  <c r="L9" i="28"/>
  <c r="L8" s="1"/>
  <c r="L56" i="23"/>
  <c r="L26" i="34" s="1"/>
  <c r="D9" i="28"/>
  <c r="D8" s="1"/>
  <c r="D56" i="23"/>
  <c r="D26" i="34" s="1"/>
  <c r="K9" i="28"/>
  <c r="K8" s="1"/>
  <c r="K56" i="23"/>
  <c r="K26" i="34" s="1"/>
  <c r="N9" i="28"/>
  <c r="I9"/>
  <c r="P9"/>
  <c r="N57" i="23"/>
  <c r="I57"/>
  <c r="P57"/>
  <c r="O57"/>
  <c r="AH197" i="7"/>
  <c r="J198"/>
  <c r="W198"/>
  <c r="V57" i="23" s="1"/>
  <c r="V9" i="28" s="1"/>
  <c r="Y198" i="7"/>
  <c r="X57" i="23" s="1"/>
  <c r="X9" i="28" s="1"/>
  <c r="O198" i="7"/>
  <c r="Q198"/>
  <c r="AQ198"/>
  <c r="Z199"/>
  <c r="AE199"/>
  <c r="AH199" s="1"/>
  <c r="P198"/>
  <c r="O9" i="28" l="1"/>
  <c r="E9"/>
  <c r="E8" s="1"/>
  <c r="C8"/>
  <c r="M9"/>
  <c r="M8" s="1"/>
  <c r="J8"/>
  <c r="R9"/>
  <c r="Q9"/>
  <c r="Y9"/>
  <c r="S9"/>
  <c r="T9"/>
  <c r="S57" i="23"/>
  <c r="T57"/>
  <c r="Y57"/>
  <c r="Q57"/>
  <c r="R57"/>
  <c r="Z198" i="7"/>
  <c r="T198"/>
  <c r="U198"/>
  <c r="N198"/>
  <c r="R198"/>
  <c r="S198"/>
  <c r="AM198" s="1"/>
  <c r="U9" i="28" l="1"/>
  <c r="U57" i="23"/>
  <c r="V198" i="7"/>
  <c r="Y196"/>
  <c r="X196"/>
  <c r="W196"/>
  <c r="AQ196" s="1"/>
  <c r="N196"/>
  <c r="I196"/>
  <c r="Q196" s="1"/>
  <c r="H196"/>
  <c r="H193" s="1"/>
  <c r="G64" i="23" s="1"/>
  <c r="G16" i="28" s="1"/>
  <c r="G196" i="7"/>
  <c r="O196" s="1"/>
  <c r="F196"/>
  <c r="AD195"/>
  <c r="Y195"/>
  <c r="X195"/>
  <c r="W195"/>
  <c r="Q195"/>
  <c r="P195"/>
  <c r="O195"/>
  <c r="N195"/>
  <c r="J195"/>
  <c r="F195"/>
  <c r="AD194"/>
  <c r="Y194"/>
  <c r="AG194" s="1"/>
  <c r="X194"/>
  <c r="AF194" s="1"/>
  <c r="W194"/>
  <c r="AE194" s="1"/>
  <c r="Q194"/>
  <c r="P194"/>
  <c r="O194"/>
  <c r="N194"/>
  <c r="J194"/>
  <c r="F194"/>
  <c r="M193"/>
  <c r="L64" i="23" s="1"/>
  <c r="L193" i="7"/>
  <c r="K64" i="23" s="1"/>
  <c r="K193" i="7"/>
  <c r="J64" i="23" s="1"/>
  <c r="F193" i="7"/>
  <c r="E193"/>
  <c r="D193"/>
  <c r="C193"/>
  <c r="BP193" s="1"/>
  <c r="AQ192"/>
  <c r="AG192"/>
  <c r="AF192"/>
  <c r="AE192"/>
  <c r="AD192"/>
  <c r="Z192"/>
  <c r="Q192"/>
  <c r="P192"/>
  <c r="O192"/>
  <c r="J192"/>
  <c r="C64" i="23" l="1"/>
  <c r="BQ193" i="7"/>
  <c r="D64" i="23"/>
  <c r="BR193" i="7"/>
  <c r="AQ195"/>
  <c r="AG195"/>
  <c r="AF195"/>
  <c r="C16" i="28"/>
  <c r="E64" i="23"/>
  <c r="K16" i="28"/>
  <c r="K15" s="1"/>
  <c r="K63" i="23"/>
  <c r="K27" i="34" s="1"/>
  <c r="D16" i="28"/>
  <c r="D15" s="1"/>
  <c r="D35" s="1"/>
  <c r="D63" i="23"/>
  <c r="J16" i="28"/>
  <c r="J63" i="23"/>
  <c r="M64"/>
  <c r="M63" s="1"/>
  <c r="L16" i="28"/>
  <c r="L15" s="1"/>
  <c r="L35" s="1"/>
  <c r="L63" i="23"/>
  <c r="O16" i="28"/>
  <c r="O64" i="23"/>
  <c r="R192" i="7"/>
  <c r="AH192"/>
  <c r="R195"/>
  <c r="R194"/>
  <c r="I193"/>
  <c r="X193"/>
  <c r="W64" i="23" s="1"/>
  <c r="W16" i="28" s="1"/>
  <c r="W193" i="7"/>
  <c r="V64" i="23" s="1"/>
  <c r="V16" i="28" s="1"/>
  <c r="Y193" i="7"/>
  <c r="X64" i="23" s="1"/>
  <c r="X16" i="28" s="1"/>
  <c r="J196" i="7"/>
  <c r="J193" s="1"/>
  <c r="AH194"/>
  <c r="P196"/>
  <c r="R196" s="1"/>
  <c r="AE195"/>
  <c r="G193"/>
  <c r="F64" i="23" s="1"/>
  <c r="F16" i="28" s="1"/>
  <c r="P193" i="7"/>
  <c r="AQ194"/>
  <c r="Z195"/>
  <c r="Z194"/>
  <c r="Z196"/>
  <c r="Y191"/>
  <c r="X191"/>
  <c r="W191"/>
  <c r="AQ191" s="1"/>
  <c r="N191"/>
  <c r="I191"/>
  <c r="Q191" s="1"/>
  <c r="H191"/>
  <c r="P191" s="1"/>
  <c r="T191" s="1"/>
  <c r="G191"/>
  <c r="O191" s="1"/>
  <c r="F191"/>
  <c r="J55" i="23" l="1"/>
  <c r="J27" i="34"/>
  <c r="D55" i="23"/>
  <c r="D27" i="34"/>
  <c r="D25" s="1"/>
  <c r="L55" i="23"/>
  <c r="L37" i="28" s="1"/>
  <c r="L27" i="34"/>
  <c r="L25" s="1"/>
  <c r="D37" i="28"/>
  <c r="E16"/>
  <c r="J15"/>
  <c r="J35" s="1"/>
  <c r="J37" s="1"/>
  <c r="M16"/>
  <c r="M15" s="1"/>
  <c r="N16"/>
  <c r="Y16"/>
  <c r="S16"/>
  <c r="N64" i="23"/>
  <c r="Y64"/>
  <c r="Q193" i="7"/>
  <c r="U193" s="1"/>
  <c r="H64" i="23"/>
  <c r="S64"/>
  <c r="Z193" i="7"/>
  <c r="AQ193"/>
  <c r="R191"/>
  <c r="AH195"/>
  <c r="Z191"/>
  <c r="S191"/>
  <c r="AM191" s="1"/>
  <c r="J191"/>
  <c r="T193"/>
  <c r="O193"/>
  <c r="AD190"/>
  <c r="M27" i="34" l="1"/>
  <c r="J25"/>
  <c r="R16" i="28"/>
  <c r="I64" i="23"/>
  <c r="H16" i="28"/>
  <c r="P64" i="23"/>
  <c r="Q64" s="1"/>
  <c r="R64"/>
  <c r="N193" i="7"/>
  <c r="S193"/>
  <c r="AM193" s="1"/>
  <c r="R193"/>
  <c r="Y190"/>
  <c r="AG190" s="1"/>
  <c r="X190"/>
  <c r="AF190" s="1"/>
  <c r="W190"/>
  <c r="Q190"/>
  <c r="P190"/>
  <c r="O190"/>
  <c r="N190"/>
  <c r="J190"/>
  <c r="F190"/>
  <c r="AD189"/>
  <c r="Y189"/>
  <c r="AG189" s="1"/>
  <c r="X189"/>
  <c r="AF189" s="1"/>
  <c r="W189"/>
  <c r="AQ189" s="1"/>
  <c r="Q189"/>
  <c r="P189"/>
  <c r="O189"/>
  <c r="N189"/>
  <c r="J189"/>
  <c r="F189"/>
  <c r="P16" i="28" l="1"/>
  <c r="I16"/>
  <c r="T64" i="23"/>
  <c r="U64" s="1"/>
  <c r="R190" i="7"/>
  <c r="R189"/>
  <c r="Z190"/>
  <c r="V193"/>
  <c r="Z189"/>
  <c r="AE189"/>
  <c r="AH189" s="1"/>
  <c r="AQ190"/>
  <c r="AE190"/>
  <c r="AH190" s="1"/>
  <c r="T16" i="28" l="1"/>
  <c r="Q16"/>
  <c r="Y188" i="7"/>
  <c r="X34" i="23" s="1"/>
  <c r="X23" i="29" s="1"/>
  <c r="X188" i="7"/>
  <c r="W188"/>
  <c r="W187" s="1"/>
  <c r="M188"/>
  <c r="L34" i="23" s="1"/>
  <c r="L188" i="7"/>
  <c r="K34" i="23" s="1"/>
  <c r="K188" i="7"/>
  <c r="I188"/>
  <c r="H34" i="23" s="1"/>
  <c r="H23" i="29" s="1"/>
  <c r="H188" i="7"/>
  <c r="F188"/>
  <c r="E188"/>
  <c r="D188"/>
  <c r="C188"/>
  <c r="BP188" s="1"/>
  <c r="M293"/>
  <c r="K293"/>
  <c r="F293"/>
  <c r="AQ186"/>
  <c r="AG186"/>
  <c r="AF186"/>
  <c r="AE186"/>
  <c r="AD186"/>
  <c r="Z186"/>
  <c r="Q186"/>
  <c r="P186"/>
  <c r="O186"/>
  <c r="N186"/>
  <c r="J186"/>
  <c r="AQ184"/>
  <c r="AG184"/>
  <c r="AF184"/>
  <c r="AE184"/>
  <c r="AD184"/>
  <c r="Z184"/>
  <c r="Q184"/>
  <c r="P184"/>
  <c r="O184"/>
  <c r="N184"/>
  <c r="J184"/>
  <c r="F184"/>
  <c r="W183"/>
  <c r="N183"/>
  <c r="G183"/>
  <c r="F183"/>
  <c r="W182"/>
  <c r="N182"/>
  <c r="G182"/>
  <c r="F182"/>
  <c r="W34" i="23" l="1"/>
  <c r="W23" i="29" s="1"/>
  <c r="X187" i="7"/>
  <c r="X293" s="1"/>
  <c r="D293"/>
  <c r="BQ187"/>
  <c r="D34" i="23"/>
  <c r="BR188" i="7"/>
  <c r="C34" i="23"/>
  <c r="BQ188" i="7"/>
  <c r="C187"/>
  <c r="BP187" s="1"/>
  <c r="R184"/>
  <c r="C23" i="29"/>
  <c r="C33" i="23"/>
  <c r="E34"/>
  <c r="E33" s="1"/>
  <c r="E18" s="1"/>
  <c r="K23" i="29"/>
  <c r="K33" i="23"/>
  <c r="AH184" i="7"/>
  <c r="D23" i="29"/>
  <c r="D33" i="23"/>
  <c r="J188" i="7"/>
  <c r="J34" i="23"/>
  <c r="L23" i="29"/>
  <c r="L33" i="23"/>
  <c r="U16" i="28"/>
  <c r="O182" i="7"/>
  <c r="F136" i="23"/>
  <c r="F37" i="31" s="1"/>
  <c r="G188" i="7"/>
  <c r="G34" i="23"/>
  <c r="G23" i="29" s="1"/>
  <c r="AQ182" i="7"/>
  <c r="V136" i="23"/>
  <c r="V37" i="31" s="1"/>
  <c r="O183" i="7"/>
  <c r="S183" s="1"/>
  <c r="AM183" s="1"/>
  <c r="F137" i="23"/>
  <c r="F38" i="31" s="1"/>
  <c r="AQ183" i="7"/>
  <c r="V137" i="23"/>
  <c r="V38" i="31" s="1"/>
  <c r="P34" i="23"/>
  <c r="P23" i="29" s="1"/>
  <c r="T23" s="1"/>
  <c r="AQ188" i="7"/>
  <c r="V34" i="23"/>
  <c r="V23" i="29" s="1"/>
  <c r="Q188" i="7"/>
  <c r="R186"/>
  <c r="AH186"/>
  <c r="C293"/>
  <c r="L293"/>
  <c r="N188"/>
  <c r="W293"/>
  <c r="P188"/>
  <c r="T188" s="1"/>
  <c r="Z188"/>
  <c r="N181"/>
  <c r="M181"/>
  <c r="L35" i="31" s="1"/>
  <c r="L181" i="7"/>
  <c r="K35" i="31" s="1"/>
  <c r="K181" i="7"/>
  <c r="J35" i="31" s="1"/>
  <c r="G181" i="7"/>
  <c r="F35" i="31" s="1"/>
  <c r="F181" i="7"/>
  <c r="E181"/>
  <c r="D181"/>
  <c r="C181"/>
  <c r="BP181" s="1"/>
  <c r="AQ180"/>
  <c r="AG180"/>
  <c r="AF180"/>
  <c r="AE180"/>
  <c r="AD180"/>
  <c r="Z180"/>
  <c r="Q180"/>
  <c r="P180"/>
  <c r="O180"/>
  <c r="S180" s="1"/>
  <c r="AM180" s="1"/>
  <c r="N180"/>
  <c r="J180"/>
  <c r="F180"/>
  <c r="C35" i="31" l="1"/>
  <c r="D35"/>
  <c r="E293" i="7"/>
  <c r="BR187"/>
  <c r="L18" i="23"/>
  <c r="L20" i="34"/>
  <c r="L18" s="1"/>
  <c r="L17" s="1"/>
  <c r="D18" i="23"/>
  <c r="D20" i="34"/>
  <c r="D18" s="1"/>
  <c r="D17" s="1"/>
  <c r="C18" i="23"/>
  <c r="C20" i="34"/>
  <c r="C18" s="1"/>
  <c r="K18" i="23"/>
  <c r="K20" i="34"/>
  <c r="K18" s="1"/>
  <c r="B134" i="23"/>
  <c r="B41" i="34" s="1"/>
  <c r="E41" s="1"/>
  <c r="B35" i="31"/>
  <c r="E23" i="29"/>
  <c r="E22" s="1"/>
  <c r="E43" s="1"/>
  <c r="E45" s="1"/>
  <c r="J23"/>
  <c r="M23" s="1"/>
  <c r="M22" s="1"/>
  <c r="M43" s="1"/>
  <c r="M34" i="23"/>
  <c r="M33" s="1"/>
  <c r="M18" s="1"/>
  <c r="J33"/>
  <c r="AH180" i="7"/>
  <c r="N37" i="31"/>
  <c r="Y23" i="29"/>
  <c r="N38" i="31"/>
  <c r="Y34" i="23"/>
  <c r="T34"/>
  <c r="N137"/>
  <c r="V134"/>
  <c r="V41" i="34" s="1"/>
  <c r="O188" i="7"/>
  <c r="S188" s="1"/>
  <c r="AM188" s="1"/>
  <c r="F34" i="23"/>
  <c r="F23" i="29" s="1"/>
  <c r="I23" s="1"/>
  <c r="O34" i="23"/>
  <c r="O23" i="29" s="1"/>
  <c r="S23" s="1"/>
  <c r="N136" i="23"/>
  <c r="F134"/>
  <c r="F41" i="34" s="1"/>
  <c r="R180" i="7"/>
  <c r="C322"/>
  <c r="E322"/>
  <c r="D322"/>
  <c r="K322"/>
  <c r="M322"/>
  <c r="N322"/>
  <c r="L322"/>
  <c r="G322"/>
  <c r="F322" s="1"/>
  <c r="W181"/>
  <c r="V35" i="31" s="1"/>
  <c r="S182" i="7"/>
  <c r="AM182" s="1"/>
  <c r="O181"/>
  <c r="Y179"/>
  <c r="X132" i="23" s="1"/>
  <c r="X33" i="31" s="1"/>
  <c r="X179" i="7"/>
  <c r="W132" i="23" s="1"/>
  <c r="W33" i="31" s="1"/>
  <c r="W179" i="7"/>
  <c r="J18" i="23" l="1"/>
  <c r="J20" i="34"/>
  <c r="M20" s="1"/>
  <c r="M45" i="29"/>
  <c r="R188" i="7"/>
  <c r="N41" i="34"/>
  <c r="R38" i="31"/>
  <c r="R37"/>
  <c r="N35"/>
  <c r="R136" i="23"/>
  <c r="N134"/>
  <c r="R137"/>
  <c r="AQ179" i="7"/>
  <c r="V132" i="23"/>
  <c r="V33" i="31" s="1"/>
  <c r="S34" i="23"/>
  <c r="N34"/>
  <c r="N23" i="29" s="1"/>
  <c r="I34" i="23"/>
  <c r="N293" i="7"/>
  <c r="Z179"/>
  <c r="W322"/>
  <c r="O322"/>
  <c r="S181"/>
  <c r="AM181" s="1"/>
  <c r="AQ181"/>
  <c r="N179"/>
  <c r="I179"/>
  <c r="J18" i="34" l="1"/>
  <c r="M18" s="1"/>
  <c r="R41"/>
  <c r="R35" i="31"/>
  <c r="AL35" s="1"/>
  <c r="R23" i="29"/>
  <c r="Q23"/>
  <c r="Y33" i="31"/>
  <c r="Q179" i="7"/>
  <c r="U179" s="1"/>
  <c r="AO179" s="1"/>
  <c r="H132" i="23"/>
  <c r="Q34"/>
  <c r="R34"/>
  <c r="Y132"/>
  <c r="R134"/>
  <c r="AL134" s="1"/>
  <c r="S322" i="7"/>
  <c r="H179"/>
  <c r="G179"/>
  <c r="F132" i="23" s="1"/>
  <c r="F33" i="31" s="1"/>
  <c r="F179" i="7"/>
  <c r="J17" i="34" l="1"/>
  <c r="AL41"/>
  <c r="P132" i="23"/>
  <c r="T132" s="1"/>
  <c r="AN132" s="1"/>
  <c r="H33" i="31"/>
  <c r="P33" s="1"/>
  <c r="T33" s="1"/>
  <c r="U23" i="29"/>
  <c r="N33" i="31"/>
  <c r="N132" i="23"/>
  <c r="U34"/>
  <c r="P179" i="7"/>
  <c r="T179" s="1"/>
  <c r="G132" i="23"/>
  <c r="O179" i="7"/>
  <c r="R179" s="1"/>
  <c r="J179"/>
  <c r="Y178"/>
  <c r="X131" i="23" s="1"/>
  <c r="X32" i="31" s="1"/>
  <c r="X178" i="7"/>
  <c r="W131" i="23" s="1"/>
  <c r="W32" i="31" s="1"/>
  <c r="W178" i="7"/>
  <c r="V131" i="23" s="1"/>
  <c r="V32" i="31" s="1"/>
  <c r="S179" i="7" l="1"/>
  <c r="V179" s="1"/>
  <c r="O132" i="23"/>
  <c r="S132" s="1"/>
  <c r="G33" i="31"/>
  <c r="Y32"/>
  <c r="Y30" s="1"/>
  <c r="R33"/>
  <c r="AN33"/>
  <c r="W129" i="23"/>
  <c r="W40" i="34" s="1"/>
  <c r="I132" i="23"/>
  <c r="Y131"/>
  <c r="Y129" s="1"/>
  <c r="V129"/>
  <c r="V40" i="34" s="1"/>
  <c r="X129" i="23"/>
  <c r="X40" i="34" s="1"/>
  <c r="Q132" i="23"/>
  <c r="R132"/>
  <c r="Z178" i="7"/>
  <c r="AQ178"/>
  <c r="N178"/>
  <c r="I178"/>
  <c r="H178"/>
  <c r="G131" i="23" s="1"/>
  <c r="G32" i="31" s="1"/>
  <c r="O32" s="1"/>
  <c r="G178" i="7"/>
  <c r="F178"/>
  <c r="AM179" l="1"/>
  <c r="Y40" i="34"/>
  <c r="S32" i="31"/>
  <c r="O33"/>
  <c r="I33"/>
  <c r="O178" i="7"/>
  <c r="F131" i="23"/>
  <c r="F32" i="31" s="1"/>
  <c r="Q178" i="7"/>
  <c r="U178" s="1"/>
  <c r="AO178" s="1"/>
  <c r="H131" i="23"/>
  <c r="H32" i="31" s="1"/>
  <c r="P32" s="1"/>
  <c r="O131" i="23"/>
  <c r="G129"/>
  <c r="G40" i="34" s="1"/>
  <c r="O40" s="1"/>
  <c r="S40" s="1"/>
  <c r="U132" i="23"/>
  <c r="J178" i="7"/>
  <c r="S178"/>
  <c r="AM178" s="1"/>
  <c r="P178"/>
  <c r="T178" s="1"/>
  <c r="S33" i="31" l="1"/>
  <c r="Q33"/>
  <c r="S30"/>
  <c r="T32"/>
  <c r="P30"/>
  <c r="N32"/>
  <c r="I32"/>
  <c r="I30" s="1"/>
  <c r="O30"/>
  <c r="S131" i="23"/>
  <c r="O129"/>
  <c r="P131"/>
  <c r="H129"/>
  <c r="H40" i="34" s="1"/>
  <c r="P40" s="1"/>
  <c r="T40" s="1"/>
  <c r="N131" i="23"/>
  <c r="I131"/>
  <c r="I129" s="1"/>
  <c r="F129"/>
  <c r="F40" i="34" s="1"/>
  <c r="R178" i="7"/>
  <c r="V178"/>
  <c r="Y177"/>
  <c r="X30" i="31" s="1"/>
  <c r="W177" i="7"/>
  <c r="V30" i="31" s="1"/>
  <c r="I40" i="34" l="1"/>
  <c r="N40"/>
  <c r="Q40" s="1"/>
  <c r="U33" i="31"/>
  <c r="Q32"/>
  <c r="Q30" s="1"/>
  <c r="R32"/>
  <c r="N30"/>
  <c r="AN32"/>
  <c r="T30"/>
  <c r="S129" i="23"/>
  <c r="Q131"/>
  <c r="Q129" s="1"/>
  <c r="R131"/>
  <c r="N129"/>
  <c r="T131"/>
  <c r="P129"/>
  <c r="W321" i="7"/>
  <c r="AQ177"/>
  <c r="X177"/>
  <c r="W30" i="31" s="1"/>
  <c r="Y321" i="7"/>
  <c r="N177"/>
  <c r="N321" s="1"/>
  <c r="M177"/>
  <c r="L30" i="31" s="1"/>
  <c r="L177" i="7"/>
  <c r="K30" i="31" s="1"/>
  <c r="K177" i="7"/>
  <c r="J30" i="31" s="1"/>
  <c r="J177" i="7"/>
  <c r="I177"/>
  <c r="H30" i="31" s="1"/>
  <c r="H177" i="7"/>
  <c r="G30" i="31" s="1"/>
  <c r="G177" i="7"/>
  <c r="F30" i="31" s="1"/>
  <c r="F177" i="7"/>
  <c r="E177"/>
  <c r="D177"/>
  <c r="C177"/>
  <c r="BP177" s="1"/>
  <c r="AQ176"/>
  <c r="AG176"/>
  <c r="AF176"/>
  <c r="AE176"/>
  <c r="AD176"/>
  <c r="Z176"/>
  <c r="Q176"/>
  <c r="P176"/>
  <c r="O176"/>
  <c r="S176" s="1"/>
  <c r="AM176" s="1"/>
  <c r="N176"/>
  <c r="J176"/>
  <c r="F176"/>
  <c r="W175"/>
  <c r="V127" i="23" s="1"/>
  <c r="V28" i="31" s="1"/>
  <c r="N175" i="7"/>
  <c r="F175"/>
  <c r="C30" i="31" l="1"/>
  <c r="BQ177" i="7"/>
  <c r="D30" i="31"/>
  <c r="BR177" i="7"/>
  <c r="B129" i="23"/>
  <c r="B40" i="34" s="1"/>
  <c r="E40" s="1"/>
  <c r="B30" i="31"/>
  <c r="U32"/>
  <c r="R30"/>
  <c r="AL30" s="1"/>
  <c r="AN131" i="23"/>
  <c r="T129"/>
  <c r="U131"/>
  <c r="R129"/>
  <c r="AH176" i="7"/>
  <c r="M321"/>
  <c r="Z177"/>
  <c r="Z321" s="1"/>
  <c r="R176"/>
  <c r="D321"/>
  <c r="F321"/>
  <c r="L321"/>
  <c r="C321"/>
  <c r="E321"/>
  <c r="K321"/>
  <c r="G321"/>
  <c r="I321"/>
  <c r="Q177"/>
  <c r="O177"/>
  <c r="H321"/>
  <c r="J321"/>
  <c r="X321"/>
  <c r="AQ175"/>
  <c r="P177"/>
  <c r="W174"/>
  <c r="V126" i="23" s="1"/>
  <c r="V27" i="31" s="1"/>
  <c r="N174" i="7"/>
  <c r="F174"/>
  <c r="R40" i="34" l="1"/>
  <c r="U30" i="31"/>
  <c r="V124" i="23"/>
  <c r="V39" i="34" s="1"/>
  <c r="U129" i="23"/>
  <c r="S177" i="7"/>
  <c r="AM177" s="1"/>
  <c r="R177"/>
  <c r="Q321"/>
  <c r="U177"/>
  <c r="AO177" s="1"/>
  <c r="AQ174"/>
  <c r="P321"/>
  <c r="O321" s="1"/>
  <c r="W173"/>
  <c r="V25" i="31" s="1"/>
  <c r="N173" i="7"/>
  <c r="M173"/>
  <c r="L25" i="31" s="1"/>
  <c r="L173" i="7"/>
  <c r="K25" i="31" s="1"/>
  <c r="K173" i="7"/>
  <c r="J25" i="31" s="1"/>
  <c r="F173" i="7"/>
  <c r="E173"/>
  <c r="D173"/>
  <c r="C173"/>
  <c r="BP173" s="1"/>
  <c r="AQ172"/>
  <c r="AG172"/>
  <c r="AF172"/>
  <c r="AH172" s="1"/>
  <c r="AE172"/>
  <c r="AD172"/>
  <c r="Z172"/>
  <c r="Q172"/>
  <c r="P172"/>
  <c r="O172"/>
  <c r="S172" s="1"/>
  <c r="AM172" s="1"/>
  <c r="N172"/>
  <c r="J172"/>
  <c r="F172"/>
  <c r="AL40" i="34" l="1"/>
  <c r="U40"/>
  <c r="C25" i="31"/>
  <c r="D25"/>
  <c r="B124" i="23"/>
  <c r="B39" i="34" s="1"/>
  <c r="E39" s="1"/>
  <c r="B25" i="31"/>
  <c r="AL129" i="23"/>
  <c r="R172" i="7"/>
  <c r="D320"/>
  <c r="L320"/>
  <c r="N320"/>
  <c r="C320"/>
  <c r="E320"/>
  <c r="K320"/>
  <c r="M320"/>
  <c r="W320"/>
  <c r="AQ173"/>
  <c r="T177"/>
  <c r="U321"/>
  <c r="S321"/>
  <c r="R321" s="1"/>
  <c r="V177" l="1"/>
  <c r="V321" s="1"/>
  <c r="T321"/>
  <c r="Y171"/>
  <c r="X122" i="23" s="1"/>
  <c r="X23" i="31" s="1"/>
  <c r="X171" i="7"/>
  <c r="W122" i="23" s="1"/>
  <c r="W23" i="31" s="1"/>
  <c r="W171" i="7"/>
  <c r="AQ171" l="1"/>
  <c r="V122" i="23"/>
  <c r="V23" i="31" s="1"/>
  <c r="Z171" i="7"/>
  <c r="N171"/>
  <c r="Y23" i="31" l="1"/>
  <c r="Y122" i="23"/>
  <c r="I171" i="7"/>
  <c r="H122" i="23" s="1"/>
  <c r="H171" i="7"/>
  <c r="G122" i="23" s="1"/>
  <c r="G171" i="7"/>
  <c r="F122" i="23" s="1"/>
  <c r="F23" i="31" s="1"/>
  <c r="F171" i="7"/>
  <c r="O122" i="23" l="1"/>
  <c r="S122" s="1"/>
  <c r="G23" i="31"/>
  <c r="O23" s="1"/>
  <c r="S23" s="1"/>
  <c r="N23"/>
  <c r="P122" i="23"/>
  <c r="T122" s="1"/>
  <c r="H23" i="31"/>
  <c r="P23" s="1"/>
  <c r="T23" s="1"/>
  <c r="I122" i="23"/>
  <c r="N122"/>
  <c r="AN122"/>
  <c r="O171" i="7"/>
  <c r="J171"/>
  <c r="I23" i="31" l="1"/>
  <c r="AN23"/>
  <c r="R23"/>
  <c r="Q23"/>
  <c r="Q122" i="23"/>
  <c r="R122"/>
  <c r="S171" i="7"/>
  <c r="AM171" s="1"/>
  <c r="Y170"/>
  <c r="X121" i="23" s="1"/>
  <c r="X22" i="31" s="1"/>
  <c r="X170" i="7"/>
  <c r="W121" i="23" s="1"/>
  <c r="W22" i="31" s="1"/>
  <c r="W170" i="7"/>
  <c r="N170"/>
  <c r="I170"/>
  <c r="H121" i="23" s="1"/>
  <c r="H170" i="7"/>
  <c r="G121" i="23" s="1"/>
  <c r="G170" i="7"/>
  <c r="F170"/>
  <c r="O121" i="23" l="1"/>
  <c r="S121" s="1"/>
  <c r="G22" i="31"/>
  <c r="O22" s="1"/>
  <c r="S22" s="1"/>
  <c r="U23"/>
  <c r="P121" i="23"/>
  <c r="T121" s="1"/>
  <c r="H22" i="31"/>
  <c r="P22" s="1"/>
  <c r="T22" s="1"/>
  <c r="O170" i="7"/>
  <c r="S170" s="1"/>
  <c r="AM170" s="1"/>
  <c r="F121" i="23"/>
  <c r="F22" i="31" s="1"/>
  <c r="AQ170" i="7"/>
  <c r="V121" i="23"/>
  <c r="V22" i="31" s="1"/>
  <c r="U122" i="23"/>
  <c r="J170" i="7"/>
  <c r="Z170"/>
  <c r="Y169"/>
  <c r="X120" i="23" s="1"/>
  <c r="X21" i="31" s="1"/>
  <c r="X169" i="7"/>
  <c r="W120" i="23" s="1"/>
  <c r="W21" i="31" s="1"/>
  <c r="W169" i="7"/>
  <c r="N169"/>
  <c r="I169"/>
  <c r="H169"/>
  <c r="G169"/>
  <c r="F169"/>
  <c r="Y22" i="31" l="1"/>
  <c r="I22"/>
  <c r="N22"/>
  <c r="P169" i="7"/>
  <c r="G120" i="23"/>
  <c r="G21" i="31" s="1"/>
  <c r="O21" s="1"/>
  <c r="O169" i="7"/>
  <c r="F120" i="23"/>
  <c r="F21" i="31" s="1"/>
  <c r="Q169" i="7"/>
  <c r="H120" i="23"/>
  <c r="H21" i="31" s="1"/>
  <c r="P21" s="1"/>
  <c r="AQ169" i="7"/>
  <c r="V120" i="23"/>
  <c r="V21" i="31" s="1"/>
  <c r="X118" i="23"/>
  <c r="X38" i="34" s="1"/>
  <c r="Y121" i="23"/>
  <c r="N121"/>
  <c r="I121"/>
  <c r="W118"/>
  <c r="W38" i="34" s="1"/>
  <c r="S169" i="7"/>
  <c r="AM169" s="1"/>
  <c r="J169"/>
  <c r="Z169"/>
  <c r="R169" l="1"/>
  <c r="Y21" i="31"/>
  <c r="Y19" s="1"/>
  <c r="T21"/>
  <c r="P19"/>
  <c r="I21"/>
  <c r="I19" s="1"/>
  <c r="N21"/>
  <c r="S21"/>
  <c r="O19"/>
  <c r="R22"/>
  <c r="Q22"/>
  <c r="Q121" i="23"/>
  <c r="R121"/>
  <c r="Y120"/>
  <c r="Y118" s="1"/>
  <c r="V118"/>
  <c r="V38" i="34" s="1"/>
  <c r="P120" i="23"/>
  <c r="H118"/>
  <c r="H38" i="34" s="1"/>
  <c r="P38" s="1"/>
  <c r="T38" s="1"/>
  <c r="I120" i="23"/>
  <c r="I118" s="1"/>
  <c r="N120"/>
  <c r="F118"/>
  <c r="F38" i="34" s="1"/>
  <c r="O120" i="23"/>
  <c r="G118"/>
  <c r="G38" i="34" s="1"/>
  <c r="X168" i="7"/>
  <c r="W19" i="31" s="1"/>
  <c r="W168" i="7"/>
  <c r="V19" i="31" s="1"/>
  <c r="N168" i="7"/>
  <c r="M168"/>
  <c r="L19" i="31" s="1"/>
  <c r="L168" i="7"/>
  <c r="K19" i="31" s="1"/>
  <c r="K168" i="7"/>
  <c r="J19" i="31" s="1"/>
  <c r="I168" i="7"/>
  <c r="H19" i="31" s="1"/>
  <c r="H168" i="7"/>
  <c r="G19" i="31" s="1"/>
  <c r="G168" i="7"/>
  <c r="F19" i="31" s="1"/>
  <c r="F168" i="7"/>
  <c r="F319" s="1"/>
  <c r="E168"/>
  <c r="D168"/>
  <c r="C168"/>
  <c r="BP168" s="1"/>
  <c r="AQ167"/>
  <c r="AG167"/>
  <c r="AF167"/>
  <c r="AE167"/>
  <c r="AD167"/>
  <c r="Z167"/>
  <c r="Q167"/>
  <c r="P167"/>
  <c r="O167"/>
  <c r="S167" s="1"/>
  <c r="AM167" s="1"/>
  <c r="N167"/>
  <c r="J167"/>
  <c r="F167"/>
  <c r="Y166"/>
  <c r="X116" i="23" s="1"/>
  <c r="X17" i="31" s="1"/>
  <c r="X166" i="7"/>
  <c r="W116" i="23" s="1"/>
  <c r="W17" i="31" s="1"/>
  <c r="W166" i="7"/>
  <c r="V116" i="23" s="1"/>
  <c r="V17" i="31" s="1"/>
  <c r="Y38" i="34" l="1"/>
  <c r="I38"/>
  <c r="D19" i="31"/>
  <c r="BR168" i="7"/>
  <c r="C19" i="31"/>
  <c r="BQ168" i="7"/>
  <c r="O38" i="34"/>
  <c r="S38" s="1"/>
  <c r="N38"/>
  <c r="B118" i="23"/>
  <c r="B38" i="34" s="1"/>
  <c r="E38" s="1"/>
  <c r="B19" i="31"/>
  <c r="Y17"/>
  <c r="U22"/>
  <c r="S19"/>
  <c r="AN21"/>
  <c r="T19"/>
  <c r="R21"/>
  <c r="Q21"/>
  <c r="Q19" s="1"/>
  <c r="N19"/>
  <c r="S120" i="23"/>
  <c r="O118"/>
  <c r="Q120"/>
  <c r="Q118" s="1"/>
  <c r="R120"/>
  <c r="N118"/>
  <c r="Y116"/>
  <c r="T120"/>
  <c r="P118"/>
  <c r="U121"/>
  <c r="P168" i="7"/>
  <c r="T168" s="1"/>
  <c r="R167"/>
  <c r="AH167"/>
  <c r="C319"/>
  <c r="E319"/>
  <c r="L319"/>
  <c r="N319"/>
  <c r="D319"/>
  <c r="J168"/>
  <c r="J319" s="1"/>
  <c r="K319"/>
  <c r="M319"/>
  <c r="Z166"/>
  <c r="G319"/>
  <c r="I319"/>
  <c r="W319"/>
  <c r="AQ168"/>
  <c r="AQ166"/>
  <c r="H319"/>
  <c r="X319"/>
  <c r="O168"/>
  <c r="Q168"/>
  <c r="N166"/>
  <c r="I166"/>
  <c r="H116" i="23" s="1"/>
  <c r="H166" i="7"/>
  <c r="G166"/>
  <c r="F166"/>
  <c r="Q38" i="34" l="1"/>
  <c r="R38"/>
  <c r="P116" i="23"/>
  <c r="T116" s="1"/>
  <c r="AN116" s="1"/>
  <c r="H17" i="31"/>
  <c r="P17" s="1"/>
  <c r="T17" s="1"/>
  <c r="U21"/>
  <c r="R19"/>
  <c r="AL19" s="1"/>
  <c r="O166" i="7"/>
  <c r="S166" s="1"/>
  <c r="AM166" s="1"/>
  <c r="F116" i="23"/>
  <c r="F17" i="31" s="1"/>
  <c r="P166" i="7"/>
  <c r="T166" s="1"/>
  <c r="G116" i="23"/>
  <c r="AN120"/>
  <c r="T118"/>
  <c r="S118"/>
  <c r="U120"/>
  <c r="R118"/>
  <c r="O319" i="7"/>
  <c r="S168"/>
  <c r="AM168" s="1"/>
  <c r="R168"/>
  <c r="Q319"/>
  <c r="P319" s="1"/>
  <c r="T319"/>
  <c r="J166"/>
  <c r="Y165"/>
  <c r="X115" i="23" s="1"/>
  <c r="X16" i="31" s="1"/>
  <c r="X165" i="7"/>
  <c r="W115" i="23" s="1"/>
  <c r="W16" i="31" s="1"/>
  <c r="W165" i="7"/>
  <c r="N165"/>
  <c r="I165"/>
  <c r="H115" i="23" s="1"/>
  <c r="H165" i="7"/>
  <c r="G165"/>
  <c r="F165"/>
  <c r="U38" i="34" l="1"/>
  <c r="AL38"/>
  <c r="U19" i="31"/>
  <c r="P115" i="23"/>
  <c r="T115" s="1"/>
  <c r="H16" i="31"/>
  <c r="P16" s="1"/>
  <c r="T16" s="1"/>
  <c r="O116" i="23"/>
  <c r="S116" s="1"/>
  <c r="G17" i="31"/>
  <c r="O17" s="1"/>
  <c r="S17" s="1"/>
  <c r="N17"/>
  <c r="AN17"/>
  <c r="O165" i="7"/>
  <c r="S165" s="1"/>
  <c r="AM165" s="1"/>
  <c r="F115" i="23"/>
  <c r="F16" i="31" s="1"/>
  <c r="AQ165" i="7"/>
  <c r="V115" i="23"/>
  <c r="V16" i="31" s="1"/>
  <c r="P165" i="7"/>
  <c r="T165" s="1"/>
  <c r="G115" i="23"/>
  <c r="U118"/>
  <c r="N116"/>
  <c r="I116"/>
  <c r="S319" i="7"/>
  <c r="R319"/>
  <c r="J165"/>
  <c r="Z165"/>
  <c r="Y164"/>
  <c r="X114" i="23" s="1"/>
  <c r="X15" i="31" s="1"/>
  <c r="X164" i="7"/>
  <c r="W114" i="23" s="1"/>
  <c r="W15" i="31" s="1"/>
  <c r="W164" i="7"/>
  <c r="N164"/>
  <c r="I164"/>
  <c r="H114" i="23" s="1"/>
  <c r="H164" i="7"/>
  <c r="G164"/>
  <c r="F164"/>
  <c r="Y163"/>
  <c r="X113" i="23" s="1"/>
  <c r="X14" i="31" s="1"/>
  <c r="X163" i="7"/>
  <c r="W113" i="23" s="1"/>
  <c r="W14" i="31" s="1"/>
  <c r="W163" i="7"/>
  <c r="N163"/>
  <c r="I163"/>
  <c r="H113" i="23" s="1"/>
  <c r="H163" i="7"/>
  <c r="G113" i="23" s="1"/>
  <c r="G163" i="7"/>
  <c r="F163"/>
  <c r="Y162"/>
  <c r="X112" i="23" s="1"/>
  <c r="X13" i="31" s="1"/>
  <c r="X162" i="7"/>
  <c r="W112" i="23" s="1"/>
  <c r="W13" i="31" s="1"/>
  <c r="W162" i="7"/>
  <c r="V112" i="23" s="1"/>
  <c r="V13" i="31" s="1"/>
  <c r="N162" i="7"/>
  <c r="I17" i="31" l="1"/>
  <c r="Y13"/>
  <c r="P113" i="23"/>
  <c r="T113" s="1"/>
  <c r="H14" i="31"/>
  <c r="P14" s="1"/>
  <c r="T14" s="1"/>
  <c r="P114" i="23"/>
  <c r="T114" s="1"/>
  <c r="H15" i="31"/>
  <c r="P15" s="1"/>
  <c r="T15" s="1"/>
  <c r="O113" i="23"/>
  <c r="S113" s="1"/>
  <c r="G14" i="31"/>
  <c r="O14" s="1"/>
  <c r="S14" s="1"/>
  <c r="O115" i="23"/>
  <c r="S115" s="1"/>
  <c r="G16" i="31"/>
  <c r="O16" s="1"/>
  <c r="S16" s="1"/>
  <c r="Y16"/>
  <c r="I16"/>
  <c r="N16"/>
  <c r="R17"/>
  <c r="Q17"/>
  <c r="P164" i="7"/>
  <c r="T164" s="1"/>
  <c r="G114" i="23"/>
  <c r="Q116"/>
  <c r="R116"/>
  <c r="Y112"/>
  <c r="O163" i="7"/>
  <c r="F113" i="23"/>
  <c r="F14" i="31" s="1"/>
  <c r="AQ163" i="7"/>
  <c r="V113" i="23"/>
  <c r="V14" i="31" s="1"/>
  <c r="O164" i="7"/>
  <c r="S164" s="1"/>
  <c r="AM164" s="1"/>
  <c r="F114" i="23"/>
  <c r="F15" i="31" s="1"/>
  <c r="AN114" i="23"/>
  <c r="AQ164" i="7"/>
  <c r="V114" i="23"/>
  <c r="V15" i="31" s="1"/>
  <c r="Y115" i="23"/>
  <c r="I115"/>
  <c r="N115"/>
  <c r="AL118"/>
  <c r="Z162" i="7"/>
  <c r="J163"/>
  <c r="AQ162"/>
  <c r="P163"/>
  <c r="T163" s="1"/>
  <c r="Z163"/>
  <c r="J164"/>
  <c r="Z164"/>
  <c r="I162"/>
  <c r="H112" i="23" s="1"/>
  <c r="Y15" i="31" l="1"/>
  <c r="O114" i="23"/>
  <c r="S114" s="1"/>
  <c r="G15" i="31"/>
  <c r="O15" s="1"/>
  <c r="S15" s="1"/>
  <c r="U17"/>
  <c r="P112" i="23"/>
  <c r="T112" s="1"/>
  <c r="H13" i="31"/>
  <c r="P13" s="1"/>
  <c r="T13" s="1"/>
  <c r="I15"/>
  <c r="N15"/>
  <c r="Y14"/>
  <c r="I14"/>
  <c r="N14"/>
  <c r="R16"/>
  <c r="Q16"/>
  <c r="AN15"/>
  <c r="AN112" i="23"/>
  <c r="Q115"/>
  <c r="R115"/>
  <c r="Y114"/>
  <c r="N114"/>
  <c r="I114"/>
  <c r="Y113"/>
  <c r="I113"/>
  <c r="N113"/>
  <c r="U116"/>
  <c r="S163" i="7"/>
  <c r="AM163" s="1"/>
  <c r="H162"/>
  <c r="G162"/>
  <c r="F112" i="23" s="1"/>
  <c r="F13" i="31" s="1"/>
  <c r="F162" i="7"/>
  <c r="N13" i="31" l="1"/>
  <c r="U16"/>
  <c r="R14"/>
  <c r="Q14"/>
  <c r="R15"/>
  <c r="Q15"/>
  <c r="AN13"/>
  <c r="Q114" i="23"/>
  <c r="R114"/>
  <c r="N112"/>
  <c r="P162" i="7"/>
  <c r="T162" s="1"/>
  <c r="G112" i="23"/>
  <c r="Q113"/>
  <c r="R113"/>
  <c r="U115"/>
  <c r="O162" i="7"/>
  <c r="J162"/>
  <c r="S162"/>
  <c r="AM162" s="1"/>
  <c r="Y161"/>
  <c r="X111" i="23" s="1"/>
  <c r="X12" i="31" s="1"/>
  <c r="X161" i="7"/>
  <c r="W111" i="23" s="1"/>
  <c r="W12" i="31" s="1"/>
  <c r="W161" i="7"/>
  <c r="N161"/>
  <c r="I161"/>
  <c r="H111" i="23" s="1"/>
  <c r="H161" i="7"/>
  <c r="G161"/>
  <c r="F161"/>
  <c r="Y160"/>
  <c r="X110" i="23" s="1"/>
  <c r="X11" i="31" s="1"/>
  <c r="X160" i="7"/>
  <c r="W110" i="23" s="1"/>
  <c r="W11" i="31" s="1"/>
  <c r="W160" i="7"/>
  <c r="N160"/>
  <c r="I160"/>
  <c r="H110" i="23" s="1"/>
  <c r="H160" i="7"/>
  <c r="G160"/>
  <c r="F160"/>
  <c r="Y159"/>
  <c r="X109" i="23" s="1"/>
  <c r="X10" i="31" s="1"/>
  <c r="X159" i="7"/>
  <c r="W109" i="23" s="1"/>
  <c r="W10" i="31" s="1"/>
  <c r="W159" i="7"/>
  <c r="P110" i="23" l="1"/>
  <c r="T110" s="1"/>
  <c r="AN110" s="1"/>
  <c r="H11" i="31"/>
  <c r="P11" s="1"/>
  <c r="T11" s="1"/>
  <c r="P111" i="23"/>
  <c r="T111" s="1"/>
  <c r="AN111" s="1"/>
  <c r="H12" i="31"/>
  <c r="P12" s="1"/>
  <c r="T12" s="1"/>
  <c r="U15"/>
  <c r="U14"/>
  <c r="O112" i="23"/>
  <c r="S112" s="1"/>
  <c r="G13" i="31"/>
  <c r="R13"/>
  <c r="AQ159" i="7"/>
  <c r="V109" i="23"/>
  <c r="V10" i="31" s="1"/>
  <c r="O160" i="7"/>
  <c r="F110" i="23"/>
  <c r="F11" i="31" s="1"/>
  <c r="AQ160" i="7"/>
  <c r="V110" i="23"/>
  <c r="V11" i="31" s="1"/>
  <c r="O161" i="7"/>
  <c r="S161" s="1"/>
  <c r="AM161" s="1"/>
  <c r="F111" i="23"/>
  <c r="F12" i="31" s="1"/>
  <c r="AQ161" i="7"/>
  <c r="V111" i="23"/>
  <c r="V12" i="31" s="1"/>
  <c r="R112" i="23"/>
  <c r="X107"/>
  <c r="W107"/>
  <c r="P160" i="7"/>
  <c r="T160" s="1"/>
  <c r="G110" i="23"/>
  <c r="P161" i="7"/>
  <c r="T161" s="1"/>
  <c r="G111" i="23"/>
  <c r="U113"/>
  <c r="U114"/>
  <c r="I112"/>
  <c r="S160" i="7"/>
  <c r="AM160" s="1"/>
  <c r="J160"/>
  <c r="Z160"/>
  <c r="J161"/>
  <c r="Z159"/>
  <c r="Z161"/>
  <c r="N159"/>
  <c r="I159"/>
  <c r="H159"/>
  <c r="G159"/>
  <c r="F159"/>
  <c r="X37" i="34" l="1"/>
  <c r="W37"/>
  <c r="O111" i="23"/>
  <c r="S111" s="1"/>
  <c r="G12" i="31"/>
  <c r="O12" s="1"/>
  <c r="S12" s="1"/>
  <c r="O110" i="23"/>
  <c r="S110" s="1"/>
  <c r="G11" i="31"/>
  <c r="O11" s="1"/>
  <c r="S11" s="1"/>
  <c r="Y12"/>
  <c r="I11"/>
  <c r="N11"/>
  <c r="Y10"/>
  <c r="N12"/>
  <c r="Y11"/>
  <c r="O13"/>
  <c r="I13"/>
  <c r="AN12"/>
  <c r="AN11"/>
  <c r="Q112" i="23"/>
  <c r="O159" i="7"/>
  <c r="S159" s="1"/>
  <c r="AM159" s="1"/>
  <c r="F109" i="23"/>
  <c r="F10" i="31" s="1"/>
  <c r="Q159" i="7"/>
  <c r="H109" i="23"/>
  <c r="H10" i="31" s="1"/>
  <c r="P10" s="1"/>
  <c r="P159" i="7"/>
  <c r="T159" s="1"/>
  <c r="G109" i="23"/>
  <c r="G10" i="31" s="1"/>
  <c r="O10" s="1"/>
  <c r="U112" i="23"/>
  <c r="Y111"/>
  <c r="I111"/>
  <c r="N111"/>
  <c r="Y110"/>
  <c r="N110"/>
  <c r="I110"/>
  <c r="Y109"/>
  <c r="V107"/>
  <c r="J159" i="7"/>
  <c r="X158"/>
  <c r="W8" i="31" s="1"/>
  <c r="W158" i="7"/>
  <c r="V8" i="31" s="1"/>
  <c r="V39" s="1"/>
  <c r="M158" i="7"/>
  <c r="L8" i="31" s="1"/>
  <c r="L39" s="1"/>
  <c r="L41" s="1"/>
  <c r="L158" i="7"/>
  <c r="K8" i="31" s="1"/>
  <c r="K39" s="1"/>
  <c r="K41" s="1"/>
  <c r="K158" i="7"/>
  <c r="J8" i="31" s="1"/>
  <c r="J39" s="1"/>
  <c r="J41" s="1"/>
  <c r="J158" i="7"/>
  <c r="I158"/>
  <c r="H8" i="31" s="1"/>
  <c r="H158" i="7"/>
  <c r="G8" i="31" s="1"/>
  <c r="G158" i="7"/>
  <c r="F8" i="31" s="1"/>
  <c r="F158" i="7"/>
  <c r="E158"/>
  <c r="D158"/>
  <c r="C158"/>
  <c r="BP158" s="1"/>
  <c r="AQ157"/>
  <c r="AG157"/>
  <c r="AF157"/>
  <c r="AE157"/>
  <c r="AD157"/>
  <c r="Z157"/>
  <c r="Q157"/>
  <c r="P157"/>
  <c r="O157"/>
  <c r="S157" s="1"/>
  <c r="AM157" s="1"/>
  <c r="N157"/>
  <c r="J157"/>
  <c r="F157"/>
  <c r="C8" i="31" l="1"/>
  <c r="C39" s="1"/>
  <c r="C41" s="1"/>
  <c r="BQ158" i="7"/>
  <c r="D8" i="31"/>
  <c r="D39" s="1"/>
  <c r="D41" s="1"/>
  <c r="BR158" i="7"/>
  <c r="I12" i="31"/>
  <c r="V106" i="23"/>
  <c r="V41" i="31" s="1"/>
  <c r="V37" i="34"/>
  <c r="B107" i="23"/>
  <c r="B8" i="31"/>
  <c r="B39" s="1"/>
  <c r="R159" i="7"/>
  <c r="Y107" i="23"/>
  <c r="S10" i="31"/>
  <c r="O8"/>
  <c r="T10"/>
  <c r="P8"/>
  <c r="I10"/>
  <c r="N10"/>
  <c r="S13"/>
  <c r="Q13"/>
  <c r="R12"/>
  <c r="Q12"/>
  <c r="R11"/>
  <c r="Q11"/>
  <c r="Y8"/>
  <c r="Q110" i="23"/>
  <c r="R110"/>
  <c r="Q111"/>
  <c r="R111"/>
  <c r="O109"/>
  <c r="G107"/>
  <c r="P109"/>
  <c r="H107"/>
  <c r="I109"/>
  <c r="I107" s="1"/>
  <c r="N109"/>
  <c r="F107"/>
  <c r="AH157" i="7"/>
  <c r="P158"/>
  <c r="T158" s="1"/>
  <c r="R157"/>
  <c r="F318"/>
  <c r="C318"/>
  <c r="E318"/>
  <c r="D318" s="1"/>
  <c r="K318"/>
  <c r="P318"/>
  <c r="G318"/>
  <c r="I318"/>
  <c r="X318"/>
  <c r="H318"/>
  <c r="J318"/>
  <c r="W318"/>
  <c r="AQ158"/>
  <c r="O158"/>
  <c r="Q158"/>
  <c r="Y156"/>
  <c r="X104" i="23" s="1"/>
  <c r="X27" i="30" s="1"/>
  <c r="X156" i="7"/>
  <c r="W104" i="23" s="1"/>
  <c r="W27" i="30" s="1"/>
  <c r="W156" i="7"/>
  <c r="N156"/>
  <c r="I156"/>
  <c r="H156"/>
  <c r="G104" i="23" s="1"/>
  <c r="G156" i="7"/>
  <c r="F156"/>
  <c r="Y155"/>
  <c r="X103" i="23" s="1"/>
  <c r="X26" i="30" s="1"/>
  <c r="X155" i="7"/>
  <c r="W103" i="23" s="1"/>
  <c r="W26" i="30" s="1"/>
  <c r="W155" i="7"/>
  <c r="V103" i="23" s="1"/>
  <c r="V26" i="30" s="1"/>
  <c r="N155" i="7"/>
  <c r="I155"/>
  <c r="H155"/>
  <c r="G103" i="23" s="1"/>
  <c r="G26" i="30" s="1"/>
  <c r="G155" i="7"/>
  <c r="F155"/>
  <c r="I8" i="31" l="1"/>
  <c r="Y37" i="34"/>
  <c r="B106" i="23"/>
  <c r="B37" i="34"/>
  <c r="E37" s="1"/>
  <c r="H37"/>
  <c r="G37"/>
  <c r="F37"/>
  <c r="V36"/>
  <c r="O104" i="23"/>
  <c r="G27" i="30"/>
  <c r="U11" i="31"/>
  <c r="U12"/>
  <c r="U13"/>
  <c r="AN10"/>
  <c r="T8"/>
  <c r="S8"/>
  <c r="Y26" i="30"/>
  <c r="R10" i="31"/>
  <c r="Q10"/>
  <c r="Q8" s="1"/>
  <c r="N8"/>
  <c r="O103" i="23"/>
  <c r="O26" i="30" s="1"/>
  <c r="S26" s="1"/>
  <c r="G101" i="23"/>
  <c r="G34" i="34" s="1"/>
  <c r="O34" s="1"/>
  <c r="S34" s="1"/>
  <c r="W101" i="23"/>
  <c r="W34" i="34" s="1"/>
  <c r="Q109" i="23"/>
  <c r="Q107" s="1"/>
  <c r="R109"/>
  <c r="N107"/>
  <c r="U111"/>
  <c r="O155" i="7"/>
  <c r="F103" i="23"/>
  <c r="F26" i="30" s="1"/>
  <c r="Q155" i="7"/>
  <c r="H103" i="23"/>
  <c r="H26" i="30" s="1"/>
  <c r="Y103" i="23"/>
  <c r="X101"/>
  <c r="X34" i="34" s="1"/>
  <c r="O156" i="7"/>
  <c r="F104" i="23"/>
  <c r="F27" i="30" s="1"/>
  <c r="Q156" i="7"/>
  <c r="H104" i="23"/>
  <c r="AQ156" i="7"/>
  <c r="V104" i="23"/>
  <c r="V27" i="30" s="1"/>
  <c r="T109" i="23"/>
  <c r="P107"/>
  <c r="S109"/>
  <c r="O107"/>
  <c r="U110"/>
  <c r="P156" i="7"/>
  <c r="P155"/>
  <c r="R155" s="1"/>
  <c r="Z155"/>
  <c r="S156"/>
  <c r="AM156" s="1"/>
  <c r="N158"/>
  <c r="O318"/>
  <c r="S158"/>
  <c r="AM158" s="1"/>
  <c r="R158"/>
  <c r="T318"/>
  <c r="J155"/>
  <c r="AQ155"/>
  <c r="Q318"/>
  <c r="U158"/>
  <c r="J156"/>
  <c r="Z156"/>
  <c r="I37" i="34" l="1"/>
  <c r="B36"/>
  <c r="E36" s="1"/>
  <c r="N37"/>
  <c r="O37"/>
  <c r="S37" s="1"/>
  <c r="P37"/>
  <c r="T37" s="1"/>
  <c r="AM26" i="30"/>
  <c r="S104" i="23"/>
  <c r="AM104" s="1"/>
  <c r="O27" i="30"/>
  <c r="S27" s="1"/>
  <c r="Y27"/>
  <c r="Y24" s="1"/>
  <c r="P104" i="23"/>
  <c r="H27" i="30"/>
  <c r="I27" s="1"/>
  <c r="U10" i="31"/>
  <c r="R8"/>
  <c r="R156" i="7"/>
  <c r="I26" i="30"/>
  <c r="Y104" i="23"/>
  <c r="N104"/>
  <c r="N27" i="30" s="1"/>
  <c r="I104" i="23"/>
  <c r="S103"/>
  <c r="O101"/>
  <c r="V101"/>
  <c r="V34" i="34" s="1"/>
  <c r="Y101" i="23"/>
  <c r="S107"/>
  <c r="AN109"/>
  <c r="T107"/>
  <c r="P103"/>
  <c r="P26" i="30" s="1"/>
  <c r="T26" s="1"/>
  <c r="H101" i="23"/>
  <c r="H34" i="34" s="1"/>
  <c r="P34" s="1"/>
  <c r="T34" s="1"/>
  <c r="I103" i="23"/>
  <c r="I101" s="1"/>
  <c r="N103"/>
  <c r="N26" i="30" s="1"/>
  <c r="F101" i="23"/>
  <c r="F34" i="34" s="1"/>
  <c r="U109" i="23"/>
  <c r="R107"/>
  <c r="N318" i="7"/>
  <c r="M318" s="1"/>
  <c r="L318" s="1"/>
  <c r="S318"/>
  <c r="V158"/>
  <c r="U318"/>
  <c r="R318"/>
  <c r="Y34" i="34" l="1"/>
  <c r="I34"/>
  <c r="Q37"/>
  <c r="N34"/>
  <c r="Q34" s="1"/>
  <c r="R37"/>
  <c r="AN26" i="30"/>
  <c r="AM27"/>
  <c r="R26"/>
  <c r="Q26"/>
  <c r="R27"/>
  <c r="AL8" i="31"/>
  <c r="U8"/>
  <c r="T104" i="23"/>
  <c r="AN104" s="1"/>
  <c r="P27" i="30"/>
  <c r="T27" s="1"/>
  <c r="S24"/>
  <c r="AL107" i="23"/>
  <c r="I24" i="30"/>
  <c r="T103" i="23"/>
  <c r="P101"/>
  <c r="AM103"/>
  <c r="S101"/>
  <c r="Q104"/>
  <c r="R104"/>
  <c r="U107"/>
  <c r="Q103"/>
  <c r="R103"/>
  <c r="N101"/>
  <c r="V318" i="7"/>
  <c r="U37" i="34" l="1"/>
  <c r="AL37"/>
  <c r="AN27" i="30"/>
  <c r="U27"/>
  <c r="AO27" s="1"/>
  <c r="U26"/>
  <c r="R24"/>
  <c r="Q27"/>
  <c r="Q24" s="1"/>
  <c r="T24"/>
  <c r="Q101" i="23"/>
  <c r="U104"/>
  <c r="AO104" s="1"/>
  <c r="AN103"/>
  <c r="T101"/>
  <c r="U103"/>
  <c r="R101"/>
  <c r="N154" i="7"/>
  <c r="M154"/>
  <c r="L24" i="30" s="1"/>
  <c r="L154" i="7"/>
  <c r="K24" i="30" s="1"/>
  <c r="K154" i="7"/>
  <c r="J24" i="30" s="1"/>
  <c r="J154" i="7"/>
  <c r="I154"/>
  <c r="H24" i="30" s="1"/>
  <c r="H154" i="7"/>
  <c r="G24" i="30" s="1"/>
  <c r="G154" i="7"/>
  <c r="F24" i="30" s="1"/>
  <c r="F154" i="7"/>
  <c r="F317" s="1"/>
  <c r="E154"/>
  <c r="D154"/>
  <c r="C154"/>
  <c r="BP154" s="1"/>
  <c r="AQ153"/>
  <c r="AG153"/>
  <c r="AF153"/>
  <c r="AH153" s="1"/>
  <c r="AE153"/>
  <c r="AD153"/>
  <c r="Z153"/>
  <c r="Q153"/>
  <c r="P153"/>
  <c r="O153"/>
  <c r="S153" s="1"/>
  <c r="AM153" s="1"/>
  <c r="N153"/>
  <c r="J153"/>
  <c r="F153"/>
  <c r="D24" i="30" l="1"/>
  <c r="BR154" i="7"/>
  <c r="C24" i="30"/>
  <c r="BQ154" i="7"/>
  <c r="B101" i="23"/>
  <c r="B34" i="34" s="1"/>
  <c r="E34" s="1"/>
  <c r="B24" i="30"/>
  <c r="AL24"/>
  <c r="AO26"/>
  <c r="U24"/>
  <c r="AO103" i="23"/>
  <c r="U101"/>
  <c r="R153" i="7"/>
  <c r="D317"/>
  <c r="L317"/>
  <c r="N317"/>
  <c r="C317"/>
  <c r="E317"/>
  <c r="K317"/>
  <c r="M317"/>
  <c r="G317"/>
  <c r="I317"/>
  <c r="O154"/>
  <c r="N24" i="30" s="1"/>
  <c r="Q154" i="7"/>
  <c r="P24" i="30" s="1"/>
  <c r="H317" i="7"/>
  <c r="J317"/>
  <c r="P154"/>
  <c r="O24" i="30" s="1"/>
  <c r="R34" i="34" l="1"/>
  <c r="P317" i="7"/>
  <c r="O317"/>
  <c r="S154"/>
  <c r="AM154" s="1"/>
  <c r="R154"/>
  <c r="Q317"/>
  <c r="U154"/>
  <c r="AO154" s="1"/>
  <c r="Y152"/>
  <c r="X99" i="23" s="1"/>
  <c r="X22" i="30" s="1"/>
  <c r="X152" i="7"/>
  <c r="W99" i="23" s="1"/>
  <c r="W22" i="30" s="1"/>
  <c r="W152" i="7"/>
  <c r="N152"/>
  <c r="U34" i="34" l="1"/>
  <c r="AL34"/>
  <c r="AQ152" i="7"/>
  <c r="V99" i="23"/>
  <c r="V22" i="30" s="1"/>
  <c r="R317" i="7"/>
  <c r="T154"/>
  <c r="U317"/>
  <c r="S317"/>
  <c r="Z152"/>
  <c r="Y22" i="30" l="1"/>
  <c r="Y99" i="23"/>
  <c r="V154" i="7"/>
  <c r="AP154" s="1"/>
  <c r="AN154"/>
  <c r="AL101" i="23"/>
  <c r="T317" i="7"/>
  <c r="I152"/>
  <c r="H99" i="23" s="1"/>
  <c r="H152" i="7"/>
  <c r="G152"/>
  <c r="F99" i="23" s="1"/>
  <c r="F22" i="30" s="1"/>
  <c r="F152" i="7"/>
  <c r="V317" l="1"/>
  <c r="P99" i="23"/>
  <c r="H22" i="30"/>
  <c r="N99" i="23"/>
  <c r="N22" i="30" s="1"/>
  <c r="P152" i="7"/>
  <c r="T152" s="1"/>
  <c r="G99" i="23"/>
  <c r="O152" i="7"/>
  <c r="J152"/>
  <c r="Y151"/>
  <c r="X98" i="23" s="1"/>
  <c r="X21" i="30" s="1"/>
  <c r="X151" i="7"/>
  <c r="W98" i="23" s="1"/>
  <c r="W21" i="30" s="1"/>
  <c r="W151" i="7"/>
  <c r="T99" i="23" l="1"/>
  <c r="AN99" s="1"/>
  <c r="P22" i="30"/>
  <c r="T22" s="1"/>
  <c r="O99" i="23"/>
  <c r="Q99" s="1"/>
  <c r="G22" i="30"/>
  <c r="I22" s="1"/>
  <c r="R22"/>
  <c r="R99" i="23"/>
  <c r="AQ151" i="7"/>
  <c r="V98" i="23"/>
  <c r="V21" i="30" s="1"/>
  <c r="I99" i="23"/>
  <c r="S152" i="7"/>
  <c r="AM152" s="1"/>
  <c r="Z151"/>
  <c r="N151"/>
  <c r="I151"/>
  <c r="H98" i="23" s="1"/>
  <c r="H151" i="7"/>
  <c r="G151"/>
  <c r="F151"/>
  <c r="Y150"/>
  <c r="X97" i="23" s="1"/>
  <c r="X20" i="30" s="1"/>
  <c r="X150" i="7"/>
  <c r="W97" i="23" s="1"/>
  <c r="W20" i="30" s="1"/>
  <c r="W150" i="7"/>
  <c r="N150"/>
  <c r="P98" i="23" l="1"/>
  <c r="H21" i="30"/>
  <c r="S99" i="23"/>
  <c r="U99" s="1"/>
  <c r="O22" i="30"/>
  <c r="Y21"/>
  <c r="AN22"/>
  <c r="AQ150" i="7"/>
  <c r="V97" i="23"/>
  <c r="V20" i="30" s="1"/>
  <c r="O151" i="7"/>
  <c r="S151" s="1"/>
  <c r="AM151" s="1"/>
  <c r="F98" i="23"/>
  <c r="F21" i="30" s="1"/>
  <c r="Y98" i="23"/>
  <c r="P151" i="7"/>
  <c r="T151" s="1"/>
  <c r="G98" i="23"/>
  <c r="Z150" i="7"/>
  <c r="J151"/>
  <c r="I150"/>
  <c r="H97" i="23" s="1"/>
  <c r="H150" i="7"/>
  <c r="G150"/>
  <c r="F97" i="23" s="1"/>
  <c r="F20" i="30" s="1"/>
  <c r="F150" i="7"/>
  <c r="Y149"/>
  <c r="X96" i="23" s="1"/>
  <c r="X19" i="30" s="1"/>
  <c r="X149" i="7"/>
  <c r="W96" i="23" s="1"/>
  <c r="W19" i="30" s="1"/>
  <c r="W149" i="7"/>
  <c r="N149"/>
  <c r="P97" i="23" l="1"/>
  <c r="H20" i="30"/>
  <c r="T98" i="23"/>
  <c r="AN98" s="1"/>
  <c r="P21" i="30"/>
  <c r="T21" s="1"/>
  <c r="O98" i="23"/>
  <c r="G21" i="30"/>
  <c r="Y20"/>
  <c r="S22"/>
  <c r="Q22"/>
  <c r="I21"/>
  <c r="P150" i="7"/>
  <c r="T150" s="1"/>
  <c r="G97" i="23"/>
  <c r="AQ149" i="7"/>
  <c r="V96" i="23"/>
  <c r="V19" i="30" s="1"/>
  <c r="N97" i="23"/>
  <c r="N20" i="30" s="1"/>
  <c r="I97" i="23"/>
  <c r="I98"/>
  <c r="N98"/>
  <c r="N21" i="30" s="1"/>
  <c r="Y97" i="23"/>
  <c r="O150" i="7"/>
  <c r="J150"/>
  <c r="Z149"/>
  <c r="I149"/>
  <c r="H96" i="23" s="1"/>
  <c r="H149" i="7"/>
  <c r="G149"/>
  <c r="F96" i="23" s="1"/>
  <c r="F19" i="30" s="1"/>
  <c r="F149" i="7"/>
  <c r="R21" i="30" l="1"/>
  <c r="R20"/>
  <c r="U22"/>
  <c r="S98" i="23"/>
  <c r="O21" i="30"/>
  <c r="S21" s="1"/>
  <c r="T97" i="23"/>
  <c r="AN97" s="1"/>
  <c r="P20" i="30"/>
  <c r="T20" s="1"/>
  <c r="P96" i="23"/>
  <c r="H19" i="30"/>
  <c r="Y19"/>
  <c r="O97" i="23"/>
  <c r="Q97" s="1"/>
  <c r="G20" i="30"/>
  <c r="I20" s="1"/>
  <c r="AN21"/>
  <c r="N96" i="23"/>
  <c r="N19" i="30" s="1"/>
  <c r="Q98" i="23"/>
  <c r="R98"/>
  <c r="Y96"/>
  <c r="P149" i="7"/>
  <c r="T149" s="1"/>
  <c r="G96" i="23"/>
  <c r="R97"/>
  <c r="O149" i="7"/>
  <c r="J149"/>
  <c r="S150"/>
  <c r="AM150" s="1"/>
  <c r="Y148"/>
  <c r="X95" i="23" s="1"/>
  <c r="X18" i="30" s="1"/>
  <c r="X148" i="7"/>
  <c r="W95" i="23" s="1"/>
  <c r="W18" i="30" s="1"/>
  <c r="W148" i="7"/>
  <c r="AN20" i="30" l="1"/>
  <c r="O96" i="23"/>
  <c r="G19" i="30"/>
  <c r="I19" s="1"/>
  <c r="R19"/>
  <c r="S97" i="23"/>
  <c r="U97" s="1"/>
  <c r="O20" i="30"/>
  <c r="T96" i="23"/>
  <c r="AN96" s="1"/>
  <c r="P19" i="30"/>
  <c r="T19" s="1"/>
  <c r="U21"/>
  <c r="Q21"/>
  <c r="I96" i="23"/>
  <c r="AQ148" i="7"/>
  <c r="V95" i="23"/>
  <c r="V18" i="30" s="1"/>
  <c r="U98" i="23"/>
  <c r="R96"/>
  <c r="S149" i="7"/>
  <c r="AM149" s="1"/>
  <c r="Z148"/>
  <c r="N148"/>
  <c r="Y18" i="30" l="1"/>
  <c r="S96" i="23"/>
  <c r="O19" i="30"/>
  <c r="AN19"/>
  <c r="S20"/>
  <c r="Q20"/>
  <c r="Q96" i="23"/>
  <c r="U96"/>
  <c r="Y95"/>
  <c r="I148" i="7"/>
  <c r="H95" i="23" s="1"/>
  <c r="H148" i="7"/>
  <c r="G148"/>
  <c r="F95" i="23" s="1"/>
  <c r="F18" i="30" s="1"/>
  <c r="F148" i="7"/>
  <c r="P95" i="23" l="1"/>
  <c r="H18" i="30"/>
  <c r="U20"/>
  <c r="S19"/>
  <c r="Q19"/>
  <c r="N95" i="23"/>
  <c r="N18" i="30" s="1"/>
  <c r="P148" i="7"/>
  <c r="T148" s="1"/>
  <c r="G95" i="23"/>
  <c r="O148" i="7"/>
  <c r="J148"/>
  <c r="Y147"/>
  <c r="X94" i="23" s="1"/>
  <c r="X17" i="30" s="1"/>
  <c r="X147" i="7"/>
  <c r="W94" i="23" s="1"/>
  <c r="W17" i="30" s="1"/>
  <c r="W147" i="7"/>
  <c r="T95" i="23" l="1"/>
  <c r="AN95" s="1"/>
  <c r="P18" i="30"/>
  <c r="T18" s="1"/>
  <c r="O95" i="23"/>
  <c r="Q95" s="1"/>
  <c r="G18" i="30"/>
  <c r="I18" s="1"/>
  <c r="R18"/>
  <c r="U19"/>
  <c r="W92" i="23"/>
  <c r="W33" i="34" s="1"/>
  <c r="I95" i="23"/>
  <c r="AQ147" i="7"/>
  <c r="V94" i="23"/>
  <c r="V17" i="30" s="1"/>
  <c r="X92" i="23"/>
  <c r="X33" i="34" s="1"/>
  <c r="R95" i="23"/>
  <c r="S148" i="7"/>
  <c r="AM148" s="1"/>
  <c r="Z147"/>
  <c r="N147"/>
  <c r="I147"/>
  <c r="Y17" i="30" l="1"/>
  <c r="Y15" s="1"/>
  <c r="S95" i="23"/>
  <c r="U95" s="1"/>
  <c r="O18" i="30"/>
  <c r="AN18"/>
  <c r="Q147" i="7"/>
  <c r="H94" i="23"/>
  <c r="H17" i="30" s="1"/>
  <c r="Y94" i="23"/>
  <c r="Y92" s="1"/>
  <c r="V92"/>
  <c r="V33" i="34" s="1"/>
  <c r="H147" i="7"/>
  <c r="G147"/>
  <c r="F94" i="23" s="1"/>
  <c r="F17" i="30" s="1"/>
  <c r="F147" i="7"/>
  <c r="Y33" i="34" l="1"/>
  <c r="S18" i="30"/>
  <c r="Q18"/>
  <c r="N94" i="23"/>
  <c r="N17" i="30" s="1"/>
  <c r="F92" i="23"/>
  <c r="F33" i="34" s="1"/>
  <c r="P147" i="7"/>
  <c r="T147" s="1"/>
  <c r="G94" i="23"/>
  <c r="P94"/>
  <c r="P17" i="30" s="1"/>
  <c r="T17" s="1"/>
  <c r="H92" i="23"/>
  <c r="H33" i="34" s="1"/>
  <c r="P33" s="1"/>
  <c r="T33" s="1"/>
  <c r="O147" i="7"/>
  <c r="J147"/>
  <c r="N33" i="34" l="1"/>
  <c r="AN17" i="30"/>
  <c r="T15"/>
  <c r="R17"/>
  <c r="U18"/>
  <c r="I94" i="23"/>
  <c r="I92" s="1"/>
  <c r="G17" i="30"/>
  <c r="I17" s="1"/>
  <c r="I15" s="1"/>
  <c r="T94" i="23"/>
  <c r="P92"/>
  <c r="O94"/>
  <c r="O17" i="30" s="1"/>
  <c r="S17" s="1"/>
  <c r="G92" i="23"/>
  <c r="G33" i="34" s="1"/>
  <c r="I33" s="1"/>
  <c r="Q94" i="23"/>
  <c r="Q92" s="1"/>
  <c r="R94"/>
  <c r="N92"/>
  <c r="S147" i="7"/>
  <c r="AM147" s="1"/>
  <c r="R147"/>
  <c r="O33" i="34" l="1"/>
  <c r="S33" s="1"/>
  <c r="S15" i="30"/>
  <c r="U17"/>
  <c r="R15"/>
  <c r="Q17"/>
  <c r="Q15" s="1"/>
  <c r="S94" i="23"/>
  <c r="O92"/>
  <c r="AN94"/>
  <c r="T92"/>
  <c r="U94"/>
  <c r="R92"/>
  <c r="Y146" i="7"/>
  <c r="X15" i="30" s="1"/>
  <c r="X146" i="7"/>
  <c r="W15" i="30" s="1"/>
  <c r="W146" i="7"/>
  <c r="V15" i="30" s="1"/>
  <c r="M146" i="7"/>
  <c r="L15" i="30" s="1"/>
  <c r="L146" i="7"/>
  <c r="K15" i="30" s="1"/>
  <c r="K146" i="7"/>
  <c r="J15" i="30" s="1"/>
  <c r="I146" i="7"/>
  <c r="H15" i="30" s="1"/>
  <c r="H146" i="7"/>
  <c r="G15" i="30" s="1"/>
  <c r="G146" i="7"/>
  <c r="F15" i="30" s="1"/>
  <c r="F146" i="7"/>
  <c r="F316" s="1"/>
  <c r="E146"/>
  <c r="D146"/>
  <c r="C146"/>
  <c r="BP146" s="1"/>
  <c r="AQ145"/>
  <c r="AG145"/>
  <c r="AF145"/>
  <c r="AE145"/>
  <c r="AD145"/>
  <c r="Z145"/>
  <c r="Q145"/>
  <c r="P145"/>
  <c r="O145"/>
  <c r="S145" s="1"/>
  <c r="AM145" s="1"/>
  <c r="N145"/>
  <c r="J145"/>
  <c r="F145"/>
  <c r="W90" i="23"/>
  <c r="W13" i="30" s="1"/>
  <c r="N144" i="7"/>
  <c r="I144"/>
  <c r="H90" i="23" s="1"/>
  <c r="H144" i="7"/>
  <c r="G144"/>
  <c r="F144"/>
  <c r="Y143"/>
  <c r="X89" i="23" s="1"/>
  <c r="X12" i="30" s="1"/>
  <c r="X143" i="7"/>
  <c r="W89" i="23" s="1"/>
  <c r="W12" i="30" s="1"/>
  <c r="W143" i="7"/>
  <c r="N143"/>
  <c r="I143"/>
  <c r="H89" i="23" s="1"/>
  <c r="H143" i="7"/>
  <c r="G143"/>
  <c r="F143"/>
  <c r="Y142"/>
  <c r="X88" i="23" s="1"/>
  <c r="X11" i="30" s="1"/>
  <c r="X142" i="7"/>
  <c r="W88" i="23" s="1"/>
  <c r="W11" i="30" s="1"/>
  <c r="W142" i="7"/>
  <c r="N142"/>
  <c r="I142"/>
  <c r="H88" i="23" s="1"/>
  <c r="H142" i="7"/>
  <c r="G142"/>
  <c r="F142"/>
  <c r="Y141"/>
  <c r="X87" i="23" s="1"/>
  <c r="X10" i="30" s="1"/>
  <c r="X141" i="7"/>
  <c r="W87" i="23" s="1"/>
  <c r="W10" i="30" s="1"/>
  <c r="W141" i="7"/>
  <c r="N141"/>
  <c r="I141"/>
  <c r="H141"/>
  <c r="G141"/>
  <c r="F141"/>
  <c r="Q33" i="34" l="1"/>
  <c r="C15" i="30"/>
  <c r="BQ146" i="7"/>
  <c r="D15" i="30"/>
  <c r="BR146" i="7"/>
  <c r="B92" i="23"/>
  <c r="B33" i="34" s="1"/>
  <c r="E33" s="1"/>
  <c r="B15" i="30"/>
  <c r="U15"/>
  <c r="P88" i="23"/>
  <c r="H11" i="30"/>
  <c r="P89" i="23"/>
  <c r="H12" i="30"/>
  <c r="P90" i="23"/>
  <c r="H13" i="30"/>
  <c r="AL15"/>
  <c r="O141" i="7"/>
  <c r="S141" s="1"/>
  <c r="AM141" s="1"/>
  <c r="F87" i="23"/>
  <c r="F10" i="30" s="1"/>
  <c r="AQ141" i="7"/>
  <c r="V87" i="23"/>
  <c r="V10" i="30" s="1"/>
  <c r="O142" i="7"/>
  <c r="S142" s="1"/>
  <c r="AM142" s="1"/>
  <c r="F88" i="23"/>
  <c r="F11" i="30" s="1"/>
  <c r="AQ142" i="7"/>
  <c r="V88" i="23"/>
  <c r="V11" i="30" s="1"/>
  <c r="O143" i="7"/>
  <c r="S143" s="1"/>
  <c r="AM143" s="1"/>
  <c r="F89" i="23"/>
  <c r="F12" i="30" s="1"/>
  <c r="AQ143" i="7"/>
  <c r="V89" i="23"/>
  <c r="V12" i="30" s="1"/>
  <c r="O144" i="7"/>
  <c r="S144" s="1"/>
  <c r="AM144" s="1"/>
  <c r="F90" i="23"/>
  <c r="F13" i="30" s="1"/>
  <c r="AQ144" i="7"/>
  <c r="V90" i="23"/>
  <c r="V13" i="30" s="1"/>
  <c r="S92" i="23"/>
  <c r="Q141" i="7"/>
  <c r="H87" i="23"/>
  <c r="H10" i="30" s="1"/>
  <c r="X85" i="23"/>
  <c r="P141" i="7"/>
  <c r="T141" s="1"/>
  <c r="G87" i="23"/>
  <c r="G10" i="30" s="1"/>
  <c r="W85" i="23"/>
  <c r="P142" i="7"/>
  <c r="T142" s="1"/>
  <c r="G88" i="23"/>
  <c r="P143" i="7"/>
  <c r="T143" s="1"/>
  <c r="G89" i="23"/>
  <c r="P144" i="7"/>
  <c r="T144" s="1"/>
  <c r="G90" i="23"/>
  <c r="U92"/>
  <c r="R145" i="7"/>
  <c r="AH145"/>
  <c r="C316"/>
  <c r="E316"/>
  <c r="L316"/>
  <c r="D316"/>
  <c r="J146"/>
  <c r="J316" s="1"/>
  <c r="K316"/>
  <c r="M316"/>
  <c r="H316"/>
  <c r="X316"/>
  <c r="Z141"/>
  <c r="Z142"/>
  <c r="Z143"/>
  <c r="Z144"/>
  <c r="P146"/>
  <c r="O15" i="30" s="1"/>
  <c r="G316" i="7"/>
  <c r="I316"/>
  <c r="W316"/>
  <c r="AQ146"/>
  <c r="Z146"/>
  <c r="J141"/>
  <c r="J142"/>
  <c r="J143"/>
  <c r="J144"/>
  <c r="O146"/>
  <c r="N15" i="30" s="1"/>
  <c r="Q146" i="7"/>
  <c r="P15" i="30" s="1"/>
  <c r="Y140" i="7"/>
  <c r="X8" i="30" s="1"/>
  <c r="X140" i="7"/>
  <c r="W8" i="30" s="1"/>
  <c r="W140" i="7"/>
  <c r="V8" i="30" s="1"/>
  <c r="N140" i="7"/>
  <c r="M140"/>
  <c r="L8" i="30" s="1"/>
  <c r="L28" s="1"/>
  <c r="L30" s="1"/>
  <c r="L140" i="7"/>
  <c r="K8" i="30" s="1"/>
  <c r="K28" s="1"/>
  <c r="K30" s="1"/>
  <c r="K140" i="7"/>
  <c r="J8" i="30" s="1"/>
  <c r="J28" s="1"/>
  <c r="J30" s="1"/>
  <c r="I140" i="7"/>
  <c r="H8" i="30" s="1"/>
  <c r="H28" s="1"/>
  <c r="H140" i="7"/>
  <c r="G8" i="30" s="1"/>
  <c r="G28" s="1"/>
  <c r="G140" i="7"/>
  <c r="F8" i="30" s="1"/>
  <c r="F28" s="1"/>
  <c r="F140" i="7"/>
  <c r="E140"/>
  <c r="D140"/>
  <c r="C140"/>
  <c r="BP140" s="1"/>
  <c r="AQ139"/>
  <c r="AG139"/>
  <c r="AF139"/>
  <c r="AE139"/>
  <c r="AD139"/>
  <c r="Z139"/>
  <c r="Q139"/>
  <c r="P139"/>
  <c r="O139"/>
  <c r="S139" s="1"/>
  <c r="AM139" s="1"/>
  <c r="N139"/>
  <c r="J139"/>
  <c r="F139"/>
  <c r="D8" i="30" l="1"/>
  <c r="D28" s="1"/>
  <c r="D30" s="1"/>
  <c r="BR140" i="7"/>
  <c r="C8" i="30"/>
  <c r="C28" s="1"/>
  <c r="C30" s="1"/>
  <c r="BQ140" i="7"/>
  <c r="R33" i="34"/>
  <c r="X84" i="23"/>
  <c r="X32" i="34"/>
  <c r="W84" i="23"/>
  <c r="W32" i="34"/>
  <c r="B85" i="23"/>
  <c r="B8" i="30"/>
  <c r="B28" s="1"/>
  <c r="R141" i="7"/>
  <c r="Y13" i="30"/>
  <c r="Y11"/>
  <c r="Y10"/>
  <c r="T90" i="23"/>
  <c r="AN90" s="1"/>
  <c r="P13" i="30"/>
  <c r="T13" s="1"/>
  <c r="T89" i="23"/>
  <c r="AN89" s="1"/>
  <c r="P12" i="30"/>
  <c r="T12" s="1"/>
  <c r="T88" i="23"/>
  <c r="P11" i="30"/>
  <c r="T11" s="1"/>
  <c r="O90" i="23"/>
  <c r="G13" i="30"/>
  <c r="O89" i="23"/>
  <c r="G12" i="30"/>
  <c r="O88" i="23"/>
  <c r="G11" i="30"/>
  <c r="I11" s="1"/>
  <c r="Y12"/>
  <c r="I12"/>
  <c r="I10"/>
  <c r="I13"/>
  <c r="O87" i="23"/>
  <c r="O10" i="30" s="1"/>
  <c r="S10" s="1"/>
  <c r="G85" i="23"/>
  <c r="P87"/>
  <c r="P10" i="30" s="1"/>
  <c r="T10" s="1"/>
  <c r="H85" i="23"/>
  <c r="Y90"/>
  <c r="N90"/>
  <c r="N13" i="30" s="1"/>
  <c r="I90" i="23"/>
  <c r="Y89"/>
  <c r="I89"/>
  <c r="N89"/>
  <c r="N12" i="30" s="1"/>
  <c r="Y88" i="23"/>
  <c r="N88"/>
  <c r="N11" i="30" s="1"/>
  <c r="I88" i="23"/>
  <c r="Y87"/>
  <c r="V85"/>
  <c r="I87"/>
  <c r="N87"/>
  <c r="N10" i="30" s="1"/>
  <c r="F85" i="23"/>
  <c r="O140" i="7"/>
  <c r="Q140"/>
  <c r="Y315"/>
  <c r="R139"/>
  <c r="AH139"/>
  <c r="X315"/>
  <c r="C315"/>
  <c r="J140"/>
  <c r="J315" s="1"/>
  <c r="K315"/>
  <c r="M315"/>
  <c r="L315"/>
  <c r="N315"/>
  <c r="D315"/>
  <c r="E315"/>
  <c r="H315"/>
  <c r="W315"/>
  <c r="AQ140"/>
  <c r="Q316"/>
  <c r="U146"/>
  <c r="AO146" s="1"/>
  <c r="P316"/>
  <c r="O316" s="1"/>
  <c r="T146"/>
  <c r="U140"/>
  <c r="G315"/>
  <c r="F315" s="1"/>
  <c r="I315"/>
  <c r="N146"/>
  <c r="S146"/>
  <c r="AM146" s="1"/>
  <c r="R146"/>
  <c r="Z316"/>
  <c r="Y316" s="1"/>
  <c r="P140"/>
  <c r="O8" i="30" s="1"/>
  <c r="O28" s="1"/>
  <c r="Z140" i="7"/>
  <c r="Z315" s="1"/>
  <c r="Y138"/>
  <c r="X53" i="23" s="1"/>
  <c r="X42" i="29" s="1"/>
  <c r="X138" i="7"/>
  <c r="W53" i="23" s="1"/>
  <c r="W42" i="29" s="1"/>
  <c r="W138" i="7"/>
  <c r="N138"/>
  <c r="I138"/>
  <c r="H138"/>
  <c r="G138"/>
  <c r="F138"/>
  <c r="W31" i="34" l="1"/>
  <c r="X31"/>
  <c r="U33"/>
  <c r="I85" i="23"/>
  <c r="I84" s="1"/>
  <c r="B84"/>
  <c r="B32" i="34"/>
  <c r="E32" s="1"/>
  <c r="AL33"/>
  <c r="F84" i="23"/>
  <c r="F30" i="30" s="1"/>
  <c r="F32" i="34"/>
  <c r="H84" i="23"/>
  <c r="H30" i="30" s="1"/>
  <c r="H32" i="34"/>
  <c r="G84" i="23"/>
  <c r="G30" i="30" s="1"/>
  <c r="G32" i="34"/>
  <c r="V84" i="23"/>
  <c r="V32" i="34"/>
  <c r="O315" i="7"/>
  <c r="N8" i="30"/>
  <c r="N28" s="1"/>
  <c r="R11"/>
  <c r="R12"/>
  <c r="R13"/>
  <c r="S88" i="23"/>
  <c r="O11" i="30"/>
  <c r="S11" s="1"/>
  <c r="S89" i="23"/>
  <c r="O12" i="30"/>
  <c r="S12" s="1"/>
  <c r="S90" i="23"/>
  <c r="O13" i="30"/>
  <c r="S13" s="1"/>
  <c r="Q315" i="7"/>
  <c r="P8" i="30"/>
  <c r="P28" s="1"/>
  <c r="Q10"/>
  <c r="R10"/>
  <c r="AN10"/>
  <c r="T8"/>
  <c r="AN12"/>
  <c r="AN13"/>
  <c r="I8"/>
  <c r="I28" s="1"/>
  <c r="Y8"/>
  <c r="Y28" s="1"/>
  <c r="Q89" i="23"/>
  <c r="R89"/>
  <c r="P138" i="7"/>
  <c r="G53" i="23"/>
  <c r="O138" i="7"/>
  <c r="S138" s="1"/>
  <c r="AM138" s="1"/>
  <c r="F53" i="23"/>
  <c r="F42" i="29" s="1"/>
  <c r="Q138" i="7"/>
  <c r="H53" i="23"/>
  <c r="AQ138" i="7"/>
  <c r="V53" i="23"/>
  <c r="V42" i="29" s="1"/>
  <c r="Q87" i="23"/>
  <c r="R87"/>
  <c r="N85"/>
  <c r="N84" s="1"/>
  <c r="Q88"/>
  <c r="R88"/>
  <c r="Q90"/>
  <c r="R90"/>
  <c r="T87"/>
  <c r="P85"/>
  <c r="P84" s="1"/>
  <c r="S87"/>
  <c r="O85"/>
  <c r="O84" s="1"/>
  <c r="O30" i="30" s="1"/>
  <c r="Y85" i="23"/>
  <c r="Y84" s="1"/>
  <c r="R140" i="7"/>
  <c r="R315" s="1"/>
  <c r="S140"/>
  <c r="AM140" s="1"/>
  <c r="N316"/>
  <c r="R316"/>
  <c r="U315"/>
  <c r="T316"/>
  <c r="J138"/>
  <c r="Z138"/>
  <c r="P315"/>
  <c r="T140"/>
  <c r="S316"/>
  <c r="V146"/>
  <c r="U316"/>
  <c r="Y137"/>
  <c r="X52" i="23" s="1"/>
  <c r="X41" i="29" s="1"/>
  <c r="X137" i="7"/>
  <c r="W52" i="23" s="1"/>
  <c r="W41" i="29" s="1"/>
  <c r="W137" i="7"/>
  <c r="N137"/>
  <c r="I137"/>
  <c r="H137"/>
  <c r="G137"/>
  <c r="F137"/>
  <c r="Y136"/>
  <c r="X51" i="23" s="1"/>
  <c r="X40" i="29" s="1"/>
  <c r="X136" i="7"/>
  <c r="W51" i="23" s="1"/>
  <c r="W40" i="29" s="1"/>
  <c r="W136" i="7"/>
  <c r="N136"/>
  <c r="I136"/>
  <c r="H136"/>
  <c r="G136"/>
  <c r="F136"/>
  <c r="Y135"/>
  <c r="X38" i="29" s="1"/>
  <c r="X135" i="7"/>
  <c r="W38" i="29" s="1"/>
  <c r="W135" i="7"/>
  <c r="V38" i="29" s="1"/>
  <c r="N135" i="7"/>
  <c r="M135"/>
  <c r="L38" i="29" s="1"/>
  <c r="L135" i="7"/>
  <c r="K38" i="29" s="1"/>
  <c r="K135" i="7"/>
  <c r="J38" i="29" s="1"/>
  <c r="H135" i="7"/>
  <c r="G38" i="29" s="1"/>
  <c r="F135" i="7"/>
  <c r="E135"/>
  <c r="D135"/>
  <c r="C135"/>
  <c r="BP135" s="1"/>
  <c r="AQ134"/>
  <c r="AG134"/>
  <c r="AF134"/>
  <c r="AE134"/>
  <c r="AD134"/>
  <c r="Z134"/>
  <c r="Q134"/>
  <c r="P134"/>
  <c r="O134"/>
  <c r="S134" s="1"/>
  <c r="AM134" s="1"/>
  <c r="N134"/>
  <c r="J134"/>
  <c r="F134"/>
  <c r="I30" i="30" l="1"/>
  <c r="Y32" i="34"/>
  <c r="I32"/>
  <c r="D38" i="29"/>
  <c r="BR135" i="7"/>
  <c r="C38" i="29"/>
  <c r="BQ135" i="7"/>
  <c r="B31" i="34"/>
  <c r="E31" s="1"/>
  <c r="S315" i="7"/>
  <c r="N30" i="30"/>
  <c r="V31" i="34"/>
  <c r="O32"/>
  <c r="S32" s="1"/>
  <c r="G31"/>
  <c r="O31" s="1"/>
  <c r="S31" s="1"/>
  <c r="H31"/>
  <c r="P31" s="1"/>
  <c r="T31" s="1"/>
  <c r="P32"/>
  <c r="T32" s="1"/>
  <c r="F31"/>
  <c r="N32"/>
  <c r="Y30" i="30"/>
  <c r="P30"/>
  <c r="B49" i="23"/>
  <c r="B23" i="34" s="1"/>
  <c r="E23" s="1"/>
  <c r="B38" i="29"/>
  <c r="S8" i="30"/>
  <c r="R138" i="7"/>
  <c r="Q13" i="30"/>
  <c r="Q12"/>
  <c r="Q11"/>
  <c r="Q85" i="23"/>
  <c r="Q84" s="1"/>
  <c r="T28" i="30"/>
  <c r="Y42" i="29"/>
  <c r="P53" i="23"/>
  <c r="H42" i="29"/>
  <c r="O53" i="23"/>
  <c r="G42" i="29"/>
  <c r="I42" s="1"/>
  <c r="S28" i="30"/>
  <c r="U10"/>
  <c r="R8"/>
  <c r="U13"/>
  <c r="U12"/>
  <c r="U11"/>
  <c r="P136" i="7"/>
  <c r="G51" i="23"/>
  <c r="G40" i="29" s="1"/>
  <c r="W49" i="23"/>
  <c r="W23" i="34" s="1"/>
  <c r="P137" i="7"/>
  <c r="G52" i="23"/>
  <c r="S85"/>
  <c r="AN87"/>
  <c r="T85"/>
  <c r="U87"/>
  <c r="R85"/>
  <c r="Y53"/>
  <c r="N53"/>
  <c r="N42" i="29" s="1"/>
  <c r="I53" i="23"/>
  <c r="O136" i="7"/>
  <c r="S136" s="1"/>
  <c r="AM136" s="1"/>
  <c r="F51" i="23"/>
  <c r="F40" i="29" s="1"/>
  <c r="Q136" i="7"/>
  <c r="H51" i="23"/>
  <c r="H40" i="29" s="1"/>
  <c r="AQ136" i="7"/>
  <c r="V51" i="23"/>
  <c r="V40" i="29" s="1"/>
  <c r="X49" i="23"/>
  <c r="X23" i="34" s="1"/>
  <c r="O137" i="7"/>
  <c r="S137" s="1"/>
  <c r="AM137" s="1"/>
  <c r="F52" i="23"/>
  <c r="F41" i="29" s="1"/>
  <c r="Q137" i="7"/>
  <c r="H52" i="23"/>
  <c r="AQ137" i="7"/>
  <c r="V52" i="23"/>
  <c r="V41" i="29" s="1"/>
  <c r="U90" i="23"/>
  <c r="U88"/>
  <c r="U89"/>
  <c r="V140" i="7"/>
  <c r="AL92" i="23"/>
  <c r="AH134" i="7"/>
  <c r="R134"/>
  <c r="D314"/>
  <c r="F314"/>
  <c r="K314"/>
  <c r="M314"/>
  <c r="C314"/>
  <c r="E314"/>
  <c r="L314"/>
  <c r="N314"/>
  <c r="G135"/>
  <c r="F38" i="29" s="1"/>
  <c r="I135" i="7"/>
  <c r="Z137"/>
  <c r="W314"/>
  <c r="Y314"/>
  <c r="AQ135"/>
  <c r="Z136"/>
  <c r="J137"/>
  <c r="H314"/>
  <c r="X314"/>
  <c r="V316"/>
  <c r="T315"/>
  <c r="P135"/>
  <c r="O38" i="29" s="1"/>
  <c r="Z135" i="7"/>
  <c r="J136"/>
  <c r="Y133"/>
  <c r="X47" i="23" s="1"/>
  <c r="X36" i="29" s="1"/>
  <c r="X133" i="7"/>
  <c r="W47" i="23" s="1"/>
  <c r="W36" i="29" s="1"/>
  <c r="W133" i="7"/>
  <c r="Q32" i="34" l="1"/>
  <c r="Y31"/>
  <c r="I31"/>
  <c r="R136" i="7"/>
  <c r="R32" i="34"/>
  <c r="N31"/>
  <c r="Q31" s="1"/>
  <c r="R137" i="7"/>
  <c r="Q8" i="30"/>
  <c r="Q28" s="1"/>
  <c r="Q30" s="1"/>
  <c r="Y41" i="29"/>
  <c r="P52" i="23"/>
  <c r="H41" i="29"/>
  <c r="R42"/>
  <c r="O52" i="23"/>
  <c r="G41" i="29"/>
  <c r="AL8" i="30"/>
  <c r="R28"/>
  <c r="S53" i="23"/>
  <c r="O42" i="29"/>
  <c r="S42" s="1"/>
  <c r="T53" i="23"/>
  <c r="AN53" s="1"/>
  <c r="P42" i="29"/>
  <c r="T42" s="1"/>
  <c r="I314" i="7"/>
  <c r="H38" i="29"/>
  <c r="Y40"/>
  <c r="Y38" s="1"/>
  <c r="U8" i="30"/>
  <c r="I40" i="29"/>
  <c r="AQ133" i="7"/>
  <c r="V47" i="23"/>
  <c r="V36" i="29" s="1"/>
  <c r="R84" i="23"/>
  <c r="AL85"/>
  <c r="U85"/>
  <c r="S84"/>
  <c r="S30" i="30" s="1"/>
  <c r="Y52" i="23"/>
  <c r="I52"/>
  <c r="N52"/>
  <c r="N41" i="29" s="1"/>
  <c r="Y51" i="23"/>
  <c r="V49"/>
  <c r="V23" i="34" s="1"/>
  <c r="P51" i="23"/>
  <c r="P40" i="29" s="1"/>
  <c r="T40" s="1"/>
  <c r="H49" i="23"/>
  <c r="H23" i="34" s="1"/>
  <c r="P23" s="1"/>
  <c r="T23" s="1"/>
  <c r="N51" i="23"/>
  <c r="N40" i="29" s="1"/>
  <c r="I51" i="23"/>
  <c r="F49"/>
  <c r="F23" i="34" s="1"/>
  <c r="Q53" i="23"/>
  <c r="R53"/>
  <c r="T84"/>
  <c r="T30" i="30" s="1"/>
  <c r="O51" i="23"/>
  <c r="O40" i="29" s="1"/>
  <c r="S40" s="1"/>
  <c r="G49" i="23"/>
  <c r="G23" i="34" s="1"/>
  <c r="O23" s="1"/>
  <c r="S23" s="1"/>
  <c r="V315" i="7"/>
  <c r="G314"/>
  <c r="Q135"/>
  <c r="J135"/>
  <c r="J314" s="1"/>
  <c r="O135"/>
  <c r="P314"/>
  <c r="T135"/>
  <c r="Z133"/>
  <c r="Z314"/>
  <c r="N133"/>
  <c r="I23" i="34" l="1"/>
  <c r="U32"/>
  <c r="Y23"/>
  <c r="AL28" i="30"/>
  <c r="R30"/>
  <c r="N23" i="34"/>
  <c r="Q23" s="1"/>
  <c r="R31"/>
  <c r="AL32"/>
  <c r="I41" i="29"/>
  <c r="I38" s="1"/>
  <c r="Y49" i="23"/>
  <c r="I49"/>
  <c r="Q42" i="29"/>
  <c r="R41"/>
  <c r="Y36"/>
  <c r="S52" i="23"/>
  <c r="O41" i="29"/>
  <c r="S41" s="1"/>
  <c r="S38" s="1"/>
  <c r="T52" i="23"/>
  <c r="AN52" s="1"/>
  <c r="P41" i="29"/>
  <c r="T41" s="1"/>
  <c r="T38" s="1"/>
  <c r="S135" i="7"/>
  <c r="AM135" s="1"/>
  <c r="N38" i="29"/>
  <c r="Q314" i="7"/>
  <c r="P38" i="29"/>
  <c r="Q40"/>
  <c r="R40"/>
  <c r="U28" i="30"/>
  <c r="AN42" i="29"/>
  <c r="U42"/>
  <c r="S51" i="23"/>
  <c r="O49"/>
  <c r="U53"/>
  <c r="Q51"/>
  <c r="R51"/>
  <c r="N49"/>
  <c r="T51"/>
  <c r="P49"/>
  <c r="Q52"/>
  <c r="R52"/>
  <c r="U84"/>
  <c r="Y47"/>
  <c r="U135" i="7"/>
  <c r="U314" s="1"/>
  <c r="R135"/>
  <c r="R314" s="1"/>
  <c r="O314"/>
  <c r="T314"/>
  <c r="I133"/>
  <c r="H47" i="23" s="1"/>
  <c r="H133" i="7"/>
  <c r="G133"/>
  <c r="F47" i="23" s="1"/>
  <c r="F36" i="29" s="1"/>
  <c r="F133" i="7"/>
  <c r="U31" i="34" l="1"/>
  <c r="AL31"/>
  <c r="R23"/>
  <c r="U30" i="30"/>
  <c r="Q41" i="29"/>
  <c r="Q38" s="1"/>
  <c r="P47" i="23"/>
  <c r="H36" i="29"/>
  <c r="U40"/>
  <c r="R38"/>
  <c r="AL38" s="1"/>
  <c r="AN41"/>
  <c r="U41"/>
  <c r="Q49" i="23"/>
  <c r="P133" i="7"/>
  <c r="T133" s="1"/>
  <c r="G47" i="23"/>
  <c r="U52"/>
  <c r="S49"/>
  <c r="N47"/>
  <c r="N36" i="29" s="1"/>
  <c r="T49" i="23"/>
  <c r="U51"/>
  <c r="R49"/>
  <c r="AL49" s="1"/>
  <c r="V135" i="7"/>
  <c r="O133"/>
  <c r="S133" s="1"/>
  <c r="AM133" s="1"/>
  <c r="J133"/>
  <c r="Y132"/>
  <c r="X46" i="23" s="1"/>
  <c r="X35" i="29" s="1"/>
  <c r="X132" i="7"/>
  <c r="W46" i="23" s="1"/>
  <c r="W35" i="29" s="1"/>
  <c r="W132" i="7"/>
  <c r="N132"/>
  <c r="I132"/>
  <c r="H132"/>
  <c r="G132"/>
  <c r="F132"/>
  <c r="Y131"/>
  <c r="X33" i="29" s="1"/>
  <c r="X131" i="7"/>
  <c r="W33" i="29" s="1"/>
  <c r="W131" i="7"/>
  <c r="V33" i="29" s="1"/>
  <c r="M131" i="7"/>
  <c r="L33" i="29" s="1"/>
  <c r="L131" i="7"/>
  <c r="K33" i="29" s="1"/>
  <c r="K131" i="7"/>
  <c r="J33" i="29" s="1"/>
  <c r="I131" i="7"/>
  <c r="H33" i="29" s="1"/>
  <c r="H131" i="7"/>
  <c r="G33" i="29" s="1"/>
  <c r="G131" i="7"/>
  <c r="F33" i="29" s="1"/>
  <c r="F131" i="7"/>
  <c r="F313" s="1"/>
  <c r="E131"/>
  <c r="D131"/>
  <c r="C131"/>
  <c r="BP131" s="1"/>
  <c r="AQ130"/>
  <c r="AG130"/>
  <c r="AF130"/>
  <c r="AE130"/>
  <c r="AD130"/>
  <c r="Z130"/>
  <c r="Q130"/>
  <c r="P130"/>
  <c r="O130"/>
  <c r="N130"/>
  <c r="J130"/>
  <c r="F130"/>
  <c r="U23" i="34" l="1"/>
  <c r="C33" i="29"/>
  <c r="BQ131" i="7"/>
  <c r="D33" i="29"/>
  <c r="BR131" i="7"/>
  <c r="AL23" i="34"/>
  <c r="B44" i="23"/>
  <c r="B22" i="34" s="1"/>
  <c r="E22" s="1"/>
  <c r="B33" i="29"/>
  <c r="R36"/>
  <c r="O47" i="23"/>
  <c r="G36" i="29"/>
  <c r="I36" s="1"/>
  <c r="U38"/>
  <c r="T47" i="23"/>
  <c r="AN47" s="1"/>
  <c r="P36" i="29"/>
  <c r="T36" s="1"/>
  <c r="I47" i="23"/>
  <c r="P132" i="7"/>
  <c r="T132" s="1"/>
  <c r="G46" i="23"/>
  <c r="G35" i="29" s="1"/>
  <c r="W44" i="23"/>
  <c r="W22" i="34" s="1"/>
  <c r="O132" i="7"/>
  <c r="S132" s="1"/>
  <c r="AM132" s="1"/>
  <c r="F46" i="23"/>
  <c r="F35" i="29" s="1"/>
  <c r="Q132" i="7"/>
  <c r="H46" i="23"/>
  <c r="H35" i="29" s="1"/>
  <c r="AQ132" i="7"/>
  <c r="V46" i="23"/>
  <c r="V35" i="29" s="1"/>
  <c r="X44" i="23"/>
  <c r="X22" i="34" s="1"/>
  <c r="U49" i="23"/>
  <c r="R47"/>
  <c r="AH130" i="7"/>
  <c r="R130"/>
  <c r="C313"/>
  <c r="E313"/>
  <c r="S130"/>
  <c r="AM130" s="1"/>
  <c r="D313"/>
  <c r="K313"/>
  <c r="M313"/>
  <c r="L313"/>
  <c r="H313"/>
  <c r="G313"/>
  <c r="I313"/>
  <c r="W313"/>
  <c r="Y313"/>
  <c r="O131"/>
  <c r="N33" i="29" s="1"/>
  <c r="Q131" i="7"/>
  <c r="P33" i="29" s="1"/>
  <c r="J132" i="7"/>
  <c r="J131" s="1"/>
  <c r="Z132"/>
  <c r="X313"/>
  <c r="P131"/>
  <c r="O33" i="29" s="1"/>
  <c r="Z131" i="7"/>
  <c r="AQ131"/>
  <c r="Y129"/>
  <c r="X42" i="23" s="1"/>
  <c r="X31" i="29" s="1"/>
  <c r="X129" i="7"/>
  <c r="W42" i="23" s="1"/>
  <c r="W31" i="29" s="1"/>
  <c r="W129" i="7"/>
  <c r="N129"/>
  <c r="I129"/>
  <c r="H129"/>
  <c r="G42" i="23" s="1"/>
  <c r="G31" i="29" s="1"/>
  <c r="G129" i="7"/>
  <c r="F129"/>
  <c r="Y35" i="29" l="1"/>
  <c r="Y33" s="1"/>
  <c r="S47" i="23"/>
  <c r="U47" s="1"/>
  <c r="O36" i="29"/>
  <c r="AN36"/>
  <c r="I35"/>
  <c r="I33" s="1"/>
  <c r="R132" i="7"/>
  <c r="Q47" i="23"/>
  <c r="O129" i="7"/>
  <c r="F42" i="23"/>
  <c r="F31" i="29" s="1"/>
  <c r="Q129" i="7"/>
  <c r="H42" i="23"/>
  <c r="H31" i="29" s="1"/>
  <c r="AQ129" i="7"/>
  <c r="V42" i="23"/>
  <c r="V31" i="29" s="1"/>
  <c r="X40" i="23"/>
  <c r="X21" i="34" s="1"/>
  <c r="Y46" i="23"/>
  <c r="Y44" s="1"/>
  <c r="V44"/>
  <c r="V22" i="34" s="1"/>
  <c r="P46" i="23"/>
  <c r="P35" i="29" s="1"/>
  <c r="T35" s="1"/>
  <c r="H44" i="23"/>
  <c r="H22" i="34" s="1"/>
  <c r="P22" s="1"/>
  <c r="T22" s="1"/>
  <c r="N46" i="23"/>
  <c r="N35" i="29" s="1"/>
  <c r="I46" i="23"/>
  <c r="I44" s="1"/>
  <c r="F44"/>
  <c r="F22" i="34" s="1"/>
  <c r="O42" i="23"/>
  <c r="O31" i="29" s="1"/>
  <c r="S31" s="1"/>
  <c r="G40" i="23"/>
  <c r="G21" i="34" s="1"/>
  <c r="O21" s="1"/>
  <c r="S21" s="1"/>
  <c r="W40" i="23"/>
  <c r="W21" i="34" s="1"/>
  <c r="O46" i="23"/>
  <c r="O35" i="29" s="1"/>
  <c r="S35" s="1"/>
  <c r="G44" i="23"/>
  <c r="G22" i="34" s="1"/>
  <c r="J129" i="7"/>
  <c r="P313"/>
  <c r="T131"/>
  <c r="Q313"/>
  <c r="U131"/>
  <c r="AO131" s="1"/>
  <c r="P129"/>
  <c r="T129" s="1"/>
  <c r="Z129"/>
  <c r="Z313"/>
  <c r="J313"/>
  <c r="N131"/>
  <c r="O313"/>
  <c r="R131"/>
  <c r="S131"/>
  <c r="AM131" s="1"/>
  <c r="M128"/>
  <c r="L29" i="29" s="1"/>
  <c r="L128" i="7"/>
  <c r="K29" i="29" s="1"/>
  <c r="K128" i="7"/>
  <c r="J29" i="29" s="1"/>
  <c r="I128" i="7"/>
  <c r="H29" i="29" s="1"/>
  <c r="H128" i="7"/>
  <c r="G29" i="29" s="1"/>
  <c r="G128" i="7"/>
  <c r="F29" i="29" s="1"/>
  <c r="E128" i="7"/>
  <c r="D128"/>
  <c r="C128"/>
  <c r="BP128" s="1"/>
  <c r="AQ127"/>
  <c r="AG127"/>
  <c r="AF127"/>
  <c r="AE127"/>
  <c r="AD127"/>
  <c r="Z127"/>
  <c r="Q127"/>
  <c r="P127"/>
  <c r="O127"/>
  <c r="S127" s="1"/>
  <c r="AM127" s="1"/>
  <c r="N127"/>
  <c r="J127"/>
  <c r="F127"/>
  <c r="N22" i="34" l="1"/>
  <c r="I22"/>
  <c r="Y22"/>
  <c r="C29" i="29"/>
  <c r="BQ128" i="7"/>
  <c r="D29" i="29"/>
  <c r="BR128" i="7"/>
  <c r="O22" i="34"/>
  <c r="S22" s="1"/>
  <c r="B40" i="23"/>
  <c r="B21" i="34" s="1"/>
  <c r="E21" s="1"/>
  <c r="B29" i="29"/>
  <c r="R35"/>
  <c r="Q35"/>
  <c r="AN35"/>
  <c r="T33"/>
  <c r="S29"/>
  <c r="Y31"/>
  <c r="Y29" s="1"/>
  <c r="S36"/>
  <c r="S33" s="1"/>
  <c r="Q36"/>
  <c r="Q33" s="1"/>
  <c r="I31"/>
  <c r="I29" s="1"/>
  <c r="S46" i="23"/>
  <c r="O44"/>
  <c r="S42"/>
  <c r="O40"/>
  <c r="Q46"/>
  <c r="Q44" s="1"/>
  <c r="R46"/>
  <c r="N44"/>
  <c r="T46"/>
  <c r="P44"/>
  <c r="Y42"/>
  <c r="Y40" s="1"/>
  <c r="V40"/>
  <c r="V21" i="34" s="1"/>
  <c r="P42" i="23"/>
  <c r="P31" i="29" s="1"/>
  <c r="T31" s="1"/>
  <c r="H40" i="23"/>
  <c r="H21" i="34" s="1"/>
  <c r="P21" s="1"/>
  <c r="T21" s="1"/>
  <c r="I42" i="23"/>
  <c r="I40" s="1"/>
  <c r="N42"/>
  <c r="N31" i="29" s="1"/>
  <c r="F40" i="23"/>
  <c r="F21" i="34" s="1"/>
  <c r="H312" i="7"/>
  <c r="I312"/>
  <c r="AH127"/>
  <c r="D312"/>
  <c r="L312"/>
  <c r="R127"/>
  <c r="C312"/>
  <c r="E312"/>
  <c r="J128"/>
  <c r="J312" s="1"/>
  <c r="K312"/>
  <c r="M312"/>
  <c r="N313"/>
  <c r="F128"/>
  <c r="G312"/>
  <c r="S313"/>
  <c r="V131"/>
  <c r="S129"/>
  <c r="AM129" s="1"/>
  <c r="O128"/>
  <c r="N29" i="29" s="1"/>
  <c r="Q128" i="7"/>
  <c r="P29" i="29" s="1"/>
  <c r="R129" i="7"/>
  <c r="R313"/>
  <c r="U313"/>
  <c r="T313"/>
  <c r="P128"/>
  <c r="O29" i="29" s="1"/>
  <c r="Y126" i="7"/>
  <c r="X82" i="23" s="1"/>
  <c r="X34" i="28" s="1"/>
  <c r="X126" i="7"/>
  <c r="W82" i="23" s="1"/>
  <c r="W34" i="28" s="1"/>
  <c r="W126" i="7"/>
  <c r="I126"/>
  <c r="H126"/>
  <c r="G126"/>
  <c r="F82" i="23" s="1"/>
  <c r="F34" i="28" s="1"/>
  <c r="F126" i="7"/>
  <c r="Q22" i="34" l="1"/>
  <c r="I21"/>
  <c r="R22"/>
  <c r="U22" s="1"/>
  <c r="Y21"/>
  <c r="N21"/>
  <c r="Q21" s="1"/>
  <c r="N126" i="7"/>
  <c r="K82" i="23"/>
  <c r="N34" i="28"/>
  <c r="R31" i="29"/>
  <c r="Q31"/>
  <c r="Q29" s="1"/>
  <c r="AN31"/>
  <c r="T29"/>
  <c r="U36"/>
  <c r="U35"/>
  <c r="R33"/>
  <c r="AL33" s="1"/>
  <c r="N82" i="23"/>
  <c r="Q126" i="7"/>
  <c r="H82" i="23"/>
  <c r="AQ126" i="7"/>
  <c r="V82" i="23"/>
  <c r="V34" i="28" s="1"/>
  <c r="Q42" i="23"/>
  <c r="Q40" s="1"/>
  <c r="R42"/>
  <c r="N40"/>
  <c r="AN46"/>
  <c r="T44"/>
  <c r="U46"/>
  <c r="R44"/>
  <c r="AL44" s="1"/>
  <c r="P126" i="7"/>
  <c r="G82" i="23"/>
  <c r="T42"/>
  <c r="P40"/>
  <c r="S40"/>
  <c r="S44"/>
  <c r="F312" i="7"/>
  <c r="J126"/>
  <c r="P312"/>
  <c r="T128"/>
  <c r="N128"/>
  <c r="O312"/>
  <c r="S128"/>
  <c r="AM128" s="1"/>
  <c r="V313"/>
  <c r="O126"/>
  <c r="Q312"/>
  <c r="U128"/>
  <c r="AO128" s="1"/>
  <c r="Z126"/>
  <c r="AL22" i="34" l="1"/>
  <c r="R21"/>
  <c r="K34" i="28"/>
  <c r="M34" s="1"/>
  <c r="M82" i="23"/>
  <c r="Y34" i="28"/>
  <c r="P82" i="23"/>
  <c r="T82" s="1"/>
  <c r="AN82" s="1"/>
  <c r="H34" i="28"/>
  <c r="P34" s="1"/>
  <c r="T34" s="1"/>
  <c r="U33" i="29"/>
  <c r="U31"/>
  <c r="R29"/>
  <c r="AL29" s="1"/>
  <c r="R34" i="28"/>
  <c r="O82" i="23"/>
  <c r="S82" s="1"/>
  <c r="G34" i="28"/>
  <c r="AN42" i="23"/>
  <c r="T40"/>
  <c r="U44"/>
  <c r="R82"/>
  <c r="U42"/>
  <c r="R40"/>
  <c r="AL40" s="1"/>
  <c r="Y82"/>
  <c r="I82"/>
  <c r="N312" i="7"/>
  <c r="R126"/>
  <c r="S126"/>
  <c r="AM126" s="1"/>
  <c r="R128"/>
  <c r="S312"/>
  <c r="V128"/>
  <c r="U312"/>
  <c r="T312"/>
  <c r="U21" i="34" l="1"/>
  <c r="AL21"/>
  <c r="Q82" i="23"/>
  <c r="O34" i="28"/>
  <c r="I34"/>
  <c r="U29" i="29"/>
  <c r="AN34" i="28"/>
  <c r="U40" i="23"/>
  <c r="U82"/>
  <c r="V312" i="7"/>
  <c r="R312"/>
  <c r="Y125"/>
  <c r="X81" i="23" s="1"/>
  <c r="X33" i="28" s="1"/>
  <c r="X125" i="7"/>
  <c r="W81" i="23" s="1"/>
  <c r="W33" i="28" s="1"/>
  <c r="W125" i="7"/>
  <c r="N125"/>
  <c r="I125"/>
  <c r="H125"/>
  <c r="G125"/>
  <c r="F125"/>
  <c r="S34" i="28" l="1"/>
  <c r="Q34"/>
  <c r="O125" i="7"/>
  <c r="S125" s="1"/>
  <c r="AM125" s="1"/>
  <c r="F81" i="23"/>
  <c r="F33" i="28" s="1"/>
  <c r="Q125" i="7"/>
  <c r="H81" i="23"/>
  <c r="AQ125" i="7"/>
  <c r="V81" i="23"/>
  <c r="V33" i="28" s="1"/>
  <c r="P125" i="7"/>
  <c r="R125" s="1"/>
  <c r="G81" i="23"/>
  <c r="J125" i="7"/>
  <c r="Z125"/>
  <c r="O81" i="23" l="1"/>
  <c r="S81" s="1"/>
  <c r="G33" i="28"/>
  <c r="O33" s="1"/>
  <c r="S33" s="1"/>
  <c r="Y33"/>
  <c r="P81" i="23"/>
  <c r="T81" s="1"/>
  <c r="H33" i="28"/>
  <c r="P33" s="1"/>
  <c r="T33" s="1"/>
  <c r="N33"/>
  <c r="I33"/>
  <c r="U34"/>
  <c r="Y81" i="23"/>
  <c r="AN81"/>
  <c r="I81"/>
  <c r="N81"/>
  <c r="Y124" i="7"/>
  <c r="X80" i="23" s="1"/>
  <c r="X32" i="28" s="1"/>
  <c r="X124" i="7"/>
  <c r="W80" i="23" s="1"/>
  <c r="W32" i="28" s="1"/>
  <c r="W124" i="7"/>
  <c r="I124"/>
  <c r="H124"/>
  <c r="G124"/>
  <c r="F80" i="23" s="1"/>
  <c r="F32" i="28" s="1"/>
  <c r="F124" i="7"/>
  <c r="N124" l="1"/>
  <c r="K80" i="23"/>
  <c r="Q33" i="28"/>
  <c r="R33"/>
  <c r="N32"/>
  <c r="AN33"/>
  <c r="Q124" i="7"/>
  <c r="H80" i="23"/>
  <c r="N80"/>
  <c r="AQ124" i="7"/>
  <c r="V80" i="23"/>
  <c r="V32" i="28" s="1"/>
  <c r="P124" i="7"/>
  <c r="G80" i="23"/>
  <c r="Q81"/>
  <c r="R81"/>
  <c r="J124" i="7"/>
  <c r="O124"/>
  <c r="Z124"/>
  <c r="K32" i="28" l="1"/>
  <c r="M32" s="1"/>
  <c r="M80" i="23"/>
  <c r="P80"/>
  <c r="T80" s="1"/>
  <c r="AN80" s="1"/>
  <c r="H32" i="28"/>
  <c r="P32" s="1"/>
  <c r="T32" s="1"/>
  <c r="R32"/>
  <c r="O80" i="23"/>
  <c r="S80" s="1"/>
  <c r="G32" i="28"/>
  <c r="Y32"/>
  <c r="U33"/>
  <c r="U81" i="23"/>
  <c r="Y80"/>
  <c r="I80"/>
  <c r="R80"/>
  <c r="R124" i="7"/>
  <c r="S124"/>
  <c r="AM124" s="1"/>
  <c r="Y123"/>
  <c r="X79" i="23" s="1"/>
  <c r="X31" i="28" s="1"/>
  <c r="X123" i="7"/>
  <c r="W79" i="23" s="1"/>
  <c r="W31" i="28" s="1"/>
  <c r="W123" i="7"/>
  <c r="N123"/>
  <c r="I123"/>
  <c r="H123"/>
  <c r="G123"/>
  <c r="F123"/>
  <c r="O32" i="28" l="1"/>
  <c r="I32"/>
  <c r="AN32"/>
  <c r="Q80" i="23"/>
  <c r="P123" i="7"/>
  <c r="G79" i="23"/>
  <c r="U80"/>
  <c r="O123" i="7"/>
  <c r="S123" s="1"/>
  <c r="AM123" s="1"/>
  <c r="F79" i="23"/>
  <c r="F31" i="28" s="1"/>
  <c r="Q123" i="7"/>
  <c r="H79" i="23"/>
  <c r="AQ123" i="7"/>
  <c r="V79" i="23"/>
  <c r="V31" i="28" s="1"/>
  <c r="J123" i="7"/>
  <c r="Z123"/>
  <c r="R123" l="1"/>
  <c r="Y31" i="28"/>
  <c r="P79" i="23"/>
  <c r="T79" s="1"/>
  <c r="AN79" s="1"/>
  <c r="H31" i="28"/>
  <c r="P31" s="1"/>
  <c r="T31" s="1"/>
  <c r="N31"/>
  <c r="S32"/>
  <c r="Q32"/>
  <c r="O79" i="23"/>
  <c r="S79" s="1"/>
  <c r="G31" i="28"/>
  <c r="O31" s="1"/>
  <c r="S31" s="1"/>
  <c r="Y79" i="23"/>
  <c r="I79"/>
  <c r="N79"/>
  <c r="Y122" i="7"/>
  <c r="X122"/>
  <c r="W122"/>
  <c r="I122"/>
  <c r="H122"/>
  <c r="G78" i="23" s="1"/>
  <c r="G30" i="28" s="1"/>
  <c r="G122" i="7"/>
  <c r="F122"/>
  <c r="N122" l="1"/>
  <c r="K78" i="23"/>
  <c r="U32" i="28"/>
  <c r="Q31"/>
  <c r="R31"/>
  <c r="G28"/>
  <c r="AN31"/>
  <c r="I31"/>
  <c r="O78" i="23"/>
  <c r="G76"/>
  <c r="G29" i="34" s="1"/>
  <c r="X121" i="7"/>
  <c r="X311" s="1"/>
  <c r="W78" i="23"/>
  <c r="W30" i="28" s="1"/>
  <c r="Q79" i="23"/>
  <c r="R79"/>
  <c r="O122" i="7"/>
  <c r="S122" s="1"/>
  <c r="AM122" s="1"/>
  <c r="F78" i="23"/>
  <c r="F30" i="28" s="1"/>
  <c r="Q122" i="7"/>
  <c r="H78" i="23"/>
  <c r="H30" i="28" s="1"/>
  <c r="AQ122" i="7"/>
  <c r="V78" i="23"/>
  <c r="V30" i="28" s="1"/>
  <c r="Y121" i="7"/>
  <c r="Y311" s="1"/>
  <c r="X78" i="23"/>
  <c r="X30" i="28" s="1"/>
  <c r="W121" i="7"/>
  <c r="W311" s="1"/>
  <c r="Z122"/>
  <c r="P122"/>
  <c r="R122" s="1"/>
  <c r="J122"/>
  <c r="J121" s="1"/>
  <c r="N121"/>
  <c r="M121"/>
  <c r="L121"/>
  <c r="K121"/>
  <c r="I121"/>
  <c r="H121"/>
  <c r="G121"/>
  <c r="F121"/>
  <c r="F311" s="1"/>
  <c r="E121"/>
  <c r="BR121" s="1"/>
  <c r="D121"/>
  <c r="BQ121" s="1"/>
  <c r="C121"/>
  <c r="B76" i="23" l="1"/>
  <c r="B29" i="34" s="1"/>
  <c r="E29" s="1"/>
  <c r="BP121" i="7"/>
  <c r="K30" i="28"/>
  <c r="M78" i="23"/>
  <c r="M76" s="1"/>
  <c r="M55" s="1"/>
  <c r="K76"/>
  <c r="U31" i="28"/>
  <c r="X28"/>
  <c r="Y30"/>
  <c r="Y28" s="1"/>
  <c r="V28"/>
  <c r="P30"/>
  <c r="H28"/>
  <c r="N30"/>
  <c r="I30"/>
  <c r="I28" s="1"/>
  <c r="F28"/>
  <c r="W28"/>
  <c r="S78" i="23"/>
  <c r="O76"/>
  <c r="X76"/>
  <c r="X29" i="34" s="1"/>
  <c r="Y78" i="23"/>
  <c r="Y76" s="1"/>
  <c r="V76"/>
  <c r="V29" i="34" s="1"/>
  <c r="P78" i="23"/>
  <c r="H76"/>
  <c r="H29" i="34" s="1"/>
  <c r="P29" s="1"/>
  <c r="T29" s="1"/>
  <c r="N78" i="23"/>
  <c r="I78"/>
  <c r="I76" s="1"/>
  <c r="F76"/>
  <c r="F29" i="34" s="1"/>
  <c r="U79" i="23"/>
  <c r="W76"/>
  <c r="W29" i="34" s="1"/>
  <c r="H311" i="7"/>
  <c r="AQ121"/>
  <c r="Z121"/>
  <c r="C311"/>
  <c r="E311"/>
  <c r="D311"/>
  <c r="L311"/>
  <c r="N311"/>
  <c r="K311"/>
  <c r="M311"/>
  <c r="I311"/>
  <c r="Q121"/>
  <c r="O121"/>
  <c r="J311"/>
  <c r="Z311"/>
  <c r="G311"/>
  <c r="P121"/>
  <c r="P311" s="1"/>
  <c r="AK120"/>
  <c r="AJ120"/>
  <c r="AI120"/>
  <c r="I29" i="34" l="1"/>
  <c r="Y29"/>
  <c r="K55" i="23"/>
  <c r="K29" i="34"/>
  <c r="M29" s="1"/>
  <c r="N29"/>
  <c r="M30" i="28"/>
  <c r="M28" s="1"/>
  <c r="M35" s="1"/>
  <c r="M37" s="1"/>
  <c r="K28"/>
  <c r="K35" s="1"/>
  <c r="K37" s="1"/>
  <c r="O30"/>
  <c r="Q30" s="1"/>
  <c r="Q28" s="1"/>
  <c r="R30"/>
  <c r="N28"/>
  <c r="T30"/>
  <c r="P28"/>
  <c r="S76" i="23"/>
  <c r="Q78"/>
  <c r="Q76" s="1"/>
  <c r="R78"/>
  <c r="N76"/>
  <c r="T78"/>
  <c r="P76"/>
  <c r="AL120" i="7"/>
  <c r="O311"/>
  <c r="S121"/>
  <c r="AM121" s="1"/>
  <c r="R121"/>
  <c r="Q311"/>
  <c r="U121"/>
  <c r="AO121" s="1"/>
  <c r="Y119"/>
  <c r="X74" i="23" s="1"/>
  <c r="X26" i="28" s="1"/>
  <c r="X119" i="7"/>
  <c r="W74" i="23" s="1"/>
  <c r="W26" i="28" s="1"/>
  <c r="W119" i="7"/>
  <c r="N119"/>
  <c r="K25" i="34" l="1"/>
  <c r="M25" s="1"/>
  <c r="O29"/>
  <c r="S29" s="1"/>
  <c r="R29"/>
  <c r="O28" i="28"/>
  <c r="S30"/>
  <c r="S28" s="1"/>
  <c r="AN30"/>
  <c r="T28"/>
  <c r="R28"/>
  <c r="AL28" s="1"/>
  <c r="AQ119" i="7"/>
  <c r="V74" i="23"/>
  <c r="V26" i="28" s="1"/>
  <c r="AN78" i="23"/>
  <c r="T76"/>
  <c r="U78"/>
  <c r="R76"/>
  <c r="AL76" s="1"/>
  <c r="T121" i="7"/>
  <c r="U311"/>
  <c r="R311"/>
  <c r="Z119"/>
  <c r="S311"/>
  <c r="U29" i="34" l="1"/>
  <c r="Q29"/>
  <c r="K17"/>
  <c r="U30" i="28"/>
  <c r="U28" s="1"/>
  <c r="AL29" i="34"/>
  <c r="Y26" i="28"/>
  <c r="U76" i="23"/>
  <c r="Y74"/>
  <c r="V121" i="7"/>
  <c r="V311" s="1"/>
  <c r="T311"/>
  <c r="I119"/>
  <c r="H119"/>
  <c r="G119"/>
  <c r="F74" i="23" s="1"/>
  <c r="F26" i="28" s="1"/>
  <c r="F119" i="7"/>
  <c r="M17" i="34" l="1"/>
  <c r="N26" i="28"/>
  <c r="Q119" i="7"/>
  <c r="H74" i="23"/>
  <c r="N74"/>
  <c r="P119" i="7"/>
  <c r="T119" s="1"/>
  <c r="G74" i="23"/>
  <c r="O119" i="7"/>
  <c r="J119"/>
  <c r="Y118"/>
  <c r="X73" i="23" s="1"/>
  <c r="X25" i="28" s="1"/>
  <c r="X118" i="7"/>
  <c r="W73" i="23" s="1"/>
  <c r="W25" i="28" s="1"/>
  <c r="W118" i="7"/>
  <c r="P74" i="23" l="1"/>
  <c r="T74" s="1"/>
  <c r="AN74" s="1"/>
  <c r="H26" i="28"/>
  <c r="P26" s="1"/>
  <c r="T26" s="1"/>
  <c r="R26"/>
  <c r="O74" i="23"/>
  <c r="S74" s="1"/>
  <c r="G26" i="28"/>
  <c r="R74" i="23"/>
  <c r="AQ118" i="7"/>
  <c r="V73" i="23"/>
  <c r="V25" i="28" s="1"/>
  <c r="I74" i="23"/>
  <c r="S119" i="7"/>
  <c r="AM119" s="1"/>
  <c r="R119"/>
  <c r="Z118"/>
  <c r="N118"/>
  <c r="I118"/>
  <c r="H73" i="23" s="1"/>
  <c r="H118" i="7"/>
  <c r="G118"/>
  <c r="F118"/>
  <c r="Q74" i="23" l="1"/>
  <c r="P73"/>
  <c r="T73" s="1"/>
  <c r="AN73" s="1"/>
  <c r="H25" i="28"/>
  <c r="P25" s="1"/>
  <c r="T25" s="1"/>
  <c r="Y25"/>
  <c r="O26"/>
  <c r="I26"/>
  <c r="AN26"/>
  <c r="O118" i="7"/>
  <c r="S118" s="1"/>
  <c r="AM118" s="1"/>
  <c r="F73" i="23"/>
  <c r="F25" i="28" s="1"/>
  <c r="P118" i="7"/>
  <c r="T118" s="1"/>
  <c r="G73" i="23"/>
  <c r="Y73"/>
  <c r="U74"/>
  <c r="J118" i="7"/>
  <c r="Y117"/>
  <c r="X72" i="23" s="1"/>
  <c r="X24" i="28" s="1"/>
  <c r="X117" i="7"/>
  <c r="W72" i="23" s="1"/>
  <c r="W24" i="28" s="1"/>
  <c r="W117" i="7"/>
  <c r="N117"/>
  <c r="I117"/>
  <c r="H72" i="23" s="1"/>
  <c r="H117" i="7"/>
  <c r="G117"/>
  <c r="F117"/>
  <c r="Y116"/>
  <c r="X71" i="23" s="1"/>
  <c r="X23" i="28" s="1"/>
  <c r="X116" i="7"/>
  <c r="W71" i="23" s="1"/>
  <c r="W23" i="28" s="1"/>
  <c r="W116" i="7"/>
  <c r="N116"/>
  <c r="I116"/>
  <c r="H116"/>
  <c r="G116"/>
  <c r="F116"/>
  <c r="Y115"/>
  <c r="X115"/>
  <c r="W115"/>
  <c r="N115"/>
  <c r="M115"/>
  <c r="L115"/>
  <c r="K115"/>
  <c r="H115"/>
  <c r="F115"/>
  <c r="E115"/>
  <c r="BR115" s="1"/>
  <c r="D115"/>
  <c r="BQ115" s="1"/>
  <c r="C115"/>
  <c r="AQ114"/>
  <c r="AG114"/>
  <c r="AF114"/>
  <c r="AE114"/>
  <c r="AD114"/>
  <c r="Z114"/>
  <c r="Q114"/>
  <c r="P114"/>
  <c r="O114"/>
  <c r="S114" s="1"/>
  <c r="AM114" s="1"/>
  <c r="J114"/>
  <c r="F114"/>
  <c r="B69" i="23" l="1"/>
  <c r="B28" i="34" s="1"/>
  <c r="E28" s="1"/>
  <c r="BP115" i="7"/>
  <c r="AH114"/>
  <c r="W21" i="28"/>
  <c r="S26"/>
  <c r="Q26"/>
  <c r="X21"/>
  <c r="P72" i="23"/>
  <c r="T72" s="1"/>
  <c r="AN72" s="1"/>
  <c r="H24" i="28"/>
  <c r="P24" s="1"/>
  <c r="T24" s="1"/>
  <c r="O73" i="23"/>
  <c r="S73" s="1"/>
  <c r="G25" i="28"/>
  <c r="O25" s="1"/>
  <c r="S25" s="1"/>
  <c r="N25"/>
  <c r="I25"/>
  <c r="AN25"/>
  <c r="O116" i="7"/>
  <c r="S116" s="1"/>
  <c r="AM116" s="1"/>
  <c r="F71" i="23"/>
  <c r="F23" i="28" s="1"/>
  <c r="Q116" i="7"/>
  <c r="H71" i="23"/>
  <c r="H23" i="28" s="1"/>
  <c r="AQ116" i="7"/>
  <c r="V71" i="23"/>
  <c r="V23" i="28" s="1"/>
  <c r="X69" i="23"/>
  <c r="X28" i="34" s="1"/>
  <c r="O117" i="7"/>
  <c r="S117" s="1"/>
  <c r="AM117" s="1"/>
  <c r="F72" i="23"/>
  <c r="F24" i="28" s="1"/>
  <c r="AQ117" i="7"/>
  <c r="V72" i="23"/>
  <c r="V24" i="28" s="1"/>
  <c r="P116" i="7"/>
  <c r="T116" s="1"/>
  <c r="G71" i="23"/>
  <c r="G23" i="28" s="1"/>
  <c r="W69" i="23"/>
  <c r="W28" i="34" s="1"/>
  <c r="P117" i="7"/>
  <c r="T117" s="1"/>
  <c r="G72" i="23"/>
  <c r="N73"/>
  <c r="I73"/>
  <c r="P115" i="7"/>
  <c r="P310" s="1"/>
  <c r="R114"/>
  <c r="D310"/>
  <c r="F310"/>
  <c r="K310"/>
  <c r="M310"/>
  <c r="C310"/>
  <c r="E310"/>
  <c r="L310"/>
  <c r="N310"/>
  <c r="G115"/>
  <c r="I115"/>
  <c r="Q115" s="1"/>
  <c r="Z116"/>
  <c r="I310"/>
  <c r="X310"/>
  <c r="Z115"/>
  <c r="J116"/>
  <c r="J117"/>
  <c r="H310"/>
  <c r="W310"/>
  <c r="Y310"/>
  <c r="AQ115"/>
  <c r="Z117"/>
  <c r="Y113"/>
  <c r="X61" i="23" s="1"/>
  <c r="X13" i="28" s="1"/>
  <c r="X113" i="7"/>
  <c r="W61" i="23" s="1"/>
  <c r="W13" i="28" s="1"/>
  <c r="W113" i="7"/>
  <c r="R116" l="1"/>
  <c r="O72" i="23"/>
  <c r="S72" s="1"/>
  <c r="G24" i="28"/>
  <c r="O24" s="1"/>
  <c r="S24" s="1"/>
  <c r="N24"/>
  <c r="I24"/>
  <c r="R25"/>
  <c r="Q25"/>
  <c r="U26"/>
  <c r="O23"/>
  <c r="Y24"/>
  <c r="Y23"/>
  <c r="V21"/>
  <c r="P23"/>
  <c r="H21"/>
  <c r="N23"/>
  <c r="I23"/>
  <c r="F21"/>
  <c r="AN24"/>
  <c r="AQ113" i="7"/>
  <c r="V61" i="23"/>
  <c r="V13" i="28" s="1"/>
  <c r="Q73" i="23"/>
  <c r="R73"/>
  <c r="T115" i="7"/>
  <c r="T310" s="1"/>
  <c r="O71" i="23"/>
  <c r="G69"/>
  <c r="G28" i="34" s="1"/>
  <c r="O28" s="1"/>
  <c r="S28" s="1"/>
  <c r="Y72" i="23"/>
  <c r="I72"/>
  <c r="N72"/>
  <c r="Y71"/>
  <c r="V69"/>
  <c r="V28" i="34" s="1"/>
  <c r="P71" i="23"/>
  <c r="H69"/>
  <c r="H28" i="34" s="1"/>
  <c r="P28" s="1"/>
  <c r="T28" s="1"/>
  <c r="N71" i="23"/>
  <c r="I71"/>
  <c r="F69"/>
  <c r="F28" i="34" s="1"/>
  <c r="G310" i="7"/>
  <c r="J115"/>
  <c r="O115"/>
  <c r="Q310"/>
  <c r="U115"/>
  <c r="AO115" s="1"/>
  <c r="J310"/>
  <c r="Z310"/>
  <c r="Z113"/>
  <c r="I28" i="34" l="1"/>
  <c r="Y28"/>
  <c r="I21" i="28"/>
  <c r="G21"/>
  <c r="N28" i="34"/>
  <c r="Q28" s="1"/>
  <c r="I69" i="23"/>
  <c r="Y13" i="28"/>
  <c r="R23"/>
  <c r="Q23"/>
  <c r="N21"/>
  <c r="T23"/>
  <c r="P21"/>
  <c r="U25"/>
  <c r="R24"/>
  <c r="Q24"/>
  <c r="S23"/>
  <c r="O21"/>
  <c r="Y69" i="23"/>
  <c r="Y21" i="28"/>
  <c r="Q71" i="23"/>
  <c r="R71"/>
  <c r="N69"/>
  <c r="T71"/>
  <c r="P69"/>
  <c r="Q72"/>
  <c r="R72"/>
  <c r="S71"/>
  <c r="O69"/>
  <c r="U73"/>
  <c r="Y61"/>
  <c r="O310" i="7"/>
  <c r="S115"/>
  <c r="AM115" s="1"/>
  <c r="R115"/>
  <c r="R310" s="1"/>
  <c r="U310"/>
  <c r="R28" i="34" l="1"/>
  <c r="S310" i="7"/>
  <c r="U23" i="28"/>
  <c r="R21"/>
  <c r="AL21" s="1"/>
  <c r="S21"/>
  <c r="U24"/>
  <c r="AN23"/>
  <c r="T21"/>
  <c r="Q21"/>
  <c r="U72" i="23"/>
  <c r="Q69"/>
  <c r="S69"/>
  <c r="AN71"/>
  <c r="T69"/>
  <c r="U71"/>
  <c r="R69"/>
  <c r="AL69" s="1"/>
  <c r="V115" i="7"/>
  <c r="N113"/>
  <c r="I113"/>
  <c r="U28" i="34" l="1"/>
  <c r="AL28"/>
  <c r="U21" i="28"/>
  <c r="Q113" i="7"/>
  <c r="H61" i="23"/>
  <c r="U69"/>
  <c r="V310" i="7"/>
  <c r="H113"/>
  <c r="G113"/>
  <c r="F61" i="23" s="1"/>
  <c r="F13" i="28" s="1"/>
  <c r="F113" i="7"/>
  <c r="N13" i="28" l="1"/>
  <c r="P61" i="23"/>
  <c r="T61" s="1"/>
  <c r="H13" i="28"/>
  <c r="P13" s="1"/>
  <c r="T13" s="1"/>
  <c r="N61" i="23"/>
  <c r="P113" i="7"/>
  <c r="T113" s="1"/>
  <c r="AN113" s="1"/>
  <c r="G61" i="23"/>
  <c r="AN61"/>
  <c r="O113" i="7"/>
  <c r="J113"/>
  <c r="Y112"/>
  <c r="X60" i="23" s="1"/>
  <c r="X12" i="28" s="1"/>
  <c r="X112" i="7"/>
  <c r="W60" i="23" s="1"/>
  <c r="W12" i="28" s="1"/>
  <c r="W112" i="7"/>
  <c r="R13" i="28" l="1"/>
  <c r="O61" i="23"/>
  <c r="S61" s="1"/>
  <c r="AM61" s="1"/>
  <c r="G13" i="28"/>
  <c r="AN13"/>
  <c r="R113" i="7"/>
  <c r="R61" i="23"/>
  <c r="AQ112" i="7"/>
  <c r="V60" i="23"/>
  <c r="V12" i="28" s="1"/>
  <c r="I61" i="23"/>
  <c r="Z112" i="7"/>
  <c r="S113"/>
  <c r="AM113" s="1"/>
  <c r="Y12" i="28" l="1"/>
  <c r="O13"/>
  <c r="I13"/>
  <c r="Q61" i="23"/>
  <c r="Y60"/>
  <c r="U61"/>
  <c r="AO61" s="1"/>
  <c r="N112" i="7"/>
  <c r="I112"/>
  <c r="S13" i="28" l="1"/>
  <c r="Q13"/>
  <c r="Q112" i="7"/>
  <c r="U112" s="1"/>
  <c r="AO112" s="1"/>
  <c r="H60" i="23"/>
  <c r="H112" i="7"/>
  <c r="G112"/>
  <c r="F60" i="23" s="1"/>
  <c r="F12" i="28" s="1"/>
  <c r="F112" i="7"/>
  <c r="AM13" i="28" l="1"/>
  <c r="U13"/>
  <c r="AO13" s="1"/>
  <c r="N12"/>
  <c r="P60" i="23"/>
  <c r="T60" s="1"/>
  <c r="AN60" s="1"/>
  <c r="H12" i="28"/>
  <c r="P12" s="1"/>
  <c r="T12" s="1"/>
  <c r="P112" i="7"/>
  <c r="T112" s="1"/>
  <c r="G60" i="23"/>
  <c r="N60"/>
  <c r="O112" i="7"/>
  <c r="J112"/>
  <c r="Y111"/>
  <c r="X59" i="23" s="1"/>
  <c r="X11" i="28" s="1"/>
  <c r="X111" i="7"/>
  <c r="W59" i="23" s="1"/>
  <c r="W11" i="28" s="1"/>
  <c r="W111" i="7"/>
  <c r="N111"/>
  <c r="O60" i="23" l="1"/>
  <c r="S60" s="1"/>
  <c r="G12" i="28"/>
  <c r="AN12"/>
  <c r="R12"/>
  <c r="I60" i="23"/>
  <c r="AQ111" i="7"/>
  <c r="V59" i="23"/>
  <c r="V11" i="28" s="1"/>
  <c r="R60" i="23"/>
  <c r="R112" i="7"/>
  <c r="S112"/>
  <c r="Z111"/>
  <c r="I111"/>
  <c r="H59" i="23" s="1"/>
  <c r="H111" i="7"/>
  <c r="G111"/>
  <c r="F59" i="23" s="1"/>
  <c r="F11" i="28" s="1"/>
  <c r="F111" i="7"/>
  <c r="Y110"/>
  <c r="X58" i="23" s="1"/>
  <c r="X10" i="28" s="1"/>
  <c r="X110" i="7"/>
  <c r="W58" i="23" s="1"/>
  <c r="W10" i="28" s="1"/>
  <c r="W110" i="7"/>
  <c r="N110"/>
  <c r="I110"/>
  <c r="H110"/>
  <c r="G110"/>
  <c r="F110"/>
  <c r="X8" i="28" l="1"/>
  <c r="N11"/>
  <c r="P59" i="23"/>
  <c r="T59" s="1"/>
  <c r="AN59" s="1"/>
  <c r="H11" i="28"/>
  <c r="P11" s="1"/>
  <c r="T11" s="1"/>
  <c r="Y11"/>
  <c r="W8"/>
  <c r="O12"/>
  <c r="I12"/>
  <c r="Q60" i="23"/>
  <c r="Q110" i="7"/>
  <c r="H58" i="23"/>
  <c r="H10" i="28" s="1"/>
  <c r="X56" i="23"/>
  <c r="X26" i="34" s="1"/>
  <c r="P110" i="7"/>
  <c r="T110" s="1"/>
  <c r="AN110" s="1"/>
  <c r="G58" i="23"/>
  <c r="G10" i="28" s="1"/>
  <c r="W56" i="23"/>
  <c r="W26" i="34" s="1"/>
  <c r="P111" i="7"/>
  <c r="T111" s="1"/>
  <c r="AN111" s="1"/>
  <c r="G59" i="23"/>
  <c r="U60"/>
  <c r="Y59"/>
  <c r="O110" i="7"/>
  <c r="F58" i="23"/>
  <c r="F10" i="28" s="1"/>
  <c r="AQ110" i="7"/>
  <c r="V58" i="23"/>
  <c r="V10" i="28" s="1"/>
  <c r="N59" i="23"/>
  <c r="I59"/>
  <c r="V112" i="7"/>
  <c r="AM112"/>
  <c r="S110"/>
  <c r="AM110" s="1"/>
  <c r="Z110"/>
  <c r="O111"/>
  <c r="J111"/>
  <c r="J110"/>
  <c r="Y109"/>
  <c r="X109"/>
  <c r="W109"/>
  <c r="R110" l="1"/>
  <c r="Y10" i="28"/>
  <c r="Y8" s="1"/>
  <c r="V8"/>
  <c r="N10"/>
  <c r="I10"/>
  <c r="F8"/>
  <c r="O59" i="23"/>
  <c r="S59" s="1"/>
  <c r="AM59" s="1"/>
  <c r="G11" i="28"/>
  <c r="P10"/>
  <c r="H8"/>
  <c r="S12"/>
  <c r="Q12"/>
  <c r="R11"/>
  <c r="O10"/>
  <c r="G8"/>
  <c r="AN11"/>
  <c r="Q59" i="23"/>
  <c r="R59"/>
  <c r="Y58"/>
  <c r="Y56" s="1"/>
  <c r="V56"/>
  <c r="V26" i="34" s="1"/>
  <c r="I58" i="23"/>
  <c r="I56" s="1"/>
  <c r="N58"/>
  <c r="F56"/>
  <c r="F26" i="34" s="1"/>
  <c r="O58" i="23"/>
  <c r="G56"/>
  <c r="G26" i="34" s="1"/>
  <c r="P58" i="23"/>
  <c r="H56"/>
  <c r="H26" i="34" s="1"/>
  <c r="X309" i="7"/>
  <c r="W309"/>
  <c r="AQ109"/>
  <c r="Y309"/>
  <c r="Z109"/>
  <c r="S111"/>
  <c r="AM111" s="1"/>
  <c r="N109"/>
  <c r="M109"/>
  <c r="L109"/>
  <c r="K109"/>
  <c r="J109"/>
  <c r="I109"/>
  <c r="H109"/>
  <c r="G109"/>
  <c r="F109"/>
  <c r="E109"/>
  <c r="BR109" s="1"/>
  <c r="D109"/>
  <c r="BQ109" s="1"/>
  <c r="C109"/>
  <c r="BP109" s="1"/>
  <c r="AQ108"/>
  <c r="AG108"/>
  <c r="AF108"/>
  <c r="AE108"/>
  <c r="AD108"/>
  <c r="Z108"/>
  <c r="Q108"/>
  <c r="P108"/>
  <c r="O108"/>
  <c r="J108"/>
  <c r="F108"/>
  <c r="Y26" i="34" l="1"/>
  <c r="I26"/>
  <c r="P26"/>
  <c r="T26" s="1"/>
  <c r="O26"/>
  <c r="S26" s="1"/>
  <c r="N26"/>
  <c r="B56" i="23"/>
  <c r="B26" i="34" s="1"/>
  <c r="E26" s="1"/>
  <c r="B8" i="28"/>
  <c r="B35" s="1"/>
  <c r="S10"/>
  <c r="U12"/>
  <c r="T10"/>
  <c r="P8"/>
  <c r="O11"/>
  <c r="I11"/>
  <c r="R10"/>
  <c r="Q10"/>
  <c r="N8"/>
  <c r="I8"/>
  <c r="T58" i="23"/>
  <c r="P56"/>
  <c r="S58"/>
  <c r="O56"/>
  <c r="Q58"/>
  <c r="Q56" s="1"/>
  <c r="R58"/>
  <c r="N56"/>
  <c r="U59"/>
  <c r="AO59" s="1"/>
  <c r="R108" i="7"/>
  <c r="AH108"/>
  <c r="C309"/>
  <c r="E309"/>
  <c r="K309"/>
  <c r="M309"/>
  <c r="D309"/>
  <c r="F309"/>
  <c r="L309"/>
  <c r="N309"/>
  <c r="O109"/>
  <c r="I309"/>
  <c r="Q109"/>
  <c r="H309"/>
  <c r="G309" s="1"/>
  <c r="P109"/>
  <c r="J309"/>
  <c r="Z309"/>
  <c r="Y107"/>
  <c r="X67" i="23" s="1"/>
  <c r="X19" i="28" s="1"/>
  <c r="X107" i="7"/>
  <c r="W67" i="23" s="1"/>
  <c r="W19" i="28" s="1"/>
  <c r="W107" i="7"/>
  <c r="N107"/>
  <c r="I107"/>
  <c r="H107"/>
  <c r="G67" i="23" s="1"/>
  <c r="G107" i="7"/>
  <c r="F107"/>
  <c r="Q26" i="34" l="1"/>
  <c r="R26"/>
  <c r="O67" i="23"/>
  <c r="S67" s="1"/>
  <c r="G19" i="28"/>
  <c r="O19" s="1"/>
  <c r="S19" s="1"/>
  <c r="AM10"/>
  <c r="U10"/>
  <c r="R8"/>
  <c r="S11"/>
  <c r="Q11"/>
  <c r="Q8" s="1"/>
  <c r="AN10"/>
  <c r="T8"/>
  <c r="O8"/>
  <c r="O107" i="7"/>
  <c r="F67" i="23"/>
  <c r="F19" i="28" s="1"/>
  <c r="Q107" i="7"/>
  <c r="H67" i="23"/>
  <c r="AQ107" i="7"/>
  <c r="V67" i="23"/>
  <c r="V19" i="28" s="1"/>
  <c r="AM58" i="23"/>
  <c r="S56"/>
  <c r="AN58"/>
  <c r="T56"/>
  <c r="U58"/>
  <c r="R56"/>
  <c r="J107" i="7"/>
  <c r="P107"/>
  <c r="P309"/>
  <c r="O309" s="1"/>
  <c r="T109"/>
  <c r="S109"/>
  <c r="AM109" s="1"/>
  <c r="R109"/>
  <c r="Q309"/>
  <c r="U109"/>
  <c r="AO109" s="1"/>
  <c r="Z107"/>
  <c r="U26" i="34" l="1"/>
  <c r="R107" i="7"/>
  <c r="AL26" i="34"/>
  <c r="Y19" i="28"/>
  <c r="P67" i="23"/>
  <c r="T67" s="1"/>
  <c r="H19" i="28"/>
  <c r="P19" s="1"/>
  <c r="T19" s="1"/>
  <c r="N19"/>
  <c r="I19"/>
  <c r="AM11"/>
  <c r="U11"/>
  <c r="AO11" s="1"/>
  <c r="AL8"/>
  <c r="AO10"/>
  <c r="S8"/>
  <c r="AO58" i="23"/>
  <c r="U56"/>
  <c r="Y67"/>
  <c r="AN67"/>
  <c r="I67"/>
  <c r="N67"/>
  <c r="AL56"/>
  <c r="U309" i="7"/>
  <c r="R309"/>
  <c r="S309"/>
  <c r="V109"/>
  <c r="T309"/>
  <c r="Y106"/>
  <c r="X66" i="23" s="1"/>
  <c r="X18" i="28" s="1"/>
  <c r="U8" l="1"/>
  <c r="Q19"/>
  <c r="R19"/>
  <c r="AN19"/>
  <c r="Q67" i="23"/>
  <c r="R67"/>
  <c r="V309" i="7"/>
  <c r="X106"/>
  <c r="W66" i="23" s="1"/>
  <c r="W18" i="28" s="1"/>
  <c r="W106" i="7"/>
  <c r="V66" i="23" s="1"/>
  <c r="V18" i="28" s="1"/>
  <c r="N106" i="7"/>
  <c r="I106"/>
  <c r="H106"/>
  <c r="G66" i="23" s="1"/>
  <c r="G106" i="7"/>
  <c r="D106"/>
  <c r="BQ106" s="1"/>
  <c r="F106" l="1"/>
  <c r="C66" i="23"/>
  <c r="O66"/>
  <c r="S66" s="1"/>
  <c r="G18" i="28"/>
  <c r="O18" s="1"/>
  <c r="Y18"/>
  <c r="U19"/>
  <c r="O106" i="7"/>
  <c r="F66" i="23"/>
  <c r="F18" i="28" s="1"/>
  <c r="Q106" i="7"/>
  <c r="H66" i="23"/>
  <c r="Y66"/>
  <c r="U67"/>
  <c r="J106" i="7"/>
  <c r="P106"/>
  <c r="AQ106"/>
  <c r="Z106"/>
  <c r="Y105"/>
  <c r="X65" i="23" s="1"/>
  <c r="X17" i="28" s="1"/>
  <c r="X105" i="7"/>
  <c r="W65" i="23" s="1"/>
  <c r="W17" i="28" s="1"/>
  <c r="W105" i="7"/>
  <c r="N105"/>
  <c r="I105"/>
  <c r="H105"/>
  <c r="G65" i="23" s="1"/>
  <c r="G17" i="28" s="1"/>
  <c r="G105" i="7"/>
  <c r="F105"/>
  <c r="Y104"/>
  <c r="C18" i="28" l="1"/>
  <c r="E66" i="23"/>
  <c r="E63" s="1"/>
  <c r="E55" s="1"/>
  <c r="C63"/>
  <c r="S18" i="28"/>
  <c r="R106" i="7"/>
  <c r="O17" i="28"/>
  <c r="G15"/>
  <c r="G35" s="1"/>
  <c r="W15"/>
  <c r="W35" s="1"/>
  <c r="P66" i="23"/>
  <c r="T66" s="1"/>
  <c r="H18" i="28"/>
  <c r="P18" s="1"/>
  <c r="T18" s="1"/>
  <c r="N18"/>
  <c r="I18"/>
  <c r="X15"/>
  <c r="X35" s="1"/>
  <c r="O65" i="23"/>
  <c r="G63"/>
  <c r="W63"/>
  <c r="AN66"/>
  <c r="N66"/>
  <c r="I66"/>
  <c r="O105" i="7"/>
  <c r="S105" s="1"/>
  <c r="AM105" s="1"/>
  <c r="F65" i="23"/>
  <c r="F17" i="28" s="1"/>
  <c r="Q105" i="7"/>
  <c r="H65" i="23"/>
  <c r="H17" i="28" s="1"/>
  <c r="AQ105" i="7"/>
  <c r="V65" i="23"/>
  <c r="V17" i="28" s="1"/>
  <c r="X63" i="23"/>
  <c r="P105" i="7"/>
  <c r="J105"/>
  <c r="J104" s="1"/>
  <c r="Z105"/>
  <c r="X104"/>
  <c r="W104"/>
  <c r="N104"/>
  <c r="M104"/>
  <c r="L104"/>
  <c r="K104"/>
  <c r="I104"/>
  <c r="H104"/>
  <c r="G104"/>
  <c r="F104"/>
  <c r="E104"/>
  <c r="BR104" s="1"/>
  <c r="D104"/>
  <c r="BQ104" s="1"/>
  <c r="C104"/>
  <c r="AQ103"/>
  <c r="AG103"/>
  <c r="AF103"/>
  <c r="AE103"/>
  <c r="AD103"/>
  <c r="Z103"/>
  <c r="Q103"/>
  <c r="P103"/>
  <c r="O103"/>
  <c r="J103"/>
  <c r="F103"/>
  <c r="Y102"/>
  <c r="X38" i="23" s="1"/>
  <c r="X27" i="29" s="1"/>
  <c r="X102" i="7"/>
  <c r="W38" i="23" s="1"/>
  <c r="W27" i="29" s="1"/>
  <c r="W102" i="7"/>
  <c r="V38" i="23" s="1"/>
  <c r="V27" i="29" s="1"/>
  <c r="N102" i="7"/>
  <c r="I102"/>
  <c r="H38" i="23" s="1"/>
  <c r="H102" i="7"/>
  <c r="G102"/>
  <c r="F102"/>
  <c r="B63" i="23" l="1"/>
  <c r="B27" i="34" s="1"/>
  <c r="E27" s="1"/>
  <c r="BP104" i="7"/>
  <c r="R103"/>
  <c r="AH103"/>
  <c r="C55" i="23"/>
  <c r="C27" i="34"/>
  <c r="C25" s="1"/>
  <c r="C17" s="1"/>
  <c r="B25"/>
  <c r="E25" s="1"/>
  <c r="G55" i="23"/>
  <c r="G37" i="28" s="1"/>
  <c r="G27" i="34"/>
  <c r="X55" i="23"/>
  <c r="X37" i="28" s="1"/>
  <c r="X27" i="34"/>
  <c r="W55" i="23"/>
  <c r="W27" i="34"/>
  <c r="W37" i="28"/>
  <c r="R105" i="7"/>
  <c r="E18" i="28"/>
  <c r="E15" s="1"/>
  <c r="E35" s="1"/>
  <c r="E37" s="1"/>
  <c r="C15"/>
  <c r="C35" s="1"/>
  <c r="C37" s="1"/>
  <c r="P38" i="23"/>
  <c r="H27" i="29"/>
  <c r="Y27"/>
  <c r="Y17" i="28"/>
  <c r="Y15" s="1"/>
  <c r="Y35" s="1"/>
  <c r="V15"/>
  <c r="V35" s="1"/>
  <c r="P17"/>
  <c r="H15"/>
  <c r="H35" s="1"/>
  <c r="N17"/>
  <c r="I17"/>
  <c r="I15" s="1"/>
  <c r="I35" s="1"/>
  <c r="F15"/>
  <c r="F35" s="1"/>
  <c r="Q18"/>
  <c r="R18"/>
  <c r="S17"/>
  <c r="O15"/>
  <c r="O35" s="1"/>
  <c r="AN18"/>
  <c r="O102" i="7"/>
  <c r="S102" s="1"/>
  <c r="AM102" s="1"/>
  <c r="F38" i="23"/>
  <c r="F27" i="29" s="1"/>
  <c r="P102" i="7"/>
  <c r="T102" s="1"/>
  <c r="AN102" s="1"/>
  <c r="G38" i="23"/>
  <c r="Q66"/>
  <c r="R66"/>
  <c r="S65"/>
  <c r="O63"/>
  <c r="O55" s="1"/>
  <c r="Y38"/>
  <c r="Y65"/>
  <c r="Y63" s="1"/>
  <c r="Y55" s="1"/>
  <c r="V63"/>
  <c r="P65"/>
  <c r="H63"/>
  <c r="I65"/>
  <c r="I63" s="1"/>
  <c r="I55" s="1"/>
  <c r="N65"/>
  <c r="F63"/>
  <c r="B55"/>
  <c r="C308" i="7"/>
  <c r="E308"/>
  <c r="L308"/>
  <c r="N308"/>
  <c r="D308"/>
  <c r="F308"/>
  <c r="K308"/>
  <c r="M308"/>
  <c r="Z102"/>
  <c r="G308"/>
  <c r="I308"/>
  <c r="W308"/>
  <c r="AQ104"/>
  <c r="Z104"/>
  <c r="AQ102"/>
  <c r="O104"/>
  <c r="Q104"/>
  <c r="H308"/>
  <c r="J308"/>
  <c r="X308"/>
  <c r="J102"/>
  <c r="P104"/>
  <c r="Y101"/>
  <c r="X37" i="23" s="1"/>
  <c r="X26" i="29" s="1"/>
  <c r="X101" i="7"/>
  <c r="W37" i="23" s="1"/>
  <c r="W26" i="29" s="1"/>
  <c r="W101" i="7"/>
  <c r="N101"/>
  <c r="X25" i="34" l="1"/>
  <c r="V55" i="23"/>
  <c r="V37" i="28" s="1"/>
  <c r="V27" i="34"/>
  <c r="F55" i="23"/>
  <c r="F27" i="34"/>
  <c r="I37" i="28"/>
  <c r="H55" i="23"/>
  <c r="H37" i="28" s="1"/>
  <c r="H27" i="34"/>
  <c r="W25"/>
  <c r="O27"/>
  <c r="S27" s="1"/>
  <c r="G25"/>
  <c r="O25" s="1"/>
  <c r="S25" s="1"/>
  <c r="O37" i="28"/>
  <c r="F37"/>
  <c r="Y37"/>
  <c r="AM17"/>
  <c r="S15"/>
  <c r="T38" i="23"/>
  <c r="AN38" s="1"/>
  <c r="P27" i="29"/>
  <c r="T27" s="1"/>
  <c r="O38" i="23"/>
  <c r="G27" i="29"/>
  <c r="I27" s="1"/>
  <c r="U18" i="28"/>
  <c r="Q17"/>
  <c r="Q15" s="1"/>
  <c r="Q35" s="1"/>
  <c r="R17"/>
  <c r="N15"/>
  <c r="N35" s="1"/>
  <c r="T17"/>
  <c r="P15"/>
  <c r="P35" s="1"/>
  <c r="AQ101" i="7"/>
  <c r="V37" i="23"/>
  <c r="V26" i="29" s="1"/>
  <c r="T65" i="23"/>
  <c r="P63"/>
  <c r="P55" s="1"/>
  <c r="AM65"/>
  <c r="S63"/>
  <c r="Q65"/>
  <c r="Q63" s="1"/>
  <c r="Q55" s="1"/>
  <c r="R65"/>
  <c r="N63"/>
  <c r="N55" s="1"/>
  <c r="U66"/>
  <c r="N38"/>
  <c r="N27" i="29" s="1"/>
  <c r="I38" i="23"/>
  <c r="T104" i="7"/>
  <c r="Q308"/>
  <c r="P308" s="1"/>
  <c r="U104"/>
  <c r="AO104" s="1"/>
  <c r="Z308"/>
  <c r="Y308" s="1"/>
  <c r="Z101"/>
  <c r="O308"/>
  <c r="R104"/>
  <c r="R308" s="1"/>
  <c r="S104"/>
  <c r="AM104" s="1"/>
  <c r="I101"/>
  <c r="H37" i="23" s="1"/>
  <c r="H101" i="7"/>
  <c r="G101"/>
  <c r="F37" i="23" s="1"/>
  <c r="F26" i="29" s="1"/>
  <c r="F101" i="7"/>
  <c r="Y100"/>
  <c r="X36" i="23" s="1"/>
  <c r="X25" i="29" s="1"/>
  <c r="X100" i="7"/>
  <c r="W36" i="23" s="1"/>
  <c r="W25" i="29" s="1"/>
  <c r="W100" i="7"/>
  <c r="N100"/>
  <c r="I100"/>
  <c r="H36" i="23" s="1"/>
  <c r="H100" i="7"/>
  <c r="G100"/>
  <c r="F100"/>
  <c r="I27" i="34" l="1"/>
  <c r="V25"/>
  <c r="Y27"/>
  <c r="P37" i="28"/>
  <c r="N37"/>
  <c r="Q37"/>
  <c r="P27" i="34"/>
  <c r="T27" s="1"/>
  <c r="H25"/>
  <c r="P25" s="1"/>
  <c r="T25" s="1"/>
  <c r="N27"/>
  <c r="Q27" s="1"/>
  <c r="F25"/>
  <c r="I25" s="1"/>
  <c r="P36" i="23"/>
  <c r="H25" i="29"/>
  <c r="P37" i="23"/>
  <c r="H26" i="29"/>
  <c r="R27"/>
  <c r="Y26"/>
  <c r="AN17" i="28"/>
  <c r="T15"/>
  <c r="U17"/>
  <c r="R15"/>
  <c r="AN27" i="29"/>
  <c r="S35" i="28"/>
  <c r="S38" i="23"/>
  <c r="AM38" s="1"/>
  <c r="O27" i="29"/>
  <c r="S27" s="1"/>
  <c r="O100" i="7"/>
  <c r="S100" s="1"/>
  <c r="AM100" s="1"/>
  <c r="F36" i="23"/>
  <c r="F25" i="29" s="1"/>
  <c r="N37" i="23"/>
  <c r="N26" i="29" s="1"/>
  <c r="S55" i="23"/>
  <c r="AN65"/>
  <c r="T63"/>
  <c r="AQ100" i="7"/>
  <c r="V36" i="23"/>
  <c r="V25" i="29" s="1"/>
  <c r="P100" i="7"/>
  <c r="T100" s="1"/>
  <c r="G36" i="23"/>
  <c r="P101" i="7"/>
  <c r="T101" s="1"/>
  <c r="G37" i="23"/>
  <c r="Q38"/>
  <c r="R38"/>
  <c r="U65"/>
  <c r="R63"/>
  <c r="R55" s="1"/>
  <c r="Y37"/>
  <c r="S308" i="7"/>
  <c r="V104"/>
  <c r="U308"/>
  <c r="O101"/>
  <c r="J101"/>
  <c r="T308"/>
  <c r="J100"/>
  <c r="Z100"/>
  <c r="Y25" i="34" l="1"/>
  <c r="N25"/>
  <c r="Q25" s="1"/>
  <c r="R27"/>
  <c r="S37" i="28"/>
  <c r="R26" i="29"/>
  <c r="AO17" i="28"/>
  <c r="U15"/>
  <c r="T35"/>
  <c r="U27" i="29"/>
  <c r="AO27" s="1"/>
  <c r="T37" i="23"/>
  <c r="AN37" s="1"/>
  <c r="P26" i="29"/>
  <c r="T26" s="1"/>
  <c r="T36" i="23"/>
  <c r="AN36" s="1"/>
  <c r="P25" i="29"/>
  <c r="T25" s="1"/>
  <c r="O37" i="23"/>
  <c r="G26" i="29"/>
  <c r="I26" s="1"/>
  <c r="O36" i="23"/>
  <c r="G25" i="29"/>
  <c r="I25" s="1"/>
  <c r="Y25"/>
  <c r="AM27"/>
  <c r="AL15" i="28"/>
  <c r="R35"/>
  <c r="Q27" i="29"/>
  <c r="I37" i="23"/>
  <c r="AO65"/>
  <c r="U63"/>
  <c r="T55"/>
  <c r="U38"/>
  <c r="AO38" s="1"/>
  <c r="Y36"/>
  <c r="R37"/>
  <c r="N36"/>
  <c r="N25" i="29" s="1"/>
  <c r="I36" i="23"/>
  <c r="AL63"/>
  <c r="V308" i="7"/>
  <c r="S101"/>
  <c r="AM101" s="1"/>
  <c r="Y99"/>
  <c r="X35" i="23" s="1"/>
  <c r="X24" i="29" s="1"/>
  <c r="X99" i="7"/>
  <c r="W99"/>
  <c r="N99"/>
  <c r="I99"/>
  <c r="H99"/>
  <c r="G99"/>
  <c r="F99"/>
  <c r="M98"/>
  <c r="L22" i="29" s="1"/>
  <c r="L98" i="7"/>
  <c r="K22" i="29" s="1"/>
  <c r="K98" i="7"/>
  <c r="J22" i="29" s="1"/>
  <c r="F98" i="7"/>
  <c r="E98"/>
  <c r="D98"/>
  <c r="C98"/>
  <c r="BP98" s="1"/>
  <c r="U27" i="34" l="1"/>
  <c r="C22" i="29"/>
  <c r="BQ98" i="7"/>
  <c r="D22" i="29"/>
  <c r="BR98" i="7"/>
  <c r="AL27" i="34"/>
  <c r="R25"/>
  <c r="T37" i="28"/>
  <c r="AL35"/>
  <c r="R37"/>
  <c r="B33" i="23"/>
  <c r="B20" i="34" s="1"/>
  <c r="E20" s="1"/>
  <c r="B22" i="29"/>
  <c r="S36" i="23"/>
  <c r="O25" i="29"/>
  <c r="S25" s="1"/>
  <c r="S37" i="23"/>
  <c r="U37" s="1"/>
  <c r="O26" i="29"/>
  <c r="R25"/>
  <c r="Q25"/>
  <c r="AN25"/>
  <c r="AN26"/>
  <c r="U35" i="28"/>
  <c r="Q37" i="23"/>
  <c r="O99" i="7"/>
  <c r="F35" i="23"/>
  <c r="F24" i="29" s="1"/>
  <c r="Q99" i="7"/>
  <c r="H35" i="23"/>
  <c r="H24" i="29" s="1"/>
  <c r="AQ99" i="7"/>
  <c r="V35" i="23"/>
  <c r="V24" i="29" s="1"/>
  <c r="X33" i="23"/>
  <c r="X20" i="34" s="1"/>
  <c r="U55" i="23"/>
  <c r="H98" i="7"/>
  <c r="G22" i="29" s="1"/>
  <c r="G35" i="23"/>
  <c r="G24" i="29" s="1"/>
  <c r="X98" i="7"/>
  <c r="W22" i="29" s="1"/>
  <c r="W35" i="23"/>
  <c r="W24" i="29" s="1"/>
  <c r="Q36" i="23"/>
  <c r="R36"/>
  <c r="W98" i="7"/>
  <c r="V22" i="29" s="1"/>
  <c r="G98" i="7"/>
  <c r="F22" i="29" s="1"/>
  <c r="I98" i="7"/>
  <c r="H22" i="29" s="1"/>
  <c r="J99" i="7"/>
  <c r="J98" s="1"/>
  <c r="N98"/>
  <c r="N97" s="1"/>
  <c r="N294" s="1"/>
  <c r="P99"/>
  <c r="T99" s="1"/>
  <c r="Z99"/>
  <c r="M97"/>
  <c r="M294" s="1"/>
  <c r="L97"/>
  <c r="L294" s="1"/>
  <c r="K97"/>
  <c r="K294" s="1"/>
  <c r="F97"/>
  <c r="F294" s="1"/>
  <c r="E97"/>
  <c r="E294" s="1"/>
  <c r="D97"/>
  <c r="D294" s="1"/>
  <c r="C97"/>
  <c r="C294" s="1"/>
  <c r="AQ96"/>
  <c r="AG96"/>
  <c r="AF96"/>
  <c r="AE96"/>
  <c r="AD96"/>
  <c r="Z96"/>
  <c r="Q96"/>
  <c r="P96"/>
  <c r="O96"/>
  <c r="N96"/>
  <c r="J96"/>
  <c r="F96"/>
  <c r="U25" i="34" l="1"/>
  <c r="U37" i="28"/>
  <c r="AL25" i="34"/>
  <c r="Y24" i="29"/>
  <c r="Y22" s="1"/>
  <c r="U25"/>
  <c r="S26"/>
  <c r="Q26"/>
  <c r="I24"/>
  <c r="I22" s="1"/>
  <c r="P98" i="7"/>
  <c r="O22" i="29" s="1"/>
  <c r="U36" i="23"/>
  <c r="W33"/>
  <c r="W20" i="34" s="1"/>
  <c r="O35" i="23"/>
  <c r="O24" i="29" s="1"/>
  <c r="S24" s="1"/>
  <c r="G33" i="23"/>
  <c r="G20" i="34" s="1"/>
  <c r="Y35" i="23"/>
  <c r="Y33" s="1"/>
  <c r="V33"/>
  <c r="V20" i="34" s="1"/>
  <c r="P35" i="23"/>
  <c r="P24" i="29" s="1"/>
  <c r="T24" s="1"/>
  <c r="H33" i="23"/>
  <c r="H20" i="34" s="1"/>
  <c r="P20" s="1"/>
  <c r="T20" s="1"/>
  <c r="I35" i="23"/>
  <c r="I33" s="1"/>
  <c r="N35"/>
  <c r="N24" i="29" s="1"/>
  <c r="F33" i="23"/>
  <c r="F20" i="34" s="1"/>
  <c r="O98" i="7"/>
  <c r="S98" s="1"/>
  <c r="AM98" s="1"/>
  <c r="R96"/>
  <c r="AH96"/>
  <c r="AQ98"/>
  <c r="Q98"/>
  <c r="S99"/>
  <c r="AM99" s="1"/>
  <c r="R99"/>
  <c r="N20" i="34" l="1"/>
  <c r="R20" s="1"/>
  <c r="I20"/>
  <c r="Y20"/>
  <c r="T98" i="7"/>
  <c r="O20" i="34"/>
  <c r="S20" s="1"/>
  <c r="AN24" i="29"/>
  <c r="T22"/>
  <c r="S22"/>
  <c r="U26"/>
  <c r="P22"/>
  <c r="N22"/>
  <c r="R24"/>
  <c r="Q24"/>
  <c r="Q22" s="1"/>
  <c r="T35" i="23"/>
  <c r="P33"/>
  <c r="Q35"/>
  <c r="Q33" s="1"/>
  <c r="R35"/>
  <c r="N33"/>
  <c r="S35"/>
  <c r="O33"/>
  <c r="R98" i="7"/>
  <c r="U98"/>
  <c r="W95"/>
  <c r="N95"/>
  <c r="G95"/>
  <c r="F95"/>
  <c r="Q20" i="34" l="1"/>
  <c r="U20"/>
  <c r="AL20"/>
  <c r="U24" i="29"/>
  <c r="R22"/>
  <c r="AL22" s="1"/>
  <c r="AQ95" i="7"/>
  <c r="V31" i="23"/>
  <c r="V20" i="29" s="1"/>
  <c r="AN35" i="23"/>
  <c r="T33"/>
  <c r="O95" i="7"/>
  <c r="S95" s="1"/>
  <c r="AM95" s="1"/>
  <c r="F31" i="23"/>
  <c r="F20" i="29" s="1"/>
  <c r="S33" i="23"/>
  <c r="U35"/>
  <c r="R33"/>
  <c r="V98" i="7"/>
  <c r="AO98"/>
  <c r="W94"/>
  <c r="U22" i="29" l="1"/>
  <c r="AQ94" i="7"/>
  <c r="V30" i="23"/>
  <c r="V19" i="29" s="1"/>
  <c r="U33" i="23"/>
  <c r="N31"/>
  <c r="N20" i="29" s="1"/>
  <c r="AL33" i="23"/>
  <c r="N94" i="7"/>
  <c r="G94"/>
  <c r="F94"/>
  <c r="R20" i="29" l="1"/>
  <c r="O94" i="7"/>
  <c r="S94" s="1"/>
  <c r="AM94" s="1"/>
  <c r="F30" i="23"/>
  <c r="F19" i="29" s="1"/>
  <c r="R31" i="23"/>
  <c r="W93" i="7"/>
  <c r="N93"/>
  <c r="G93"/>
  <c r="F93"/>
  <c r="Y92"/>
  <c r="X28" i="23" s="1"/>
  <c r="X17" i="29" s="1"/>
  <c r="X92" i="7"/>
  <c r="W28" i="23" s="1"/>
  <c r="W17" i="29" s="1"/>
  <c r="W92" i="7"/>
  <c r="AL20" i="29" l="1"/>
  <c r="AQ92" i="7"/>
  <c r="V28" i="23"/>
  <c r="V17" i="29" s="1"/>
  <c r="O93" i="7"/>
  <c r="F29" i="23"/>
  <c r="F18" i="29" s="1"/>
  <c r="AQ93" i="7"/>
  <c r="V29" i="23"/>
  <c r="V18" i="29" s="1"/>
  <c r="AL31" i="23"/>
  <c r="N30"/>
  <c r="N19" i="29" s="1"/>
  <c r="S93" i="7"/>
  <c r="AM93" s="1"/>
  <c r="Z92"/>
  <c r="N92"/>
  <c r="I92"/>
  <c r="H28" i="23" s="1"/>
  <c r="H92" i="7"/>
  <c r="G92"/>
  <c r="F92"/>
  <c r="P28" i="23" l="1"/>
  <c r="H17" i="29"/>
  <c r="R19"/>
  <c r="Y17"/>
  <c r="O92" i="7"/>
  <c r="S92" s="1"/>
  <c r="AM92" s="1"/>
  <c r="F28" i="23"/>
  <c r="F17" i="29" s="1"/>
  <c r="P92" i="7"/>
  <c r="T92" s="1"/>
  <c r="G28" i="23"/>
  <c r="R30"/>
  <c r="N29"/>
  <c r="N18" i="29" s="1"/>
  <c r="Y28" i="23"/>
  <c r="J92" i="7"/>
  <c r="W91"/>
  <c r="R18" i="29" l="1"/>
  <c r="O28" i="23"/>
  <c r="G17" i="29"/>
  <c r="I17" s="1"/>
  <c r="AL19"/>
  <c r="T28" i="23"/>
  <c r="AN28" s="1"/>
  <c r="P17" i="29"/>
  <c r="T17" s="1"/>
  <c r="AQ91" i="7"/>
  <c r="V27" i="23"/>
  <c r="V16" i="29" s="1"/>
  <c r="AL30" i="23"/>
  <c r="I28"/>
  <c r="N28"/>
  <c r="N17" i="29" s="1"/>
  <c r="R29" i="23"/>
  <c r="N91" i="7"/>
  <c r="G91"/>
  <c r="F91"/>
  <c r="Y90"/>
  <c r="X26" i="23" s="1"/>
  <c r="X15" i="29" s="1"/>
  <c r="X90" i="7"/>
  <c r="W26" i="23" s="1"/>
  <c r="W15" i="29" s="1"/>
  <c r="W90" i="7"/>
  <c r="N90"/>
  <c r="I90"/>
  <c r="H26" i="23" s="1"/>
  <c r="H90" i="7"/>
  <c r="G90"/>
  <c r="F90"/>
  <c r="R17" i="29" l="1"/>
  <c r="AN17"/>
  <c r="S28" i="23"/>
  <c r="O17" i="29"/>
  <c r="S17" s="1"/>
  <c r="P26" i="23"/>
  <c r="H15" i="29"/>
  <c r="AL18"/>
  <c r="O90" i="7"/>
  <c r="S90" s="1"/>
  <c r="AM90" s="1"/>
  <c r="F26" i="23"/>
  <c r="F15" i="29" s="1"/>
  <c r="P90" i="7"/>
  <c r="T90" s="1"/>
  <c r="AN90" s="1"/>
  <c r="G26" i="23"/>
  <c r="Q28"/>
  <c r="R28"/>
  <c r="AQ90" i="7"/>
  <c r="V26" i="23"/>
  <c r="V15" i="29" s="1"/>
  <c r="O91" i="7"/>
  <c r="S91" s="1"/>
  <c r="AM91" s="1"/>
  <c r="F27" i="23"/>
  <c r="F16" i="29" s="1"/>
  <c r="AL29" i="23"/>
  <c r="J90" i="7"/>
  <c r="Z90"/>
  <c r="Y89"/>
  <c r="X25" i="23" s="1"/>
  <c r="X14" i="29" s="1"/>
  <c r="X89" i="7"/>
  <c r="W25" i="23" s="1"/>
  <c r="W14" i="29" s="1"/>
  <c r="W89" i="7"/>
  <c r="N89"/>
  <c r="I89"/>
  <c r="H25" i="23" s="1"/>
  <c r="H89" i="7"/>
  <c r="G89"/>
  <c r="F89"/>
  <c r="Y15" i="29" l="1"/>
  <c r="T26" i="23"/>
  <c r="AN26" s="1"/>
  <c r="P15" i="29"/>
  <c r="T15" s="1"/>
  <c r="AL17"/>
  <c r="U17"/>
  <c r="P25" i="23"/>
  <c r="H14" i="29"/>
  <c r="O26" i="23"/>
  <c r="G15" i="29"/>
  <c r="I15" s="1"/>
  <c r="Q17"/>
  <c r="P89" i="7"/>
  <c r="T89" s="1"/>
  <c r="G25" i="23"/>
  <c r="O89" i="7"/>
  <c r="S89" s="1"/>
  <c r="AM89" s="1"/>
  <c r="F25" i="23"/>
  <c r="F14" i="29" s="1"/>
  <c r="AQ89" i="7"/>
  <c r="V25" i="23"/>
  <c r="V14" i="29" s="1"/>
  <c r="N27" i="23"/>
  <c r="N16" i="29" s="1"/>
  <c r="Y26" i="23"/>
  <c r="U28"/>
  <c r="AL28"/>
  <c r="I26"/>
  <c r="N26"/>
  <c r="N15" i="29" s="1"/>
  <c r="J89" i="7"/>
  <c r="Z89"/>
  <c r="R15" i="29" l="1"/>
  <c r="Y14"/>
  <c r="O25" i="23"/>
  <c r="G14" i="29"/>
  <c r="I14" s="1"/>
  <c r="R16"/>
  <c r="S26" i="23"/>
  <c r="AM26" s="1"/>
  <c r="O15" i="29"/>
  <c r="S15" s="1"/>
  <c r="T25" i="23"/>
  <c r="P14" i="29"/>
  <c r="T14" s="1"/>
  <c r="AN15"/>
  <c r="Q26" i="23"/>
  <c r="R26"/>
  <c r="R27"/>
  <c r="Y25"/>
  <c r="N25"/>
  <c r="N14" i="29" s="1"/>
  <c r="I25" i="23"/>
  <c r="Y88" i="7"/>
  <c r="X24" i="23" s="1"/>
  <c r="X13" i="29" s="1"/>
  <c r="X88" i="7"/>
  <c r="W24" i="23" s="1"/>
  <c r="W13" i="29" s="1"/>
  <c r="W88" i="7"/>
  <c r="N88"/>
  <c r="I88"/>
  <c r="H24" i="23" s="1"/>
  <c r="H88" i="7"/>
  <c r="G88"/>
  <c r="F88"/>
  <c r="S25" i="23" l="1"/>
  <c r="O14" i="29"/>
  <c r="S14" s="1"/>
  <c r="AL15"/>
  <c r="U15"/>
  <c r="AO15" s="1"/>
  <c r="P24" i="23"/>
  <c r="H13" i="29"/>
  <c r="R14"/>
  <c r="Q14"/>
  <c r="AM15"/>
  <c r="AL16"/>
  <c r="Q15"/>
  <c r="O88" i="7"/>
  <c r="S88" s="1"/>
  <c r="AM88" s="1"/>
  <c r="F24" i="23"/>
  <c r="F13" i="29" s="1"/>
  <c r="P88" i="7"/>
  <c r="T88" s="1"/>
  <c r="G24" i="23"/>
  <c r="AQ88" i="7"/>
  <c r="V24" i="23"/>
  <c r="V13" i="29" s="1"/>
  <c r="Q25" i="23"/>
  <c r="R25"/>
  <c r="AL27"/>
  <c r="U26"/>
  <c r="AO26" s="1"/>
  <c r="AL26"/>
  <c r="J88" i="7"/>
  <c r="Z88"/>
  <c r="Y87"/>
  <c r="X23" i="23" s="1"/>
  <c r="X12" i="29" s="1"/>
  <c r="X87" i="7"/>
  <c r="W23" i="23" s="1"/>
  <c r="W12" i="29" s="1"/>
  <c r="W87" i="7"/>
  <c r="N87"/>
  <c r="I87"/>
  <c r="H23" i="23" s="1"/>
  <c r="H87" i="7"/>
  <c r="G87"/>
  <c r="F87"/>
  <c r="O24" i="23" l="1"/>
  <c r="G13" i="29"/>
  <c r="P23" i="23"/>
  <c r="H12" i="29"/>
  <c r="Y13"/>
  <c r="AL14"/>
  <c r="U14"/>
  <c r="T24" i="23"/>
  <c r="AN24" s="1"/>
  <c r="P13" i="29"/>
  <c r="T13" s="1"/>
  <c r="I13"/>
  <c r="O87" i="7"/>
  <c r="S87" s="1"/>
  <c r="AM87" s="1"/>
  <c r="F23" i="23"/>
  <c r="F12" i="29" s="1"/>
  <c r="P87" i="7"/>
  <c r="T87" s="1"/>
  <c r="AN87" s="1"/>
  <c r="G23" i="23"/>
  <c r="U25"/>
  <c r="AL25"/>
  <c r="Y24"/>
  <c r="AQ87" i="7"/>
  <c r="V23" i="23"/>
  <c r="V12" i="29" s="1"/>
  <c r="I24" i="23"/>
  <c r="N24"/>
  <c r="N13" i="29" s="1"/>
  <c r="Z87" i="7"/>
  <c r="J87"/>
  <c r="R13" i="29" l="1"/>
  <c r="Y12"/>
  <c r="O23" i="23"/>
  <c r="G12" i="29"/>
  <c r="AN13"/>
  <c r="T23" i="23"/>
  <c r="AN23" s="1"/>
  <c r="P12" i="29"/>
  <c r="T12" s="1"/>
  <c r="S24" i="23"/>
  <c r="O13" i="29"/>
  <c r="S13" s="1"/>
  <c r="I12"/>
  <c r="Q24" i="23"/>
  <c r="R24"/>
  <c r="Y23"/>
  <c r="N23"/>
  <c r="N12" i="29" s="1"/>
  <c r="I23" i="23"/>
  <c r="W86" i="7"/>
  <c r="R12" i="29" l="1"/>
  <c r="S23" i="23"/>
  <c r="AM23" s="1"/>
  <c r="O12" i="29"/>
  <c r="S12" s="1"/>
  <c r="AL13"/>
  <c r="U13"/>
  <c r="AN12"/>
  <c r="Q13"/>
  <c r="U24" i="23"/>
  <c r="AL24"/>
  <c r="AQ86" i="7"/>
  <c r="V22" i="23"/>
  <c r="V11" i="29" s="1"/>
  <c r="Q23" i="23"/>
  <c r="R23"/>
  <c r="N86" i="7"/>
  <c r="Q12" i="29" l="1"/>
  <c r="AM12"/>
  <c r="AL12"/>
  <c r="U12"/>
  <c r="AO12" s="1"/>
  <c r="U23" i="23"/>
  <c r="AO23" s="1"/>
  <c r="AL23"/>
  <c r="G86" i="7"/>
  <c r="F86"/>
  <c r="F22" i="23" l="1"/>
  <c r="F11" i="29" s="1"/>
  <c r="O86" i="7"/>
  <c r="N22" i="23" l="1"/>
  <c r="N11" i="29" s="1"/>
  <c r="R11" s="1"/>
  <c r="S86" i="7"/>
  <c r="W85"/>
  <c r="N85"/>
  <c r="R22" i="23" l="1"/>
  <c r="AL22" s="1"/>
  <c r="AM86" i="7"/>
  <c r="AL11" i="29"/>
  <c r="AQ85" i="7"/>
  <c r="V21" i="23"/>
  <c r="V10" i="29" s="1"/>
  <c r="G85" i="7"/>
  <c r="F21" i="23" s="1"/>
  <c r="F10" i="29" s="1"/>
  <c r="F85" i="7"/>
  <c r="N21" i="23" l="1"/>
  <c r="N10" i="29" s="1"/>
  <c r="O85" i="7"/>
  <c r="S85" s="1"/>
  <c r="AM85" s="1"/>
  <c r="R10" i="29" l="1"/>
  <c r="R21" i="23"/>
  <c r="Y84" i="7"/>
  <c r="X84"/>
  <c r="W84"/>
  <c r="X20" i="23" l="1"/>
  <c r="X9" i="29" s="1"/>
  <c r="W20" i="23"/>
  <c r="W9" i="29" s="1"/>
  <c r="AL10"/>
  <c r="AL21" i="23"/>
  <c r="AQ84" i="7"/>
  <c r="V20" i="23"/>
  <c r="V9" i="29" s="1"/>
  <c r="Z84" i="7"/>
  <c r="N84"/>
  <c r="I84"/>
  <c r="H84"/>
  <c r="G84"/>
  <c r="F84"/>
  <c r="Y9" i="29" l="1"/>
  <c r="P84" i="7"/>
  <c r="G20" i="23"/>
  <c r="G9" i="29" s="1"/>
  <c r="V19" i="23"/>
  <c r="Y20"/>
  <c r="O84" i="7"/>
  <c r="F20" i="23"/>
  <c r="F9" i="29" s="1"/>
  <c r="Q84" i="7"/>
  <c r="H20" i="23"/>
  <c r="H9" i="29" s="1"/>
  <c r="S84" i="7"/>
  <c r="J84"/>
  <c r="R84"/>
  <c r="W83"/>
  <c r="V8" i="29" s="1"/>
  <c r="M83" i="7"/>
  <c r="L83"/>
  <c r="K83"/>
  <c r="J8" i="29" s="1"/>
  <c r="J43" s="1"/>
  <c r="J45" s="1"/>
  <c r="G83" i="7"/>
  <c r="F8" i="29" s="1"/>
  <c r="F43" s="1"/>
  <c r="F83" i="7"/>
  <c r="F292" s="1"/>
  <c r="E83"/>
  <c r="D8" i="29" s="1"/>
  <c r="D43" s="1"/>
  <c r="D45" s="1"/>
  <c r="D83" i="7"/>
  <c r="C8" i="29" s="1"/>
  <c r="C43" s="1"/>
  <c r="C45" s="1"/>
  <c r="C83" i="7"/>
  <c r="B8" i="29" s="1"/>
  <c r="B43" s="1"/>
  <c r="AG82" i="7"/>
  <c r="AF82"/>
  <c r="AE82"/>
  <c r="AD82"/>
  <c r="Z82"/>
  <c r="Q82"/>
  <c r="P82"/>
  <c r="O82"/>
  <c r="V18" i="23" l="1"/>
  <c r="V19" i="34"/>
  <c r="AM84" i="7"/>
  <c r="T84"/>
  <c r="K17" i="23"/>
  <c r="K8" i="29"/>
  <c r="K43" s="1"/>
  <c r="K45" s="1"/>
  <c r="L17" i="23"/>
  <c r="L8" i="29"/>
  <c r="L43" s="1"/>
  <c r="L45" s="1"/>
  <c r="I9"/>
  <c r="P20" i="23"/>
  <c r="P9" i="29" s="1"/>
  <c r="T9" s="1"/>
  <c r="F19" i="23"/>
  <c r="I20"/>
  <c r="N20"/>
  <c r="N9" i="29" s="1"/>
  <c r="O20" i="23"/>
  <c r="O9" i="29" s="1"/>
  <c r="S9" s="1"/>
  <c r="D17" i="23"/>
  <c r="R82" i="7"/>
  <c r="AH82"/>
  <c r="B19" i="23"/>
  <c r="D292" i="7"/>
  <c r="K292"/>
  <c r="M292"/>
  <c r="C292"/>
  <c r="E292"/>
  <c r="L292"/>
  <c r="G292"/>
  <c r="W292"/>
  <c r="AQ83"/>
  <c r="AQ292" s="1"/>
  <c r="O83"/>
  <c r="N8" i="29" s="1"/>
  <c r="N43" s="1"/>
  <c r="X15" i="23"/>
  <c r="X15" i="34" s="1"/>
  <c r="B18" i="23" l="1"/>
  <c r="B17" s="1"/>
  <c r="B19" i="34"/>
  <c r="E19" s="1"/>
  <c r="F18" i="23"/>
  <c r="F19" i="34"/>
  <c r="V18"/>
  <c r="R9" i="29"/>
  <c r="Q9"/>
  <c r="AN9"/>
  <c r="T20" i="23"/>
  <c r="S20"/>
  <c r="Q20"/>
  <c r="N19"/>
  <c r="N18" s="1"/>
  <c r="N45" i="29" s="1"/>
  <c r="R20" i="23"/>
  <c r="C17"/>
  <c r="J17"/>
  <c r="Y46" i="14"/>
  <c r="N83" i="7"/>
  <c r="O292"/>
  <c r="S83"/>
  <c r="AM83" s="1"/>
  <c r="W15" i="23"/>
  <c r="W15" i="34" s="1"/>
  <c r="N81" i="7"/>
  <c r="I81"/>
  <c r="H15" i="23" s="1"/>
  <c r="H81" i="7"/>
  <c r="G15" i="23" s="1"/>
  <c r="G81" i="7"/>
  <c r="F15" i="23" s="1"/>
  <c r="F15" i="34" s="1"/>
  <c r="F81" i="7"/>
  <c r="Y80"/>
  <c r="X80"/>
  <c r="W80"/>
  <c r="AQ80" s="1"/>
  <c r="M80"/>
  <c r="K80"/>
  <c r="I80"/>
  <c r="Q80" s="1"/>
  <c r="H80"/>
  <c r="G80"/>
  <c r="F80"/>
  <c r="B18" i="34" l="1"/>
  <c r="E18" s="1"/>
  <c r="P15" i="23"/>
  <c r="T15" s="1"/>
  <c r="H15" i="34"/>
  <c r="V17"/>
  <c r="F45" i="29"/>
  <c r="O15" i="23"/>
  <c r="S15" s="1"/>
  <c r="G15" i="34"/>
  <c r="I15" s="1"/>
  <c r="F18"/>
  <c r="N19"/>
  <c r="U9" i="29"/>
  <c r="AL9"/>
  <c r="R8"/>
  <c r="I15" i="23"/>
  <c r="N15"/>
  <c r="AN15"/>
  <c r="U20"/>
  <c r="R19"/>
  <c r="R18" s="1"/>
  <c r="AL20"/>
  <c r="AN20"/>
  <c r="M17"/>
  <c r="E17"/>
  <c r="O81" i="7"/>
  <c r="G46" i="14"/>
  <c r="Q81" i="7"/>
  <c r="I46" i="14"/>
  <c r="X46"/>
  <c r="P81" i="7"/>
  <c r="H46" i="14"/>
  <c r="P46" s="1"/>
  <c r="T46" s="1"/>
  <c r="N292" i="7"/>
  <c r="N80"/>
  <c r="O80"/>
  <c r="P80"/>
  <c r="S292"/>
  <c r="F185"/>
  <c r="E185" s="1"/>
  <c r="D185" s="1"/>
  <c r="C185" s="1"/>
  <c r="J80"/>
  <c r="J81"/>
  <c r="Z80"/>
  <c r="Y79"/>
  <c r="W79"/>
  <c r="AQ79" s="1"/>
  <c r="M79"/>
  <c r="K79"/>
  <c r="I79"/>
  <c r="Q79" s="1"/>
  <c r="H79"/>
  <c r="G79"/>
  <c r="F79"/>
  <c r="B17" i="34" l="1"/>
  <c r="E17" s="1"/>
  <c r="R19"/>
  <c r="N18"/>
  <c r="AL19" i="23"/>
  <c r="R43" i="29"/>
  <c r="AL8"/>
  <c r="Q15" i="23"/>
  <c r="R15"/>
  <c r="S81" i="7"/>
  <c r="AM81" s="1"/>
  <c r="R81"/>
  <c r="U81"/>
  <c r="AO81" s="1"/>
  <c r="AL15" i="23"/>
  <c r="T81" i="7"/>
  <c r="Q46" i="14"/>
  <c r="U46" s="1"/>
  <c r="O46"/>
  <c r="J46"/>
  <c r="N79" i="7"/>
  <c r="R80"/>
  <c r="O79"/>
  <c r="S79" s="1"/>
  <c r="AM79" s="1"/>
  <c r="P79"/>
  <c r="J79"/>
  <c r="Y78"/>
  <c r="X13" i="23" s="1"/>
  <c r="X13" i="34" s="1"/>
  <c r="W78" i="7"/>
  <c r="V13" i="23" s="1"/>
  <c r="V13" i="34" s="1"/>
  <c r="M78" i="7"/>
  <c r="K78"/>
  <c r="I78"/>
  <c r="H13" i="23" s="1"/>
  <c r="H13" i="34" s="1"/>
  <c r="AL43" i="29" l="1"/>
  <c r="R45"/>
  <c r="R18" i="34"/>
  <c r="AL19"/>
  <c r="U15" i="23"/>
  <c r="M26" i="14"/>
  <c r="M25" s="1"/>
  <c r="M9" s="1"/>
  <c r="L13" i="23"/>
  <c r="K26" i="14"/>
  <c r="K25" s="1"/>
  <c r="J13" i="23"/>
  <c r="V81" i="7"/>
  <c r="AQ78"/>
  <c r="W26" i="14"/>
  <c r="Y26"/>
  <c r="AO46"/>
  <c r="Q78" i="7"/>
  <c r="I26" i="14"/>
  <c r="S46"/>
  <c r="R46"/>
  <c r="N78" i="7"/>
  <c r="R79"/>
  <c r="H78"/>
  <c r="G13" i="23" s="1"/>
  <c r="G78" i="7"/>
  <c r="F78"/>
  <c r="AQ77"/>
  <c r="AG77"/>
  <c r="AF77"/>
  <c r="AE77"/>
  <c r="AD77"/>
  <c r="Z77"/>
  <c r="Q77"/>
  <c r="P77"/>
  <c r="O77"/>
  <c r="R77" s="1"/>
  <c r="N77"/>
  <c r="J77"/>
  <c r="F77"/>
  <c r="O13" i="23" l="1"/>
  <c r="S13" s="1"/>
  <c r="G13" i="34"/>
  <c r="M13" i="23"/>
  <c r="J13" i="34"/>
  <c r="P13" i="23"/>
  <c r="T13" s="1"/>
  <c r="L13" i="34"/>
  <c r="AL18"/>
  <c r="N26" i="14"/>
  <c r="G26"/>
  <c r="O26" s="1"/>
  <c r="F13" i="23"/>
  <c r="F13" i="34" s="1"/>
  <c r="I13" s="1"/>
  <c r="Q26" i="14"/>
  <c r="U26" s="1"/>
  <c r="P78" i="7"/>
  <c r="P76" s="1"/>
  <c r="H26" i="14"/>
  <c r="J26" s="1"/>
  <c r="AM46"/>
  <c r="V46"/>
  <c r="U78" i="7"/>
  <c r="AO78" s="1"/>
  <c r="K9" i="14"/>
  <c r="N25"/>
  <c r="N9" s="1"/>
  <c r="AH77" i="7"/>
  <c r="O78"/>
  <c r="O76" s="1"/>
  <c r="J78"/>
  <c r="J76" s="1"/>
  <c r="Y76"/>
  <c r="Q76"/>
  <c r="M76"/>
  <c r="L76"/>
  <c r="K76"/>
  <c r="I76"/>
  <c r="M13" i="34" l="1"/>
  <c r="I13" i="23"/>
  <c r="N13"/>
  <c r="T78" i="7"/>
  <c r="P26" i="14"/>
  <c r="T26" s="1"/>
  <c r="S26"/>
  <c r="R26"/>
  <c r="L291" i="7"/>
  <c r="L295" s="1"/>
  <c r="I291"/>
  <c r="K291"/>
  <c r="K295" s="1"/>
  <c r="K296" s="1"/>
  <c r="M291"/>
  <c r="P291"/>
  <c r="Y291"/>
  <c r="R78"/>
  <c r="S78"/>
  <c r="AM78" s="1"/>
  <c r="J291"/>
  <c r="N76"/>
  <c r="O291"/>
  <c r="Q291"/>
  <c r="H76"/>
  <c r="G76"/>
  <c r="E76"/>
  <c r="D76"/>
  <c r="C76"/>
  <c r="Q13" i="23" l="1"/>
  <c r="R13"/>
  <c r="V26" i="14"/>
  <c r="AM26"/>
  <c r="C291" i="7"/>
  <c r="V78"/>
  <c r="H291"/>
  <c r="F76"/>
  <c r="G291"/>
  <c r="N291"/>
  <c r="N295" s="1"/>
  <c r="AW73"/>
  <c r="AU73"/>
  <c r="AQ73"/>
  <c r="U13" i="23" l="1"/>
  <c r="AL13"/>
  <c r="F291" i="7"/>
  <c r="E291" s="1"/>
  <c r="D291" s="1"/>
  <c r="M295"/>
  <c r="AC72"/>
  <c r="AB72"/>
  <c r="AA72"/>
  <c r="F295" l="1"/>
  <c r="E295"/>
  <c r="D295" l="1"/>
  <c r="M72"/>
  <c r="L72"/>
  <c r="K72"/>
  <c r="I72"/>
  <c r="H72"/>
  <c r="G72"/>
  <c r="E72"/>
  <c r="D72"/>
  <c r="C72"/>
  <c r="AC71"/>
  <c r="AB71"/>
  <c r="AA71"/>
  <c r="M71"/>
  <c r="L71"/>
  <c r="K71"/>
  <c r="I71"/>
  <c r="H71"/>
  <c r="G71"/>
  <c r="E71"/>
  <c r="D71"/>
  <c r="C71"/>
  <c r="AY70"/>
  <c r="AX70"/>
  <c r="AV70"/>
  <c r="AT70"/>
  <c r="AB70"/>
  <c r="AA11" i="23" s="1"/>
  <c r="AA11" i="34" s="1"/>
  <c r="AA70" i="7" l="1"/>
  <c r="Z11" i="23" s="1"/>
  <c r="Z11" i="34" s="1"/>
  <c r="AB299" i="7"/>
  <c r="C295"/>
  <c r="C296" s="1"/>
  <c r="M70"/>
  <c r="L11" i="23" s="1"/>
  <c r="L11" i="34" s="1"/>
  <c r="K70" i="7"/>
  <c r="J11" i="23" s="1"/>
  <c r="J11" i="34" s="1"/>
  <c r="H70" i="7"/>
  <c r="G11" i="23" s="1"/>
  <c r="G11" i="34" s="1"/>
  <c r="E70" i="7"/>
  <c r="D11" i="23" s="1"/>
  <c r="D11" i="34" s="1"/>
  <c r="C70" i="7"/>
  <c r="B11" i="23" s="1"/>
  <c r="B11" i="34" s="1"/>
  <c r="AQ69" i="7"/>
  <c r="AG69"/>
  <c r="AF69"/>
  <c r="AH69" s="1"/>
  <c r="AW69" s="1"/>
  <c r="AE69"/>
  <c r="AD69"/>
  <c r="Z69"/>
  <c r="Q69"/>
  <c r="P69"/>
  <c r="O69"/>
  <c r="R69" s="1"/>
  <c r="N69"/>
  <c r="J69"/>
  <c r="F69"/>
  <c r="AU69" s="1"/>
  <c r="T11" i="34" l="1"/>
  <c r="R11"/>
  <c r="C299" i="7"/>
  <c r="D70"/>
  <c r="C11" i="23" s="1"/>
  <c r="C11" i="34" s="1"/>
  <c r="E11" s="1"/>
  <c r="E299" i="7"/>
  <c r="K299"/>
  <c r="G70"/>
  <c r="F11" i="23" s="1"/>
  <c r="F11" i="34" s="1"/>
  <c r="H299" i="7"/>
  <c r="L70"/>
  <c r="M299"/>
  <c r="AA299"/>
  <c r="AD68"/>
  <c r="Y68"/>
  <c r="AG68" s="1"/>
  <c r="X68"/>
  <c r="AF68" s="1"/>
  <c r="W68"/>
  <c r="AQ68" s="1"/>
  <c r="Q68"/>
  <c r="P68"/>
  <c r="O68"/>
  <c r="N68"/>
  <c r="J68"/>
  <c r="F68"/>
  <c r="AU68" s="1"/>
  <c r="AD67"/>
  <c r="Y67"/>
  <c r="AG67" s="1"/>
  <c r="X67"/>
  <c r="AF67" s="1"/>
  <c r="W67"/>
  <c r="AQ67" s="1"/>
  <c r="Q67"/>
  <c r="P67"/>
  <c r="O67"/>
  <c r="N67"/>
  <c r="N66" s="1"/>
  <c r="J67"/>
  <c r="F67"/>
  <c r="AU67" s="1"/>
  <c r="AC66"/>
  <c r="AB66"/>
  <c r="AA66"/>
  <c r="Y66"/>
  <c r="AG66" s="1"/>
  <c r="M66"/>
  <c r="L66"/>
  <c r="K66"/>
  <c r="J66"/>
  <c r="I66"/>
  <c r="H66"/>
  <c r="G66"/>
  <c r="O66" s="1"/>
  <c r="F66"/>
  <c r="E66"/>
  <c r="D66"/>
  <c r="C66"/>
  <c r="AQ65"/>
  <c r="AG65"/>
  <c r="AF65"/>
  <c r="AE65"/>
  <c r="AD65"/>
  <c r="Z65"/>
  <c r="Q65"/>
  <c r="P65"/>
  <c r="O65"/>
  <c r="N65"/>
  <c r="J65"/>
  <c r="F65"/>
  <c r="AD64"/>
  <c r="Y64"/>
  <c r="X64"/>
  <c r="W64"/>
  <c r="Q64"/>
  <c r="Q72" s="1"/>
  <c r="P64"/>
  <c r="P72" s="1"/>
  <c r="O64"/>
  <c r="O72" s="1"/>
  <c r="N64"/>
  <c r="N72" s="1"/>
  <c r="J64"/>
  <c r="J72" s="1"/>
  <c r="F64"/>
  <c r="AU64" s="1"/>
  <c r="AD63"/>
  <c r="AD71" s="1"/>
  <c r="Y63"/>
  <c r="AG63" s="1"/>
  <c r="X63"/>
  <c r="W63"/>
  <c r="AQ63" s="1"/>
  <c r="Q63"/>
  <c r="Q71" s="1"/>
  <c r="P63"/>
  <c r="P71" s="1"/>
  <c r="O63"/>
  <c r="O71" s="1"/>
  <c r="N63"/>
  <c r="N71" s="1"/>
  <c r="J63"/>
  <c r="J71" s="1"/>
  <c r="J70" s="1"/>
  <c r="F63"/>
  <c r="F71" s="1"/>
  <c r="AC62"/>
  <c r="AB62"/>
  <c r="AA62"/>
  <c r="W62"/>
  <c r="AQ62" s="1"/>
  <c r="N62"/>
  <c r="M62"/>
  <c r="L62"/>
  <c r="K62"/>
  <c r="J62"/>
  <c r="I62"/>
  <c r="H62"/>
  <c r="G62"/>
  <c r="O62" s="1"/>
  <c r="F62"/>
  <c r="E62"/>
  <c r="D62"/>
  <c r="C62"/>
  <c r="AQ61"/>
  <c r="AG61"/>
  <c r="AF61"/>
  <c r="AE61"/>
  <c r="AD61"/>
  <c r="Z61"/>
  <c r="Q61"/>
  <c r="P61"/>
  <c r="O61"/>
  <c r="R61" s="1"/>
  <c r="N61"/>
  <c r="J61"/>
  <c r="F61"/>
  <c r="AU61" s="1"/>
  <c r="AU60"/>
  <c r="AQ60"/>
  <c r="AN11" i="34" l="1"/>
  <c r="AL11"/>
  <c r="S11"/>
  <c r="N11" i="23"/>
  <c r="E11"/>
  <c r="K11"/>
  <c r="K11" i="34" s="1"/>
  <c r="X72" i="7"/>
  <c r="D299"/>
  <c r="AH61"/>
  <c r="AW61" s="1"/>
  <c r="AD62"/>
  <c r="R65"/>
  <c r="AH65"/>
  <c r="AW65" s="1"/>
  <c r="AD66"/>
  <c r="R67"/>
  <c r="R68"/>
  <c r="I70"/>
  <c r="H11" i="23" s="1"/>
  <c r="J299" i="7"/>
  <c r="S62"/>
  <c r="AM62" s="1"/>
  <c r="S66"/>
  <c r="AM66" s="1"/>
  <c r="L299"/>
  <c r="G299"/>
  <c r="S63"/>
  <c r="AM63" s="1"/>
  <c r="U63"/>
  <c r="AO63" s="1"/>
  <c r="AU63"/>
  <c r="S64"/>
  <c r="AM64" s="1"/>
  <c r="U64"/>
  <c r="AO64" s="1"/>
  <c r="AZ63"/>
  <c r="F72"/>
  <c r="F70" s="1"/>
  <c r="F299" s="1"/>
  <c r="Y62"/>
  <c r="AG62" s="1"/>
  <c r="R63"/>
  <c r="R71" s="1"/>
  <c r="T63"/>
  <c r="R64"/>
  <c r="R72" s="1"/>
  <c r="T64"/>
  <c r="AZ64"/>
  <c r="AU65"/>
  <c r="AU70" s="1"/>
  <c r="AE63"/>
  <c r="X71"/>
  <c r="W72"/>
  <c r="AQ72" s="1"/>
  <c r="Y72"/>
  <c r="X66"/>
  <c r="AF66" s="1"/>
  <c r="AE67"/>
  <c r="AF64"/>
  <c r="AH67"/>
  <c r="AW67" s="1"/>
  <c r="W71"/>
  <c r="AQ71" s="1"/>
  <c r="AE62"/>
  <c r="Z63"/>
  <c r="AI63"/>
  <c r="Z67"/>
  <c r="X62"/>
  <c r="AF62" s="1"/>
  <c r="AF63"/>
  <c r="Z64"/>
  <c r="AE64"/>
  <c r="AG64"/>
  <c r="AK64" s="1"/>
  <c r="AQ64"/>
  <c r="W66"/>
  <c r="Z68"/>
  <c r="AE68"/>
  <c r="AH68" s="1"/>
  <c r="AG60"/>
  <c r="AF60"/>
  <c r="AE60"/>
  <c r="AD60"/>
  <c r="Z60"/>
  <c r="Q60"/>
  <c r="P60"/>
  <c r="O60"/>
  <c r="M11" i="34" l="1"/>
  <c r="U11"/>
  <c r="R60" i="7"/>
  <c r="AK63"/>
  <c r="X70"/>
  <c r="W11" i="23" s="1"/>
  <c r="AE11" s="1"/>
  <c r="I11"/>
  <c r="H11" i="34"/>
  <c r="AH60" i="7"/>
  <c r="AW60" s="1"/>
  <c r="P11" i="23"/>
  <c r="O11"/>
  <c r="M11"/>
  <c r="R11"/>
  <c r="AH63" i="7"/>
  <c r="AH71" s="1"/>
  <c r="AN63"/>
  <c r="AW68"/>
  <c r="AF72"/>
  <c r="AN64"/>
  <c r="I299"/>
  <c r="V64"/>
  <c r="V63"/>
  <c r="AZ70"/>
  <c r="R70"/>
  <c r="AE71"/>
  <c r="Z62"/>
  <c r="AJ64"/>
  <c r="AH62"/>
  <c r="AE72"/>
  <c r="AD72" s="1"/>
  <c r="AI64"/>
  <c r="AH64"/>
  <c r="AP64" s="1"/>
  <c r="AE66"/>
  <c r="AQ66"/>
  <c r="Z66"/>
  <c r="AF71"/>
  <c r="AJ63"/>
  <c r="AL63" s="1"/>
  <c r="W70"/>
  <c r="V11" i="23" s="1"/>
  <c r="V11" i="34" s="1"/>
  <c r="Z72" i="7"/>
  <c r="AI62"/>
  <c r="Z71"/>
  <c r="AY59"/>
  <c r="AX59"/>
  <c r="AX74" s="1"/>
  <c r="AV59"/>
  <c r="AV74" s="1"/>
  <c r="W11" i="34" l="1"/>
  <c r="X299" i="7"/>
  <c r="AD11" i="34"/>
  <c r="AE11"/>
  <c r="I11"/>
  <c r="Q11" i="23"/>
  <c r="AP63" i="7"/>
  <c r="AD11" i="23"/>
  <c r="T11"/>
  <c r="AH11"/>
  <c r="S11"/>
  <c r="AF70" i="7"/>
  <c r="AF299" s="1"/>
  <c r="AW63"/>
  <c r="Q70"/>
  <c r="R299"/>
  <c r="R300" s="1"/>
  <c r="J300" s="1"/>
  <c r="AL64"/>
  <c r="W299"/>
  <c r="AQ70"/>
  <c r="AE70"/>
  <c r="AH72"/>
  <c r="AW64"/>
  <c r="Y71"/>
  <c r="Z70"/>
  <c r="AH66"/>
  <c r="AI66"/>
  <c r="AG71"/>
  <c r="AQ53"/>
  <c r="AC52"/>
  <c r="AB52"/>
  <c r="AA52"/>
  <c r="M52"/>
  <c r="L52"/>
  <c r="K52"/>
  <c r="E52"/>
  <c r="D52"/>
  <c r="C52"/>
  <c r="BP52" s="1"/>
  <c r="AD51"/>
  <c r="Y51"/>
  <c r="AG51" s="1"/>
  <c r="X51"/>
  <c r="AF51" s="1"/>
  <c r="W51"/>
  <c r="AQ51" s="1"/>
  <c r="N51"/>
  <c r="I51"/>
  <c r="Q51" s="1"/>
  <c r="U51" s="1"/>
  <c r="AO51" s="1"/>
  <c r="H51"/>
  <c r="P51" s="1"/>
  <c r="T51" s="1"/>
  <c r="G51"/>
  <c r="O51" s="1"/>
  <c r="F51"/>
  <c r="AU51" s="1"/>
  <c r="AD50"/>
  <c r="Y50"/>
  <c r="AG50" s="1"/>
  <c r="X50"/>
  <c r="AF50" s="1"/>
  <c r="W50"/>
  <c r="AQ50" s="1"/>
  <c r="N50"/>
  <c r="I50"/>
  <c r="Q50" s="1"/>
  <c r="H50"/>
  <c r="P50" s="1"/>
  <c r="G50"/>
  <c r="O50" s="1"/>
  <c r="F50"/>
  <c r="AD49"/>
  <c r="Y49"/>
  <c r="AG49" s="1"/>
  <c r="X49"/>
  <c r="AF49" s="1"/>
  <c r="W49"/>
  <c r="AQ49" s="1"/>
  <c r="N49"/>
  <c r="I49"/>
  <c r="Q49" s="1"/>
  <c r="H49"/>
  <c r="P49" s="1"/>
  <c r="G49"/>
  <c r="O49" s="1"/>
  <c r="F49"/>
  <c r="AD48"/>
  <c r="Y48"/>
  <c r="X48"/>
  <c r="W48"/>
  <c r="N48"/>
  <c r="I48"/>
  <c r="H48"/>
  <c r="G48"/>
  <c r="F48"/>
  <c r="AU48" s="1"/>
  <c r="AQ47"/>
  <c r="AH11" i="34" l="1"/>
  <c r="AI11"/>
  <c r="AM11"/>
  <c r="AW70" i="7"/>
  <c r="AM11" i="23"/>
  <c r="AI11"/>
  <c r="AN11"/>
  <c r="U11"/>
  <c r="AJ51" i="7"/>
  <c r="AN51"/>
  <c r="X30" i="14"/>
  <c r="X29" s="1"/>
  <c r="AF29" s="1"/>
  <c r="P48" i="7"/>
  <c r="T48" s="1"/>
  <c r="AN48" s="1"/>
  <c r="H30" i="14"/>
  <c r="O48" i="7"/>
  <c r="S48" s="1"/>
  <c r="AM48" s="1"/>
  <c r="G30" i="14"/>
  <c r="Q48" i="7"/>
  <c r="U48" s="1"/>
  <c r="AO48" s="1"/>
  <c r="I30" i="14"/>
  <c r="W52" i="7"/>
  <c r="AQ52" s="1"/>
  <c r="W30" i="14"/>
  <c r="AG48" i="7"/>
  <c r="Y30" i="14"/>
  <c r="X52" i="7"/>
  <c r="P70"/>
  <c r="Q299"/>
  <c r="AK51"/>
  <c r="AE50"/>
  <c r="Y52"/>
  <c r="H52"/>
  <c r="AE48"/>
  <c r="AQ48"/>
  <c r="AE49"/>
  <c r="AE51"/>
  <c r="R48"/>
  <c r="S49"/>
  <c r="AM49" s="1"/>
  <c r="R49"/>
  <c r="S51"/>
  <c r="AM51" s="1"/>
  <c r="R51"/>
  <c r="S50"/>
  <c r="AM50" s="1"/>
  <c r="R50"/>
  <c r="AH51"/>
  <c r="AW51" s="1"/>
  <c r="AG72"/>
  <c r="AQ299"/>
  <c r="Y70"/>
  <c r="X11" i="23" s="1"/>
  <c r="X11" i="34" s="1"/>
  <c r="Z299" i="7"/>
  <c r="AD70"/>
  <c r="AE299"/>
  <c r="Z48"/>
  <c r="Z49"/>
  <c r="Z50"/>
  <c r="Z51"/>
  <c r="G52"/>
  <c r="I52"/>
  <c r="J48"/>
  <c r="AF48"/>
  <c r="J49"/>
  <c r="J50"/>
  <c r="J51"/>
  <c r="AH70"/>
  <c r="AG47"/>
  <c r="AF47"/>
  <c r="AE47"/>
  <c r="AD47"/>
  <c r="Z47"/>
  <c r="Q47"/>
  <c r="P47"/>
  <c r="O47"/>
  <c r="R47" s="1"/>
  <c r="N47"/>
  <c r="J47"/>
  <c r="F47"/>
  <c r="AU47" s="1"/>
  <c r="AC45"/>
  <c r="AB45"/>
  <c r="AA45"/>
  <c r="M45"/>
  <c r="L45"/>
  <c r="K45"/>
  <c r="E45"/>
  <c r="D45"/>
  <c r="C45"/>
  <c r="BP45" s="1"/>
  <c r="AG44"/>
  <c r="AF44"/>
  <c r="AE44"/>
  <c r="AD44"/>
  <c r="Z44"/>
  <c r="Q44"/>
  <c r="P44"/>
  <c r="O44"/>
  <c r="N44"/>
  <c r="J44"/>
  <c r="F44"/>
  <c r="AU44" s="1"/>
  <c r="AD43"/>
  <c r="Y43"/>
  <c r="AG43" s="1"/>
  <c r="X43"/>
  <c r="AF43" s="1"/>
  <c r="W43"/>
  <c r="AQ43" s="1"/>
  <c r="N43"/>
  <c r="I43"/>
  <c r="Q43" s="1"/>
  <c r="H43"/>
  <c r="P43" s="1"/>
  <c r="G43"/>
  <c r="O43" s="1"/>
  <c r="F43"/>
  <c r="AU43" s="1"/>
  <c r="AD42"/>
  <c r="Y42"/>
  <c r="AG42" s="1"/>
  <c r="X42"/>
  <c r="AF42" s="1"/>
  <c r="W42"/>
  <c r="AE42" s="1"/>
  <c r="N42"/>
  <c r="I42"/>
  <c r="Q42" s="1"/>
  <c r="H42"/>
  <c r="P42" s="1"/>
  <c r="G42"/>
  <c r="O42" s="1"/>
  <c r="F42"/>
  <c r="AU42" s="1"/>
  <c r="AD41"/>
  <c r="Y41"/>
  <c r="X41"/>
  <c r="W41"/>
  <c r="N41"/>
  <c r="I41"/>
  <c r="H41"/>
  <c r="G41"/>
  <c r="F41"/>
  <c r="AD40"/>
  <c r="Y40"/>
  <c r="X40"/>
  <c r="W40"/>
  <c r="N40"/>
  <c r="I40"/>
  <c r="H40"/>
  <c r="G40"/>
  <c r="F40"/>
  <c r="AD39"/>
  <c r="Y39"/>
  <c r="X39"/>
  <c r="W39"/>
  <c r="N39"/>
  <c r="I39"/>
  <c r="H39"/>
  <c r="G39"/>
  <c r="F39"/>
  <c r="AU39" s="1"/>
  <c r="AD38"/>
  <c r="Y38"/>
  <c r="X38"/>
  <c r="W38"/>
  <c r="N38"/>
  <c r="I38"/>
  <c r="H38"/>
  <c r="G38"/>
  <c r="F38"/>
  <c r="AU38" s="1"/>
  <c r="AD37"/>
  <c r="Y37"/>
  <c r="AG37" s="1"/>
  <c r="X37"/>
  <c r="AF37" s="1"/>
  <c r="W37"/>
  <c r="AE37" s="1"/>
  <c r="N37"/>
  <c r="I37"/>
  <c r="Q37" s="1"/>
  <c r="H37"/>
  <c r="P37" s="1"/>
  <c r="G37"/>
  <c r="O37" s="1"/>
  <c r="F37"/>
  <c r="AU37" s="1"/>
  <c r="AD36"/>
  <c r="Y36"/>
  <c r="AG36" s="1"/>
  <c r="X36"/>
  <c r="AF36" s="1"/>
  <c r="W36"/>
  <c r="AQ36" s="1"/>
  <c r="N36"/>
  <c r="I36"/>
  <c r="Q36" s="1"/>
  <c r="H36"/>
  <c r="P36" s="1"/>
  <c r="G36"/>
  <c r="O36" s="1"/>
  <c r="F36"/>
  <c r="AU36" s="1"/>
  <c r="AD35"/>
  <c r="Y35"/>
  <c r="AG35" s="1"/>
  <c r="X35"/>
  <c r="AF35" s="1"/>
  <c r="W35"/>
  <c r="AE35" s="1"/>
  <c r="N35"/>
  <c r="I35"/>
  <c r="Q35" s="1"/>
  <c r="H35"/>
  <c r="P35" s="1"/>
  <c r="G35"/>
  <c r="O35" s="1"/>
  <c r="F35"/>
  <c r="AU35" s="1"/>
  <c r="AD34"/>
  <c r="Y34"/>
  <c r="AG34" s="1"/>
  <c r="X34"/>
  <c r="AF34" s="1"/>
  <c r="W34"/>
  <c r="AQ34" s="1"/>
  <c r="N34"/>
  <c r="I34"/>
  <c r="Q34" s="1"/>
  <c r="H34"/>
  <c r="P34" s="1"/>
  <c r="G34"/>
  <c r="O34" s="1"/>
  <c r="F34"/>
  <c r="AU34" s="1"/>
  <c r="Y11" i="34" l="1"/>
  <c r="R44" i="7"/>
  <c r="AH44"/>
  <c r="AW44" s="1"/>
  <c r="AK48"/>
  <c r="AF30" i="14"/>
  <c r="Y11" i="23"/>
  <c r="P38" i="7"/>
  <c r="H22" i="14"/>
  <c r="P22" s="1"/>
  <c r="T22" s="1"/>
  <c r="AF38" i="7"/>
  <c r="X22" i="14"/>
  <c r="AF22" s="1"/>
  <c r="O39" i="7"/>
  <c r="G41" i="14"/>
  <c r="G23"/>
  <c r="Q39" i="7"/>
  <c r="I41" i="14"/>
  <c r="Q41" s="1"/>
  <c r="U41" s="1"/>
  <c r="I23"/>
  <c r="AE39" i="7"/>
  <c r="W41" i="14"/>
  <c r="AG39" i="7"/>
  <c r="Y41" i="14"/>
  <c r="AG41" s="1"/>
  <c r="P40" i="7"/>
  <c r="H42" i="14"/>
  <c r="P42" s="1"/>
  <c r="T42" s="1"/>
  <c r="AF40" i="7"/>
  <c r="X42" i="14"/>
  <c r="AF42" s="1"/>
  <c r="O41" i="7"/>
  <c r="S41" s="1"/>
  <c r="AM41" s="1"/>
  <c r="G36" i="14"/>
  <c r="Q41" i="7"/>
  <c r="I36" i="14"/>
  <c r="AQ41" i="7"/>
  <c r="W36" i="14"/>
  <c r="AG41" i="7"/>
  <c r="Y36" i="14"/>
  <c r="O38" i="7"/>
  <c r="S38" s="1"/>
  <c r="AM38" s="1"/>
  <c r="G22" i="14"/>
  <c r="Q38" i="7"/>
  <c r="I22" i="14"/>
  <c r="Q22" s="1"/>
  <c r="U22" s="1"/>
  <c r="AQ38" i="7"/>
  <c r="W22" i="14"/>
  <c r="AG38" i="7"/>
  <c r="Y22" i="14"/>
  <c r="AG22" s="1"/>
  <c r="P39" i="7"/>
  <c r="H23" i="14"/>
  <c r="H41"/>
  <c r="P41" s="1"/>
  <c r="T41" s="1"/>
  <c r="AF39" i="7"/>
  <c r="X41" i="14"/>
  <c r="AF41" s="1"/>
  <c r="O40" i="7"/>
  <c r="G42" i="14"/>
  <c r="Q40" i="7"/>
  <c r="I42" i="14"/>
  <c r="Q42" s="1"/>
  <c r="U42" s="1"/>
  <c r="AQ40" i="7"/>
  <c r="W42" i="14"/>
  <c r="AG40" i="7"/>
  <c r="Y42" i="14"/>
  <c r="AG42" s="1"/>
  <c r="P41" i="7"/>
  <c r="H36" i="14"/>
  <c r="AF41" i="7"/>
  <c r="X36" i="14"/>
  <c r="Y29"/>
  <c r="AG29" s="1"/>
  <c r="AG30"/>
  <c r="AE30"/>
  <c r="Z30"/>
  <c r="W29"/>
  <c r="I29"/>
  <c r="Q29" s="1"/>
  <c r="U29" s="1"/>
  <c r="Q30"/>
  <c r="U30" s="1"/>
  <c r="O30"/>
  <c r="J30"/>
  <c r="G29"/>
  <c r="H29"/>
  <c r="P29" s="1"/>
  <c r="T29" s="1"/>
  <c r="P30"/>
  <c r="T30" s="1"/>
  <c r="R42" i="7"/>
  <c r="AC70"/>
  <c r="AD299"/>
  <c r="O70"/>
  <c r="P299"/>
  <c r="AH47"/>
  <c r="AW47" s="1"/>
  <c r="AZ43"/>
  <c r="AZ59" s="1"/>
  <c r="AZ74" s="1"/>
  <c r="AY74" s="1"/>
  <c r="R37"/>
  <c r="J52"/>
  <c r="R35"/>
  <c r="AH48"/>
  <c r="AW48" s="1"/>
  <c r="Z52"/>
  <c r="AE34"/>
  <c r="AE36"/>
  <c r="AE38"/>
  <c r="AE43"/>
  <c r="S34"/>
  <c r="AM34" s="1"/>
  <c r="R34"/>
  <c r="S36"/>
  <c r="AM36" s="1"/>
  <c r="R36"/>
  <c r="R38"/>
  <c r="S43"/>
  <c r="AM43" s="1"/>
  <c r="R43"/>
  <c r="AG70"/>
  <c r="AH299"/>
  <c r="F52"/>
  <c r="Y299"/>
  <c r="AI50"/>
  <c r="AH50" s="1"/>
  <c r="AW50" s="1"/>
  <c r="AU50" s="1"/>
  <c r="AI51"/>
  <c r="AL51" s="1"/>
  <c r="V51"/>
  <c r="AP51" s="1"/>
  <c r="AI49"/>
  <c r="AH49" s="1"/>
  <c r="AW49" s="1"/>
  <c r="AU49" s="1"/>
  <c r="S52"/>
  <c r="AM52" s="1"/>
  <c r="AI48"/>
  <c r="V48"/>
  <c r="AP48" s="1"/>
  <c r="Z34"/>
  <c r="J35"/>
  <c r="S35"/>
  <c r="AM35" s="1"/>
  <c r="AQ35"/>
  <c r="Z36"/>
  <c r="J37"/>
  <c r="S37"/>
  <c r="AM37" s="1"/>
  <c r="AQ37"/>
  <c r="Z38"/>
  <c r="J39"/>
  <c r="S39"/>
  <c r="AM39" s="1"/>
  <c r="AQ39"/>
  <c r="J41"/>
  <c r="J42"/>
  <c r="S42"/>
  <c r="AM42" s="1"/>
  <c r="AQ42"/>
  <c r="Z43"/>
  <c r="AJ48"/>
  <c r="J34"/>
  <c r="Z35"/>
  <c r="J36"/>
  <c r="Z37"/>
  <c r="J38"/>
  <c r="Z39"/>
  <c r="J40"/>
  <c r="Z40"/>
  <c r="AE40"/>
  <c r="Z41"/>
  <c r="AE41"/>
  <c r="Z42"/>
  <c r="J43"/>
  <c r="AD33"/>
  <c r="Y33"/>
  <c r="X33"/>
  <c r="W33"/>
  <c r="AQ33" s="1"/>
  <c r="N33"/>
  <c r="I33"/>
  <c r="Q33" s="1"/>
  <c r="H33"/>
  <c r="G33"/>
  <c r="F33"/>
  <c r="AD32"/>
  <c r="Y32"/>
  <c r="AG32" s="1"/>
  <c r="X32"/>
  <c r="AF32" s="1"/>
  <c r="W32"/>
  <c r="AQ32" s="1"/>
  <c r="N32"/>
  <c r="I32"/>
  <c r="Q32" s="1"/>
  <c r="H32"/>
  <c r="G32"/>
  <c r="O32" s="1"/>
  <c r="S32" s="1"/>
  <c r="AM32" s="1"/>
  <c r="F32"/>
  <c r="AU32" s="1"/>
  <c r="AD31"/>
  <c r="Y31"/>
  <c r="AG31" s="1"/>
  <c r="X31"/>
  <c r="W31"/>
  <c r="AQ31" s="1"/>
  <c r="N31"/>
  <c r="I31"/>
  <c r="Q31" s="1"/>
  <c r="H31"/>
  <c r="P31" s="1"/>
  <c r="G31"/>
  <c r="O31" s="1"/>
  <c r="F31"/>
  <c r="AU31" s="1"/>
  <c r="AD30"/>
  <c r="Y30"/>
  <c r="AG30" s="1"/>
  <c r="X30"/>
  <c r="AF30" s="1"/>
  <c r="W30"/>
  <c r="AQ30" s="1"/>
  <c r="N30"/>
  <c r="I30"/>
  <c r="Q30" s="1"/>
  <c r="H30"/>
  <c r="G30"/>
  <c r="O30" s="1"/>
  <c r="S30" s="1"/>
  <c r="AM30" s="1"/>
  <c r="F30"/>
  <c r="AU30" s="1"/>
  <c r="AD29"/>
  <c r="Y29"/>
  <c r="X29"/>
  <c r="W29"/>
  <c r="N29"/>
  <c r="I29"/>
  <c r="H29"/>
  <c r="G29"/>
  <c r="F29"/>
  <c r="AU29" s="1"/>
  <c r="AD28"/>
  <c r="Y28"/>
  <c r="Y39" i="14" s="1"/>
  <c r="X28" i="7"/>
  <c r="X39" i="14" s="1"/>
  <c r="W28" i="7"/>
  <c r="W39" i="14" s="1"/>
  <c r="N28" i="7"/>
  <c r="N45" s="1"/>
  <c r="I28"/>
  <c r="I39" i="14" s="1"/>
  <c r="H28" i="7"/>
  <c r="H39" i="14" s="1"/>
  <c r="G28" i="7"/>
  <c r="G39" i="14" s="1"/>
  <c r="F28" i="7"/>
  <c r="AU28" s="1"/>
  <c r="AG27"/>
  <c r="AF27"/>
  <c r="AE27"/>
  <c r="AD27"/>
  <c r="Z27"/>
  <c r="Q27"/>
  <c r="P27"/>
  <c r="O27"/>
  <c r="N27"/>
  <c r="J27"/>
  <c r="F27"/>
  <c r="AU27" s="1"/>
  <c r="AG26"/>
  <c r="AF26"/>
  <c r="AE26"/>
  <c r="AD26"/>
  <c r="Z26"/>
  <c r="Q26"/>
  <c r="P26"/>
  <c r="R26" s="1"/>
  <c r="O26"/>
  <c r="N26"/>
  <c r="J26"/>
  <c r="F26"/>
  <c r="AU26" s="1"/>
  <c r="AC25"/>
  <c r="AB25"/>
  <c r="AA25"/>
  <c r="M25"/>
  <c r="L25"/>
  <c r="K25"/>
  <c r="E25"/>
  <c r="D25"/>
  <c r="C25"/>
  <c r="BP25" s="1"/>
  <c r="AD24"/>
  <c r="Y24"/>
  <c r="X24"/>
  <c r="W24"/>
  <c r="N24"/>
  <c r="I24"/>
  <c r="H24"/>
  <c r="G24"/>
  <c r="F24"/>
  <c r="AU24" s="1"/>
  <c r="AD23"/>
  <c r="Y23"/>
  <c r="X23"/>
  <c r="X27" i="14" s="1"/>
  <c r="W23" i="7"/>
  <c r="N23"/>
  <c r="I23"/>
  <c r="H23"/>
  <c r="G23"/>
  <c r="F23"/>
  <c r="AU23" s="1"/>
  <c r="AD22"/>
  <c r="AD25" s="1"/>
  <c r="Y22"/>
  <c r="Y45" i="14" s="1"/>
  <c r="X22" i="7"/>
  <c r="W22"/>
  <c r="W45" i="14" s="1"/>
  <c r="N22" i="7"/>
  <c r="N25" s="1"/>
  <c r="I22"/>
  <c r="I45" i="14" s="1"/>
  <c r="H22" i="7"/>
  <c r="H45" i="14" s="1"/>
  <c r="G22" i="7"/>
  <c r="G45" i="14" s="1"/>
  <c r="F22" i="7"/>
  <c r="AU22" s="1"/>
  <c r="AQ21"/>
  <c r="AG21"/>
  <c r="AF21"/>
  <c r="AE21"/>
  <c r="AD21"/>
  <c r="Z21"/>
  <c r="Q21"/>
  <c r="P21"/>
  <c r="O21"/>
  <c r="N21"/>
  <c r="J21"/>
  <c r="F21"/>
  <c r="AU21" s="1"/>
  <c r="AC19"/>
  <c r="AB19"/>
  <c r="AA19"/>
  <c r="M19"/>
  <c r="L19"/>
  <c r="K19"/>
  <c r="E19"/>
  <c r="E59" s="1"/>
  <c r="D19"/>
  <c r="C19"/>
  <c r="BP19" s="1"/>
  <c r="AD18"/>
  <c r="Y18"/>
  <c r="AG18" s="1"/>
  <c r="X18"/>
  <c r="W18"/>
  <c r="AQ18" s="1"/>
  <c r="N18"/>
  <c r="I18"/>
  <c r="Q18" s="1"/>
  <c r="H18"/>
  <c r="P18" s="1"/>
  <c r="G18"/>
  <c r="O18" s="1"/>
  <c r="F18"/>
  <c r="AU18" s="1"/>
  <c r="AD17"/>
  <c r="Y17"/>
  <c r="X17"/>
  <c r="W17"/>
  <c r="N17"/>
  <c r="I17"/>
  <c r="H17"/>
  <c r="G17"/>
  <c r="F17"/>
  <c r="AU17" s="1"/>
  <c r="AD16"/>
  <c r="Y16"/>
  <c r="X16"/>
  <c r="X14" i="14" s="1"/>
  <c r="AF14" s="1"/>
  <c r="W16" i="7"/>
  <c r="N16"/>
  <c r="I16"/>
  <c r="H16"/>
  <c r="G16"/>
  <c r="F16"/>
  <c r="AU16" s="1"/>
  <c r="AD15"/>
  <c r="Y15"/>
  <c r="AG15" s="1"/>
  <c r="X15"/>
  <c r="AF15" s="1"/>
  <c r="W15"/>
  <c r="AQ15" s="1"/>
  <c r="N15"/>
  <c r="I15"/>
  <c r="Q15" s="1"/>
  <c r="H15"/>
  <c r="G15"/>
  <c r="O15" s="1"/>
  <c r="S15" s="1"/>
  <c r="AM15" s="1"/>
  <c r="F15"/>
  <c r="AU15" s="1"/>
  <c r="AD14"/>
  <c r="Y14"/>
  <c r="X14"/>
  <c r="W14"/>
  <c r="N14"/>
  <c r="I14"/>
  <c r="H14"/>
  <c r="G14"/>
  <c r="F14"/>
  <c r="AU14" s="1"/>
  <c r="AD13"/>
  <c r="Y13"/>
  <c r="X13"/>
  <c r="X33" i="14" s="1"/>
  <c r="W13" i="7"/>
  <c r="N13"/>
  <c r="I13"/>
  <c r="H13"/>
  <c r="G13"/>
  <c r="F13"/>
  <c r="AU13" s="1"/>
  <c r="AD12"/>
  <c r="Y12"/>
  <c r="X12"/>
  <c r="X13" i="14" s="1"/>
  <c r="W12" i="7"/>
  <c r="W13" i="14" s="1"/>
  <c r="N12" i="7"/>
  <c r="N19" s="1"/>
  <c r="I12"/>
  <c r="I13" i="14" s="1"/>
  <c r="H12" i="7"/>
  <c r="G12"/>
  <c r="G13" i="14" s="1"/>
  <c r="F12" i="7"/>
  <c r="AU12" s="1"/>
  <c r="AG11"/>
  <c r="AF11"/>
  <c r="AE11"/>
  <c r="AD11"/>
  <c r="Z11"/>
  <c r="Q11"/>
  <c r="P11"/>
  <c r="O11"/>
  <c r="N11"/>
  <c r="J11"/>
  <c r="F11"/>
  <c r="AU11" s="1"/>
  <c r="AD9"/>
  <c r="Y9"/>
  <c r="X9"/>
  <c r="W9"/>
  <c r="Q9"/>
  <c r="O9"/>
  <c r="S9" s="1"/>
  <c r="N9"/>
  <c r="H9"/>
  <c r="F9"/>
  <c r="AU9" s="1"/>
  <c r="R41" l="1"/>
  <c r="X18" i="14"/>
  <c r="X17" s="1"/>
  <c r="AF17" s="1"/>
  <c r="AH40" i="7"/>
  <c r="AW40" s="1"/>
  <c r="AU40" s="1"/>
  <c r="R11"/>
  <c r="AH11"/>
  <c r="AH21"/>
  <c r="AW21" s="1"/>
  <c r="R39"/>
  <c r="R40"/>
  <c r="H21" i="14"/>
  <c r="H20" s="1"/>
  <c r="AB11" i="23"/>
  <c r="AB11" i="34" s="1"/>
  <c r="K59" i="7"/>
  <c r="M59"/>
  <c r="AB59"/>
  <c r="L59"/>
  <c r="AA59"/>
  <c r="AC59"/>
  <c r="E297"/>
  <c r="D9" i="23"/>
  <c r="R21" i="7"/>
  <c r="AH26"/>
  <c r="AW26" s="1"/>
  <c r="R27"/>
  <c r="AH27"/>
  <c r="AW27" s="1"/>
  <c r="AH30" i="14"/>
  <c r="D59" i="7"/>
  <c r="C59"/>
  <c r="AQ9"/>
  <c r="W10" i="14"/>
  <c r="AF9" i="7"/>
  <c r="X10" i="14"/>
  <c r="AF10" s="1"/>
  <c r="P12" i="7"/>
  <c r="T12" s="1"/>
  <c r="H13" i="14"/>
  <c r="J13" s="1"/>
  <c r="AF13"/>
  <c r="P13" i="7"/>
  <c r="H33" i="14"/>
  <c r="X32"/>
  <c r="AF32" s="1"/>
  <c r="AF33"/>
  <c r="P14" i="7"/>
  <c r="H18" i="14"/>
  <c r="AF18"/>
  <c r="P16" i="7"/>
  <c r="H14" i="14"/>
  <c r="P14" s="1"/>
  <c r="T14" s="1"/>
  <c r="O17" i="7"/>
  <c r="S17" s="1"/>
  <c r="AM17" s="1"/>
  <c r="G21" i="14"/>
  <c r="Q17" i="7"/>
  <c r="I21" i="14"/>
  <c r="AQ17" i="7"/>
  <c r="W21" i="14"/>
  <c r="AG17" i="7"/>
  <c r="Y21" i="14"/>
  <c r="P45"/>
  <c r="T45" s="1"/>
  <c r="H44"/>
  <c r="P44" s="1"/>
  <c r="T44" s="1"/>
  <c r="AF22" i="7"/>
  <c r="X45" i="14"/>
  <c r="Z45" s="1"/>
  <c r="P23" i="7"/>
  <c r="H27" i="14"/>
  <c r="AF27"/>
  <c r="O24" i="7"/>
  <c r="S24" s="1"/>
  <c r="AM24" s="1"/>
  <c r="G15" i="14"/>
  <c r="Q24" i="7"/>
  <c r="I15" i="14"/>
  <c r="Q15" s="1"/>
  <c r="U15" s="1"/>
  <c r="AE24" i="7"/>
  <c r="W15" i="14"/>
  <c r="AE15" s="1"/>
  <c r="AG24" i="7"/>
  <c r="Y15" i="14"/>
  <c r="O39"/>
  <c r="J39"/>
  <c r="Q39"/>
  <c r="U39" s="1"/>
  <c r="AE39"/>
  <c r="Z39"/>
  <c r="AG39"/>
  <c r="P29" i="7"/>
  <c r="H40" i="14"/>
  <c r="P40" s="1"/>
  <c r="T40" s="1"/>
  <c r="AN30"/>
  <c r="AJ30"/>
  <c r="O29"/>
  <c r="J29"/>
  <c r="S30"/>
  <c r="R30"/>
  <c r="AO29"/>
  <c r="AK29"/>
  <c r="X35"/>
  <c r="AF35" s="1"/>
  <c r="AF36"/>
  <c r="H35"/>
  <c r="P35" s="1"/>
  <c r="T35" s="1"/>
  <c r="P36"/>
  <c r="T36" s="1"/>
  <c r="AN36" s="1"/>
  <c r="AE42"/>
  <c r="AH42" s="1"/>
  <c r="Z42"/>
  <c r="AK42"/>
  <c r="AO42"/>
  <c r="O42"/>
  <c r="J42"/>
  <c r="AN41"/>
  <c r="AJ41"/>
  <c r="AK41"/>
  <c r="AO41"/>
  <c r="X40"/>
  <c r="AF40" s="1"/>
  <c r="J23"/>
  <c r="J9" i="7"/>
  <c r="H10" i="14"/>
  <c r="AG9" i="7"/>
  <c r="Y10" i="14"/>
  <c r="AG10" s="1"/>
  <c r="O13"/>
  <c r="Q13"/>
  <c r="U13" s="1"/>
  <c r="AE13"/>
  <c r="AG12" i="7"/>
  <c r="Y13" i="14"/>
  <c r="O13" i="7"/>
  <c r="S13" s="1"/>
  <c r="AM13" s="1"/>
  <c r="G33" i="14"/>
  <c r="Q13" i="7"/>
  <c r="I33" i="14"/>
  <c r="AE13" i="7"/>
  <c r="W33" i="14"/>
  <c r="AG13" i="7"/>
  <c r="Y33" i="14"/>
  <c r="O14" i="7"/>
  <c r="S14" s="1"/>
  <c r="AM14" s="1"/>
  <c r="G18" i="14"/>
  <c r="Q14" i="7"/>
  <c r="I18" i="14"/>
  <c r="AQ14" i="7"/>
  <c r="W18" i="14"/>
  <c r="AG14" i="7"/>
  <c r="Y18" i="14"/>
  <c r="O16" i="7"/>
  <c r="S16" s="1"/>
  <c r="AM16" s="1"/>
  <c r="G14" i="14"/>
  <c r="Q16" i="7"/>
  <c r="I14" i="14"/>
  <c r="Q14" s="1"/>
  <c r="U14" s="1"/>
  <c r="AQ16" i="7"/>
  <c r="W14" i="14"/>
  <c r="AG16" i="7"/>
  <c r="Y14" i="14"/>
  <c r="AG14" s="1"/>
  <c r="P21"/>
  <c r="AF17" i="7"/>
  <c r="X21" i="14"/>
  <c r="O45"/>
  <c r="G44"/>
  <c r="J45"/>
  <c r="Q45"/>
  <c r="U45" s="1"/>
  <c r="I44"/>
  <c r="Q44" s="1"/>
  <c r="U44" s="1"/>
  <c r="AE45"/>
  <c r="AG45"/>
  <c r="Y44"/>
  <c r="O23" i="7"/>
  <c r="S23" s="1"/>
  <c r="AM23" s="1"/>
  <c r="G27" i="14"/>
  <c r="Q23" i="7"/>
  <c r="I27" i="14"/>
  <c r="AQ23" i="7"/>
  <c r="W27" i="14"/>
  <c r="AG23" i="7"/>
  <c r="Y27" i="14"/>
  <c r="P24" i="7"/>
  <c r="H15" i="14"/>
  <c r="P15" s="1"/>
  <c r="T15" s="1"/>
  <c r="AF24" i="7"/>
  <c r="X15" i="14"/>
  <c r="AF15" s="1"/>
  <c r="P39"/>
  <c r="T39" s="1"/>
  <c r="AF39"/>
  <c r="X38"/>
  <c r="AF38" s="1"/>
  <c r="O29" i="7"/>
  <c r="S29" s="1"/>
  <c r="AM29" s="1"/>
  <c r="G40" i="14"/>
  <c r="Q29" i="7"/>
  <c r="I40" i="14"/>
  <c r="Q40" s="1"/>
  <c r="U40" s="1"/>
  <c r="AO40" s="1"/>
  <c r="AQ29" i="7"/>
  <c r="W40" i="14"/>
  <c r="AG29" i="7"/>
  <c r="Y40" i="14"/>
  <c r="AG40" s="1"/>
  <c r="AK40" s="1"/>
  <c r="AJ29"/>
  <c r="AN29"/>
  <c r="AK30"/>
  <c r="AO30"/>
  <c r="AE29"/>
  <c r="AH29" s="1"/>
  <c r="Z29"/>
  <c r="AE22"/>
  <c r="AH22" s="1"/>
  <c r="Z22"/>
  <c r="AO22"/>
  <c r="AK22"/>
  <c r="O22"/>
  <c r="J22"/>
  <c r="Y35"/>
  <c r="AG35" s="1"/>
  <c r="AG36"/>
  <c r="AE36"/>
  <c r="W35"/>
  <c r="Z36"/>
  <c r="I35"/>
  <c r="Q35" s="1"/>
  <c r="U35" s="1"/>
  <c r="Q36"/>
  <c r="U36" s="1"/>
  <c r="O36"/>
  <c r="G35"/>
  <c r="J36"/>
  <c r="AN42"/>
  <c r="AJ42"/>
  <c r="AE41"/>
  <c r="AH41" s="1"/>
  <c r="Z41"/>
  <c r="O41"/>
  <c r="J41"/>
  <c r="AJ22"/>
  <c r="AN22"/>
  <c r="J32" i="7"/>
  <c r="K74"/>
  <c r="M74"/>
  <c r="AB74"/>
  <c r="L74"/>
  <c r="AA74"/>
  <c r="N70"/>
  <c r="N299" s="1"/>
  <c r="O299"/>
  <c r="AC299"/>
  <c r="AC74"/>
  <c r="AW11"/>
  <c r="F19"/>
  <c r="AQ13"/>
  <c r="G19"/>
  <c r="I19"/>
  <c r="Z12"/>
  <c r="G25"/>
  <c r="F25" s="1"/>
  <c r="I25"/>
  <c r="W25"/>
  <c r="AQ25" s="1"/>
  <c r="Y25"/>
  <c r="G45"/>
  <c r="I45"/>
  <c r="W45"/>
  <c r="AQ45" s="1"/>
  <c r="Y45"/>
  <c r="Z31"/>
  <c r="Z33"/>
  <c r="AE9"/>
  <c r="AI9" s="1"/>
  <c r="AE14"/>
  <c r="AE16"/>
  <c r="AE18"/>
  <c r="O22"/>
  <c r="S22" s="1"/>
  <c r="AM22" s="1"/>
  <c r="AE23"/>
  <c r="AG28"/>
  <c r="AE29"/>
  <c r="H19"/>
  <c r="W19"/>
  <c r="AQ19" s="1"/>
  <c r="Y19"/>
  <c r="AE12"/>
  <c r="AQ12"/>
  <c r="Z14"/>
  <c r="J15"/>
  <c r="Z16"/>
  <c r="J17"/>
  <c r="Z18"/>
  <c r="H25"/>
  <c r="Q22"/>
  <c r="U22" s="1"/>
  <c r="AO22" s="1"/>
  <c r="X25"/>
  <c r="H45"/>
  <c r="X45"/>
  <c r="Z29"/>
  <c r="J30"/>
  <c r="AE31"/>
  <c r="J33"/>
  <c r="P33"/>
  <c r="O33" s="1"/>
  <c r="R33" s="1"/>
  <c r="AE33"/>
  <c r="Z13"/>
  <c r="Z23"/>
  <c r="R24"/>
  <c r="R29"/>
  <c r="R31"/>
  <c r="S31"/>
  <c r="AM31" s="1"/>
  <c r="R13"/>
  <c r="R14"/>
  <c r="R16"/>
  <c r="R18"/>
  <c r="S18"/>
  <c r="AM18" s="1"/>
  <c r="R23"/>
  <c r="AI42"/>
  <c r="AH42" s="1"/>
  <c r="AW42" s="1"/>
  <c r="R52"/>
  <c r="AI43"/>
  <c r="AH43" s="1"/>
  <c r="AW43" s="1"/>
  <c r="AI38"/>
  <c r="AH38" s="1"/>
  <c r="AW38" s="1"/>
  <c r="AI36"/>
  <c r="AH36" s="1"/>
  <c r="AW36" s="1"/>
  <c r="AI34"/>
  <c r="AH34" s="1"/>
  <c r="AW34" s="1"/>
  <c r="P9"/>
  <c r="R9" s="1"/>
  <c r="Z9"/>
  <c r="J12"/>
  <c r="O12"/>
  <c r="Q12"/>
  <c r="U12" s="1"/>
  <c r="AO12" s="1"/>
  <c r="AF12"/>
  <c r="J13"/>
  <c r="AF13"/>
  <c r="J14"/>
  <c r="AF14"/>
  <c r="P15"/>
  <c r="R15" s="1"/>
  <c r="Z15"/>
  <c r="AE15"/>
  <c r="AI15" s="1"/>
  <c r="AH15" s="1"/>
  <c r="AW15" s="1"/>
  <c r="J16"/>
  <c r="AF16"/>
  <c r="P17"/>
  <c r="R17" s="1"/>
  <c r="Z17"/>
  <c r="AE17"/>
  <c r="AI17" s="1"/>
  <c r="AH17" s="1"/>
  <c r="AW17" s="1"/>
  <c r="J18"/>
  <c r="AF18"/>
  <c r="X19"/>
  <c r="P22"/>
  <c r="Z22"/>
  <c r="AE22"/>
  <c r="AG22"/>
  <c r="AK22" s="1"/>
  <c r="J23"/>
  <c r="AF23"/>
  <c r="J24"/>
  <c r="AQ24"/>
  <c r="J28"/>
  <c r="O28"/>
  <c r="Q28"/>
  <c r="AF28"/>
  <c r="J29"/>
  <c r="AF29"/>
  <c r="P30"/>
  <c r="R30" s="1"/>
  <c r="Z30"/>
  <c r="AE30"/>
  <c r="AI30" s="1"/>
  <c r="AH30" s="1"/>
  <c r="AW30" s="1"/>
  <c r="J31"/>
  <c r="AF31"/>
  <c r="P32"/>
  <c r="R32" s="1"/>
  <c r="Z32"/>
  <c r="AE32"/>
  <c r="AI32" s="1"/>
  <c r="AH32" s="1"/>
  <c r="AW32" s="1"/>
  <c r="AF33"/>
  <c r="AI41"/>
  <c r="AI39"/>
  <c r="AH39" s="1"/>
  <c r="AW39" s="1"/>
  <c r="AI37"/>
  <c r="AH37" s="1"/>
  <c r="AW37" s="1"/>
  <c r="AI35"/>
  <c r="AH35" s="1"/>
  <c r="AW35" s="1"/>
  <c r="AG299"/>
  <c r="J22"/>
  <c r="J25" s="1"/>
  <c r="AQ22"/>
  <c r="Z24"/>
  <c r="P28"/>
  <c r="T28" s="1"/>
  <c r="AN28" s="1"/>
  <c r="Z28"/>
  <c r="AE28"/>
  <c r="AQ28"/>
  <c r="AL48"/>
  <c r="D9" i="34" l="1"/>
  <c r="T9" s="1"/>
  <c r="AC11"/>
  <c r="AF11"/>
  <c r="AH13" i="7"/>
  <c r="AW13" s="1"/>
  <c r="G12" i="14"/>
  <c r="D138" i="23"/>
  <c r="AC11"/>
  <c r="AF11"/>
  <c r="AG19" i="7"/>
  <c r="H38" i="14"/>
  <c r="P38" s="1"/>
  <c r="AN12" i="7"/>
  <c r="AA297"/>
  <c r="Z9" i="23"/>
  <c r="AB297" i="7"/>
  <c r="AA9" i="23"/>
  <c r="K297" i="7"/>
  <c r="J9" i="23"/>
  <c r="J9" i="34" s="1"/>
  <c r="AC297" i="7"/>
  <c r="AB9" i="23"/>
  <c r="L297" i="7"/>
  <c r="K9" i="23"/>
  <c r="M297" i="7"/>
  <c r="L9" i="23"/>
  <c r="C60" i="7"/>
  <c r="BP60" s="1"/>
  <c r="B9" i="23"/>
  <c r="B9" i="34" s="1"/>
  <c r="D297" i="7"/>
  <c r="C9" i="23"/>
  <c r="AL11"/>
  <c r="C297" i="7"/>
  <c r="W59"/>
  <c r="O12" i="14"/>
  <c r="I59" i="7"/>
  <c r="R41" i="14"/>
  <c r="S41"/>
  <c r="O35"/>
  <c r="J35"/>
  <c r="AK36"/>
  <c r="AO36"/>
  <c r="S22"/>
  <c r="R22"/>
  <c r="AN39"/>
  <c r="AJ39"/>
  <c r="AO44"/>
  <c r="S45"/>
  <c r="R45"/>
  <c r="R42"/>
  <c r="S42"/>
  <c r="AN35"/>
  <c r="AJ35"/>
  <c r="AI30"/>
  <c r="AL30" s="1"/>
  <c r="AM30"/>
  <c r="V30"/>
  <c r="AP30" s="1"/>
  <c r="R29"/>
  <c r="S29"/>
  <c r="S39"/>
  <c r="R39"/>
  <c r="Z15"/>
  <c r="AG15"/>
  <c r="AH15" s="1"/>
  <c r="AO15"/>
  <c r="J15"/>
  <c r="O15"/>
  <c r="P27"/>
  <c r="T27" s="1"/>
  <c r="H25"/>
  <c r="P25" s="1"/>
  <c r="T25" s="1"/>
  <c r="AF45"/>
  <c r="AN45" s="1"/>
  <c r="X44"/>
  <c r="H59" i="7"/>
  <c r="AH36" i="14"/>
  <c r="I12"/>
  <c r="I38"/>
  <c r="Q38" s="1"/>
  <c r="U38" s="1"/>
  <c r="F45" i="7"/>
  <c r="F59" s="1"/>
  <c r="F297" s="1"/>
  <c r="G59"/>
  <c r="S36" i="14"/>
  <c r="R36"/>
  <c r="AK35"/>
  <c r="AO35"/>
  <c r="AE35"/>
  <c r="AH35" s="1"/>
  <c r="Z35"/>
  <c r="AE40"/>
  <c r="AH40" s="1"/>
  <c r="Z40"/>
  <c r="O40"/>
  <c r="J40"/>
  <c r="T38"/>
  <c r="AJ15"/>
  <c r="AN15"/>
  <c r="AG27"/>
  <c r="Y25"/>
  <c r="Z27"/>
  <c r="AE27"/>
  <c r="W25"/>
  <c r="Q27"/>
  <c r="U27" s="1"/>
  <c r="I25"/>
  <c r="J27"/>
  <c r="O27"/>
  <c r="G25"/>
  <c r="O25" s="1"/>
  <c r="AK45"/>
  <c r="AO45"/>
  <c r="O44"/>
  <c r="J44"/>
  <c r="AF21"/>
  <c r="AF20" s="1"/>
  <c r="X20"/>
  <c r="T21"/>
  <c r="P20"/>
  <c r="AE14"/>
  <c r="AH14" s="1"/>
  <c r="Z14"/>
  <c r="AO14"/>
  <c r="AK14"/>
  <c r="J14"/>
  <c r="O14"/>
  <c r="Y17"/>
  <c r="AG17" s="1"/>
  <c r="AG18"/>
  <c r="W17"/>
  <c r="Z18"/>
  <c r="AE18"/>
  <c r="I17"/>
  <c r="Q17" s="1"/>
  <c r="U17" s="1"/>
  <c r="Q18"/>
  <c r="U18" s="1"/>
  <c r="G17"/>
  <c r="J18"/>
  <c r="O18"/>
  <c r="Y32"/>
  <c r="AG32" s="1"/>
  <c r="AG33"/>
  <c r="W32"/>
  <c r="AE33"/>
  <c r="AH33" s="1"/>
  <c r="Z33"/>
  <c r="I32"/>
  <c r="Q32" s="1"/>
  <c r="U32" s="1"/>
  <c r="Q33"/>
  <c r="U33" s="1"/>
  <c r="G32"/>
  <c r="O33"/>
  <c r="J33"/>
  <c r="AG13"/>
  <c r="AH13" s="1"/>
  <c r="Y12"/>
  <c r="AG12" s="1"/>
  <c r="AO13"/>
  <c r="S13"/>
  <c r="AK10"/>
  <c r="AO10"/>
  <c r="J10"/>
  <c r="P10"/>
  <c r="AN40"/>
  <c r="AJ40"/>
  <c r="AK39"/>
  <c r="AO39"/>
  <c r="AG21"/>
  <c r="AG20" s="1"/>
  <c r="Y20"/>
  <c r="AE21"/>
  <c r="Z21"/>
  <c r="Z20" s="1"/>
  <c r="W20"/>
  <c r="Q21"/>
  <c r="I20"/>
  <c r="O21"/>
  <c r="J21"/>
  <c r="J20" s="1"/>
  <c r="G20"/>
  <c r="AJ14"/>
  <c r="AN14"/>
  <c r="H17"/>
  <c r="P17" s="1"/>
  <c r="T17" s="1"/>
  <c r="P18"/>
  <c r="T18" s="1"/>
  <c r="H32"/>
  <c r="P32" s="1"/>
  <c r="T32" s="1"/>
  <c r="P33"/>
  <c r="T33" s="1"/>
  <c r="P13"/>
  <c r="T13" s="1"/>
  <c r="H12"/>
  <c r="AE10"/>
  <c r="Z10"/>
  <c r="W12"/>
  <c r="Z13"/>
  <c r="AJ36"/>
  <c r="Y38"/>
  <c r="AG38" s="1"/>
  <c r="W38"/>
  <c r="AH39"/>
  <c r="G38"/>
  <c r="X12"/>
  <c r="X59" i="7"/>
  <c r="Y59"/>
  <c r="S33"/>
  <c r="AH12"/>
  <c r="AW12" s="1"/>
  <c r="J45"/>
  <c r="R22"/>
  <c r="AH9"/>
  <c r="AW9" s="1"/>
  <c r="Z45"/>
  <c r="Z19"/>
  <c r="G74"/>
  <c r="AE45"/>
  <c r="AD45" s="1"/>
  <c r="AH28"/>
  <c r="AW28" s="1"/>
  <c r="R28"/>
  <c r="R45" s="1"/>
  <c r="S28"/>
  <c r="AM28" s="1"/>
  <c r="AE25"/>
  <c r="AH22"/>
  <c r="AW22" s="1"/>
  <c r="AK12"/>
  <c r="Q52"/>
  <c r="AI23"/>
  <c r="AH23" s="1"/>
  <c r="AW23" s="1"/>
  <c r="AI18"/>
  <c r="AH18" s="1"/>
  <c r="AW18" s="1"/>
  <c r="AI16"/>
  <c r="AH16" s="1"/>
  <c r="AW16" s="1"/>
  <c r="AI14"/>
  <c r="AH14" s="1"/>
  <c r="AW14" s="1"/>
  <c r="AI13"/>
  <c r="AI31"/>
  <c r="AH31" s="1"/>
  <c r="AW31" s="1"/>
  <c r="AI29"/>
  <c r="AH29" s="1"/>
  <c r="AW29" s="1"/>
  <c r="AI24"/>
  <c r="AH24" s="1"/>
  <c r="AW24" s="1"/>
  <c r="J19"/>
  <c r="AF19"/>
  <c r="AE19" s="1"/>
  <c r="AD19" s="1"/>
  <c r="AJ12"/>
  <c r="S25"/>
  <c r="AM25" s="1"/>
  <c r="AJ28"/>
  <c r="AH41"/>
  <c r="AW41" s="1"/>
  <c r="AU41" s="1"/>
  <c r="Q45"/>
  <c r="P45" s="1"/>
  <c r="O45" s="1"/>
  <c r="U28"/>
  <c r="AO28" s="1"/>
  <c r="P25"/>
  <c r="O25" s="1"/>
  <c r="T22"/>
  <c r="AN22" s="1"/>
  <c r="S12"/>
  <c r="AM12" s="1"/>
  <c r="R12"/>
  <c r="Z25"/>
  <c r="AI22"/>
  <c r="D43" i="34" l="1"/>
  <c r="D45" s="1"/>
  <c r="J43"/>
  <c r="AJ11"/>
  <c r="AK11" s="1"/>
  <c r="AG11"/>
  <c r="AO11" s="1"/>
  <c r="C43"/>
  <c r="R9"/>
  <c r="B43"/>
  <c r="L138" i="23"/>
  <c r="L9" i="34"/>
  <c r="L43" s="1"/>
  <c r="K138" i="23"/>
  <c r="K9" i="34"/>
  <c r="K43" s="1"/>
  <c r="E9"/>
  <c r="E43" s="1"/>
  <c r="AJ45" i="14"/>
  <c r="C138" i="23"/>
  <c r="M9"/>
  <c r="M138" s="1"/>
  <c r="J138"/>
  <c r="AJ11"/>
  <c r="AK11" s="1"/>
  <c r="AP11" s="1"/>
  <c r="AG11"/>
  <c r="AO11" s="1"/>
  <c r="AC9"/>
  <c r="AI33" i="7"/>
  <c r="AM33"/>
  <c r="AH45" i="14"/>
  <c r="H297" i="7"/>
  <c r="G9" i="34" s="1"/>
  <c r="G9" i="23"/>
  <c r="I297" i="7"/>
  <c r="H9" i="34" s="1"/>
  <c r="H9" i="23"/>
  <c r="W297" i="7"/>
  <c r="V9" i="23"/>
  <c r="G297" i="7"/>
  <c r="F9" i="34" s="1"/>
  <c r="F9" i="23"/>
  <c r="Y297" i="7"/>
  <c r="X9" i="23"/>
  <c r="X9" i="34" s="1"/>
  <c r="X297" i="7"/>
  <c r="W9" i="23"/>
  <c r="W9" i="34" s="1"/>
  <c r="E9" i="23"/>
  <c r="E138" s="1"/>
  <c r="B138"/>
  <c r="J59" i="7"/>
  <c r="J297" s="1"/>
  <c r="AK13" i="14"/>
  <c r="AH27"/>
  <c r="AK15"/>
  <c r="Y9"/>
  <c r="P52" i="7"/>
  <c r="AF12" i="14"/>
  <c r="Z12"/>
  <c r="AE12"/>
  <c r="AI10"/>
  <c r="AH10"/>
  <c r="AJ13"/>
  <c r="AN13"/>
  <c r="AJ32"/>
  <c r="AN32"/>
  <c r="AJ17"/>
  <c r="AN17"/>
  <c r="AH21"/>
  <c r="AH20" s="1"/>
  <c r="AE20"/>
  <c r="S33"/>
  <c r="R33"/>
  <c r="AK33"/>
  <c r="AO33"/>
  <c r="Z32"/>
  <c r="AE32"/>
  <c r="AH32" s="1"/>
  <c r="AK18"/>
  <c r="AO18"/>
  <c r="AE17"/>
  <c r="AH17" s="1"/>
  <c r="Z17"/>
  <c r="AN21"/>
  <c r="T20"/>
  <c r="AN20" s="1"/>
  <c r="AJ21"/>
  <c r="AJ20" s="1"/>
  <c r="S44"/>
  <c r="R44"/>
  <c r="R27"/>
  <c r="S27"/>
  <c r="J25"/>
  <c r="Q25"/>
  <c r="U25" s="1"/>
  <c r="S40"/>
  <c r="R40"/>
  <c r="AM36"/>
  <c r="AI36"/>
  <c r="AL36" s="1"/>
  <c r="V36"/>
  <c r="AP36" s="1"/>
  <c r="I9"/>
  <c r="Q12"/>
  <c r="R15"/>
  <c r="S15"/>
  <c r="AI29"/>
  <c r="AL29" s="1"/>
  <c r="V29"/>
  <c r="AP29" s="1"/>
  <c r="AM29"/>
  <c r="AI45"/>
  <c r="AM45"/>
  <c r="V45"/>
  <c r="AM22"/>
  <c r="V22"/>
  <c r="AP22" s="1"/>
  <c r="AI22"/>
  <c r="AL22" s="1"/>
  <c r="R35"/>
  <c r="S35"/>
  <c r="S12"/>
  <c r="R13"/>
  <c r="AH18"/>
  <c r="J38"/>
  <c r="O38"/>
  <c r="Z38"/>
  <c r="AE38"/>
  <c r="AH38" s="1"/>
  <c r="P12"/>
  <c r="H9"/>
  <c r="AN33"/>
  <c r="AJ33"/>
  <c r="AJ18"/>
  <c r="AN18"/>
  <c r="S21"/>
  <c r="R21"/>
  <c r="R20" s="1"/>
  <c r="O20"/>
  <c r="U21"/>
  <c r="Q20"/>
  <c r="R10"/>
  <c r="T10"/>
  <c r="V13"/>
  <c r="AP13" s="1"/>
  <c r="AM13"/>
  <c r="AI13"/>
  <c r="J32"/>
  <c r="O32"/>
  <c r="AO32"/>
  <c r="AK32"/>
  <c r="R18"/>
  <c r="S18"/>
  <c r="O17"/>
  <c r="J17"/>
  <c r="AO17"/>
  <c r="AK17"/>
  <c r="S14"/>
  <c r="R14"/>
  <c r="R25"/>
  <c r="S25"/>
  <c r="AO27"/>
  <c r="AK27"/>
  <c r="AN38"/>
  <c r="AJ38"/>
  <c r="AK38"/>
  <c r="AO38"/>
  <c r="AJ27"/>
  <c r="AN27"/>
  <c r="AI39"/>
  <c r="AL39" s="1"/>
  <c r="AM39"/>
  <c r="V39"/>
  <c r="AP39" s="1"/>
  <c r="V42"/>
  <c r="AP42" s="1"/>
  <c r="AM42"/>
  <c r="AI42"/>
  <c r="AL42" s="1"/>
  <c r="AI41"/>
  <c r="AL41" s="1"/>
  <c r="V41"/>
  <c r="AP41" s="1"/>
  <c r="AM41"/>
  <c r="G9"/>
  <c r="J12"/>
  <c r="Z59" i="7"/>
  <c r="Y74"/>
  <c r="F74"/>
  <c r="R25"/>
  <c r="Q25" s="1"/>
  <c r="S19"/>
  <c r="AI12"/>
  <c r="V12"/>
  <c r="AP12" s="1"/>
  <c r="AJ22"/>
  <c r="AL22" s="1"/>
  <c r="V22"/>
  <c r="AP22" s="1"/>
  <c r="AK28"/>
  <c r="N52"/>
  <c r="N59" s="1"/>
  <c r="N297" s="1"/>
  <c r="AI28"/>
  <c r="V28"/>
  <c r="AP28" s="1"/>
  <c r="X74"/>
  <c r="AI25"/>
  <c r="AH25" s="1"/>
  <c r="AG25" s="1"/>
  <c r="AF25" s="1"/>
  <c r="C45" i="34" l="1"/>
  <c r="K45"/>
  <c r="L45"/>
  <c r="AP11"/>
  <c r="E45"/>
  <c r="J45"/>
  <c r="I9"/>
  <c r="AE9"/>
  <c r="AM9" s="1"/>
  <c r="Y9"/>
  <c r="AF9"/>
  <c r="U9"/>
  <c r="M9"/>
  <c r="M43" s="1"/>
  <c r="M45" s="1"/>
  <c r="AD9" i="23"/>
  <c r="AD9" i="34"/>
  <c r="AL9"/>
  <c r="AH9"/>
  <c r="B45"/>
  <c r="AE9" i="23"/>
  <c r="AF9"/>
  <c r="R12" i="14"/>
  <c r="AL45"/>
  <c r="N9" i="23"/>
  <c r="P9"/>
  <c r="O9"/>
  <c r="Y9"/>
  <c r="R19" i="7"/>
  <c r="Q19" s="1"/>
  <c r="P19" s="1"/>
  <c r="O19" s="1"/>
  <c r="AM19"/>
  <c r="J74"/>
  <c r="AL13" i="14"/>
  <c r="AP45"/>
  <c r="Z74" i="7"/>
  <c r="Z297"/>
  <c r="J9" i="14"/>
  <c r="O9"/>
  <c r="V25"/>
  <c r="AM25"/>
  <c r="V18"/>
  <c r="AP18" s="1"/>
  <c r="AI18"/>
  <c r="AL18" s="1"/>
  <c r="AM18"/>
  <c r="S32"/>
  <c r="R32"/>
  <c r="AO21"/>
  <c r="AK21"/>
  <c r="AK20" s="1"/>
  <c r="U20"/>
  <c r="AO20" s="1"/>
  <c r="S38"/>
  <c r="R38"/>
  <c r="V15"/>
  <c r="AP15" s="1"/>
  <c r="AI15"/>
  <c r="AL15" s="1"/>
  <c r="AM15"/>
  <c r="U12"/>
  <c r="Q9"/>
  <c r="AM40"/>
  <c r="AI40"/>
  <c r="AL40" s="1"/>
  <c r="V40"/>
  <c r="AP40" s="1"/>
  <c r="AM44"/>
  <c r="V44"/>
  <c r="AH12"/>
  <c r="AI14"/>
  <c r="AL14" s="1"/>
  <c r="V14"/>
  <c r="AP14" s="1"/>
  <c r="AM14"/>
  <c r="S17"/>
  <c r="R17"/>
  <c r="R9" s="1"/>
  <c r="V10"/>
  <c r="AP10" s="1"/>
  <c r="AJ10"/>
  <c r="AL10" s="1"/>
  <c r="AN10"/>
  <c r="AI21"/>
  <c r="V21"/>
  <c r="S20"/>
  <c r="AM20" s="1"/>
  <c r="AM21"/>
  <c r="T12"/>
  <c r="V12" s="1"/>
  <c r="P9"/>
  <c r="AI12"/>
  <c r="AM12"/>
  <c r="V35"/>
  <c r="AP35" s="1"/>
  <c r="AM35"/>
  <c r="AI35"/>
  <c r="AL35" s="1"/>
  <c r="AM27"/>
  <c r="V27"/>
  <c r="AP27" s="1"/>
  <c r="AI27"/>
  <c r="AL27" s="1"/>
  <c r="AI33"/>
  <c r="AL33" s="1"/>
  <c r="AM33"/>
  <c r="V33"/>
  <c r="AP33" s="1"/>
  <c r="O52" i="7"/>
  <c r="E74"/>
  <c r="F267"/>
  <c r="I74"/>
  <c r="W74"/>
  <c r="AL28"/>
  <c r="AI19"/>
  <c r="AH19" s="1"/>
  <c r="AL12"/>
  <c r="AI9" i="34" l="1"/>
  <c r="AJ9"/>
  <c r="AN9"/>
  <c r="AG9"/>
  <c r="AO9" s="1"/>
  <c r="O59" i="7"/>
  <c r="S9" i="14"/>
  <c r="AM9" s="1"/>
  <c r="E140" i="23"/>
  <c r="S9"/>
  <c r="T9"/>
  <c r="Q9"/>
  <c r="P59" i="7"/>
  <c r="P297" s="1"/>
  <c r="R59"/>
  <c r="R297" s="1"/>
  <c r="Q59"/>
  <c r="Q297" s="1"/>
  <c r="E142" i="23"/>
  <c r="O297" i="7"/>
  <c r="AN12" i="14"/>
  <c r="AJ12"/>
  <c r="T9"/>
  <c r="AI20"/>
  <c r="AL21"/>
  <c r="AL20" s="1"/>
  <c r="AM38"/>
  <c r="AI38"/>
  <c r="AL38" s="1"/>
  <c r="V38"/>
  <c r="AP38" s="1"/>
  <c r="AP12"/>
  <c r="AP21"/>
  <c r="V20"/>
  <c r="AP20" s="1"/>
  <c r="AM17"/>
  <c r="AI17"/>
  <c r="AL17" s="1"/>
  <c r="V17"/>
  <c r="AP17" s="1"/>
  <c r="U9"/>
  <c r="AO12"/>
  <c r="AK12"/>
  <c r="AM32"/>
  <c r="AI32"/>
  <c r="AL32" s="1"/>
  <c r="V32"/>
  <c r="AP32" s="1"/>
  <c r="D74" i="7"/>
  <c r="E267"/>
  <c r="C74"/>
  <c r="H74"/>
  <c r="AQ74"/>
  <c r="AK9" i="34" l="1"/>
  <c r="AJ9" i="23"/>
  <c r="AI9"/>
  <c r="E269" i="7"/>
  <c r="E273" s="1"/>
  <c r="R9" i="23"/>
  <c r="AL9" s="1"/>
  <c r="D140"/>
  <c r="D142"/>
  <c r="V9" i="14"/>
  <c r="AL12"/>
  <c r="C267" i="7"/>
  <c r="C269" s="1"/>
  <c r="D267"/>
  <c r="AH9" i="23" l="1"/>
  <c r="D269" i="7"/>
  <c r="D273" s="1"/>
  <c r="C140" i="23"/>
  <c r="B142"/>
  <c r="B140"/>
  <c r="C142"/>
  <c r="U9"/>
  <c r="AP75" i="14"/>
  <c r="AO75"/>
  <c r="AN75"/>
  <c r="AM75"/>
  <c r="M74" l="1"/>
  <c r="L74"/>
  <c r="K74"/>
  <c r="I74"/>
  <c r="H74"/>
  <c r="G74" s="1"/>
  <c r="O74" s="1"/>
  <c r="Q74" l="1"/>
  <c r="N74"/>
  <c r="P74"/>
  <c r="J74"/>
  <c r="R74" l="1"/>
  <c r="M73"/>
  <c r="L73"/>
  <c r="K73"/>
  <c r="C73"/>
  <c r="N73" l="1"/>
  <c r="M72"/>
  <c r="L72"/>
  <c r="K72"/>
  <c r="G72" l="1"/>
  <c r="O72" s="1"/>
  <c r="D72"/>
  <c r="C72"/>
  <c r="S72" l="1"/>
  <c r="N72"/>
  <c r="AM72" l="1"/>
  <c r="M71" l="1"/>
  <c r="L71"/>
  <c r="K71"/>
  <c r="N71" l="1"/>
  <c r="C71"/>
  <c r="M70" l="1"/>
  <c r="L70"/>
  <c r="K70"/>
  <c r="D70"/>
  <c r="C70" l="1"/>
  <c r="M69" l="1"/>
  <c r="L69"/>
  <c r="K69"/>
  <c r="AG68"/>
  <c r="AF68"/>
  <c r="AE68"/>
  <c r="AD68"/>
  <c r="Z68"/>
  <c r="Q68"/>
  <c r="U68" s="1"/>
  <c r="P68"/>
  <c r="T68" s="1"/>
  <c r="O68"/>
  <c r="S68" s="1"/>
  <c r="N68"/>
  <c r="J68"/>
  <c r="F68"/>
  <c r="AO68" l="1"/>
  <c r="AK68"/>
  <c r="R68"/>
  <c r="AM68"/>
  <c r="AI68"/>
  <c r="AN68"/>
  <c r="AJ68"/>
  <c r="V68"/>
  <c r="AP68" s="1"/>
  <c r="M67"/>
  <c r="L67"/>
  <c r="K67"/>
  <c r="AH68" l="1"/>
  <c r="AL68"/>
  <c r="C67"/>
  <c r="M66" l="1"/>
  <c r="L66"/>
  <c r="K66"/>
  <c r="M65" l="1"/>
  <c r="L65"/>
  <c r="K65"/>
  <c r="N65" l="1"/>
  <c r="M64"/>
  <c r="L64"/>
  <c r="K64"/>
  <c r="AG63"/>
  <c r="AF63"/>
  <c r="AE63"/>
  <c r="AD63"/>
  <c r="Z63"/>
  <c r="Q63"/>
  <c r="U63" s="1"/>
  <c r="P63"/>
  <c r="T63" s="1"/>
  <c r="O63"/>
  <c r="S63" s="1"/>
  <c r="N63"/>
  <c r="J63"/>
  <c r="F63"/>
  <c r="AH63" l="1"/>
  <c r="R63"/>
  <c r="V63"/>
  <c r="AP63" s="1"/>
  <c r="AM63"/>
  <c r="AI63"/>
  <c r="AO63"/>
  <c r="AK63"/>
  <c r="AN63"/>
  <c r="AJ63"/>
  <c r="M62"/>
  <c r="L62"/>
  <c r="K62"/>
  <c r="AL63" l="1"/>
  <c r="M61"/>
  <c r="L61"/>
  <c r="K61"/>
  <c r="E61"/>
  <c r="D61" s="1"/>
  <c r="N61" l="1"/>
  <c r="C61"/>
  <c r="F61" l="1"/>
  <c r="M60" l="1"/>
  <c r="L60"/>
  <c r="K60"/>
  <c r="D60"/>
  <c r="C60"/>
  <c r="M59" l="1"/>
  <c r="L59"/>
  <c r="K59"/>
  <c r="E59"/>
  <c r="D59" s="1"/>
  <c r="C59" l="1"/>
  <c r="F59" l="1"/>
  <c r="M58" l="1"/>
  <c r="L58"/>
  <c r="K58"/>
  <c r="AG57"/>
  <c r="AF57"/>
  <c r="AE57"/>
  <c r="AD57"/>
  <c r="Z57"/>
  <c r="Q57"/>
  <c r="U57" s="1"/>
  <c r="P57"/>
  <c r="T57" s="1"/>
  <c r="O57"/>
  <c r="S57" s="1"/>
  <c r="N57"/>
  <c r="J57"/>
  <c r="F57"/>
  <c r="AH57" l="1"/>
  <c r="R57"/>
  <c r="AI57"/>
  <c r="AM57"/>
  <c r="AK57"/>
  <c r="AO57"/>
  <c r="AN57"/>
  <c r="AJ57"/>
  <c r="V57"/>
  <c r="AP57" s="1"/>
  <c r="M56"/>
  <c r="L56"/>
  <c r="K56"/>
  <c r="AL57" l="1"/>
  <c r="M55"/>
  <c r="L55"/>
  <c r="K55"/>
  <c r="E55"/>
  <c r="D55"/>
  <c r="N55" l="1"/>
  <c r="C55"/>
  <c r="F55" l="1"/>
  <c r="M54" l="1"/>
  <c r="L54"/>
  <c r="K54"/>
  <c r="D54"/>
  <c r="C54" l="1"/>
  <c r="M53" l="1"/>
  <c r="L53"/>
  <c r="K53"/>
  <c r="E53"/>
  <c r="D53"/>
  <c r="N53" l="1"/>
  <c r="C53"/>
  <c r="F53" l="1"/>
  <c r="M52" l="1"/>
  <c r="L52"/>
  <c r="K52"/>
  <c r="E52"/>
  <c r="D52"/>
  <c r="C52"/>
  <c r="F52" l="1"/>
  <c r="M51" l="1"/>
  <c r="L51"/>
  <c r="K51"/>
  <c r="M50" l="1"/>
  <c r="L50"/>
  <c r="K50"/>
  <c r="AG49"/>
  <c r="AF49"/>
  <c r="AE49"/>
  <c r="AD49"/>
  <c r="Z49"/>
  <c r="Q49"/>
  <c r="U49" s="1"/>
  <c r="AO49" s="1"/>
  <c r="P49"/>
  <c r="T49" s="1"/>
  <c r="O49"/>
  <c r="S49" s="1"/>
  <c r="AM49" s="1"/>
  <c r="N49"/>
  <c r="J49"/>
  <c r="F49"/>
  <c r="AN49" l="1"/>
  <c r="AJ49"/>
  <c r="V49"/>
  <c r="AP49" s="1"/>
  <c r="AI49"/>
  <c r="AK49"/>
  <c r="R49"/>
  <c r="N50"/>
  <c r="AC48"/>
  <c r="AB48"/>
  <c r="AA48"/>
  <c r="M48"/>
  <c r="L48"/>
  <c r="K48"/>
  <c r="I48"/>
  <c r="H48"/>
  <c r="G48"/>
  <c r="AH49" l="1"/>
  <c r="AL49"/>
  <c r="O48"/>
  <c r="N48" s="1"/>
  <c r="J48"/>
  <c r="E48"/>
  <c r="D48"/>
  <c r="C48" s="1"/>
  <c r="F48" l="1"/>
  <c r="K76" l="1"/>
  <c r="Q289" i="1" l="1"/>
  <c r="P289"/>
  <c r="O289"/>
  <c r="R289" s="1"/>
  <c r="U288"/>
  <c r="T288"/>
  <c r="S288"/>
  <c r="Q288"/>
  <c r="P288"/>
  <c r="O288"/>
  <c r="I288"/>
  <c r="H288"/>
  <c r="G288"/>
  <c r="E288"/>
  <c r="D288"/>
  <c r="C288"/>
  <c r="U287" l="1"/>
  <c r="T287"/>
  <c r="S287"/>
  <c r="Q287"/>
  <c r="P287"/>
  <c r="O287"/>
  <c r="I287"/>
  <c r="H287"/>
  <c r="G287"/>
  <c r="E287"/>
  <c r="D287"/>
  <c r="C287"/>
  <c r="U286"/>
  <c r="T286"/>
  <c r="S286"/>
  <c r="Q286"/>
  <c r="O286"/>
  <c r="I286"/>
  <c r="H286"/>
  <c r="G286"/>
  <c r="E286"/>
  <c r="D286"/>
  <c r="C286"/>
  <c r="E274"/>
  <c r="O290" l="1"/>
  <c r="Q290"/>
  <c r="AX266"/>
  <c r="AW266"/>
  <c r="AV266"/>
  <c r="AU266"/>
  <c r="AS266" l="1"/>
  <c r="AR266"/>
  <c r="AQ266"/>
  <c r="AP266"/>
  <c r="Z266"/>
  <c r="M266"/>
  <c r="L266"/>
  <c r="K266"/>
  <c r="J266"/>
  <c r="AK265"/>
  <c r="AJ265"/>
  <c r="AI265"/>
  <c r="Y265"/>
  <c r="X265"/>
  <c r="W265"/>
  <c r="U265"/>
  <c r="T265"/>
  <c r="S265"/>
  <c r="Q265"/>
  <c r="P265"/>
  <c r="O265"/>
  <c r="I265"/>
  <c r="H265"/>
  <c r="G265"/>
  <c r="E265"/>
  <c r="D265"/>
  <c r="C265"/>
  <c r="AK264"/>
  <c r="AJ264"/>
  <c r="AI264"/>
  <c r="Y264"/>
  <c r="X264"/>
  <c r="W264"/>
  <c r="U264"/>
  <c r="T264"/>
  <c r="S264"/>
  <c r="Q264"/>
  <c r="P264"/>
  <c r="O264"/>
  <c r="I264"/>
  <c r="H264"/>
  <c r="G264"/>
  <c r="E264"/>
  <c r="D264"/>
  <c r="C264"/>
  <c r="C263" s="1"/>
  <c r="AK263"/>
  <c r="AJ11" i="22" s="1"/>
  <c r="AJ11" i="33" s="1"/>
  <c r="AJ263" i="1"/>
  <c r="AI11" i="22" s="1"/>
  <c r="AI11" i="33" s="1"/>
  <c r="AI263" i="1"/>
  <c r="AH11" i="22" s="1"/>
  <c r="AH11" i="33" s="1"/>
  <c r="Y263" i="1"/>
  <c r="X263"/>
  <c r="W11" i="22" s="1"/>
  <c r="W11" i="33" s="1"/>
  <c r="W263" i="1"/>
  <c r="U263"/>
  <c r="T11" i="22" s="1"/>
  <c r="T11" i="33" s="1"/>
  <c r="T263" i="1"/>
  <c r="S11" i="22" s="1"/>
  <c r="S11" i="33" s="1"/>
  <c r="S263" i="1"/>
  <c r="R11" i="22" s="1"/>
  <c r="Q263" i="1"/>
  <c r="P11" i="22" s="1"/>
  <c r="P11" i="33" s="1"/>
  <c r="P263" i="1"/>
  <c r="O11" i="22" s="1"/>
  <c r="O263" i="1"/>
  <c r="N11" i="22" s="1"/>
  <c r="N11" i="33" s="1"/>
  <c r="I263" i="1"/>
  <c r="H11" i="22" s="1"/>
  <c r="H11" i="33" s="1"/>
  <c r="H263" i="1"/>
  <c r="G11" i="22" s="1"/>
  <c r="G11" i="33" s="1"/>
  <c r="G263" i="1"/>
  <c r="F11" i="22" s="1"/>
  <c r="D263" i="1"/>
  <c r="AX262"/>
  <c r="AW262"/>
  <c r="AV262"/>
  <c r="AU262"/>
  <c r="AT266" l="1"/>
  <c r="I11" i="22"/>
  <c r="F11" i="33"/>
  <c r="I11" s="1"/>
  <c r="AA11" i="22"/>
  <c r="O11" i="33"/>
  <c r="AA11" s="1"/>
  <c r="U11" i="22"/>
  <c r="R11" i="33"/>
  <c r="U11" s="1"/>
  <c r="AK11"/>
  <c r="AK11" i="22"/>
  <c r="N266" i="1"/>
  <c r="C11" i="22"/>
  <c r="Q11"/>
  <c r="V11"/>
  <c r="V11" i="33" s="1"/>
  <c r="Z11" s="1"/>
  <c r="W294" i="1"/>
  <c r="X11" i="22"/>
  <c r="X11" i="33" s="1"/>
  <c r="AB11" s="1"/>
  <c r="Y294" i="1"/>
  <c r="X294" s="1"/>
  <c r="AB11" i="22"/>
  <c r="B11"/>
  <c r="B11" i="33" s="1"/>
  <c r="Z263" i="1"/>
  <c r="AT11" i="33" l="1"/>
  <c r="AC11"/>
  <c r="J11"/>
  <c r="K11" i="22"/>
  <c r="AY11" s="1"/>
  <c r="C11" i="33"/>
  <c r="K11" s="1"/>
  <c r="AY11" s="1"/>
  <c r="Y11"/>
  <c r="Q11"/>
  <c r="J11" i="22"/>
  <c r="Y11"/>
  <c r="Z294" i="1"/>
  <c r="Z11" i="22"/>
  <c r="AS262" i="1"/>
  <c r="AR262"/>
  <c r="AQ262"/>
  <c r="AP262"/>
  <c r="Z262"/>
  <c r="M262"/>
  <c r="L262"/>
  <c r="K262"/>
  <c r="J262"/>
  <c r="AL261"/>
  <c r="AG261"/>
  <c r="AF261"/>
  <c r="AE261"/>
  <c r="AC261"/>
  <c r="AC265" s="1"/>
  <c r="AB261"/>
  <c r="AB265" s="1"/>
  <c r="AA261"/>
  <c r="AA265" s="1"/>
  <c r="Z261"/>
  <c r="V261"/>
  <c r="V265" s="1"/>
  <c r="M261"/>
  <c r="M265" s="1"/>
  <c r="L261"/>
  <c r="L265" s="1"/>
  <c r="K261"/>
  <c r="K265" s="1"/>
  <c r="J261"/>
  <c r="F261"/>
  <c r="F265" s="1"/>
  <c r="AL260"/>
  <c r="AG260"/>
  <c r="AF260"/>
  <c r="AE260"/>
  <c r="AC260"/>
  <c r="AC264" s="1"/>
  <c r="AB260"/>
  <c r="AB264" s="1"/>
  <c r="AA260"/>
  <c r="AA264" s="1"/>
  <c r="Z260"/>
  <c r="V260"/>
  <c r="V264" s="1"/>
  <c r="M260"/>
  <c r="M264" s="1"/>
  <c r="L260"/>
  <c r="L264" s="1"/>
  <c r="K260"/>
  <c r="K264" s="1"/>
  <c r="J260"/>
  <c r="F260"/>
  <c r="AK259"/>
  <c r="AJ259"/>
  <c r="AI259"/>
  <c r="Y259"/>
  <c r="X259"/>
  <c r="W259"/>
  <c r="Q259"/>
  <c r="P259"/>
  <c r="O259"/>
  <c r="I259"/>
  <c r="H259"/>
  <c r="G259"/>
  <c r="E259"/>
  <c r="D259"/>
  <c r="C259"/>
  <c r="AP258"/>
  <c r="AC258"/>
  <c r="AW258" s="1"/>
  <c r="AB258"/>
  <c r="AV258" s="1"/>
  <c r="AA258"/>
  <c r="AU258" s="1"/>
  <c r="Z258"/>
  <c r="M258"/>
  <c r="L258"/>
  <c r="K258"/>
  <c r="J258"/>
  <c r="AP257"/>
  <c r="AC257"/>
  <c r="AW257" s="1"/>
  <c r="AB257"/>
  <c r="AV257" s="1"/>
  <c r="AA257"/>
  <c r="AU257" s="1"/>
  <c r="Z257"/>
  <c r="M257"/>
  <c r="L257"/>
  <c r="K257"/>
  <c r="J257"/>
  <c r="AK256"/>
  <c r="AJ256"/>
  <c r="AI256"/>
  <c r="F259" l="1"/>
  <c r="M263"/>
  <c r="BA263" s="1"/>
  <c r="V263"/>
  <c r="V294" s="1"/>
  <c r="U294" s="1"/>
  <c r="T294" s="1"/>
  <c r="S294" s="1"/>
  <c r="AC263"/>
  <c r="AC294" s="1"/>
  <c r="AL259"/>
  <c r="N262"/>
  <c r="BB262" s="1"/>
  <c r="BA262" s="1"/>
  <c r="AZ262" s="1"/>
  <c r="AY262" s="1"/>
  <c r="K259"/>
  <c r="V259"/>
  <c r="AX11" i="33"/>
  <c r="N258" i="1"/>
  <c r="M259"/>
  <c r="J259"/>
  <c r="L263"/>
  <c r="AZ263" s="1"/>
  <c r="AB263"/>
  <c r="AB294" s="1"/>
  <c r="N257"/>
  <c r="L259"/>
  <c r="Z259"/>
  <c r="AB259"/>
  <c r="AA259" s="1"/>
  <c r="AU259" s="1"/>
  <c r="J265"/>
  <c r="Q294"/>
  <c r="Z264"/>
  <c r="AU264"/>
  <c r="AA263"/>
  <c r="Z265"/>
  <c r="AU265"/>
  <c r="AT11" i="22"/>
  <c r="AC11"/>
  <c r="AD257" i="1"/>
  <c r="AR257"/>
  <c r="AQ257" s="1"/>
  <c r="BB257"/>
  <c r="BA257" s="1"/>
  <c r="AZ257" s="1"/>
  <c r="AY257" s="1"/>
  <c r="AX257" s="1"/>
  <c r="N260"/>
  <c r="AU260"/>
  <c r="AZ260"/>
  <c r="N261"/>
  <c r="AU261"/>
  <c r="AZ261"/>
  <c r="AT262"/>
  <c r="F264"/>
  <c r="F263" s="1"/>
  <c r="E263" s="1"/>
  <c r="J264"/>
  <c r="J263" s="1"/>
  <c r="K263"/>
  <c r="AX11" i="22"/>
  <c r="AD258" i="1"/>
  <c r="AR258"/>
  <c r="AQ258" s="1"/>
  <c r="BB258"/>
  <c r="BA258" s="1"/>
  <c r="AZ258" s="1"/>
  <c r="AY258" s="1"/>
  <c r="AX258" s="1"/>
  <c r="AD260"/>
  <c r="AD264" s="1"/>
  <c r="AY260"/>
  <c r="BA260"/>
  <c r="AD261"/>
  <c r="AD265" s="1"/>
  <c r="AY261"/>
  <c r="BA261"/>
  <c r="AE259"/>
  <c r="AG259"/>
  <c r="AF259"/>
  <c r="AH260"/>
  <c r="AM260"/>
  <c r="AO260"/>
  <c r="AN261"/>
  <c r="AN260"/>
  <c r="AH261"/>
  <c r="AH265" s="1"/>
  <c r="AG265" s="1"/>
  <c r="AF265" s="1"/>
  <c r="AE265" s="1"/>
  <c r="AM261"/>
  <c r="AO261"/>
  <c r="W256"/>
  <c r="V256"/>
  <c r="U256"/>
  <c r="T256"/>
  <c r="S256"/>
  <c r="Q256"/>
  <c r="P256"/>
  <c r="O256"/>
  <c r="I256"/>
  <c r="H256"/>
  <c r="G256"/>
  <c r="E256"/>
  <c r="D256"/>
  <c r="C256"/>
  <c r="AL255"/>
  <c r="AL256" s="1"/>
  <c r="AE255"/>
  <c r="AE256" s="1"/>
  <c r="AA256" l="1"/>
  <c r="AU256" s="1"/>
  <c r="AD263"/>
  <c r="AD294" s="1"/>
  <c r="AY263"/>
  <c r="D11" i="22"/>
  <c r="D11" i="33" s="1"/>
  <c r="N264" i="1"/>
  <c r="BB260"/>
  <c r="N259"/>
  <c r="BB259" s="1"/>
  <c r="BA259" s="1"/>
  <c r="AZ259" s="1"/>
  <c r="AY259" s="1"/>
  <c r="AA294"/>
  <c r="AU263"/>
  <c r="P294"/>
  <c r="N265"/>
  <c r="BB265" s="1"/>
  <c r="BA265" s="1"/>
  <c r="AZ265" s="1"/>
  <c r="AY265" s="1"/>
  <c r="BB261"/>
  <c r="AN264"/>
  <c r="AN259"/>
  <c r="AV259" s="1"/>
  <c r="AV260"/>
  <c r="AO264"/>
  <c r="AW260"/>
  <c r="AO259"/>
  <c r="AH264"/>
  <c r="AH259"/>
  <c r="AM265"/>
  <c r="AQ261"/>
  <c r="AP261"/>
  <c r="AX261" s="1"/>
  <c r="AN265"/>
  <c r="AV261"/>
  <c r="AM264"/>
  <c r="AP260"/>
  <c r="AX260" s="1"/>
  <c r="AQ260"/>
  <c r="AM259"/>
  <c r="AO265"/>
  <c r="AW261"/>
  <c r="AA255"/>
  <c r="AU255" s="1"/>
  <c r="Y255"/>
  <c r="AC255" s="1"/>
  <c r="X255"/>
  <c r="X256" s="1"/>
  <c r="M255"/>
  <c r="M256" s="1"/>
  <c r="L255"/>
  <c r="L256" s="1"/>
  <c r="K255"/>
  <c r="K256" s="1"/>
  <c r="J255"/>
  <c r="F255"/>
  <c r="F256" s="1"/>
  <c r="L11" i="33" l="1"/>
  <c r="E11"/>
  <c r="J256" i="1"/>
  <c r="N263"/>
  <c r="BB263" s="1"/>
  <c r="BB264"/>
  <c r="BA264" s="1"/>
  <c r="AZ264" s="1"/>
  <c r="AY264" s="1"/>
  <c r="L11" i="22"/>
  <c r="E11"/>
  <c r="O294" i="1"/>
  <c r="AU294"/>
  <c r="N255"/>
  <c r="I9" i="23"/>
  <c r="AB256" i="1"/>
  <c r="AW265"/>
  <c r="AS265"/>
  <c r="AL264"/>
  <c r="AQ264"/>
  <c r="AM263"/>
  <c r="AP264"/>
  <c r="AX264" s="1"/>
  <c r="AV265"/>
  <c r="AR265"/>
  <c r="AG264"/>
  <c r="AH263"/>
  <c r="AV264"/>
  <c r="AR264"/>
  <c r="AN263"/>
  <c r="Z255"/>
  <c r="AB255"/>
  <c r="AP259"/>
  <c r="AQ259"/>
  <c r="AL265"/>
  <c r="AP265"/>
  <c r="AX265" s="1"/>
  <c r="AQ265"/>
  <c r="AT265" s="1"/>
  <c r="AW264"/>
  <c r="AS264"/>
  <c r="AO263"/>
  <c r="BB254"/>
  <c r="BA254"/>
  <c r="AZ254"/>
  <c r="AY254"/>
  <c r="AP254"/>
  <c r="AC254"/>
  <c r="AW254" s="1"/>
  <c r="AB254"/>
  <c r="AV254" s="1"/>
  <c r="AA254"/>
  <c r="AU254" s="1"/>
  <c r="Z254"/>
  <c r="BB253"/>
  <c r="BA253"/>
  <c r="AZ253"/>
  <c r="AY253"/>
  <c r="AP253"/>
  <c r="AC253"/>
  <c r="AW253" s="1"/>
  <c r="AB253"/>
  <c r="AR253" s="1"/>
  <c r="AA253"/>
  <c r="AU253" s="1"/>
  <c r="Z253"/>
  <c r="AP252"/>
  <c r="AC252"/>
  <c r="AW252" s="1"/>
  <c r="AB252"/>
  <c r="AV252" s="1"/>
  <c r="AA252"/>
  <c r="Z252"/>
  <c r="M252"/>
  <c r="L252"/>
  <c r="K252"/>
  <c r="J252"/>
  <c r="AZ11" i="33" l="1"/>
  <c r="BA11" s="1"/>
  <c r="M11"/>
  <c r="N252" i="1"/>
  <c r="AD252"/>
  <c r="AQ253"/>
  <c r="AZ11" i="22"/>
  <c r="BA11" s="1"/>
  <c r="M11"/>
  <c r="AU252" i="1"/>
  <c r="AV253"/>
  <c r="AD254"/>
  <c r="AR254"/>
  <c r="AQ254" s="1"/>
  <c r="AX254"/>
  <c r="AL263"/>
  <c r="N256"/>
  <c r="BB256" s="1"/>
  <c r="BA256" s="1"/>
  <c r="AZ256" s="1"/>
  <c r="AY256" s="1"/>
  <c r="BB255"/>
  <c r="BA255" s="1"/>
  <c r="AZ255" s="1"/>
  <c r="AY255" s="1"/>
  <c r="N294"/>
  <c r="M294" s="1"/>
  <c r="L294" s="1"/>
  <c r="K294" s="1"/>
  <c r="J294" s="1"/>
  <c r="I294" s="1"/>
  <c r="H294" s="1"/>
  <c r="G294" s="1"/>
  <c r="F294" s="1"/>
  <c r="E294" s="1"/>
  <c r="D294" s="1"/>
  <c r="C294" s="1"/>
  <c r="AR252"/>
  <c r="AQ252" s="1"/>
  <c r="BB252"/>
  <c r="BA252" s="1"/>
  <c r="AZ252" s="1"/>
  <c r="AY252" s="1"/>
  <c r="AX252" s="1"/>
  <c r="AD253"/>
  <c r="AX253" s="1"/>
  <c r="AD255"/>
  <c r="AV263"/>
  <c r="AR263"/>
  <c r="AT264"/>
  <c r="AW263"/>
  <c r="AS263"/>
  <c r="AF264"/>
  <c r="AG263"/>
  <c r="AM294"/>
  <c r="AQ263"/>
  <c r="AP263"/>
  <c r="AX263" s="1"/>
  <c r="AP249"/>
  <c r="AC249"/>
  <c r="AW249" s="1"/>
  <c r="AB249"/>
  <c r="AR249" s="1"/>
  <c r="AA249"/>
  <c r="AU249" s="1"/>
  <c r="Z249"/>
  <c r="M249"/>
  <c r="L249"/>
  <c r="K249"/>
  <c r="J249"/>
  <c r="AI248"/>
  <c r="AH137" i="22" s="1"/>
  <c r="AH38" i="27" s="1"/>
  <c r="W248" i="1"/>
  <c r="V137" i="22" s="1"/>
  <c r="V38" i="27" s="1"/>
  <c r="V248" i="1"/>
  <c r="M248"/>
  <c r="L248"/>
  <c r="K248"/>
  <c r="J248"/>
  <c r="F248"/>
  <c r="AI247"/>
  <c r="AH136" i="22" s="1"/>
  <c r="AH37" i="27" s="1"/>
  <c r="W247" i="1"/>
  <c r="V136" i="22" s="1"/>
  <c r="V37" i="27" s="1"/>
  <c r="V247" i="1"/>
  <c r="M247"/>
  <c r="L247"/>
  <c r="K247"/>
  <c r="J247"/>
  <c r="F247"/>
  <c r="AO246"/>
  <c r="AN246"/>
  <c r="AM246"/>
  <c r="AL246"/>
  <c r="AH246"/>
  <c r="AC246"/>
  <c r="AW246" s="1"/>
  <c r="AB246"/>
  <c r="AV246" s="1"/>
  <c r="AA246"/>
  <c r="AU246" s="1"/>
  <c r="Z246"/>
  <c r="V246"/>
  <c r="M246"/>
  <c r="L246"/>
  <c r="K246"/>
  <c r="J246"/>
  <c r="F246"/>
  <c r="AI245"/>
  <c r="AH135" i="22" s="1"/>
  <c r="AG245" i="1"/>
  <c r="AF245"/>
  <c r="BF245" s="1"/>
  <c r="N249" l="1"/>
  <c r="N247"/>
  <c r="AQ249"/>
  <c r="N248"/>
  <c r="N246"/>
  <c r="AQ246"/>
  <c r="BB246"/>
  <c r="BA246" s="1"/>
  <c r="AZ246" s="1"/>
  <c r="AY246" s="1"/>
  <c r="BB248"/>
  <c r="BA248" s="1"/>
  <c r="AZ248" s="1"/>
  <c r="AY248" s="1"/>
  <c r="AV249"/>
  <c r="AD246"/>
  <c r="BB247"/>
  <c r="BA247" s="1"/>
  <c r="AZ247" s="1"/>
  <c r="AY247" s="1"/>
  <c r="AD249"/>
  <c r="Z38" i="27"/>
  <c r="AH134" i="22"/>
  <c r="AH41" i="33" s="1"/>
  <c r="AH36" i="27"/>
  <c r="AH35" s="1"/>
  <c r="Z37"/>
  <c r="Z137" i="22"/>
  <c r="Z136"/>
  <c r="AG294" i="1"/>
  <c r="AG295" s="1"/>
  <c r="AF11" i="22"/>
  <c r="AT263" i="1"/>
  <c r="AP246"/>
  <c r="AA247"/>
  <c r="AA248"/>
  <c r="AL294"/>
  <c r="AK294" s="1"/>
  <c r="AJ294" s="1"/>
  <c r="AI294" s="1"/>
  <c r="AH294" s="1"/>
  <c r="AH295" s="1"/>
  <c r="AQ294"/>
  <c r="AQ295" s="1"/>
  <c r="AE264"/>
  <c r="AE263" s="1"/>
  <c r="AF263"/>
  <c r="AE245"/>
  <c r="W245"/>
  <c r="V135" i="22" s="1"/>
  <c r="V36" i="27" s="1"/>
  <c r="V245" i="1"/>
  <c r="M245"/>
  <c r="L245"/>
  <c r="K245"/>
  <c r="J245"/>
  <c r="F245"/>
  <c r="AL244"/>
  <c r="AG244"/>
  <c r="AO244" s="1"/>
  <c r="AF244"/>
  <c r="AE244"/>
  <c r="AM244" s="1"/>
  <c r="AC244"/>
  <c r="AW244" s="1"/>
  <c r="AB244"/>
  <c r="AA244"/>
  <c r="Z244"/>
  <c r="V244"/>
  <c r="M244"/>
  <c r="L244"/>
  <c r="K244"/>
  <c r="J244"/>
  <c r="F244"/>
  <c r="AL243"/>
  <c r="AG243"/>
  <c r="AF243"/>
  <c r="BF243" s="1"/>
  <c r="AE243"/>
  <c r="AC243"/>
  <c r="AW243" s="1"/>
  <c r="AB243"/>
  <c r="AA243"/>
  <c r="Z243"/>
  <c r="V243"/>
  <c r="M243"/>
  <c r="L243"/>
  <c r="K243"/>
  <c r="J243"/>
  <c r="F243"/>
  <c r="AI242"/>
  <c r="AN244" l="1"/>
  <c r="AV244" s="1"/>
  <c r="BF244"/>
  <c r="I135" i="22"/>
  <c r="I134" s="1"/>
  <c r="K135"/>
  <c r="K134" s="1"/>
  <c r="AY134" s="1"/>
  <c r="J135"/>
  <c r="AX135" s="1"/>
  <c r="L135"/>
  <c r="U135"/>
  <c r="U134" s="1"/>
  <c r="AN11"/>
  <c r="AF11" i="33"/>
  <c r="AN11" s="1"/>
  <c r="AD244" i="1"/>
  <c r="N245"/>
  <c r="BB245" s="1"/>
  <c r="BA245" s="1"/>
  <c r="AZ245" s="1"/>
  <c r="AY245" s="1"/>
  <c r="AD243"/>
  <c r="N244"/>
  <c r="BB244" s="1"/>
  <c r="BA244" s="1"/>
  <c r="AZ244" s="1"/>
  <c r="AY244" s="1"/>
  <c r="AZ135" i="22"/>
  <c r="L134"/>
  <c r="AZ134" s="1"/>
  <c r="AY135"/>
  <c r="N243" i="1"/>
  <c r="AX246"/>
  <c r="V35" i="27"/>
  <c r="Z36"/>
  <c r="AN243" i="1"/>
  <c r="AE135" i="22"/>
  <c r="BF135" s="1"/>
  <c r="V134"/>
  <c r="V41" i="33" s="1"/>
  <c r="Z41" s="1"/>
  <c r="AV11" i="22"/>
  <c r="AR11"/>
  <c r="AM243" i="1"/>
  <c r="AU243" s="1"/>
  <c r="AD135" i="22"/>
  <c r="AO243" i="1"/>
  <c r="AF135" i="22"/>
  <c r="AE294" i="1"/>
  <c r="AD11" i="22"/>
  <c r="AD11" i="33" s="1"/>
  <c r="AF294" i="1"/>
  <c r="AF295" s="1"/>
  <c r="AE11" i="22"/>
  <c r="AR244" i="1"/>
  <c r="AU244"/>
  <c r="AQ244"/>
  <c r="AA245"/>
  <c r="Z135" i="22" s="1"/>
  <c r="AP294" i="1"/>
  <c r="AP295" s="1"/>
  <c r="AM245"/>
  <c r="AH245"/>
  <c r="AH243"/>
  <c r="AH244"/>
  <c r="W242"/>
  <c r="V242"/>
  <c r="AP244" l="1"/>
  <c r="AX244" s="1"/>
  <c r="J134" i="22"/>
  <c r="AX134" s="1"/>
  <c r="M135"/>
  <c r="M134" s="1"/>
  <c r="AM11"/>
  <c r="AU11" s="1"/>
  <c r="AE11" i="33"/>
  <c r="AM11" s="1"/>
  <c r="AL11"/>
  <c r="AP11" s="1"/>
  <c r="AV11"/>
  <c r="AR11"/>
  <c r="BA135" i="22"/>
  <c r="BB243" i="1"/>
  <c r="BA243" s="1"/>
  <c r="AZ243" s="1"/>
  <c r="AY243" s="1"/>
  <c r="BA134" i="22"/>
  <c r="AR243" i="1"/>
  <c r="AV243"/>
  <c r="AQ243"/>
  <c r="AP243"/>
  <c r="AX243" s="1"/>
  <c r="AE36" i="27"/>
  <c r="AF36"/>
  <c r="AD36"/>
  <c r="Z35"/>
  <c r="AG135" i="22"/>
  <c r="AL135"/>
  <c r="AT135" s="1"/>
  <c r="Z134"/>
  <c r="AL11"/>
  <c r="AG11"/>
  <c r="AU245" i="1"/>
  <c r="AQ245"/>
  <c r="AO294"/>
  <c r="AO295" s="1"/>
  <c r="AX294"/>
  <c r="Q242"/>
  <c r="P242"/>
  <c r="O242"/>
  <c r="AA242" s="1"/>
  <c r="N242"/>
  <c r="BB242" s="1"/>
  <c r="M242"/>
  <c r="L242"/>
  <c r="K242"/>
  <c r="J242"/>
  <c r="I242"/>
  <c r="H242"/>
  <c r="G242"/>
  <c r="F242"/>
  <c r="E242"/>
  <c r="D242"/>
  <c r="C242"/>
  <c r="BB241"/>
  <c r="BA241"/>
  <c r="AZ241"/>
  <c r="AY241"/>
  <c r="AP241"/>
  <c r="AC241"/>
  <c r="AW241" s="1"/>
  <c r="AB241"/>
  <c r="AV241" s="1"/>
  <c r="AA241"/>
  <c r="AQ241" s="1"/>
  <c r="Z241"/>
  <c r="AK240"/>
  <c r="AJ132" i="22" s="1"/>
  <c r="AJ33" i="27" s="1"/>
  <c r="AJ240" i="1"/>
  <c r="AI132" i="22" s="1"/>
  <c r="AI33" i="27" s="1"/>
  <c r="AI240" i="1"/>
  <c r="AH132" i="22" s="1"/>
  <c r="AH33" i="27" s="1"/>
  <c r="AG240" i="1"/>
  <c r="AF132" i="22" s="1"/>
  <c r="AF33" i="27" s="1"/>
  <c r="AF240" i="1"/>
  <c r="AE240"/>
  <c r="AD132" i="22" s="1"/>
  <c r="Y240" i="1"/>
  <c r="X132" i="22" s="1"/>
  <c r="X240" i="1"/>
  <c r="W240"/>
  <c r="V132" i="22" s="1"/>
  <c r="V33" i="27" s="1"/>
  <c r="V240" i="1"/>
  <c r="M240"/>
  <c r="L240"/>
  <c r="K240"/>
  <c r="J240"/>
  <c r="F240"/>
  <c r="AK239"/>
  <c r="AJ131" i="22" s="1"/>
  <c r="AJ32" i="27" s="1"/>
  <c r="AJ239" i="1"/>
  <c r="AI131" i="22" s="1"/>
  <c r="AI32" i="27" s="1"/>
  <c r="AI239" i="1"/>
  <c r="AH131" i="22" s="1"/>
  <c r="AH32" i="27" s="1"/>
  <c r="AG239" i="1"/>
  <c r="AF131" i="22" s="1"/>
  <c r="AF32" i="27" s="1"/>
  <c r="AF239" i="1"/>
  <c r="AE239"/>
  <c r="AD131" i="22" s="1"/>
  <c r="AE131" l="1"/>
  <c r="AG131" s="1"/>
  <c r="BF239" i="1"/>
  <c r="AE132" i="22"/>
  <c r="AG132" s="1"/>
  <c r="BF240" i="1"/>
  <c r="AQ11" i="22"/>
  <c r="AG11" i="33"/>
  <c r="AO11"/>
  <c r="AW11" s="1"/>
  <c r="AQ11"/>
  <c r="AU11"/>
  <c r="AS11"/>
  <c r="AG36" i="27"/>
  <c r="AK32"/>
  <c r="AK33"/>
  <c r="N240" i="1"/>
  <c r="BB240" s="1"/>
  <c r="BA240" s="1"/>
  <c r="AZ240" s="1"/>
  <c r="AY240" s="1"/>
  <c r="AU241"/>
  <c r="BA242"/>
  <c r="AZ242" s="1"/>
  <c r="AY242" s="1"/>
  <c r="AD241"/>
  <c r="AX241" s="1"/>
  <c r="AP135" i="22"/>
  <c r="AN32" i="27"/>
  <c r="AD32"/>
  <c r="Z33"/>
  <c r="AB132" i="22"/>
  <c r="X33" i="27"/>
  <c r="AB33" s="1"/>
  <c r="AL36"/>
  <c r="AD33"/>
  <c r="AN33"/>
  <c r="AL131" i="22"/>
  <c r="AK131"/>
  <c r="AB240" i="1"/>
  <c r="W132" i="22"/>
  <c r="Y132" s="1"/>
  <c r="AN131"/>
  <c r="Z132"/>
  <c r="AK132"/>
  <c r="AL132"/>
  <c r="AO11"/>
  <c r="AW11" s="1"/>
  <c r="AP11"/>
  <c r="AS11" s="1"/>
  <c r="AN132"/>
  <c r="AN239" i="1"/>
  <c r="AM240"/>
  <c r="AL240" s="1"/>
  <c r="AO240"/>
  <c r="AM239"/>
  <c r="AO239"/>
  <c r="AN240"/>
  <c r="AV240" s="1"/>
  <c r="Z240"/>
  <c r="AA240"/>
  <c r="AL239"/>
  <c r="AH240"/>
  <c r="AN294"/>
  <c r="AN295" s="1"/>
  <c r="AW294"/>
  <c r="AS294"/>
  <c r="AS295" s="1"/>
  <c r="AH239"/>
  <c r="Y239"/>
  <c r="X239"/>
  <c r="W239"/>
  <c r="V131" i="22" s="1"/>
  <c r="V32" i="27" s="1"/>
  <c r="V239" i="1"/>
  <c r="M239"/>
  <c r="L239"/>
  <c r="K239"/>
  <c r="J239"/>
  <c r="F239"/>
  <c r="AO238"/>
  <c r="AN238"/>
  <c r="AM238"/>
  <c r="AL238"/>
  <c r="AH238"/>
  <c r="AC238"/>
  <c r="AW238" s="1"/>
  <c r="AB238"/>
  <c r="AA238"/>
  <c r="AU238" s="1"/>
  <c r="Z238"/>
  <c r="V238"/>
  <c r="M238"/>
  <c r="L238"/>
  <c r="K238"/>
  <c r="J238"/>
  <c r="F238"/>
  <c r="AK237"/>
  <c r="AJ130" i="22" s="1"/>
  <c r="AJ237" i="1"/>
  <c r="AI130" i="22" s="1"/>
  <c r="AI237" i="1"/>
  <c r="AH130" i="22" s="1"/>
  <c r="AG237" i="1"/>
  <c r="AF237"/>
  <c r="BF237" s="1"/>
  <c r="AE237"/>
  <c r="Y237"/>
  <c r="X130" i="22" s="1"/>
  <c r="X31" i="27" s="1"/>
  <c r="X237" i="1"/>
  <c r="W237"/>
  <c r="V130" i="22" s="1"/>
  <c r="V31" i="27" s="1"/>
  <c r="V237" i="1"/>
  <c r="M237"/>
  <c r="L237"/>
  <c r="K237"/>
  <c r="J237"/>
  <c r="F237"/>
  <c r="AL236"/>
  <c r="AG236"/>
  <c r="AO236" s="1"/>
  <c r="AF236"/>
  <c r="AE236"/>
  <c r="AM236" s="1"/>
  <c r="AC236"/>
  <c r="AW236" s="1"/>
  <c r="AB236"/>
  <c r="AA236"/>
  <c r="AD236" s="1"/>
  <c r="Z236"/>
  <c r="V236"/>
  <c r="M236"/>
  <c r="L236"/>
  <c r="K236"/>
  <c r="J236"/>
  <c r="F236"/>
  <c r="AM131" i="22" l="1"/>
  <c r="AO131" s="1"/>
  <c r="AM132"/>
  <c r="AE33" i="27"/>
  <c r="AM33" s="1"/>
  <c r="BF132" i="22"/>
  <c r="AE32" i="27"/>
  <c r="AM32" s="1"/>
  <c r="BF131" i="22"/>
  <c r="AN236" i="1"/>
  <c r="AR236" s="1"/>
  <c r="BF236"/>
  <c r="N238"/>
  <c r="AL33" i="27"/>
  <c r="AG33"/>
  <c r="AL32"/>
  <c r="AG32"/>
  <c r="BC11" i="22"/>
  <c r="BB11"/>
  <c r="N237" i="1"/>
  <c r="AD238"/>
  <c r="N239"/>
  <c r="BB239" s="1"/>
  <c r="BA239" s="1"/>
  <c r="AZ239" s="1"/>
  <c r="AY239" s="1"/>
  <c r="N236"/>
  <c r="BB236" s="1"/>
  <c r="BA236" s="1"/>
  <c r="AZ236" s="1"/>
  <c r="AY236" s="1"/>
  <c r="AP238"/>
  <c r="AV238"/>
  <c r="BB238"/>
  <c r="BA238" s="1"/>
  <c r="AZ238" s="1"/>
  <c r="AY238" s="1"/>
  <c r="AX238" s="1"/>
  <c r="BB237"/>
  <c r="BA237" s="1"/>
  <c r="AZ237" s="1"/>
  <c r="AY237" s="1"/>
  <c r="AV132" i="22"/>
  <c r="AI129"/>
  <c r="AI40" i="33" s="1"/>
  <c r="AI31" i="27"/>
  <c r="AT36"/>
  <c r="AP36"/>
  <c r="V30"/>
  <c r="Z31"/>
  <c r="AB31"/>
  <c r="AH129" i="22"/>
  <c r="AH40" i="33" s="1"/>
  <c r="AH31" i="27"/>
  <c r="AH30" s="1"/>
  <c r="AJ129" i="22"/>
  <c r="AJ40" i="33" s="1"/>
  <c r="AJ31" i="27"/>
  <c r="AJ30" s="1"/>
  <c r="Z32"/>
  <c r="AA132" i="22"/>
  <c r="AC132" s="1"/>
  <c r="W33" i="27"/>
  <c r="Y33" s="1"/>
  <c r="AR33"/>
  <c r="AV33"/>
  <c r="AP33"/>
  <c r="V129" i="22"/>
  <c r="V40" i="33" s="1"/>
  <c r="Z40" s="1"/>
  <c r="Z131" i="22"/>
  <c r="AC239" i="1"/>
  <c r="AW239" s="1"/>
  <c r="X131" i="22"/>
  <c r="X129" s="1"/>
  <c r="X40" i="33" s="1"/>
  <c r="AB40" s="1"/>
  <c r="AT132" i="22"/>
  <c r="AP132"/>
  <c r="AO132"/>
  <c r="AR132"/>
  <c r="AB237" i="1"/>
  <c r="W130" i="22"/>
  <c r="W31" i="27" s="1"/>
  <c r="Y31" s="1"/>
  <c r="AB239" i="1"/>
  <c r="AR239" s="1"/>
  <c r="W131" i="22"/>
  <c r="AP239" i="1"/>
  <c r="AQ238"/>
  <c r="Z237"/>
  <c r="AN237"/>
  <c r="AL237"/>
  <c r="Z239"/>
  <c r="AH237"/>
  <c r="AO237"/>
  <c r="AU236"/>
  <c r="AQ236"/>
  <c r="AP236"/>
  <c r="AX236" s="1"/>
  <c r="AA237"/>
  <c r="AV236"/>
  <c r="AA239"/>
  <c r="AU240"/>
  <c r="AQ240"/>
  <c r="AP240" s="1"/>
  <c r="AM237"/>
  <c r="AV294"/>
  <c r="AR294"/>
  <c r="AR295" s="1"/>
  <c r="AH236"/>
  <c r="AO32" i="27" l="1"/>
  <c r="AO33"/>
  <c r="AT33"/>
  <c r="AI30"/>
  <c r="AK30" s="1"/>
  <c r="AK31"/>
  <c r="AK40" i="33"/>
  <c r="AU132" i="22"/>
  <c r="AV239" i="1"/>
  <c r="AR237"/>
  <c r="AQ132" i="22"/>
  <c r="AS132" s="1"/>
  <c r="AB131"/>
  <c r="AR131" s="1"/>
  <c r="X32" i="27"/>
  <c r="AA33"/>
  <c r="AC33" s="1"/>
  <c r="AT32"/>
  <c r="AP32"/>
  <c r="AA131" i="22"/>
  <c r="AU131" s="1"/>
  <c r="W32" i="27"/>
  <c r="AA31"/>
  <c r="AC31" s="1"/>
  <c r="Z30"/>
  <c r="W129" i="22"/>
  <c r="AW132"/>
  <c r="Y131"/>
  <c r="Y130"/>
  <c r="AT131"/>
  <c r="AP131"/>
  <c r="AP237" i="1"/>
  <c r="AV237"/>
  <c r="AU239"/>
  <c r="AQ239"/>
  <c r="AD239"/>
  <c r="AX239" s="1"/>
  <c r="AT294"/>
  <c r="AT295" s="1"/>
  <c r="AU237"/>
  <c r="AQ237"/>
  <c r="AL235"/>
  <c r="AK130" i="22" s="1"/>
  <c r="AK129" s="1"/>
  <c r="AG235" i="1"/>
  <c r="AF235"/>
  <c r="BF235" s="1"/>
  <c r="AE235"/>
  <c r="AC235"/>
  <c r="AW235" s="1"/>
  <c r="AB235"/>
  <c r="AA130" i="22" s="1"/>
  <c r="AA129" s="1"/>
  <c r="AA235" i="1"/>
  <c r="Z130" i="22" s="1"/>
  <c r="Z129" s="1"/>
  <c r="Z235" i="1"/>
  <c r="V235"/>
  <c r="U130" i="22" s="1"/>
  <c r="U129" s="1"/>
  <c r="M235" i="1"/>
  <c r="L235"/>
  <c r="K130" i="22" s="1"/>
  <c r="K235" i="1"/>
  <c r="J130" i="22" s="1"/>
  <c r="J235" i="1"/>
  <c r="I130" i="22" s="1"/>
  <c r="I129" s="1"/>
  <c r="F235" i="1"/>
  <c r="AK234"/>
  <c r="AJ234"/>
  <c r="AI234"/>
  <c r="AV131" i="22" l="1"/>
  <c r="Y32" i="27"/>
  <c r="Y129" i="22"/>
  <c r="W40" i="33"/>
  <c r="AQ131" i="22"/>
  <c r="L130"/>
  <c r="BA235" i="1"/>
  <c r="AZ235" s="1"/>
  <c r="AY235" s="1"/>
  <c r="AD235"/>
  <c r="AX130" i="22"/>
  <c r="J129"/>
  <c r="AX129" s="1"/>
  <c r="AY130"/>
  <c r="K129"/>
  <c r="AY129" s="1"/>
  <c r="N235" i="1"/>
  <c r="AC131" i="22"/>
  <c r="AW131" s="1"/>
  <c r="AA32" i="27"/>
  <c r="AQ33"/>
  <c r="AS33" s="1"/>
  <c r="AU33"/>
  <c r="AW33"/>
  <c r="AB32"/>
  <c r="X30"/>
  <c r="AB30" s="1"/>
  <c r="AS131" i="22"/>
  <c r="W30" i="27"/>
  <c r="Y30" s="1"/>
  <c r="AM235" i="1"/>
  <c r="AL130" i="22" s="1"/>
  <c r="AD130"/>
  <c r="AO235" i="1"/>
  <c r="AN130" i="22" s="1"/>
  <c r="AN129" s="1"/>
  <c r="AF130"/>
  <c r="AN235" i="1"/>
  <c r="AM130" i="22" s="1"/>
  <c r="AE130"/>
  <c r="BF130" s="1"/>
  <c r="AE234" i="1"/>
  <c r="AG234"/>
  <c r="AF234"/>
  <c r="BF234" s="1"/>
  <c r="AH235"/>
  <c r="AC32" i="27" l="1"/>
  <c r="AA40" i="33"/>
  <c r="Y40"/>
  <c r="M130" i="22"/>
  <c r="M129" s="1"/>
  <c r="BB235" i="1"/>
  <c r="AZ130" i="22"/>
  <c r="L129"/>
  <c r="AZ129" s="1"/>
  <c r="BA130"/>
  <c r="BA129"/>
  <c r="AU235" i="1"/>
  <c r="AV235"/>
  <c r="AM234"/>
  <c r="AQ235"/>
  <c r="AR235"/>
  <c r="AP235"/>
  <c r="AX235" s="1"/>
  <c r="AE129" i="22"/>
  <c r="AE31" i="27"/>
  <c r="AF129" i="22"/>
  <c r="AF40" i="33" s="1"/>
  <c r="AN40" s="1"/>
  <c r="AF31" i="27"/>
  <c r="AD129" i="22"/>
  <c r="AD40" i="33" s="1"/>
  <c r="AD31" i="27"/>
  <c r="AR32"/>
  <c r="AV32"/>
  <c r="AA30"/>
  <c r="AC30" s="1"/>
  <c r="AQ32"/>
  <c r="AU32"/>
  <c r="AW32"/>
  <c r="AM129" i="22"/>
  <c r="AQ130"/>
  <c r="AU130"/>
  <c r="AO130"/>
  <c r="AL129"/>
  <c r="AP130"/>
  <c r="AT130"/>
  <c r="AH234" i="1"/>
  <c r="AG130" i="22"/>
  <c r="AG129" s="1"/>
  <c r="AL234" i="1"/>
  <c r="Y234"/>
  <c r="X234"/>
  <c r="W234"/>
  <c r="V234"/>
  <c r="U38" i="27" s="1"/>
  <c r="Q234" i="1"/>
  <c r="P234"/>
  <c r="O234"/>
  <c r="N234"/>
  <c r="BB234" s="1"/>
  <c r="M234"/>
  <c r="L234"/>
  <c r="K234"/>
  <c r="J234"/>
  <c r="I234"/>
  <c r="H234"/>
  <c r="G234"/>
  <c r="F234"/>
  <c r="E234"/>
  <c r="D234"/>
  <c r="C234"/>
  <c r="BB233"/>
  <c r="BA233"/>
  <c r="AZ233"/>
  <c r="AY233"/>
  <c r="AP233"/>
  <c r="AC233"/>
  <c r="AW233" s="1"/>
  <c r="AB233"/>
  <c r="AV233" s="1"/>
  <c r="AA233"/>
  <c r="AU233" s="1"/>
  <c r="Z233"/>
  <c r="AI232"/>
  <c r="AH127" i="22" s="1"/>
  <c r="AH28" i="27" s="1"/>
  <c r="W232" i="1"/>
  <c r="V127" i="22" s="1"/>
  <c r="V28" i="27" s="1"/>
  <c r="V232" i="1"/>
  <c r="M232"/>
  <c r="L232"/>
  <c r="K232"/>
  <c r="J232"/>
  <c r="F232"/>
  <c r="AI231"/>
  <c r="AH126" i="22" s="1"/>
  <c r="AH27" i="27" s="1"/>
  <c r="W231" i="1"/>
  <c r="V231"/>
  <c r="U36" i="27" s="1"/>
  <c r="M231" i="1"/>
  <c r="L231"/>
  <c r="K231"/>
  <c r="J231"/>
  <c r="F231"/>
  <c r="AO230"/>
  <c r="AN230"/>
  <c r="AM230"/>
  <c r="AL230"/>
  <c r="AH230"/>
  <c r="AC230"/>
  <c r="AW230" s="1"/>
  <c r="AB230"/>
  <c r="AV230" s="1"/>
  <c r="AA230"/>
  <c r="AU230" s="1"/>
  <c r="Z230"/>
  <c r="V230"/>
  <c r="M230"/>
  <c r="L230"/>
  <c r="K230"/>
  <c r="J230"/>
  <c r="AI229"/>
  <c r="AH125" i="22" s="1"/>
  <c r="AG229" i="1"/>
  <c r="AF229"/>
  <c r="BF229" s="1"/>
  <c r="AE229"/>
  <c r="W229"/>
  <c r="V229"/>
  <c r="M229"/>
  <c r="L229"/>
  <c r="K229"/>
  <c r="J229"/>
  <c r="F229"/>
  <c r="AL228"/>
  <c r="AG228"/>
  <c r="AO228" s="1"/>
  <c r="AF228"/>
  <c r="BF228" s="1"/>
  <c r="AE228"/>
  <c r="AM228" s="1"/>
  <c r="AC228"/>
  <c r="AW228" s="1"/>
  <c r="AB228"/>
  <c r="AA228"/>
  <c r="Z228"/>
  <c r="V228"/>
  <c r="M228"/>
  <c r="L228"/>
  <c r="K228"/>
  <c r="J228"/>
  <c r="F228"/>
  <c r="AL227"/>
  <c r="AG227"/>
  <c r="AF227"/>
  <c r="BF227" s="1"/>
  <c r="AE227"/>
  <c r="AC227"/>
  <c r="AW227" s="1"/>
  <c r="AB227"/>
  <c r="AA227"/>
  <c r="Z227"/>
  <c r="V227"/>
  <c r="M227"/>
  <c r="L227"/>
  <c r="K227"/>
  <c r="J125" i="22" s="1"/>
  <c r="J227" i="1"/>
  <c r="F227"/>
  <c r="AG31" i="27" l="1"/>
  <c r="AE40" i="33"/>
  <c r="AM40" s="1"/>
  <c r="BF129" i="22"/>
  <c r="AP230" i="1"/>
  <c r="AS32" i="27"/>
  <c r="K125" i="22"/>
  <c r="AY125" s="1"/>
  <c r="U33" i="27"/>
  <c r="AD228" i="1"/>
  <c r="N230"/>
  <c r="N231"/>
  <c r="N232"/>
  <c r="U37" i="27"/>
  <c r="U35" s="1"/>
  <c r="L125" i="22"/>
  <c r="L124" s="1"/>
  <c r="AZ124" s="1"/>
  <c r="AG40" i="33"/>
  <c r="AL40"/>
  <c r="AV40"/>
  <c r="AR40"/>
  <c r="AU40"/>
  <c r="AQ40"/>
  <c r="AC40"/>
  <c r="AD227" i="1"/>
  <c r="N228"/>
  <c r="N229"/>
  <c r="BA234"/>
  <c r="AX125" i="22"/>
  <c r="J124"/>
  <c r="AX124" s="1"/>
  <c r="AZ125"/>
  <c r="BA227" i="1"/>
  <c r="AZ227" s="1"/>
  <c r="AY227" s="1"/>
  <c r="AU228"/>
  <c r="BB230"/>
  <c r="BA230" s="1"/>
  <c r="AZ230" s="1"/>
  <c r="AY230" s="1"/>
  <c r="BB232"/>
  <c r="BA232" s="1"/>
  <c r="AZ232" s="1"/>
  <c r="AY232" s="1"/>
  <c r="AD233"/>
  <c r="AQ233"/>
  <c r="AX233"/>
  <c r="I125" i="22"/>
  <c r="I124" s="1"/>
  <c r="K124"/>
  <c r="AY124" s="1"/>
  <c r="U32" i="27"/>
  <c r="U125" i="22"/>
  <c r="U124" s="1"/>
  <c r="N227" i="1"/>
  <c r="BB228"/>
  <c r="BA228" s="1"/>
  <c r="AZ228" s="1"/>
  <c r="AY228" s="1"/>
  <c r="AD230"/>
  <c r="BB231"/>
  <c r="BA231" s="1"/>
  <c r="AZ231" s="1"/>
  <c r="AY231" s="1"/>
  <c r="AZ234"/>
  <c r="AY234" s="1"/>
  <c r="AH124" i="22"/>
  <c r="AH39" i="33" s="1"/>
  <c r="AH26" i="27"/>
  <c r="AH25" s="1"/>
  <c r="Z28"/>
  <c r="AL31"/>
  <c r="AD30"/>
  <c r="AN31"/>
  <c r="AF30"/>
  <c r="AN30" s="1"/>
  <c r="AM31"/>
  <c r="AE30"/>
  <c r="AM227" i="1"/>
  <c r="AU227" s="1"/>
  <c r="AD125" i="22"/>
  <c r="AO227" i="1"/>
  <c r="AF125" i="22"/>
  <c r="AA229" i="1"/>
  <c r="Z125" i="22" s="1"/>
  <c r="V125"/>
  <c r="V26" i="27" s="1"/>
  <c r="Z127" i="22"/>
  <c r="AO129"/>
  <c r="AT129"/>
  <c r="AP129"/>
  <c r="AQ129"/>
  <c r="AU129"/>
  <c r="AN227" i="1"/>
  <c r="AV227" s="1"/>
  <c r="AE125" i="22"/>
  <c r="BF125" s="1"/>
  <c r="AA231" i="1"/>
  <c r="V126" i="22"/>
  <c r="V27" i="27" s="1"/>
  <c r="AC234" i="1"/>
  <c r="AB234"/>
  <c r="AH229"/>
  <c r="AQ230"/>
  <c r="Z234"/>
  <c r="AH228"/>
  <c r="AA232"/>
  <c r="AH227"/>
  <c r="AN228"/>
  <c r="AP228" s="1"/>
  <c r="AM229"/>
  <c r="AA234"/>
  <c r="AQ228"/>
  <c r="AI226"/>
  <c r="W226"/>
  <c r="V226"/>
  <c r="U31" i="27" s="1"/>
  <c r="U30" s="1"/>
  <c r="Q226" i="1"/>
  <c r="P226"/>
  <c r="O226"/>
  <c r="M226"/>
  <c r="L226"/>
  <c r="K226"/>
  <c r="J226"/>
  <c r="I226"/>
  <c r="H226"/>
  <c r="G226"/>
  <c r="F226"/>
  <c r="E226"/>
  <c r="D226"/>
  <c r="C226"/>
  <c r="BB225"/>
  <c r="BA225"/>
  <c r="AZ225"/>
  <c r="AY225"/>
  <c r="AP225"/>
  <c r="AC225"/>
  <c r="AW225" s="1"/>
  <c r="AB225"/>
  <c r="AV225" s="1"/>
  <c r="AA225"/>
  <c r="AU225" s="1"/>
  <c r="Z225"/>
  <c r="AR227" l="1"/>
  <c r="N226"/>
  <c r="BB226" s="1"/>
  <c r="BB229"/>
  <c r="BA229" s="1"/>
  <c r="AZ229" s="1"/>
  <c r="AY229" s="1"/>
  <c r="AP227"/>
  <c r="AX227" s="1"/>
  <c r="AQ227"/>
  <c r="AX228"/>
  <c r="M125" i="22"/>
  <c r="M124" s="1"/>
  <c r="BB227" i="1"/>
  <c r="AL30" i="27"/>
  <c r="AT30" s="1"/>
  <c r="AG30"/>
  <c r="AO40" i="33"/>
  <c r="AW40" s="1"/>
  <c r="AP40"/>
  <c r="AS40" s="1"/>
  <c r="AT40"/>
  <c r="AO31" i="27"/>
  <c r="AW31" s="1"/>
  <c r="BA226" i="1"/>
  <c r="AZ226" s="1"/>
  <c r="AY226" s="1"/>
  <c r="AD225"/>
  <c r="AQ225"/>
  <c r="AX225"/>
  <c r="AX230"/>
  <c r="BA124" i="22"/>
  <c r="BA125"/>
  <c r="AG125"/>
  <c r="Z27" i="27"/>
  <c r="AE26"/>
  <c r="V25"/>
  <c r="Z26"/>
  <c r="AF26"/>
  <c r="AD26"/>
  <c r="AM30"/>
  <c r="AV30"/>
  <c r="AR30"/>
  <c r="AQ31"/>
  <c r="AU31"/>
  <c r="AR31"/>
  <c r="AV31"/>
  <c r="AT31"/>
  <c r="AP31"/>
  <c r="Z126" i="22"/>
  <c r="Z124" s="1"/>
  <c r="AL125"/>
  <c r="AP125" s="1"/>
  <c r="V124"/>
  <c r="V39" i="33" s="1"/>
  <c r="Z39" s="1"/>
  <c r="AA226" i="1"/>
  <c r="AU229"/>
  <c r="AU234"/>
  <c r="AD234"/>
  <c r="AV228"/>
  <c r="AR228"/>
  <c r="AQ229"/>
  <c r="AK224"/>
  <c r="AJ122" i="22" s="1"/>
  <c r="AJ23" i="27" s="1"/>
  <c r="AJ224" i="1"/>
  <c r="AI122" i="22" s="1"/>
  <c r="AI23" i="27" s="1"/>
  <c r="AI224" i="1"/>
  <c r="AH122" i="22" s="1"/>
  <c r="AH23" i="27" s="1"/>
  <c r="AG224" i="1"/>
  <c r="AF122" i="22" s="1"/>
  <c r="AF23" i="27" s="1"/>
  <c r="AF224" i="1"/>
  <c r="AE224"/>
  <c r="AD122" i="22" s="1"/>
  <c r="Y224" i="1"/>
  <c r="X122" i="22" s="1"/>
  <c r="X224" i="1"/>
  <c r="W224"/>
  <c r="V122" i="22" s="1"/>
  <c r="V23" i="27" s="1"/>
  <c r="V224" i="1"/>
  <c r="M224"/>
  <c r="L224"/>
  <c r="K224"/>
  <c r="J224"/>
  <c r="F224"/>
  <c r="AK223"/>
  <c r="AJ121" i="22" s="1"/>
  <c r="AJ22" i="27" s="1"/>
  <c r="AJ223" i="1"/>
  <c r="AI121" i="22" s="1"/>
  <c r="AI22" i="27" s="1"/>
  <c r="AI223" i="1"/>
  <c r="AH121" i="22" s="1"/>
  <c r="AH22" i="27" s="1"/>
  <c r="AG223" i="1"/>
  <c r="AF121" i="22" s="1"/>
  <c r="AF22" i="27" s="1"/>
  <c r="AF223" i="1"/>
  <c r="AE223"/>
  <c r="AD121" i="22" s="1"/>
  <c r="AD22" i="27" s="1"/>
  <c r="Y223" i="1"/>
  <c r="X121" i="22" s="1"/>
  <c r="X223" i="1"/>
  <c r="W223"/>
  <c r="V121" i="22" s="1"/>
  <c r="V22" i="27" s="1"/>
  <c r="Z22" s="1"/>
  <c r="V223" i="1"/>
  <c r="U28" i="27" s="1"/>
  <c r="M223" i="1"/>
  <c r="L223"/>
  <c r="K223"/>
  <c r="J223"/>
  <c r="F223"/>
  <c r="AK222"/>
  <c r="AJ120" i="22" s="1"/>
  <c r="AJ21" i="27" s="1"/>
  <c r="AJ222" i="1"/>
  <c r="AI120" i="22" s="1"/>
  <c r="AI21" i="27" s="1"/>
  <c r="AI222" i="1"/>
  <c r="AH120" i="22" s="1"/>
  <c r="AH21" i="27" s="1"/>
  <c r="AG222" i="1"/>
  <c r="AF120" i="22" s="1"/>
  <c r="AF21" i="27" s="1"/>
  <c r="AF222" i="1"/>
  <c r="AE222"/>
  <c r="AD120" i="22" s="1"/>
  <c r="Y222" i="1"/>
  <c r="X222"/>
  <c r="W222"/>
  <c r="V120" i="22" s="1"/>
  <c r="V21" i="27" s="1"/>
  <c r="V222" i="1"/>
  <c r="U27" i="27" s="1"/>
  <c r="M222" i="1"/>
  <c r="L222"/>
  <c r="K222"/>
  <c r="J222"/>
  <c r="F222"/>
  <c r="AO221"/>
  <c r="AN221"/>
  <c r="AM221"/>
  <c r="AL221"/>
  <c r="AH221"/>
  <c r="AC221"/>
  <c r="AW221" s="1"/>
  <c r="AB221"/>
  <c r="AV221" s="1"/>
  <c r="AA221"/>
  <c r="AU221" s="1"/>
  <c r="Z221"/>
  <c r="V221"/>
  <c r="U26" i="27" s="1"/>
  <c r="U25" s="1"/>
  <c r="M221" i="1"/>
  <c r="L221"/>
  <c r="K221"/>
  <c r="J221"/>
  <c r="F221"/>
  <c r="AE121" i="22" l="1"/>
  <c r="BF121" s="1"/>
  <c r="BF223" i="1"/>
  <c r="AE120" i="22"/>
  <c r="AG120" s="1"/>
  <c r="BF222" i="1"/>
  <c r="AE122" i="22"/>
  <c r="AG122" s="1"/>
  <c r="BF224" i="1"/>
  <c r="AG26" i="27"/>
  <c r="N222" i="1"/>
  <c r="AS31" i="27"/>
  <c r="AP30"/>
  <c r="AK21"/>
  <c r="AK22"/>
  <c r="AK23"/>
  <c r="AO30"/>
  <c r="AW30" s="1"/>
  <c r="N223" i="1"/>
  <c r="BB223" s="1"/>
  <c r="BA223" s="1"/>
  <c r="AZ223" s="1"/>
  <c r="AY223" s="1"/>
  <c r="N224"/>
  <c r="BB224" s="1"/>
  <c r="BA224" s="1"/>
  <c r="AZ224" s="1"/>
  <c r="AY224" s="1"/>
  <c r="N221"/>
  <c r="AD221"/>
  <c r="BB222"/>
  <c r="BA222" s="1"/>
  <c r="AZ222" s="1"/>
  <c r="AY222" s="1"/>
  <c r="AQ221"/>
  <c r="BB221"/>
  <c r="BA221" s="1"/>
  <c r="AZ221" s="1"/>
  <c r="AY221" s="1"/>
  <c r="AN21" i="27"/>
  <c r="AN23"/>
  <c r="AD21"/>
  <c r="AB121" i="22"/>
  <c r="X22" i="27"/>
  <c r="AB22" s="1"/>
  <c r="AE22"/>
  <c r="AM22" s="1"/>
  <c r="AD23"/>
  <c r="AL26"/>
  <c r="AP26" s="1"/>
  <c r="Z21"/>
  <c r="Z23"/>
  <c r="AB122" i="22"/>
  <c r="X23" i="27"/>
  <c r="AB23" s="1"/>
  <c r="AQ30"/>
  <c r="AS30" s="1"/>
  <c r="AU30"/>
  <c r="Z25"/>
  <c r="AL22"/>
  <c r="AN22"/>
  <c r="AB222" i="1"/>
  <c r="W120" i="22"/>
  <c r="Z121"/>
  <c r="AL121"/>
  <c r="AK121"/>
  <c r="AB224" i="1"/>
  <c r="W122" i="22"/>
  <c r="Y122" s="1"/>
  <c r="AM120"/>
  <c r="AN121"/>
  <c r="AM122"/>
  <c r="Z120"/>
  <c r="AC222" i="1"/>
  <c r="X120" i="22"/>
  <c r="AL120"/>
  <c r="AK120"/>
  <c r="AB223" i="1"/>
  <c r="W121" i="22"/>
  <c r="Z122"/>
  <c r="AL122"/>
  <c r="AK122"/>
  <c r="AN120"/>
  <c r="AM121"/>
  <c r="AN122"/>
  <c r="AT125"/>
  <c r="AP221" i="1"/>
  <c r="AM222"/>
  <c r="AN222"/>
  <c r="AM223"/>
  <c r="AL223" s="1"/>
  <c r="AN224"/>
  <c r="AL222"/>
  <c r="AO222"/>
  <c r="Z223"/>
  <c r="AN223"/>
  <c r="Z224"/>
  <c r="AM224"/>
  <c r="AL224" s="1"/>
  <c r="AA223"/>
  <c r="AA222"/>
  <c r="AA224"/>
  <c r="AH222"/>
  <c r="AH223"/>
  <c r="AH224"/>
  <c r="AG121" i="22" l="1"/>
  <c r="AE23" i="27"/>
  <c r="AM23" s="1"/>
  <c r="BF122" i="22"/>
  <c r="AE21" i="27"/>
  <c r="AM21" s="1"/>
  <c r="BF120" i="22"/>
  <c r="AT26" i="27"/>
  <c r="AV222" i="1"/>
  <c r="AR222"/>
  <c r="AL23" i="27"/>
  <c r="AO23" s="1"/>
  <c r="AG23"/>
  <c r="AL21"/>
  <c r="AO21" s="1"/>
  <c r="AG21"/>
  <c r="AG22"/>
  <c r="AO22"/>
  <c r="AX221" i="1"/>
  <c r="AV223"/>
  <c r="AS222"/>
  <c r="AV122" i="22"/>
  <c r="AV121"/>
  <c r="AA121"/>
  <c r="AQ121" s="1"/>
  <c r="W22" i="27"/>
  <c r="Y22" s="1"/>
  <c r="AB120" i="22"/>
  <c r="AR120" s="1"/>
  <c r="X21" i="27"/>
  <c r="AB21" s="1"/>
  <c r="AA120" i="22"/>
  <c r="AQ120" s="1"/>
  <c r="W21" i="27"/>
  <c r="Y21" s="1"/>
  <c r="AR23"/>
  <c r="AV23"/>
  <c r="AR22"/>
  <c r="AV22"/>
  <c r="AA122" i="22"/>
  <c r="AC122" s="1"/>
  <c r="W23" i="27"/>
  <c r="Y23" s="1"/>
  <c r="AP22"/>
  <c r="AV224" i="1"/>
  <c r="AT22" i="27"/>
  <c r="AT122" i="22"/>
  <c r="AP122"/>
  <c r="AT120"/>
  <c r="AP120"/>
  <c r="AT121"/>
  <c r="AP121"/>
  <c r="AR122"/>
  <c r="AR121"/>
  <c r="AO122"/>
  <c r="AO120"/>
  <c r="Y120"/>
  <c r="AO121"/>
  <c r="Y121"/>
  <c r="AR223" i="1"/>
  <c r="AW222"/>
  <c r="Z222"/>
  <c r="AQ222"/>
  <c r="AP222" s="1"/>
  <c r="AU222"/>
  <c r="AD222"/>
  <c r="AX222" s="1"/>
  <c r="AU223"/>
  <c r="AQ223"/>
  <c r="AU224"/>
  <c r="AK220"/>
  <c r="AJ119" i="22" s="1"/>
  <c r="AJ220" i="1"/>
  <c r="AI119" i="22" s="1"/>
  <c r="AI220" i="1"/>
  <c r="AH119" i="22" s="1"/>
  <c r="AG220" i="1"/>
  <c r="AF220"/>
  <c r="BF220" s="1"/>
  <c r="AE220"/>
  <c r="AQ122" i="22" l="1"/>
  <c r="AV120"/>
  <c r="AP21" i="27"/>
  <c r="AT23"/>
  <c r="AT21"/>
  <c r="AP23"/>
  <c r="AU120" i="22"/>
  <c r="AC120"/>
  <c r="AW120" s="1"/>
  <c r="AU121"/>
  <c r="AC121"/>
  <c r="AW121" s="1"/>
  <c r="AU122"/>
  <c r="AI118"/>
  <c r="AI38" i="33" s="1"/>
  <c r="AI20" i="27"/>
  <c r="AA23"/>
  <c r="AC23" s="1"/>
  <c r="AA21"/>
  <c r="AC21" s="1"/>
  <c r="AR21"/>
  <c r="AV21"/>
  <c r="AA22"/>
  <c r="AC22" s="1"/>
  <c r="AH118" i="22"/>
  <c r="AH38" i="33" s="1"/>
  <c r="AH20" i="27"/>
  <c r="AH19" s="1"/>
  <c r="AJ118" i="22"/>
  <c r="AJ38" i="33" s="1"/>
  <c r="AJ20" i="27"/>
  <c r="AJ19" s="1"/>
  <c r="AS122" i="22"/>
  <c r="AS121"/>
  <c r="AS120"/>
  <c r="AW122"/>
  <c r="AO220" i="1"/>
  <c r="AM220"/>
  <c r="AN220"/>
  <c r="AL220"/>
  <c r="AT222"/>
  <c r="AH220"/>
  <c r="Y220"/>
  <c r="X119" i="22" s="1"/>
  <c r="W220" i="1"/>
  <c r="V119" i="22" s="1"/>
  <c r="V20" i="27" s="1"/>
  <c r="V220" i="1"/>
  <c r="M220"/>
  <c r="L220"/>
  <c r="K220"/>
  <c r="J220"/>
  <c r="F220"/>
  <c r="AK38" i="33" l="1"/>
  <c r="AI19" i="27"/>
  <c r="AK19" s="1"/>
  <c r="AK20"/>
  <c r="N220" i="1"/>
  <c r="BB220" s="1"/>
  <c r="BA220" s="1"/>
  <c r="AZ220" s="1"/>
  <c r="AY220" s="1"/>
  <c r="X118" i="22"/>
  <c r="X38" i="33" s="1"/>
  <c r="AB38" s="1"/>
  <c r="X20" i="27"/>
  <c r="AQ21"/>
  <c r="AS21" s="1"/>
  <c r="AU21"/>
  <c r="AW21"/>
  <c r="AQ23"/>
  <c r="AS23" s="1"/>
  <c r="AU23"/>
  <c r="AW23"/>
  <c r="V19"/>
  <c r="Z20"/>
  <c r="AQ22"/>
  <c r="AS22" s="1"/>
  <c r="AU22"/>
  <c r="AW22"/>
  <c r="V118" i="22"/>
  <c r="V38" i="33" s="1"/>
  <c r="Z38" s="1"/>
  <c r="AP220" i="1"/>
  <c r="AA220"/>
  <c r="Z19" i="27" l="1"/>
  <c r="X19"/>
  <c r="AB19" s="1"/>
  <c r="AB20"/>
  <c r="AU220" i="1"/>
  <c r="AQ220"/>
  <c r="AL219" l="1"/>
  <c r="AG219"/>
  <c r="AO219" s="1"/>
  <c r="AF219"/>
  <c r="AE219"/>
  <c r="AM219" s="1"/>
  <c r="AC219"/>
  <c r="AW219" s="1"/>
  <c r="AB219"/>
  <c r="AA219"/>
  <c r="AD219" s="1"/>
  <c r="Z219"/>
  <c r="V219"/>
  <c r="M219"/>
  <c r="L219"/>
  <c r="K219"/>
  <c r="J219"/>
  <c r="F219"/>
  <c r="AN219" l="1"/>
  <c r="AV219" s="1"/>
  <c r="BF219"/>
  <c r="N219"/>
  <c r="BB219" s="1"/>
  <c r="BA219" s="1"/>
  <c r="AZ219" s="1"/>
  <c r="AY219" s="1"/>
  <c r="AR219"/>
  <c r="AU219"/>
  <c r="AQ219"/>
  <c r="AH219"/>
  <c r="AL218"/>
  <c r="AG218"/>
  <c r="AF218"/>
  <c r="BF218" s="1"/>
  <c r="AE218"/>
  <c r="AC218"/>
  <c r="AW218" s="1"/>
  <c r="AB218"/>
  <c r="AA218"/>
  <c r="Z119" i="22" s="1"/>
  <c r="Z118" s="1"/>
  <c r="Z218" i="1"/>
  <c r="V218"/>
  <c r="M218"/>
  <c r="L218"/>
  <c r="K119" i="22" s="1"/>
  <c r="K218" i="1"/>
  <c r="J119" i="22" s="1"/>
  <c r="J218" i="1"/>
  <c r="J217" s="1"/>
  <c r="F218"/>
  <c r="AK217"/>
  <c r="AJ217"/>
  <c r="AI217"/>
  <c r="Y217"/>
  <c r="W217"/>
  <c r="V217"/>
  <c r="Q217"/>
  <c r="P217"/>
  <c r="O217"/>
  <c r="M217"/>
  <c r="K217"/>
  <c r="I217"/>
  <c r="H217"/>
  <c r="G217"/>
  <c r="F217"/>
  <c r="E217"/>
  <c r="D217"/>
  <c r="C217"/>
  <c r="AP216"/>
  <c r="AC216"/>
  <c r="AW216" s="1"/>
  <c r="AB216"/>
  <c r="AV216" s="1"/>
  <c r="AA216"/>
  <c r="AQ216" s="1"/>
  <c r="Z216"/>
  <c r="M216"/>
  <c r="L216"/>
  <c r="K216"/>
  <c r="J216"/>
  <c r="AP219" l="1"/>
  <c r="AX219" s="1"/>
  <c r="L217"/>
  <c r="N216"/>
  <c r="I119" i="22"/>
  <c r="I118" s="1"/>
  <c r="AY119"/>
  <c r="K118"/>
  <c r="AY118" s="1"/>
  <c r="U23" i="27"/>
  <c r="U119" i="22"/>
  <c r="U118" s="1"/>
  <c r="AU216" i="1"/>
  <c r="N218"/>
  <c r="U22" i="27"/>
  <c r="U21"/>
  <c r="AX119" i="22"/>
  <c r="J118"/>
  <c r="AX118" s="1"/>
  <c r="L119"/>
  <c r="BA218" i="1"/>
  <c r="AZ218" s="1"/>
  <c r="AY218" s="1"/>
  <c r="AK119" i="22"/>
  <c r="AK118" s="1"/>
  <c r="AD216" i="1"/>
  <c r="BB216"/>
  <c r="BA216" s="1"/>
  <c r="AZ216" s="1"/>
  <c r="AY216" s="1"/>
  <c r="AD218"/>
  <c r="AN218"/>
  <c r="AM119" i="22" s="1"/>
  <c r="AM118" s="1"/>
  <c r="AE119"/>
  <c r="BF119" s="1"/>
  <c r="AM218" i="1"/>
  <c r="AL119" i="22" s="1"/>
  <c r="AD119"/>
  <c r="AO218" i="1"/>
  <c r="AN119" i="22" s="1"/>
  <c r="AN118" s="1"/>
  <c r="AF119"/>
  <c r="AE217" i="1"/>
  <c r="AG217"/>
  <c r="AA217"/>
  <c r="AC217"/>
  <c r="AF217"/>
  <c r="BF217" s="1"/>
  <c r="AH218"/>
  <c r="AK215"/>
  <c r="AJ116" i="22" s="1"/>
  <c r="AJ215" i="1"/>
  <c r="AI116" i="22" s="1"/>
  <c r="AI215" i="1"/>
  <c r="AH116" i="22" s="1"/>
  <c r="AG215" i="1"/>
  <c r="AF116" i="22" s="1"/>
  <c r="AF215" i="1"/>
  <c r="AE215"/>
  <c r="AD116" i="22" s="1"/>
  <c r="AE116" l="1"/>
  <c r="BF116" s="1"/>
  <c r="BF215" i="1"/>
  <c r="AX216"/>
  <c r="AH17" i="27"/>
  <c r="AJ17"/>
  <c r="AD17"/>
  <c r="AL17" s="1"/>
  <c r="AF17"/>
  <c r="AI17"/>
  <c r="AZ119" i="22"/>
  <c r="L118"/>
  <c r="AZ118" s="1"/>
  <c r="BA118" s="1"/>
  <c r="BA119"/>
  <c r="M119"/>
  <c r="M118" s="1"/>
  <c r="BB218" i="1"/>
  <c r="N217"/>
  <c r="BB217" s="1"/>
  <c r="BA217" s="1"/>
  <c r="AZ217" s="1"/>
  <c r="AY217" s="1"/>
  <c r="AN17" i="27"/>
  <c r="AP218" i="1"/>
  <c r="AX218" s="1"/>
  <c r="AR218"/>
  <c r="AM217"/>
  <c r="AL217" s="1"/>
  <c r="AG116" i="22"/>
  <c r="AF118"/>
  <c r="AF38" i="33" s="1"/>
  <c r="AN38" s="1"/>
  <c r="AF20" i="27"/>
  <c r="AD118" i="22"/>
  <c r="AD38" i="33" s="1"/>
  <c r="AD20" i="27"/>
  <c r="AE118" i="22"/>
  <c r="AE20" i="27"/>
  <c r="AQ218" i="1"/>
  <c r="AN217"/>
  <c r="AV218"/>
  <c r="AU218"/>
  <c r="AH217"/>
  <c r="AG119" i="22"/>
  <c r="AG118" s="1"/>
  <c r="AO119"/>
  <c r="AL118"/>
  <c r="AT119"/>
  <c r="AP119"/>
  <c r="AM116"/>
  <c r="AL116"/>
  <c r="AK116"/>
  <c r="AN116"/>
  <c r="AM215" i="1"/>
  <c r="AO215"/>
  <c r="AL215"/>
  <c r="AN215"/>
  <c r="AH215"/>
  <c r="Y215"/>
  <c r="X116" i="22" s="1"/>
  <c r="X215" i="1"/>
  <c r="W215"/>
  <c r="V215"/>
  <c r="U20" i="27" s="1"/>
  <c r="U19" s="1"/>
  <c r="M215" i="1"/>
  <c r="L215"/>
  <c r="K215"/>
  <c r="J215"/>
  <c r="F215"/>
  <c r="AE17" i="27" l="1"/>
  <c r="AG17" s="1"/>
  <c r="AE38" i="33"/>
  <c r="AM38" s="1"/>
  <c r="BF118" i="22"/>
  <c r="AK17" i="27"/>
  <c r="AM17"/>
  <c r="AO17" s="1"/>
  <c r="AG38" i="33"/>
  <c r="AL38"/>
  <c r="AV38"/>
  <c r="AR38"/>
  <c r="AG20" i="27"/>
  <c r="N215" i="1"/>
  <c r="BB215" s="1"/>
  <c r="BA215" s="1"/>
  <c r="AZ215" s="1"/>
  <c r="AY215" s="1"/>
  <c r="AU217"/>
  <c r="AB116" i="22"/>
  <c r="X17" i="27"/>
  <c r="AB17" s="1"/>
  <c r="AM20"/>
  <c r="AE19"/>
  <c r="AL20"/>
  <c r="AD19"/>
  <c r="AN20"/>
  <c r="AF19"/>
  <c r="AN19" s="1"/>
  <c r="AA215" i="1"/>
  <c r="AQ215" s="1"/>
  <c r="V116" i="22"/>
  <c r="AV116"/>
  <c r="AB215" i="1"/>
  <c r="AR215" s="1"/>
  <c r="W116" i="22"/>
  <c r="AO118"/>
  <c r="AP118"/>
  <c r="AT118"/>
  <c r="AO116"/>
  <c r="AP215" i="1"/>
  <c r="AU215"/>
  <c r="Z215"/>
  <c r="AK214"/>
  <c r="AJ115" i="22" s="1"/>
  <c r="AJ16" i="27" s="1"/>
  <c r="AJ214" i="1"/>
  <c r="AI115" i="22" s="1"/>
  <c r="AI16" i="27" s="1"/>
  <c r="AI214" i="1"/>
  <c r="AH115" i="22" s="1"/>
  <c r="AH16" i="27" s="1"/>
  <c r="AG214" i="1"/>
  <c r="AF115" i="22" s="1"/>
  <c r="AF16" i="27" s="1"/>
  <c r="AF214" i="1"/>
  <c r="AE214"/>
  <c r="AD115" i="22" s="1"/>
  <c r="AD16" i="27" s="1"/>
  <c r="Y214" i="1"/>
  <c r="X115" i="22" s="1"/>
  <c r="X214" i="1"/>
  <c r="W214"/>
  <c r="V115" i="22" s="1"/>
  <c r="V16" i="27" s="1"/>
  <c r="Z16" s="1"/>
  <c r="V214" i="1"/>
  <c r="M214"/>
  <c r="L214"/>
  <c r="K214"/>
  <c r="J214"/>
  <c r="F214"/>
  <c r="AK213"/>
  <c r="AJ114" i="22" s="1"/>
  <c r="AJ15" i="27" s="1"/>
  <c r="AJ213" i="1"/>
  <c r="AI114" i="22" s="1"/>
  <c r="AI15" i="27" s="1"/>
  <c r="AI213" i="1"/>
  <c r="AH114" i="22" s="1"/>
  <c r="AH15" i="27" s="1"/>
  <c r="AG213" i="1"/>
  <c r="AF114" i="22" s="1"/>
  <c r="AF15" i="27" s="1"/>
  <c r="AF213" i="1"/>
  <c r="AE213"/>
  <c r="AD114" i="22" s="1"/>
  <c r="AE115" l="1"/>
  <c r="AM115" s="1"/>
  <c r="BF214" i="1"/>
  <c r="AE114" i="22"/>
  <c r="AG114" s="1"/>
  <c r="BF213" i="1"/>
  <c r="AK15" i="27"/>
  <c r="AK16"/>
  <c r="AL19"/>
  <c r="AP19" s="1"/>
  <c r="AG19"/>
  <c r="AO38" i="33"/>
  <c r="AP38"/>
  <c r="AT38"/>
  <c r="AO20" i="27"/>
  <c r="V17"/>
  <c r="Z17" s="1"/>
  <c r="AR116" i="22"/>
  <c r="N214" i="1"/>
  <c r="BB214" s="1"/>
  <c r="BA214" s="1"/>
  <c r="AZ214" s="1"/>
  <c r="AY214" s="1"/>
  <c r="AL16" i="27"/>
  <c r="AN16"/>
  <c r="AV20"/>
  <c r="AR20"/>
  <c r="AT20"/>
  <c r="AP20"/>
  <c r="AD15"/>
  <c r="AB115" i="22"/>
  <c r="AV115" s="1"/>
  <c r="X16" i="27"/>
  <c r="AB16" s="1"/>
  <c r="AA116" i="22"/>
  <c r="AQ116" s="1"/>
  <c r="W17" i="27"/>
  <c r="AV19"/>
  <c r="AR19"/>
  <c r="AM19"/>
  <c r="AR17"/>
  <c r="AV17"/>
  <c r="AN15"/>
  <c r="Z115" i="22"/>
  <c r="AL115"/>
  <c r="AK115"/>
  <c r="AG115"/>
  <c r="AN115"/>
  <c r="AL114"/>
  <c r="AK114"/>
  <c r="AB214" i="1"/>
  <c r="W115" i="22"/>
  <c r="Y116"/>
  <c r="Z116"/>
  <c r="AN114"/>
  <c r="AH213" i="1"/>
  <c r="AO213"/>
  <c r="AN214"/>
  <c r="AM214"/>
  <c r="AN213"/>
  <c r="AL213"/>
  <c r="AO214"/>
  <c r="AA214"/>
  <c r="AL214"/>
  <c r="AM213"/>
  <c r="Z214"/>
  <c r="AH214"/>
  <c r="Y213"/>
  <c r="X114" i="22" s="1"/>
  <c r="X213" i="1"/>
  <c r="W213"/>
  <c r="V114" i="22" s="1"/>
  <c r="V15" i="27" s="1"/>
  <c r="V213" i="1"/>
  <c r="M213"/>
  <c r="L213"/>
  <c r="K213"/>
  <c r="J213"/>
  <c r="F213"/>
  <c r="AK212"/>
  <c r="AJ113" i="22" s="1"/>
  <c r="AJ14" i="27" s="1"/>
  <c r="AJ212" i="1"/>
  <c r="AI113" i="22" s="1"/>
  <c r="AI14" i="27" s="1"/>
  <c r="AI212" i="1"/>
  <c r="AH113" i="22" s="1"/>
  <c r="AH14" i="27" s="1"/>
  <c r="AG212" i="1"/>
  <c r="AF113" i="22" s="1"/>
  <c r="AF14" i="27" s="1"/>
  <c r="AF212" i="1"/>
  <c r="AE212"/>
  <c r="AD113" i="22" s="1"/>
  <c r="Y212" i="1"/>
  <c r="X113" i="22" s="1"/>
  <c r="X212" i="1"/>
  <c r="W212"/>
  <c r="V113" i="22" s="1"/>
  <c r="V14" i="27" s="1"/>
  <c r="V212" i="1"/>
  <c r="U17" i="27" s="1"/>
  <c r="M212" i="1"/>
  <c r="L212"/>
  <c r="K212"/>
  <c r="J212"/>
  <c r="F212"/>
  <c r="AK211"/>
  <c r="AJ112" i="22" s="1"/>
  <c r="AJ13" i="27" s="1"/>
  <c r="AJ211" i="1"/>
  <c r="AI112" i="22" s="1"/>
  <c r="AI13" i="27" s="1"/>
  <c r="AI211" i="1"/>
  <c r="AH112" i="22" s="1"/>
  <c r="AH13" i="27" s="1"/>
  <c r="AG211" i="1"/>
  <c r="AF112" i="22" s="1"/>
  <c r="AF13" i="27" s="1"/>
  <c r="AF211" i="1"/>
  <c r="AE211"/>
  <c r="AD112" i="22" s="1"/>
  <c r="AM114" l="1"/>
  <c r="AT19" i="27"/>
  <c r="AE112" i="22"/>
  <c r="AG112" s="1"/>
  <c r="BF211" i="1"/>
  <c r="AE15" i="27"/>
  <c r="AM15" s="1"/>
  <c r="BF114" i="22"/>
  <c r="AE16" i="27"/>
  <c r="BF115" i="22"/>
  <c r="AE113"/>
  <c r="AM113" s="1"/>
  <c r="BF212" i="1"/>
  <c r="N212"/>
  <c r="AK14" i="27"/>
  <c r="AK13"/>
  <c r="AP16"/>
  <c r="AO19"/>
  <c r="AA17"/>
  <c r="AC17" s="1"/>
  <c r="Y17"/>
  <c r="AL15"/>
  <c r="AG15"/>
  <c r="AU116" i="22"/>
  <c r="N213" i="1"/>
  <c r="BB213" s="1"/>
  <c r="BA213" s="1"/>
  <c r="AZ213" s="1"/>
  <c r="AY213" s="1"/>
  <c r="BB212"/>
  <c r="BA212" s="1"/>
  <c r="AZ212" s="1"/>
  <c r="AY212" s="1"/>
  <c r="AN14" i="27"/>
  <c r="AR115" i="22"/>
  <c r="AT16" i="27"/>
  <c r="AV214" i="1"/>
  <c r="AG113" i="22"/>
  <c r="AD14" i="27"/>
  <c r="Z15"/>
  <c r="AB114" i="22"/>
  <c r="AV114" s="1"/>
  <c r="X15" i="27"/>
  <c r="AB15" s="1"/>
  <c r="AA115" i="22"/>
  <c r="AQ115" s="1"/>
  <c r="W16" i="27"/>
  <c r="Y16" s="1"/>
  <c r="AD13"/>
  <c r="Z14"/>
  <c r="AB113" i="22"/>
  <c r="X14" i="27"/>
  <c r="AB14" s="1"/>
  <c r="AP17"/>
  <c r="AT17"/>
  <c r="AW17"/>
  <c r="AR16"/>
  <c r="AV16"/>
  <c r="AN13"/>
  <c r="Z113" i="22"/>
  <c r="AL113"/>
  <c r="AK113"/>
  <c r="AB213" i="1"/>
  <c r="W114" i="22"/>
  <c r="AT116"/>
  <c r="AP116"/>
  <c r="AC116"/>
  <c r="AU115"/>
  <c r="AN113"/>
  <c r="AO115"/>
  <c r="Y115"/>
  <c r="AL112"/>
  <c r="AK112"/>
  <c r="AB212" i="1"/>
  <c r="W113" i="22"/>
  <c r="Z114"/>
  <c r="AT115"/>
  <c r="AP115"/>
  <c r="AN112"/>
  <c r="AO114"/>
  <c r="AP214" i="1"/>
  <c r="AM211"/>
  <c r="AN211"/>
  <c r="AL211"/>
  <c r="AH212"/>
  <c r="AO212"/>
  <c r="AO211"/>
  <c r="AN212"/>
  <c r="AP213"/>
  <c r="Z212"/>
  <c r="AL212"/>
  <c r="AA213"/>
  <c r="AV213"/>
  <c r="AA212"/>
  <c r="AU214"/>
  <c r="AQ214"/>
  <c r="AH211"/>
  <c r="AM212"/>
  <c r="Z213"/>
  <c r="Y211"/>
  <c r="X211"/>
  <c r="AM112" i="22" l="1"/>
  <c r="AO112" s="1"/>
  <c r="AO15" i="27"/>
  <c r="AE14"/>
  <c r="AM14" s="1"/>
  <c r="BF113" i="22"/>
  <c r="AM16" i="27"/>
  <c r="AO16" s="1"/>
  <c r="AG16"/>
  <c r="AE13"/>
  <c r="AM13" s="1"/>
  <c r="BF112" i="22"/>
  <c r="AU17" i="27"/>
  <c r="AQ17"/>
  <c r="AS17" s="1"/>
  <c r="AL13"/>
  <c r="AO13" s="1"/>
  <c r="AL14"/>
  <c r="AO14" s="1"/>
  <c r="AW116" i="22"/>
  <c r="AS116"/>
  <c r="AV212" i="1"/>
  <c r="AR114" i="22"/>
  <c r="AA113"/>
  <c r="AU113" s="1"/>
  <c r="W14" i="27"/>
  <c r="Y14" s="1"/>
  <c r="AA114" i="22"/>
  <c r="AU114" s="1"/>
  <c r="W15" i="27"/>
  <c r="Y15" s="1"/>
  <c r="AR14"/>
  <c r="AV14"/>
  <c r="AT14"/>
  <c r="AA16"/>
  <c r="AC16" s="1"/>
  <c r="AR15"/>
  <c r="AV15"/>
  <c r="AT15"/>
  <c r="AP15"/>
  <c r="AS115" i="22"/>
  <c r="AC115"/>
  <c r="AW115" s="1"/>
  <c r="Y114"/>
  <c r="AR113"/>
  <c r="AB211" i="1"/>
  <c r="W112" i="22"/>
  <c r="AO113"/>
  <c r="AV113"/>
  <c r="Y113"/>
  <c r="AC211" i="1"/>
  <c r="AW211" s="1"/>
  <c r="X112" i="22"/>
  <c r="AT114"/>
  <c r="AP114"/>
  <c r="AT113"/>
  <c r="AP113"/>
  <c r="AP212" i="1"/>
  <c r="AP211"/>
  <c r="AV211"/>
  <c r="AU212"/>
  <c r="AQ212"/>
  <c r="AU213"/>
  <c r="AQ213"/>
  <c r="W211"/>
  <c r="V211"/>
  <c r="U16" i="27" s="1"/>
  <c r="M211" i="1"/>
  <c r="L211"/>
  <c r="K211"/>
  <c r="J211"/>
  <c r="F211"/>
  <c r="AK210"/>
  <c r="AJ111" i="22" s="1"/>
  <c r="AJ12" i="27" s="1"/>
  <c r="AJ210" i="1"/>
  <c r="AI111" i="22" s="1"/>
  <c r="AI12" i="27" s="1"/>
  <c r="AI210" i="1"/>
  <c r="AH111" i="22" s="1"/>
  <c r="AH12" i="27" s="1"/>
  <c r="AG210" i="1"/>
  <c r="AF111" i="22" s="1"/>
  <c r="AF12" i="27" s="1"/>
  <c r="AF210" i="1"/>
  <c r="AE210"/>
  <c r="AD111" i="22" s="1"/>
  <c r="Y210" i="1"/>
  <c r="X111" i="22" s="1"/>
  <c r="X210" i="1"/>
  <c r="W210"/>
  <c r="V111" i="22" s="1"/>
  <c r="V12" i="27" s="1"/>
  <c r="V210" i="1"/>
  <c r="U15" i="27" s="1"/>
  <c r="M210" i="1"/>
  <c r="L210"/>
  <c r="K210"/>
  <c r="J210"/>
  <c r="F210"/>
  <c r="AK209"/>
  <c r="AJ110" i="22" s="1"/>
  <c r="AJ209" i="1"/>
  <c r="AI110" i="22" s="1"/>
  <c r="AI209" i="1"/>
  <c r="AH110" i="22" s="1"/>
  <c r="AG209" i="1"/>
  <c r="AF110" i="22" s="1"/>
  <c r="AF209" i="1"/>
  <c r="AE209"/>
  <c r="AD110" i="22" s="1"/>
  <c r="Y209" i="1"/>
  <c r="X110" i="22" s="1"/>
  <c r="X209" i="1"/>
  <c r="W209"/>
  <c r="V110" i="22" s="1"/>
  <c r="V209" i="1"/>
  <c r="U14" i="27" s="1"/>
  <c r="M209" i="1"/>
  <c r="L209"/>
  <c r="K209"/>
  <c r="J209"/>
  <c r="F209"/>
  <c r="AK208"/>
  <c r="AJ109" i="22" s="1"/>
  <c r="AJ10" i="27" s="1"/>
  <c r="AJ208" i="1"/>
  <c r="AI109" i="22" s="1"/>
  <c r="AI10" i="27" s="1"/>
  <c r="AI208" i="1"/>
  <c r="AH109" i="22" s="1"/>
  <c r="AH10" i="27" s="1"/>
  <c r="AG208" i="1"/>
  <c r="AF109" i="22" s="1"/>
  <c r="AF10" i="27" s="1"/>
  <c r="AF208" i="1"/>
  <c r="AE208"/>
  <c r="AD109" i="22" s="1"/>
  <c r="AG14" i="27" l="1"/>
  <c r="AG13"/>
  <c r="AE109" i="22"/>
  <c r="AG109" s="1"/>
  <c r="BF208" i="1"/>
  <c r="AE111" i="22"/>
  <c r="AG111" s="1"/>
  <c r="BF210" i="1"/>
  <c r="AE110" i="22"/>
  <c r="BF110" s="1"/>
  <c r="BF209" i="1"/>
  <c r="AC114" i="22"/>
  <c r="AW114" s="1"/>
  <c r="AP14" i="27"/>
  <c r="AK10"/>
  <c r="AK12"/>
  <c r="V11"/>
  <c r="Z11" s="1"/>
  <c r="AH11"/>
  <c r="AJ11"/>
  <c r="AF11"/>
  <c r="AI11"/>
  <c r="N209" i="1"/>
  <c r="N210"/>
  <c r="N211"/>
  <c r="BB211" s="1"/>
  <c r="BA211" s="1"/>
  <c r="AZ211" s="1"/>
  <c r="AY211" s="1"/>
  <c r="BB210"/>
  <c r="BA210" s="1"/>
  <c r="AZ210" s="1"/>
  <c r="AY210" s="1"/>
  <c r="BB209"/>
  <c r="BA209" s="1"/>
  <c r="AZ209" s="1"/>
  <c r="AY209" s="1"/>
  <c r="AS211"/>
  <c r="AQ114" i="22"/>
  <c r="AS114" s="1"/>
  <c r="AQ113"/>
  <c r="AS113" s="1"/>
  <c r="AR211" i="1"/>
  <c r="AD11" i="27"/>
  <c r="Z12"/>
  <c r="AB111" i="22"/>
  <c r="AV111" s="1"/>
  <c r="X12" i="27"/>
  <c r="AB12" s="1"/>
  <c r="AA112" i="22"/>
  <c r="AQ112" s="1"/>
  <c r="W13" i="27"/>
  <c r="AQ16"/>
  <c r="AS16" s="1"/>
  <c r="AU16"/>
  <c r="AW16"/>
  <c r="AD10"/>
  <c r="AB110" i="22"/>
  <c r="X11" i="27"/>
  <c r="AB11" s="1"/>
  <c r="AD12"/>
  <c r="AB112" i="22"/>
  <c r="AR112" s="1"/>
  <c r="X13" i="27"/>
  <c r="AB13" s="1"/>
  <c r="AA15"/>
  <c r="AC15" s="1"/>
  <c r="AA14"/>
  <c r="AC14" s="1"/>
  <c r="AN10"/>
  <c r="AN12"/>
  <c r="AC113" i="22"/>
  <c r="AW113" s="1"/>
  <c r="Z110"/>
  <c r="AL110"/>
  <c r="AK110"/>
  <c r="AB210" i="1"/>
  <c r="W111" i="22"/>
  <c r="Z211" i="1"/>
  <c r="V112" i="22"/>
  <c r="V13" i="27" s="1"/>
  <c r="AN110" i="22"/>
  <c r="AL109"/>
  <c r="AK109"/>
  <c r="AB209" i="1"/>
  <c r="W110" i="22"/>
  <c r="Z111"/>
  <c r="AL111"/>
  <c r="AK111"/>
  <c r="AN109"/>
  <c r="AM110"/>
  <c r="AN111"/>
  <c r="AM208" i="1"/>
  <c r="Z209"/>
  <c r="AL209"/>
  <c r="AH210"/>
  <c r="AO210"/>
  <c r="AN208"/>
  <c r="AH209"/>
  <c r="AO209"/>
  <c r="AN209" s="1"/>
  <c r="Z210"/>
  <c r="AN210"/>
  <c r="AL210"/>
  <c r="AA209"/>
  <c r="AL208"/>
  <c r="AA210"/>
  <c r="AH208"/>
  <c r="AM209"/>
  <c r="AM210"/>
  <c r="AA211"/>
  <c r="Y208"/>
  <c r="X109" i="22" s="1"/>
  <c r="X208" i="1"/>
  <c r="W208"/>
  <c r="V109" i="22" s="1"/>
  <c r="V10" i="27" s="1"/>
  <c r="V208" i="1"/>
  <c r="U13" i="27" s="1"/>
  <c r="M208" i="1"/>
  <c r="L208"/>
  <c r="K208"/>
  <c r="J208"/>
  <c r="F208"/>
  <c r="AO207"/>
  <c r="AN207"/>
  <c r="AM207"/>
  <c r="AL207"/>
  <c r="AH207"/>
  <c r="AC207"/>
  <c r="AW207" s="1"/>
  <c r="AB207"/>
  <c r="AV207" s="1"/>
  <c r="AA207"/>
  <c r="AU207" s="1"/>
  <c r="Z207"/>
  <c r="V207"/>
  <c r="U12" i="27" s="1"/>
  <c r="M207" i="1"/>
  <c r="L207"/>
  <c r="K207"/>
  <c r="J207"/>
  <c r="F207"/>
  <c r="AM111" i="22" l="1"/>
  <c r="AM109"/>
  <c r="AG110"/>
  <c r="AE11" i="27"/>
  <c r="AE12"/>
  <c r="AM12" s="1"/>
  <c r="BF111" i="22"/>
  <c r="AE10" i="27"/>
  <c r="AM10" s="1"/>
  <c r="BF109" i="22"/>
  <c r="AM11" i="27"/>
  <c r="AN11"/>
  <c r="N207" i="1"/>
  <c r="AK11" i="27"/>
  <c r="AR210" i="1"/>
  <c r="AL12" i="27"/>
  <c r="AG12"/>
  <c r="AA13"/>
  <c r="Y13"/>
  <c r="AL10"/>
  <c r="AG10"/>
  <c r="AL11"/>
  <c r="AG11"/>
  <c r="N208" i="1"/>
  <c r="BB208" s="1"/>
  <c r="BA208" s="1"/>
  <c r="AZ208" s="1"/>
  <c r="AY208" s="1"/>
  <c r="BB207"/>
  <c r="BA207" s="1"/>
  <c r="AZ207" s="1"/>
  <c r="AY207" s="1"/>
  <c r="AD207"/>
  <c r="AV209"/>
  <c r="AR111" i="22"/>
  <c r="AV112"/>
  <c r="AU112"/>
  <c r="AR110"/>
  <c r="AA110"/>
  <c r="W11" i="27"/>
  <c r="Y11" s="1"/>
  <c r="Z13"/>
  <c r="AA111" i="22"/>
  <c r="AC111" s="1"/>
  <c r="W12" i="27"/>
  <c r="Y12" s="1"/>
  <c r="AR13"/>
  <c r="AV13"/>
  <c r="AR11"/>
  <c r="AV11"/>
  <c r="AT11"/>
  <c r="AP11"/>
  <c r="Z10"/>
  <c r="AB109" i="22"/>
  <c r="AR109" s="1"/>
  <c r="X10" i="27"/>
  <c r="AB10" s="1"/>
  <c r="AQ14"/>
  <c r="AS14" s="1"/>
  <c r="AU14"/>
  <c r="AW14"/>
  <c r="AQ15"/>
  <c r="AS15" s="1"/>
  <c r="AU15"/>
  <c r="AW15"/>
  <c r="AQ13"/>
  <c r="AU13"/>
  <c r="AR12"/>
  <c r="AV12"/>
  <c r="AP12"/>
  <c r="AT12"/>
  <c r="Y111" i="22"/>
  <c r="AO111"/>
  <c r="AO109"/>
  <c r="AO110"/>
  <c r="AV110"/>
  <c r="Y110"/>
  <c r="AB208" i="1"/>
  <c r="AV208" s="1"/>
  <c r="W109" i="22"/>
  <c r="Z109"/>
  <c r="AV109"/>
  <c r="AT111"/>
  <c r="AP111"/>
  <c r="AU110"/>
  <c r="Y112"/>
  <c r="Z112"/>
  <c r="AT110"/>
  <c r="AP110"/>
  <c r="AC110"/>
  <c r="AP210" i="1"/>
  <c r="AP207"/>
  <c r="AQ207"/>
  <c r="AR209"/>
  <c r="AP209"/>
  <c r="Z208"/>
  <c r="AA208"/>
  <c r="AU211"/>
  <c r="AQ211"/>
  <c r="AD211"/>
  <c r="AX211" s="1"/>
  <c r="AQ209"/>
  <c r="AU209"/>
  <c r="AU210"/>
  <c r="AQ210"/>
  <c r="AK206"/>
  <c r="AJ108" i="22" s="1"/>
  <c r="AJ206" i="1"/>
  <c r="AI108" i="22" s="1"/>
  <c r="AI206" i="1"/>
  <c r="AH108" i="22" s="1"/>
  <c r="AG206" i="1"/>
  <c r="AF206"/>
  <c r="BF206" s="1"/>
  <c r="AE206"/>
  <c r="Y206"/>
  <c r="X206"/>
  <c r="X203" s="1"/>
  <c r="W206"/>
  <c r="V108" i="22" s="1"/>
  <c r="V206" i="1"/>
  <c r="U11" i="27" s="1"/>
  <c r="M206" i="1"/>
  <c r="L206"/>
  <c r="K206"/>
  <c r="J206"/>
  <c r="F206"/>
  <c r="AL205"/>
  <c r="AG205"/>
  <c r="AO205" s="1"/>
  <c r="AF205"/>
  <c r="AE205"/>
  <c r="AM205" s="1"/>
  <c r="AC205"/>
  <c r="AW205" s="1"/>
  <c r="AB205"/>
  <c r="AA205"/>
  <c r="AD205" s="1"/>
  <c r="Z205"/>
  <c r="V205"/>
  <c r="U10" i="27" s="1"/>
  <c r="M205" i="1"/>
  <c r="L205"/>
  <c r="K205"/>
  <c r="J205"/>
  <c r="F205"/>
  <c r="AL204"/>
  <c r="AG204"/>
  <c r="AF204"/>
  <c r="BF204" s="1"/>
  <c r="AE204"/>
  <c r="AC204"/>
  <c r="AW204" s="1"/>
  <c r="AB204"/>
  <c r="AA204"/>
  <c r="Z204"/>
  <c r="V204"/>
  <c r="M204"/>
  <c r="BA204" s="1"/>
  <c r="L204"/>
  <c r="K204"/>
  <c r="J204"/>
  <c r="F204"/>
  <c r="AK203"/>
  <c r="AI203"/>
  <c r="AO10" i="27" l="1"/>
  <c r="AO12"/>
  <c r="AN205" i="1"/>
  <c r="AR205" s="1"/>
  <c r="BF205"/>
  <c r="AJ203"/>
  <c r="AO11" i="27"/>
  <c r="J108" i="22"/>
  <c r="AX108" s="1"/>
  <c r="AZ204" i="1"/>
  <c r="AD204"/>
  <c r="AC13" i="27"/>
  <c r="AW13" s="1"/>
  <c r="AQ110" i="22"/>
  <c r="V9" i="27"/>
  <c r="V8" s="1"/>
  <c r="AY204" i="1"/>
  <c r="N205"/>
  <c r="N204"/>
  <c r="BB204" s="1"/>
  <c r="K108" i="22"/>
  <c r="AY108" s="1"/>
  <c r="AX207" i="1"/>
  <c r="U9" i="27"/>
  <c r="U8" s="1"/>
  <c r="U39" s="1"/>
  <c r="U108" i="22"/>
  <c r="BB205" i="1"/>
  <c r="BA205" s="1"/>
  <c r="AZ205" s="1"/>
  <c r="AY205" s="1"/>
  <c r="N206"/>
  <c r="I108" i="22"/>
  <c r="L108"/>
  <c r="AU111"/>
  <c r="AW110"/>
  <c r="AW111"/>
  <c r="AH107"/>
  <c r="AH9" i="27"/>
  <c r="AH8" s="1"/>
  <c r="AH39" s="1"/>
  <c r="AJ107" i="22"/>
  <c r="AJ9" i="27"/>
  <c r="AJ8" s="1"/>
  <c r="AA109" i="22"/>
  <c r="AU109" s="1"/>
  <c r="W10" i="27"/>
  <c r="Y10" s="1"/>
  <c r="AR10"/>
  <c r="AV10"/>
  <c r="AP10"/>
  <c r="AT10"/>
  <c r="AI107" i="22"/>
  <c r="AI9" i="27"/>
  <c r="AA12"/>
  <c r="AC12" s="1"/>
  <c r="AT13"/>
  <c r="AP13"/>
  <c r="AS13" s="1"/>
  <c r="AA11"/>
  <c r="AC11" s="1"/>
  <c r="AS110" i="22"/>
  <c r="AQ111"/>
  <c r="AS111" s="1"/>
  <c r="Y109"/>
  <c r="AM204" i="1"/>
  <c r="AU204" s="1"/>
  <c r="AD108" i="22"/>
  <c r="AO204" i="1"/>
  <c r="AF108" i="22"/>
  <c r="AB206" i="1"/>
  <c r="AA108" i="22" s="1"/>
  <c r="W108"/>
  <c r="AT109"/>
  <c r="AP109"/>
  <c r="AN204" i="1"/>
  <c r="AR204" s="1"/>
  <c r="AE108" i="22"/>
  <c r="BF108" s="1"/>
  <c r="V107"/>
  <c r="V37" i="33" s="1"/>
  <c r="Y203" i="1"/>
  <c r="X108" i="22"/>
  <c r="AT112"/>
  <c r="AP112"/>
  <c r="AS112" s="1"/>
  <c r="AC112"/>
  <c r="AW112" s="1"/>
  <c r="AE203" i="1"/>
  <c r="AG203"/>
  <c r="AO206"/>
  <c r="AF203"/>
  <c r="BF203" s="1"/>
  <c r="Z206"/>
  <c r="AN206"/>
  <c r="AL206"/>
  <c r="AH206"/>
  <c r="AT211"/>
  <c r="AU205"/>
  <c r="AQ205"/>
  <c r="AP205"/>
  <c r="AX205" s="1"/>
  <c r="AA206"/>
  <c r="Z108" i="22" s="1"/>
  <c r="AV205" i="1"/>
  <c r="AQ208"/>
  <c r="AU208"/>
  <c r="AH204"/>
  <c r="AM206"/>
  <c r="AH205"/>
  <c r="W203"/>
  <c r="V203"/>
  <c r="Q203"/>
  <c r="P203"/>
  <c r="AB203" s="1"/>
  <c r="O203"/>
  <c r="N203"/>
  <c r="M203"/>
  <c r="L203"/>
  <c r="K203"/>
  <c r="J203"/>
  <c r="I203"/>
  <c r="H203"/>
  <c r="G203"/>
  <c r="F203"/>
  <c r="E203"/>
  <c r="D203"/>
  <c r="C203"/>
  <c r="AP202"/>
  <c r="AC202"/>
  <c r="AW202" s="1"/>
  <c r="AB202"/>
  <c r="AV202" s="1"/>
  <c r="AA202"/>
  <c r="AQ202" s="1"/>
  <c r="Z202"/>
  <c r="M202"/>
  <c r="L202"/>
  <c r="K202"/>
  <c r="J202"/>
  <c r="R203" l="1"/>
  <c r="BB203" s="1"/>
  <c r="J107" i="22"/>
  <c r="AX107" s="1"/>
  <c r="Z9" i="27"/>
  <c r="Z8" s="1"/>
  <c r="AV204" i="1"/>
  <c r="AQ109" i="22"/>
  <c r="AS109" s="1"/>
  <c r="AC109"/>
  <c r="AW109" s="1"/>
  <c r="V36" i="33"/>
  <c r="Z36" s="1"/>
  <c r="Z37"/>
  <c r="AH106" i="22"/>
  <c r="AH41" i="27" s="1"/>
  <c r="AH37" i="33"/>
  <c r="AH36" s="1"/>
  <c r="AI37"/>
  <c r="AJ37"/>
  <c r="AI8" i="27"/>
  <c r="AK9"/>
  <c r="I107" i="22"/>
  <c r="I106" s="1"/>
  <c r="U107"/>
  <c r="U106" s="1"/>
  <c r="U41" i="27" s="1"/>
  <c r="K107" i="22"/>
  <c r="AY107" s="1"/>
  <c r="BA203" i="1"/>
  <c r="N202"/>
  <c r="BB202" s="1"/>
  <c r="BA202" s="1"/>
  <c r="AZ202" s="1"/>
  <c r="AY202" s="1"/>
  <c r="AZ203"/>
  <c r="AY203" s="1"/>
  <c r="AC203"/>
  <c r="AZ108" i="22"/>
  <c r="L107"/>
  <c r="M108"/>
  <c r="BB206" i="1"/>
  <c r="BA206" s="1"/>
  <c r="AZ206" s="1"/>
  <c r="AY206" s="1"/>
  <c r="BA108" i="22"/>
  <c r="I39" i="27"/>
  <c r="I41" s="1"/>
  <c r="AP204" i="1"/>
  <c r="AX204" s="1"/>
  <c r="AN203"/>
  <c r="AV203" s="1"/>
  <c r="AE107" i="22"/>
  <c r="BF107" s="1"/>
  <c r="AE9" i="27"/>
  <c r="AQ12"/>
  <c r="AS12" s="1"/>
  <c r="AU12"/>
  <c r="AW12"/>
  <c r="AA10"/>
  <c r="AC10" s="1"/>
  <c r="V39"/>
  <c r="X107" i="22"/>
  <c r="X9" i="27"/>
  <c r="W107" i="22"/>
  <c r="W9" i="27"/>
  <c r="Y9" s="1"/>
  <c r="AF107" i="22"/>
  <c r="AF9" i="27"/>
  <c r="AD107" i="22"/>
  <c r="AD9" i="27"/>
  <c r="AQ11"/>
  <c r="AS11" s="1"/>
  <c r="AU11"/>
  <c r="AW11"/>
  <c r="AQ204" i="1"/>
  <c r="V106" i="22"/>
  <c r="AA107"/>
  <c r="AN108"/>
  <c r="AL108"/>
  <c r="Z107"/>
  <c r="AL203" i="1"/>
  <c r="AK108" i="22"/>
  <c r="AG108"/>
  <c r="Y108"/>
  <c r="AM108"/>
  <c r="AP206" i="1"/>
  <c r="AU202"/>
  <c r="AD202"/>
  <c r="AX202" s="1"/>
  <c r="AV206"/>
  <c r="Z203"/>
  <c r="AA203"/>
  <c r="AU206"/>
  <c r="AQ206"/>
  <c r="AH203"/>
  <c r="AM203"/>
  <c r="K106" i="22" l="1"/>
  <c r="K41" i="27" s="1"/>
  <c r="J106" i="22"/>
  <c r="AG9" i="27"/>
  <c r="AR203" i="1"/>
  <c r="AY106" i="22"/>
  <c r="AY41" i="27" s="1"/>
  <c r="AX106" i="22"/>
  <c r="AX41" i="27" s="1"/>
  <c r="J41"/>
  <c r="V41"/>
  <c r="AD37" i="33"/>
  <c r="AF37"/>
  <c r="Y107" i="22"/>
  <c r="W37" i="33"/>
  <c r="X37"/>
  <c r="AE37"/>
  <c r="AK8" i="27"/>
  <c r="AN37" i="33"/>
  <c r="AK37"/>
  <c r="AM107" i="22"/>
  <c r="AG107"/>
  <c r="AT108"/>
  <c r="AK107"/>
  <c r="AN107"/>
  <c r="M107"/>
  <c r="M106" s="1"/>
  <c r="M41" i="27" s="1"/>
  <c r="AZ107" i="22"/>
  <c r="BA107" s="1"/>
  <c r="L106"/>
  <c r="AP108"/>
  <c r="AQ10" i="27"/>
  <c r="AS10" s="1"/>
  <c r="AU10"/>
  <c r="AW10"/>
  <c r="AM9"/>
  <c r="AM8" s="1"/>
  <c r="AE8"/>
  <c r="AL9"/>
  <c r="AD8"/>
  <c r="AN9"/>
  <c r="AN8" s="1"/>
  <c r="AF8"/>
  <c r="W8"/>
  <c r="AA9"/>
  <c r="X8"/>
  <c r="AB9"/>
  <c r="Z39"/>
  <c r="AU108" i="22"/>
  <c r="Z106"/>
  <c r="AO108"/>
  <c r="AL107"/>
  <c r="AP107" s="1"/>
  <c r="AQ108"/>
  <c r="AU203" i="1"/>
  <c r="AD203"/>
  <c r="AQ203"/>
  <c r="AI201"/>
  <c r="AH104" i="22" s="1"/>
  <c r="AH27" i="26" s="1"/>
  <c r="AU107" i="22" l="1"/>
  <c r="AZ106"/>
  <c r="L41" i="27"/>
  <c r="AQ107" i="22"/>
  <c r="AM37" i="33"/>
  <c r="Z41" i="27"/>
  <c r="AG8"/>
  <c r="AC9"/>
  <c r="AB37" i="33"/>
  <c r="AA37"/>
  <c r="Y37"/>
  <c r="AG37"/>
  <c r="AL37"/>
  <c r="Y8" i="27"/>
  <c r="AO9"/>
  <c r="AQ9"/>
  <c r="AU9"/>
  <c r="AA8"/>
  <c r="AR9"/>
  <c r="AV9"/>
  <c r="AB8"/>
  <c r="AL8"/>
  <c r="AO8" s="1"/>
  <c r="AT9"/>
  <c r="AP9"/>
  <c r="AO107" i="22"/>
  <c r="AT107"/>
  <c r="W201" i="1"/>
  <c r="V104" i="22" s="1"/>
  <c r="V27" i="26" s="1"/>
  <c r="V201" i="1"/>
  <c r="M201"/>
  <c r="L201"/>
  <c r="K201"/>
  <c r="J201"/>
  <c r="F201"/>
  <c r="AS9" i="27" l="1"/>
  <c r="BA106" i="22"/>
  <c r="BA41" i="27" s="1"/>
  <c r="AZ41"/>
  <c r="AU37" i="33"/>
  <c r="AQ37"/>
  <c r="AC37"/>
  <c r="AT37"/>
  <c r="AO37"/>
  <c r="AP37"/>
  <c r="AR37"/>
  <c r="AV37"/>
  <c r="AC8" i="27"/>
  <c r="N201" i="1"/>
  <c r="BB201" s="1"/>
  <c r="BA201" s="1"/>
  <c r="AZ201" s="1"/>
  <c r="AY201" s="1"/>
  <c r="AV8" i="27"/>
  <c r="AR8"/>
  <c r="AU8"/>
  <c r="AQ8"/>
  <c r="Z27" i="26"/>
  <c r="AT8" i="27"/>
  <c r="AP8"/>
  <c r="AW9"/>
  <c r="Z104" i="22"/>
  <c r="AA201" i="1"/>
  <c r="AS8" i="27" l="1"/>
  <c r="AW37" i="33"/>
  <c r="AS37"/>
  <c r="AW8" i="27"/>
  <c r="AI200" i="1"/>
  <c r="AH103" i="22" s="1"/>
  <c r="AH26" i="26" s="1"/>
  <c r="W200" i="1"/>
  <c r="V103" i="22" s="1"/>
  <c r="V26" i="26" s="1"/>
  <c r="V200" i="1"/>
  <c r="M200"/>
  <c r="L200"/>
  <c r="K200"/>
  <c r="J200"/>
  <c r="F200"/>
  <c r="AO199"/>
  <c r="AN199"/>
  <c r="AM199"/>
  <c r="AL199"/>
  <c r="AH199"/>
  <c r="AC199"/>
  <c r="AW199" s="1"/>
  <c r="AB199"/>
  <c r="AV199" s="1"/>
  <c r="AA199"/>
  <c r="Z199"/>
  <c r="V199"/>
  <c r="M199"/>
  <c r="L199"/>
  <c r="K199"/>
  <c r="J199"/>
  <c r="F199"/>
  <c r="AI198"/>
  <c r="AH102" i="22" s="1"/>
  <c r="AG198" i="1"/>
  <c r="AF198"/>
  <c r="BF198" s="1"/>
  <c r="AE198"/>
  <c r="N199" l="1"/>
  <c r="BB199" s="1"/>
  <c r="BA199" s="1"/>
  <c r="AZ199" s="1"/>
  <c r="AY199" s="1"/>
  <c r="AQ199"/>
  <c r="N200"/>
  <c r="BB200" s="1"/>
  <c r="BA200" s="1"/>
  <c r="AZ200" s="1"/>
  <c r="AY200" s="1"/>
  <c r="AH101" i="22"/>
  <c r="AH34" i="33" s="1"/>
  <c r="AH25" i="26"/>
  <c r="AH24" s="1"/>
  <c r="Z26"/>
  <c r="Z103" i="22"/>
  <c r="AM198" i="1"/>
  <c r="AP199"/>
  <c r="AD199"/>
  <c r="AU199"/>
  <c r="AX199"/>
  <c r="AA200"/>
  <c r="AH198"/>
  <c r="W198"/>
  <c r="V198"/>
  <c r="M198"/>
  <c r="L198"/>
  <c r="K198"/>
  <c r="J198"/>
  <c r="F198"/>
  <c r="N198" l="1"/>
  <c r="BB198" s="1"/>
  <c r="BA198" s="1"/>
  <c r="AZ198" s="1"/>
  <c r="AY198" s="1"/>
  <c r="AA198"/>
  <c r="AQ198" s="1"/>
  <c r="V102" i="22"/>
  <c r="V25" i="26" s="1"/>
  <c r="AU198" i="1"/>
  <c r="AL197"/>
  <c r="AG197"/>
  <c r="AO197" s="1"/>
  <c r="AF197"/>
  <c r="AE197"/>
  <c r="AM197" s="1"/>
  <c r="AC197"/>
  <c r="AW197" s="1"/>
  <c r="AB197"/>
  <c r="AA197"/>
  <c r="Z197"/>
  <c r="V197"/>
  <c r="M197"/>
  <c r="L197"/>
  <c r="K197"/>
  <c r="J197"/>
  <c r="F197"/>
  <c r="AN197" l="1"/>
  <c r="AR197" s="1"/>
  <c r="BF197"/>
  <c r="N197"/>
  <c r="BB197" s="1"/>
  <c r="BA197" s="1"/>
  <c r="AZ197" s="1"/>
  <c r="AY197" s="1"/>
  <c r="AD197"/>
  <c r="V24" i="26"/>
  <c r="V101" i="22"/>
  <c r="V34" i="33" s="1"/>
  <c r="Z34" s="1"/>
  <c r="AV197" i="1"/>
  <c r="AU197"/>
  <c r="AQ197"/>
  <c r="AP197"/>
  <c r="AH197"/>
  <c r="AL196"/>
  <c r="AG196"/>
  <c r="AF196"/>
  <c r="BF196" s="1"/>
  <c r="AE196"/>
  <c r="AC196"/>
  <c r="AW196" s="1"/>
  <c r="AB196"/>
  <c r="AA196"/>
  <c r="Z25" i="26" s="1"/>
  <c r="Z196" i="1"/>
  <c r="V196"/>
  <c r="M196"/>
  <c r="L196"/>
  <c r="K196"/>
  <c r="J196"/>
  <c r="F196"/>
  <c r="AI195"/>
  <c r="N196" l="1"/>
  <c r="M102" i="22" s="1"/>
  <c r="M101" s="1"/>
  <c r="AX197" i="1"/>
  <c r="M25" i="26"/>
  <c r="M24" s="1"/>
  <c r="I25"/>
  <c r="I24" s="1"/>
  <c r="I102" i="22"/>
  <c r="I101" s="1"/>
  <c r="U102"/>
  <c r="U101" s="1"/>
  <c r="U25" i="26"/>
  <c r="U24" s="1"/>
  <c r="Z102" i="22"/>
  <c r="Z101" s="1"/>
  <c r="K25" i="26"/>
  <c r="K102" i="22"/>
  <c r="J102"/>
  <c r="J25" i="26"/>
  <c r="L102" i="22"/>
  <c r="L25" i="26"/>
  <c r="BA196" i="1"/>
  <c r="AZ196" s="1"/>
  <c r="AY196" s="1"/>
  <c r="Z24" i="26"/>
  <c r="AN196" i="1"/>
  <c r="AV196" s="1"/>
  <c r="AE102" i="22"/>
  <c r="AM196" i="1"/>
  <c r="AU196" s="1"/>
  <c r="AD102" i="22"/>
  <c r="AD25" i="26" s="1"/>
  <c r="AO196" i="1"/>
  <c r="AF102" i="22"/>
  <c r="AF25" i="26" s="1"/>
  <c r="AD196" i="1"/>
  <c r="AH196"/>
  <c r="W195"/>
  <c r="V195"/>
  <c r="Q195"/>
  <c r="P195"/>
  <c r="O195"/>
  <c r="N195"/>
  <c r="BB195" s="1"/>
  <c r="M195"/>
  <c r="L195"/>
  <c r="K195"/>
  <c r="J195"/>
  <c r="I195"/>
  <c r="H195"/>
  <c r="G195"/>
  <c r="F195"/>
  <c r="E195"/>
  <c r="D195"/>
  <c r="C195"/>
  <c r="AP194"/>
  <c r="AC194"/>
  <c r="AW194" s="1"/>
  <c r="AB194"/>
  <c r="AV194" s="1"/>
  <c r="AA194"/>
  <c r="AU194" s="1"/>
  <c r="Z194"/>
  <c r="M194"/>
  <c r="L194"/>
  <c r="K194"/>
  <c r="J194"/>
  <c r="AE25" i="26" l="1"/>
  <c r="BF102" i="22"/>
  <c r="BA195" i="1"/>
  <c r="AR196"/>
  <c r="AP196"/>
  <c r="AX196" s="1"/>
  <c r="AQ196"/>
  <c r="BB196"/>
  <c r="N194"/>
  <c r="AZ195"/>
  <c r="AY195" s="1"/>
  <c r="AZ102" i="22"/>
  <c r="L101"/>
  <c r="AZ101" s="1"/>
  <c r="AX102"/>
  <c r="J101"/>
  <c r="AX101" s="1"/>
  <c r="AY25" i="26"/>
  <c r="K24"/>
  <c r="AY24" s="1"/>
  <c r="L24"/>
  <c r="AZ24" s="1"/>
  <c r="AZ25"/>
  <c r="AX25"/>
  <c r="J24"/>
  <c r="AX24" s="1"/>
  <c r="AY102" i="22"/>
  <c r="K101"/>
  <c r="AY101" s="1"/>
  <c r="BB194" i="1"/>
  <c r="BA194" s="1"/>
  <c r="AZ194" s="1"/>
  <c r="AY194" s="1"/>
  <c r="AG102" i="22"/>
  <c r="AG25" i="26"/>
  <c r="AL102" i="22"/>
  <c r="AT102" s="1"/>
  <c r="AL25" i="26"/>
  <c r="AD194" i="1"/>
  <c r="AX194" s="1"/>
  <c r="AQ194"/>
  <c r="AA195"/>
  <c r="AI193"/>
  <c r="AH99" i="22" s="1"/>
  <c r="AH22" i="26" s="1"/>
  <c r="AP102" i="22" l="1"/>
  <c r="BA25" i="26"/>
  <c r="BA24"/>
  <c r="BA102" i="22"/>
  <c r="BA101"/>
  <c r="AT25" i="26"/>
  <c r="AP25"/>
  <c r="W193" i="1"/>
  <c r="V99" i="22" s="1"/>
  <c r="V22" i="26" s="1"/>
  <c r="V193" i="1"/>
  <c r="M193"/>
  <c r="L193"/>
  <c r="K193"/>
  <c r="J193"/>
  <c r="F193"/>
  <c r="N193" l="1"/>
  <c r="BB193" s="1"/>
  <c r="BA193" s="1"/>
  <c r="AZ193" s="1"/>
  <c r="AY193" s="1"/>
  <c r="Z22" i="26"/>
  <c r="Z99" i="22"/>
  <c r="AA193" i="1"/>
  <c r="AI192"/>
  <c r="AH98" i="22" s="1"/>
  <c r="AH21" i="26" s="1"/>
  <c r="W192" i="1" l="1"/>
  <c r="V98" i="22" s="1"/>
  <c r="V21" i="26" s="1"/>
  <c r="V192" i="1"/>
  <c r="M192"/>
  <c r="L192"/>
  <c r="K192"/>
  <c r="J192"/>
  <c r="F192"/>
  <c r="AI191"/>
  <c r="AH97" i="22" s="1"/>
  <c r="AH20" i="26" s="1"/>
  <c r="W191" i="1"/>
  <c r="V97" i="22" s="1"/>
  <c r="V20" i="26" s="1"/>
  <c r="V191" i="1"/>
  <c r="M191"/>
  <c r="L191"/>
  <c r="K191"/>
  <c r="N191" s="1"/>
  <c r="J191"/>
  <c r="F191"/>
  <c r="AI190"/>
  <c r="AH96" i="22" s="1"/>
  <c r="AH19" i="26" s="1"/>
  <c r="W190" i="1"/>
  <c r="V96" i="22" s="1"/>
  <c r="V19" i="26" s="1"/>
  <c r="V190" i="1"/>
  <c r="M190"/>
  <c r="L190"/>
  <c r="K190"/>
  <c r="J190"/>
  <c r="F190"/>
  <c r="AI189"/>
  <c r="AH95" i="22" s="1"/>
  <c r="AH18" i="26" s="1"/>
  <c r="W189" i="1"/>
  <c r="V95" i="22" s="1"/>
  <c r="V18" i="26" s="1"/>
  <c r="V189" i="1"/>
  <c r="M189"/>
  <c r="L189"/>
  <c r="K189"/>
  <c r="J189"/>
  <c r="F189"/>
  <c r="N189" l="1"/>
  <c r="BB189" s="1"/>
  <c r="BA189" s="1"/>
  <c r="AZ189" s="1"/>
  <c r="AY189" s="1"/>
  <c r="N190"/>
  <c r="BB190" s="1"/>
  <c r="BA190" s="1"/>
  <c r="AZ190" s="1"/>
  <c r="AY190" s="1"/>
  <c r="N192"/>
  <c r="BB192" s="1"/>
  <c r="BA192" s="1"/>
  <c r="AZ192" s="1"/>
  <c r="AY192" s="1"/>
  <c r="BB191"/>
  <c r="BA191" s="1"/>
  <c r="AZ191" s="1"/>
  <c r="AY191" s="1"/>
  <c r="Z18" i="26"/>
  <c r="Z19"/>
  <c r="Z20"/>
  <c r="Z21"/>
  <c r="Z95" i="22"/>
  <c r="Z96"/>
  <c r="Z97"/>
  <c r="Z98"/>
  <c r="AA190" i="1"/>
  <c r="AA189"/>
  <c r="AA191"/>
  <c r="AA192"/>
  <c r="AI188"/>
  <c r="AH94" i="22" s="1"/>
  <c r="AH17" i="26" s="1"/>
  <c r="W188" i="1"/>
  <c r="V94" i="22" s="1"/>
  <c r="V17" i="26" s="1"/>
  <c r="V188" i="1"/>
  <c r="M188"/>
  <c r="L188"/>
  <c r="K188"/>
  <c r="J188"/>
  <c r="F188"/>
  <c r="AO187"/>
  <c r="AN187"/>
  <c r="AM187"/>
  <c r="AP187" s="1"/>
  <c r="AL187"/>
  <c r="AH187"/>
  <c r="AC187"/>
  <c r="AW187" s="1"/>
  <c r="AB187"/>
  <c r="AV187" s="1"/>
  <c r="AA187"/>
  <c r="Z187"/>
  <c r="V187"/>
  <c r="M187"/>
  <c r="L187"/>
  <c r="K187"/>
  <c r="J187"/>
  <c r="F187"/>
  <c r="AI186"/>
  <c r="AH93" i="22" s="1"/>
  <c r="N187" i="1" l="1"/>
  <c r="BB187" s="1"/>
  <c r="BA187" s="1"/>
  <c r="AZ187" s="1"/>
  <c r="AY187" s="1"/>
  <c r="AQ187"/>
  <c r="N188"/>
  <c r="BB188" s="1"/>
  <c r="BA188" s="1"/>
  <c r="AZ188" s="1"/>
  <c r="AY188" s="1"/>
  <c r="AH92" i="22"/>
  <c r="AH33" i="33" s="1"/>
  <c r="AH16" i="26"/>
  <c r="AH15" s="1"/>
  <c r="Z17"/>
  <c r="Z94" i="22"/>
  <c r="AD187" i="1"/>
  <c r="AU187"/>
  <c r="AX187"/>
  <c r="AA188"/>
  <c r="AG186"/>
  <c r="AF186"/>
  <c r="BF186" s="1"/>
  <c r="AE186" l="1"/>
  <c r="W186"/>
  <c r="V93" i="22" s="1"/>
  <c r="V16" i="26" s="1"/>
  <c r="V186" i="1"/>
  <c r="M186"/>
  <c r="L186"/>
  <c r="K186"/>
  <c r="J186"/>
  <c r="F186"/>
  <c r="N186" l="1"/>
  <c r="BB186" s="1"/>
  <c r="BA186" s="1"/>
  <c r="AZ186" s="1"/>
  <c r="AY186" s="1"/>
  <c r="V15" i="26"/>
  <c r="V92" i="22"/>
  <c r="V33" i="33" s="1"/>
  <c r="Z33" s="1"/>
  <c r="AA186" i="1"/>
  <c r="AM186"/>
  <c r="AH186"/>
  <c r="AU186" l="1"/>
  <c r="AQ186"/>
  <c r="AL185"/>
  <c r="AG185"/>
  <c r="AO185" s="1"/>
  <c r="AF185"/>
  <c r="AE185"/>
  <c r="AM185" s="1"/>
  <c r="AC185"/>
  <c r="AW185" s="1"/>
  <c r="AB185"/>
  <c r="AA185"/>
  <c r="AD185" s="1"/>
  <c r="Z185"/>
  <c r="V185"/>
  <c r="M185"/>
  <c r="L185"/>
  <c r="K185"/>
  <c r="J185"/>
  <c r="F185"/>
  <c r="AN185" l="1"/>
  <c r="AV185" s="1"/>
  <c r="BF185"/>
  <c r="N185"/>
  <c r="BB185" s="1"/>
  <c r="BA185" s="1"/>
  <c r="AZ185" s="1"/>
  <c r="AY185" s="1"/>
  <c r="AR185"/>
  <c r="AU185"/>
  <c r="AQ185"/>
  <c r="AH185"/>
  <c r="AL184"/>
  <c r="AG184"/>
  <c r="AF184"/>
  <c r="BF184" s="1"/>
  <c r="AE184"/>
  <c r="AC184"/>
  <c r="AW184" s="1"/>
  <c r="AB184"/>
  <c r="AA184"/>
  <c r="Z184"/>
  <c r="V184"/>
  <c r="M184"/>
  <c r="L184"/>
  <c r="K184"/>
  <c r="J184"/>
  <c r="F184"/>
  <c r="AI183"/>
  <c r="AP185" l="1"/>
  <c r="AX185" s="1"/>
  <c r="I16" i="26"/>
  <c r="I15" s="1"/>
  <c r="I93" i="22"/>
  <c r="I92" s="1"/>
  <c r="U16" i="26"/>
  <c r="U15" s="1"/>
  <c r="U93" i="22"/>
  <c r="U92" s="1"/>
  <c r="AD184" i="1"/>
  <c r="Z16" i="26"/>
  <c r="Z15" s="1"/>
  <c r="Z93" i="22"/>
  <c r="Z92" s="1"/>
  <c r="K16" i="26"/>
  <c r="K93" i="22"/>
  <c r="J16" i="26"/>
  <c r="J93" i="22"/>
  <c r="L16" i="26"/>
  <c r="L93" i="22"/>
  <c r="BA184" i="1"/>
  <c r="AZ184" s="1"/>
  <c r="AY184" s="1"/>
  <c r="N184"/>
  <c r="AM184"/>
  <c r="AQ184" s="1"/>
  <c r="AD93" i="22"/>
  <c r="AD16" i="26" s="1"/>
  <c r="AO184" i="1"/>
  <c r="AF93" i="22"/>
  <c r="AF16" i="26" s="1"/>
  <c r="AN184" i="1"/>
  <c r="AV184" s="1"/>
  <c r="AE93" i="22"/>
  <c r="AU184" i="1"/>
  <c r="AH184"/>
  <c r="AE16" i="26" l="1"/>
  <c r="BF93" i="22"/>
  <c r="M16" i="26"/>
  <c r="M15" s="1"/>
  <c r="M93" i="22"/>
  <c r="M92" s="1"/>
  <c r="BB184" i="1"/>
  <c r="AZ93" i="22"/>
  <c r="L92"/>
  <c r="AZ92" s="1"/>
  <c r="AX93"/>
  <c r="J92"/>
  <c r="AX92" s="1"/>
  <c r="AY93"/>
  <c r="K92"/>
  <c r="AY92" s="1"/>
  <c r="AZ16" i="26"/>
  <c r="L15"/>
  <c r="AZ15" s="1"/>
  <c r="AX16"/>
  <c r="J15"/>
  <c r="AX15" s="1"/>
  <c r="AY16"/>
  <c r="K15"/>
  <c r="AY15" s="1"/>
  <c r="AR184" i="1"/>
  <c r="AP184"/>
  <c r="AX184" s="1"/>
  <c r="AG93" i="22"/>
  <c r="AG16" i="26"/>
  <c r="AL93" i="22"/>
  <c r="AT93" s="1"/>
  <c r="AL16" i="26"/>
  <c r="AP93" i="22"/>
  <c r="W183" i="1"/>
  <c r="V183"/>
  <c r="Q183"/>
  <c r="P183"/>
  <c r="O183"/>
  <c r="N183"/>
  <c r="BB183" s="1"/>
  <c r="BA183" s="1"/>
  <c r="M183"/>
  <c r="L183"/>
  <c r="K183"/>
  <c r="J183"/>
  <c r="I183"/>
  <c r="H183"/>
  <c r="G183"/>
  <c r="F183"/>
  <c r="E183"/>
  <c r="D183"/>
  <c r="C183"/>
  <c r="AP182"/>
  <c r="AC182"/>
  <c r="AW182" s="1"/>
  <c r="AB182"/>
  <c r="AV182" s="1"/>
  <c r="AA182"/>
  <c r="AQ182" s="1"/>
  <c r="Z182"/>
  <c r="M182"/>
  <c r="L182"/>
  <c r="K182"/>
  <c r="J182"/>
  <c r="N182" l="1"/>
  <c r="BB182" s="1"/>
  <c r="BA182" s="1"/>
  <c r="AZ182" s="1"/>
  <c r="AY182" s="1"/>
  <c r="BA16" i="26"/>
  <c r="BA92" i="22"/>
  <c r="AZ183" i="1"/>
  <c r="AY183" s="1"/>
  <c r="BA15" i="26"/>
  <c r="BA93" i="22"/>
  <c r="AP16" i="26"/>
  <c r="AT16"/>
  <c r="AA183" i="1"/>
  <c r="AU182"/>
  <c r="AD182"/>
  <c r="AX182" s="1"/>
  <c r="AI181"/>
  <c r="AH90" i="22" s="1"/>
  <c r="AH13" i="26" s="1"/>
  <c r="W181" i="1"/>
  <c r="V90" i="22" s="1"/>
  <c r="V13" i="26" s="1"/>
  <c r="V181" i="1"/>
  <c r="M181"/>
  <c r="L181"/>
  <c r="K181"/>
  <c r="J181"/>
  <c r="F181"/>
  <c r="AI180"/>
  <c r="AH89" i="22" s="1"/>
  <c r="AH12" i="26" s="1"/>
  <c r="W180" i="1"/>
  <c r="V89" i="22" s="1"/>
  <c r="V12" i="26" s="1"/>
  <c r="V180" i="1"/>
  <c r="M180"/>
  <c r="L180"/>
  <c r="K180"/>
  <c r="N180" s="1"/>
  <c r="J180"/>
  <c r="F180"/>
  <c r="AI179"/>
  <c r="AH88" i="22" s="1"/>
  <c r="AH11" i="26" s="1"/>
  <c r="W179" i="1"/>
  <c r="V88" i="22" s="1"/>
  <c r="V11" i="26" s="1"/>
  <c r="V179" i="1"/>
  <c r="M179"/>
  <c r="L179"/>
  <c r="K179"/>
  <c r="N179" s="1"/>
  <c r="J179"/>
  <c r="F179"/>
  <c r="N181" l="1"/>
  <c r="BB181" s="1"/>
  <c r="BA181" s="1"/>
  <c r="AZ181" s="1"/>
  <c r="AY181" s="1"/>
  <c r="BB179"/>
  <c r="BA179" s="1"/>
  <c r="AZ179" s="1"/>
  <c r="AY179" s="1"/>
  <c r="BB180"/>
  <c r="BA180" s="1"/>
  <c r="AZ180" s="1"/>
  <c r="AY180" s="1"/>
  <c r="Z11" i="26"/>
  <c r="Z12"/>
  <c r="Z13"/>
  <c r="Z88" i="22"/>
  <c r="Z89"/>
  <c r="Z90"/>
  <c r="AA179" i="1"/>
  <c r="AA181"/>
  <c r="AA180"/>
  <c r="AI178"/>
  <c r="AH87" i="22" s="1"/>
  <c r="AH10" i="26" s="1"/>
  <c r="W178" i="1" l="1"/>
  <c r="V87" i="22" s="1"/>
  <c r="V10" i="26" s="1"/>
  <c r="V178" i="1"/>
  <c r="M178"/>
  <c r="L178"/>
  <c r="K178"/>
  <c r="J178"/>
  <c r="F178"/>
  <c r="AO177"/>
  <c r="AN177"/>
  <c r="AM177"/>
  <c r="AL177"/>
  <c r="AH177"/>
  <c r="AC177"/>
  <c r="AW177" s="1"/>
  <c r="AB177"/>
  <c r="AV177" s="1"/>
  <c r="AA177"/>
  <c r="AQ177" s="1"/>
  <c r="Z177"/>
  <c r="V177"/>
  <c r="M177"/>
  <c r="L177"/>
  <c r="K177"/>
  <c r="J177"/>
  <c r="F177"/>
  <c r="N177" l="1"/>
  <c r="N178"/>
  <c r="BB178" s="1"/>
  <c r="BA178" s="1"/>
  <c r="AZ178" s="1"/>
  <c r="AY178" s="1"/>
  <c r="BB177"/>
  <c r="BA177" s="1"/>
  <c r="AZ177" s="1"/>
  <c r="AY177" s="1"/>
  <c r="AP177"/>
  <c r="Z10" i="26"/>
  <c r="Z87" i="22"/>
  <c r="AD177" i="1"/>
  <c r="AU177"/>
  <c r="AX177"/>
  <c r="AA178"/>
  <c r="AI176"/>
  <c r="AH86" i="22" s="1"/>
  <c r="AH85" l="1"/>
  <c r="AH9" i="26"/>
  <c r="AH8" s="1"/>
  <c r="AH28" s="1"/>
  <c r="AG176" i="1"/>
  <c r="AF176"/>
  <c r="BF176" s="1"/>
  <c r="AE176"/>
  <c r="AM176" s="1"/>
  <c r="W176"/>
  <c r="V86" i="22" s="1"/>
  <c r="V9" i="26" s="1"/>
  <c r="V176" i="1"/>
  <c r="M176"/>
  <c r="L176"/>
  <c r="K176"/>
  <c r="J176"/>
  <c r="F176"/>
  <c r="AH84" i="22" l="1"/>
  <c r="AH30" i="26" s="1"/>
  <c r="AH32" i="33"/>
  <c r="AH31" s="1"/>
  <c r="N176" i="1"/>
  <c r="BB176" s="1"/>
  <c r="BA176" s="1"/>
  <c r="AZ176" s="1"/>
  <c r="AY176" s="1"/>
  <c r="V8" i="26"/>
  <c r="V85" i="22"/>
  <c r="V32" i="33" s="1"/>
  <c r="AA176" i="1"/>
  <c r="AH176"/>
  <c r="V31" i="33" l="1"/>
  <c r="Z31" s="1"/>
  <c r="Z32"/>
  <c r="V28" i="26"/>
  <c r="V30" s="1"/>
  <c r="V84" i="22"/>
  <c r="AU176" i="1"/>
  <c r="AQ176"/>
  <c r="AL175" l="1"/>
  <c r="AG175"/>
  <c r="AO175" s="1"/>
  <c r="AF175"/>
  <c r="AE175"/>
  <c r="AM175" s="1"/>
  <c r="AC175"/>
  <c r="AW175" s="1"/>
  <c r="AB175"/>
  <c r="AA175"/>
  <c r="AU175" s="1"/>
  <c r="Z175"/>
  <c r="V175"/>
  <c r="M175"/>
  <c r="L175"/>
  <c r="K175"/>
  <c r="J175"/>
  <c r="F175"/>
  <c r="AN175" l="1"/>
  <c r="AR175" s="1"/>
  <c r="BF175"/>
  <c r="N175"/>
  <c r="BB175" s="1"/>
  <c r="BA175" s="1"/>
  <c r="AZ175" s="1"/>
  <c r="AY175" s="1"/>
  <c r="AD175"/>
  <c r="AV175"/>
  <c r="AQ175"/>
  <c r="AH175"/>
  <c r="AP175" l="1"/>
  <c r="AX175" s="1"/>
  <c r="AL174"/>
  <c r="AG174"/>
  <c r="AF174"/>
  <c r="BF174" s="1"/>
  <c r="AE174"/>
  <c r="AC174"/>
  <c r="AW174" s="1"/>
  <c r="AB174"/>
  <c r="AA174"/>
  <c r="Z174"/>
  <c r="V174"/>
  <c r="V173" s="1"/>
  <c r="M174"/>
  <c r="L174"/>
  <c r="K174"/>
  <c r="J174"/>
  <c r="F174"/>
  <c r="AI173"/>
  <c r="W173"/>
  <c r="Q173"/>
  <c r="P173"/>
  <c r="O173"/>
  <c r="M173"/>
  <c r="L173"/>
  <c r="K173"/>
  <c r="J173"/>
  <c r="I173"/>
  <c r="H173"/>
  <c r="G173"/>
  <c r="F173"/>
  <c r="E173"/>
  <c r="D173"/>
  <c r="C173"/>
  <c r="AP172"/>
  <c r="AC172"/>
  <c r="AW172" s="1"/>
  <c r="AB172"/>
  <c r="AV172" s="1"/>
  <c r="AA172"/>
  <c r="AU172" s="1"/>
  <c r="Z172"/>
  <c r="M172"/>
  <c r="L172"/>
  <c r="K172"/>
  <c r="J172"/>
  <c r="N172" l="1"/>
  <c r="I9" i="26"/>
  <c r="I8" s="1"/>
  <c r="I28" s="1"/>
  <c r="I86" i="22"/>
  <c r="I85" s="1"/>
  <c r="I84" s="1"/>
  <c r="K9" i="26"/>
  <c r="K86" i="22"/>
  <c r="U9" i="26"/>
  <c r="U8" s="1"/>
  <c r="U28" s="1"/>
  <c r="U86" i="22"/>
  <c r="U85" s="1"/>
  <c r="U84" s="1"/>
  <c r="AD174" i="1"/>
  <c r="Z86" i="22"/>
  <c r="Z85" s="1"/>
  <c r="Z84" s="1"/>
  <c r="Z9" i="26"/>
  <c r="Z8" s="1"/>
  <c r="Z28" s="1"/>
  <c r="BB172" i="1"/>
  <c r="BA172" s="1"/>
  <c r="AZ172" s="1"/>
  <c r="AY172" s="1"/>
  <c r="N174"/>
  <c r="J9" i="26"/>
  <c r="J86" i="22"/>
  <c r="L9" i="26"/>
  <c r="L86" i="22"/>
  <c r="BA174" i="1"/>
  <c r="AZ174" s="1"/>
  <c r="AY174" s="1"/>
  <c r="AN174"/>
  <c r="AR174" s="1"/>
  <c r="AE86" i="22"/>
  <c r="AM174" i="1"/>
  <c r="AU174" s="1"/>
  <c r="AD86" i="22"/>
  <c r="AD9" i="26" s="1"/>
  <c r="AO174" i="1"/>
  <c r="AF86" i="22"/>
  <c r="AF9" i="26" s="1"/>
  <c r="AA173" i="1"/>
  <c r="AD172"/>
  <c r="AQ172"/>
  <c r="AX172"/>
  <c r="AP174"/>
  <c r="AX174" s="1"/>
  <c r="AH174"/>
  <c r="AK171"/>
  <c r="AJ53" i="22" s="1"/>
  <c r="AJ42" i="24" s="1"/>
  <c r="AJ171" i="1"/>
  <c r="AI53" i="22" s="1"/>
  <c r="AI42" i="24" s="1"/>
  <c r="AI171" i="1"/>
  <c r="AH53" i="22" s="1"/>
  <c r="AH42" i="24" s="1"/>
  <c r="AG171" i="1"/>
  <c r="AF53" i="22" s="1"/>
  <c r="AF42" i="24" s="1"/>
  <c r="AF171" i="1"/>
  <c r="AE171"/>
  <c r="AD53" i="22" s="1"/>
  <c r="AD42" i="24" s="1"/>
  <c r="Y171" i="1"/>
  <c r="X53" i="22" s="1"/>
  <c r="X171" i="1"/>
  <c r="W171"/>
  <c r="V53" i="22" s="1"/>
  <c r="V42" i="24" s="1"/>
  <c r="V171" i="1"/>
  <c r="M171"/>
  <c r="L171"/>
  <c r="K171"/>
  <c r="J171"/>
  <c r="F171"/>
  <c r="AE9" i="26" l="1"/>
  <c r="BF86" i="22"/>
  <c r="AE53"/>
  <c r="BF53" s="1"/>
  <c r="BF171" i="1"/>
  <c r="U30" i="26"/>
  <c r="I30"/>
  <c r="Z30"/>
  <c r="N171" i="1"/>
  <c r="BB171" s="1"/>
  <c r="BA171" s="1"/>
  <c r="AZ171" s="1"/>
  <c r="AY171" s="1"/>
  <c r="AZ9" i="26"/>
  <c r="L8"/>
  <c r="AX9"/>
  <c r="J8"/>
  <c r="AY9"/>
  <c r="K8"/>
  <c r="AZ86" i="22"/>
  <c r="L85"/>
  <c r="AX86"/>
  <c r="J85"/>
  <c r="M9" i="26"/>
  <c r="M8" s="1"/>
  <c r="M28" s="1"/>
  <c r="M86" i="22"/>
  <c r="M85" s="1"/>
  <c r="M84" s="1"/>
  <c r="BB174" i="1"/>
  <c r="N173"/>
  <c r="BB173" s="1"/>
  <c r="BA173" s="1"/>
  <c r="AZ173" s="1"/>
  <c r="AY173" s="1"/>
  <c r="AY86" i="22"/>
  <c r="K85"/>
  <c r="AN42" i="24"/>
  <c r="Z42"/>
  <c r="AB53" i="22"/>
  <c r="X42" i="24"/>
  <c r="AB42" s="1"/>
  <c r="AG53" i="22"/>
  <c r="AL42" i="24"/>
  <c r="AK42"/>
  <c r="AL86" i="22"/>
  <c r="AP86" s="1"/>
  <c r="AL9" i="26"/>
  <c r="AG86" i="22"/>
  <c r="AG9" i="26"/>
  <c r="AV174" i="1"/>
  <c r="AQ174"/>
  <c r="AL53" i="22"/>
  <c r="AK53"/>
  <c r="AN53"/>
  <c r="Z53"/>
  <c r="AB171" i="1"/>
  <c r="W53" i="22"/>
  <c r="AM53"/>
  <c r="AM171" i="1"/>
  <c r="AO171"/>
  <c r="Z171"/>
  <c r="AN171"/>
  <c r="AV171" s="1"/>
  <c r="AA171"/>
  <c r="AL171"/>
  <c r="AH171"/>
  <c r="AE42" i="24" l="1"/>
  <c r="AG42" s="1"/>
  <c r="M30" i="26"/>
  <c r="AM42" i="24"/>
  <c r="AO42" s="1"/>
  <c r="AR171" i="1"/>
  <c r="BA86" i="22"/>
  <c r="BA9" i="26"/>
  <c r="AY85" i="22"/>
  <c r="K84"/>
  <c r="AY84" s="1"/>
  <c r="AX85"/>
  <c r="J84"/>
  <c r="AX84" s="1"/>
  <c r="L84"/>
  <c r="AZ84" s="1"/>
  <c r="AZ85"/>
  <c r="AY8" i="26"/>
  <c r="K28"/>
  <c r="J28"/>
  <c r="AX8"/>
  <c r="L28"/>
  <c r="AZ8"/>
  <c r="AT86" i="22"/>
  <c r="AA53"/>
  <c r="AQ53" s="1"/>
  <c r="W42" i="24"/>
  <c r="AP42"/>
  <c r="AT42"/>
  <c r="AP9" i="26"/>
  <c r="AT9"/>
  <c r="AR42" i="24"/>
  <c r="AV42"/>
  <c r="AR53" i="22"/>
  <c r="AT53"/>
  <c r="AP53"/>
  <c r="AO53"/>
  <c r="AV53"/>
  <c r="Y53"/>
  <c r="AP171" i="1"/>
  <c r="AU171"/>
  <c r="AQ171"/>
  <c r="AK170"/>
  <c r="AJ52" i="22" s="1"/>
  <c r="AJ41" i="24" s="1"/>
  <c r="AJ170" i="1"/>
  <c r="AI52" i="22" s="1"/>
  <c r="AI41" i="24" s="1"/>
  <c r="AI170" i="1"/>
  <c r="AH52" i="22" s="1"/>
  <c r="AH41" i="24" s="1"/>
  <c r="AG170" i="1"/>
  <c r="AF52" i="22" s="1"/>
  <c r="AF41" i="24" s="1"/>
  <c r="AY28" i="26" l="1"/>
  <c r="AY30" s="1"/>
  <c r="K30"/>
  <c r="AZ28"/>
  <c r="AZ30" s="1"/>
  <c r="L30"/>
  <c r="AX28"/>
  <c r="AX30" s="1"/>
  <c r="J30"/>
  <c r="BA84" i="22"/>
  <c r="BA85"/>
  <c r="BA8" i="26"/>
  <c r="AC53" i="22"/>
  <c r="AW53" s="1"/>
  <c r="AU53"/>
  <c r="AK41" i="24"/>
  <c r="AA42"/>
  <c r="Y42"/>
  <c r="AS53" i="22"/>
  <c r="AN41" i="24"/>
  <c r="AK52" i="22"/>
  <c r="AN52"/>
  <c r="AO170" i="1"/>
  <c r="AF170"/>
  <c r="BF170" s="1"/>
  <c r="AE170"/>
  <c r="AD52" i="22" s="1"/>
  <c r="Y170" i="1"/>
  <c r="X52" i="22" s="1"/>
  <c r="X170" i="1"/>
  <c r="W170"/>
  <c r="V52" i="22" s="1"/>
  <c r="V41" i="24" s="1"/>
  <c r="V170" i="1"/>
  <c r="M170"/>
  <c r="L170"/>
  <c r="K170"/>
  <c r="J170"/>
  <c r="F170"/>
  <c r="AK169"/>
  <c r="AJ51" i="22" s="1"/>
  <c r="AJ40" i="24" s="1"/>
  <c r="AJ169" i="1"/>
  <c r="AI51" i="22" s="1"/>
  <c r="AI40" i="24" s="1"/>
  <c r="AI169" i="1"/>
  <c r="AH51" i="22" s="1"/>
  <c r="AH40" i="24" s="1"/>
  <c r="AG169" i="1"/>
  <c r="AF51" i="22" s="1"/>
  <c r="AF40" i="24" s="1"/>
  <c r="AF169" i="1"/>
  <c r="AE169"/>
  <c r="AD51" i="22" s="1"/>
  <c r="Y169" i="1"/>
  <c r="X51" i="22" s="1"/>
  <c r="X169" i="1"/>
  <c r="W169"/>
  <c r="V51" i="22" s="1"/>
  <c r="V40" i="24" s="1"/>
  <c r="V169" i="1"/>
  <c r="M169"/>
  <c r="L169"/>
  <c r="K169"/>
  <c r="J169"/>
  <c r="F169"/>
  <c r="AO168"/>
  <c r="AN168"/>
  <c r="AM168"/>
  <c r="AP168" s="1"/>
  <c r="AL168"/>
  <c r="AH168"/>
  <c r="AC168"/>
  <c r="AW168" s="1"/>
  <c r="AB168"/>
  <c r="AV168" s="1"/>
  <c r="AA168"/>
  <c r="AQ168" s="1"/>
  <c r="Z168"/>
  <c r="V168"/>
  <c r="M168"/>
  <c r="L168"/>
  <c r="K168"/>
  <c r="J168"/>
  <c r="F168"/>
  <c r="AE51" i="22" l="1"/>
  <c r="AG51" s="1"/>
  <c r="BF169" i="1"/>
  <c r="BA28" i="26"/>
  <c r="BA30" s="1"/>
  <c r="N168" i="1"/>
  <c r="BB168" s="1"/>
  <c r="BA168" s="1"/>
  <c r="AZ168" s="1"/>
  <c r="AY168" s="1"/>
  <c r="N169"/>
  <c r="N170"/>
  <c r="BB170" s="1"/>
  <c r="BA170" s="1"/>
  <c r="AZ170" s="1"/>
  <c r="AY170" s="1"/>
  <c r="BB169"/>
  <c r="BA169" s="1"/>
  <c r="AZ169" s="1"/>
  <c r="AY169" s="1"/>
  <c r="AN40" i="24"/>
  <c r="Z40"/>
  <c r="AB51" i="22"/>
  <c r="X40" i="24"/>
  <c r="AB40" s="1"/>
  <c r="AK40"/>
  <c r="AL52" i="22"/>
  <c r="AD41" i="24"/>
  <c r="AQ42"/>
  <c r="AS42" s="1"/>
  <c r="AU42"/>
  <c r="AC42"/>
  <c r="AW42" s="1"/>
  <c r="AD40"/>
  <c r="Z41"/>
  <c r="AB52" i="22"/>
  <c r="AV52" s="1"/>
  <c r="X41" i="24"/>
  <c r="AB41" s="1"/>
  <c r="AV41" s="1"/>
  <c r="AB169" i="1"/>
  <c r="W51" i="22"/>
  <c r="Z52"/>
  <c r="AN170" i="1"/>
  <c r="AE52" i="22"/>
  <c r="Z51"/>
  <c r="AL51"/>
  <c r="AK51"/>
  <c r="AB170" i="1"/>
  <c r="W52" i="22"/>
  <c r="AN51"/>
  <c r="Z170" i="1"/>
  <c r="AD168"/>
  <c r="AU168"/>
  <c r="AX168"/>
  <c r="AL169"/>
  <c r="AH169"/>
  <c r="AO169"/>
  <c r="AN169"/>
  <c r="Z169"/>
  <c r="AA169"/>
  <c r="AA170"/>
  <c r="AR170"/>
  <c r="AM170"/>
  <c r="AH170"/>
  <c r="AM169"/>
  <c r="AM51" i="22" l="1"/>
  <c r="AO51" s="1"/>
  <c r="AR41" i="24"/>
  <c r="AE41"/>
  <c r="AM41" s="1"/>
  <c r="BF52" i="22"/>
  <c r="AE40" i="24"/>
  <c r="AM40" s="1"/>
  <c r="BF51" i="22"/>
  <c r="AG40" i="24"/>
  <c r="AR52" i="22"/>
  <c r="AV169" i="1"/>
  <c r="AV170"/>
  <c r="AA52" i="22"/>
  <c r="W41" i="24"/>
  <c r="AA51" i="22"/>
  <c r="AU51" s="1"/>
  <c r="W40" i="24"/>
  <c r="AG41"/>
  <c r="AL41"/>
  <c r="AR40"/>
  <c r="AV40"/>
  <c r="AL40"/>
  <c r="AO40" s="1"/>
  <c r="AR51" i="22"/>
  <c r="Y51"/>
  <c r="AG52"/>
  <c r="AM52"/>
  <c r="AO52" s="1"/>
  <c r="AT52"/>
  <c r="AP52"/>
  <c r="AV51"/>
  <c r="AT51"/>
  <c r="AP51"/>
  <c r="Y52"/>
  <c r="AR169" i="1"/>
  <c r="AP169"/>
  <c r="AU169"/>
  <c r="AQ169"/>
  <c r="AL170"/>
  <c r="AP170"/>
  <c r="AU170"/>
  <c r="AQ170"/>
  <c r="AK167"/>
  <c r="AJ50" i="22" s="1"/>
  <c r="AJ167" i="1"/>
  <c r="AI50" i="22" s="1"/>
  <c r="AI167" i="1"/>
  <c r="AH50" i="22" s="1"/>
  <c r="AG167" i="1"/>
  <c r="AF167"/>
  <c r="BF167" s="1"/>
  <c r="AE167"/>
  <c r="AQ51" i="22" l="1"/>
  <c r="AS51" s="1"/>
  <c r="AU52"/>
  <c r="AQ52"/>
  <c r="AS52" s="1"/>
  <c r="AC52"/>
  <c r="AW52" s="1"/>
  <c r="AI49"/>
  <c r="AI23" i="33" s="1"/>
  <c r="AI39" i="24"/>
  <c r="AI38" s="1"/>
  <c r="AH49" i="22"/>
  <c r="AH23" i="33" s="1"/>
  <c r="AH39" i="24"/>
  <c r="AH38" s="1"/>
  <c r="AJ49" i="22"/>
  <c r="AJ23" i="33" s="1"/>
  <c r="AJ39" i="24"/>
  <c r="AJ38" s="1"/>
  <c r="AT41"/>
  <c r="AO41"/>
  <c r="AA40"/>
  <c r="Y40"/>
  <c r="AA41"/>
  <c r="Y41"/>
  <c r="AT40"/>
  <c r="AC51" i="22"/>
  <c r="AW51" s="1"/>
  <c r="AP40" i="24"/>
  <c r="AP41"/>
  <c r="AH167" i="1"/>
  <c r="AO167"/>
  <c r="AN167"/>
  <c r="AL167"/>
  <c r="AM167"/>
  <c r="AK23" i="33" l="1"/>
  <c r="AU41" i="24"/>
  <c r="AQ41"/>
  <c r="AS41" s="1"/>
  <c r="AC41"/>
  <c r="AW41" s="1"/>
  <c r="AU40"/>
  <c r="AQ40"/>
  <c r="AS40" s="1"/>
  <c r="AC40"/>
  <c r="AW40" s="1"/>
  <c r="Y167" i="1"/>
  <c r="X167"/>
  <c r="W167"/>
  <c r="V50" i="22" s="1"/>
  <c r="V39" i="24" s="1"/>
  <c r="V167" i="1"/>
  <c r="M167"/>
  <c r="L167"/>
  <c r="K167"/>
  <c r="J167"/>
  <c r="F167"/>
  <c r="N167" l="1"/>
  <c r="BB167" s="1"/>
  <c r="BA167" s="1"/>
  <c r="AZ167" s="1"/>
  <c r="AY167" s="1"/>
  <c r="V38" i="24"/>
  <c r="V49" i="22"/>
  <c r="V23" i="33" s="1"/>
  <c r="Z23" s="1"/>
  <c r="AC167" i="1"/>
  <c r="AS167" s="1"/>
  <c r="X50" i="22"/>
  <c r="AB167" i="1"/>
  <c r="AV167" s="1"/>
  <c r="W50" i="22"/>
  <c r="AW167" i="1"/>
  <c r="AA167"/>
  <c r="AL166"/>
  <c r="AG166"/>
  <c r="AO166" s="1"/>
  <c r="AF166"/>
  <c r="AE166"/>
  <c r="AM166" s="1"/>
  <c r="AC166"/>
  <c r="AW166" s="1"/>
  <c r="AB166"/>
  <c r="AA166"/>
  <c r="Z166"/>
  <c r="V166"/>
  <c r="M166"/>
  <c r="L166"/>
  <c r="K166"/>
  <c r="J166"/>
  <c r="F166"/>
  <c r="AN166" l="1"/>
  <c r="AR166" s="1"/>
  <c r="BF166"/>
  <c r="AD166"/>
  <c r="N166"/>
  <c r="BB166" s="1"/>
  <c r="BA166" s="1"/>
  <c r="AZ166" s="1"/>
  <c r="AY166" s="1"/>
  <c r="AR167"/>
  <c r="W49" i="22"/>
  <c r="W23" i="33" s="1"/>
  <c r="W39" i="24"/>
  <c r="X49" i="22"/>
  <c r="X23" i="33" s="1"/>
  <c r="AB23" s="1"/>
  <c r="X39" i="24"/>
  <c r="X38" s="1"/>
  <c r="Y50" i="22"/>
  <c r="AV166" i="1"/>
  <c r="AP166"/>
  <c r="AX166" s="1"/>
  <c r="AU166"/>
  <c r="AQ166"/>
  <c r="AH166"/>
  <c r="Z167"/>
  <c r="AU167"/>
  <c r="AQ167"/>
  <c r="AP167" s="1"/>
  <c r="AD167"/>
  <c r="AL165"/>
  <c r="AG165"/>
  <c r="AF165"/>
  <c r="BF165" s="1"/>
  <c r="AE165"/>
  <c r="AC165"/>
  <c r="AW165" s="1"/>
  <c r="AB165"/>
  <c r="AA39" i="24" s="1"/>
  <c r="AA165" i="1"/>
  <c r="Z165"/>
  <c r="V165"/>
  <c r="M165"/>
  <c r="L165"/>
  <c r="K165"/>
  <c r="J165"/>
  <c r="F165"/>
  <c r="AD165" l="1"/>
  <c r="Y23" i="33"/>
  <c r="AA23"/>
  <c r="N165" i="1"/>
  <c r="M39" i="24" s="1"/>
  <c r="M38" s="1"/>
  <c r="I39"/>
  <c r="I38" s="1"/>
  <c r="I50" i="22"/>
  <c r="I49" s="1"/>
  <c r="U50"/>
  <c r="U49" s="1"/>
  <c r="U39" i="24"/>
  <c r="U38" s="1"/>
  <c r="AK39"/>
  <c r="AK38" s="1"/>
  <c r="AK50" i="22"/>
  <c r="AK49" s="1"/>
  <c r="AB50"/>
  <c r="AB49" s="1"/>
  <c r="AA50"/>
  <c r="AA49" s="1"/>
  <c r="Z50"/>
  <c r="Z49" s="1"/>
  <c r="K39" i="24"/>
  <c r="K50" i="22"/>
  <c r="J50"/>
  <c r="J39" i="24"/>
  <c r="L50" i="22"/>
  <c r="L39" i="24"/>
  <c r="BA165" i="1"/>
  <c r="AZ165" s="1"/>
  <c r="AY165" s="1"/>
  <c r="AB39" i="24"/>
  <c r="AB38" s="1"/>
  <c r="Z39"/>
  <c r="Z38" s="1"/>
  <c r="Y49" i="22"/>
  <c r="AA38" i="24"/>
  <c r="W38"/>
  <c r="Y38" s="1"/>
  <c r="Y39"/>
  <c r="AN165" i="1"/>
  <c r="AR165" s="1"/>
  <c r="AE50" i="22"/>
  <c r="BF50" s="1"/>
  <c r="AM165" i="1"/>
  <c r="AD50" i="22"/>
  <c r="AO165" i="1"/>
  <c r="AF50" i="22"/>
  <c r="AH165" i="1"/>
  <c r="AX167"/>
  <c r="AT167"/>
  <c r="BD167" s="1"/>
  <c r="AK164"/>
  <c r="AJ164"/>
  <c r="AI164"/>
  <c r="AG164"/>
  <c r="AF164"/>
  <c r="BF164" s="1"/>
  <c r="AE164"/>
  <c r="Y164"/>
  <c r="X164"/>
  <c r="W164"/>
  <c r="V164"/>
  <c r="Q164"/>
  <c r="P164"/>
  <c r="O164"/>
  <c r="N164"/>
  <c r="BB164" s="1"/>
  <c r="M164"/>
  <c r="L164"/>
  <c r="K164"/>
  <c r="J164"/>
  <c r="I164"/>
  <c r="H164"/>
  <c r="G164"/>
  <c r="F164"/>
  <c r="E164"/>
  <c r="D164"/>
  <c r="C164"/>
  <c r="AP163"/>
  <c r="AC163"/>
  <c r="AW163" s="1"/>
  <c r="AB163"/>
  <c r="AV163" s="1"/>
  <c r="AA163"/>
  <c r="AU163" s="1"/>
  <c r="Z163"/>
  <c r="M163"/>
  <c r="L163"/>
  <c r="K163"/>
  <c r="J163"/>
  <c r="AC49" i="22" l="1"/>
  <c r="AC50"/>
  <c r="AC23" i="33"/>
  <c r="M50" i="22"/>
  <c r="M49" s="1"/>
  <c r="AC39" i="24"/>
  <c r="BB165" i="1"/>
  <c r="N163"/>
  <c r="BA164"/>
  <c r="AZ164"/>
  <c r="AY164" s="1"/>
  <c r="AZ50" i="22"/>
  <c r="L49"/>
  <c r="AZ49" s="1"/>
  <c r="AX50"/>
  <c r="J49"/>
  <c r="AX49" s="1"/>
  <c r="AY39" i="24"/>
  <c r="K38"/>
  <c r="AY38" s="1"/>
  <c r="L38"/>
  <c r="AZ38" s="1"/>
  <c r="AZ39"/>
  <c r="AX39"/>
  <c r="J38"/>
  <c r="AX38" s="1"/>
  <c r="AY50" i="22"/>
  <c r="K49"/>
  <c r="AY49" s="1"/>
  <c r="BB163" i="1"/>
  <c r="BA163" s="1"/>
  <c r="AZ163" s="1"/>
  <c r="AY163" s="1"/>
  <c r="AP165"/>
  <c r="AX165" s="1"/>
  <c r="AN164"/>
  <c r="AG50" i="22"/>
  <c r="AG49" s="1"/>
  <c r="AG39" i="24"/>
  <c r="AG38" s="1"/>
  <c r="AN50" i="22"/>
  <c r="AV50" s="1"/>
  <c r="AN39" i="24"/>
  <c r="AL50" i="22"/>
  <c r="AT50" s="1"/>
  <c r="AL39" i="24"/>
  <c r="AM50" i="22"/>
  <c r="AM49" s="1"/>
  <c r="AM39" i="24"/>
  <c r="AF49" i="22"/>
  <c r="AF23" i="33" s="1"/>
  <c r="AN23" s="1"/>
  <c r="AF39" i="24"/>
  <c r="AF38" s="1"/>
  <c r="AD49" i="22"/>
  <c r="AD23" i="33" s="1"/>
  <c r="AD39" i="24"/>
  <c r="AD38" s="1"/>
  <c r="AE49" i="22"/>
  <c r="AE39" i="24"/>
  <c r="AE38" s="1"/>
  <c r="AC38"/>
  <c r="AM164" i="1"/>
  <c r="AL164" s="1"/>
  <c r="AO164"/>
  <c r="AQ165"/>
  <c r="AU165"/>
  <c r="AV165"/>
  <c r="AQ50" i="22"/>
  <c r="AH164" i="1"/>
  <c r="AB164"/>
  <c r="AC164"/>
  <c r="AD163"/>
  <c r="AQ163"/>
  <c r="AX163"/>
  <c r="Z164"/>
  <c r="AA164"/>
  <c r="AK162"/>
  <c r="AJ47" i="22" s="1"/>
  <c r="AJ36" i="24" s="1"/>
  <c r="AJ162" i="1"/>
  <c r="AI47" i="22" s="1"/>
  <c r="AI36" i="24" s="1"/>
  <c r="AI162" i="1"/>
  <c r="AH47" i="22" s="1"/>
  <c r="AH36" i="24" s="1"/>
  <c r="AG162" i="1"/>
  <c r="AF47" i="22" s="1"/>
  <c r="AF36" i="24" s="1"/>
  <c r="AF162" i="1"/>
  <c r="AE162"/>
  <c r="AD47" i="22" s="1"/>
  <c r="Y162" i="1"/>
  <c r="X47" i="22" s="1"/>
  <c r="X162" i="1"/>
  <c r="W162"/>
  <c r="V47" i="22" s="1"/>
  <c r="V36" i="24" s="1"/>
  <c r="V162" i="1"/>
  <c r="M162"/>
  <c r="L162"/>
  <c r="K162"/>
  <c r="J162"/>
  <c r="F162"/>
  <c r="AK161"/>
  <c r="AJ46" i="22" s="1"/>
  <c r="AJ35" i="24" s="1"/>
  <c r="AJ161" i="1"/>
  <c r="AI46" i="22" s="1"/>
  <c r="AI35" i="24" s="1"/>
  <c r="AI161" i="1"/>
  <c r="AH46" i="22" s="1"/>
  <c r="AH35" i="24" s="1"/>
  <c r="AG161" i="1"/>
  <c r="AF46" i="22" s="1"/>
  <c r="AF35" i="24" s="1"/>
  <c r="AF161" i="1"/>
  <c r="AE161"/>
  <c r="AD46" i="22" s="1"/>
  <c r="Y161" i="1"/>
  <c r="X161"/>
  <c r="AE46" i="22" l="1"/>
  <c r="AG46" s="1"/>
  <c r="BF161" i="1"/>
  <c r="AE23" i="33"/>
  <c r="AM23" s="1"/>
  <c r="AU23" s="1"/>
  <c r="BF49" i="22"/>
  <c r="AE47"/>
  <c r="AG47" s="1"/>
  <c r="BF162" i="1"/>
  <c r="AV164"/>
  <c r="AL23" i="33"/>
  <c r="AV23"/>
  <c r="AR23"/>
  <c r="N162" i="1"/>
  <c r="BB162" s="1"/>
  <c r="BA162" s="1"/>
  <c r="AZ162" s="1"/>
  <c r="AY162" s="1"/>
  <c r="BA39" i="24"/>
  <c r="BA50" i="22"/>
  <c r="BA38" i="24"/>
  <c r="BA49" i="22"/>
  <c r="AP164" i="1"/>
  <c r="AR50" i="22"/>
  <c r="AO50"/>
  <c r="AW50" s="1"/>
  <c r="AK36" i="24"/>
  <c r="AL49" i="22"/>
  <c r="AP49" s="1"/>
  <c r="AN49"/>
  <c r="AV49" s="1"/>
  <c r="AD35" i="24"/>
  <c r="AL35" s="1"/>
  <c r="Z36"/>
  <c r="AB47" i="22"/>
  <c r="X36" i="24"/>
  <c r="AB36" s="1"/>
  <c r="AK35"/>
  <c r="AD36"/>
  <c r="AM38"/>
  <c r="AU39"/>
  <c r="AQ39"/>
  <c r="AO39"/>
  <c r="AW39" s="1"/>
  <c r="AL38"/>
  <c r="AP39"/>
  <c r="AT39"/>
  <c r="AN38"/>
  <c r="AV39"/>
  <c r="AR39"/>
  <c r="AN35"/>
  <c r="AN36"/>
  <c r="AW164" i="1"/>
  <c r="AP50" i="22"/>
  <c r="AU50"/>
  <c r="Z47"/>
  <c r="AL47"/>
  <c r="AK47"/>
  <c r="AQ49"/>
  <c r="AU49"/>
  <c r="AN47"/>
  <c r="AB161" i="1"/>
  <c r="W46" i="22"/>
  <c r="AC161" i="1"/>
  <c r="AW161" s="1"/>
  <c r="X46" i="22"/>
  <c r="AL46"/>
  <c r="AK46"/>
  <c r="AB162" i="1"/>
  <c r="W47" i="22"/>
  <c r="AN46"/>
  <c r="AM47"/>
  <c r="AS164" i="1"/>
  <c r="AR164"/>
  <c r="AD164"/>
  <c r="Z162"/>
  <c r="AL162"/>
  <c r="AH161"/>
  <c r="AM162"/>
  <c r="AL161"/>
  <c r="AA162"/>
  <c r="AM161"/>
  <c r="AH162"/>
  <c r="AQ164"/>
  <c r="AU164"/>
  <c r="W161"/>
  <c r="V161"/>
  <c r="M161"/>
  <c r="L161"/>
  <c r="K161"/>
  <c r="J161"/>
  <c r="F161"/>
  <c r="AO160"/>
  <c r="AN160"/>
  <c r="AM160"/>
  <c r="AL160"/>
  <c r="AH160"/>
  <c r="AC160"/>
  <c r="AW160" s="1"/>
  <c r="AB160"/>
  <c r="AV160" s="1"/>
  <c r="AA160"/>
  <c r="AQ160" s="1"/>
  <c r="Z160"/>
  <c r="V160"/>
  <c r="M160"/>
  <c r="L160"/>
  <c r="K160"/>
  <c r="J160"/>
  <c r="F160"/>
  <c r="AK159"/>
  <c r="AJ45" i="22" s="1"/>
  <c r="AJ159" i="1"/>
  <c r="AI45" i="22" s="1"/>
  <c r="AI159" i="1"/>
  <c r="AH45" i="22" s="1"/>
  <c r="AG159" i="1"/>
  <c r="AM46" i="22" l="1"/>
  <c r="AO46" s="1"/>
  <c r="AQ23" i="33"/>
  <c r="AG23"/>
  <c r="AE36" i="24"/>
  <c r="AM36" s="1"/>
  <c r="BF47" i="22"/>
  <c r="AE35" i="24"/>
  <c r="AM35" s="1"/>
  <c r="BF46" i="22"/>
  <c r="AT49"/>
  <c r="AO23" i="33"/>
  <c r="AW23" s="1"/>
  <c r="AT23"/>
  <c r="AP23"/>
  <c r="AS23" s="1"/>
  <c r="N161" i="1"/>
  <c r="BB161" s="1"/>
  <c r="BA161" s="1"/>
  <c r="AZ161" s="1"/>
  <c r="AY161" s="1"/>
  <c r="N160"/>
  <c r="AP160"/>
  <c r="BB160"/>
  <c r="BA160" s="1"/>
  <c r="AZ160" s="1"/>
  <c r="AY160" s="1"/>
  <c r="AX164"/>
  <c r="AR49" i="22"/>
  <c r="AS49" s="1"/>
  <c r="BB49" s="1"/>
  <c r="AO49"/>
  <c r="AW49" s="1"/>
  <c r="AG35" i="24"/>
  <c r="AS50" i="22"/>
  <c r="AH44"/>
  <c r="AH22" i="33" s="1"/>
  <c r="AH34" i="24"/>
  <c r="AH33" s="1"/>
  <c r="AJ44" i="22"/>
  <c r="AJ22" i="33" s="1"/>
  <c r="AJ34" i="24"/>
  <c r="AJ33" s="1"/>
  <c r="AO38"/>
  <c r="AW38" s="1"/>
  <c r="AP38"/>
  <c r="AT38"/>
  <c r="AU38"/>
  <c r="AQ38"/>
  <c r="AI44" i="22"/>
  <c r="AI22" i="33" s="1"/>
  <c r="AI34" i="24"/>
  <c r="AI33" s="1"/>
  <c r="AA47" i="22"/>
  <c r="AU47" s="1"/>
  <c r="W36" i="24"/>
  <c r="AB46" i="22"/>
  <c r="AV46" s="1"/>
  <c r="X35" i="24"/>
  <c r="AB35" s="1"/>
  <c r="AA46" i="22"/>
  <c r="W35" i="24"/>
  <c r="AA35" s="1"/>
  <c r="AR38"/>
  <c r="AV38"/>
  <c r="AL36"/>
  <c r="AO36" s="1"/>
  <c r="AG36"/>
  <c r="AR36"/>
  <c r="AV36"/>
  <c r="AP36"/>
  <c r="AR47" i="22"/>
  <c r="AS39" i="24"/>
  <c r="AO35"/>
  <c r="Z161" i="1"/>
  <c r="V46" i="22"/>
  <c r="V35" i="24" s="1"/>
  <c r="AO47" i="22"/>
  <c r="AV47"/>
  <c r="Y47"/>
  <c r="AT47"/>
  <c r="AP47"/>
  <c r="AD160" i="1"/>
  <c r="AU160"/>
  <c r="AX160"/>
  <c r="AO159"/>
  <c r="AT164"/>
  <c r="AU162"/>
  <c r="AQ162"/>
  <c r="AA161"/>
  <c r="AF159"/>
  <c r="AE159"/>
  <c r="Y159"/>
  <c r="X45" i="22" s="1"/>
  <c r="X159" i="1"/>
  <c r="W159"/>
  <c r="V45" i="22" s="1"/>
  <c r="V34" i="24" s="1"/>
  <c r="V159" i="1"/>
  <c r="M159"/>
  <c r="L159"/>
  <c r="K159"/>
  <c r="J159"/>
  <c r="F159"/>
  <c r="AU46" i="22" l="1"/>
  <c r="AN159" i="1"/>
  <c r="BF159"/>
  <c r="AQ47" i="22"/>
  <c r="AS47" s="1"/>
  <c r="AK22" i="33"/>
  <c r="AQ46" i="22"/>
  <c r="AR46"/>
  <c r="N159" i="1"/>
  <c r="BB159" s="1"/>
  <c r="BA159" s="1"/>
  <c r="AZ159" s="1"/>
  <c r="AY159" s="1"/>
  <c r="AC47" i="22"/>
  <c r="AW47" s="1"/>
  <c r="AT36" i="24"/>
  <c r="V33"/>
  <c r="X44" i="22"/>
  <c r="X22" i="33" s="1"/>
  <c r="AB22" s="1"/>
  <c r="X34" i="24"/>
  <c r="X33" s="1"/>
  <c r="AU35"/>
  <c r="AQ35"/>
  <c r="AR35"/>
  <c r="AV35"/>
  <c r="AA36"/>
  <c r="Y36"/>
  <c r="Y35"/>
  <c r="Z35"/>
  <c r="AS38"/>
  <c r="V44" i="22"/>
  <c r="V22" i="33" s="1"/>
  <c r="Z22" s="1"/>
  <c r="AB159" i="1"/>
  <c r="AV159" s="1"/>
  <c r="W45" i="22"/>
  <c r="Y46"/>
  <c r="Z46"/>
  <c r="Z159" i="1"/>
  <c r="AA159"/>
  <c r="AM159"/>
  <c r="AH159"/>
  <c r="AU161"/>
  <c r="AD161"/>
  <c r="AQ161"/>
  <c r="AQ36" i="24" l="1"/>
  <c r="AS36" s="1"/>
  <c r="AC36"/>
  <c r="AW36" s="1"/>
  <c r="AU36"/>
  <c r="W44" i="22"/>
  <c r="W22" i="33" s="1"/>
  <c r="W34" i="24"/>
  <c r="AP35"/>
  <c r="AT35"/>
  <c r="AC35"/>
  <c r="AW35" s="1"/>
  <c r="AR159" i="1"/>
  <c r="AS35" i="24"/>
  <c r="Y45" i="22"/>
  <c r="AT46"/>
  <c r="AP46"/>
  <c r="AS46" s="1"/>
  <c r="AC46"/>
  <c r="AW46" s="1"/>
  <c r="AQ159" i="1"/>
  <c r="AU159"/>
  <c r="AL159"/>
  <c r="AP159"/>
  <c r="AL158"/>
  <c r="AG158"/>
  <c r="AO158" s="1"/>
  <c r="AF158"/>
  <c r="BF158" s="1"/>
  <c r="AE158"/>
  <c r="AM158" s="1"/>
  <c r="AC158"/>
  <c r="AW158" s="1"/>
  <c r="AB158"/>
  <c r="AA158"/>
  <c r="Z158"/>
  <c r="V158"/>
  <c r="M158"/>
  <c r="L158"/>
  <c r="K158"/>
  <c r="J158"/>
  <c r="F158"/>
  <c r="Y44" i="22" l="1"/>
  <c r="Y22" i="33"/>
  <c r="AA22"/>
  <c r="AD158" i="1"/>
  <c r="N158"/>
  <c r="BB158" s="1"/>
  <c r="BA158" s="1"/>
  <c r="AZ158" s="1"/>
  <c r="AY158" s="1"/>
  <c r="W33" i="24"/>
  <c r="Y33" s="1"/>
  <c r="Y34"/>
  <c r="AN158" i="1"/>
  <c r="AV158" s="1"/>
  <c r="AU158"/>
  <c r="AQ158"/>
  <c r="AH158"/>
  <c r="AC22" i="33" l="1"/>
  <c r="AR158" i="1"/>
  <c r="AP158"/>
  <c r="AX158" s="1"/>
  <c r="AL157"/>
  <c r="AG157"/>
  <c r="AF157"/>
  <c r="BF157" s="1"/>
  <c r="AE157"/>
  <c r="AC157"/>
  <c r="AW157" s="1"/>
  <c r="AB157"/>
  <c r="AA157"/>
  <c r="Z157"/>
  <c r="V157"/>
  <c r="M157"/>
  <c r="L157"/>
  <c r="K157"/>
  <c r="J157"/>
  <c r="F157"/>
  <c r="AK156"/>
  <c r="AJ156"/>
  <c r="AI156"/>
  <c r="I34" i="24" l="1"/>
  <c r="I33" s="1"/>
  <c r="I45" i="22"/>
  <c r="I44" s="1"/>
  <c r="K34" i="24"/>
  <c r="K45" i="22"/>
  <c r="U45"/>
  <c r="U44" s="1"/>
  <c r="U34" i="24"/>
  <c r="U33" s="1"/>
  <c r="AD157" i="1"/>
  <c r="Z45" i="22"/>
  <c r="Z44" s="1"/>
  <c r="Z34" i="24"/>
  <c r="Z33" s="1"/>
  <c r="AK45" i="22"/>
  <c r="AK44" s="1"/>
  <c r="AK34" i="24"/>
  <c r="AK33" s="1"/>
  <c r="N157" i="1"/>
  <c r="J45" i="22"/>
  <c r="J34" i="24"/>
  <c r="L45" i="22"/>
  <c r="L34" i="24"/>
  <c r="AA34"/>
  <c r="AA33" s="1"/>
  <c r="AA45" i="22"/>
  <c r="AA44" s="1"/>
  <c r="AN157" i="1"/>
  <c r="AE45" i="22"/>
  <c r="BF45" s="1"/>
  <c r="AM157" i="1"/>
  <c r="AU157" s="1"/>
  <c r="AD45" i="22"/>
  <c r="AO157" i="1"/>
  <c r="AF45" i="22"/>
  <c r="AF156" i="1"/>
  <c r="BF156" s="1"/>
  <c r="AG156"/>
  <c r="AV157"/>
  <c r="AH157"/>
  <c r="AG34" i="24" s="1"/>
  <c r="AG33" s="1"/>
  <c r="AE156" i="1"/>
  <c r="AZ45" i="22" l="1"/>
  <c r="L44"/>
  <c r="AZ44" s="1"/>
  <c r="AX45"/>
  <c r="J44"/>
  <c r="AX44" s="1"/>
  <c r="K33" i="24"/>
  <c r="AY33" s="1"/>
  <c r="AY34"/>
  <c r="AZ34"/>
  <c r="L33"/>
  <c r="AZ33" s="1"/>
  <c r="AX34"/>
  <c r="J33"/>
  <c r="AX33" s="1"/>
  <c r="M34"/>
  <c r="M33" s="1"/>
  <c r="M45" i="22"/>
  <c r="M44" s="1"/>
  <c r="BB157" i="1"/>
  <c r="BA157" s="1"/>
  <c r="AZ157" s="1"/>
  <c r="AY157" s="1"/>
  <c r="AY45" i="22"/>
  <c r="K44"/>
  <c r="AY44" s="1"/>
  <c r="AP157" i="1"/>
  <c r="AX157" s="1"/>
  <c r="AN45" i="22"/>
  <c r="AN44" s="1"/>
  <c r="AN34" i="24"/>
  <c r="AN33" s="1"/>
  <c r="AL45" i="22"/>
  <c r="AP45" s="1"/>
  <c r="AL34" i="24"/>
  <c r="AM45" i="22"/>
  <c r="AM44" s="1"/>
  <c r="AM34" i="24"/>
  <c r="AF44" i="22"/>
  <c r="AF22" i="33" s="1"/>
  <c r="AN22" s="1"/>
  <c r="AF34" i="24"/>
  <c r="AF33" s="1"/>
  <c r="AD44" i="22"/>
  <c r="AD22" i="33" s="1"/>
  <c r="AD34" i="24"/>
  <c r="AD33" s="1"/>
  <c r="AE44" i="22"/>
  <c r="AE34" i="24"/>
  <c r="AE33" s="1"/>
  <c r="AM156" i="1"/>
  <c r="AQ157"/>
  <c r="AR157"/>
  <c r="AH156"/>
  <c r="AG45" i="22"/>
  <c r="AG44" s="1"/>
  <c r="AL156" i="1"/>
  <c r="Y156"/>
  <c r="X156"/>
  <c r="W156"/>
  <c r="V156"/>
  <c r="Q156"/>
  <c r="P156"/>
  <c r="O156"/>
  <c r="N156"/>
  <c r="BB156" s="1"/>
  <c r="M156"/>
  <c r="L156"/>
  <c r="K156"/>
  <c r="J156"/>
  <c r="I156"/>
  <c r="H156"/>
  <c r="G156"/>
  <c r="F156"/>
  <c r="E156"/>
  <c r="D156"/>
  <c r="C156"/>
  <c r="AP155"/>
  <c r="AC155"/>
  <c r="AW155" s="1"/>
  <c r="AB155"/>
  <c r="AV155" s="1"/>
  <c r="AA155"/>
  <c r="AU155" s="1"/>
  <c r="Z155"/>
  <c r="M155"/>
  <c r="L155"/>
  <c r="K155"/>
  <c r="J155"/>
  <c r="AE22" i="33" l="1"/>
  <c r="AM22" s="1"/>
  <c r="AU22" s="1"/>
  <c r="BF44" i="22"/>
  <c r="N155" i="1"/>
  <c r="AQ22" i="33"/>
  <c r="AL22"/>
  <c r="AR22"/>
  <c r="AV22"/>
  <c r="BA33" i="24"/>
  <c r="BA156" i="1"/>
  <c r="BA34" i="24"/>
  <c r="BB155" i="1"/>
  <c r="BA155" s="1"/>
  <c r="AZ155" s="1"/>
  <c r="AY155" s="1"/>
  <c r="BA45" i="22"/>
  <c r="AZ156" i="1"/>
  <c r="AY156" s="1"/>
  <c r="BA44" i="22"/>
  <c r="AO45"/>
  <c r="AQ45"/>
  <c r="AL44"/>
  <c r="AP44" s="1"/>
  <c r="AM33" i="24"/>
  <c r="AU34"/>
  <c r="AQ34"/>
  <c r="AO34"/>
  <c r="AL33"/>
  <c r="AT34"/>
  <c r="AP34"/>
  <c r="AU45" i="22"/>
  <c r="AT45"/>
  <c r="AQ44"/>
  <c r="AU44"/>
  <c r="AO44"/>
  <c r="AA156" i="1"/>
  <c r="AU156" s="1"/>
  <c r="AB156"/>
  <c r="AC156"/>
  <c r="AD155"/>
  <c r="AQ155"/>
  <c r="AX155"/>
  <c r="Z156"/>
  <c r="AK154"/>
  <c r="AJ42" i="22" s="1"/>
  <c r="AJ31" i="24" s="1"/>
  <c r="AJ154" i="1"/>
  <c r="AI42" i="22" s="1"/>
  <c r="AI31" i="24" s="1"/>
  <c r="AI154" i="1"/>
  <c r="AH42" i="22" s="1"/>
  <c r="AH31" i="24" s="1"/>
  <c r="AG22" i="33" l="1"/>
  <c r="AO22"/>
  <c r="AW22" s="1"/>
  <c r="AT22"/>
  <c r="AP22"/>
  <c r="AS22" s="1"/>
  <c r="AT44" i="22"/>
  <c r="AO33" i="24"/>
  <c r="AP33"/>
  <c r="AT33"/>
  <c r="AU33"/>
  <c r="AQ33"/>
  <c r="AK31"/>
  <c r="AK42" i="22"/>
  <c r="AQ156" i="1"/>
  <c r="AD156"/>
  <c r="AL154"/>
  <c r="AG154"/>
  <c r="AO154" l="1"/>
  <c r="AF42" i="22"/>
  <c r="AF154" i="1"/>
  <c r="BF154" s="1"/>
  <c r="AE154"/>
  <c r="AD42" i="22" s="1"/>
  <c r="AD31" i="24" s="1"/>
  <c r="Y154" i="1"/>
  <c r="X42" i="22" s="1"/>
  <c r="X154" i="1"/>
  <c r="W154"/>
  <c r="V42" i="22" s="1"/>
  <c r="V31" i="24" s="1"/>
  <c r="V154" i="1"/>
  <c r="M154"/>
  <c r="L154"/>
  <c r="K154"/>
  <c r="J154"/>
  <c r="F154"/>
  <c r="AO153"/>
  <c r="AN153"/>
  <c r="AM153"/>
  <c r="AL153"/>
  <c r="AH153"/>
  <c r="AC153"/>
  <c r="AW153" s="1"/>
  <c r="AB153"/>
  <c r="AV153" s="1"/>
  <c r="AA153"/>
  <c r="AU153" s="1"/>
  <c r="Z153"/>
  <c r="V153"/>
  <c r="M153"/>
  <c r="L153"/>
  <c r="K153"/>
  <c r="J153"/>
  <c r="F153"/>
  <c r="N154" l="1"/>
  <c r="BB154" s="1"/>
  <c r="BA154" s="1"/>
  <c r="AZ154" s="1"/>
  <c r="AY154" s="1"/>
  <c r="N153"/>
  <c r="BB153" s="1"/>
  <c r="BA153" s="1"/>
  <c r="AZ153" s="1"/>
  <c r="AY153" s="1"/>
  <c r="AP153"/>
  <c r="AL31" i="24"/>
  <c r="AN42" i="22"/>
  <c r="AF31" i="24"/>
  <c r="AN31" s="1"/>
  <c r="Z31"/>
  <c r="AB42" i="22"/>
  <c r="X31" i="24"/>
  <c r="AB31" s="1"/>
  <c r="Z42" i="22"/>
  <c r="AN154" i="1"/>
  <c r="AE42" i="22"/>
  <c r="BF42" s="1"/>
  <c r="AB154" i="1"/>
  <c r="AR154" s="1"/>
  <c r="W42" i="22"/>
  <c r="AL42"/>
  <c r="AQ153" i="1"/>
  <c r="AD153"/>
  <c r="AX153" s="1"/>
  <c r="AA154"/>
  <c r="AM154"/>
  <c r="AH154"/>
  <c r="AV154" l="1"/>
  <c r="AP154"/>
  <c r="AV42" i="22"/>
  <c r="AR42"/>
  <c r="AA42"/>
  <c r="W31" i="24"/>
  <c r="AM42" i="22"/>
  <c r="AO42" s="1"/>
  <c r="AE31" i="24"/>
  <c r="AR31"/>
  <c r="AV31"/>
  <c r="AT31"/>
  <c r="AP31"/>
  <c r="AG42" i="22"/>
  <c r="Y42"/>
  <c r="AQ42"/>
  <c r="AT42"/>
  <c r="AP42"/>
  <c r="Z154" i="1"/>
  <c r="AQ154"/>
  <c r="AU154"/>
  <c r="AK152"/>
  <c r="AJ41" i="22" s="1"/>
  <c r="AJ152" i="1"/>
  <c r="AI41" i="22" s="1"/>
  <c r="AI152" i="1"/>
  <c r="AH41" i="22" s="1"/>
  <c r="AG152" i="1"/>
  <c r="AF152"/>
  <c r="BF152" s="1"/>
  <c r="AE152"/>
  <c r="AU42" i="22" l="1"/>
  <c r="AI40"/>
  <c r="AI21" i="33" s="1"/>
  <c r="AI30" i="24"/>
  <c r="AI29" s="1"/>
  <c r="AH40" i="22"/>
  <c r="AH21" i="33" s="1"/>
  <c r="AH30" i="24"/>
  <c r="AH29" s="1"/>
  <c r="AJ40" i="22"/>
  <c r="AJ21" i="33" s="1"/>
  <c r="AJ30" i="24"/>
  <c r="AJ29" s="1"/>
  <c r="AM31"/>
  <c r="AO31" s="1"/>
  <c r="AG31"/>
  <c r="AA31"/>
  <c r="Y31"/>
  <c r="AC42" i="22"/>
  <c r="AW42" s="1"/>
  <c r="AS42"/>
  <c r="AM152" i="1"/>
  <c r="AN152"/>
  <c r="AL152"/>
  <c r="AH152"/>
  <c r="Y152"/>
  <c r="X41" i="22" s="1"/>
  <c r="W152" i="1"/>
  <c r="V41" i="22" s="1"/>
  <c r="V30" i="24" s="1"/>
  <c r="V152" i="1"/>
  <c r="M152"/>
  <c r="L152"/>
  <c r="K152"/>
  <c r="J152"/>
  <c r="F152"/>
  <c r="AK21" i="33" l="1"/>
  <c r="N152" i="1"/>
  <c r="BB152" s="1"/>
  <c r="BA152" s="1"/>
  <c r="AZ152" s="1"/>
  <c r="AY152" s="1"/>
  <c r="V29" i="24"/>
  <c r="AU31"/>
  <c r="AQ31"/>
  <c r="AS31" s="1"/>
  <c r="AC31"/>
  <c r="AW31" s="1"/>
  <c r="X40" i="22"/>
  <c r="X21" i="33" s="1"/>
  <c r="AB21" s="1"/>
  <c r="X30" i="24"/>
  <c r="X29" s="1"/>
  <c r="V40" i="22"/>
  <c r="V21" i="33" s="1"/>
  <c r="Z21" s="1"/>
  <c r="AA152" i="1"/>
  <c r="AL151"/>
  <c r="AG151"/>
  <c r="AO151" s="1"/>
  <c r="AF151"/>
  <c r="BF151" s="1"/>
  <c r="AE151"/>
  <c r="AM151" s="1"/>
  <c r="AC151"/>
  <c r="AW151" s="1"/>
  <c r="AB151"/>
  <c r="AA151"/>
  <c r="Z151"/>
  <c r="V151"/>
  <c r="M151"/>
  <c r="L151"/>
  <c r="K151"/>
  <c r="J151"/>
  <c r="F151"/>
  <c r="AD151" l="1"/>
  <c r="N151"/>
  <c r="BB151" s="1"/>
  <c r="BA151" s="1"/>
  <c r="AZ151" s="1"/>
  <c r="AY151" s="1"/>
  <c r="AN151"/>
  <c r="AP151" s="1"/>
  <c r="AX151" s="1"/>
  <c r="AU151"/>
  <c r="AQ151"/>
  <c r="AQ152"/>
  <c r="AU152"/>
  <c r="AH151"/>
  <c r="AL150"/>
  <c r="AG150"/>
  <c r="AF150"/>
  <c r="BF150" s="1"/>
  <c r="AE150"/>
  <c r="AC150"/>
  <c r="AW150" s="1"/>
  <c r="AB150"/>
  <c r="AA150"/>
  <c r="AD150" s="1"/>
  <c r="Z150"/>
  <c r="V150"/>
  <c r="M150"/>
  <c r="L150"/>
  <c r="K150"/>
  <c r="J150"/>
  <c r="F150"/>
  <c r="N150" l="1"/>
  <c r="M30" i="24" s="1"/>
  <c r="M29" s="1"/>
  <c r="I30"/>
  <c r="I29" s="1"/>
  <c r="I41" i="22"/>
  <c r="I40" s="1"/>
  <c r="J30" i="24"/>
  <c r="J41" i="22"/>
  <c r="L30" i="24"/>
  <c r="L41" i="22"/>
  <c r="BA150" i="1"/>
  <c r="AZ150" s="1"/>
  <c r="AY150" s="1"/>
  <c r="Z30" i="24"/>
  <c r="K30"/>
  <c r="K41" i="22"/>
  <c r="U30" i="24"/>
  <c r="U29" s="1"/>
  <c r="U41" i="22"/>
  <c r="U40" s="1"/>
  <c r="AK41"/>
  <c r="AK40" s="1"/>
  <c r="AK30" i="24"/>
  <c r="AK29" s="1"/>
  <c r="Z41" i="22"/>
  <c r="Z40" s="1"/>
  <c r="Z29" i="24"/>
  <c r="AM150" i="1"/>
  <c r="AD41" i="22"/>
  <c r="AO150" i="1"/>
  <c r="AF41" i="22"/>
  <c r="AN150" i="1"/>
  <c r="AR150" s="1"/>
  <c r="AE41" i="22"/>
  <c r="BF41" s="1"/>
  <c r="AV151" i="1"/>
  <c r="AR151"/>
  <c r="AQ150"/>
  <c r="AH150"/>
  <c r="AG30" i="24" s="1"/>
  <c r="AG29" s="1"/>
  <c r="AN149" i="1"/>
  <c r="AL149"/>
  <c r="AK149"/>
  <c r="AJ149"/>
  <c r="AI149"/>
  <c r="AG149"/>
  <c r="AF149"/>
  <c r="BF149" s="1"/>
  <c r="AE149"/>
  <c r="BB150" l="1"/>
  <c r="M41" i="22"/>
  <c r="M40" s="1"/>
  <c r="AP150" i="1"/>
  <c r="AX150" s="1"/>
  <c r="AY41" i="22"/>
  <c r="K40"/>
  <c r="AY40" s="1"/>
  <c r="AZ41"/>
  <c r="L40"/>
  <c r="AZ40" s="1"/>
  <c r="AX41"/>
  <c r="BA41" s="1"/>
  <c r="J40"/>
  <c r="AX40" s="1"/>
  <c r="BA40" s="1"/>
  <c r="K29" i="24"/>
  <c r="AY29" s="1"/>
  <c r="AY30"/>
  <c r="L29"/>
  <c r="AZ29" s="1"/>
  <c r="AZ30"/>
  <c r="J29"/>
  <c r="AX29" s="1"/>
  <c r="BA29" s="1"/>
  <c r="AX30"/>
  <c r="AM41" i="22"/>
  <c r="AM40" s="1"/>
  <c r="AM30" i="24"/>
  <c r="AM29" s="1"/>
  <c r="AL41" i="22"/>
  <c r="AT41" s="1"/>
  <c r="AL30" i="24"/>
  <c r="AE40" i="22"/>
  <c r="AE30" i="24"/>
  <c r="AE29" s="1"/>
  <c r="AF40" i="22"/>
  <c r="AF21" i="33" s="1"/>
  <c r="AN21" s="1"/>
  <c r="AF30" i="24"/>
  <c r="AF29" s="1"/>
  <c r="AD40" i="22"/>
  <c r="AD21" i="33" s="1"/>
  <c r="AD30" i="24"/>
  <c r="AD29" s="1"/>
  <c r="AM149" i="1"/>
  <c r="AV150"/>
  <c r="AU150"/>
  <c r="AH149"/>
  <c r="AG41" i="22"/>
  <c r="AG40" s="1"/>
  <c r="Y149" i="1"/>
  <c r="W149"/>
  <c r="V149"/>
  <c r="Q149"/>
  <c r="P149"/>
  <c r="O149"/>
  <c r="N149"/>
  <c r="BB149" s="1"/>
  <c r="M149"/>
  <c r="L149"/>
  <c r="K149"/>
  <c r="J149"/>
  <c r="I149"/>
  <c r="H149"/>
  <c r="G149"/>
  <c r="F149"/>
  <c r="E149"/>
  <c r="D149"/>
  <c r="C149"/>
  <c r="AP148"/>
  <c r="AC148"/>
  <c r="AW148" s="1"/>
  <c r="AB148"/>
  <c r="AV148" s="1"/>
  <c r="AA148"/>
  <c r="AQ148" s="1"/>
  <c r="Z148"/>
  <c r="M148"/>
  <c r="L148"/>
  <c r="K148"/>
  <c r="J148"/>
  <c r="AE21" i="33" l="1"/>
  <c r="AM21" s="1"/>
  <c r="BF40" i="22"/>
  <c r="AG21" i="33"/>
  <c r="AL21"/>
  <c r="AV21"/>
  <c r="AR21"/>
  <c r="N148" i="1"/>
  <c r="BB148" s="1"/>
  <c r="BA148" s="1"/>
  <c r="AZ148" s="1"/>
  <c r="AY148" s="1"/>
  <c r="BA149"/>
  <c r="AZ149"/>
  <c r="AY149" s="1"/>
  <c r="BA30" i="24"/>
  <c r="AP41" i="22"/>
  <c r="AL40"/>
  <c r="AT40" s="1"/>
  <c r="AL29" i="24"/>
  <c r="AT30"/>
  <c r="AP30"/>
  <c r="AP40" i="22"/>
  <c r="AA149" i="1"/>
  <c r="AQ149" s="1"/>
  <c r="AC149"/>
  <c r="AU148"/>
  <c r="AD148"/>
  <c r="AX148" s="1"/>
  <c r="AU149" l="1"/>
  <c r="AO21" i="33"/>
  <c r="AT21"/>
  <c r="AP21"/>
  <c r="AT29" i="24"/>
  <c r="AP29"/>
  <c r="AK147" i="1"/>
  <c r="AJ82" i="22" s="1"/>
  <c r="AJ34" i="25" s="1"/>
  <c r="AJ147" i="1"/>
  <c r="AI82" i="22" s="1"/>
  <c r="AI34" i="25" s="1"/>
  <c r="AG147" i="1"/>
  <c r="AF147"/>
  <c r="AE147"/>
  <c r="AD82" i="22" s="1"/>
  <c r="AD34" i="25" s="1"/>
  <c r="Y147" i="1"/>
  <c r="X147"/>
  <c r="W82" i="22" s="1"/>
  <c r="W147" i="1"/>
  <c r="V82" i="22" s="1"/>
  <c r="V34" i="25" s="1"/>
  <c r="V147" i="1"/>
  <c r="M147"/>
  <c r="L147"/>
  <c r="K147"/>
  <c r="J147"/>
  <c r="F147"/>
  <c r="AE82" i="22" l="1"/>
  <c r="AM82" s="1"/>
  <c r="BF147" i="1"/>
  <c r="N147"/>
  <c r="BB147" s="1"/>
  <c r="BA147" s="1"/>
  <c r="AZ147" s="1"/>
  <c r="AY147" s="1"/>
  <c r="AA82" i="22"/>
  <c r="W34" i="25"/>
  <c r="AA34" s="1"/>
  <c r="Z34"/>
  <c r="Z82" i="22"/>
  <c r="AC147" i="1"/>
  <c r="AW147" s="1"/>
  <c r="X82" i="22"/>
  <c r="Y82" s="1"/>
  <c r="AO147" i="1"/>
  <c r="AF82" i="22"/>
  <c r="AN147" i="1"/>
  <c r="Z147"/>
  <c r="AB147"/>
  <c r="AA147"/>
  <c r="AH147"/>
  <c r="AE34" i="25" l="1"/>
  <c r="AM34" s="1"/>
  <c r="AQ34" s="1"/>
  <c r="BF82" i="22"/>
  <c r="AU82"/>
  <c r="AQ82"/>
  <c r="AG82"/>
  <c r="AF34" i="25"/>
  <c r="AB82" i="22"/>
  <c r="AC82" s="1"/>
  <c r="X34" i="25"/>
  <c r="Y34" s="1"/>
  <c r="AU34"/>
  <c r="AN82" i="22"/>
  <c r="AV147" i="1"/>
  <c r="AR147"/>
  <c r="AD147"/>
  <c r="AN34" i="25" l="1"/>
  <c r="AG34"/>
  <c r="AR82" i="22"/>
  <c r="AV82"/>
  <c r="AB34" i="25"/>
  <c r="AC34" s="1"/>
  <c r="AK146" i="1"/>
  <c r="AJ81" i="22" s="1"/>
  <c r="AJ33" i="25" s="1"/>
  <c r="AV34" l="1"/>
  <c r="AR34"/>
  <c r="AJ146" i="1"/>
  <c r="AI81" i="22" s="1"/>
  <c r="AI33" i="25" s="1"/>
  <c r="AI146" i="1"/>
  <c r="AH81" i="22" s="1"/>
  <c r="AH33" i="25" s="1"/>
  <c r="AG146" i="1"/>
  <c r="AF81" i="22" s="1"/>
  <c r="AF146" i="1"/>
  <c r="AE146"/>
  <c r="AD81" i="22" s="1"/>
  <c r="AD33" i="25" s="1"/>
  <c r="Y146" i="1"/>
  <c r="X81" i="22" s="1"/>
  <c r="X146" i="1"/>
  <c r="W146"/>
  <c r="V81" i="22" s="1"/>
  <c r="V33" i="25" s="1"/>
  <c r="Z33" s="1"/>
  <c r="V146" i="1"/>
  <c r="M146"/>
  <c r="L146"/>
  <c r="K146"/>
  <c r="J146"/>
  <c r="F146"/>
  <c r="AE81" i="22" l="1"/>
  <c r="BF81" s="1"/>
  <c r="BF146" i="1"/>
  <c r="AK33" i="25"/>
  <c r="N146" i="1"/>
  <c r="BB146" s="1"/>
  <c r="BA146" s="1"/>
  <c r="AZ146" s="1"/>
  <c r="AY146" s="1"/>
  <c r="AB81" i="22"/>
  <c r="X33" i="25"/>
  <c r="AB33" s="1"/>
  <c r="AG81" i="22"/>
  <c r="AN81"/>
  <c r="AF33" i="25"/>
  <c r="AN33" s="1"/>
  <c r="AL33"/>
  <c r="AL81" i="22"/>
  <c r="AK81"/>
  <c r="Z81"/>
  <c r="AB146" i="1"/>
  <c r="W81" i="22"/>
  <c r="AM81"/>
  <c r="Z146" i="1"/>
  <c r="AN146"/>
  <c r="AV146" s="1"/>
  <c r="AH146"/>
  <c r="AA146"/>
  <c r="AM146"/>
  <c r="AL146"/>
  <c r="AE33" i="25" l="1"/>
  <c r="AM33" s="1"/>
  <c r="AO33" s="1"/>
  <c r="AG33"/>
  <c r="AV81" i="22"/>
  <c r="AR81"/>
  <c r="AA81"/>
  <c r="AQ81" s="1"/>
  <c r="W33" i="25"/>
  <c r="Y33" s="1"/>
  <c r="AV33"/>
  <c r="AR33"/>
  <c r="AP33"/>
  <c r="AT33"/>
  <c r="Y81" i="22"/>
  <c r="AO81"/>
  <c r="AU81"/>
  <c r="AT81"/>
  <c r="AP81"/>
  <c r="AR146" i="1"/>
  <c r="AU146"/>
  <c r="AQ146"/>
  <c r="AC81" i="22" l="1"/>
  <c r="AW81" s="1"/>
  <c r="AA33" i="25"/>
  <c r="AC33" s="1"/>
  <c r="AS81" i="22"/>
  <c r="AK145" i="1"/>
  <c r="AJ80" i="22" s="1"/>
  <c r="AJ32" i="25" s="1"/>
  <c r="AJ145" i="1"/>
  <c r="AI80" i="22" s="1"/>
  <c r="AI32" i="25" s="1"/>
  <c r="AI145" i="1"/>
  <c r="AH80" i="22" s="1"/>
  <c r="AH32" i="25" s="1"/>
  <c r="AG145" i="1"/>
  <c r="AF80" i="22" s="1"/>
  <c r="AF32" i="25" s="1"/>
  <c r="AK32" l="1"/>
  <c r="AU33"/>
  <c r="AQ33"/>
  <c r="AS33" s="1"/>
  <c r="AW33"/>
  <c r="AN32"/>
  <c r="AK80" i="22"/>
  <c r="AN80"/>
  <c r="AO145" i="1"/>
  <c r="AL145"/>
  <c r="AF145"/>
  <c r="BF145" s="1"/>
  <c r="AE145"/>
  <c r="AD80" i="22" s="1"/>
  <c r="Y145" i="1"/>
  <c r="X80" i="22" s="1"/>
  <c r="X145" i="1"/>
  <c r="W145"/>
  <c r="V80" i="22" s="1"/>
  <c r="V32" i="25" s="1"/>
  <c r="Z32" s="1"/>
  <c r="V145" i="1"/>
  <c r="M145"/>
  <c r="L145"/>
  <c r="K145"/>
  <c r="J145"/>
  <c r="F145"/>
  <c r="N145" l="1"/>
  <c r="BB145" s="1"/>
  <c r="BA145" s="1"/>
  <c r="AZ145" s="1"/>
  <c r="AY145" s="1"/>
  <c r="AB80" i="22"/>
  <c r="AR80" s="1"/>
  <c r="X32" i="25"/>
  <c r="AB32" s="1"/>
  <c r="AL80" i="22"/>
  <c r="AD32" i="25"/>
  <c r="AV80" i="22"/>
  <c r="AN145" i="1"/>
  <c r="AE80" i="22"/>
  <c r="Z80"/>
  <c r="AB145" i="1"/>
  <c r="W80" i="22"/>
  <c r="Z145" i="1"/>
  <c r="AA145"/>
  <c r="AH145"/>
  <c r="AM145"/>
  <c r="AK144"/>
  <c r="AJ79" i="22" s="1"/>
  <c r="AJ31" i="25" s="1"/>
  <c r="AJ144" i="1"/>
  <c r="AI79" i="22" s="1"/>
  <c r="AI31" i="25" s="1"/>
  <c r="AI144" i="1"/>
  <c r="AH79" i="22" s="1"/>
  <c r="AH31" i="25" s="1"/>
  <c r="AG144" i="1"/>
  <c r="AF79" i="22" s="1"/>
  <c r="AF31" i="25" s="1"/>
  <c r="AF144" i="1"/>
  <c r="AE144"/>
  <c r="AD79" i="22" s="1"/>
  <c r="AD31" i="25" s="1"/>
  <c r="AE79" i="22" l="1"/>
  <c r="BF79" s="1"/>
  <c r="BF144" i="1"/>
  <c r="AE32" i="25"/>
  <c r="AM32" s="1"/>
  <c r="BF80" i="22"/>
  <c r="AK31" i="25"/>
  <c r="AL32"/>
  <c r="AG32"/>
  <c r="AV145" i="1"/>
  <c r="AP145"/>
  <c r="AR145"/>
  <c r="AG79" i="22"/>
  <c r="AV32" i="25"/>
  <c r="AR32"/>
  <c r="AA80" i="22"/>
  <c r="AC80" s="1"/>
  <c r="W32" i="25"/>
  <c r="Y32" s="1"/>
  <c r="AP32"/>
  <c r="AT32"/>
  <c r="AL31"/>
  <c r="AN31"/>
  <c r="AT80" i="22"/>
  <c r="AP80"/>
  <c r="AG80"/>
  <c r="AM80"/>
  <c r="AO80" s="1"/>
  <c r="AM79"/>
  <c r="AL79"/>
  <c r="AK79"/>
  <c r="AN79"/>
  <c r="Y80"/>
  <c r="AO144" i="1"/>
  <c r="AN144"/>
  <c r="AL144"/>
  <c r="AH144"/>
  <c r="AU145"/>
  <c r="AQ145"/>
  <c r="AM144"/>
  <c r="Y144"/>
  <c r="X144"/>
  <c r="W144"/>
  <c r="V79" i="22" s="1"/>
  <c r="V31" i="25" s="1"/>
  <c r="Z31" s="1"/>
  <c r="V144" i="1"/>
  <c r="M144"/>
  <c r="L144"/>
  <c r="K144"/>
  <c r="J144"/>
  <c r="I34" i="25" s="1"/>
  <c r="F144" i="1"/>
  <c r="AE31" i="25" l="1"/>
  <c r="AM31" s="1"/>
  <c r="AO32"/>
  <c r="AO31"/>
  <c r="N144" i="1"/>
  <c r="AT31" i="25"/>
  <c r="AP31"/>
  <c r="AA32"/>
  <c r="AC32" s="1"/>
  <c r="AB144" i="1"/>
  <c r="W79" i="22"/>
  <c r="AO79"/>
  <c r="AW80"/>
  <c r="AU80"/>
  <c r="Z79"/>
  <c r="AC144" i="1"/>
  <c r="AW144" s="1"/>
  <c r="X79" i="22"/>
  <c r="AQ80"/>
  <c r="AS80" s="1"/>
  <c r="Z144" i="1"/>
  <c r="AP144"/>
  <c r="AA144"/>
  <c r="AV144"/>
  <c r="AG31" i="25" l="1"/>
  <c r="BB144" i="1"/>
  <c r="BA144" s="1"/>
  <c r="AZ144" s="1"/>
  <c r="AY144" s="1"/>
  <c r="AB79" i="22"/>
  <c r="AR79" s="1"/>
  <c r="X31" i="25"/>
  <c r="AB31" s="1"/>
  <c r="AA79" i="22"/>
  <c r="AU79" s="1"/>
  <c r="W31" i="25"/>
  <c r="Y31" s="1"/>
  <c r="AU32"/>
  <c r="AQ32"/>
  <c r="AS32" s="1"/>
  <c r="AW32"/>
  <c r="AT79" i="22"/>
  <c r="AP79"/>
  <c r="Y79"/>
  <c r="AU144" i="1"/>
  <c r="AQ144"/>
  <c r="AD144"/>
  <c r="AX144" s="1"/>
  <c r="AK143"/>
  <c r="AJ78" i="22" s="1"/>
  <c r="AJ30" i="25" s="1"/>
  <c r="AC79" i="22" l="1"/>
  <c r="AW79" s="1"/>
  <c r="AQ79"/>
  <c r="AV79"/>
  <c r="AA31" i="25"/>
  <c r="AC31" s="1"/>
  <c r="AV31"/>
  <c r="AR31"/>
  <c r="AS79" i="22"/>
  <c r="AJ143" i="1"/>
  <c r="AI78" i="22" s="1"/>
  <c r="AI30" i="25" s="1"/>
  <c r="AI143" i="1"/>
  <c r="AH78" i="22" s="1"/>
  <c r="AH30" i="25" s="1"/>
  <c r="AG143" i="1"/>
  <c r="AF143"/>
  <c r="AE143"/>
  <c r="AD78" i="22" s="1"/>
  <c r="AD30" i="25" s="1"/>
  <c r="Y143" i="1"/>
  <c r="X78" i="22" s="1"/>
  <c r="X143" i="1"/>
  <c r="W143"/>
  <c r="V78" i="22" s="1"/>
  <c r="V30" i="25" s="1"/>
  <c r="V143" i="1"/>
  <c r="M143"/>
  <c r="L143"/>
  <c r="K143"/>
  <c r="J143"/>
  <c r="I33" i="25" s="1"/>
  <c r="F143" i="1"/>
  <c r="AO142"/>
  <c r="AN142"/>
  <c r="AM142"/>
  <c r="AL142"/>
  <c r="AH142"/>
  <c r="AC142"/>
  <c r="AW142" s="1"/>
  <c r="AB142"/>
  <c r="AV142" s="1"/>
  <c r="AA142"/>
  <c r="Z142"/>
  <c r="V142"/>
  <c r="M142"/>
  <c r="L142"/>
  <c r="K142"/>
  <c r="J142"/>
  <c r="I32" i="25" s="1"/>
  <c r="F142" i="1"/>
  <c r="AE78" i="22" l="1"/>
  <c r="BF143" i="1"/>
  <c r="AQ142"/>
  <c r="N143"/>
  <c r="AK30" i="25"/>
  <c r="N142" i="1"/>
  <c r="BB143"/>
  <c r="BA143" s="1"/>
  <c r="AZ143" s="1"/>
  <c r="AY143" s="1"/>
  <c r="Z30" i="25"/>
  <c r="AB78" i="22"/>
  <c r="X30" i="25"/>
  <c r="AB30" s="1"/>
  <c r="AU31"/>
  <c r="AQ31"/>
  <c r="AS31" s="1"/>
  <c r="AW31"/>
  <c r="AL30"/>
  <c r="AB143" i="1"/>
  <c r="W78" i="22"/>
  <c r="Y78" s="1"/>
  <c r="AO143" i="1"/>
  <c r="AF78" i="22"/>
  <c r="AM78"/>
  <c r="Z78"/>
  <c r="AL78"/>
  <c r="AK78"/>
  <c r="AP142" i="1"/>
  <c r="AD142"/>
  <c r="AU142"/>
  <c r="AX142"/>
  <c r="AN143"/>
  <c r="AV143" s="1"/>
  <c r="AL143"/>
  <c r="AA143"/>
  <c r="AM143"/>
  <c r="Z143"/>
  <c r="AH143"/>
  <c r="AG78" i="22" l="1"/>
  <c r="AE30" i="25"/>
  <c r="AM30" s="1"/>
  <c r="BF78" i="22"/>
  <c r="BB142" i="1"/>
  <c r="BA142" s="1"/>
  <c r="AZ142" s="1"/>
  <c r="AY142" s="1"/>
  <c r="AN78" i="22"/>
  <c r="AV78" s="1"/>
  <c r="AF30" i="25"/>
  <c r="AA78" i="22"/>
  <c r="AC78" s="1"/>
  <c r="W30" i="25"/>
  <c r="Y30" s="1"/>
  <c r="AT30"/>
  <c r="AP30"/>
  <c r="AO78" i="22"/>
  <c r="AT78"/>
  <c r="AP78"/>
  <c r="AR143" i="1"/>
  <c r="AP143"/>
  <c r="AU143"/>
  <c r="AQ143"/>
  <c r="AK141"/>
  <c r="AJ77" i="22" s="1"/>
  <c r="AN30" i="25" l="1"/>
  <c r="AG30"/>
  <c r="AQ78" i="22"/>
  <c r="AU78"/>
  <c r="AR78"/>
  <c r="AS78" s="1"/>
  <c r="AW78"/>
  <c r="AR30" i="25"/>
  <c r="AA30"/>
  <c r="AC30" s="1"/>
  <c r="AJ76" i="22"/>
  <c r="AJ29" i="33" s="1"/>
  <c r="AJ29" i="25"/>
  <c r="AJ28" s="1"/>
  <c r="AJ141" i="1"/>
  <c r="AI77" i="22" s="1"/>
  <c r="AI141" i="1"/>
  <c r="AH77" i="22" s="1"/>
  <c r="AH29" i="25" s="1"/>
  <c r="AG141" i="1"/>
  <c r="AO141" s="1"/>
  <c r="AF141"/>
  <c r="BF141" s="1"/>
  <c r="AE141"/>
  <c r="AV30" i="25" l="1"/>
  <c r="AO30"/>
  <c r="AI76" i="22"/>
  <c r="AI29" i="33" s="1"/>
  <c r="AI29" i="25"/>
  <c r="AU30"/>
  <c r="AQ30"/>
  <c r="AS30" s="1"/>
  <c r="AW30"/>
  <c r="AM141" i="1"/>
  <c r="AN141"/>
  <c r="AL141"/>
  <c r="AH141"/>
  <c r="Y141"/>
  <c r="X77" i="22" s="1"/>
  <c r="X141" i="1"/>
  <c r="W141"/>
  <c r="V77" i="22" s="1"/>
  <c r="V29" i="25" s="1"/>
  <c r="V141" i="1"/>
  <c r="M141"/>
  <c r="L141"/>
  <c r="K141"/>
  <c r="J141"/>
  <c r="I31" i="25" s="1"/>
  <c r="F141" i="1"/>
  <c r="AI28" i="25" l="1"/>
  <c r="AK29"/>
  <c r="N141" i="1"/>
  <c r="V28" i="25"/>
  <c r="Z29"/>
  <c r="X76" i="22"/>
  <c r="X29" i="33" s="1"/>
  <c r="AB29" s="1"/>
  <c r="X29" i="25"/>
  <c r="AB141" i="1"/>
  <c r="W77" i="22"/>
  <c r="Y77" s="1"/>
  <c r="V76"/>
  <c r="V29" i="33" s="1"/>
  <c r="AA141" i="1"/>
  <c r="AL140"/>
  <c r="AG140"/>
  <c r="AO140" s="1"/>
  <c r="AF140"/>
  <c r="AE140"/>
  <c r="AM140" s="1"/>
  <c r="AC140"/>
  <c r="AW140" s="1"/>
  <c r="AB140"/>
  <c r="AA140"/>
  <c r="Z140"/>
  <c r="V140"/>
  <c r="M140"/>
  <c r="L140"/>
  <c r="K140"/>
  <c r="J140"/>
  <c r="I30" i="25" s="1"/>
  <c r="F140" i="1"/>
  <c r="AN140" l="1"/>
  <c r="AV140" s="1"/>
  <c r="BF140"/>
  <c r="Z29" i="33"/>
  <c r="AD140" i="1"/>
  <c r="BB141"/>
  <c r="BA141" s="1"/>
  <c r="AZ141" s="1"/>
  <c r="AY141" s="1"/>
  <c r="N140"/>
  <c r="AV141"/>
  <c r="X28" i="25"/>
  <c r="AB29"/>
  <c r="W76" i="22"/>
  <c r="W29" i="33" s="1"/>
  <c r="AA29" s="1"/>
  <c r="W29" i="25"/>
  <c r="Y29" s="1"/>
  <c r="Z28"/>
  <c r="AR141" i="1"/>
  <c r="Y76" i="22"/>
  <c r="AU140" i="1"/>
  <c r="AQ140"/>
  <c r="AP140"/>
  <c r="AX140" s="1"/>
  <c r="AR140"/>
  <c r="Z141"/>
  <c r="AU141"/>
  <c r="AQ141"/>
  <c r="AP141" s="1"/>
  <c r="AH140"/>
  <c r="AL139"/>
  <c r="AG139"/>
  <c r="AF139"/>
  <c r="BF139" s="1"/>
  <c r="AE139"/>
  <c r="AC139"/>
  <c r="AW139" s="1"/>
  <c r="AB139"/>
  <c r="AA77" i="22" s="1"/>
  <c r="AA76" s="1"/>
  <c r="AA139" i="1"/>
  <c r="Z77" i="22" s="1"/>
  <c r="Z76" s="1"/>
  <c r="Z139" i="1"/>
  <c r="V139"/>
  <c r="M139"/>
  <c r="L139"/>
  <c r="K77" i="22" s="1"/>
  <c r="K139" i="1"/>
  <c r="J77" i="22" s="1"/>
  <c r="J139" i="1"/>
  <c r="F139"/>
  <c r="AC29" i="33" l="1"/>
  <c r="Y29"/>
  <c r="BB140" i="1"/>
  <c r="BA140" s="1"/>
  <c r="AZ140" s="1"/>
  <c r="AY140" s="1"/>
  <c r="I29" i="25"/>
  <c r="I28" s="1"/>
  <c r="I77" i="22"/>
  <c r="I76" s="1"/>
  <c r="AY77"/>
  <c r="K76"/>
  <c r="AY76" s="1"/>
  <c r="K29" i="25"/>
  <c r="U77" i="22"/>
  <c r="U76" s="1"/>
  <c r="N139" i="1"/>
  <c r="AX77" i="22"/>
  <c r="J76"/>
  <c r="AX76" s="1"/>
  <c r="J29" i="25"/>
  <c r="L77" i="22"/>
  <c r="BA139" i="1"/>
  <c r="AZ139" s="1"/>
  <c r="AY139" s="1"/>
  <c r="AK77" i="22"/>
  <c r="AD139" i="1"/>
  <c r="W28" i="25"/>
  <c r="Y28" s="1"/>
  <c r="AA29"/>
  <c r="AC29" s="1"/>
  <c r="AB28"/>
  <c r="AN139" i="1"/>
  <c r="AM77" i="22" s="1"/>
  <c r="AE77"/>
  <c r="BF77" s="1"/>
  <c r="AM139" i="1"/>
  <c r="AL77" i="22" s="1"/>
  <c r="AD77"/>
  <c r="AO139" i="1"/>
  <c r="AN77" i="22" s="1"/>
  <c r="AN76" s="1"/>
  <c r="AF77"/>
  <c r="AU139" i="1"/>
  <c r="AH139"/>
  <c r="AK138"/>
  <c r="AJ138"/>
  <c r="AG138"/>
  <c r="AX29" i="25" l="1"/>
  <c r="J28"/>
  <c r="AY29"/>
  <c r="K28"/>
  <c r="AZ77" i="22"/>
  <c r="BA77" s="1"/>
  <c r="L29" i="25"/>
  <c r="M29" s="1"/>
  <c r="L76" i="22"/>
  <c r="AZ76" s="1"/>
  <c r="BA76" s="1"/>
  <c r="M77"/>
  <c r="M76" s="1"/>
  <c r="BB139" i="1"/>
  <c r="AN138"/>
  <c r="AR139"/>
  <c r="AP139"/>
  <c r="AX139" s="1"/>
  <c r="AA28" i="25"/>
  <c r="AC28" s="1"/>
  <c r="AG77" i="22"/>
  <c r="AG76" s="1"/>
  <c r="AF76"/>
  <c r="AF29" i="33" s="1"/>
  <c r="AN29" s="1"/>
  <c r="AF29" i="25"/>
  <c r="AD76" i="22"/>
  <c r="AD29" i="33" s="1"/>
  <c r="AD29" i="25"/>
  <c r="AE76" i="22"/>
  <c r="AE29" i="25"/>
  <c r="AV139" i="1"/>
  <c r="AQ139"/>
  <c r="AM76" i="22"/>
  <c r="AQ77"/>
  <c r="AU77"/>
  <c r="AO77"/>
  <c r="AP77"/>
  <c r="AT77"/>
  <c r="AF138" i="1"/>
  <c r="BF138" s="1"/>
  <c r="AE138"/>
  <c r="Y138"/>
  <c r="X138"/>
  <c r="W138"/>
  <c r="V138"/>
  <c r="Q138"/>
  <c r="P138"/>
  <c r="O138"/>
  <c r="N138"/>
  <c r="BB138" s="1"/>
  <c r="M138"/>
  <c r="L138"/>
  <c r="K138"/>
  <c r="J138"/>
  <c r="I138"/>
  <c r="H138"/>
  <c r="G138"/>
  <c r="F138"/>
  <c r="E138"/>
  <c r="D138"/>
  <c r="C138"/>
  <c r="AP137"/>
  <c r="AC137"/>
  <c r="AW137" s="1"/>
  <c r="AB137"/>
  <c r="AV137" s="1"/>
  <c r="AA137"/>
  <c r="AQ137" s="1"/>
  <c r="Z137"/>
  <c r="M137"/>
  <c r="L137"/>
  <c r="K137"/>
  <c r="J137"/>
  <c r="AK136"/>
  <c r="AJ74" i="22" s="1"/>
  <c r="AJ26" i="25" s="1"/>
  <c r="AJ136" i="1"/>
  <c r="AI74" i="22" s="1"/>
  <c r="AI26" i="25" s="1"/>
  <c r="AI136" i="1"/>
  <c r="AH74" i="22" s="1"/>
  <c r="AH26" i="25" s="1"/>
  <c r="AG136" i="1"/>
  <c r="AF74" i="22" s="1"/>
  <c r="AF26" i="25" s="1"/>
  <c r="AF136" i="1"/>
  <c r="AE136"/>
  <c r="AD74" i="22" s="1"/>
  <c r="Y136" i="1"/>
  <c r="X74" i="22" s="1"/>
  <c r="X136" i="1"/>
  <c r="W136"/>
  <c r="V74" i="22" s="1"/>
  <c r="V26" i="25" s="1"/>
  <c r="Z26" s="1"/>
  <c r="V136" i="1"/>
  <c r="M136"/>
  <c r="L136"/>
  <c r="K136"/>
  <c r="J136"/>
  <c r="I26" i="25" s="1"/>
  <c r="F136" i="1"/>
  <c r="AK135"/>
  <c r="AJ73" i="22" s="1"/>
  <c r="AJ25" i="25" s="1"/>
  <c r="AJ135" i="1"/>
  <c r="AI73" i="22" s="1"/>
  <c r="AI25" i="25" s="1"/>
  <c r="AI135" i="1"/>
  <c r="AH73" i="22" s="1"/>
  <c r="AH25" i="25" s="1"/>
  <c r="AG135" i="1"/>
  <c r="AF73" i="22" s="1"/>
  <c r="AF25" i="25" s="1"/>
  <c r="AF135" i="1"/>
  <c r="AE135"/>
  <c r="AD73" i="22" s="1"/>
  <c r="AD25" i="25" s="1"/>
  <c r="Y135" i="1"/>
  <c r="X73" i="22" s="1"/>
  <c r="X135" i="1"/>
  <c r="W135"/>
  <c r="V73" i="22" s="1"/>
  <c r="V25" i="25" s="1"/>
  <c r="Z25" s="1"/>
  <c r="V135" i="1"/>
  <c r="M135"/>
  <c r="L135"/>
  <c r="K135"/>
  <c r="J135"/>
  <c r="I25" i="25" s="1"/>
  <c r="F135" i="1"/>
  <c r="AK134"/>
  <c r="AJ72" i="22" s="1"/>
  <c r="AJ24" i="25" s="1"/>
  <c r="AJ134" i="1"/>
  <c r="AI72" i="22" s="1"/>
  <c r="AI24" i="25" s="1"/>
  <c r="AI134" i="1"/>
  <c r="AH72" i="22" s="1"/>
  <c r="AH24" i="25" s="1"/>
  <c r="AG134" i="1"/>
  <c r="AF72" i="22" s="1"/>
  <c r="AF24" i="25" s="1"/>
  <c r="AF134" i="1"/>
  <c r="AE134"/>
  <c r="AD72" i="22" s="1"/>
  <c r="AD24" i="25" s="1"/>
  <c r="AE72" i="22" l="1"/>
  <c r="BF72" s="1"/>
  <c r="BF134" i="1"/>
  <c r="AE74" i="22"/>
  <c r="AM74" s="1"/>
  <c r="BF136" i="1"/>
  <c r="AE29" i="33"/>
  <c r="AM29" s="1"/>
  <c r="AQ29" s="1"/>
  <c r="BF76" i="22"/>
  <c r="AE73"/>
  <c r="BF73" s="1"/>
  <c r="BF135" i="1"/>
  <c r="AK26" i="25"/>
  <c r="AK24"/>
  <c r="AK25"/>
  <c r="AG29"/>
  <c r="AU29" i="33"/>
  <c r="AR29"/>
  <c r="AV29"/>
  <c r="AG29"/>
  <c r="AL24" i="25"/>
  <c r="N136" i="1"/>
  <c r="BB136" s="1"/>
  <c r="BA136" s="1"/>
  <c r="AZ136" s="1"/>
  <c r="AY136" s="1"/>
  <c r="AN26" i="25"/>
  <c r="AN24"/>
  <c r="N137" i="1"/>
  <c r="N135"/>
  <c r="AU137"/>
  <c r="BA138"/>
  <c r="AZ138" s="1"/>
  <c r="AY138" s="1"/>
  <c r="AZ29" i="25"/>
  <c r="BA29" s="1"/>
  <c r="L28"/>
  <c r="M28" s="1"/>
  <c r="AY28"/>
  <c r="AX28"/>
  <c r="BB135" i="1"/>
  <c r="BA135" s="1"/>
  <c r="AZ135" s="1"/>
  <c r="AY135" s="1"/>
  <c r="AD137"/>
  <c r="BB137"/>
  <c r="BA137" s="1"/>
  <c r="AZ137" s="1"/>
  <c r="AY137" s="1"/>
  <c r="AB73" i="22"/>
  <c r="X25" i="25"/>
  <c r="AB25" s="1"/>
  <c r="AG73" i="22"/>
  <c r="AG74"/>
  <c r="AD26" i="25"/>
  <c r="AE28"/>
  <c r="AM29"/>
  <c r="AL29"/>
  <c r="AD28"/>
  <c r="AN29"/>
  <c r="AF28"/>
  <c r="AG72" i="22"/>
  <c r="AB74"/>
  <c r="X26" i="25"/>
  <c r="AB26" s="1"/>
  <c r="AL25"/>
  <c r="AN25"/>
  <c r="AL72" i="22"/>
  <c r="AK72"/>
  <c r="AB135" i="1"/>
  <c r="W73" i="22"/>
  <c r="Y73" s="1"/>
  <c r="Z74"/>
  <c r="AL74"/>
  <c r="AK74"/>
  <c r="AU76"/>
  <c r="AQ76"/>
  <c r="AN72"/>
  <c r="AM73"/>
  <c r="AN74"/>
  <c r="Z73"/>
  <c r="AL73"/>
  <c r="AK73"/>
  <c r="AB136" i="1"/>
  <c r="W74" i="22"/>
  <c r="AN73"/>
  <c r="AC138" i="1"/>
  <c r="AB138"/>
  <c r="AR138" s="1"/>
  <c r="AM134"/>
  <c r="AO134"/>
  <c r="Z135"/>
  <c r="AN135"/>
  <c r="AO136"/>
  <c r="Z138"/>
  <c r="AM135"/>
  <c r="AN134"/>
  <c r="AL134"/>
  <c r="Z136"/>
  <c r="AN136"/>
  <c r="AL136"/>
  <c r="AA136"/>
  <c r="AA135"/>
  <c r="AL135"/>
  <c r="AV138"/>
  <c r="AH134"/>
  <c r="AM136"/>
  <c r="AA138"/>
  <c r="AH135"/>
  <c r="AH136"/>
  <c r="Y134"/>
  <c r="X72" i="22" s="1"/>
  <c r="X134" i="1"/>
  <c r="W134"/>
  <c r="V72" i="22" s="1"/>
  <c r="V24" i="25" s="1"/>
  <c r="Z24" s="1"/>
  <c r="V134" i="1"/>
  <c r="M134"/>
  <c r="L134"/>
  <c r="K134"/>
  <c r="J134"/>
  <c r="I24" i="25" s="1"/>
  <c r="F134" i="1"/>
  <c r="AK133"/>
  <c r="AJ71" i="22" s="1"/>
  <c r="AJ23" i="25" s="1"/>
  <c r="AJ133" i="1"/>
  <c r="AI71" i="22" s="1"/>
  <c r="AI23" i="25" s="1"/>
  <c r="AI133" i="1"/>
  <c r="AH71" i="22" s="1"/>
  <c r="AH23" i="25" s="1"/>
  <c r="AG133" i="1"/>
  <c r="AF71" i="22" s="1"/>
  <c r="AF23" i="25" s="1"/>
  <c r="AF133" i="1"/>
  <c r="AE133"/>
  <c r="AD71" i="22" s="1"/>
  <c r="Y133" i="1"/>
  <c r="X71" i="22" s="1"/>
  <c r="X133" i="1"/>
  <c r="W133"/>
  <c r="V71" i="22" s="1"/>
  <c r="V23" i="25" s="1"/>
  <c r="Z23" s="1"/>
  <c r="V133" i="1"/>
  <c r="M133"/>
  <c r="L133"/>
  <c r="K133"/>
  <c r="J133"/>
  <c r="I23" i="25" s="1"/>
  <c r="F133" i="1"/>
  <c r="AO132"/>
  <c r="AN132"/>
  <c r="AM132"/>
  <c r="AL132"/>
  <c r="AH132"/>
  <c r="AC132"/>
  <c r="AW132" s="1"/>
  <c r="AB132"/>
  <c r="AV132" s="1"/>
  <c r="AA132"/>
  <c r="AU132" s="1"/>
  <c r="Z132"/>
  <c r="V132"/>
  <c r="M132"/>
  <c r="L132"/>
  <c r="K132"/>
  <c r="J132"/>
  <c r="I22" i="25" s="1"/>
  <c r="I21" s="1"/>
  <c r="F132" i="1"/>
  <c r="AK131"/>
  <c r="AJ70" i="22" s="1"/>
  <c r="AJ131" i="1"/>
  <c r="AI70" i="22" s="1"/>
  <c r="AI131" i="1"/>
  <c r="AH70" i="22" s="1"/>
  <c r="AG131" i="1"/>
  <c r="AF131"/>
  <c r="BF131" s="1"/>
  <c r="AE131"/>
  <c r="AR135" l="1"/>
  <c r="AM72" i="22"/>
  <c r="AE24" i="25"/>
  <c r="AM24" s="1"/>
  <c r="AE25"/>
  <c r="AM25" s="1"/>
  <c r="AE26"/>
  <c r="AM26" s="1"/>
  <c r="BF74" i="22"/>
  <c r="AE71"/>
  <c r="AG71" s="1"/>
  <c r="BF133" i="1"/>
  <c r="AO25" i="25"/>
  <c r="AO29"/>
  <c r="AL26"/>
  <c r="AO26" s="1"/>
  <c r="AK23"/>
  <c r="AG28"/>
  <c r="AO24"/>
  <c r="AG25"/>
  <c r="AG24"/>
  <c r="AX137" i="1"/>
  <c r="AN23" i="25"/>
  <c r="N133" i="1"/>
  <c r="N134"/>
  <c r="BB134" s="1"/>
  <c r="BA134" s="1"/>
  <c r="AZ134" s="1"/>
  <c r="AY134" s="1"/>
  <c r="N132"/>
  <c r="BB132" s="1"/>
  <c r="BA132" s="1"/>
  <c r="AZ132" s="1"/>
  <c r="AY132" s="1"/>
  <c r="AX132" s="1"/>
  <c r="AD132"/>
  <c r="BB133"/>
  <c r="BA133" s="1"/>
  <c r="AZ133" s="1"/>
  <c r="AY133" s="1"/>
  <c r="AZ28" i="25"/>
  <c r="BA28" s="1"/>
  <c r="AP132" i="1"/>
  <c r="AV73" i="22"/>
  <c r="AI69"/>
  <c r="AI28" i="33" s="1"/>
  <c r="AI22" i="25"/>
  <c r="AD23"/>
  <c r="AT24"/>
  <c r="AP24"/>
  <c r="AB72" i="22"/>
  <c r="AR72" s="1"/>
  <c r="X24" i="25"/>
  <c r="AB24" s="1"/>
  <c r="AN28"/>
  <c r="AU29"/>
  <c r="AQ29"/>
  <c r="AV25"/>
  <c r="AR25"/>
  <c r="AH69" i="22"/>
  <c r="AH28" i="33" s="1"/>
  <c r="AH22" i="25"/>
  <c r="AH21" s="1"/>
  <c r="AJ69" i="22"/>
  <c r="AJ28" i="33" s="1"/>
  <c r="AJ22" i="25"/>
  <c r="AJ21" s="1"/>
  <c r="AB71" i="22"/>
  <c r="X23" i="25"/>
  <c r="AB23" s="1"/>
  <c r="AA74" i="22"/>
  <c r="AQ74" s="1"/>
  <c r="W26" i="25"/>
  <c r="Y26" s="1"/>
  <c r="AA73" i="22"/>
  <c r="AQ73" s="1"/>
  <c r="W25" i="25"/>
  <c r="Y25" s="1"/>
  <c r="AV26"/>
  <c r="AR26"/>
  <c r="AR29"/>
  <c r="AV29"/>
  <c r="AW29"/>
  <c r="AT29"/>
  <c r="AP29"/>
  <c r="AM28"/>
  <c r="AP25"/>
  <c r="AT25"/>
  <c r="AD138" i="1"/>
  <c r="AV136"/>
  <c r="AR74" i="22"/>
  <c r="AB133" i="1"/>
  <c r="W71" i="22"/>
  <c r="Z72"/>
  <c r="AT73"/>
  <c r="AP73"/>
  <c r="AM71"/>
  <c r="AR73"/>
  <c r="AO74"/>
  <c r="AV74"/>
  <c r="Y74"/>
  <c r="AO72"/>
  <c r="Z71"/>
  <c r="AL71"/>
  <c r="AK71"/>
  <c r="AB134" i="1"/>
  <c r="AV134" s="1"/>
  <c r="W72" i="22"/>
  <c r="AT74"/>
  <c r="AP74"/>
  <c r="AN71"/>
  <c r="AO73"/>
  <c r="AP134" i="1"/>
  <c r="AQ132"/>
  <c r="AM131"/>
  <c r="AO131"/>
  <c r="AR136"/>
  <c r="AN131"/>
  <c r="AL131"/>
  <c r="AL133"/>
  <c r="AO133"/>
  <c r="AH133"/>
  <c r="AN133"/>
  <c r="AA133"/>
  <c r="AA134"/>
  <c r="AU135"/>
  <c r="AQ135"/>
  <c r="AH131"/>
  <c r="AM133"/>
  <c r="Z134"/>
  <c r="AQ136"/>
  <c r="AP136" s="1"/>
  <c r="AU136"/>
  <c r="Y131"/>
  <c r="X70" i="22" s="1"/>
  <c r="W131" i="1"/>
  <c r="V70" i="22" s="1"/>
  <c r="V22" i="25" s="1"/>
  <c r="V131" i="1"/>
  <c r="M131"/>
  <c r="L131"/>
  <c r="K131"/>
  <c r="J131"/>
  <c r="F131"/>
  <c r="AL130"/>
  <c r="AG130"/>
  <c r="AO130" s="1"/>
  <c r="AF130"/>
  <c r="AE130"/>
  <c r="AM130" s="1"/>
  <c r="AC130"/>
  <c r="AW130" s="1"/>
  <c r="AB130"/>
  <c r="AA130"/>
  <c r="AD130" s="1"/>
  <c r="Z130"/>
  <c r="V130"/>
  <c r="M130"/>
  <c r="L130"/>
  <c r="K130"/>
  <c r="N130" s="1"/>
  <c r="J130"/>
  <c r="F130"/>
  <c r="AL129"/>
  <c r="AG129"/>
  <c r="AF129"/>
  <c r="BF129" s="1"/>
  <c r="AE129"/>
  <c r="AC129"/>
  <c r="AW129" s="1"/>
  <c r="AB129"/>
  <c r="AA129"/>
  <c r="Z129"/>
  <c r="V129"/>
  <c r="M129"/>
  <c r="L129"/>
  <c r="K70" i="22" s="1"/>
  <c r="K129" i="1"/>
  <c r="J129"/>
  <c r="F129"/>
  <c r="AG26" i="25" l="1"/>
  <c r="AN130" i="1"/>
  <c r="BF130"/>
  <c r="AE23" i="25"/>
  <c r="AM23" s="1"/>
  <c r="BF71" i="22"/>
  <c r="J70"/>
  <c r="L70"/>
  <c r="AV133" i="1"/>
  <c r="AR133"/>
  <c r="AV71" i="22"/>
  <c r="AU74"/>
  <c r="AV72"/>
  <c r="AT26" i="25"/>
  <c r="AP26"/>
  <c r="AS29"/>
  <c r="AU73" i="22"/>
  <c r="AC73"/>
  <c r="AW73" s="1"/>
  <c r="AL23" i="25"/>
  <c r="AG23"/>
  <c r="AI21"/>
  <c r="AK21" s="1"/>
  <c r="AK22"/>
  <c r="AK28" i="33"/>
  <c r="AD129" i="1"/>
  <c r="N131"/>
  <c r="BB131" s="1"/>
  <c r="BA131" s="1"/>
  <c r="AZ131" s="1"/>
  <c r="AY131" s="1"/>
  <c r="AX70" i="22"/>
  <c r="J22" i="25"/>
  <c r="J69" i="22"/>
  <c r="AX69" s="1"/>
  <c r="AZ70"/>
  <c r="L69"/>
  <c r="AZ69" s="1"/>
  <c r="L22" i="25"/>
  <c r="BA129" i="1"/>
  <c r="AZ129" s="1"/>
  <c r="AY129" s="1"/>
  <c r="I19" i="25"/>
  <c r="I70" i="22"/>
  <c r="I69" s="1"/>
  <c r="AY70"/>
  <c r="K22" i="25"/>
  <c r="K69" i="22"/>
  <c r="AY69" s="1"/>
  <c r="U70"/>
  <c r="U69" s="1"/>
  <c r="N129" i="1"/>
  <c r="BB129" s="1"/>
  <c r="BB130"/>
  <c r="BA130" s="1"/>
  <c r="AZ130" s="1"/>
  <c r="AY130" s="1"/>
  <c r="AR134"/>
  <c r="V21" i="25"/>
  <c r="Z22"/>
  <c r="AK70" i="22"/>
  <c r="AK69" s="1"/>
  <c r="AA72"/>
  <c r="AU72" s="1"/>
  <c r="W24" i="25"/>
  <c r="Y24" s="1"/>
  <c r="AA71" i="22"/>
  <c r="AC71" s="1"/>
  <c r="W23" i="25"/>
  <c r="Y23" s="1"/>
  <c r="AV28"/>
  <c r="AR28"/>
  <c r="AV24"/>
  <c r="AR24"/>
  <c r="X69" i="22"/>
  <c r="X28" i="33" s="1"/>
  <c r="AB28" s="1"/>
  <c r="X22" i="25"/>
  <c r="AU28"/>
  <c r="AQ28"/>
  <c r="AA25"/>
  <c r="AC25" s="1"/>
  <c r="AA26"/>
  <c r="AC26" s="1"/>
  <c r="AV23"/>
  <c r="AR23"/>
  <c r="AS74" i="22"/>
  <c r="AC74"/>
  <c r="AW74" s="1"/>
  <c r="Y71"/>
  <c r="AO129" i="1"/>
  <c r="AN70" i="22" s="1"/>
  <c r="AN69" s="1"/>
  <c r="AF70"/>
  <c r="V69"/>
  <c r="V28" i="33" s="1"/>
  <c r="Z28" s="1"/>
  <c r="AT71" i="22"/>
  <c r="AP71"/>
  <c r="AR71"/>
  <c r="AS73"/>
  <c r="Y72"/>
  <c r="AM129" i="1"/>
  <c r="AL70" i="22" s="1"/>
  <c r="AD70"/>
  <c r="AN129" i="1"/>
  <c r="AM70" i="22" s="1"/>
  <c r="AM69" s="1"/>
  <c r="AE70"/>
  <c r="BF70" s="1"/>
  <c r="AT72"/>
  <c r="AP72"/>
  <c r="AO71"/>
  <c r="AP131" i="1"/>
  <c r="AP133"/>
  <c r="AA131"/>
  <c r="Z70" i="22" s="1"/>
  <c r="AP130" i="1"/>
  <c r="AX130" s="1"/>
  <c r="AV130"/>
  <c r="AR130"/>
  <c r="Z133"/>
  <c r="AU133"/>
  <c r="AQ133"/>
  <c r="AH129"/>
  <c r="AH130"/>
  <c r="AQ130"/>
  <c r="AU130"/>
  <c r="AU134"/>
  <c r="AQ134"/>
  <c r="AL128"/>
  <c r="AK128"/>
  <c r="AJ128"/>
  <c r="AI128"/>
  <c r="AG128"/>
  <c r="AE128"/>
  <c r="Y128"/>
  <c r="W128"/>
  <c r="V128"/>
  <c r="Q128"/>
  <c r="P128"/>
  <c r="O128"/>
  <c r="N128"/>
  <c r="M128"/>
  <c r="L128"/>
  <c r="K128"/>
  <c r="J128"/>
  <c r="I18" i="25" s="1"/>
  <c r="I128" i="1"/>
  <c r="H128"/>
  <c r="G128"/>
  <c r="F128"/>
  <c r="E128"/>
  <c r="D128"/>
  <c r="C128"/>
  <c r="AP127"/>
  <c r="AC127"/>
  <c r="AW127" s="1"/>
  <c r="AB127"/>
  <c r="AV127" s="1"/>
  <c r="AA127"/>
  <c r="AQ127" s="1"/>
  <c r="Z127"/>
  <c r="M127"/>
  <c r="L127"/>
  <c r="K127"/>
  <c r="J127"/>
  <c r="AI126"/>
  <c r="AH61" i="22" s="1"/>
  <c r="AH13" i="25" s="1"/>
  <c r="W126" i="1"/>
  <c r="V61" i="22" s="1"/>
  <c r="V13" i="25" s="1"/>
  <c r="V126" i="1"/>
  <c r="M126"/>
  <c r="L126"/>
  <c r="K126"/>
  <c r="J126"/>
  <c r="I16" i="25" s="1"/>
  <c r="F126" i="1"/>
  <c r="AI125"/>
  <c r="AH60" i="22" s="1"/>
  <c r="AH12" i="25" s="1"/>
  <c r="M22" l="1"/>
  <c r="AU129" i="1"/>
  <c r="AO23" i="25"/>
  <c r="AP23"/>
  <c r="AT23"/>
  <c r="N126" i="1"/>
  <c r="N127"/>
  <c r="BB126"/>
  <c r="BA126" s="1"/>
  <c r="AZ126" s="1"/>
  <c r="AY126" s="1"/>
  <c r="I17" i="25"/>
  <c r="M70" i="22"/>
  <c r="M69" s="1"/>
  <c r="AY22" i="25"/>
  <c r="K21"/>
  <c r="AZ22"/>
  <c r="L21"/>
  <c r="AX22"/>
  <c r="BA22" s="1"/>
  <c r="J21"/>
  <c r="M21" s="1"/>
  <c r="AU127" i="1"/>
  <c r="I15" i="25"/>
  <c r="AD127" i="1"/>
  <c r="BB127"/>
  <c r="BA127" s="1"/>
  <c r="AZ127" s="1"/>
  <c r="AY127" s="1"/>
  <c r="AX127" s="1"/>
  <c r="BB128"/>
  <c r="BA128" s="1"/>
  <c r="AZ128" s="1"/>
  <c r="AY128" s="1"/>
  <c r="BA69" i="22"/>
  <c r="BA70"/>
  <c r="AC72"/>
  <c r="AW72" s="1"/>
  <c r="AN128" i="1"/>
  <c r="AQ129"/>
  <c r="AR129"/>
  <c r="AQ71" i="22"/>
  <c r="AS71" s="1"/>
  <c r="AQ72"/>
  <c r="AS72" s="1"/>
  <c r="AG70"/>
  <c r="AG69" s="1"/>
  <c r="Z21" i="25"/>
  <c r="Z13"/>
  <c r="AE69" i="22"/>
  <c r="AE22" i="25"/>
  <c r="AD69" i="22"/>
  <c r="AD28" i="33" s="1"/>
  <c r="AD22" i="25"/>
  <c r="AF69" i="22"/>
  <c r="AF28" i="33" s="1"/>
  <c r="AN28" s="1"/>
  <c r="AV28" s="1"/>
  <c r="AF22" i="25"/>
  <c r="AU26"/>
  <c r="AQ26"/>
  <c r="AS26" s="1"/>
  <c r="AW26"/>
  <c r="AU25"/>
  <c r="AQ25"/>
  <c r="AS25" s="1"/>
  <c r="AW25"/>
  <c r="X21"/>
  <c r="AB22"/>
  <c r="AA23"/>
  <c r="AC23" s="1"/>
  <c r="AA24"/>
  <c r="AC24" s="1"/>
  <c r="AM128" i="1"/>
  <c r="AP129"/>
  <c r="AX129" s="1"/>
  <c r="AV129"/>
  <c r="AU71" i="22"/>
  <c r="Z61"/>
  <c r="AW71"/>
  <c r="AT70"/>
  <c r="AP70"/>
  <c r="Z69"/>
  <c r="AO70"/>
  <c r="AL69"/>
  <c r="AO69" s="1"/>
  <c r="AC128" i="1"/>
  <c r="AF128"/>
  <c r="BF128" s="1"/>
  <c r="AH128"/>
  <c r="AA126"/>
  <c r="AQ131"/>
  <c r="AU131"/>
  <c r="AA128"/>
  <c r="W125"/>
  <c r="V60" i="22" s="1"/>
  <c r="V12" i="25" s="1"/>
  <c r="Z12" s="1"/>
  <c r="V125" i="1"/>
  <c r="M125"/>
  <c r="L125"/>
  <c r="K125"/>
  <c r="J125"/>
  <c r="F125"/>
  <c r="AI124"/>
  <c r="AH59" i="22" s="1"/>
  <c r="AH11" i="25" s="1"/>
  <c r="W124" i="1"/>
  <c r="V59" i="22" s="1"/>
  <c r="V11" i="25" s="1"/>
  <c r="V124" i="1"/>
  <c r="M124"/>
  <c r="L124"/>
  <c r="K124"/>
  <c r="J124"/>
  <c r="F124"/>
  <c r="AI123"/>
  <c r="AH58" i="22" s="1"/>
  <c r="AH10" i="25" s="1"/>
  <c r="W123" i="1"/>
  <c r="V58" i="22" s="1"/>
  <c r="V10" i="25" s="1"/>
  <c r="V123" i="1"/>
  <c r="M123"/>
  <c r="L123"/>
  <c r="K123"/>
  <c r="J123"/>
  <c r="I13" i="25" s="1"/>
  <c r="F123" i="1"/>
  <c r="AO122"/>
  <c r="AN122"/>
  <c r="AM122"/>
  <c r="AL122"/>
  <c r="AH122"/>
  <c r="AC122"/>
  <c r="AW122" s="1"/>
  <c r="AB122"/>
  <c r="AV122" s="1"/>
  <c r="AA122"/>
  <c r="AU122" s="1"/>
  <c r="Z122"/>
  <c r="V122"/>
  <c r="M122"/>
  <c r="L122"/>
  <c r="K122"/>
  <c r="J122"/>
  <c r="I12" i="25" s="1"/>
  <c r="F122" i="1"/>
  <c r="AI121"/>
  <c r="AH57" i="22" s="1"/>
  <c r="AE28" i="33" l="1"/>
  <c r="AM28" s="1"/>
  <c r="BF69" i="22"/>
  <c r="N124" i="1"/>
  <c r="N122"/>
  <c r="AG28" i="33"/>
  <c r="AL28"/>
  <c r="AR28"/>
  <c r="AG22" i="25"/>
  <c r="N123" i="1"/>
  <c r="N125"/>
  <c r="BB125" s="1"/>
  <c r="BA125" s="1"/>
  <c r="AZ125" s="1"/>
  <c r="AY125" s="1"/>
  <c r="AX21" i="25"/>
  <c r="AZ21"/>
  <c r="AY21"/>
  <c r="AQ122" i="1"/>
  <c r="BB122"/>
  <c r="BA122" s="1"/>
  <c r="AZ122" s="1"/>
  <c r="AY122" s="1"/>
  <c r="BB123"/>
  <c r="BA123" s="1"/>
  <c r="AZ123" s="1"/>
  <c r="AY123" s="1"/>
  <c r="BB124"/>
  <c r="BA124" s="1"/>
  <c r="AZ124" s="1"/>
  <c r="AY124" s="1"/>
  <c r="AD122"/>
  <c r="AP122"/>
  <c r="AH56" i="22"/>
  <c r="AH26" i="33" s="1"/>
  <c r="AH9" i="25"/>
  <c r="AH8" s="1"/>
  <c r="Z10"/>
  <c r="Z11"/>
  <c r="AU24"/>
  <c r="AQ24"/>
  <c r="AS24" s="1"/>
  <c r="AW24"/>
  <c r="AU23"/>
  <c r="AQ23"/>
  <c r="AS23" s="1"/>
  <c r="AW23"/>
  <c r="AF21"/>
  <c r="AN22"/>
  <c r="AV22" s="1"/>
  <c r="AD21"/>
  <c r="AL22"/>
  <c r="AE21"/>
  <c r="AM22"/>
  <c r="AB21"/>
  <c r="Z58" i="22"/>
  <c r="Z59"/>
  <c r="Z60"/>
  <c r="AT69"/>
  <c r="AP69"/>
  <c r="AA124" i="1"/>
  <c r="AQ128"/>
  <c r="AU128"/>
  <c r="AA123"/>
  <c r="AA125"/>
  <c r="AG121"/>
  <c r="AF121"/>
  <c r="BF121" s="1"/>
  <c r="BA21" i="25" l="1"/>
  <c r="AG21"/>
  <c r="AO28" i="33"/>
  <c r="AP28"/>
  <c r="AT28"/>
  <c r="AO22" i="25"/>
  <c r="AX122" i="1"/>
  <c r="AT22" i="25"/>
  <c r="AP22"/>
  <c r="AM21"/>
  <c r="AL21"/>
  <c r="AN21"/>
  <c r="AV21" s="1"/>
  <c r="AR22"/>
  <c r="AE121" i="1"/>
  <c r="W121"/>
  <c r="V57" i="22" s="1"/>
  <c r="V9" i="25" s="1"/>
  <c r="V121" i="1"/>
  <c r="M121"/>
  <c r="L121"/>
  <c r="K121"/>
  <c r="J121"/>
  <c r="I11" i="25" s="1"/>
  <c r="F121" i="1"/>
  <c r="AL120"/>
  <c r="AG120"/>
  <c r="AO120" s="1"/>
  <c r="AF120"/>
  <c r="BF120" s="1"/>
  <c r="AE120"/>
  <c r="AM120" s="1"/>
  <c r="AC120"/>
  <c r="AW120" s="1"/>
  <c r="AB120"/>
  <c r="AA120"/>
  <c r="AD120" s="1"/>
  <c r="Z120"/>
  <c r="V120"/>
  <c r="M120"/>
  <c r="L120"/>
  <c r="K120"/>
  <c r="J120"/>
  <c r="I10" i="25" s="1"/>
  <c r="F120" i="1"/>
  <c r="AO21" i="25" l="1"/>
  <c r="N120" i="1"/>
  <c r="N121"/>
  <c r="BB121" s="1"/>
  <c r="BA121" s="1"/>
  <c r="AZ121" s="1"/>
  <c r="AY121" s="1"/>
  <c r="AQ120"/>
  <c r="AU120"/>
  <c r="BB120"/>
  <c r="BA120" s="1"/>
  <c r="AZ120" s="1"/>
  <c r="AY120" s="1"/>
  <c r="AR21" i="25"/>
  <c r="V8"/>
  <c r="Z9"/>
  <c r="AP21"/>
  <c r="AT21"/>
  <c r="V56" i="22"/>
  <c r="V26" i="33" s="1"/>
  <c r="AH120" i="1"/>
  <c r="AM121"/>
  <c r="AH121"/>
  <c r="AN120"/>
  <c r="AP120" s="1"/>
  <c r="AX120" s="1"/>
  <c r="AA121"/>
  <c r="AL119"/>
  <c r="AG119"/>
  <c r="Z26" i="33" l="1"/>
  <c r="Z8" i="25"/>
  <c r="AO119" i="1"/>
  <c r="AF57" i="22"/>
  <c r="AF9" i="25" s="1"/>
  <c r="AU121" i="1"/>
  <c r="AQ121"/>
  <c r="AV120"/>
  <c r="AR120"/>
  <c r="AF119"/>
  <c r="BF119" s="1"/>
  <c r="AE119"/>
  <c r="AD57" i="22" s="1"/>
  <c r="AD9" i="25" s="1"/>
  <c r="AC119" i="1"/>
  <c r="AW119" s="1"/>
  <c r="AB119"/>
  <c r="AA119"/>
  <c r="Z57" i="22" s="1"/>
  <c r="Z56" s="1"/>
  <c r="Z119" i="1"/>
  <c r="V119"/>
  <c r="M119"/>
  <c r="L57" i="22" s="1"/>
  <c r="L119" i="1"/>
  <c r="K119"/>
  <c r="J57" i="22" s="1"/>
  <c r="J119" i="1"/>
  <c r="F119"/>
  <c r="AI118"/>
  <c r="K57" i="22" l="1"/>
  <c r="AZ119" i="1"/>
  <c r="AY119" s="1"/>
  <c r="AX57" i="22"/>
  <c r="J9" i="25"/>
  <c r="J56" i="22"/>
  <c r="AZ57"/>
  <c r="L9" i="25"/>
  <c r="L56" i="22"/>
  <c r="AD119" i="1"/>
  <c r="I9" i="25"/>
  <c r="I8" s="1"/>
  <c r="I35" s="1"/>
  <c r="I57" i="22"/>
  <c r="I56" s="1"/>
  <c r="U35" i="25"/>
  <c r="U57" i="22"/>
  <c r="U56" s="1"/>
  <c r="N119" i="1"/>
  <c r="AL9" i="25"/>
  <c r="AN119" i="1"/>
  <c r="AR119" s="1"/>
  <c r="AE57" i="22"/>
  <c r="AM119" i="1"/>
  <c r="AL57" i="22" s="1"/>
  <c r="AH119" i="1"/>
  <c r="AV119"/>
  <c r="W118"/>
  <c r="V118"/>
  <c r="Q118"/>
  <c r="P118"/>
  <c r="O118"/>
  <c r="N118"/>
  <c r="BB118" s="1"/>
  <c r="M118"/>
  <c r="L118"/>
  <c r="K118"/>
  <c r="J118"/>
  <c r="I118"/>
  <c r="H118"/>
  <c r="G118"/>
  <c r="F118"/>
  <c r="E118"/>
  <c r="D118"/>
  <c r="C118"/>
  <c r="AP117"/>
  <c r="AC117"/>
  <c r="AW117" s="1"/>
  <c r="AB117"/>
  <c r="AV117" s="1"/>
  <c r="AA117"/>
  <c r="AU117" s="1"/>
  <c r="Z117"/>
  <c r="M117"/>
  <c r="L117"/>
  <c r="K117"/>
  <c r="N117" s="1"/>
  <c r="J117"/>
  <c r="AK116"/>
  <c r="AJ67" i="22" s="1"/>
  <c r="AJ19" i="25" s="1"/>
  <c r="AJ116" i="1"/>
  <c r="AI67" i="22" s="1"/>
  <c r="AI19" i="25" s="1"/>
  <c r="AI116" i="1"/>
  <c r="AH67" i="22" s="1"/>
  <c r="AH19" i="25" s="1"/>
  <c r="AG116" i="1"/>
  <c r="AF67" i="22" s="1"/>
  <c r="AF19" i="25" s="1"/>
  <c r="AE9" l="1"/>
  <c r="AG9" s="1"/>
  <c r="BF57" i="22"/>
  <c r="AK19" i="25"/>
  <c r="AN19"/>
  <c r="BA118" i="1"/>
  <c r="AZ118" s="1"/>
  <c r="AY118" s="1"/>
  <c r="M57" i="22"/>
  <c r="M56" s="1"/>
  <c r="BB119" i="1"/>
  <c r="BA119" s="1"/>
  <c r="AZ9" i="25"/>
  <c r="L8"/>
  <c r="AZ8" s="1"/>
  <c r="AX56" i="22"/>
  <c r="AY57"/>
  <c r="K9" i="25"/>
  <c r="M9" s="1"/>
  <c r="K56" i="22"/>
  <c r="AD117" i="1"/>
  <c r="AQ117"/>
  <c r="BB117"/>
  <c r="BA117" s="1"/>
  <c r="AZ117" s="1"/>
  <c r="AY117" s="1"/>
  <c r="AX117" s="1"/>
  <c r="BA57" i="22"/>
  <c r="AZ56"/>
  <c r="J8" i="25"/>
  <c r="AX9"/>
  <c r="AT9"/>
  <c r="AP9"/>
  <c r="AG57" i="22"/>
  <c r="AK67"/>
  <c r="AN67"/>
  <c r="AT57"/>
  <c r="AP57"/>
  <c r="AA118" i="1"/>
  <c r="AO116"/>
  <c r="AU119"/>
  <c r="AQ119"/>
  <c r="AP119"/>
  <c r="AX119" s="1"/>
  <c r="AF116"/>
  <c r="BF116" s="1"/>
  <c r="AE116"/>
  <c r="AD67" i="22" s="1"/>
  <c r="Y116" i="1"/>
  <c r="X116"/>
  <c r="W116"/>
  <c r="V67" i="22" s="1"/>
  <c r="V19" i="25" s="1"/>
  <c r="Z19" s="1"/>
  <c r="V116" i="1"/>
  <c r="M116"/>
  <c r="L116"/>
  <c r="K116"/>
  <c r="J116"/>
  <c r="F116"/>
  <c r="AK115"/>
  <c r="AJ66" i="22" s="1"/>
  <c r="AJ18" i="25" s="1"/>
  <c r="AJ115" i="1"/>
  <c r="AI66" i="22" s="1"/>
  <c r="AI18" i="25" s="1"/>
  <c r="AI115" i="1"/>
  <c r="AH66" i="22" s="1"/>
  <c r="AH18" i="25" s="1"/>
  <c r="AG115" i="1"/>
  <c r="AF66" i="22" s="1"/>
  <c r="AF18" i="25" s="1"/>
  <c r="AF115" i="1"/>
  <c r="AE115"/>
  <c r="AD66" i="22" s="1"/>
  <c r="AE66" l="1"/>
  <c r="AG66" s="1"/>
  <c r="BF115" i="1"/>
  <c r="AX8" i="25"/>
  <c r="AK18"/>
  <c r="N116" i="1"/>
  <c r="BB116" s="1"/>
  <c r="BA116" s="1"/>
  <c r="AZ116" s="1"/>
  <c r="AY116" s="1"/>
  <c r="AY56" i="22"/>
  <c r="BA56"/>
  <c r="AY9" i="25"/>
  <c r="BA9" s="1"/>
  <c r="K8"/>
  <c r="AY8" s="1"/>
  <c r="AL67" i="22"/>
  <c r="AD19" i="25"/>
  <c r="AD18"/>
  <c r="AN18"/>
  <c r="Z67" i="22"/>
  <c r="AC116" i="1"/>
  <c r="AS116" s="1"/>
  <c r="X67" i="22"/>
  <c r="AN116" i="1"/>
  <c r="AE67" i="22"/>
  <c r="BF67" s="1"/>
  <c r="AL66"/>
  <c r="AK66"/>
  <c r="AB116" i="1"/>
  <c r="W67" i="22"/>
  <c r="AN66"/>
  <c r="AM115" i="1"/>
  <c r="AL115" s="1"/>
  <c r="AO115"/>
  <c r="Z116"/>
  <c r="AN115"/>
  <c r="AW116"/>
  <c r="AA116"/>
  <c r="AM116"/>
  <c r="AL116" s="1"/>
  <c r="AH116"/>
  <c r="AH115"/>
  <c r="Y115"/>
  <c r="X66" i="22" s="1"/>
  <c r="X115" i="1"/>
  <c r="W115"/>
  <c r="V66" i="22" s="1"/>
  <c r="V18" i="25" s="1"/>
  <c r="Z18" s="1"/>
  <c r="V115" i="1"/>
  <c r="M115"/>
  <c r="L115"/>
  <c r="K115"/>
  <c r="J115"/>
  <c r="F115"/>
  <c r="AK114"/>
  <c r="AJ65" i="22" s="1"/>
  <c r="AJ17" i="25" s="1"/>
  <c r="AJ114" i="1"/>
  <c r="AI65" i="22" s="1"/>
  <c r="AI17" i="25" s="1"/>
  <c r="AI114" i="1"/>
  <c r="AH65" i="22" s="1"/>
  <c r="AH17" i="25" s="1"/>
  <c r="AG114" i="1"/>
  <c r="AF65" i="22" s="1"/>
  <c r="AF17" i="25" s="1"/>
  <c r="AF114" i="1"/>
  <c r="AE114"/>
  <c r="AD65" i="22" s="1"/>
  <c r="Y114" i="1"/>
  <c r="X65" i="22" s="1"/>
  <c r="X114" i="1"/>
  <c r="W114"/>
  <c r="V65" i="22" s="1"/>
  <c r="V17" i="25" s="1"/>
  <c r="Z17" s="1"/>
  <c r="V114" i="1"/>
  <c r="M114"/>
  <c r="L114"/>
  <c r="K114"/>
  <c r="J114"/>
  <c r="F114"/>
  <c r="AO113"/>
  <c r="AN113"/>
  <c r="AM113"/>
  <c r="AL113"/>
  <c r="AH113"/>
  <c r="AC113"/>
  <c r="AW113" s="1"/>
  <c r="AB113"/>
  <c r="AV113" s="1"/>
  <c r="AA113"/>
  <c r="AU113" s="1"/>
  <c r="Z113"/>
  <c r="V113"/>
  <c r="M113"/>
  <c r="L113"/>
  <c r="K113"/>
  <c r="J113"/>
  <c r="F113"/>
  <c r="AK112"/>
  <c r="AJ64" i="22" s="1"/>
  <c r="AJ112" i="1"/>
  <c r="AI64" i="22" s="1"/>
  <c r="AI112" i="1"/>
  <c r="AH64" i="22" s="1"/>
  <c r="AG112" i="1"/>
  <c r="AF112"/>
  <c r="BF112" s="1"/>
  <c r="AE112"/>
  <c r="Y112"/>
  <c r="X64" i="22" s="1"/>
  <c r="X112" i="1"/>
  <c r="W112"/>
  <c r="V64" i="22" s="1"/>
  <c r="V16" i="25" s="1"/>
  <c r="V112" i="1"/>
  <c r="M112"/>
  <c r="L112"/>
  <c r="K112"/>
  <c r="J112"/>
  <c r="F112"/>
  <c r="AL111"/>
  <c r="AG111"/>
  <c r="AO111" s="1"/>
  <c r="AF111"/>
  <c r="AE111"/>
  <c r="AM111" s="1"/>
  <c r="AC111"/>
  <c r="AW111" s="1"/>
  <c r="AB111"/>
  <c r="AA111"/>
  <c r="Z111"/>
  <c r="V111"/>
  <c r="M111"/>
  <c r="L111"/>
  <c r="K111"/>
  <c r="N111" s="1"/>
  <c r="J111"/>
  <c r="F111"/>
  <c r="AL110"/>
  <c r="AG110"/>
  <c r="AF110"/>
  <c r="BF110" s="1"/>
  <c r="AE110"/>
  <c r="AC110"/>
  <c r="AW110" s="1"/>
  <c r="AB110"/>
  <c r="AD110" s="1"/>
  <c r="AA110"/>
  <c r="Z110"/>
  <c r="V110"/>
  <c r="U64" i="22" s="1"/>
  <c r="U63" s="1"/>
  <c r="U55" s="1"/>
  <c r="U37" i="25" s="1"/>
  <c r="M110" i="1"/>
  <c r="L64" i="22" s="1"/>
  <c r="L110" i="1"/>
  <c r="K64" i="22" s="1"/>
  <c r="K110" i="1"/>
  <c r="J64" i="22" s="1"/>
  <c r="J110" i="1"/>
  <c r="I64" i="22" s="1"/>
  <c r="I63" s="1"/>
  <c r="I55" s="1"/>
  <c r="I37" i="25" s="1"/>
  <c r="F110" i="1"/>
  <c r="AM66" i="22" l="1"/>
  <c r="AE65"/>
  <c r="BF114" i="1"/>
  <c r="AE18" i="25"/>
  <c r="AM18" s="1"/>
  <c r="BF66" i="22"/>
  <c r="AN111" i="1"/>
  <c r="BF111"/>
  <c r="N113"/>
  <c r="BA8" i="25"/>
  <c r="M8"/>
  <c r="AK17"/>
  <c r="AL18"/>
  <c r="AO18" s="1"/>
  <c r="AG18"/>
  <c r="AL19"/>
  <c r="N115" i="1"/>
  <c r="BB115" s="1"/>
  <c r="BA115" s="1"/>
  <c r="AZ115" s="1"/>
  <c r="AY115" s="1"/>
  <c r="AD111"/>
  <c r="N112"/>
  <c r="N114"/>
  <c r="AX64" i="22"/>
  <c r="J63"/>
  <c r="J16" i="25"/>
  <c r="AZ64" i="22"/>
  <c r="L16" i="25"/>
  <c r="L63" i="22"/>
  <c r="BB111" i="1"/>
  <c r="BA111" s="1"/>
  <c r="AZ111" s="1"/>
  <c r="AY111" s="1"/>
  <c r="BB113"/>
  <c r="BA113" s="1"/>
  <c r="AZ113" s="1"/>
  <c r="AY113" s="1"/>
  <c r="AY64" i="22"/>
  <c r="K16" i="25"/>
  <c r="K63" i="22"/>
  <c r="N110" i="1"/>
  <c r="BB112"/>
  <c r="BA112" s="1"/>
  <c r="AZ112" s="1"/>
  <c r="AY112" s="1"/>
  <c r="AD113"/>
  <c r="BB114"/>
  <c r="BA114" s="1"/>
  <c r="AZ114" s="1"/>
  <c r="AY114" s="1"/>
  <c r="AP19" i="25"/>
  <c r="AV116" i="1"/>
  <c r="V15" i="25"/>
  <c r="Z16"/>
  <c r="X63" i="22"/>
  <c r="X27" i="33" s="1"/>
  <c r="AB27" s="1"/>
  <c r="X16" i="25"/>
  <c r="AH63" i="22"/>
  <c r="AH27" i="33" s="1"/>
  <c r="AH16" i="25"/>
  <c r="AH15" s="1"/>
  <c r="AJ63" i="22"/>
  <c r="AJ27" i="33" s="1"/>
  <c r="AJ16" i="25"/>
  <c r="AJ15" s="1"/>
  <c r="AB65" i="22"/>
  <c r="X17" i="25"/>
  <c r="AB17" s="1"/>
  <c r="AM67" i="22"/>
  <c r="AO67" s="1"/>
  <c r="AE19" i="25"/>
  <c r="AM19" s="1"/>
  <c r="AB67" i="22"/>
  <c r="AR67" s="1"/>
  <c r="X19" i="25"/>
  <c r="AB19" s="1"/>
  <c r="AI63" i="22"/>
  <c r="AI27" i="33" s="1"/>
  <c r="AI16" i="25"/>
  <c r="AG65" i="22"/>
  <c r="AD17" i="25"/>
  <c r="AB66" i="22"/>
  <c r="AR66" s="1"/>
  <c r="X18" i="25"/>
  <c r="AB18" s="1"/>
  <c r="AA67" i="22"/>
  <c r="W19" i="25"/>
  <c r="AN17"/>
  <c r="AR116" i="1"/>
  <c r="AG67" i="22"/>
  <c r="AM110" i="1"/>
  <c r="AQ110" s="1"/>
  <c r="AD64" i="22"/>
  <c r="AO110" i="1"/>
  <c r="AF64" i="22"/>
  <c r="AB112" i="1"/>
  <c r="AA64" i="22" s="1"/>
  <c r="W64"/>
  <c r="W16" i="25" s="1"/>
  <c r="AB114" i="1"/>
  <c r="W65" i="22"/>
  <c r="Y65" s="1"/>
  <c r="Z66"/>
  <c r="AV66"/>
  <c r="AT67"/>
  <c r="AP67"/>
  <c r="AM65"/>
  <c r="AN110" i="1"/>
  <c r="AV110" s="1"/>
  <c r="AE64" i="22"/>
  <c r="BF64" s="1"/>
  <c r="V63"/>
  <c r="V27" i="33" s="1"/>
  <c r="Z65" i="22"/>
  <c r="AL65"/>
  <c r="AK65"/>
  <c r="AB115" i="1"/>
  <c r="AV115" s="1"/>
  <c r="W66" i="22"/>
  <c r="AN65"/>
  <c r="AO66"/>
  <c r="Y67"/>
  <c r="AP113" i="1"/>
  <c r="AQ113"/>
  <c r="AH112"/>
  <c r="AO112"/>
  <c r="AM114"/>
  <c r="AL114" s="1"/>
  <c r="AO114"/>
  <c r="Z115"/>
  <c r="Z112"/>
  <c r="AN112"/>
  <c r="AR112" s="1"/>
  <c r="AL112"/>
  <c r="AK64" i="22" s="1"/>
  <c r="AN114" i="1"/>
  <c r="AV114" s="1"/>
  <c r="Z114"/>
  <c r="AV111"/>
  <c r="AR111"/>
  <c r="AU110"/>
  <c r="AU111"/>
  <c r="AQ111"/>
  <c r="AP111"/>
  <c r="AX111" s="1"/>
  <c r="AA112"/>
  <c r="Z64" i="22" s="1"/>
  <c r="AA114" i="1"/>
  <c r="AA115"/>
  <c r="AH110"/>
  <c r="AM112"/>
  <c r="AH114"/>
  <c r="AU116"/>
  <c r="AQ116"/>
  <c r="AP116" s="1"/>
  <c r="AD116"/>
  <c r="AH111"/>
  <c r="AE17" i="25" l="1"/>
  <c r="AM17" s="1"/>
  <c r="BF65" i="22"/>
  <c r="Y19" i="25"/>
  <c r="AP18"/>
  <c r="AU67" i="22"/>
  <c r="Y16" i="25"/>
  <c r="AT18"/>
  <c r="M64" i="22"/>
  <c r="M63" s="1"/>
  <c r="M55" s="1"/>
  <c r="M16" i="25"/>
  <c r="Z27" i="33"/>
  <c r="V25"/>
  <c r="Z25" s="1"/>
  <c r="AK27"/>
  <c r="AT19" i="25"/>
  <c r="AO19"/>
  <c r="AL17"/>
  <c r="AO17" s="1"/>
  <c r="AI15"/>
  <c r="AK15" s="1"/>
  <c r="AK16"/>
  <c r="AG19"/>
  <c r="AY63" i="22"/>
  <c r="K55"/>
  <c r="AY55" s="1"/>
  <c r="AZ16" i="25"/>
  <c r="L15"/>
  <c r="AX16"/>
  <c r="J15"/>
  <c r="BA64" i="22"/>
  <c r="AY16" i="25"/>
  <c r="K15"/>
  <c r="AZ63" i="22"/>
  <c r="L55"/>
  <c r="AZ55" s="1"/>
  <c r="AX63"/>
  <c r="J55"/>
  <c r="AX55" s="1"/>
  <c r="AX113" i="1"/>
  <c r="BB110"/>
  <c r="BA110" s="1"/>
  <c r="AZ110" s="1"/>
  <c r="AY110" s="1"/>
  <c r="AV65" i="22"/>
  <c r="AR110" i="1"/>
  <c r="AG64" i="22"/>
  <c r="AG63" s="1"/>
  <c r="Y64"/>
  <c r="AC67"/>
  <c r="AW67" s="1"/>
  <c r="AV67"/>
  <c r="AA66"/>
  <c r="AQ66" s="1"/>
  <c r="W18" i="25"/>
  <c r="Y18" s="1"/>
  <c r="AA65" i="22"/>
  <c r="AA63" s="1"/>
  <c r="W17" i="25"/>
  <c r="AA16"/>
  <c r="AF63" i="22"/>
  <c r="AF27" i="33" s="1"/>
  <c r="AN27" s="1"/>
  <c r="AF16" i="25"/>
  <c r="AD63" i="22"/>
  <c r="AD27" i="33" s="1"/>
  <c r="AD16" i="25"/>
  <c r="AA19"/>
  <c r="AC19" s="1"/>
  <c r="AV18"/>
  <c r="AR18"/>
  <c r="X15"/>
  <c r="AB16"/>
  <c r="Z15"/>
  <c r="V35"/>
  <c r="AE63" i="22"/>
  <c r="AE16" i="25"/>
  <c r="AV19"/>
  <c r="AR19"/>
  <c r="AV17"/>
  <c r="AR17"/>
  <c r="AP110" i="1"/>
  <c r="AX110" s="1"/>
  <c r="AK63" i="22"/>
  <c r="AR65"/>
  <c r="AO65"/>
  <c r="AQ67"/>
  <c r="AS67" s="1"/>
  <c r="AM64"/>
  <c r="AM63" s="1"/>
  <c r="Y66"/>
  <c r="AN64"/>
  <c r="AN63" s="1"/>
  <c r="AL64"/>
  <c r="AP64" s="1"/>
  <c r="Z63"/>
  <c r="AT65"/>
  <c r="AP65"/>
  <c r="V55"/>
  <c r="AT66"/>
  <c r="AP66"/>
  <c r="W63"/>
  <c r="AP112" i="1"/>
  <c r="AX116"/>
  <c r="AT116"/>
  <c r="AU115"/>
  <c r="AQ115"/>
  <c r="AP115" s="1"/>
  <c r="AU114"/>
  <c r="AQ114"/>
  <c r="AP114" s="1"/>
  <c r="AU112"/>
  <c r="AQ112"/>
  <c r="AO109"/>
  <c r="AN109"/>
  <c r="AM109"/>
  <c r="AL109"/>
  <c r="AK109" s="1"/>
  <c r="AJ109"/>
  <c r="AI109"/>
  <c r="AH109"/>
  <c r="AG109"/>
  <c r="AF109"/>
  <c r="BF109" s="1"/>
  <c r="AE109"/>
  <c r="AT17" i="25" l="1"/>
  <c r="AG17"/>
  <c r="AE27" i="33"/>
  <c r="AM27" s="1"/>
  <c r="BF63" i="22"/>
  <c r="AP17" i="25"/>
  <c r="M15"/>
  <c r="M35" s="1"/>
  <c r="M37" s="1"/>
  <c r="BA16"/>
  <c r="AV27" i="33"/>
  <c r="AR27"/>
  <c r="Y63" i="22"/>
  <c r="W27" i="33"/>
  <c r="AL27"/>
  <c r="W15" i="25"/>
  <c r="Y17"/>
  <c r="V37"/>
  <c r="AG16"/>
  <c r="AC16"/>
  <c r="BA55" i="22"/>
  <c r="BA63"/>
  <c r="AY15" i="25"/>
  <c r="AY35" s="1"/>
  <c r="AY37" s="1"/>
  <c r="K35"/>
  <c r="K37" s="1"/>
  <c r="AX15"/>
  <c r="J35"/>
  <c r="J37" s="1"/>
  <c r="AZ15"/>
  <c r="AZ35" s="1"/>
  <c r="AZ37" s="1"/>
  <c r="L35"/>
  <c r="L37" s="1"/>
  <c r="AC66" i="22"/>
  <c r="AW66" s="1"/>
  <c r="AC65"/>
  <c r="AW65" s="1"/>
  <c r="AQ65"/>
  <c r="AS65" s="1"/>
  <c r="AU66"/>
  <c r="Z35" i="25"/>
  <c r="AB15"/>
  <c r="AM16"/>
  <c r="AU16" s="1"/>
  <c r="AE15"/>
  <c r="AU19"/>
  <c r="AQ19"/>
  <c r="AS19" s="1"/>
  <c r="AW19"/>
  <c r="AD15"/>
  <c r="AL16"/>
  <c r="AN16"/>
  <c r="AR16" s="1"/>
  <c r="AF15"/>
  <c r="AA17"/>
  <c r="AC17" s="1"/>
  <c r="AA18"/>
  <c r="AC18" s="1"/>
  <c r="AU65" i="22"/>
  <c r="AS66"/>
  <c r="Z55"/>
  <c r="AO64"/>
  <c r="AL63"/>
  <c r="AO63" s="1"/>
  <c r="AU63"/>
  <c r="AQ63"/>
  <c r="AU64"/>
  <c r="AT64"/>
  <c r="AQ64"/>
  <c r="AP109" i="1"/>
  <c r="Y109"/>
  <c r="X109"/>
  <c r="W109"/>
  <c r="V109"/>
  <c r="Q109"/>
  <c r="P109"/>
  <c r="O109"/>
  <c r="N109"/>
  <c r="BB109" s="1"/>
  <c r="M109"/>
  <c r="L109"/>
  <c r="K109"/>
  <c r="J109"/>
  <c r="I109"/>
  <c r="H109"/>
  <c r="G109"/>
  <c r="F109"/>
  <c r="E109"/>
  <c r="D109"/>
  <c r="C109"/>
  <c r="AP108"/>
  <c r="AC108"/>
  <c r="AW108" s="1"/>
  <c r="AB108"/>
  <c r="AV108" s="1"/>
  <c r="AA108"/>
  <c r="AU108" s="1"/>
  <c r="Z108"/>
  <c r="M108"/>
  <c r="L108"/>
  <c r="K108"/>
  <c r="J108"/>
  <c r="AK107"/>
  <c r="AJ38" i="22" s="1"/>
  <c r="AJ27" i="24" s="1"/>
  <c r="AJ107" i="1"/>
  <c r="AI38" i="22" s="1"/>
  <c r="AI27" i="24" s="1"/>
  <c r="AI107" i="1"/>
  <c r="AH38" i="22" s="1"/>
  <c r="AH27" i="24" s="1"/>
  <c r="AG107" i="1"/>
  <c r="AF38" i="22" s="1"/>
  <c r="AF27" i="24" s="1"/>
  <c r="AF107" i="1"/>
  <c r="AE107"/>
  <c r="AD38" i="22" s="1"/>
  <c r="Y107" i="1"/>
  <c r="X38" i="22" s="1"/>
  <c r="X107" i="1"/>
  <c r="W107"/>
  <c r="V38" i="22" s="1"/>
  <c r="V27" i="24" s="1"/>
  <c r="V107" i="1"/>
  <c r="M107"/>
  <c r="L107"/>
  <c r="K107"/>
  <c r="J107"/>
  <c r="F107"/>
  <c r="AG27" i="33" l="1"/>
  <c r="AE38" i="22"/>
  <c r="BF107" i="1"/>
  <c r="BA15" i="25"/>
  <c r="BA35" s="1"/>
  <c r="BA37" s="1"/>
  <c r="AG15"/>
  <c r="AA15"/>
  <c r="AC15" s="1"/>
  <c r="Y15"/>
  <c r="AO27" i="33"/>
  <c r="AP27"/>
  <c r="AT27"/>
  <c r="AA27"/>
  <c r="Y27"/>
  <c r="AO16" i="25"/>
  <c r="Z37"/>
  <c r="N107" i="1"/>
  <c r="N108"/>
  <c r="BA109"/>
  <c r="AD108"/>
  <c r="AQ108"/>
  <c r="BB108"/>
  <c r="BA108" s="1"/>
  <c r="AZ108" s="1"/>
  <c r="AY108" s="1"/>
  <c r="AX108" s="1"/>
  <c r="AX35" i="25"/>
  <c r="AX37" s="1"/>
  <c r="BB107" i="1"/>
  <c r="BA107" s="1"/>
  <c r="AZ107" s="1"/>
  <c r="AY107" s="1"/>
  <c r="AZ109"/>
  <c r="AY109" s="1"/>
  <c r="AQ16" i="25"/>
  <c r="AV16"/>
  <c r="AU18"/>
  <c r="AQ18"/>
  <c r="AS18" s="1"/>
  <c r="AW18"/>
  <c r="AU17"/>
  <c r="AQ17"/>
  <c r="AS17" s="1"/>
  <c r="AW17"/>
  <c r="AN15"/>
  <c r="AV15" s="1"/>
  <c r="AW16"/>
  <c r="AT16"/>
  <c r="AP16"/>
  <c r="AS16" s="1"/>
  <c r="AR15"/>
  <c r="AG38" i="22"/>
  <c r="AD27" i="24"/>
  <c r="Z27"/>
  <c r="AB38" i="22"/>
  <c r="X27" i="24"/>
  <c r="AB27" s="1"/>
  <c r="AL27"/>
  <c r="AK27"/>
  <c r="AL15" i="25"/>
  <c r="AM15"/>
  <c r="AN27" i="24"/>
  <c r="AL38" i="22"/>
  <c r="AK38"/>
  <c r="AN38"/>
  <c r="AP63"/>
  <c r="Z38"/>
  <c r="AB107" i="1"/>
  <c r="W38" i="22"/>
  <c r="AM38"/>
  <c r="AT63"/>
  <c r="AB109" i="1"/>
  <c r="AV109" s="1"/>
  <c r="AC109"/>
  <c r="AW109" s="1"/>
  <c r="AM107"/>
  <c r="AO107"/>
  <c r="AN107" s="1"/>
  <c r="Z109"/>
  <c r="Z107"/>
  <c r="AA107"/>
  <c r="AL107"/>
  <c r="AA109"/>
  <c r="AH107"/>
  <c r="AE27" i="24" l="1"/>
  <c r="AM27" s="1"/>
  <c r="AO27" s="1"/>
  <c r="BF38" i="22"/>
  <c r="AG27" i="24"/>
  <c r="AV38" i="22"/>
  <c r="AO15" i="25"/>
  <c r="AW15" s="1"/>
  <c r="AQ27" i="33"/>
  <c r="AS27" s="1"/>
  <c r="AU27"/>
  <c r="AC27"/>
  <c r="AW27" s="1"/>
  <c r="AV107" i="1"/>
  <c r="AR109"/>
  <c r="AR107"/>
  <c r="AA38" i="22"/>
  <c r="AU38" s="1"/>
  <c r="W27" i="24"/>
  <c r="AR27"/>
  <c r="AV27"/>
  <c r="AP27"/>
  <c r="AT27"/>
  <c r="AQ15" i="25"/>
  <c r="AU15"/>
  <c r="AT15"/>
  <c r="AP15"/>
  <c r="AT38" i="22"/>
  <c r="AP38"/>
  <c r="AR38"/>
  <c r="Y38"/>
  <c r="AO38"/>
  <c r="AP107" i="1"/>
  <c r="AU107"/>
  <c r="AQ107"/>
  <c r="AU109"/>
  <c r="AQ109"/>
  <c r="AD109"/>
  <c r="AX109" s="1"/>
  <c r="AK106"/>
  <c r="AJ37" i="22" s="1"/>
  <c r="AJ26" i="24" s="1"/>
  <c r="AQ38" i="22" l="1"/>
  <c r="AS38" s="1"/>
  <c r="AS15" i="25"/>
  <c r="AC38" i="22"/>
  <c r="AW38" s="1"/>
  <c r="AA27" i="24"/>
  <c r="Y27"/>
  <c r="AJ106" i="1"/>
  <c r="AI37" i="22" s="1"/>
  <c r="AI26" i="24" s="1"/>
  <c r="AI106" i="1"/>
  <c r="AH37" i="22" s="1"/>
  <c r="AH26" i="24" s="1"/>
  <c r="AG106" i="1"/>
  <c r="AF37" i="22" s="1"/>
  <c r="AF106" i="1"/>
  <c r="AE106"/>
  <c r="AD37" i="22" s="1"/>
  <c r="AD26" i="24" s="1"/>
  <c r="Y106" i="1"/>
  <c r="X106"/>
  <c r="W106"/>
  <c r="V37" i="22" s="1"/>
  <c r="V26" i="24" s="1"/>
  <c r="V106" i="1"/>
  <c r="M106"/>
  <c r="L106"/>
  <c r="K106"/>
  <c r="J106"/>
  <c r="F106"/>
  <c r="AK105"/>
  <c r="AJ36" i="22" s="1"/>
  <c r="AJ25" i="24" s="1"/>
  <c r="AJ105" i="1"/>
  <c r="AI36" i="22" s="1"/>
  <c r="AI25" i="24" s="1"/>
  <c r="AI105" i="1"/>
  <c r="AH36" i="22" s="1"/>
  <c r="AH25" i="24" s="1"/>
  <c r="AG105" i="1"/>
  <c r="AF36" i="22" s="1"/>
  <c r="AF25" i="24" s="1"/>
  <c r="AF105" i="1"/>
  <c r="AE105"/>
  <c r="AD36" i="22" s="1"/>
  <c r="Y105" i="1"/>
  <c r="X105"/>
  <c r="W105"/>
  <c r="V36" i="22" s="1"/>
  <c r="V25" i="24" s="1"/>
  <c r="V105" i="1"/>
  <c r="M105"/>
  <c r="L105"/>
  <c r="K105"/>
  <c r="J105"/>
  <c r="F105"/>
  <c r="AE37" i="22" l="1"/>
  <c r="AM37" s="1"/>
  <c r="BF106" i="1"/>
  <c r="AE36" i="22"/>
  <c r="AM36" s="1"/>
  <c r="BF105" i="1"/>
  <c r="N105"/>
  <c r="N106"/>
  <c r="BB106" s="1"/>
  <c r="BA106" s="1"/>
  <c r="AZ106" s="1"/>
  <c r="AY106" s="1"/>
  <c r="BB105"/>
  <c r="BA105" s="1"/>
  <c r="AZ105" s="1"/>
  <c r="AY105" s="1"/>
  <c r="Z25" i="24"/>
  <c r="AK25"/>
  <c r="AN37" i="22"/>
  <c r="AF26" i="24"/>
  <c r="AN26" s="1"/>
  <c r="AN25"/>
  <c r="AG36" i="22"/>
  <c r="AD25" i="24"/>
  <c r="Z26"/>
  <c r="AK26"/>
  <c r="AL26"/>
  <c r="AU27"/>
  <c r="AQ27"/>
  <c r="AS27" s="1"/>
  <c r="AC27"/>
  <c r="AW27" s="1"/>
  <c r="AB105" i="1"/>
  <c r="W36" i="22"/>
  <c r="Z37"/>
  <c r="AC106" i="1"/>
  <c r="X37" i="22"/>
  <c r="AL37"/>
  <c r="AK37"/>
  <c r="Z36"/>
  <c r="AC105" i="1"/>
  <c r="X36" i="22"/>
  <c r="AL36"/>
  <c r="AK36"/>
  <c r="AB106" i="1"/>
  <c r="W37" i="22"/>
  <c r="AN36"/>
  <c r="AG37"/>
  <c r="Z105" i="1"/>
  <c r="AN105"/>
  <c r="AM106"/>
  <c r="AM105"/>
  <c r="Z106"/>
  <c r="AN106"/>
  <c r="AR106" s="1"/>
  <c r="AA106"/>
  <c r="AV106"/>
  <c r="AA105"/>
  <c r="AL105"/>
  <c r="AH106"/>
  <c r="AL106"/>
  <c r="AH105"/>
  <c r="AK104"/>
  <c r="AJ35" i="22" s="1"/>
  <c r="AJ24" i="24" s="1"/>
  <c r="AJ104" i="1"/>
  <c r="AI35" i="22" s="1"/>
  <c r="AI24" i="24" s="1"/>
  <c r="AI104" i="1"/>
  <c r="AH35" i="22" s="1"/>
  <c r="AH24" i="24" s="1"/>
  <c r="AG104" i="1"/>
  <c r="AF35" i="22" s="1"/>
  <c r="AF24" i="24" s="1"/>
  <c r="AE25" l="1"/>
  <c r="AM25" s="1"/>
  <c r="BF36" i="22"/>
  <c r="AE26" i="24"/>
  <c r="BF37" i="22"/>
  <c r="AG25" i="24"/>
  <c r="AV105" i="1"/>
  <c r="AN24" i="24"/>
  <c r="AR105" i="1"/>
  <c r="AK24" i="24"/>
  <c r="AA36" i="22"/>
  <c r="AU36" s="1"/>
  <c r="W25" i="24"/>
  <c r="AT26"/>
  <c r="AL25"/>
  <c r="AO25" s="1"/>
  <c r="AA37" i="22"/>
  <c r="AQ37" s="1"/>
  <c r="W26" i="24"/>
  <c r="AB36" i="22"/>
  <c r="AR36" s="1"/>
  <c r="X25" i="24"/>
  <c r="AB25" s="1"/>
  <c r="AB37" i="22"/>
  <c r="AR37" s="1"/>
  <c r="X26" i="24"/>
  <c r="AB26" s="1"/>
  <c r="AV26" s="1"/>
  <c r="AP26"/>
  <c r="AP25"/>
  <c r="AK35" i="22"/>
  <c r="AT36"/>
  <c r="AP36"/>
  <c r="AN35"/>
  <c r="AO37"/>
  <c r="Y37"/>
  <c r="AT37"/>
  <c r="AP37"/>
  <c r="AO36"/>
  <c r="Y36"/>
  <c r="AO104" i="1"/>
  <c r="AQ106"/>
  <c r="AU106"/>
  <c r="AD106"/>
  <c r="AL104"/>
  <c r="AD105"/>
  <c r="AU105"/>
  <c r="AQ105"/>
  <c r="AF104"/>
  <c r="AE104"/>
  <c r="AD35" i="22" s="1"/>
  <c r="AE35" l="1"/>
  <c r="BF35" s="1"/>
  <c r="BF104" i="1"/>
  <c r="AM26" i="24"/>
  <c r="AO26" s="1"/>
  <c r="AG26"/>
  <c r="AQ36" i="22"/>
  <c r="AU37"/>
  <c r="AR26" i="24"/>
  <c r="AV37" i="22"/>
  <c r="AC36"/>
  <c r="AC37"/>
  <c r="AW37" s="1"/>
  <c r="AV36"/>
  <c r="AT25" i="24"/>
  <c r="AM35" i="22"/>
  <c r="AL35"/>
  <c r="AO35" s="1"/>
  <c r="AD24" i="24"/>
  <c r="AR25"/>
  <c r="AV25"/>
  <c r="AA26"/>
  <c r="Y26"/>
  <c r="AA25"/>
  <c r="Y25"/>
  <c r="AS36" i="22"/>
  <c r="AS37"/>
  <c r="AW36"/>
  <c r="AM104" i="1"/>
  <c r="AH104"/>
  <c r="AN104"/>
  <c r="Y104"/>
  <c r="X35" i="22" s="1"/>
  <c r="X104" i="1"/>
  <c r="W35" i="22" s="1"/>
  <c r="W104" i="1"/>
  <c r="V104"/>
  <c r="M104"/>
  <c r="L104"/>
  <c r="K104"/>
  <c r="J104"/>
  <c r="F104"/>
  <c r="AO103"/>
  <c r="AN103"/>
  <c r="AM103"/>
  <c r="AL103"/>
  <c r="AH103"/>
  <c r="AC103"/>
  <c r="AW103" s="1"/>
  <c r="AB103"/>
  <c r="AV103" s="1"/>
  <c r="AA103"/>
  <c r="AU103" s="1"/>
  <c r="Z103"/>
  <c r="V103"/>
  <c r="M103"/>
  <c r="L103"/>
  <c r="K103"/>
  <c r="J103"/>
  <c r="F103"/>
  <c r="AG35" i="22" l="1"/>
  <c r="AE24" i="24"/>
  <c r="AM24" s="1"/>
  <c r="N104" i="1"/>
  <c r="BB104" s="1"/>
  <c r="BA104" s="1"/>
  <c r="AZ104" s="1"/>
  <c r="AY104" s="1"/>
  <c r="N103"/>
  <c r="BB103" s="1"/>
  <c r="BA103" s="1"/>
  <c r="AZ103" s="1"/>
  <c r="AY103" s="1"/>
  <c r="AD103"/>
  <c r="AP103"/>
  <c r="AA35" i="22"/>
  <c r="AQ35" s="1"/>
  <c r="W24" i="24"/>
  <c r="AA24" s="1"/>
  <c r="AG24"/>
  <c r="AL24"/>
  <c r="AB35" i="22"/>
  <c r="AR35" s="1"/>
  <c r="X24" i="24"/>
  <c r="AB24" s="1"/>
  <c r="AU25"/>
  <c r="AQ25"/>
  <c r="AS25" s="1"/>
  <c r="AC25"/>
  <c r="AW25" s="1"/>
  <c r="AQ26"/>
  <c r="AS26" s="1"/>
  <c r="AU26"/>
  <c r="AC26"/>
  <c r="AW26" s="1"/>
  <c r="W289" i="1"/>
  <c r="V35" i="22"/>
  <c r="V24" i="24" s="1"/>
  <c r="AQ103" i="1"/>
  <c r="AB104"/>
  <c r="AC104"/>
  <c r="Z104"/>
  <c r="AA104"/>
  <c r="AP104"/>
  <c r="AK102"/>
  <c r="AJ34" i="22" s="1"/>
  <c r="AJ102" i="1"/>
  <c r="AI34" i="22" s="1"/>
  <c r="AI102" i="1"/>
  <c r="AG102"/>
  <c r="AF102"/>
  <c r="BF102" s="1"/>
  <c r="AE102"/>
  <c r="Y102"/>
  <c r="X34" i="22" s="1"/>
  <c r="X102" i="1"/>
  <c r="W102"/>
  <c r="V34" i="22" s="1"/>
  <c r="V23" i="24" s="1"/>
  <c r="V102" i="1"/>
  <c r="M102"/>
  <c r="L102"/>
  <c r="K102"/>
  <c r="J102"/>
  <c r="F102"/>
  <c r="AU35" i="22" l="1"/>
  <c r="AX103" i="1"/>
  <c r="N102"/>
  <c r="BB102" s="1"/>
  <c r="BA102" s="1"/>
  <c r="AZ102" s="1"/>
  <c r="AY102" s="1"/>
  <c r="AV35" i="22"/>
  <c r="V22" i="24"/>
  <c r="X33" i="22"/>
  <c r="X20" i="33" s="1"/>
  <c r="AB20" s="1"/>
  <c r="X23" i="24"/>
  <c r="X22" s="1"/>
  <c r="AJ33" i="22"/>
  <c r="AJ20" i="33" s="1"/>
  <c r="AJ23" i="24"/>
  <c r="AJ22" s="1"/>
  <c r="AI33" i="22"/>
  <c r="AI20" i="33" s="1"/>
  <c r="AI23" i="24"/>
  <c r="AI22" s="1"/>
  <c r="Z24"/>
  <c r="Y24"/>
  <c r="AV24"/>
  <c r="AR24"/>
  <c r="AT24"/>
  <c r="AO24"/>
  <c r="AQ24"/>
  <c r="AU24"/>
  <c r="V33" i="22"/>
  <c r="V20" i="33" s="1"/>
  <c r="Z20" s="1"/>
  <c r="AI288" i="1"/>
  <c r="AH34" i="22"/>
  <c r="AB102" i="1"/>
  <c r="W34" i="22"/>
  <c r="Y35"/>
  <c r="Z35"/>
  <c r="Z102" i="1"/>
  <c r="AN102"/>
  <c r="AH102"/>
  <c r="AO102"/>
  <c r="AM102"/>
  <c r="AU104"/>
  <c r="AQ104"/>
  <c r="AD104"/>
  <c r="AX104" s="1"/>
  <c r="AW104"/>
  <c r="AS104"/>
  <c r="AV104"/>
  <c r="AR104"/>
  <c r="AA102"/>
  <c r="AC102"/>
  <c r="AL102"/>
  <c r="AL101"/>
  <c r="AG101"/>
  <c r="AO101" s="1"/>
  <c r="W33" i="22" l="1"/>
  <c r="W23" i="24"/>
  <c r="AH33" i="22"/>
  <c r="AH20" i="33" s="1"/>
  <c r="AK20" s="1"/>
  <c r="AH23" i="24"/>
  <c r="AH22" s="1"/>
  <c r="AC24"/>
  <c r="AW24" s="1"/>
  <c r="AP24"/>
  <c r="AS24" s="1"/>
  <c r="Y34" i="22"/>
  <c r="AC35"/>
  <c r="AW35" s="1"/>
  <c r="AT35"/>
  <c r="AP35"/>
  <c r="AS35" s="1"/>
  <c r="AV102" i="1"/>
  <c r="AR102"/>
  <c r="AP102"/>
  <c r="AA289"/>
  <c r="AW102"/>
  <c r="AS102"/>
  <c r="AU102"/>
  <c r="AD102"/>
  <c r="AQ102"/>
  <c r="AT104"/>
  <c r="AF101"/>
  <c r="AE101"/>
  <c r="AC101"/>
  <c r="AW101" s="1"/>
  <c r="AB101"/>
  <c r="AA101"/>
  <c r="AU101" s="1"/>
  <c r="Z101"/>
  <c r="V101"/>
  <c r="M101"/>
  <c r="L101"/>
  <c r="K101"/>
  <c r="J101"/>
  <c r="F101"/>
  <c r="AN101" l="1"/>
  <c r="AR101" s="1"/>
  <c r="BF101"/>
  <c r="AD101"/>
  <c r="AX102"/>
  <c r="Y33" i="22"/>
  <c r="W20" i="33"/>
  <c r="N101" i="1"/>
  <c r="BB101" s="1"/>
  <c r="BA101" s="1"/>
  <c r="AZ101" s="1"/>
  <c r="AY101" s="1"/>
  <c r="W22" i="24"/>
  <c r="Y22" s="1"/>
  <c r="Y23"/>
  <c r="T289" i="1"/>
  <c r="AT102"/>
  <c r="BD102" s="1"/>
  <c r="AM101"/>
  <c r="AH101"/>
  <c r="AV101"/>
  <c r="AA20" i="33" l="1"/>
  <c r="Y20"/>
  <c r="S289" i="1"/>
  <c r="T290"/>
  <c r="AQ101"/>
  <c r="AP101"/>
  <c r="AX101" s="1"/>
  <c r="AL100"/>
  <c r="AL99" s="1"/>
  <c r="AG100"/>
  <c r="AF100"/>
  <c r="AE100"/>
  <c r="AE99" s="1"/>
  <c r="AC100"/>
  <c r="AB100"/>
  <c r="AA100"/>
  <c r="Z100"/>
  <c r="V100"/>
  <c r="M100"/>
  <c r="L100"/>
  <c r="K100"/>
  <c r="J100"/>
  <c r="F100"/>
  <c r="AK99"/>
  <c r="AJ99"/>
  <c r="AI99"/>
  <c r="AG99"/>
  <c r="AF99" l="1"/>
  <c r="BF99" s="1"/>
  <c r="BF100"/>
  <c r="AC20" i="33"/>
  <c r="I23" i="24"/>
  <c r="I22" s="1"/>
  <c r="I43" s="1"/>
  <c r="I34" i="22"/>
  <c r="I33" s="1"/>
  <c r="I18" s="1"/>
  <c r="J288" i="1"/>
  <c r="K23" i="24"/>
  <c r="K34" i="22"/>
  <c r="L288" i="1"/>
  <c r="AZ100"/>
  <c r="U23" i="24"/>
  <c r="U22" s="1"/>
  <c r="U43" s="1"/>
  <c r="U34" i="22"/>
  <c r="U33" s="1"/>
  <c r="U18" s="1"/>
  <c r="U17" s="1"/>
  <c r="V288" i="1"/>
  <c r="Z23" i="24"/>
  <c r="AA288" i="1"/>
  <c r="Z34" i="22"/>
  <c r="AB23" i="24"/>
  <c r="AB22" s="1"/>
  <c r="AW100" i="1"/>
  <c r="AB34" i="22"/>
  <c r="AB33" s="1"/>
  <c r="F288" i="1"/>
  <c r="J23" i="24"/>
  <c r="J34" i="22"/>
  <c r="K288" i="1"/>
  <c r="AY100"/>
  <c r="L23" i="24"/>
  <c r="L34" i="22"/>
  <c r="M288" i="1"/>
  <c r="BA100"/>
  <c r="AA23" i="24"/>
  <c r="AA22" s="1"/>
  <c r="AA34" i="22"/>
  <c r="AA33" s="1"/>
  <c r="AK23" i="24"/>
  <c r="AK22" s="1"/>
  <c r="AK34" i="22"/>
  <c r="AK33" s="1"/>
  <c r="N100" i="1"/>
  <c r="N99" s="1"/>
  <c r="BB99" s="1"/>
  <c r="AD100"/>
  <c r="AM100"/>
  <c r="AM288" s="1"/>
  <c r="AD34" i="22"/>
  <c r="AG288" i="1"/>
  <c r="AF34" i="22"/>
  <c r="AN100" i="1"/>
  <c r="AE34" i="22"/>
  <c r="BF34" s="1"/>
  <c r="S290" i="1"/>
  <c r="AF288"/>
  <c r="AE288"/>
  <c r="AH100"/>
  <c r="AO100"/>
  <c r="Y99"/>
  <c r="X99"/>
  <c r="W99"/>
  <c r="V99"/>
  <c r="Q99"/>
  <c r="P99"/>
  <c r="O99"/>
  <c r="M99"/>
  <c r="L99"/>
  <c r="K99"/>
  <c r="J99"/>
  <c r="I99"/>
  <c r="H99"/>
  <c r="G99"/>
  <c r="F99"/>
  <c r="E99"/>
  <c r="D99"/>
  <c r="C99"/>
  <c r="AP98"/>
  <c r="AC98"/>
  <c r="AW98" s="1"/>
  <c r="AB98"/>
  <c r="AV98" s="1"/>
  <c r="AA98"/>
  <c r="AQ98" s="1"/>
  <c r="Z98"/>
  <c r="M98"/>
  <c r="L98"/>
  <c r="K98"/>
  <c r="J98"/>
  <c r="I45" i="24" l="1"/>
  <c r="U45"/>
  <c r="N98" i="1"/>
  <c r="BA99"/>
  <c r="AZ99" s="1"/>
  <c r="AY99" s="1"/>
  <c r="M23" i="24"/>
  <c r="M22" s="1"/>
  <c r="M43" s="1"/>
  <c r="M34" i="22"/>
  <c r="M33" s="1"/>
  <c r="M18" s="1"/>
  <c r="N288" i="1"/>
  <c r="BB100"/>
  <c r="AZ23" i="24"/>
  <c r="L22"/>
  <c r="AX23"/>
  <c r="J22"/>
  <c r="AC34" i="22"/>
  <c r="Z33"/>
  <c r="AC33" s="1"/>
  <c r="AC23" i="24"/>
  <c r="Z22"/>
  <c r="AC22" s="1"/>
  <c r="AY34" i="22"/>
  <c r="K33"/>
  <c r="AZ34"/>
  <c r="L33"/>
  <c r="AX34"/>
  <c r="BA34" s="1"/>
  <c r="J33"/>
  <c r="AY23" i="24"/>
  <c r="K22"/>
  <c r="AU98" i="1"/>
  <c r="AD98"/>
  <c r="BB98"/>
  <c r="BA98" s="1"/>
  <c r="AZ98" s="1"/>
  <c r="AY98" s="1"/>
  <c r="AX98" s="1"/>
  <c r="AM99"/>
  <c r="AU100"/>
  <c r="AQ100"/>
  <c r="AQ288" s="1"/>
  <c r="AM34" i="22"/>
  <c r="AM33" s="1"/>
  <c r="AM23" i="24"/>
  <c r="AG34" i="22"/>
  <c r="AG33" s="1"/>
  <c r="AG23" i="24"/>
  <c r="AG22" s="1"/>
  <c r="AE33" i="22"/>
  <c r="AE23" i="24"/>
  <c r="AE22" s="1"/>
  <c r="AF33" i="22"/>
  <c r="AF20" i="33" s="1"/>
  <c r="AN20" s="1"/>
  <c r="AF23" i="24"/>
  <c r="AF22" s="1"/>
  <c r="AD33" i="22"/>
  <c r="AD20" i="33" s="1"/>
  <c r="AD23" i="24"/>
  <c r="AD22" s="1"/>
  <c r="AN99" i="1"/>
  <c r="AN34" i="22"/>
  <c r="AN33" s="1"/>
  <c r="AN23" i="24"/>
  <c r="AL34" i="22"/>
  <c r="AP34" s="1"/>
  <c r="AL23" i="24"/>
  <c r="AV100" i="1"/>
  <c r="AC99"/>
  <c r="AB99"/>
  <c r="Z99"/>
  <c r="AH288"/>
  <c r="AH99"/>
  <c r="AA99"/>
  <c r="AS100"/>
  <c r="AR100" s="1"/>
  <c r="AU288"/>
  <c r="AP100"/>
  <c r="W97"/>
  <c r="V97"/>
  <c r="Q97"/>
  <c r="P97"/>
  <c r="O97"/>
  <c r="R97" s="1"/>
  <c r="N97"/>
  <c r="M97"/>
  <c r="L97"/>
  <c r="K97"/>
  <c r="J97"/>
  <c r="I97"/>
  <c r="H97"/>
  <c r="G97"/>
  <c r="F97"/>
  <c r="D97"/>
  <c r="AP96"/>
  <c r="AC96"/>
  <c r="AW96" s="1"/>
  <c r="AB96"/>
  <c r="AV96" s="1"/>
  <c r="AA96"/>
  <c r="AU96" s="1"/>
  <c r="Z96"/>
  <c r="M96"/>
  <c r="L96"/>
  <c r="K96"/>
  <c r="J96"/>
  <c r="AP95"/>
  <c r="AC95"/>
  <c r="AW95" s="1"/>
  <c r="AB95"/>
  <c r="AV95" s="1"/>
  <c r="AA95"/>
  <c r="AQ95" s="1"/>
  <c r="Z95"/>
  <c r="M95"/>
  <c r="L95"/>
  <c r="K95"/>
  <c r="J95"/>
  <c r="AL94"/>
  <c r="AG94"/>
  <c r="AF94"/>
  <c r="AE94"/>
  <c r="Y94"/>
  <c r="X94"/>
  <c r="W94"/>
  <c r="V94"/>
  <c r="M94"/>
  <c r="L94"/>
  <c r="K94"/>
  <c r="J94"/>
  <c r="F94"/>
  <c r="AL93"/>
  <c r="AG93"/>
  <c r="AF93"/>
  <c r="AN93" s="1"/>
  <c r="AE93"/>
  <c r="Y93"/>
  <c r="AC93" s="1"/>
  <c r="X93"/>
  <c r="AB93" s="1"/>
  <c r="W93"/>
  <c r="V93"/>
  <c r="M93"/>
  <c r="L93"/>
  <c r="K93"/>
  <c r="J93"/>
  <c r="F93"/>
  <c r="AL92"/>
  <c r="AG92"/>
  <c r="AF92"/>
  <c r="AE92"/>
  <c r="Y92"/>
  <c r="AC92" s="1"/>
  <c r="AW92" s="1"/>
  <c r="X92"/>
  <c r="AB92" s="1"/>
  <c r="W92"/>
  <c r="AA92" s="1"/>
  <c r="V92"/>
  <c r="M92"/>
  <c r="L92"/>
  <c r="K92"/>
  <c r="J92"/>
  <c r="F92"/>
  <c r="AE20" i="33" l="1"/>
  <c r="AM20" s="1"/>
  <c r="AU20" s="1"/>
  <c r="BF33" i="22"/>
  <c r="M45" i="24"/>
  <c r="AL20" i="33"/>
  <c r="AR20"/>
  <c r="AV20"/>
  <c r="AQ20"/>
  <c r="N93" i="1"/>
  <c r="AV99"/>
  <c r="N95"/>
  <c r="N96"/>
  <c r="AQ96"/>
  <c r="N92"/>
  <c r="N94"/>
  <c r="AQ34" i="22"/>
  <c r="C97" i="1"/>
  <c r="V289"/>
  <c r="U289" s="1"/>
  <c r="U290" s="1"/>
  <c r="E97"/>
  <c r="AY22" i="24"/>
  <c r="AY43" s="1"/>
  <c r="K43"/>
  <c r="AX33" i="22"/>
  <c r="J18"/>
  <c r="AX18" s="1"/>
  <c r="AZ33"/>
  <c r="L18"/>
  <c r="AZ18" s="1"/>
  <c r="AY33"/>
  <c r="K18"/>
  <c r="AY18" s="1"/>
  <c r="AX22" i="24"/>
  <c r="J43"/>
  <c r="J45" s="1"/>
  <c r="AZ22"/>
  <c r="AZ43" s="1"/>
  <c r="L43"/>
  <c r="L45" s="1"/>
  <c r="BB92" i="1"/>
  <c r="BA92" s="1"/>
  <c r="AZ92" s="1"/>
  <c r="AY92" s="1"/>
  <c r="BB94"/>
  <c r="BA94" s="1"/>
  <c r="AZ94" s="1"/>
  <c r="AY94" s="1"/>
  <c r="AU95"/>
  <c r="AD96"/>
  <c r="BA23" i="24"/>
  <c r="BB93" i="1"/>
  <c r="BA93" s="1"/>
  <c r="AZ93" s="1"/>
  <c r="AY93" s="1"/>
  <c r="AD95"/>
  <c r="BB95"/>
  <c r="BA95" s="1"/>
  <c r="AZ95" s="1"/>
  <c r="AY95" s="1"/>
  <c r="AY97"/>
  <c r="BA97"/>
  <c r="AZ97"/>
  <c r="N289"/>
  <c r="BB97"/>
  <c r="AR34" i="22"/>
  <c r="AU34"/>
  <c r="AO34"/>
  <c r="AW34" s="1"/>
  <c r="AT100" i="1"/>
  <c r="BD100" s="1"/>
  <c r="AV34" i="22"/>
  <c r="AL33"/>
  <c r="AT33" s="1"/>
  <c r="AO23" i="24"/>
  <c r="AW23" s="1"/>
  <c r="AL22"/>
  <c r="AP23"/>
  <c r="AT23"/>
  <c r="AN22"/>
  <c r="AR23"/>
  <c r="AV23"/>
  <c r="AT34" i="22"/>
  <c r="AM22" i="24"/>
  <c r="AU23"/>
  <c r="AQ23"/>
  <c r="AO33" i="22"/>
  <c r="AW33" s="1"/>
  <c r="AU33"/>
  <c r="AQ33"/>
  <c r="AV33"/>
  <c r="AR33"/>
  <c r="Z92" i="1"/>
  <c r="AH93"/>
  <c r="AR99"/>
  <c r="AO94"/>
  <c r="Z93"/>
  <c r="AM93"/>
  <c r="AM94"/>
  <c r="AH92"/>
  <c r="AV93"/>
  <c r="AR93"/>
  <c r="AW93"/>
  <c r="AU99"/>
  <c r="AQ99"/>
  <c r="AD99"/>
  <c r="AA93"/>
  <c r="AH94"/>
  <c r="AD92"/>
  <c r="AU92"/>
  <c r="Z94"/>
  <c r="AC94"/>
  <c r="AN94"/>
  <c r="AA97"/>
  <c r="AX100"/>
  <c r="AA94"/>
  <c r="AL91"/>
  <c r="AG91"/>
  <c r="AF91"/>
  <c r="AE91"/>
  <c r="Y91"/>
  <c r="AC91" s="1"/>
  <c r="AW91" s="1"/>
  <c r="X91"/>
  <c r="AB91" s="1"/>
  <c r="W91"/>
  <c r="AA91" s="1"/>
  <c r="V91"/>
  <c r="M91"/>
  <c r="L91"/>
  <c r="K91"/>
  <c r="J91"/>
  <c r="F91"/>
  <c r="AL90"/>
  <c r="AG90"/>
  <c r="AF90"/>
  <c r="AE90"/>
  <c r="Y90"/>
  <c r="X90"/>
  <c r="W90"/>
  <c r="V90"/>
  <c r="M90"/>
  <c r="L90"/>
  <c r="K90"/>
  <c r="J90"/>
  <c r="F90"/>
  <c r="AL89"/>
  <c r="AG89"/>
  <c r="AF89"/>
  <c r="AE89"/>
  <c r="Y89"/>
  <c r="X89"/>
  <c r="W89"/>
  <c r="V89"/>
  <c r="M89"/>
  <c r="L89"/>
  <c r="K89"/>
  <c r="J89"/>
  <c r="F89"/>
  <c r="AL88"/>
  <c r="AG88"/>
  <c r="AF88"/>
  <c r="AE88"/>
  <c r="Y88"/>
  <c r="X88"/>
  <c r="W88"/>
  <c r="V88"/>
  <c r="M88"/>
  <c r="L88"/>
  <c r="K88"/>
  <c r="J88"/>
  <c r="F88"/>
  <c r="AL87"/>
  <c r="AG87"/>
  <c r="AF87"/>
  <c r="AE87"/>
  <c r="Y87"/>
  <c r="X87"/>
  <c r="W87"/>
  <c r="V87"/>
  <c r="M87"/>
  <c r="L87"/>
  <c r="K87"/>
  <c r="J87"/>
  <c r="F87"/>
  <c r="AL86"/>
  <c r="AG86"/>
  <c r="AF86"/>
  <c r="AE86"/>
  <c r="Y86"/>
  <c r="X86"/>
  <c r="W86"/>
  <c r="V86"/>
  <c r="M86"/>
  <c r="L86"/>
  <c r="K86"/>
  <c r="J86"/>
  <c r="F86"/>
  <c r="AL85"/>
  <c r="AG85"/>
  <c r="AF85"/>
  <c r="AE85"/>
  <c r="Y85"/>
  <c r="X85"/>
  <c r="W85"/>
  <c r="V85"/>
  <c r="M85"/>
  <c r="L85"/>
  <c r="K85"/>
  <c r="J85"/>
  <c r="F85"/>
  <c r="AL84"/>
  <c r="AG84"/>
  <c r="AF84"/>
  <c r="AE84"/>
  <c r="Y84"/>
  <c r="X84"/>
  <c r="W84"/>
  <c r="V84"/>
  <c r="M84"/>
  <c r="L84"/>
  <c r="K84"/>
  <c r="J84"/>
  <c r="F84"/>
  <c r="AL83"/>
  <c r="AG83"/>
  <c r="AF83"/>
  <c r="AE83"/>
  <c r="Y83"/>
  <c r="X83"/>
  <c r="W83"/>
  <c r="V83"/>
  <c r="M83"/>
  <c r="L83"/>
  <c r="K83"/>
  <c r="J83"/>
  <c r="F83"/>
  <c r="AL82"/>
  <c r="AG82"/>
  <c r="AF82"/>
  <c r="AE82"/>
  <c r="Y82"/>
  <c r="X82"/>
  <c r="W82"/>
  <c r="V82"/>
  <c r="M82"/>
  <c r="L82"/>
  <c r="K82"/>
  <c r="J82"/>
  <c r="F82"/>
  <c r="AO81"/>
  <c r="AN81"/>
  <c r="AM81"/>
  <c r="AL81"/>
  <c r="AH81"/>
  <c r="AC81"/>
  <c r="AW81" s="1"/>
  <c r="AB81"/>
  <c r="AV81" s="1"/>
  <c r="AA81"/>
  <c r="AU81" s="1"/>
  <c r="Z81"/>
  <c r="V81"/>
  <c r="M81"/>
  <c r="L81"/>
  <c r="K81"/>
  <c r="J81"/>
  <c r="F81"/>
  <c r="AG20" i="33" l="1"/>
  <c r="N82" i="1"/>
  <c r="N84"/>
  <c r="AX95"/>
  <c r="N86"/>
  <c r="N90"/>
  <c r="AZ45" i="24"/>
  <c r="AY45"/>
  <c r="K45"/>
  <c r="AO20" i="33"/>
  <c r="AW20" s="1"/>
  <c r="AT20"/>
  <c r="AP20"/>
  <c r="AS20" s="1"/>
  <c r="AS34" i="22"/>
  <c r="AP81" i="1"/>
  <c r="N81"/>
  <c r="N88"/>
  <c r="BB88" s="1"/>
  <c r="BA88" s="1"/>
  <c r="AZ88" s="1"/>
  <c r="AY88" s="1"/>
  <c r="N83"/>
  <c r="BB83" s="1"/>
  <c r="BA83" s="1"/>
  <c r="AZ83" s="1"/>
  <c r="AY83" s="1"/>
  <c r="N85"/>
  <c r="N87"/>
  <c r="N89"/>
  <c r="BB89" s="1"/>
  <c r="BA89" s="1"/>
  <c r="AZ89" s="1"/>
  <c r="AY89" s="1"/>
  <c r="N91"/>
  <c r="BB91" s="1"/>
  <c r="BA91" s="1"/>
  <c r="AZ91" s="1"/>
  <c r="AY91" s="1"/>
  <c r="BB85"/>
  <c r="BA85" s="1"/>
  <c r="AZ85" s="1"/>
  <c r="AY85" s="1"/>
  <c r="BA22" i="24"/>
  <c r="BA43" s="1"/>
  <c r="AX43"/>
  <c r="AX45" s="1"/>
  <c r="BB96" i="1"/>
  <c r="BA96" s="1"/>
  <c r="AZ96" s="1"/>
  <c r="AY96" s="1"/>
  <c r="AX96" s="1"/>
  <c r="AQ81"/>
  <c r="BB81"/>
  <c r="BA81" s="1"/>
  <c r="AZ81" s="1"/>
  <c r="AY81" s="1"/>
  <c r="BB87"/>
  <c r="BA87" s="1"/>
  <c r="AZ87" s="1"/>
  <c r="AY87" s="1"/>
  <c r="BA18" i="22"/>
  <c r="AD81" i="1"/>
  <c r="BB82"/>
  <c r="BA82" s="1"/>
  <c r="AZ82" s="1"/>
  <c r="AY82" s="1"/>
  <c r="BB84"/>
  <c r="BA84" s="1"/>
  <c r="AZ84" s="1"/>
  <c r="AY84" s="1"/>
  <c r="BB86"/>
  <c r="BA86" s="1"/>
  <c r="AZ86" s="1"/>
  <c r="AY86" s="1"/>
  <c r="BB90"/>
  <c r="BA90" s="1"/>
  <c r="AZ90" s="1"/>
  <c r="AY90" s="1"/>
  <c r="BA33" i="22"/>
  <c r="M289" i="1"/>
  <c r="AP33" i="22"/>
  <c r="AS33" s="1"/>
  <c r="BB33" s="1"/>
  <c r="AQ22" i="24"/>
  <c r="AU22"/>
  <c r="AV22"/>
  <c r="AR22"/>
  <c r="AS23"/>
  <c r="AO22"/>
  <c r="AW22" s="1"/>
  <c r="AP22"/>
  <c r="AT22"/>
  <c r="AC88" i="1"/>
  <c r="AW88" s="1"/>
  <c r="AC83"/>
  <c r="AC89"/>
  <c r="AO82"/>
  <c r="AO84"/>
  <c r="AM85"/>
  <c r="AM86"/>
  <c r="AM90"/>
  <c r="AO85"/>
  <c r="AB86"/>
  <c r="AO86"/>
  <c r="AN89"/>
  <c r="AB90"/>
  <c r="AO90"/>
  <c r="AH91"/>
  <c r="AP94"/>
  <c r="AM82"/>
  <c r="AN83"/>
  <c r="AM84"/>
  <c r="AN88"/>
  <c r="AD91"/>
  <c r="AQ94"/>
  <c r="AU94"/>
  <c r="AB94"/>
  <c r="AW94"/>
  <c r="AA82"/>
  <c r="AC82"/>
  <c r="AW82" s="1"/>
  <c r="AN82"/>
  <c r="AA83"/>
  <c r="AH83"/>
  <c r="AM83"/>
  <c r="AO83"/>
  <c r="Z84"/>
  <c r="AC84"/>
  <c r="AN84"/>
  <c r="AA85"/>
  <c r="AC85"/>
  <c r="AW85" s="1"/>
  <c r="AN85"/>
  <c r="AA86"/>
  <c r="AC86"/>
  <c r="AW86" s="1"/>
  <c r="AN86"/>
  <c r="Z87"/>
  <c r="AB87"/>
  <c r="AH87"/>
  <c r="AM87"/>
  <c r="AO87"/>
  <c r="AB88"/>
  <c r="AV88" s="1"/>
  <c r="AH88"/>
  <c r="AM88"/>
  <c r="AO88"/>
  <c r="AA89"/>
  <c r="AH89"/>
  <c r="AM89"/>
  <c r="AO89"/>
  <c r="AA90"/>
  <c r="AC90"/>
  <c r="AW90" s="1"/>
  <c r="AN90"/>
  <c r="AP90" s="1"/>
  <c r="Z91"/>
  <c r="AU93"/>
  <c r="AQ93"/>
  <c r="AD93"/>
  <c r="Z82"/>
  <c r="AB82"/>
  <c r="AH82"/>
  <c r="Z83"/>
  <c r="AB83"/>
  <c r="AW83"/>
  <c r="AA84"/>
  <c r="AH84"/>
  <c r="Z85"/>
  <c r="AB85"/>
  <c r="AV85" s="1"/>
  <c r="AH85"/>
  <c r="AH86"/>
  <c r="AA87"/>
  <c r="AC87"/>
  <c r="AW87" s="1"/>
  <c r="AN87"/>
  <c r="AA88"/>
  <c r="Z89"/>
  <c r="AB89"/>
  <c r="AW89"/>
  <c r="AH90"/>
  <c r="AO80"/>
  <c r="AN80"/>
  <c r="AM80"/>
  <c r="AL80"/>
  <c r="AH80"/>
  <c r="AC80"/>
  <c r="AW80" s="1"/>
  <c r="AB80"/>
  <c r="AV80" s="1"/>
  <c r="AA80"/>
  <c r="Z80"/>
  <c r="V80"/>
  <c r="M80"/>
  <c r="L80"/>
  <c r="K80"/>
  <c r="J80"/>
  <c r="F80"/>
  <c r="AI79"/>
  <c r="AH31" i="22" s="1"/>
  <c r="AH20" i="24" s="1"/>
  <c r="W79" i="1"/>
  <c r="V31" i="22" s="1"/>
  <c r="V20" i="24" s="1"/>
  <c r="V79" i="1"/>
  <c r="M79"/>
  <c r="L79"/>
  <c r="K79"/>
  <c r="J79"/>
  <c r="F79"/>
  <c r="AI78"/>
  <c r="AH30" i="22" s="1"/>
  <c r="AH19" i="24" s="1"/>
  <c r="W78" i="1"/>
  <c r="V30" i="22" s="1"/>
  <c r="V19" i="24" s="1"/>
  <c r="V78" i="1"/>
  <c r="M78"/>
  <c r="L78"/>
  <c r="K78"/>
  <c r="J78"/>
  <c r="F78"/>
  <c r="AI77"/>
  <c r="AH29" i="22" s="1"/>
  <c r="AH18" i="24" s="1"/>
  <c r="W77" i="1"/>
  <c r="V29" i="22" s="1"/>
  <c r="V18" i="24" s="1"/>
  <c r="V77" i="1"/>
  <c r="M77"/>
  <c r="L77"/>
  <c r="K77"/>
  <c r="J77"/>
  <c r="F77"/>
  <c r="AK76"/>
  <c r="AJ28" i="22" s="1"/>
  <c r="AJ17" i="24" s="1"/>
  <c r="AJ76" i="1"/>
  <c r="AI28" i="22" s="1"/>
  <c r="AI17" i="24" s="1"/>
  <c r="AI76" i="1"/>
  <c r="AH28" i="22" s="1"/>
  <c r="AH17" i="24" s="1"/>
  <c r="AG76" i="1"/>
  <c r="AF28" i="22" s="1"/>
  <c r="AF17" i="24" s="1"/>
  <c r="AF76" i="1"/>
  <c r="AE76"/>
  <c r="AD28" i="22" s="1"/>
  <c r="AD17" i="24" s="1"/>
  <c r="Y76" i="1"/>
  <c r="X28" i="22" s="1"/>
  <c r="X76" i="1"/>
  <c r="W76"/>
  <c r="V28" i="22" s="1"/>
  <c r="V17" i="24" s="1"/>
  <c r="V76" i="1"/>
  <c r="M76"/>
  <c r="L76"/>
  <c r="K76"/>
  <c r="J76"/>
  <c r="F76"/>
  <c r="AE28" i="22" l="1"/>
  <c r="AG28" s="1"/>
  <c r="BF76" i="1"/>
  <c r="AV87"/>
  <c r="AV90"/>
  <c r="AV86"/>
  <c r="N79"/>
  <c r="BB79" s="1"/>
  <c r="BA79" s="1"/>
  <c r="AZ79" s="1"/>
  <c r="AY79" s="1"/>
  <c r="AD80"/>
  <c r="BA45" i="24"/>
  <c r="N76" i="1"/>
  <c r="N77"/>
  <c r="N78"/>
  <c r="N80"/>
  <c r="BB80" s="1"/>
  <c r="BA80" s="1"/>
  <c r="AZ80" s="1"/>
  <c r="AY80" s="1"/>
  <c r="AX80" s="1"/>
  <c r="AP80"/>
  <c r="BB77"/>
  <c r="BA77" s="1"/>
  <c r="AZ77" s="1"/>
  <c r="AY77" s="1"/>
  <c r="AX81"/>
  <c r="AQ80"/>
  <c r="AU80"/>
  <c r="BB76"/>
  <c r="BA76" s="1"/>
  <c r="AZ76" s="1"/>
  <c r="AY76" s="1"/>
  <c r="BB78"/>
  <c r="BA78" s="1"/>
  <c r="AZ78" s="1"/>
  <c r="AY78" s="1"/>
  <c r="L289"/>
  <c r="K289" s="1"/>
  <c r="J289" s="1"/>
  <c r="I289" s="1"/>
  <c r="H289" s="1"/>
  <c r="G289" s="1"/>
  <c r="F289" s="1"/>
  <c r="E289" s="1"/>
  <c r="Z18" i="24"/>
  <c r="Z20"/>
  <c r="AS22"/>
  <c r="Z17"/>
  <c r="AB28" i="22"/>
  <c r="X17" i="24"/>
  <c r="AB17" s="1"/>
  <c r="AL17"/>
  <c r="AK17"/>
  <c r="Z19"/>
  <c r="AN17"/>
  <c r="AV17" s="1"/>
  <c r="AB76" i="1"/>
  <c r="W28" i="22"/>
  <c r="Y28" s="1"/>
  <c r="Z29"/>
  <c r="Z31"/>
  <c r="AM28"/>
  <c r="Z28"/>
  <c r="AL28"/>
  <c r="AK28"/>
  <c r="Z30"/>
  <c r="AN28"/>
  <c r="AP82" i="1"/>
  <c r="AN76"/>
  <c r="AL76"/>
  <c r="AP86"/>
  <c r="AP84"/>
  <c r="AP85"/>
  <c r="AP83"/>
  <c r="AM76"/>
  <c r="AP88"/>
  <c r="AA76"/>
  <c r="AA78"/>
  <c r="AA77"/>
  <c r="AA79"/>
  <c r="AR89"/>
  <c r="AV89"/>
  <c r="AU87"/>
  <c r="AQ87"/>
  <c r="AD87"/>
  <c r="AQ84"/>
  <c r="AU84"/>
  <c r="AR83"/>
  <c r="AV83"/>
  <c r="Z90"/>
  <c r="AQ90"/>
  <c r="AD90"/>
  <c r="AX90" s="1"/>
  <c r="AU90"/>
  <c r="AU89"/>
  <c r="AQ89"/>
  <c r="AD89"/>
  <c r="Z86"/>
  <c r="AQ86"/>
  <c r="AD86"/>
  <c r="AU86"/>
  <c r="AQ82"/>
  <c r="AD82"/>
  <c r="AU82"/>
  <c r="AV94"/>
  <c r="AR94"/>
  <c r="AH76"/>
  <c r="AP89"/>
  <c r="AP87"/>
  <c r="AD94"/>
  <c r="AX94" s="1"/>
  <c r="Z88"/>
  <c r="AU88"/>
  <c r="AQ88"/>
  <c r="AD88"/>
  <c r="AX88" s="1"/>
  <c r="AV82"/>
  <c r="AR82"/>
  <c r="AQ85"/>
  <c r="AD85"/>
  <c r="AX85" s="1"/>
  <c r="AU85"/>
  <c r="AB84"/>
  <c r="AW84"/>
  <c r="AU83"/>
  <c r="AQ83"/>
  <c r="AD83"/>
  <c r="AX83" s="1"/>
  <c r="AI75"/>
  <c r="AH27" i="22" s="1"/>
  <c r="AH16" i="24" s="1"/>
  <c r="W75" i="1"/>
  <c r="V27" i="22" s="1"/>
  <c r="V16" i="24" s="1"/>
  <c r="V75" i="1"/>
  <c r="M75"/>
  <c r="L75"/>
  <c r="K75"/>
  <c r="J75"/>
  <c r="F75"/>
  <c r="AK74"/>
  <c r="AJ26" i="22" s="1"/>
  <c r="AJ15" i="24" s="1"/>
  <c r="AJ74" i="1"/>
  <c r="AI26" i="22" s="1"/>
  <c r="AI74" i="1"/>
  <c r="AH26" i="22" s="1"/>
  <c r="AH15" i="24" s="1"/>
  <c r="AG74" i="1"/>
  <c r="AF26" i="22" s="1"/>
  <c r="AF15" i="24" s="1"/>
  <c r="AF74" i="1"/>
  <c r="AE74"/>
  <c r="AD26" i="22" s="1"/>
  <c r="AD15" i="24" s="1"/>
  <c r="Y74" i="1"/>
  <c r="X26" i="22" s="1"/>
  <c r="X74" i="1"/>
  <c r="W74"/>
  <c r="V26" i="22" s="1"/>
  <c r="V15" i="24" s="1"/>
  <c r="V74" i="1"/>
  <c r="M74"/>
  <c r="L74"/>
  <c r="K74"/>
  <c r="J74"/>
  <c r="F74"/>
  <c r="AK73"/>
  <c r="AJ25" i="22" s="1"/>
  <c r="AJ14" i="24" s="1"/>
  <c r="AJ73" i="1"/>
  <c r="AI25" i="22" s="1"/>
  <c r="AI14" i="24" s="1"/>
  <c r="AI73" i="1"/>
  <c r="AH25" i="22" s="1"/>
  <c r="AH14" i="24" s="1"/>
  <c r="AG73" i="1"/>
  <c r="AF25" i="22" s="1"/>
  <c r="AF14" i="24" s="1"/>
  <c r="AF73" i="1"/>
  <c r="AE73"/>
  <c r="AD25" i="22" s="1"/>
  <c r="AD14" i="24" s="1"/>
  <c r="Y73" i="1"/>
  <c r="X25" i="22" s="1"/>
  <c r="X73" i="1"/>
  <c r="W25" i="22" s="1"/>
  <c r="W73" i="1"/>
  <c r="V25" i="22" s="1"/>
  <c r="V14" i="24" s="1"/>
  <c r="V73" i="1"/>
  <c r="M73"/>
  <c r="L73"/>
  <c r="K73"/>
  <c r="J73"/>
  <c r="F73"/>
  <c r="AE25" i="22" l="1"/>
  <c r="BF25" s="1"/>
  <c r="BF73" i="1"/>
  <c r="AE17" i="24"/>
  <c r="BF28" i="22"/>
  <c r="AE26"/>
  <c r="AG26" s="1"/>
  <c r="BF74" i="1"/>
  <c r="AX87"/>
  <c r="AX86"/>
  <c r="N73"/>
  <c r="AV76"/>
  <c r="AR28" i="22"/>
  <c r="N74" i="1"/>
  <c r="N75"/>
  <c r="BB75" s="1"/>
  <c r="BA75" s="1"/>
  <c r="AZ75" s="1"/>
  <c r="AY75" s="1"/>
  <c r="BB73"/>
  <c r="BA73" s="1"/>
  <c r="AZ73" s="1"/>
  <c r="AY73" s="1"/>
  <c r="D289"/>
  <c r="C289" s="1"/>
  <c r="E290"/>
  <c r="BB74"/>
  <c r="BA74" s="1"/>
  <c r="AZ74" s="1"/>
  <c r="AY74" s="1"/>
  <c r="Z14" i="24"/>
  <c r="AB25" i="22"/>
  <c r="X14" i="24"/>
  <c r="AB14" s="1"/>
  <c r="AG25" i="22"/>
  <c r="AL14" i="24"/>
  <c r="AK14"/>
  <c r="AM26" i="22"/>
  <c r="AI15" i="24"/>
  <c r="Z16"/>
  <c r="AT17"/>
  <c r="AP17"/>
  <c r="AN14"/>
  <c r="AA25" i="22"/>
  <c r="W14" i="24"/>
  <c r="AA14" s="1"/>
  <c r="Z15"/>
  <c r="AB26" i="22"/>
  <c r="X15" i="24"/>
  <c r="AB15" s="1"/>
  <c r="AL15"/>
  <c r="AK15"/>
  <c r="AA28" i="22"/>
  <c r="AU28" s="1"/>
  <c r="W17" i="24"/>
  <c r="AN15"/>
  <c r="AR17"/>
  <c r="Y25" i="22"/>
  <c r="Z25"/>
  <c r="AL25"/>
  <c r="AK25"/>
  <c r="AB74" i="1"/>
  <c r="W26" i="22"/>
  <c r="Y26" s="1"/>
  <c r="Z27"/>
  <c r="AN25"/>
  <c r="AO28"/>
  <c r="AV28"/>
  <c r="Z26"/>
  <c r="AL26"/>
  <c r="AK26"/>
  <c r="AT28"/>
  <c r="AP28"/>
  <c r="AM25"/>
  <c r="AN26"/>
  <c r="AX82" i="1"/>
  <c r="AR76"/>
  <c r="AM74"/>
  <c r="Z73"/>
  <c r="AM73"/>
  <c r="AN74"/>
  <c r="AH73"/>
  <c r="AO74"/>
  <c r="AL73"/>
  <c r="AA74"/>
  <c r="AL74"/>
  <c r="Z76"/>
  <c r="AU76"/>
  <c r="AQ76"/>
  <c r="AB73"/>
  <c r="AH74"/>
  <c r="AA75"/>
  <c r="AV84"/>
  <c r="AR84"/>
  <c r="AX89"/>
  <c r="AD84"/>
  <c r="AX84" s="1"/>
  <c r="AK72"/>
  <c r="AJ24" i="22" s="1"/>
  <c r="AJ13" i="24" s="1"/>
  <c r="AJ72" i="1"/>
  <c r="AI24" i="22" s="1"/>
  <c r="AI13" i="24" s="1"/>
  <c r="AI72" i="1"/>
  <c r="AH24" i="22" s="1"/>
  <c r="AH13" i="24" s="1"/>
  <c r="AG72" i="1"/>
  <c r="AF24" i="22" s="1"/>
  <c r="AF13" i="24" s="1"/>
  <c r="AF72" i="1"/>
  <c r="AE14" i="24" l="1"/>
  <c r="AG14" s="1"/>
  <c r="AE24" i="22"/>
  <c r="BF72" i="1"/>
  <c r="AE15" i="24"/>
  <c r="AG15" s="1"/>
  <c r="BF26" i="22"/>
  <c r="AM17" i="24"/>
  <c r="AO17" s="1"/>
  <c r="AG17"/>
  <c r="AM15"/>
  <c r="AV74" i="1"/>
  <c r="AQ28" i="22"/>
  <c r="AS28" s="1"/>
  <c r="D290" i="1"/>
  <c r="C290" s="1"/>
  <c r="AQ25" i="22"/>
  <c r="AC28"/>
  <c r="AW28" s="1"/>
  <c r="I290" i="1"/>
  <c r="H290" s="1"/>
  <c r="AM14" i="24"/>
  <c r="AO14" s="1"/>
  <c r="AR26" i="22"/>
  <c r="AR25"/>
  <c r="AK13" i="24"/>
  <c r="AT15"/>
  <c r="AO15"/>
  <c r="AT14"/>
  <c r="AC14"/>
  <c r="AP14"/>
  <c r="AN13"/>
  <c r="AA26" i="22"/>
  <c r="AQ26" s="1"/>
  <c r="W15" i="24"/>
  <c r="AA17"/>
  <c r="Y17"/>
  <c r="AV15"/>
  <c r="AR15"/>
  <c r="AP15"/>
  <c r="AR14"/>
  <c r="AV14"/>
  <c r="Y14"/>
  <c r="AM24" i="22"/>
  <c r="AO26"/>
  <c r="AV26"/>
  <c r="AU25"/>
  <c r="AO25"/>
  <c r="AV25"/>
  <c r="AK24"/>
  <c r="AT26"/>
  <c r="AP26"/>
  <c r="AC25"/>
  <c r="AT25"/>
  <c r="AP25"/>
  <c r="AN24"/>
  <c r="AP74" i="1"/>
  <c r="AL72"/>
  <c r="AA73"/>
  <c r="Z74"/>
  <c r="AU74"/>
  <c r="AQ74"/>
  <c r="AE72"/>
  <c r="AD24" i="22" s="1"/>
  <c r="Y72" i="1"/>
  <c r="X24" i="22" s="1"/>
  <c r="X72" i="1"/>
  <c r="W72"/>
  <c r="V24" i="22" s="1"/>
  <c r="V13" i="24" s="1"/>
  <c r="V72" i="1"/>
  <c r="M72"/>
  <c r="L72"/>
  <c r="K72"/>
  <c r="J72"/>
  <c r="F72"/>
  <c r="AE13" i="24" l="1"/>
  <c r="AM13" s="1"/>
  <c r="BF24" i="22"/>
  <c r="AW25"/>
  <c r="AS25"/>
  <c r="AU26"/>
  <c r="AC26"/>
  <c r="AW26" s="1"/>
  <c r="N72" i="1"/>
  <c r="BB72" s="1"/>
  <c r="BA72" s="1"/>
  <c r="AZ72" s="1"/>
  <c r="AY72" s="1"/>
  <c r="G290"/>
  <c r="AQ14" i="24"/>
  <c r="AS14" s="1"/>
  <c r="AU14"/>
  <c r="Z13"/>
  <c r="AB24" i="22"/>
  <c r="AV24" s="1"/>
  <c r="X13" i="24"/>
  <c r="AB13" s="1"/>
  <c r="AQ17"/>
  <c r="AS17" s="1"/>
  <c r="AU17"/>
  <c r="AC17"/>
  <c r="AW17" s="1"/>
  <c r="AW14"/>
  <c r="AG24" i="22"/>
  <c r="AD13" i="24"/>
  <c r="AA15"/>
  <c r="Y15"/>
  <c r="AB72" i="1"/>
  <c r="W24" i="22"/>
  <c r="AL24"/>
  <c r="AO24" s="1"/>
  <c r="Y24"/>
  <c r="Z24"/>
  <c r="AS26"/>
  <c r="Z72" i="1"/>
  <c r="AA72"/>
  <c r="AM72"/>
  <c r="AH72"/>
  <c r="AU73"/>
  <c r="AQ73"/>
  <c r="AK71"/>
  <c r="AJ23" i="22" s="1"/>
  <c r="AJ12" i="24" s="1"/>
  <c r="AJ71" i="1"/>
  <c r="AI23" i="22" s="1"/>
  <c r="AI12" i="24" s="1"/>
  <c r="AI71" i="1"/>
  <c r="AH23" i="22" s="1"/>
  <c r="AH12" i="24" s="1"/>
  <c r="AG71" i="1"/>
  <c r="AF23" i="22" s="1"/>
  <c r="AF12" i="24" s="1"/>
  <c r="AF71" i="1"/>
  <c r="AE71"/>
  <c r="AD23" i="22" s="1"/>
  <c r="AD12" i="24" s="1"/>
  <c r="Y71" i="1"/>
  <c r="X23" i="22" s="1"/>
  <c r="X71" i="1"/>
  <c r="W71"/>
  <c r="V23" i="22" s="1"/>
  <c r="V12" i="24" s="1"/>
  <c r="V71" i="1"/>
  <c r="M71"/>
  <c r="L71"/>
  <c r="K71"/>
  <c r="J71"/>
  <c r="F71"/>
  <c r="AI70"/>
  <c r="AH22" i="22" s="1"/>
  <c r="AH11" i="24" s="1"/>
  <c r="W70" i="1"/>
  <c r="V22" i="22" s="1"/>
  <c r="V11" i="24" s="1"/>
  <c r="V70" i="1"/>
  <c r="M70"/>
  <c r="L70"/>
  <c r="K70"/>
  <c r="J70"/>
  <c r="F70"/>
  <c r="AI69"/>
  <c r="AH21" i="22" s="1"/>
  <c r="AH10" i="24" s="1"/>
  <c r="AE23" i="22" l="1"/>
  <c r="BF23" s="1"/>
  <c r="BF71" i="1"/>
  <c r="AR24" i="22"/>
  <c r="N70" i="1"/>
  <c r="N71"/>
  <c r="BB71" s="1"/>
  <c r="BA71" s="1"/>
  <c r="AZ71" s="1"/>
  <c r="AY71" s="1"/>
  <c r="BB70"/>
  <c r="BA70" s="1"/>
  <c r="AZ70" s="1"/>
  <c r="AY70" s="1"/>
  <c r="AN12" i="24"/>
  <c r="Z11"/>
  <c r="AA24" i="22"/>
  <c r="AC24" s="1"/>
  <c r="AW24" s="1"/>
  <c r="W13" i="24"/>
  <c r="AQ15"/>
  <c r="AS15" s="1"/>
  <c r="AU15"/>
  <c r="AC15"/>
  <c r="AW15" s="1"/>
  <c r="Z12"/>
  <c r="AB23" i="22"/>
  <c r="X12" i="24"/>
  <c r="AB12" s="1"/>
  <c r="AG23" i="22"/>
  <c r="AK12" i="24"/>
  <c r="AL12"/>
  <c r="AG13"/>
  <c r="AL13"/>
  <c r="AT13" s="1"/>
  <c r="AV13"/>
  <c r="AR13"/>
  <c r="Z23" i="22"/>
  <c r="AL23"/>
  <c r="AK23"/>
  <c r="AT24"/>
  <c r="AP24"/>
  <c r="AN23"/>
  <c r="Z22"/>
  <c r="AB71" i="1"/>
  <c r="W23" i="22"/>
  <c r="AN71" i="1"/>
  <c r="AM71"/>
  <c r="AO71"/>
  <c r="AL71"/>
  <c r="AA71"/>
  <c r="AA70"/>
  <c r="AQ72"/>
  <c r="AU72"/>
  <c r="AH71"/>
  <c r="W69"/>
  <c r="V21" i="22" s="1"/>
  <c r="V10" i="24" s="1"/>
  <c r="V69" i="1"/>
  <c r="M69"/>
  <c r="L69"/>
  <c r="K69"/>
  <c r="J69"/>
  <c r="F69"/>
  <c r="AK68"/>
  <c r="AJ20" i="22" s="1"/>
  <c r="AJ9" i="24" s="1"/>
  <c r="AJ68" i="1"/>
  <c r="AI20" i="22" s="1"/>
  <c r="AI9" i="24" s="1"/>
  <c r="AI68" i="1"/>
  <c r="AH20" i="22" s="1"/>
  <c r="AH9" i="24" s="1"/>
  <c r="AG68" i="1"/>
  <c r="AF20" i="22" s="1"/>
  <c r="AF68" i="1"/>
  <c r="AE68"/>
  <c r="AD20" i="22" s="1"/>
  <c r="AD9" i="24" s="1"/>
  <c r="Y68" i="1"/>
  <c r="X20" i="22" s="1"/>
  <c r="X9" i="24" s="1"/>
  <c r="X68" i="1"/>
  <c r="W20" i="22" s="1"/>
  <c r="W9" i="24" s="1"/>
  <c r="W68" i="1"/>
  <c r="V20" i="22" s="1"/>
  <c r="V9" i="24" s="1"/>
  <c r="V68" i="1"/>
  <c r="M68"/>
  <c r="M287" s="1"/>
  <c r="L68"/>
  <c r="L287" s="1"/>
  <c r="K68"/>
  <c r="AY68" s="1"/>
  <c r="J68"/>
  <c r="F68"/>
  <c r="AO67"/>
  <c r="AN67"/>
  <c r="AM67"/>
  <c r="AL67"/>
  <c r="AH67"/>
  <c r="AC67"/>
  <c r="AW67" s="1"/>
  <c r="AB67"/>
  <c r="AV67" s="1"/>
  <c r="AA67"/>
  <c r="AU67" s="1"/>
  <c r="Z67"/>
  <c r="V67"/>
  <c r="M67"/>
  <c r="L67"/>
  <c r="K67"/>
  <c r="J67"/>
  <c r="F67"/>
  <c r="AL66"/>
  <c r="AG66"/>
  <c r="AF66"/>
  <c r="AE66"/>
  <c r="Y66"/>
  <c r="X66"/>
  <c r="W66"/>
  <c r="V66"/>
  <c r="M66"/>
  <c r="L66"/>
  <c r="K66"/>
  <c r="N66" s="1"/>
  <c r="J66"/>
  <c r="F66"/>
  <c r="AL65"/>
  <c r="AG65"/>
  <c r="AF65"/>
  <c r="AE65"/>
  <c r="Y65"/>
  <c r="X65"/>
  <c r="W65"/>
  <c r="V65"/>
  <c r="M65"/>
  <c r="L65"/>
  <c r="K65"/>
  <c r="N65" s="1"/>
  <c r="J65"/>
  <c r="F65"/>
  <c r="AL64"/>
  <c r="AG64"/>
  <c r="AF64"/>
  <c r="AE64"/>
  <c r="Y64"/>
  <c r="X64"/>
  <c r="W64"/>
  <c r="V64"/>
  <c r="M64"/>
  <c r="L64"/>
  <c r="K64"/>
  <c r="N64" s="1"/>
  <c r="J64"/>
  <c r="F64"/>
  <c r="AO63"/>
  <c r="AN63"/>
  <c r="AM63"/>
  <c r="AL63"/>
  <c r="AH63"/>
  <c r="AC63"/>
  <c r="AW63" s="1"/>
  <c r="AB63"/>
  <c r="AV63" s="1"/>
  <c r="AA63"/>
  <c r="AQ63" s="1"/>
  <c r="Z63"/>
  <c r="V63"/>
  <c r="M63"/>
  <c r="L63"/>
  <c r="K63"/>
  <c r="N63" s="1"/>
  <c r="J63"/>
  <c r="F63"/>
  <c r="AL62"/>
  <c r="AG62"/>
  <c r="AF62"/>
  <c r="AE62"/>
  <c r="Y62"/>
  <c r="X62"/>
  <c r="W62"/>
  <c r="V62"/>
  <c r="M62"/>
  <c r="L62"/>
  <c r="K62"/>
  <c r="N62" s="1"/>
  <c r="J62"/>
  <c r="F62"/>
  <c r="AL61"/>
  <c r="AG61"/>
  <c r="AF61"/>
  <c r="AE61"/>
  <c r="Y61"/>
  <c r="X61"/>
  <c r="W61"/>
  <c r="V61"/>
  <c r="M61"/>
  <c r="L61"/>
  <c r="K61"/>
  <c r="J61"/>
  <c r="F61"/>
  <c r="AL60"/>
  <c r="AG60"/>
  <c r="AF60"/>
  <c r="AE60"/>
  <c r="Y60"/>
  <c r="X60"/>
  <c r="W60"/>
  <c r="V60"/>
  <c r="M60"/>
  <c r="L60"/>
  <c r="K60"/>
  <c r="N60" s="1"/>
  <c r="J60"/>
  <c r="F60"/>
  <c r="AL59"/>
  <c r="AG59"/>
  <c r="AF59"/>
  <c r="AE59"/>
  <c r="Y59"/>
  <c r="X59"/>
  <c r="W59"/>
  <c r="V59"/>
  <c r="M59"/>
  <c r="L59"/>
  <c r="K59"/>
  <c r="N59" s="1"/>
  <c r="J59"/>
  <c r="F59"/>
  <c r="AL58"/>
  <c r="AG58"/>
  <c r="AF58"/>
  <c r="AE58"/>
  <c r="Y58"/>
  <c r="X58"/>
  <c r="W58"/>
  <c r="V58"/>
  <c r="M58"/>
  <c r="L58"/>
  <c r="K58"/>
  <c r="J58"/>
  <c r="F58"/>
  <c r="AL57"/>
  <c r="AG57"/>
  <c r="AF57"/>
  <c r="AE57"/>
  <c r="Y57"/>
  <c r="X57"/>
  <c r="W57"/>
  <c r="V57"/>
  <c r="M57"/>
  <c r="L57"/>
  <c r="K57"/>
  <c r="N57" s="1"/>
  <c r="J57"/>
  <c r="F57"/>
  <c r="AL56"/>
  <c r="AG56"/>
  <c r="AF56"/>
  <c r="AE56"/>
  <c r="Y56"/>
  <c r="X56"/>
  <c r="W56"/>
  <c r="V56"/>
  <c r="M56"/>
  <c r="L56"/>
  <c r="K56"/>
  <c r="N56" s="1"/>
  <c r="J56"/>
  <c r="F56"/>
  <c r="AL55"/>
  <c r="AG55"/>
  <c r="AF55"/>
  <c r="AE55"/>
  <c r="Y55"/>
  <c r="X55"/>
  <c r="W55"/>
  <c r="V55"/>
  <c r="M55"/>
  <c r="L55"/>
  <c r="K55"/>
  <c r="J55"/>
  <c r="F55"/>
  <c r="AL54"/>
  <c r="AG54"/>
  <c r="AF54"/>
  <c r="AE54"/>
  <c r="Y54"/>
  <c r="X54"/>
  <c r="W54"/>
  <c r="V54"/>
  <c r="M54"/>
  <c r="L54"/>
  <c r="K54"/>
  <c r="N54" s="1"/>
  <c r="J54"/>
  <c r="F54"/>
  <c r="AO53"/>
  <c r="AN53"/>
  <c r="AM53"/>
  <c r="AL53"/>
  <c r="AH53"/>
  <c r="AC53"/>
  <c r="AW53" s="1"/>
  <c r="AB53"/>
  <c r="AV53" s="1"/>
  <c r="AA53"/>
  <c r="AQ53" s="1"/>
  <c r="Z53"/>
  <c r="V53"/>
  <c r="M53"/>
  <c r="L53"/>
  <c r="K53"/>
  <c r="J53"/>
  <c r="F53"/>
  <c r="AO52"/>
  <c r="AN52"/>
  <c r="AM52"/>
  <c r="AL52"/>
  <c r="AH52"/>
  <c r="AC52"/>
  <c r="AW52" s="1"/>
  <c r="AB52"/>
  <c r="AV52" s="1"/>
  <c r="AA52"/>
  <c r="AU52" s="1"/>
  <c r="Z52"/>
  <c r="V52"/>
  <c r="M52"/>
  <c r="L52"/>
  <c r="K52"/>
  <c r="N52" s="1"/>
  <c r="J52"/>
  <c r="F52"/>
  <c r="AL51"/>
  <c r="AG51"/>
  <c r="AF51"/>
  <c r="AE51"/>
  <c r="Y51"/>
  <c r="X51"/>
  <c r="W51"/>
  <c r="V51"/>
  <c r="M51"/>
  <c r="L51"/>
  <c r="K51"/>
  <c r="N51" s="1"/>
  <c r="J51"/>
  <c r="F51"/>
  <c r="AL50"/>
  <c r="AG50"/>
  <c r="AF50"/>
  <c r="AE50"/>
  <c r="Y50"/>
  <c r="X50"/>
  <c r="W50"/>
  <c r="V50"/>
  <c r="M50"/>
  <c r="L50"/>
  <c r="K50"/>
  <c r="N50" s="1"/>
  <c r="J50"/>
  <c r="F50"/>
  <c r="AO49"/>
  <c r="AN49"/>
  <c r="AM49"/>
  <c r="AL49"/>
  <c r="AH49"/>
  <c r="AC49"/>
  <c r="AW49" s="1"/>
  <c r="AB49"/>
  <c r="AV49" s="1"/>
  <c r="AA49"/>
  <c r="AQ49" s="1"/>
  <c r="Z49"/>
  <c r="V49"/>
  <c r="M49"/>
  <c r="L49"/>
  <c r="K49"/>
  <c r="J49"/>
  <c r="F49"/>
  <c r="AL48"/>
  <c r="AG48"/>
  <c r="AF48"/>
  <c r="AE48"/>
  <c r="Y48"/>
  <c r="X48"/>
  <c r="W48"/>
  <c r="V48"/>
  <c r="M48"/>
  <c r="L48"/>
  <c r="K48"/>
  <c r="N48" s="1"/>
  <c r="J48"/>
  <c r="F48"/>
  <c r="AO47"/>
  <c r="AN47"/>
  <c r="AM47"/>
  <c r="AL47"/>
  <c r="AH47"/>
  <c r="AC47"/>
  <c r="AW47" s="1"/>
  <c r="AB47"/>
  <c r="AV47" s="1"/>
  <c r="AA47"/>
  <c r="AQ47" s="1"/>
  <c r="Z47"/>
  <c r="V47"/>
  <c r="M47"/>
  <c r="L47"/>
  <c r="K47"/>
  <c r="N47" s="1"/>
  <c r="J47"/>
  <c r="F47"/>
  <c r="AL46"/>
  <c r="AG46"/>
  <c r="AF46"/>
  <c r="AE46"/>
  <c r="Y46"/>
  <c r="X46"/>
  <c r="W46"/>
  <c r="V46"/>
  <c r="M46"/>
  <c r="BA46" s="1"/>
  <c r="AZ46" s="1"/>
  <c r="L46"/>
  <c r="K46"/>
  <c r="N46" s="1"/>
  <c r="J46"/>
  <c r="F46"/>
  <c r="V45"/>
  <c r="U45"/>
  <c r="T45"/>
  <c r="S45"/>
  <c r="AM23" i="22" l="1"/>
  <c r="AE12" i="24"/>
  <c r="AG12" s="1"/>
  <c r="AE20" i="22"/>
  <c r="BF20" s="1"/>
  <c r="BF68" i="1"/>
  <c r="AQ24" i="22"/>
  <c r="AS24" s="1"/>
  <c r="AR23"/>
  <c r="AP53" i="1"/>
  <c r="AP52"/>
  <c r="AP49"/>
  <c r="N61"/>
  <c r="AV71"/>
  <c r="AP47"/>
  <c r="N69"/>
  <c r="BB69" s="1"/>
  <c r="BA69" s="1"/>
  <c r="AZ69" s="1"/>
  <c r="AY69" s="1"/>
  <c r="AU24" i="22"/>
  <c r="AR12" i="24"/>
  <c r="N55" i="1"/>
  <c r="N49"/>
  <c r="N53"/>
  <c r="N58"/>
  <c r="AP63"/>
  <c r="N67"/>
  <c r="AY46"/>
  <c r="BB46"/>
  <c r="AD47"/>
  <c r="AU47"/>
  <c r="BB48"/>
  <c r="BA48" s="1"/>
  <c r="AZ48" s="1"/>
  <c r="AY48" s="1"/>
  <c r="AD49"/>
  <c r="AU49"/>
  <c r="BB50"/>
  <c r="BA50" s="1"/>
  <c r="AZ50" s="1"/>
  <c r="AY50" s="1"/>
  <c r="AQ52"/>
  <c r="BB52"/>
  <c r="BA52" s="1"/>
  <c r="AZ52" s="1"/>
  <c r="AY52" s="1"/>
  <c r="AD53"/>
  <c r="AU53"/>
  <c r="BB54"/>
  <c r="BA54" s="1"/>
  <c r="AZ54" s="1"/>
  <c r="AY54" s="1"/>
  <c r="BB56"/>
  <c r="BA56" s="1"/>
  <c r="AZ56" s="1"/>
  <c r="AY56" s="1"/>
  <c r="BB58"/>
  <c r="BA58" s="1"/>
  <c r="AZ58" s="1"/>
  <c r="AY58" s="1"/>
  <c r="BB60"/>
  <c r="BA60" s="1"/>
  <c r="AZ60" s="1"/>
  <c r="AY60" s="1"/>
  <c r="BB62"/>
  <c r="BA62" s="1"/>
  <c r="AZ62" s="1"/>
  <c r="AY62" s="1"/>
  <c r="AD63"/>
  <c r="AU63"/>
  <c r="BB64"/>
  <c r="BA64" s="1"/>
  <c r="AZ64" s="1"/>
  <c r="AY64" s="1"/>
  <c r="BB66"/>
  <c r="BA66" s="1"/>
  <c r="AZ66" s="1"/>
  <c r="AY66" s="1"/>
  <c r="AD67"/>
  <c r="K287"/>
  <c r="J287" s="1"/>
  <c r="N68"/>
  <c r="BA68"/>
  <c r="BB67"/>
  <c r="BA67" s="1"/>
  <c r="AZ67" s="1"/>
  <c r="AY67" s="1"/>
  <c r="AX67" s="1"/>
  <c r="F287"/>
  <c r="BB47"/>
  <c r="BA47" s="1"/>
  <c r="AZ47" s="1"/>
  <c r="AY47" s="1"/>
  <c r="AX47" s="1"/>
  <c r="BB49"/>
  <c r="BA49" s="1"/>
  <c r="AZ49" s="1"/>
  <c r="AY49" s="1"/>
  <c r="AX49" s="1"/>
  <c r="BB51"/>
  <c r="BA51" s="1"/>
  <c r="AZ51" s="1"/>
  <c r="AY51" s="1"/>
  <c r="AD52"/>
  <c r="BB53"/>
  <c r="BA53" s="1"/>
  <c r="AZ53" s="1"/>
  <c r="AY53" s="1"/>
  <c r="AX53" s="1"/>
  <c r="BB55"/>
  <c r="BA55" s="1"/>
  <c r="AZ55" s="1"/>
  <c r="AY55" s="1"/>
  <c r="BB57"/>
  <c r="BA57" s="1"/>
  <c r="AZ57" s="1"/>
  <c r="AY57" s="1"/>
  <c r="BB59"/>
  <c r="BA59" s="1"/>
  <c r="AZ59" s="1"/>
  <c r="AY59" s="1"/>
  <c r="BB61"/>
  <c r="BA61" s="1"/>
  <c r="AZ61" s="1"/>
  <c r="AY61" s="1"/>
  <c r="BB63"/>
  <c r="BA63" s="1"/>
  <c r="AZ63" s="1"/>
  <c r="AY63" s="1"/>
  <c r="AX63" s="1"/>
  <c r="BB65"/>
  <c r="BA65" s="1"/>
  <c r="AZ65" s="1"/>
  <c r="AY65" s="1"/>
  <c r="AQ67"/>
  <c r="AZ68"/>
  <c r="AV12" i="24"/>
  <c r="AA9"/>
  <c r="AF9"/>
  <c r="AN9" s="1"/>
  <c r="Z10"/>
  <c r="AA23" i="22"/>
  <c r="W12" i="24"/>
  <c r="AP13"/>
  <c r="AO13"/>
  <c r="AM12"/>
  <c r="AO12" s="1"/>
  <c r="V8"/>
  <c r="Y9"/>
  <c r="Z9"/>
  <c r="AB9"/>
  <c r="AE9"/>
  <c r="AH8"/>
  <c r="AH43" s="1"/>
  <c r="AL9"/>
  <c r="AK9"/>
  <c r="AT12"/>
  <c r="AP12"/>
  <c r="AA13"/>
  <c r="Y13"/>
  <c r="Y20" i="22"/>
  <c r="V19"/>
  <c r="V19" i="33" s="1"/>
  <c r="Z20" i="22"/>
  <c r="AB20"/>
  <c r="AL20"/>
  <c r="AH19"/>
  <c r="AK20"/>
  <c r="AN20"/>
  <c r="AO23"/>
  <c r="AV23"/>
  <c r="Y23"/>
  <c r="AA20"/>
  <c r="AG20"/>
  <c r="Z21"/>
  <c r="AT23"/>
  <c r="AP23"/>
  <c r="AI287" i="1"/>
  <c r="AP71"/>
  <c r="AP67"/>
  <c r="W287"/>
  <c r="W45"/>
  <c r="AI45"/>
  <c r="AO66"/>
  <c r="V287"/>
  <c r="Z71"/>
  <c r="AQ71"/>
  <c r="AU71"/>
  <c r="Z46"/>
  <c r="AB46"/>
  <c r="AH46"/>
  <c r="AM46"/>
  <c r="AO46"/>
  <c r="AA48"/>
  <c r="AC48"/>
  <c r="AW48" s="1"/>
  <c r="AN48"/>
  <c r="AC50"/>
  <c r="AN50"/>
  <c r="AC51"/>
  <c r="AN51"/>
  <c r="AC54"/>
  <c r="AN54"/>
  <c r="AC55"/>
  <c r="AN55"/>
  <c r="AA56"/>
  <c r="AH56"/>
  <c r="AM56"/>
  <c r="AO56"/>
  <c r="AC57"/>
  <c r="AN57"/>
  <c r="AA58"/>
  <c r="AH58"/>
  <c r="AM58"/>
  <c r="AO58"/>
  <c r="AA59"/>
  <c r="AH59"/>
  <c r="AM59"/>
  <c r="AO59"/>
  <c r="Z60"/>
  <c r="AB60"/>
  <c r="AH60"/>
  <c r="AM60"/>
  <c r="AO60"/>
  <c r="AA61"/>
  <c r="AC61"/>
  <c r="AW61" s="1"/>
  <c r="AN61"/>
  <c r="AA62"/>
  <c r="AC62"/>
  <c r="AW62" s="1"/>
  <c r="AN62"/>
  <c r="Z64"/>
  <c r="AB64"/>
  <c r="AH64"/>
  <c r="AM64"/>
  <c r="AO64"/>
  <c r="AA65"/>
  <c r="AH65"/>
  <c r="AM65"/>
  <c r="AO65"/>
  <c r="AA66"/>
  <c r="AH66"/>
  <c r="AM66"/>
  <c r="AA68"/>
  <c r="AC68"/>
  <c r="AM68"/>
  <c r="AO68"/>
  <c r="AA69"/>
  <c r="AA46"/>
  <c r="AC46"/>
  <c r="AW46" s="1"/>
  <c r="AN46"/>
  <c r="Z48"/>
  <c r="AB48"/>
  <c r="AH48"/>
  <c r="AM48"/>
  <c r="AO48"/>
  <c r="AA50"/>
  <c r="AH50"/>
  <c r="AM50"/>
  <c r="AO50"/>
  <c r="AA51"/>
  <c r="AH51"/>
  <c r="AM51"/>
  <c r="AO51"/>
  <c r="AA54"/>
  <c r="AH54"/>
  <c r="AM54"/>
  <c r="AO54"/>
  <c r="AA55"/>
  <c r="AH55"/>
  <c r="AM55"/>
  <c r="AO55"/>
  <c r="Z56"/>
  <c r="AC56"/>
  <c r="AN56"/>
  <c r="AA57"/>
  <c r="AH57"/>
  <c r="AM57"/>
  <c r="AO57"/>
  <c r="Z58"/>
  <c r="AC58"/>
  <c r="AN58"/>
  <c r="AC59"/>
  <c r="AN59"/>
  <c r="AA60"/>
  <c r="AC60"/>
  <c r="AW60" s="1"/>
  <c r="AN60"/>
  <c r="Z61"/>
  <c r="AB61"/>
  <c r="AH61"/>
  <c r="AM61"/>
  <c r="AO61"/>
  <c r="Z62"/>
  <c r="AB62"/>
  <c r="AH62"/>
  <c r="AM62"/>
  <c r="AO62"/>
  <c r="AA64"/>
  <c r="AC64"/>
  <c r="AW64" s="1"/>
  <c r="AN64"/>
  <c r="Z65"/>
  <c r="AC65"/>
  <c r="AN65"/>
  <c r="AB66"/>
  <c r="AV66" s="1"/>
  <c r="AN66"/>
  <c r="Z68"/>
  <c r="AB68"/>
  <c r="AH68"/>
  <c r="AL68"/>
  <c r="AN68"/>
  <c r="Q45"/>
  <c r="P45"/>
  <c r="O45"/>
  <c r="N45"/>
  <c r="M45"/>
  <c r="L45"/>
  <c r="K45"/>
  <c r="J45"/>
  <c r="I45"/>
  <c r="H45"/>
  <c r="G45"/>
  <c r="F45"/>
  <c r="E45"/>
  <c r="D45"/>
  <c r="C45"/>
  <c r="AP44"/>
  <c r="AC44"/>
  <c r="AW44" s="1"/>
  <c r="AB44"/>
  <c r="AV44" s="1"/>
  <c r="AA44"/>
  <c r="AU44" s="1"/>
  <c r="Z44"/>
  <c r="M44"/>
  <c r="L44"/>
  <c r="K44"/>
  <c r="J44"/>
  <c r="AL43"/>
  <c r="AG43"/>
  <c r="AF43"/>
  <c r="AE43"/>
  <c r="Y43"/>
  <c r="X43"/>
  <c r="W43"/>
  <c r="V43"/>
  <c r="M43"/>
  <c r="L43"/>
  <c r="K43"/>
  <c r="J43"/>
  <c r="F43"/>
  <c r="AK42"/>
  <c r="AJ15" i="22" s="1"/>
  <c r="AJ15" i="33" s="1"/>
  <c r="AJ42" i="1"/>
  <c r="AI15" i="22" s="1"/>
  <c r="AI15" i="33" s="1"/>
  <c r="AI42" i="1"/>
  <c r="AH15" i="22" s="1"/>
  <c r="AH15" i="33" s="1"/>
  <c r="AG42" i="1"/>
  <c r="AF15" i="22" s="1"/>
  <c r="AF15" i="33" s="1"/>
  <c r="AM20" i="22" l="1"/>
  <c r="AQ20" s="1"/>
  <c r="AQ23"/>
  <c r="AU23"/>
  <c r="N44" i="1"/>
  <c r="V18" i="33"/>
  <c r="Z19"/>
  <c r="AH18" i="22"/>
  <c r="AH45" i="24" s="1"/>
  <c r="AH19" i="33"/>
  <c r="AH18" s="1"/>
  <c r="AN15"/>
  <c r="AK15"/>
  <c r="N43" i="1"/>
  <c r="AQ44"/>
  <c r="N287"/>
  <c r="BB68"/>
  <c r="BB43"/>
  <c r="BA43" s="1"/>
  <c r="AZ43" s="1"/>
  <c r="AY43" s="1"/>
  <c r="AX52"/>
  <c r="BB44"/>
  <c r="BA44" s="1"/>
  <c r="AZ44" s="1"/>
  <c r="AY44" s="1"/>
  <c r="AD44"/>
  <c r="AA45"/>
  <c r="BB45"/>
  <c r="BA45" s="1"/>
  <c r="AZ45" s="1"/>
  <c r="AY45" s="1"/>
  <c r="AS23" i="22"/>
  <c r="AC23"/>
  <c r="AW23" s="1"/>
  <c r="AG9" i="24"/>
  <c r="AV9"/>
  <c r="AR9"/>
  <c r="AP9"/>
  <c r="AT9"/>
  <c r="AC9"/>
  <c r="V43"/>
  <c r="AQ13"/>
  <c r="AS13" s="1"/>
  <c r="AU13"/>
  <c r="AC13"/>
  <c r="AW13" s="1"/>
  <c r="AA12"/>
  <c r="AQ12" s="1"/>
  <c r="AS12" s="1"/>
  <c r="Y12"/>
  <c r="Z8"/>
  <c r="AM9"/>
  <c r="AV20" i="22"/>
  <c r="AR20"/>
  <c r="AT20"/>
  <c r="AP20"/>
  <c r="AC20"/>
  <c r="Z19"/>
  <c r="AU20"/>
  <c r="AO20"/>
  <c r="V18"/>
  <c r="V17" s="1"/>
  <c r="AN15"/>
  <c r="AK15"/>
  <c r="AP61" i="1"/>
  <c r="AP55"/>
  <c r="AP54"/>
  <c r="AP51"/>
  <c r="AP50"/>
  <c r="AP48"/>
  <c r="AO42"/>
  <c r="AL42"/>
  <c r="AV61"/>
  <c r="AR61"/>
  <c r="AU60"/>
  <c r="AQ60"/>
  <c r="AD60"/>
  <c r="AB59"/>
  <c r="AW59"/>
  <c r="AB58"/>
  <c r="AD58" s="1"/>
  <c r="AW58"/>
  <c r="Z55"/>
  <c r="AQ55"/>
  <c r="AU55"/>
  <c r="Z54"/>
  <c r="AQ54"/>
  <c r="AU54"/>
  <c r="Z51"/>
  <c r="AQ51"/>
  <c r="AU51"/>
  <c r="Z50"/>
  <c r="AQ50"/>
  <c r="AU50"/>
  <c r="AV48"/>
  <c r="AR48"/>
  <c r="AU46"/>
  <c r="AQ46"/>
  <c r="AD46"/>
  <c r="AD68"/>
  <c r="AU68"/>
  <c r="AQ68"/>
  <c r="AQ61"/>
  <c r="AD61"/>
  <c r="AU61"/>
  <c r="AV60"/>
  <c r="AR60"/>
  <c r="AU48"/>
  <c r="AQ48"/>
  <c r="AD48"/>
  <c r="AP46"/>
  <c r="AV46"/>
  <c r="AR46"/>
  <c r="Z43"/>
  <c r="AB43"/>
  <c r="AH43"/>
  <c r="AM43"/>
  <c r="AO43"/>
  <c r="AP60"/>
  <c r="AR68"/>
  <c r="AB65"/>
  <c r="AD65" s="1"/>
  <c r="AW65"/>
  <c r="AU64"/>
  <c r="AQ64"/>
  <c r="AD64"/>
  <c r="AV62"/>
  <c r="AR62"/>
  <c r="Z57"/>
  <c r="AQ57"/>
  <c r="AU57"/>
  <c r="AB56"/>
  <c r="AD56" s="1"/>
  <c r="AW56"/>
  <c r="AW68"/>
  <c r="AV68" s="1"/>
  <c r="AS68"/>
  <c r="Z66"/>
  <c r="AU66"/>
  <c r="AQ66"/>
  <c r="AU65"/>
  <c r="AQ65"/>
  <c r="AV64"/>
  <c r="AR64"/>
  <c r="AQ62"/>
  <c r="AD62"/>
  <c r="AU62"/>
  <c r="Z59"/>
  <c r="AU59"/>
  <c r="AQ59"/>
  <c r="AD59"/>
  <c r="AU58"/>
  <c r="AQ58"/>
  <c r="AB57"/>
  <c r="AW57"/>
  <c r="AU56"/>
  <c r="AQ56"/>
  <c r="AB55"/>
  <c r="AW55"/>
  <c r="AB54"/>
  <c r="AW54"/>
  <c r="AB51"/>
  <c r="AW51"/>
  <c r="AB50"/>
  <c r="AW50"/>
  <c r="AA43"/>
  <c r="AC43"/>
  <c r="AW43" s="1"/>
  <c r="AN43"/>
  <c r="AP62"/>
  <c r="AP57"/>
  <c r="AP68"/>
  <c r="AP66"/>
  <c r="AP65"/>
  <c r="AP64"/>
  <c r="AP59"/>
  <c r="AP58"/>
  <c r="AP56"/>
  <c r="AF42"/>
  <c r="AE15" i="22" s="1"/>
  <c r="AX48" i="1" l="1"/>
  <c r="Z18" i="33"/>
  <c r="V17"/>
  <c r="Z17" s="1"/>
  <c r="V45" i="24"/>
  <c r="AM15" i="22"/>
  <c r="AE15" i="33"/>
  <c r="AM15" s="1"/>
  <c r="AX44" i="1"/>
  <c r="AQ9" i="24"/>
  <c r="AS9" s="1"/>
  <c r="AO9"/>
  <c r="AW9" s="1"/>
  <c r="Z43"/>
  <c r="AU12"/>
  <c r="AC12"/>
  <c r="AW12" s="1"/>
  <c r="AU9"/>
  <c r="Z18" i="22"/>
  <c r="AS20"/>
  <c r="AW20"/>
  <c r="AX61" i="1"/>
  <c r="Z17" i="22"/>
  <c r="AN42" i="1"/>
  <c r="AX56"/>
  <c r="AX59"/>
  <c r="AV57"/>
  <c r="AR57"/>
  <c r="AR65"/>
  <c r="AV65"/>
  <c r="AA287"/>
  <c r="AX64"/>
  <c r="AP43"/>
  <c r="AV43"/>
  <c r="AX60"/>
  <c r="AU43"/>
  <c r="AQ43"/>
  <c r="AD43"/>
  <c r="AV50"/>
  <c r="AR50"/>
  <c r="AV51"/>
  <c r="AR51"/>
  <c r="AV54"/>
  <c r="AR54"/>
  <c r="AV55"/>
  <c r="AR55"/>
  <c r="AV56"/>
  <c r="AR56"/>
  <c r="AX68"/>
  <c r="AR58"/>
  <c r="AV58"/>
  <c r="AR59"/>
  <c r="AV59"/>
  <c r="AX58"/>
  <c r="AX62"/>
  <c r="AX65"/>
  <c r="AD57"/>
  <c r="AX57" s="1"/>
  <c r="AT68"/>
  <c r="AX46"/>
  <c r="AD50"/>
  <c r="AX50" s="1"/>
  <c r="AD51"/>
  <c r="AX51" s="1"/>
  <c r="AD54"/>
  <c r="AX54" s="1"/>
  <c r="AD55"/>
  <c r="AX55" s="1"/>
  <c r="AE42"/>
  <c r="AD15" i="22" s="1"/>
  <c r="AD15" i="33" s="1"/>
  <c r="Y42" i="1"/>
  <c r="X15" i="22" s="1"/>
  <c r="X42" i="1"/>
  <c r="W15" i="22" s="1"/>
  <c r="W15" i="33" s="1"/>
  <c r="W42" i="1"/>
  <c r="V42"/>
  <c r="M42"/>
  <c r="L42"/>
  <c r="K42"/>
  <c r="J42"/>
  <c r="F42"/>
  <c r="AL41"/>
  <c r="AG41"/>
  <c r="AF41"/>
  <c r="AE41"/>
  <c r="Y41"/>
  <c r="X41"/>
  <c r="W41"/>
  <c r="V41"/>
  <c r="M41"/>
  <c r="L41"/>
  <c r="K41"/>
  <c r="J41"/>
  <c r="F41"/>
  <c r="AL40"/>
  <c r="AG40"/>
  <c r="AF40"/>
  <c r="AE40"/>
  <c r="Y40"/>
  <c r="X40"/>
  <c r="W40"/>
  <c r="V40"/>
  <c r="M40"/>
  <c r="L40"/>
  <c r="K40"/>
  <c r="J40"/>
  <c r="F40"/>
  <c r="N40" l="1"/>
  <c r="N41"/>
  <c r="Z45" i="24"/>
  <c r="AB15" i="22"/>
  <c r="AV15" s="1"/>
  <c r="X15" i="33"/>
  <c r="AB15" s="1"/>
  <c r="AG15"/>
  <c r="AL15"/>
  <c r="N42" i="1"/>
  <c r="BB41"/>
  <c r="BA41" s="1"/>
  <c r="AZ41" s="1"/>
  <c r="AY41" s="1"/>
  <c r="BB40"/>
  <c r="BA40" s="1"/>
  <c r="AZ40" s="1"/>
  <c r="AY40" s="1"/>
  <c r="AR15" i="22"/>
  <c r="W286" i="1"/>
  <c r="V15" i="22"/>
  <c r="AG15"/>
  <c r="AL15"/>
  <c r="AO15" s="1"/>
  <c r="X286" i="1"/>
  <c r="Y286"/>
  <c r="AX43"/>
  <c r="AO41"/>
  <c r="AH42"/>
  <c r="AM42"/>
  <c r="AP42" s="1"/>
  <c r="AA40"/>
  <c r="AC40"/>
  <c r="AW40" s="1"/>
  <c r="AN40"/>
  <c r="AA41"/>
  <c r="AC41"/>
  <c r="AW41" s="1"/>
  <c r="AN41"/>
  <c r="AA42"/>
  <c r="AC42"/>
  <c r="AW42" s="1"/>
  <c r="Z40"/>
  <c r="AB40"/>
  <c r="AH40"/>
  <c r="AM40"/>
  <c r="AO40"/>
  <c r="Z41"/>
  <c r="AB41"/>
  <c r="AH41"/>
  <c r="AM41"/>
  <c r="Z42"/>
  <c r="Y15" i="22" l="1"/>
  <c r="V15" i="33"/>
  <c r="AO15"/>
  <c r="AR15"/>
  <c r="AV15"/>
  <c r="Z286" i="1"/>
  <c r="Z15" i="22"/>
  <c r="AP41" i="1"/>
  <c r="AV41"/>
  <c r="AR41"/>
  <c r="AV40"/>
  <c r="AR40"/>
  <c r="AQ40"/>
  <c r="AD40"/>
  <c r="AU40"/>
  <c r="AP40"/>
  <c r="AU42"/>
  <c r="AQ42"/>
  <c r="AU41"/>
  <c r="AQ41"/>
  <c r="AD41"/>
  <c r="AK39"/>
  <c r="AJ39"/>
  <c r="AI39"/>
  <c r="AG39"/>
  <c r="Z15" i="33" l="1"/>
  <c r="Y15"/>
  <c r="AT15" i="22"/>
  <c r="AP15"/>
  <c r="AX41" i="1"/>
  <c r="AO39"/>
  <c r="AL39"/>
  <c r="AX40"/>
  <c r="AF39"/>
  <c r="AN39" s="1"/>
  <c r="AE39"/>
  <c r="AC39"/>
  <c r="AW39" s="1"/>
  <c r="AB39"/>
  <c r="AA39"/>
  <c r="AD39" s="1"/>
  <c r="Z39"/>
  <c r="V39"/>
  <c r="M39"/>
  <c r="L39"/>
  <c r="K39"/>
  <c r="J39"/>
  <c r="F39"/>
  <c r="AK38"/>
  <c r="AJ38"/>
  <c r="AI38"/>
  <c r="AG38"/>
  <c r="AC38"/>
  <c r="AW38" s="1"/>
  <c r="AB38"/>
  <c r="AA38"/>
  <c r="Z38"/>
  <c r="V38"/>
  <c r="M38"/>
  <c r="L38"/>
  <c r="K38"/>
  <c r="J38"/>
  <c r="F38"/>
  <c r="AK37"/>
  <c r="AJ13" i="22" s="1"/>
  <c r="AJ13" i="33" s="1"/>
  <c r="AJ37" i="1"/>
  <c r="AI37"/>
  <c r="AI35" s="1"/>
  <c r="AG37"/>
  <c r="AC37"/>
  <c r="AW37" s="1"/>
  <c r="AB37"/>
  <c r="AA37"/>
  <c r="AD37" s="1"/>
  <c r="Z37"/>
  <c r="V37"/>
  <c r="V286" s="1"/>
  <c r="V290" s="1"/>
  <c r="M37"/>
  <c r="BA37" s="1"/>
  <c r="L37"/>
  <c r="AZ37" s="1"/>
  <c r="K37"/>
  <c r="AY37" s="1"/>
  <c r="J37"/>
  <c r="F37"/>
  <c r="AP36"/>
  <c r="AC36"/>
  <c r="AW36" s="1"/>
  <c r="AB36"/>
  <c r="AV36" s="1"/>
  <c r="AA36"/>
  <c r="AU36" s="1"/>
  <c r="Z36"/>
  <c r="M36"/>
  <c r="L36"/>
  <c r="K36"/>
  <c r="J36"/>
  <c r="AK35" l="1"/>
  <c r="AG35"/>
  <c r="AJ35"/>
  <c r="N38"/>
  <c r="BB38" s="1"/>
  <c r="BA38" s="1"/>
  <c r="AZ38" s="1"/>
  <c r="AY38" s="1"/>
  <c r="AF13" i="22"/>
  <c r="AF13" i="33" s="1"/>
  <c r="AI13" i="22"/>
  <c r="AI13" i="33" s="1"/>
  <c r="AT15"/>
  <c r="AP15"/>
  <c r="AN13"/>
  <c r="AR13" s="1"/>
  <c r="AD38" i="1"/>
  <c r="N36"/>
  <c r="N39"/>
  <c r="BB39" s="1"/>
  <c r="BA39" s="1"/>
  <c r="AZ39" s="1"/>
  <c r="AY39" s="1"/>
  <c r="BB36"/>
  <c r="BA36" s="1"/>
  <c r="AZ36" s="1"/>
  <c r="AY36" s="1"/>
  <c r="F286"/>
  <c r="F290" s="1"/>
  <c r="AD36"/>
  <c r="AQ36"/>
  <c r="N37"/>
  <c r="AI286"/>
  <c r="AH13" i="22"/>
  <c r="AH13" i="33" s="1"/>
  <c r="AK286" i="1"/>
  <c r="AG286"/>
  <c r="AJ286"/>
  <c r="AL38"/>
  <c r="AO38"/>
  <c r="AC286"/>
  <c r="AV39"/>
  <c r="AR39"/>
  <c r="AO37"/>
  <c r="AH39"/>
  <c r="AM39"/>
  <c r="AL37"/>
  <c r="Y35"/>
  <c r="X35"/>
  <c r="W35"/>
  <c r="W250" s="1"/>
  <c r="V35"/>
  <c r="V250" s="1"/>
  <c r="U35"/>
  <c r="U250" s="1"/>
  <c r="T35"/>
  <c r="T250" s="1"/>
  <c r="S35"/>
  <c r="S250" s="1"/>
  <c r="Q35"/>
  <c r="Q250" s="1"/>
  <c r="O35"/>
  <c r="O250" s="1"/>
  <c r="M35"/>
  <c r="M250" s="1"/>
  <c r="L35"/>
  <c r="L250" s="1"/>
  <c r="K35"/>
  <c r="K250" s="1"/>
  <c r="J35"/>
  <c r="J250" s="1"/>
  <c r="I35"/>
  <c r="I250" s="1"/>
  <c r="H35"/>
  <c r="H250" s="1"/>
  <c r="G35"/>
  <c r="G250" s="1"/>
  <c r="F35"/>
  <c r="F250" s="1"/>
  <c r="E35"/>
  <c r="E250" s="1"/>
  <c r="D35"/>
  <c r="D250" s="1"/>
  <c r="C35"/>
  <c r="C250" s="1"/>
  <c r="BB249" s="1"/>
  <c r="BA249" s="1"/>
  <c r="AZ249" s="1"/>
  <c r="AY249" s="1"/>
  <c r="AX249" s="1"/>
  <c r="BB34"/>
  <c r="BA34"/>
  <c r="AZ34"/>
  <c r="AY34"/>
  <c r="AO34"/>
  <c r="AN34"/>
  <c r="AM34"/>
  <c r="AC34"/>
  <c r="AW34" s="1"/>
  <c r="AB34"/>
  <c r="AV34" s="1"/>
  <c r="AA34"/>
  <c r="Z34"/>
  <c r="BB33"/>
  <c r="BA33"/>
  <c r="AZ33"/>
  <c r="AY33"/>
  <c r="AP33"/>
  <c r="AC33"/>
  <c r="AW33" s="1"/>
  <c r="AB33"/>
  <c r="AV33" s="1"/>
  <c r="AA33"/>
  <c r="AU33" s="1"/>
  <c r="Z33"/>
  <c r="AK32"/>
  <c r="AJ32"/>
  <c r="AI32"/>
  <c r="U32"/>
  <c r="T32"/>
  <c r="S32"/>
  <c r="Q32"/>
  <c r="P32"/>
  <c r="O32"/>
  <c r="I32"/>
  <c r="H32"/>
  <c r="G32"/>
  <c r="E32"/>
  <c r="D32"/>
  <c r="C32"/>
  <c r="AP31"/>
  <c r="AC31"/>
  <c r="AW31" s="1"/>
  <c r="AB31"/>
  <c r="AV31" s="1"/>
  <c r="AA31"/>
  <c r="AU31" s="1"/>
  <c r="Z31"/>
  <c r="M31"/>
  <c r="L31"/>
  <c r="K31"/>
  <c r="N31" s="1"/>
  <c r="J31"/>
  <c r="AL30"/>
  <c r="AG30"/>
  <c r="AF30"/>
  <c r="AE30"/>
  <c r="Y30"/>
  <c r="X30"/>
  <c r="W30"/>
  <c r="V30"/>
  <c r="M30"/>
  <c r="L30"/>
  <c r="K30"/>
  <c r="J30"/>
  <c r="F30"/>
  <c r="AL29"/>
  <c r="AG29"/>
  <c r="AF29"/>
  <c r="AE29"/>
  <c r="Y29"/>
  <c r="X29"/>
  <c r="W29"/>
  <c r="V29"/>
  <c r="M29"/>
  <c r="L29"/>
  <c r="K29"/>
  <c r="J29"/>
  <c r="F29"/>
  <c r="AO28"/>
  <c r="AN28"/>
  <c r="AM28"/>
  <c r="AP28" s="1"/>
  <c r="AL28"/>
  <c r="AH28"/>
  <c r="AC28"/>
  <c r="AW28" s="1"/>
  <c r="AB28"/>
  <c r="AV28" s="1"/>
  <c r="AA28"/>
  <c r="AU28" s="1"/>
  <c r="Z28"/>
  <c r="V28"/>
  <c r="M28"/>
  <c r="L28"/>
  <c r="K28"/>
  <c r="J28"/>
  <c r="F28"/>
  <c r="AO27"/>
  <c r="AN27"/>
  <c r="AM27"/>
  <c r="AL27"/>
  <c r="AH27"/>
  <c r="AC27"/>
  <c r="AW27" s="1"/>
  <c r="AB27"/>
  <c r="AV27" s="1"/>
  <c r="AA27"/>
  <c r="AQ27" s="1"/>
  <c r="Z27"/>
  <c r="V27"/>
  <c r="M27"/>
  <c r="L27"/>
  <c r="K27"/>
  <c r="J27"/>
  <c r="F27"/>
  <c r="AL26"/>
  <c r="AG26"/>
  <c r="AF26"/>
  <c r="AE26"/>
  <c r="Y26"/>
  <c r="X26"/>
  <c r="W26"/>
  <c r="V26"/>
  <c r="M26"/>
  <c r="L26"/>
  <c r="K26"/>
  <c r="J26"/>
  <c r="F26"/>
  <c r="AL25"/>
  <c r="AG25"/>
  <c r="AF25"/>
  <c r="AE25"/>
  <c r="Y25"/>
  <c r="X25"/>
  <c r="W25"/>
  <c r="V25"/>
  <c r="M25"/>
  <c r="L25"/>
  <c r="K25"/>
  <c r="J25"/>
  <c r="F25"/>
  <c r="AO24"/>
  <c r="AN24"/>
  <c r="AM24"/>
  <c r="AL24"/>
  <c r="AH24"/>
  <c r="AC24"/>
  <c r="AW24" s="1"/>
  <c r="AB24"/>
  <c r="AV24" s="1"/>
  <c r="AA24"/>
  <c r="AU24" s="1"/>
  <c r="Z24"/>
  <c r="V24"/>
  <c r="M24"/>
  <c r="L24"/>
  <c r="K24"/>
  <c r="N24" s="1"/>
  <c r="J24"/>
  <c r="F24"/>
  <c r="AL23"/>
  <c r="AG23"/>
  <c r="AF23"/>
  <c r="AE23"/>
  <c r="Y23"/>
  <c r="X23"/>
  <c r="W23"/>
  <c r="V23"/>
  <c r="M23"/>
  <c r="L23"/>
  <c r="K23"/>
  <c r="J23"/>
  <c r="F23"/>
  <c r="AL22"/>
  <c r="AF22"/>
  <c r="AE22"/>
  <c r="X22"/>
  <c r="W22"/>
  <c r="V22"/>
  <c r="M22"/>
  <c r="L22"/>
  <c r="K22"/>
  <c r="J22"/>
  <c r="F22"/>
  <c r="AL21"/>
  <c r="AG21"/>
  <c r="AF21"/>
  <c r="AE21"/>
  <c r="N29" l="1"/>
  <c r="N35"/>
  <c r="N250" s="1"/>
  <c r="AN13" i="22"/>
  <c r="AR13" s="1"/>
  <c r="AK13" i="33"/>
  <c r="N25" i="1"/>
  <c r="N26"/>
  <c r="N27"/>
  <c r="N28"/>
  <c r="AP34"/>
  <c r="AP24"/>
  <c r="AP27"/>
  <c r="AQ31"/>
  <c r="AQ34"/>
  <c r="N22"/>
  <c r="BB22" s="1"/>
  <c r="BA22" s="1"/>
  <c r="AZ22" s="1"/>
  <c r="AY22" s="1"/>
  <c r="N23"/>
  <c r="N30"/>
  <c r="N286"/>
  <c r="BB37"/>
  <c r="AQ24"/>
  <c r="BB24"/>
  <c r="BA24" s="1"/>
  <c r="AZ24" s="1"/>
  <c r="AY24" s="1"/>
  <c r="BB26"/>
  <c r="BA26" s="1"/>
  <c r="AZ26" s="1"/>
  <c r="AY26" s="1"/>
  <c r="AD27"/>
  <c r="AU27"/>
  <c r="AQ28"/>
  <c r="BB28"/>
  <c r="BA28" s="1"/>
  <c r="AZ28" s="1"/>
  <c r="AY28" s="1"/>
  <c r="BB30"/>
  <c r="BA30" s="1"/>
  <c r="AZ30" s="1"/>
  <c r="AY30" s="1"/>
  <c r="AD33"/>
  <c r="AQ33"/>
  <c r="AX33"/>
  <c r="AD34"/>
  <c r="AX34" s="1"/>
  <c r="AU34"/>
  <c r="BA250"/>
  <c r="BB23"/>
  <c r="BA23" s="1"/>
  <c r="AZ23" s="1"/>
  <c r="AY23" s="1"/>
  <c r="AD24"/>
  <c r="BB25"/>
  <c r="BA25" s="1"/>
  <c r="AZ25" s="1"/>
  <c r="AY25" s="1"/>
  <c r="BB27"/>
  <c r="BA27" s="1"/>
  <c r="AZ27" s="1"/>
  <c r="AY27" s="1"/>
  <c r="AX27" s="1"/>
  <c r="AD28"/>
  <c r="BB29"/>
  <c r="BA29" s="1"/>
  <c r="AZ29" s="1"/>
  <c r="AY29" s="1"/>
  <c r="AD31"/>
  <c r="BB31"/>
  <c r="BA31" s="1"/>
  <c r="AZ31" s="1"/>
  <c r="AY31" s="1"/>
  <c r="AY250"/>
  <c r="AX36"/>
  <c r="AK13" i="22"/>
  <c r="AO29" i="1"/>
  <c r="AN22"/>
  <c r="AN23"/>
  <c r="AM26"/>
  <c r="AM30"/>
  <c r="AO21"/>
  <c r="AO25"/>
  <c r="AA26"/>
  <c r="AQ26" s="1"/>
  <c r="AO26"/>
  <c r="AM29"/>
  <c r="AO30"/>
  <c r="AL35"/>
  <c r="AM21"/>
  <c r="AM25"/>
  <c r="AA250"/>
  <c r="AO35"/>
  <c r="AS37"/>
  <c r="AB22"/>
  <c r="AA23"/>
  <c r="AC23"/>
  <c r="AW23" s="1"/>
  <c r="Z25"/>
  <c r="AB25"/>
  <c r="AH25"/>
  <c r="Z26"/>
  <c r="AH26"/>
  <c r="Z29"/>
  <c r="AB29"/>
  <c r="AH29"/>
  <c r="Z30"/>
  <c r="AB30"/>
  <c r="AH30"/>
  <c r="AA35"/>
  <c r="AU39"/>
  <c r="AP39"/>
  <c r="AX39" s="1"/>
  <c r="AQ39"/>
  <c r="AH21"/>
  <c r="AN21"/>
  <c r="AA22"/>
  <c r="AM22"/>
  <c r="Z23"/>
  <c r="AB23"/>
  <c r="AH23"/>
  <c r="AM23"/>
  <c r="AO23"/>
  <c r="AA25"/>
  <c r="AC25"/>
  <c r="AW25" s="1"/>
  <c r="AN25"/>
  <c r="AC26"/>
  <c r="AN26"/>
  <c r="AP26" s="1"/>
  <c r="AA29"/>
  <c r="AC29"/>
  <c r="AW29" s="1"/>
  <c r="AN29"/>
  <c r="AA30"/>
  <c r="AC30"/>
  <c r="AW30" s="1"/>
  <c r="AN30"/>
  <c r="Z35"/>
  <c r="Y21"/>
  <c r="X21"/>
  <c r="W21"/>
  <c r="V21"/>
  <c r="M21"/>
  <c r="L21"/>
  <c r="K21"/>
  <c r="J21"/>
  <c r="F21"/>
  <c r="AL20"/>
  <c r="AG20"/>
  <c r="AF20"/>
  <c r="AE20"/>
  <c r="Y20"/>
  <c r="X20"/>
  <c r="W20"/>
  <c r="V20"/>
  <c r="M20"/>
  <c r="L20"/>
  <c r="K20"/>
  <c r="J20"/>
  <c r="F20"/>
  <c r="AL19"/>
  <c r="AG19"/>
  <c r="AF19"/>
  <c r="AE19"/>
  <c r="Y19"/>
  <c r="X19"/>
  <c r="W19"/>
  <c r="V19"/>
  <c r="M19"/>
  <c r="L19"/>
  <c r="K19"/>
  <c r="J19"/>
  <c r="F19"/>
  <c r="AO18"/>
  <c r="AN18"/>
  <c r="AM18"/>
  <c r="AL18"/>
  <c r="AC18"/>
  <c r="AW18" s="1"/>
  <c r="AB18"/>
  <c r="AV18" s="1"/>
  <c r="AA18"/>
  <c r="AQ18" s="1"/>
  <c r="Z18"/>
  <c r="V18"/>
  <c r="M18"/>
  <c r="L18"/>
  <c r="K18"/>
  <c r="J18"/>
  <c r="F18"/>
  <c r="AL17"/>
  <c r="AG17"/>
  <c r="AF17"/>
  <c r="AE17"/>
  <c r="Y17"/>
  <c r="X17"/>
  <c r="W17"/>
  <c r="V17"/>
  <c r="M17"/>
  <c r="L17"/>
  <c r="K17"/>
  <c r="J17"/>
  <c r="F17"/>
  <c r="AL16"/>
  <c r="AG16"/>
  <c r="AO16" s="1"/>
  <c r="AF16"/>
  <c r="AE16"/>
  <c r="Y16"/>
  <c r="X16"/>
  <c r="W16"/>
  <c r="V16"/>
  <c r="V32" s="1"/>
  <c r="M16"/>
  <c r="M32" s="1"/>
  <c r="L16"/>
  <c r="L32" s="1"/>
  <c r="K16"/>
  <c r="K32" s="1"/>
  <c r="J16"/>
  <c r="J32" s="1"/>
  <c r="F16"/>
  <c r="AO15"/>
  <c r="AN15"/>
  <c r="AM15"/>
  <c r="AC15"/>
  <c r="AW15" s="1"/>
  <c r="AB15"/>
  <c r="AV15" s="1"/>
  <c r="AA15"/>
  <c r="AQ15" s="1"/>
  <c r="Z15"/>
  <c r="M15"/>
  <c r="L15"/>
  <c r="K15"/>
  <c r="N15" s="1"/>
  <c r="J15"/>
  <c r="AP14"/>
  <c r="AC14"/>
  <c r="AW14" s="1"/>
  <c r="AB14"/>
  <c r="AV14" s="1"/>
  <c r="AA14"/>
  <c r="AQ14" s="1"/>
  <c r="Z14"/>
  <c r="M14"/>
  <c r="L14"/>
  <c r="K14"/>
  <c r="J14"/>
  <c r="AK13"/>
  <c r="AJ13"/>
  <c r="AI13"/>
  <c r="U13"/>
  <c r="U251" s="1"/>
  <c r="T13"/>
  <c r="T251" s="1"/>
  <c r="S13"/>
  <c r="S251" s="1"/>
  <c r="Q13"/>
  <c r="P13"/>
  <c r="O13"/>
  <c r="I13"/>
  <c r="I251" s="1"/>
  <c r="I267" s="1"/>
  <c r="I292" s="1"/>
  <c r="H9" i="22" s="1"/>
  <c r="H13" i="1"/>
  <c r="H251" s="1"/>
  <c r="G13"/>
  <c r="E13"/>
  <c r="D13"/>
  <c r="D298" s="1"/>
  <c r="C13"/>
  <c r="C298" s="1"/>
  <c r="AL12"/>
  <c r="AG12"/>
  <c r="AF12"/>
  <c r="AE12"/>
  <c r="Y12"/>
  <c r="X12"/>
  <c r="W12"/>
  <c r="V12"/>
  <c r="R12"/>
  <c r="M12"/>
  <c r="M13" s="1"/>
  <c r="L12"/>
  <c r="L13" s="1"/>
  <c r="K12"/>
  <c r="K13" s="1"/>
  <c r="J12"/>
  <c r="F12"/>
  <c r="D86" i="13"/>
  <c r="AU26" i="1" l="1"/>
  <c r="N19"/>
  <c r="H138" i="22"/>
  <c r="H140" s="1"/>
  <c r="H9" i="33"/>
  <c r="N20" i="1"/>
  <c r="AX31"/>
  <c r="N21"/>
  <c r="BB21" s="1"/>
  <c r="BA21" s="1"/>
  <c r="AZ21" s="1"/>
  <c r="AY21" s="1"/>
  <c r="N17"/>
  <c r="N18"/>
  <c r="AP18"/>
  <c r="N14"/>
  <c r="AP15"/>
  <c r="L298"/>
  <c r="AZ13"/>
  <c r="J13"/>
  <c r="J298" s="1"/>
  <c r="K298"/>
  <c r="AY13"/>
  <c r="M298"/>
  <c r="BA13"/>
  <c r="G251"/>
  <c r="H267"/>
  <c r="H292" s="1"/>
  <c r="G9" i="22" s="1"/>
  <c r="L251" i="1"/>
  <c r="L267" s="1"/>
  <c r="K251"/>
  <c r="K267" s="1"/>
  <c r="M251"/>
  <c r="M267" s="1"/>
  <c r="N12"/>
  <c r="AY12"/>
  <c r="BA12"/>
  <c r="AU14"/>
  <c r="AD15"/>
  <c r="AU15"/>
  <c r="N16"/>
  <c r="N32" s="1"/>
  <c r="BB32" s="1"/>
  <c r="BA32" s="1"/>
  <c r="AZ32" s="1"/>
  <c r="AY32" s="1"/>
  <c r="AU18"/>
  <c r="BB19"/>
  <c r="BA19" s="1"/>
  <c r="AZ19" s="1"/>
  <c r="AY19" s="1"/>
  <c r="AX28"/>
  <c r="BB15"/>
  <c r="BA15" s="1"/>
  <c r="AZ15" s="1"/>
  <c r="AY15" s="1"/>
  <c r="AX15" s="1"/>
  <c r="F32"/>
  <c r="M286"/>
  <c r="N290"/>
  <c r="AZ12"/>
  <c r="F13"/>
  <c r="F298" s="1"/>
  <c r="E298" s="1"/>
  <c r="AD14"/>
  <c r="BB14"/>
  <c r="BA14" s="1"/>
  <c r="AZ14" s="1"/>
  <c r="AY14" s="1"/>
  <c r="BB17"/>
  <c r="BA17" s="1"/>
  <c r="AZ17" s="1"/>
  <c r="AY17" s="1"/>
  <c r="AD18"/>
  <c r="BB18"/>
  <c r="BA18" s="1"/>
  <c r="AZ18" s="1"/>
  <c r="AY18" s="1"/>
  <c r="BB20"/>
  <c r="BA20" s="1"/>
  <c r="AZ20" s="1"/>
  <c r="AY20" s="1"/>
  <c r="AX24"/>
  <c r="AM16"/>
  <c r="AP25"/>
  <c r="AP29"/>
  <c r="AP23"/>
  <c r="AC12"/>
  <c r="Z16"/>
  <c r="AP30"/>
  <c r="AP21"/>
  <c r="X32"/>
  <c r="AF32"/>
  <c r="AB21"/>
  <c r="AV21" s="1"/>
  <c r="AU30"/>
  <c r="AQ30"/>
  <c r="AD30"/>
  <c r="AB26"/>
  <c r="AW26"/>
  <c r="AV23"/>
  <c r="AR23"/>
  <c r="AA286"/>
  <c r="O251"/>
  <c r="AR29"/>
  <c r="AV29"/>
  <c r="AB12"/>
  <c r="AH12"/>
  <c r="AH13" s="1"/>
  <c r="AM12"/>
  <c r="AO12"/>
  <c r="X13"/>
  <c r="AF13"/>
  <c r="AB16"/>
  <c r="AH16"/>
  <c r="Z17"/>
  <c r="AB17"/>
  <c r="AH17"/>
  <c r="AM17"/>
  <c r="AO17"/>
  <c r="AA19"/>
  <c r="AC19"/>
  <c r="AW19" s="1"/>
  <c r="AN19"/>
  <c r="Z20"/>
  <c r="AB20"/>
  <c r="AV20" s="1"/>
  <c r="AH20"/>
  <c r="AM20"/>
  <c r="AO20"/>
  <c r="Z21"/>
  <c r="W32"/>
  <c r="AE32"/>
  <c r="AC21"/>
  <c r="AW21" s="1"/>
  <c r="AU29"/>
  <c r="AQ29"/>
  <c r="AD29"/>
  <c r="AU25"/>
  <c r="AQ25"/>
  <c r="AD25"/>
  <c r="AX25" s="1"/>
  <c r="AQ22"/>
  <c r="AU22"/>
  <c r="Q251"/>
  <c r="BA251" s="1"/>
  <c r="AR30"/>
  <c r="AV30"/>
  <c r="AR25"/>
  <c r="AV25"/>
  <c r="AQ23"/>
  <c r="AD23"/>
  <c r="AU23"/>
  <c r="AV22"/>
  <c r="AR22"/>
  <c r="AA12"/>
  <c r="AN12"/>
  <c r="AN13" s="1"/>
  <c r="W13"/>
  <c r="Y13"/>
  <c r="AE13"/>
  <c r="AG13"/>
  <c r="AA16"/>
  <c r="AC16"/>
  <c r="AW16" s="1"/>
  <c r="AN16"/>
  <c r="AA17"/>
  <c r="AC17"/>
  <c r="AN17"/>
  <c r="Z19"/>
  <c r="AB19"/>
  <c r="AH19"/>
  <c r="AM19"/>
  <c r="AO19"/>
  <c r="AA20"/>
  <c r="AC20"/>
  <c r="AW20" s="1"/>
  <c r="AN20"/>
  <c r="AA21"/>
  <c r="AX14" l="1"/>
  <c r="BB16"/>
  <c r="BA16" s="1"/>
  <c r="AZ16" s="1"/>
  <c r="AY16" s="1"/>
  <c r="J251"/>
  <c r="J267" s="1"/>
  <c r="H141" i="22"/>
  <c r="G138"/>
  <c r="G141" s="1"/>
  <c r="G9" i="33"/>
  <c r="H43"/>
  <c r="H46" s="1"/>
  <c r="L286" i="1"/>
  <c r="M290"/>
  <c r="M292" s="1"/>
  <c r="M300" s="1"/>
  <c r="N13"/>
  <c r="BB12"/>
  <c r="I298"/>
  <c r="AX18"/>
  <c r="F251"/>
  <c r="E251" s="1"/>
  <c r="G267"/>
  <c r="N251"/>
  <c r="N267" s="1"/>
  <c r="N292" s="1"/>
  <c r="O267"/>
  <c r="AY251"/>
  <c r="AX29"/>
  <c r="AX30"/>
  <c r="AE298"/>
  <c r="AX23"/>
  <c r="AS12"/>
  <c r="AN32"/>
  <c r="AW17"/>
  <c r="AS17"/>
  <c r="AU16"/>
  <c r="AQ16"/>
  <c r="AD16"/>
  <c r="AU20"/>
  <c r="AQ20"/>
  <c r="AD20"/>
  <c r="AV19"/>
  <c r="AR19"/>
  <c r="AU17"/>
  <c r="AQ17"/>
  <c r="AD17"/>
  <c r="AC13"/>
  <c r="Q267"/>
  <c r="AR16"/>
  <c r="AV16"/>
  <c r="X298"/>
  <c r="AB13"/>
  <c r="AO286"/>
  <c r="AP19"/>
  <c r="AP16"/>
  <c r="AU21"/>
  <c r="AD21"/>
  <c r="AX21" s="1"/>
  <c r="AQ21"/>
  <c r="V13"/>
  <c r="V298" s="1"/>
  <c r="U298" s="1"/>
  <c r="W298"/>
  <c r="AA13"/>
  <c r="Z13"/>
  <c r="Z12"/>
  <c r="AU12"/>
  <c r="AQ12"/>
  <c r="AD12"/>
  <c r="AA32"/>
  <c r="W251"/>
  <c r="AU19"/>
  <c r="AQ19"/>
  <c r="AD19"/>
  <c r="AV17"/>
  <c r="AR17"/>
  <c r="AM13"/>
  <c r="AP12"/>
  <c r="AV12"/>
  <c r="AR12"/>
  <c r="AA290"/>
  <c r="AR26"/>
  <c r="AV26"/>
  <c r="AD26"/>
  <c r="AX26" s="1"/>
  <c r="AP20"/>
  <c r="AP17"/>
  <c r="AM32"/>
  <c r="G140" i="22" l="1"/>
  <c r="H45" i="33"/>
  <c r="H44"/>
  <c r="G43"/>
  <c r="G46" s="1"/>
  <c r="D251" i="1"/>
  <c r="E267"/>
  <c r="H298"/>
  <c r="I300"/>
  <c r="N298"/>
  <c r="N300" s="1"/>
  <c r="BB13"/>
  <c r="K286"/>
  <c r="J286" s="1"/>
  <c r="L290"/>
  <c r="T298"/>
  <c r="F267"/>
  <c r="F292" s="1"/>
  <c r="G292"/>
  <c r="F9" i="22" s="1"/>
  <c r="F9" i="33" s="1"/>
  <c r="Q292" i="1"/>
  <c r="Q293" s="1"/>
  <c r="BA267"/>
  <c r="O292"/>
  <c r="O293" s="1"/>
  <c r="AY267"/>
  <c r="AX19"/>
  <c r="AU32"/>
  <c r="AQ32"/>
  <c r="AW286"/>
  <c r="AX12"/>
  <c r="AW12" s="1"/>
  <c r="AX17"/>
  <c r="AX16"/>
  <c r="AL32"/>
  <c r="AL13"/>
  <c r="V251"/>
  <c r="W267"/>
  <c r="W269" s="1"/>
  <c r="AA251"/>
  <c r="AA298"/>
  <c r="AU13"/>
  <c r="AQ13"/>
  <c r="AD13"/>
  <c r="AR13"/>
  <c r="AV13"/>
  <c r="AT12"/>
  <c r="AT17"/>
  <c r="AX20"/>
  <c r="I9" i="33" l="1"/>
  <c r="I43" s="1"/>
  <c r="F43"/>
  <c r="G45"/>
  <c r="G44"/>
  <c r="AL298" i="1"/>
  <c r="AK298" s="1"/>
  <c r="AJ298" s="1"/>
  <c r="AI298" s="1"/>
  <c r="F138" i="22"/>
  <c r="I9"/>
  <c r="I138" s="1"/>
  <c r="K290" i="1"/>
  <c r="L292"/>
  <c r="L300" s="1"/>
  <c r="E292"/>
  <c r="D9" i="22" s="1"/>
  <c r="D9" i="33" s="1"/>
  <c r="S298" i="1"/>
  <c r="G298"/>
  <c r="G300" s="1"/>
  <c r="F300" s="1"/>
  <c r="E300" s="1"/>
  <c r="H300"/>
  <c r="C251"/>
  <c r="C267" s="1"/>
  <c r="D267"/>
  <c r="P9" i="22"/>
  <c r="P9" i="33" s="1"/>
  <c r="P43" s="1"/>
  <c r="N9" i="22"/>
  <c r="N9" i="33" s="1"/>
  <c r="N43" s="1"/>
  <c r="V267" i="1"/>
  <c r="AA267"/>
  <c r="I46" i="33" l="1"/>
  <c r="F46"/>
  <c r="N45"/>
  <c r="P45"/>
  <c r="D43"/>
  <c r="L9"/>
  <c r="F45"/>
  <c r="F44"/>
  <c r="I44"/>
  <c r="I45"/>
  <c r="U267" i="1"/>
  <c r="V292"/>
  <c r="V300" s="1"/>
  <c r="R298"/>
  <c r="Q298" s="1"/>
  <c r="D138" i="22"/>
  <c r="L9"/>
  <c r="L138" s="1"/>
  <c r="J290" i="1"/>
  <c r="J292" s="1"/>
  <c r="J300" s="1"/>
  <c r="K292"/>
  <c r="K300" s="1"/>
  <c r="F140" i="22"/>
  <c r="F141"/>
  <c r="BB266" i="1"/>
  <c r="BA266" s="1"/>
  <c r="AZ266" s="1"/>
  <c r="AY266" s="1"/>
  <c r="C292"/>
  <c r="B9" i="22" s="1"/>
  <c r="B9" i="33" s="1"/>
  <c r="D292" i="1"/>
  <c r="C9" i="22" s="1"/>
  <c r="C9" i="33" s="1"/>
  <c r="I140" i="22"/>
  <c r="I141"/>
  <c r="N138"/>
  <c r="N44" i="33" s="1"/>
  <c r="P138" i="22"/>
  <c r="P44" i="33" s="1"/>
  <c r="AZ9" i="22"/>
  <c r="AZ138" s="1"/>
  <c r="AL286" i="1"/>
  <c r="W292"/>
  <c r="W293" s="1"/>
  <c r="P46" i="33" l="1"/>
  <c r="D46"/>
  <c r="N46"/>
  <c r="D45"/>
  <c r="D44"/>
  <c r="C43"/>
  <c r="K9"/>
  <c r="K43" s="1"/>
  <c r="E9"/>
  <c r="E43" s="1"/>
  <c r="B43"/>
  <c r="J9"/>
  <c r="L43"/>
  <c r="AZ9"/>
  <c r="AZ43" s="1"/>
  <c r="E9" i="22"/>
  <c r="E138" s="1"/>
  <c r="B138"/>
  <c r="B139" s="1"/>
  <c r="J9"/>
  <c r="D140"/>
  <c r="D141"/>
  <c r="P298" i="1"/>
  <c r="O298" s="1"/>
  <c r="O300" s="1"/>
  <c r="Q300"/>
  <c r="T267"/>
  <c r="U292"/>
  <c r="D300"/>
  <c r="C300" s="1"/>
  <c r="C138" i="22"/>
  <c r="K9"/>
  <c r="K138" s="1"/>
  <c r="L141"/>
  <c r="L140"/>
  <c r="P141"/>
  <c r="P140"/>
  <c r="N141"/>
  <c r="N140"/>
  <c r="AZ141"/>
  <c r="AZ140"/>
  <c r="V9"/>
  <c r="V9" i="33" s="1"/>
  <c r="W300" i="1"/>
  <c r="AA292"/>
  <c r="AA293" s="1"/>
  <c r="B46" i="33" l="1"/>
  <c r="L45"/>
  <c r="L46"/>
  <c r="AZ45"/>
  <c r="AZ46"/>
  <c r="E46"/>
  <c r="C46"/>
  <c r="K45"/>
  <c r="K46"/>
  <c r="AZ44"/>
  <c r="B45"/>
  <c r="B44"/>
  <c r="M9"/>
  <c r="M43" s="1"/>
  <c r="AX9"/>
  <c r="AX43" s="1"/>
  <c r="J43"/>
  <c r="E44"/>
  <c r="E45"/>
  <c r="C45"/>
  <c r="C44"/>
  <c r="K44"/>
  <c r="L44"/>
  <c r="V43"/>
  <c r="K141" i="22"/>
  <c r="K140"/>
  <c r="S267" i="1"/>
  <c r="S292" s="1"/>
  <c r="T292"/>
  <c r="C140" i="22"/>
  <c r="C141"/>
  <c r="T9"/>
  <c r="U300" i="1"/>
  <c r="J138" i="22"/>
  <c r="M9"/>
  <c r="M138" s="1"/>
  <c r="AX9"/>
  <c r="AX138" s="1"/>
  <c r="E140"/>
  <c r="E141"/>
  <c r="B140"/>
  <c r="B141"/>
  <c r="V138"/>
  <c r="AA300" i="1"/>
  <c r="AX44" i="33" l="1"/>
  <c r="J45"/>
  <c r="J46"/>
  <c r="M46"/>
  <c r="AX45"/>
  <c r="AX46"/>
  <c r="V46"/>
  <c r="M44"/>
  <c r="J44"/>
  <c r="M45"/>
  <c r="V45"/>
  <c r="V44"/>
  <c r="T138" i="22"/>
  <c r="T141" s="1"/>
  <c r="T9" i="33"/>
  <c r="AX140" i="22"/>
  <c r="AX141"/>
  <c r="J140"/>
  <c r="J141"/>
  <c r="T140"/>
  <c r="R9"/>
  <c r="R9" i="33" s="1"/>
  <c r="S300" i="1"/>
  <c r="M141" i="22"/>
  <c r="M140"/>
  <c r="S9"/>
  <c r="T300" i="1"/>
  <c r="V140" i="22"/>
  <c r="V141"/>
  <c r="AX77" i="13"/>
  <c r="AW77"/>
  <c r="AV77"/>
  <c r="AU77"/>
  <c r="AH77"/>
  <c r="AI76"/>
  <c r="S138" i="22" l="1"/>
  <c r="S140" s="1"/>
  <c r="S9" i="33"/>
  <c r="U9" s="1"/>
  <c r="U43" s="1"/>
  <c r="Z9"/>
  <c r="R43"/>
  <c r="T43"/>
  <c r="T46" s="1"/>
  <c r="U9" i="22"/>
  <c r="U138" s="1"/>
  <c r="R138"/>
  <c r="Z9"/>
  <c r="Z138" s="1"/>
  <c r="Z141" s="1"/>
  <c r="W76" i="13"/>
  <c r="U76"/>
  <c r="T76"/>
  <c r="S76"/>
  <c r="Q76"/>
  <c r="P76"/>
  <c r="O76"/>
  <c r="G76"/>
  <c r="E76"/>
  <c r="D76"/>
  <c r="C76"/>
  <c r="AK75"/>
  <c r="AJ75"/>
  <c r="AI75"/>
  <c r="AG75"/>
  <c r="AF75"/>
  <c r="AE75"/>
  <c r="Y75"/>
  <c r="X75"/>
  <c r="W75"/>
  <c r="U75"/>
  <c r="T75"/>
  <c r="S75"/>
  <c r="Q75"/>
  <c r="P75"/>
  <c r="O75"/>
  <c r="R46" i="33" l="1"/>
  <c r="U46"/>
  <c r="S141" i="22"/>
  <c r="T45" i="33"/>
  <c r="T44"/>
  <c r="R45"/>
  <c r="R44"/>
  <c r="U45"/>
  <c r="U44"/>
  <c r="Z43"/>
  <c r="Z46" s="1"/>
  <c r="S43"/>
  <c r="S46" s="1"/>
  <c r="Z140" i="22"/>
  <c r="U141"/>
  <c r="U140"/>
  <c r="R141"/>
  <c r="R140"/>
  <c r="AA75" i="13"/>
  <c r="V76"/>
  <c r="AA76"/>
  <c r="V75"/>
  <c r="F76"/>
  <c r="Z75"/>
  <c r="AH75"/>
  <c r="R75"/>
  <c r="AM75"/>
  <c r="R76"/>
  <c r="E75"/>
  <c r="D75"/>
  <c r="C75"/>
  <c r="S45" i="33" l="1"/>
  <c r="S44"/>
  <c r="Z44"/>
  <c r="Z45"/>
  <c r="AL75" i="13"/>
  <c r="AQ75"/>
  <c r="F75"/>
  <c r="AI74" l="1"/>
  <c r="W74" l="1"/>
  <c r="U74"/>
  <c r="T74"/>
  <c r="S74"/>
  <c r="Q74"/>
  <c r="P74"/>
  <c r="O74"/>
  <c r="E74"/>
  <c r="D74"/>
  <c r="C74"/>
  <c r="F74" s="1"/>
  <c r="V74" l="1"/>
  <c r="AA74"/>
  <c r="R74"/>
  <c r="AK73"/>
  <c r="AJ73"/>
  <c r="AI73"/>
  <c r="AG73" l="1"/>
  <c r="AF73"/>
  <c r="AN73" s="1"/>
  <c r="AE73"/>
  <c r="AM73" s="1"/>
  <c r="AL73" s="1"/>
  <c r="AH73" l="1"/>
  <c r="Y73" l="1"/>
  <c r="W73"/>
  <c r="U73"/>
  <c r="T73"/>
  <c r="S73"/>
  <c r="Q73"/>
  <c r="P73"/>
  <c r="O73"/>
  <c r="E73"/>
  <c r="D73"/>
  <c r="C73"/>
  <c r="AA73" l="1"/>
  <c r="AQ73" s="1"/>
  <c r="V73"/>
  <c r="AC73"/>
  <c r="F73"/>
  <c r="R73"/>
  <c r="AK72" l="1"/>
  <c r="AJ72"/>
  <c r="AI72"/>
  <c r="AG72"/>
  <c r="AF72"/>
  <c r="AE72"/>
  <c r="AL72" l="1"/>
  <c r="AN72"/>
  <c r="AH72"/>
  <c r="AM72"/>
  <c r="AO72"/>
  <c r="AP72" l="1"/>
  <c r="Y72"/>
  <c r="X72"/>
  <c r="W72"/>
  <c r="U72"/>
  <c r="T72"/>
  <c r="S72"/>
  <c r="Q72"/>
  <c r="P72"/>
  <c r="O72"/>
  <c r="E72"/>
  <c r="D72"/>
  <c r="C72"/>
  <c r="AB72" l="1"/>
  <c r="AR72" s="1"/>
  <c r="AA72"/>
  <c r="AU72" s="1"/>
  <c r="AC72"/>
  <c r="AS72" s="1"/>
  <c r="F72"/>
  <c r="V72"/>
  <c r="Z72"/>
  <c r="R72"/>
  <c r="AQ72" l="1"/>
  <c r="AT72" s="1"/>
  <c r="AD72"/>
  <c r="AI71"/>
  <c r="W71"/>
  <c r="V71"/>
  <c r="U71"/>
  <c r="T71"/>
  <c r="S71"/>
  <c r="Q71"/>
  <c r="P71"/>
  <c r="O71"/>
  <c r="E71"/>
  <c r="D71"/>
  <c r="C71"/>
  <c r="AX70"/>
  <c r="AW70"/>
  <c r="AV70"/>
  <c r="AU70"/>
  <c r="AP70"/>
  <c r="AL70"/>
  <c r="AH70"/>
  <c r="Z70"/>
  <c r="R70"/>
  <c r="M70"/>
  <c r="L70"/>
  <c r="K70"/>
  <c r="AY70" s="1"/>
  <c r="F70"/>
  <c r="N70" l="1"/>
  <c r="AA71"/>
  <c r="F71"/>
  <c r="R71"/>
  <c r="AI69" l="1"/>
  <c r="W69"/>
  <c r="U69"/>
  <c r="T69"/>
  <c r="S69"/>
  <c r="Q69"/>
  <c r="P69"/>
  <c r="O69"/>
  <c r="E69"/>
  <c r="D69"/>
  <c r="C69"/>
  <c r="AA69" l="1"/>
  <c r="V69"/>
  <c r="F69"/>
  <c r="R69"/>
  <c r="AI68" l="1"/>
  <c r="W68" l="1"/>
  <c r="U68"/>
  <c r="T68"/>
  <c r="S68"/>
  <c r="Q68"/>
  <c r="P68"/>
  <c r="O68"/>
  <c r="E68"/>
  <c r="D68"/>
  <c r="C68"/>
  <c r="AA68" l="1"/>
  <c r="V68"/>
  <c r="F68"/>
  <c r="R68"/>
  <c r="AI67"/>
  <c r="W67" l="1"/>
  <c r="U67"/>
  <c r="T67"/>
  <c r="S67"/>
  <c r="Q67"/>
  <c r="P67"/>
  <c r="O67"/>
  <c r="E67"/>
  <c r="D67"/>
  <c r="C67"/>
  <c r="F67" l="1"/>
  <c r="V67"/>
  <c r="AA67"/>
  <c r="R67"/>
  <c r="AI66"/>
  <c r="W66" l="1"/>
  <c r="V66"/>
  <c r="U66"/>
  <c r="T66"/>
  <c r="S66"/>
  <c r="Q66"/>
  <c r="P66"/>
  <c r="O66"/>
  <c r="E66"/>
  <c r="D66"/>
  <c r="C66"/>
  <c r="AX65"/>
  <c r="AW65"/>
  <c r="AV65"/>
  <c r="AU65"/>
  <c r="AP65"/>
  <c r="AL65"/>
  <c r="AH65"/>
  <c r="Z65"/>
  <c r="R65"/>
  <c r="M65"/>
  <c r="L65"/>
  <c r="K65"/>
  <c r="F65"/>
  <c r="N65" l="1"/>
  <c r="F66"/>
  <c r="AA66"/>
  <c r="R66"/>
  <c r="AK64" l="1"/>
  <c r="AJ64"/>
  <c r="AG64"/>
  <c r="AF64" l="1"/>
  <c r="AN64" s="1"/>
  <c r="AE64"/>
  <c r="Y64"/>
  <c r="X64"/>
  <c r="W64"/>
  <c r="U64"/>
  <c r="T64"/>
  <c r="S64"/>
  <c r="Q64"/>
  <c r="P64"/>
  <c r="O64"/>
  <c r="E64"/>
  <c r="D64"/>
  <c r="C64"/>
  <c r="AA64" l="1"/>
  <c r="AB64"/>
  <c r="V64"/>
  <c r="AR64"/>
  <c r="Z64"/>
  <c r="AH64"/>
  <c r="F64"/>
  <c r="R64"/>
  <c r="AK63"/>
  <c r="AJ63"/>
  <c r="AI63"/>
  <c r="AG63"/>
  <c r="AF63"/>
  <c r="AE63"/>
  <c r="AO63" l="1"/>
  <c r="AN63" s="1"/>
  <c r="AH63"/>
  <c r="AM63"/>
  <c r="Y63"/>
  <c r="W63"/>
  <c r="U63"/>
  <c r="T63"/>
  <c r="S63"/>
  <c r="Q63"/>
  <c r="P63"/>
  <c r="O63"/>
  <c r="E63"/>
  <c r="D63"/>
  <c r="C63"/>
  <c r="F63" l="1"/>
  <c r="AA63"/>
  <c r="AQ63" s="1"/>
  <c r="V63"/>
  <c r="AL63"/>
  <c r="AP63"/>
  <c r="R63"/>
  <c r="AK62" l="1"/>
  <c r="AJ62"/>
  <c r="AI62"/>
  <c r="AG62"/>
  <c r="AF62"/>
  <c r="AE62"/>
  <c r="Y62"/>
  <c r="X62"/>
  <c r="W62"/>
  <c r="U62"/>
  <c r="T62"/>
  <c r="S62"/>
  <c r="Q62"/>
  <c r="P62"/>
  <c r="O62"/>
  <c r="AA62" s="1"/>
  <c r="E62"/>
  <c r="D62"/>
  <c r="F62" s="1"/>
  <c r="C62"/>
  <c r="V62" l="1"/>
  <c r="R62"/>
  <c r="AO62"/>
  <c r="AN62" s="1"/>
  <c r="Z62"/>
  <c r="AH62"/>
  <c r="AM62"/>
  <c r="AI61"/>
  <c r="AL62" l="1"/>
  <c r="AP62"/>
  <c r="AQ62"/>
  <c r="W61"/>
  <c r="U61"/>
  <c r="T61"/>
  <c r="S61"/>
  <c r="Q61"/>
  <c r="P61"/>
  <c r="O61"/>
  <c r="E61"/>
  <c r="D61"/>
  <c r="C61"/>
  <c r="V61" l="1"/>
  <c r="R61"/>
  <c r="AA61"/>
  <c r="F61"/>
  <c r="W60" l="1"/>
  <c r="V60"/>
  <c r="U60"/>
  <c r="T60"/>
  <c r="S60"/>
  <c r="Q60"/>
  <c r="P60"/>
  <c r="O60"/>
  <c r="E60"/>
  <c r="D60"/>
  <c r="C60"/>
  <c r="AX59"/>
  <c r="AW59"/>
  <c r="AV59"/>
  <c r="AU59"/>
  <c r="AP59"/>
  <c r="AL59"/>
  <c r="AH59"/>
  <c r="Z59"/>
  <c r="R59"/>
  <c r="M59"/>
  <c r="L59"/>
  <c r="K59"/>
  <c r="F59"/>
  <c r="N59" l="1"/>
  <c r="F60"/>
  <c r="AA60"/>
  <c r="R60"/>
  <c r="AK58" l="1"/>
  <c r="AJ58"/>
  <c r="AI58"/>
  <c r="AG58"/>
  <c r="AF58"/>
  <c r="AE58"/>
  <c r="AH58" l="1"/>
  <c r="AM58"/>
  <c r="AL58" l="1"/>
  <c r="Y58"/>
  <c r="X58"/>
  <c r="W58"/>
  <c r="U58"/>
  <c r="T58"/>
  <c r="S58"/>
  <c r="V58" s="1"/>
  <c r="Q58"/>
  <c r="P58"/>
  <c r="AB58" s="1"/>
  <c r="O58"/>
  <c r="E58"/>
  <c r="D58"/>
  <c r="C58"/>
  <c r="AA58" l="1"/>
  <c r="AQ58" s="1"/>
  <c r="AC58"/>
  <c r="Z58"/>
  <c r="F58"/>
  <c r="R58"/>
  <c r="AD58" l="1"/>
  <c r="AK57"/>
  <c r="AJ57"/>
  <c r="AI57"/>
  <c r="AG57"/>
  <c r="AF57"/>
  <c r="AN57" l="1"/>
  <c r="AE57"/>
  <c r="AM57" s="1"/>
  <c r="AL57" s="1"/>
  <c r="Y57"/>
  <c r="X57"/>
  <c r="W57"/>
  <c r="U57"/>
  <c r="T57"/>
  <c r="S57"/>
  <c r="Q57"/>
  <c r="P57"/>
  <c r="O57"/>
  <c r="E57"/>
  <c r="D57"/>
  <c r="C57"/>
  <c r="AA57" l="1"/>
  <c r="AQ57" s="1"/>
  <c r="AB57"/>
  <c r="AR57" s="1"/>
  <c r="V57"/>
  <c r="Z57"/>
  <c r="AU57"/>
  <c r="AH57"/>
  <c r="F57"/>
  <c r="R57"/>
  <c r="AV57" l="1"/>
  <c r="AK56"/>
  <c r="AJ56"/>
  <c r="AI56"/>
  <c r="AG56"/>
  <c r="AF56"/>
  <c r="AE56"/>
  <c r="AM56" l="1"/>
  <c r="AN56"/>
  <c r="AL56"/>
  <c r="AH56"/>
  <c r="Y56" l="1"/>
  <c r="W56"/>
  <c r="U56"/>
  <c r="T56"/>
  <c r="S56"/>
  <c r="Q56"/>
  <c r="P56"/>
  <c r="O56"/>
  <c r="E56"/>
  <c r="D56"/>
  <c r="C56"/>
  <c r="F56" l="1"/>
  <c r="AA56"/>
  <c r="AQ56" s="1"/>
  <c r="R56"/>
  <c r="V56"/>
  <c r="AK55" l="1"/>
  <c r="AJ55"/>
  <c r="AI55"/>
  <c r="AG55"/>
  <c r="AF55"/>
  <c r="AE55"/>
  <c r="AM55" l="1"/>
  <c r="AO55"/>
  <c r="AN55"/>
  <c r="AL55"/>
  <c r="AH55"/>
  <c r="AP55" l="1"/>
  <c r="Y55"/>
  <c r="X55"/>
  <c r="W55"/>
  <c r="U55"/>
  <c r="T55"/>
  <c r="S55"/>
  <c r="Q55"/>
  <c r="P55"/>
  <c r="AB55" s="1"/>
  <c r="AR55" s="1"/>
  <c r="O55"/>
  <c r="E55"/>
  <c r="D55"/>
  <c r="C55"/>
  <c r="AI54"/>
  <c r="W54"/>
  <c r="U54"/>
  <c r="T54"/>
  <c r="S54"/>
  <c r="V54" s="1"/>
  <c r="AA55" l="1"/>
  <c r="AQ55" s="1"/>
  <c r="V55"/>
  <c r="Z55"/>
  <c r="F55"/>
  <c r="R55"/>
  <c r="Q54"/>
  <c r="P54"/>
  <c r="O54" l="1"/>
  <c r="I54"/>
  <c r="H54"/>
  <c r="G54"/>
  <c r="E54"/>
  <c r="D54"/>
  <c r="C54"/>
  <c r="K54" l="1"/>
  <c r="J54"/>
  <c r="AY54"/>
  <c r="AA54"/>
  <c r="R54"/>
  <c r="F54"/>
  <c r="AI53"/>
  <c r="W53" l="1"/>
  <c r="V53" l="1"/>
  <c r="U53"/>
  <c r="T53"/>
  <c r="S53" l="1"/>
  <c r="P53"/>
  <c r="O53"/>
  <c r="E53"/>
  <c r="D53"/>
  <c r="C53"/>
  <c r="AA53" l="1"/>
  <c r="F53"/>
  <c r="W52" l="1"/>
  <c r="V52"/>
  <c r="U52"/>
  <c r="T52"/>
  <c r="S52"/>
  <c r="P52"/>
  <c r="O52"/>
  <c r="E52"/>
  <c r="D52"/>
  <c r="AA52" l="1"/>
  <c r="C52"/>
  <c r="AP51"/>
  <c r="AL51"/>
  <c r="AH51"/>
  <c r="AC51"/>
  <c r="AS51" s="1"/>
  <c r="AB51"/>
  <c r="AV51" s="1"/>
  <c r="AU51" s="1"/>
  <c r="AA51"/>
  <c r="AQ51" s="1"/>
  <c r="Z51"/>
  <c r="R51"/>
  <c r="M51"/>
  <c r="L51"/>
  <c r="K51"/>
  <c r="N51" s="1"/>
  <c r="F51"/>
  <c r="AR51" l="1"/>
  <c r="AT51" s="1"/>
  <c r="AD51"/>
  <c r="F52"/>
  <c r="AK50" l="1"/>
  <c r="AJ50"/>
  <c r="AI50"/>
  <c r="AG50"/>
  <c r="AF50"/>
  <c r="AE50"/>
  <c r="AL50" l="1"/>
  <c r="AH50"/>
  <c r="Y50"/>
  <c r="X50"/>
  <c r="W50"/>
  <c r="U50"/>
  <c r="T50"/>
  <c r="S50"/>
  <c r="Q50"/>
  <c r="P50"/>
  <c r="O50"/>
  <c r="I50"/>
  <c r="H50"/>
  <c r="G50"/>
  <c r="E50"/>
  <c r="D50"/>
  <c r="C50"/>
  <c r="AO49"/>
  <c r="AN49"/>
  <c r="AM49"/>
  <c r="AL49"/>
  <c r="AH49"/>
  <c r="AC49"/>
  <c r="AW49" s="1"/>
  <c r="AB49"/>
  <c r="AA49"/>
  <c r="Z49"/>
  <c r="R49"/>
  <c r="M49"/>
  <c r="L49"/>
  <c r="K49"/>
  <c r="F49"/>
  <c r="AR49" l="1"/>
  <c r="AP49"/>
  <c r="J50"/>
  <c r="V50"/>
  <c r="AC50"/>
  <c r="AD49"/>
  <c r="AV49"/>
  <c r="N49"/>
  <c r="AU49"/>
  <c r="AQ49"/>
  <c r="K50"/>
  <c r="AA50"/>
  <c r="F50"/>
  <c r="R50"/>
  <c r="Z50"/>
  <c r="AB50"/>
  <c r="AD50" l="1"/>
  <c r="V48" l="1"/>
  <c r="U48"/>
  <c r="T48"/>
  <c r="S48"/>
  <c r="Q48"/>
  <c r="O48"/>
  <c r="J48"/>
  <c r="I48"/>
  <c r="H48"/>
  <c r="G48"/>
  <c r="E48"/>
  <c r="D48"/>
  <c r="C48"/>
  <c r="K48" s="1"/>
  <c r="AK47"/>
  <c r="AJ47"/>
  <c r="AI47"/>
  <c r="X47"/>
  <c r="W47" s="1"/>
  <c r="V47"/>
  <c r="U47"/>
  <c r="T47"/>
  <c r="S47"/>
  <c r="Q47"/>
  <c r="P47"/>
  <c r="AB47" s="1"/>
  <c r="O47"/>
  <c r="J47"/>
  <c r="I47"/>
  <c r="H47"/>
  <c r="G47"/>
  <c r="E47"/>
  <c r="M47" s="1"/>
  <c r="D47"/>
  <c r="C47"/>
  <c r="L47" l="1"/>
  <c r="M48"/>
  <c r="L48"/>
  <c r="AA47"/>
  <c r="AY48"/>
  <c r="K47"/>
  <c r="R47"/>
  <c r="F48"/>
  <c r="F47"/>
  <c r="N48" l="1"/>
  <c r="AY47"/>
  <c r="N47"/>
  <c r="V46" l="1"/>
  <c r="U46"/>
  <c r="T46"/>
  <c r="S46"/>
  <c r="Q46"/>
  <c r="O46" l="1"/>
  <c r="J46"/>
  <c r="I46"/>
  <c r="H46"/>
  <c r="G46"/>
  <c r="E46"/>
  <c r="D46"/>
  <c r="C46"/>
  <c r="AO45"/>
  <c r="AN45"/>
  <c r="AM45"/>
  <c r="AL45"/>
  <c r="AH45"/>
  <c r="AC45"/>
  <c r="AB45"/>
  <c r="AV45" s="1"/>
  <c r="AA45"/>
  <c r="Z45"/>
  <c r="R45"/>
  <c r="M45"/>
  <c r="L45"/>
  <c r="K45"/>
  <c r="N45" s="1"/>
  <c r="F45"/>
  <c r="AK44"/>
  <c r="AJ44"/>
  <c r="AI44"/>
  <c r="X44"/>
  <c r="W44"/>
  <c r="V44"/>
  <c r="U44"/>
  <c r="T44"/>
  <c r="S44"/>
  <c r="Q44"/>
  <c r="P44"/>
  <c r="O44"/>
  <c r="J44"/>
  <c r="I44"/>
  <c r="H44"/>
  <c r="G44"/>
  <c r="E44"/>
  <c r="D44"/>
  <c r="C44"/>
  <c r="AK43"/>
  <c r="AJ43"/>
  <c r="AI43"/>
  <c r="X43"/>
  <c r="W43" s="1"/>
  <c r="V43"/>
  <c r="U43"/>
  <c r="T43"/>
  <c r="S43"/>
  <c r="Q43"/>
  <c r="P43"/>
  <c r="O43"/>
  <c r="J43"/>
  <c r="I43"/>
  <c r="H43"/>
  <c r="G43"/>
  <c r="E43"/>
  <c r="M43" s="1"/>
  <c r="D43"/>
  <c r="C43"/>
  <c r="K43" s="1"/>
  <c r="AK42"/>
  <c r="AJ42"/>
  <c r="AI42"/>
  <c r="X42"/>
  <c r="W42" s="1"/>
  <c r="V42"/>
  <c r="U42"/>
  <c r="T42"/>
  <c r="S42"/>
  <c r="Q42"/>
  <c r="P42"/>
  <c r="O42"/>
  <c r="J42"/>
  <c r="I42"/>
  <c r="H42"/>
  <c r="G42"/>
  <c r="E42"/>
  <c r="D42"/>
  <c r="C42"/>
  <c r="AK41"/>
  <c r="AJ41"/>
  <c r="AI41"/>
  <c r="AF41"/>
  <c r="AE41"/>
  <c r="AM41" s="1"/>
  <c r="X41"/>
  <c r="W41" s="1"/>
  <c r="V41"/>
  <c r="U41"/>
  <c r="T41"/>
  <c r="S41"/>
  <c r="Q41"/>
  <c r="P41"/>
  <c r="O41"/>
  <c r="J41"/>
  <c r="I41"/>
  <c r="H41"/>
  <c r="G41"/>
  <c r="E41"/>
  <c r="M41" s="1"/>
  <c r="D41"/>
  <c r="C41"/>
  <c r="F41" s="1"/>
  <c r="AK40"/>
  <c r="AJ40"/>
  <c r="AJ39" s="1"/>
  <c r="AI40"/>
  <c r="X40"/>
  <c r="W40" s="1"/>
  <c r="V40"/>
  <c r="U40"/>
  <c r="T40"/>
  <c r="S40"/>
  <c r="Q40"/>
  <c r="P40"/>
  <c r="AB40" s="1"/>
  <c r="O40"/>
  <c r="J40"/>
  <c r="I40"/>
  <c r="H40"/>
  <c r="G40"/>
  <c r="E40"/>
  <c r="D40"/>
  <c r="C40"/>
  <c r="F44" l="1"/>
  <c r="AL44"/>
  <c r="AU45"/>
  <c r="AP45"/>
  <c r="L46"/>
  <c r="AK39"/>
  <c r="AI39"/>
  <c r="L41"/>
  <c r="L40"/>
  <c r="K40" s="1"/>
  <c r="AY40" s="1"/>
  <c r="R40"/>
  <c r="R41"/>
  <c r="AL40"/>
  <c r="AL41"/>
  <c r="L42"/>
  <c r="K42" s="1"/>
  <c r="R42"/>
  <c r="AL42"/>
  <c r="L43"/>
  <c r="AL43"/>
  <c r="L44"/>
  <c r="K44" s="1"/>
  <c r="AY44" s="1"/>
  <c r="AD45"/>
  <c r="AS45"/>
  <c r="K46"/>
  <c r="AR45"/>
  <c r="AQ45"/>
  <c r="M46"/>
  <c r="AA43"/>
  <c r="AA44"/>
  <c r="AY42"/>
  <c r="AU44"/>
  <c r="AY46"/>
  <c r="AY43"/>
  <c r="N43"/>
  <c r="AA40"/>
  <c r="K41"/>
  <c r="AA41"/>
  <c r="AA42"/>
  <c r="F43"/>
  <c r="R43"/>
  <c r="R44"/>
  <c r="F46"/>
  <c r="F40"/>
  <c r="F42"/>
  <c r="X39"/>
  <c r="W39"/>
  <c r="V39"/>
  <c r="U39"/>
  <c r="T39"/>
  <c r="S39"/>
  <c r="Q39"/>
  <c r="P39"/>
  <c r="O39"/>
  <c r="J39"/>
  <c r="I39"/>
  <c r="H39"/>
  <c r="G39"/>
  <c r="E39"/>
  <c r="D39"/>
  <c r="C39" s="1"/>
  <c r="AO38"/>
  <c r="AN38"/>
  <c r="AM38"/>
  <c r="AL38"/>
  <c r="AH38"/>
  <c r="AC38"/>
  <c r="AW38" s="1"/>
  <c r="AV38" s="1"/>
  <c r="AB38"/>
  <c r="AA38"/>
  <c r="AQ38" s="1"/>
  <c r="Z38"/>
  <c r="R38"/>
  <c r="M38"/>
  <c r="L38"/>
  <c r="N38" s="1"/>
  <c r="K38"/>
  <c r="AY38" s="1"/>
  <c r="F38"/>
  <c r="AK37"/>
  <c r="AJ37"/>
  <c r="AI37"/>
  <c r="AF37"/>
  <c r="AF36" s="1"/>
  <c r="AE37"/>
  <c r="AM37" s="1"/>
  <c r="X37"/>
  <c r="W37" s="1"/>
  <c r="W36" s="1"/>
  <c r="V37"/>
  <c r="U37"/>
  <c r="T37"/>
  <c r="S37"/>
  <c r="Q37"/>
  <c r="P37"/>
  <c r="O37"/>
  <c r="J37"/>
  <c r="I37"/>
  <c r="H37"/>
  <c r="G37"/>
  <c r="E37"/>
  <c r="D37"/>
  <c r="C37"/>
  <c r="AK36"/>
  <c r="AJ36"/>
  <c r="AE36"/>
  <c r="X36"/>
  <c r="V36"/>
  <c r="U36"/>
  <c r="T36"/>
  <c r="S36"/>
  <c r="Q36"/>
  <c r="P36"/>
  <c r="O36"/>
  <c r="J36"/>
  <c r="I36"/>
  <c r="H36"/>
  <c r="G36"/>
  <c r="E36"/>
  <c r="D36"/>
  <c r="C36"/>
  <c r="AO35"/>
  <c r="AN35"/>
  <c r="AM35"/>
  <c r="AL35"/>
  <c r="AH35"/>
  <c r="AC35"/>
  <c r="AS35" s="1"/>
  <c r="AR35" s="1"/>
  <c r="AB35"/>
  <c r="AV35" s="1"/>
  <c r="AA35"/>
  <c r="AU35" s="1"/>
  <c r="Z35"/>
  <c r="R35"/>
  <c r="M35"/>
  <c r="L35"/>
  <c r="K35"/>
  <c r="F35"/>
  <c r="AK34"/>
  <c r="AK33" s="1"/>
  <c r="AJ34"/>
  <c r="AI34"/>
  <c r="AI33" s="1"/>
  <c r="Y34"/>
  <c r="Y33" s="1"/>
  <c r="X34"/>
  <c r="W34" s="1"/>
  <c r="W33" s="1"/>
  <c r="V34"/>
  <c r="U34"/>
  <c r="T34"/>
  <c r="S34"/>
  <c r="Q34"/>
  <c r="P34"/>
  <c r="O34"/>
  <c r="J34"/>
  <c r="I34"/>
  <c r="H34"/>
  <c r="G34"/>
  <c r="E34"/>
  <c r="D34"/>
  <c r="C34"/>
  <c r="AJ33"/>
  <c r="X33"/>
  <c r="V33"/>
  <c r="U33"/>
  <c r="T33"/>
  <c r="S33"/>
  <c r="Q33"/>
  <c r="P33"/>
  <c r="O33"/>
  <c r="J33"/>
  <c r="I33"/>
  <c r="H33"/>
  <c r="G33"/>
  <c r="E33"/>
  <c r="D33"/>
  <c r="AO32"/>
  <c r="AN32"/>
  <c r="AM32"/>
  <c r="AL32"/>
  <c r="AH32"/>
  <c r="AC32"/>
  <c r="AW32" s="1"/>
  <c r="AV32" s="1"/>
  <c r="AB32"/>
  <c r="AA32"/>
  <c r="AD32" s="1"/>
  <c r="Z32"/>
  <c r="R32"/>
  <c r="M32"/>
  <c r="L32"/>
  <c r="K32"/>
  <c r="F32"/>
  <c r="AK31"/>
  <c r="AJ31"/>
  <c r="AI31"/>
  <c r="X31"/>
  <c r="W31"/>
  <c r="V31"/>
  <c r="U31"/>
  <c r="T31"/>
  <c r="S31"/>
  <c r="Q31"/>
  <c r="P31"/>
  <c r="O31"/>
  <c r="J31"/>
  <c r="I31"/>
  <c r="H31"/>
  <c r="G31"/>
  <c r="E31"/>
  <c r="D31"/>
  <c r="C31"/>
  <c r="AK30"/>
  <c r="AJ30"/>
  <c r="AI30"/>
  <c r="X30"/>
  <c r="W30" s="1"/>
  <c r="V30"/>
  <c r="U30"/>
  <c r="T30"/>
  <c r="S30"/>
  <c r="Q30"/>
  <c r="P30"/>
  <c r="O30"/>
  <c r="J30"/>
  <c r="I30"/>
  <c r="H30"/>
  <c r="G30"/>
  <c r="E30"/>
  <c r="D30"/>
  <c r="C30"/>
  <c r="AJ29"/>
  <c r="W29"/>
  <c r="V29"/>
  <c r="U29"/>
  <c r="T29"/>
  <c r="S29"/>
  <c r="Q29"/>
  <c r="P29"/>
  <c r="O29"/>
  <c r="J29"/>
  <c r="I29"/>
  <c r="H29"/>
  <c r="G29"/>
  <c r="E29"/>
  <c r="D29"/>
  <c r="C29"/>
  <c r="AO28"/>
  <c r="AN28"/>
  <c r="AM28"/>
  <c r="AL28"/>
  <c r="AH28"/>
  <c r="AC28"/>
  <c r="AB28"/>
  <c r="AV28" s="1"/>
  <c r="AA28"/>
  <c r="AU28" s="1"/>
  <c r="Z28"/>
  <c r="R28"/>
  <c r="M28"/>
  <c r="L28"/>
  <c r="K28"/>
  <c r="AY28" s="1"/>
  <c r="F28"/>
  <c r="AK27"/>
  <c r="AJ27"/>
  <c r="AI27"/>
  <c r="X27"/>
  <c r="W27" s="1"/>
  <c r="V27"/>
  <c r="U27"/>
  <c r="T27"/>
  <c r="S27"/>
  <c r="Q27"/>
  <c r="P27"/>
  <c r="O27"/>
  <c r="J27"/>
  <c r="I27"/>
  <c r="H27"/>
  <c r="G27"/>
  <c r="E27"/>
  <c r="D27"/>
  <c r="C27"/>
  <c r="AP28" l="1"/>
  <c r="AR38"/>
  <c r="N46"/>
  <c r="M27"/>
  <c r="L27" s="1"/>
  <c r="AB27"/>
  <c r="M30"/>
  <c r="AB30"/>
  <c r="M39"/>
  <c r="AI29"/>
  <c r="AK29"/>
  <c r="L30"/>
  <c r="R30"/>
  <c r="AI36"/>
  <c r="AL36" s="1"/>
  <c r="K31"/>
  <c r="M31"/>
  <c r="L31" s="1"/>
  <c r="M34"/>
  <c r="L34" s="1"/>
  <c r="AB34"/>
  <c r="AL34"/>
  <c r="L37"/>
  <c r="AL30"/>
  <c r="C33"/>
  <c r="F33" s="1"/>
  <c r="F34"/>
  <c r="AC34"/>
  <c r="K36"/>
  <c r="AY36" s="1"/>
  <c r="M36"/>
  <c r="M37"/>
  <c r="AB37"/>
  <c r="AS28"/>
  <c r="M29"/>
  <c r="R29"/>
  <c r="AR32"/>
  <c r="AP32"/>
  <c r="M33"/>
  <c r="N32"/>
  <c r="R33"/>
  <c r="N35"/>
  <c r="AP35"/>
  <c r="AR28"/>
  <c r="AU32"/>
  <c r="AU38"/>
  <c r="AP38"/>
  <c r="AT45"/>
  <c r="AQ28"/>
  <c r="AQ32"/>
  <c r="AY32"/>
  <c r="AX32" s="1"/>
  <c r="AQ35"/>
  <c r="AT35" s="1"/>
  <c r="AD38"/>
  <c r="AX38" s="1"/>
  <c r="N28"/>
  <c r="AD28"/>
  <c r="AX28" s="1"/>
  <c r="AW28" s="1"/>
  <c r="L29"/>
  <c r="AD35"/>
  <c r="L36"/>
  <c r="AM36"/>
  <c r="R39"/>
  <c r="AA31"/>
  <c r="AA39"/>
  <c r="AA33"/>
  <c r="AA27"/>
  <c r="AA34"/>
  <c r="AD34" s="1"/>
  <c r="X29"/>
  <c r="Z33"/>
  <c r="AA36"/>
  <c r="AA29"/>
  <c r="Z34"/>
  <c r="AA37"/>
  <c r="AQ37" s="1"/>
  <c r="AN37"/>
  <c r="AU31"/>
  <c r="AY31"/>
  <c r="N36"/>
  <c r="AQ41"/>
  <c r="AU41"/>
  <c r="K27"/>
  <c r="R27"/>
  <c r="F29"/>
  <c r="K30"/>
  <c r="AA30"/>
  <c r="F31"/>
  <c r="K33"/>
  <c r="K34"/>
  <c r="R34"/>
  <c r="F36"/>
  <c r="R36"/>
  <c r="K37"/>
  <c r="K39"/>
  <c r="AY41"/>
  <c r="N41"/>
  <c r="F27"/>
  <c r="K29"/>
  <c r="F30"/>
  <c r="R31"/>
  <c r="L33"/>
  <c r="F37"/>
  <c r="R37"/>
  <c r="AL37"/>
  <c r="F39"/>
  <c r="L39"/>
  <c r="N31" l="1"/>
  <c r="AV37"/>
  <c r="AR37"/>
  <c r="AQ36"/>
  <c r="AT28"/>
  <c r="AU36"/>
  <c r="AU37"/>
  <c r="AY29"/>
  <c r="N29"/>
  <c r="AY39"/>
  <c r="N39"/>
  <c r="AY34"/>
  <c r="N34"/>
  <c r="AY33"/>
  <c r="N33"/>
  <c r="AY27"/>
  <c r="N27"/>
  <c r="N37"/>
  <c r="AY37"/>
  <c r="AY30"/>
  <c r="N30"/>
  <c r="AI26"/>
  <c r="AG26" l="1"/>
  <c r="Y26" l="1"/>
  <c r="X26"/>
  <c r="W26"/>
  <c r="V26"/>
  <c r="U26"/>
  <c r="T26"/>
  <c r="S26"/>
  <c r="Q26"/>
  <c r="P26"/>
  <c r="AB26" s="1"/>
  <c r="O26"/>
  <c r="J26"/>
  <c r="I26"/>
  <c r="H26"/>
  <c r="G26"/>
  <c r="E26"/>
  <c r="M26" s="1"/>
  <c r="D26"/>
  <c r="C26"/>
  <c r="AC26" l="1"/>
  <c r="L26"/>
  <c r="K26" s="1"/>
  <c r="N26" s="1"/>
  <c r="F26"/>
  <c r="Z26"/>
  <c r="AA26"/>
  <c r="R26"/>
  <c r="AY26" l="1"/>
  <c r="AD26"/>
  <c r="AI25"/>
  <c r="X25"/>
  <c r="W25"/>
  <c r="V25"/>
  <c r="U25"/>
  <c r="T25"/>
  <c r="S25"/>
  <c r="Q25"/>
  <c r="P25"/>
  <c r="O25"/>
  <c r="J25"/>
  <c r="I25"/>
  <c r="H25"/>
  <c r="G25"/>
  <c r="E25"/>
  <c r="D25"/>
  <c r="C25"/>
  <c r="AO24"/>
  <c r="AN24"/>
  <c r="AM24"/>
  <c r="AL24"/>
  <c r="AH24"/>
  <c r="AC24"/>
  <c r="AW24" s="1"/>
  <c r="AB24"/>
  <c r="AR24" s="1"/>
  <c r="AA24"/>
  <c r="Z24"/>
  <c r="R24"/>
  <c r="M24"/>
  <c r="L24"/>
  <c r="K24"/>
  <c r="AY24" s="1"/>
  <c r="F24"/>
  <c r="AK23"/>
  <c r="AJ23"/>
  <c r="AI23"/>
  <c r="AP24" l="1"/>
  <c r="L25"/>
  <c r="AA25"/>
  <c r="AQ24"/>
  <c r="AV24"/>
  <c r="AU24"/>
  <c r="N24"/>
  <c r="AD24"/>
  <c r="AX24" s="1"/>
  <c r="M25"/>
  <c r="R25"/>
  <c r="F25"/>
  <c r="K25"/>
  <c r="AY25" l="1"/>
  <c r="N25"/>
  <c r="X23"/>
  <c r="W23"/>
  <c r="V23"/>
  <c r="U23"/>
  <c r="T23"/>
  <c r="S23"/>
  <c r="Q23"/>
  <c r="P23"/>
  <c r="O23"/>
  <c r="J23"/>
  <c r="I23"/>
  <c r="H23"/>
  <c r="G23"/>
  <c r="E23"/>
  <c r="D23"/>
  <c r="C23"/>
  <c r="AK22"/>
  <c r="AJ22"/>
  <c r="AI22"/>
  <c r="X22"/>
  <c r="W22" s="1"/>
  <c r="V22"/>
  <c r="U22"/>
  <c r="T22"/>
  <c r="S22"/>
  <c r="Q22"/>
  <c r="P22"/>
  <c r="O22"/>
  <c r="J22"/>
  <c r="I22"/>
  <c r="H22"/>
  <c r="G22"/>
  <c r="E22"/>
  <c r="D22"/>
  <c r="C22"/>
  <c r="AK21"/>
  <c r="AK20" s="1"/>
  <c r="AJ21"/>
  <c r="AI21"/>
  <c r="AG21"/>
  <c r="AF21"/>
  <c r="AN21" s="1"/>
  <c r="AE21"/>
  <c r="X21"/>
  <c r="W21" s="1"/>
  <c r="W20" s="1"/>
  <c r="V21"/>
  <c r="U21"/>
  <c r="T21"/>
  <c r="S21"/>
  <c r="S20" s="1"/>
  <c r="Q21"/>
  <c r="P21"/>
  <c r="AB21" s="1"/>
  <c r="O21"/>
  <c r="J21"/>
  <c r="I21"/>
  <c r="H21"/>
  <c r="G21"/>
  <c r="E21"/>
  <c r="M21" s="1"/>
  <c r="L21" s="1"/>
  <c r="D21"/>
  <c r="C21"/>
  <c r="AJ20"/>
  <c r="U20"/>
  <c r="AL21" l="1"/>
  <c r="AI20"/>
  <c r="R22"/>
  <c r="AL22"/>
  <c r="P20"/>
  <c r="Q20"/>
  <c r="T20"/>
  <c r="V20"/>
  <c r="O20"/>
  <c r="AA20" s="1"/>
  <c r="AO21"/>
  <c r="M23"/>
  <c r="M22"/>
  <c r="L22"/>
  <c r="K22" s="1"/>
  <c r="AY22" s="1"/>
  <c r="L23"/>
  <c r="X20"/>
  <c r="AA21"/>
  <c r="AB23"/>
  <c r="AV21"/>
  <c r="AR21"/>
  <c r="AA23"/>
  <c r="K21"/>
  <c r="R21"/>
  <c r="AM21"/>
  <c r="AA22"/>
  <c r="K23"/>
  <c r="R23"/>
  <c r="F21"/>
  <c r="AH21"/>
  <c r="F22"/>
  <c r="F23"/>
  <c r="J20"/>
  <c r="I20"/>
  <c r="H20"/>
  <c r="G20"/>
  <c r="E20"/>
  <c r="D20"/>
  <c r="C20"/>
  <c r="AO19"/>
  <c r="AN19"/>
  <c r="AM19"/>
  <c r="AL19"/>
  <c r="AH19"/>
  <c r="AC19"/>
  <c r="AB19"/>
  <c r="AV19" s="1"/>
  <c r="AA19"/>
  <c r="AU19" s="1"/>
  <c r="Z19"/>
  <c r="R19"/>
  <c r="M19"/>
  <c r="L19"/>
  <c r="K19"/>
  <c r="F19"/>
  <c r="R20" l="1"/>
  <c r="N22"/>
  <c r="AP21"/>
  <c r="AS19"/>
  <c r="AR19" s="1"/>
  <c r="F20"/>
  <c r="M20"/>
  <c r="N19"/>
  <c r="AP19"/>
  <c r="AQ19"/>
  <c r="AD19"/>
  <c r="L20"/>
  <c r="AY21"/>
  <c r="N21"/>
  <c r="K20"/>
  <c r="AU21"/>
  <c r="AY23"/>
  <c r="N23"/>
  <c r="AQ21"/>
  <c r="AK18"/>
  <c r="AJ18"/>
  <c r="AI18"/>
  <c r="AE18"/>
  <c r="X18"/>
  <c r="W18" s="1"/>
  <c r="V18"/>
  <c r="U18"/>
  <c r="T18"/>
  <c r="S18"/>
  <c r="Q18"/>
  <c r="P18"/>
  <c r="O18"/>
  <c r="J18"/>
  <c r="I18"/>
  <c r="H18"/>
  <c r="G18"/>
  <c r="E18"/>
  <c r="D18"/>
  <c r="C18"/>
  <c r="R18" l="1"/>
  <c r="M18"/>
  <c r="L18" s="1"/>
  <c r="AB18"/>
  <c r="AL18"/>
  <c r="AT19"/>
  <c r="AA18"/>
  <c r="AM18"/>
  <c r="AY20"/>
  <c r="N20"/>
  <c r="F18"/>
  <c r="K18"/>
  <c r="AK17"/>
  <c r="AJ17"/>
  <c r="AI17"/>
  <c r="AE17"/>
  <c r="X17"/>
  <c r="W17"/>
  <c r="V17"/>
  <c r="U17"/>
  <c r="T17"/>
  <c r="S17"/>
  <c r="Q17"/>
  <c r="P17"/>
  <c r="O17"/>
  <c r="J17"/>
  <c r="I17"/>
  <c r="H17"/>
  <c r="G17"/>
  <c r="E17"/>
  <c r="D17"/>
  <c r="C17"/>
  <c r="AO16"/>
  <c r="AN16"/>
  <c r="AM16"/>
  <c r="AL16"/>
  <c r="AH16"/>
  <c r="AC16"/>
  <c r="AW16" s="1"/>
  <c r="AB16"/>
  <c r="AA16"/>
  <c r="Z16"/>
  <c r="R16"/>
  <c r="M16"/>
  <c r="L16"/>
  <c r="K16"/>
  <c r="AY16" s="1"/>
  <c r="F16"/>
  <c r="AK15"/>
  <c r="AJ15"/>
  <c r="AI15"/>
  <c r="X15"/>
  <c r="W15"/>
  <c r="V15"/>
  <c r="U15"/>
  <c r="T15"/>
  <c r="S15"/>
  <c r="Q15"/>
  <c r="P15"/>
  <c r="O15"/>
  <c r="J15"/>
  <c r="I15"/>
  <c r="H15"/>
  <c r="G15"/>
  <c r="E15"/>
  <c r="D15"/>
  <c r="C15"/>
  <c r="AK14"/>
  <c r="AJ14"/>
  <c r="AI14"/>
  <c r="X14"/>
  <c r="W14" s="1"/>
  <c r="V14"/>
  <c r="U14"/>
  <c r="T14"/>
  <c r="S14"/>
  <c r="Q14"/>
  <c r="P14"/>
  <c r="O14"/>
  <c r="J14"/>
  <c r="I14"/>
  <c r="H14"/>
  <c r="G14"/>
  <c r="E14"/>
  <c r="D14"/>
  <c r="C14"/>
  <c r="AK13"/>
  <c r="AK12" s="1"/>
  <c r="AJ13"/>
  <c r="AI13"/>
  <c r="Y13"/>
  <c r="X13"/>
  <c r="W13" s="1"/>
  <c r="V13"/>
  <c r="U13"/>
  <c r="T13"/>
  <c r="S13"/>
  <c r="Q13"/>
  <c r="P13"/>
  <c r="O13"/>
  <c r="J13"/>
  <c r="I13"/>
  <c r="H13"/>
  <c r="G13"/>
  <c r="E13"/>
  <c r="D13"/>
  <c r="C13"/>
  <c r="O12"/>
  <c r="AO11"/>
  <c r="AN11"/>
  <c r="AM11"/>
  <c r="AL11"/>
  <c r="AH11"/>
  <c r="AC11"/>
  <c r="AB11"/>
  <c r="AV11" s="1"/>
  <c r="AA11"/>
  <c r="AU11" s="1"/>
  <c r="Z11"/>
  <c r="R11"/>
  <c r="M11"/>
  <c r="L11"/>
  <c r="K11"/>
  <c r="F11"/>
  <c r="D12" l="1"/>
  <c r="G12"/>
  <c r="I12"/>
  <c r="Q12"/>
  <c r="T12"/>
  <c r="V12"/>
  <c r="AJ12"/>
  <c r="AI12" s="1"/>
  <c r="C12"/>
  <c r="E12"/>
  <c r="M12" s="1"/>
  <c r="H12"/>
  <c r="J12"/>
  <c r="P12"/>
  <c r="S12"/>
  <c r="U12"/>
  <c r="M13"/>
  <c r="L13" s="1"/>
  <c r="AB13"/>
  <c r="Z13"/>
  <c r="AL13"/>
  <c r="AA14"/>
  <c r="AL14"/>
  <c r="AA15"/>
  <c r="AU15" s="1"/>
  <c r="AC13"/>
  <c r="M14"/>
  <c r="L14" s="1"/>
  <c r="F15"/>
  <c r="M15"/>
  <c r="L15" s="1"/>
  <c r="AR16"/>
  <c r="AP16"/>
  <c r="L17"/>
  <c r="AA17"/>
  <c r="AL12"/>
  <c r="AQ16"/>
  <c r="AV16"/>
  <c r="N11"/>
  <c r="AP11"/>
  <c r="AS11"/>
  <c r="AR11" s="1"/>
  <c r="AU16"/>
  <c r="M17"/>
  <c r="K12"/>
  <c r="N16"/>
  <c r="AD16"/>
  <c r="AX16" s="1"/>
  <c r="AQ11"/>
  <c r="AT11" s="1"/>
  <c r="AD11"/>
  <c r="AM17"/>
  <c r="AQ17" s="1"/>
  <c r="W12"/>
  <c r="X12"/>
  <c r="AB12" s="1"/>
  <c r="AA13"/>
  <c r="AD13" s="1"/>
  <c r="AY12"/>
  <c r="AW13"/>
  <c r="AL17"/>
  <c r="AU18"/>
  <c r="AQ18"/>
  <c r="R12"/>
  <c r="K13"/>
  <c r="R13"/>
  <c r="K14"/>
  <c r="R14"/>
  <c r="F17"/>
  <c r="R17"/>
  <c r="AY18"/>
  <c r="N18"/>
  <c r="F13"/>
  <c r="F14"/>
  <c r="K15"/>
  <c r="R15"/>
  <c r="K17"/>
  <c r="L12" l="1"/>
  <c r="F12"/>
  <c r="AA12"/>
  <c r="N12"/>
  <c r="AU17"/>
  <c r="AY15"/>
  <c r="N15"/>
  <c r="AY13"/>
  <c r="N13"/>
  <c r="AY17"/>
  <c r="N17"/>
  <c r="AY14"/>
  <c r="N14"/>
  <c r="AK10"/>
  <c r="AJ10"/>
  <c r="AI10"/>
  <c r="AL10" l="1"/>
  <c r="X10"/>
  <c r="W10" s="1"/>
  <c r="V10"/>
  <c r="U10"/>
  <c r="T10"/>
  <c r="S10"/>
  <c r="Q10"/>
  <c r="P10"/>
  <c r="O10"/>
  <c r="J10"/>
  <c r="I10"/>
  <c r="H10"/>
  <c r="G10"/>
  <c r="E10"/>
  <c r="D10"/>
  <c r="C10"/>
  <c r="K10" l="1"/>
  <c r="AY10" s="1"/>
  <c r="M10"/>
  <c r="L10" s="1"/>
  <c r="R10"/>
  <c r="AA10"/>
  <c r="F10"/>
  <c r="N10" l="1"/>
  <c r="V9"/>
  <c r="Q9"/>
  <c r="Q90" s="1"/>
  <c r="O9"/>
  <c r="J9"/>
  <c r="J90" s="1"/>
  <c r="I9"/>
  <c r="I90" s="1"/>
  <c r="H9"/>
  <c r="H90" s="1"/>
  <c r="G9"/>
  <c r="G90" s="1"/>
  <c r="E9"/>
  <c r="D9"/>
  <c r="C9"/>
  <c r="D78" l="1"/>
  <c r="D90"/>
  <c r="O78"/>
  <c r="O90"/>
  <c r="U9"/>
  <c r="V90"/>
  <c r="C78"/>
  <c r="C90"/>
  <c r="E78"/>
  <c r="E90"/>
  <c r="M9"/>
  <c r="F9"/>
  <c r="F90" s="1"/>
  <c r="T9" l="1"/>
  <c r="U90"/>
  <c r="L9"/>
  <c r="L90" s="1"/>
  <c r="M90"/>
  <c r="K9"/>
  <c r="K90" s="1"/>
  <c r="S9" l="1"/>
  <c r="S90" s="1"/>
  <c r="T90"/>
  <c r="AY9"/>
  <c r="N9"/>
  <c r="N90" s="1"/>
  <c r="AA15" i="23" l="1"/>
  <c r="Z15"/>
  <c r="Z15" i="34" s="1"/>
  <c r="AA80" i="7"/>
  <c r="AA79"/>
  <c r="AC78"/>
  <c r="AB78"/>
  <c r="AA78"/>
  <c r="Z13" i="23" l="1"/>
  <c r="Z13" i="34" s="1"/>
  <c r="AD13" s="1"/>
  <c r="AE15" i="23"/>
  <c r="AI15" s="1"/>
  <c r="AA15" i="34"/>
  <c r="AE15" s="1"/>
  <c r="AA26" i="14"/>
  <c r="AF81" i="7"/>
  <c r="AN81" s="1"/>
  <c r="AB46" i="14"/>
  <c r="AA46"/>
  <c r="AE80" i="7"/>
  <c r="H298"/>
  <c r="V15" i="23"/>
  <c r="V15" i="34" s="1"/>
  <c r="AD78" i="7"/>
  <c r="AE78"/>
  <c r="AA76"/>
  <c r="AG78"/>
  <c r="AE79"/>
  <c r="C275"/>
  <c r="G298"/>
  <c r="F298" s="1"/>
  <c r="E298" s="1"/>
  <c r="D298" s="1"/>
  <c r="C298" s="1"/>
  <c r="I298"/>
  <c r="AA95"/>
  <c r="Z31" i="23" s="1"/>
  <c r="Z20" i="29" s="1"/>
  <c r="AA94" i="7"/>
  <c r="Z30" i="23" s="1"/>
  <c r="Z19" i="29" s="1"/>
  <c r="AA93" i="7"/>
  <c r="Z29" i="23" s="1"/>
  <c r="Z18" i="29" s="1"/>
  <c r="AC92" i="7"/>
  <c r="AB28" i="23" s="1"/>
  <c r="AB92" i="7"/>
  <c r="AA92"/>
  <c r="Z28" i="23" s="1"/>
  <c r="Z17" i="29" s="1"/>
  <c r="AA91" i="7"/>
  <c r="Z27" i="23" s="1"/>
  <c r="Z16" i="29" s="1"/>
  <c r="AC90" i="7"/>
  <c r="AB26" i="23" s="1"/>
  <c r="AB90" i="7"/>
  <c r="AA90"/>
  <c r="Z26" i="23" s="1"/>
  <c r="Z15" i="29" s="1"/>
  <c r="AA89" i="7"/>
  <c r="Z25" i="23" s="1"/>
  <c r="Z14" i="29" s="1"/>
  <c r="AC88" i="7"/>
  <c r="AB24" i="23" s="1"/>
  <c r="AB88" i="7"/>
  <c r="AA88"/>
  <c r="Z24" i="23" s="1"/>
  <c r="Z13" i="29" s="1"/>
  <c r="AC87" i="7"/>
  <c r="AB87"/>
  <c r="AA87"/>
  <c r="Z23" i="23" s="1"/>
  <c r="Z12" i="29" s="1"/>
  <c r="AA86" i="7"/>
  <c r="AA85"/>
  <c r="Z21" i="23" s="1"/>
  <c r="Z10" i="29" s="1"/>
  <c r="AC84" i="7"/>
  <c r="AB20" i="23" s="1"/>
  <c r="AB9" i="29" s="1"/>
  <c r="AF9" s="1"/>
  <c r="AB84" i="7"/>
  <c r="AA20" i="23" s="1"/>
  <c r="AA9" i="29" s="1"/>
  <c r="AE9" s="1"/>
  <c r="AA84" i="7"/>
  <c r="Z20" i="23" s="1"/>
  <c r="Z9" i="29" s="1"/>
  <c r="AA183" i="7"/>
  <c r="Z137" i="23" s="1"/>
  <c r="Z38" i="31" s="1"/>
  <c r="AA182" i="7"/>
  <c r="Z136" i="23" s="1"/>
  <c r="Z37" i="31" s="1"/>
  <c r="AA266" i="7"/>
  <c r="AC179"/>
  <c r="AB132" i="23" s="1"/>
  <c r="AB179" i="7"/>
  <c r="AA179"/>
  <c r="Z132" i="23" s="1"/>
  <c r="Z33" i="31" s="1"/>
  <c r="AC178" i="7"/>
  <c r="AB131" i="23" s="1"/>
  <c r="AB178" i="7"/>
  <c r="AA131" i="23" s="1"/>
  <c r="AA178" i="7"/>
  <c r="Z131" i="23" s="1"/>
  <c r="Z32" i="31" s="1"/>
  <c r="AC261" i="7"/>
  <c r="AB261"/>
  <c r="AA261"/>
  <c r="AC171"/>
  <c r="AB122" i="23" s="1"/>
  <c r="AB171" i="7"/>
  <c r="AC170"/>
  <c r="AB121" i="23" s="1"/>
  <c r="AB170" i="7"/>
  <c r="AA170"/>
  <c r="Z121" i="23" s="1"/>
  <c r="Z22" i="31" s="1"/>
  <c r="AC169" i="7"/>
  <c r="AB120" i="23" s="1"/>
  <c r="AB169" i="7"/>
  <c r="AA120" i="23" s="1"/>
  <c r="AA169" i="7"/>
  <c r="Z120" i="23" s="1"/>
  <c r="Z21" i="31" s="1"/>
  <c r="AC251" i="7"/>
  <c r="AB251"/>
  <c r="AA251"/>
  <c r="AC166"/>
  <c r="AB116" i="23" s="1"/>
  <c r="AB166" i="7"/>
  <c r="AA166"/>
  <c r="Z116" i="23" s="1"/>
  <c r="Z17" i="31" s="1"/>
  <c r="AC165" i="7"/>
  <c r="AB115" i="23" s="1"/>
  <c r="AB165" i="7"/>
  <c r="AA164"/>
  <c r="Z114" i="23" s="1"/>
  <c r="Z15" i="31" s="1"/>
  <c r="AC163" i="7"/>
  <c r="AB113" i="23" s="1"/>
  <c r="AB163" i="7"/>
  <c r="AA163"/>
  <c r="Z113" i="23" s="1"/>
  <c r="Z14" i="31" s="1"/>
  <c r="AC162" i="7"/>
  <c r="AB112" i="23" s="1"/>
  <c r="AB162" i="7"/>
  <c r="AA162"/>
  <c r="Z112" i="23" s="1"/>
  <c r="Z13" i="31" s="1"/>
  <c r="AC161" i="7"/>
  <c r="AB111" i="23" s="1"/>
  <c r="AB161" i="7"/>
  <c r="AC160"/>
  <c r="AB110" i="23" s="1"/>
  <c r="AA160" i="7"/>
  <c r="Z110" i="23" s="1"/>
  <c r="Z11" i="31" s="1"/>
  <c r="AC159" i="7"/>
  <c r="AB109" i="23" s="1"/>
  <c r="AB159" i="7"/>
  <c r="AA109" i="23" s="1"/>
  <c r="AA159" i="7"/>
  <c r="Z109" i="23" s="1"/>
  <c r="Z10" i="31" s="1"/>
  <c r="AC246" i="7"/>
  <c r="AB246"/>
  <c r="AC156"/>
  <c r="AB104" i="23" s="1"/>
  <c r="AB156" i="7"/>
  <c r="AA156"/>
  <c r="Z104" i="23" s="1"/>
  <c r="Z27" i="30" s="1"/>
  <c r="AC155" i="7"/>
  <c r="AB103" i="23" s="1"/>
  <c r="AB155" i="7"/>
  <c r="AA103" i="23" s="1"/>
  <c r="AA155" i="7"/>
  <c r="Z103" i="23" s="1"/>
  <c r="Z26" i="30" s="1"/>
  <c r="AC241" i="7"/>
  <c r="AB241"/>
  <c r="AA241"/>
  <c r="AC152"/>
  <c r="AB99" i="23" s="1"/>
  <c r="AB152" i="7"/>
  <c r="AA152"/>
  <c r="Z99" i="23" s="1"/>
  <c r="Z22" i="30" s="1"/>
  <c r="AC151" i="7"/>
  <c r="AB98" i="23" s="1"/>
  <c r="AB151" i="7"/>
  <c r="AA151"/>
  <c r="Z98" i="23" s="1"/>
  <c r="Z21" i="30" s="1"/>
  <c r="AC150" i="7"/>
  <c r="AB97" i="23" s="1"/>
  <c r="AB150" i="7"/>
  <c r="AA150"/>
  <c r="Z97" i="23" s="1"/>
  <c r="Z20" i="30" s="1"/>
  <c r="AD13" i="23" l="1"/>
  <c r="AH13" s="1"/>
  <c r="AI15" i="34"/>
  <c r="AM15"/>
  <c r="AD15"/>
  <c r="Y15"/>
  <c r="V43"/>
  <c r="AH13"/>
  <c r="AM15" i="23"/>
  <c r="Z22"/>
  <c r="Z11" i="29" s="1"/>
  <c r="AD11" s="1"/>
  <c r="AH11" s="1"/>
  <c r="AF97" i="23"/>
  <c r="AJ97" s="1"/>
  <c r="AB20" i="30"/>
  <c r="AF20" s="1"/>
  <c r="AJ20" s="1"/>
  <c r="AD22"/>
  <c r="AF99" i="23"/>
  <c r="AJ99" s="1"/>
  <c r="AB22" i="30"/>
  <c r="AF22" s="1"/>
  <c r="AJ22" s="1"/>
  <c r="AD26"/>
  <c r="AF103" i="23"/>
  <c r="AJ103" s="1"/>
  <c r="AB26" i="30"/>
  <c r="AF26" s="1"/>
  <c r="AJ26" s="1"/>
  <c r="AD10" i="31"/>
  <c r="AF109" i="23"/>
  <c r="AJ109" s="1"/>
  <c r="AB10" i="31"/>
  <c r="AF10" s="1"/>
  <c r="AJ10" s="1"/>
  <c r="AF110" i="23"/>
  <c r="AJ110" s="1"/>
  <c r="AB11" i="31"/>
  <c r="AF11" s="1"/>
  <c r="AJ11" s="1"/>
  <c r="AF111" i="23"/>
  <c r="AJ111" s="1"/>
  <c r="AB12" i="31"/>
  <c r="AF12" s="1"/>
  <c r="AJ12" s="1"/>
  <c r="AD14"/>
  <c r="AF113" i="23"/>
  <c r="AN113" s="1"/>
  <c r="AB14" i="31"/>
  <c r="AF14" s="1"/>
  <c r="AD17"/>
  <c r="AF116" i="23"/>
  <c r="AJ116" s="1"/>
  <c r="AB17" i="31"/>
  <c r="AF17" s="1"/>
  <c r="AJ17" s="1"/>
  <c r="AD21"/>
  <c r="AF120" i="23"/>
  <c r="AJ120" s="1"/>
  <c r="AB21" i="31"/>
  <c r="AF21" s="1"/>
  <c r="AJ21" s="1"/>
  <c r="AD32"/>
  <c r="AF131" i="23"/>
  <c r="AJ131" s="1"/>
  <c r="AB32" i="31"/>
  <c r="AF32" s="1"/>
  <c r="AJ32" s="1"/>
  <c r="AD38"/>
  <c r="AI9" i="29"/>
  <c r="AM9"/>
  <c r="AD10"/>
  <c r="AD12"/>
  <c r="AD14"/>
  <c r="AD16"/>
  <c r="AD18"/>
  <c r="AH18" s="1"/>
  <c r="AD20"/>
  <c r="AD20" i="30"/>
  <c r="AD21"/>
  <c r="AF98" i="23"/>
  <c r="AJ98" s="1"/>
  <c r="AB21" i="30"/>
  <c r="AF21" s="1"/>
  <c r="AJ21" s="1"/>
  <c r="AE103" i="23"/>
  <c r="AI103" s="1"/>
  <c r="AA26" i="30"/>
  <c r="AE26" s="1"/>
  <c r="AI26" s="1"/>
  <c r="AD27"/>
  <c r="AF104" i="23"/>
  <c r="AJ104" s="1"/>
  <c r="AB27" i="30"/>
  <c r="AF27" s="1"/>
  <c r="AJ27" s="1"/>
  <c r="AE109" i="23"/>
  <c r="AM109" s="1"/>
  <c r="AA10" i="31"/>
  <c r="AE10" s="1"/>
  <c r="AD11"/>
  <c r="AD13"/>
  <c r="AF112" i="23"/>
  <c r="AJ112" s="1"/>
  <c r="AB13" i="31"/>
  <c r="AF13" s="1"/>
  <c r="AJ13" s="1"/>
  <c r="AD15"/>
  <c r="AF115" i="23"/>
  <c r="AN115" s="1"/>
  <c r="AB16" i="31"/>
  <c r="AF16" s="1"/>
  <c r="AE120" i="23"/>
  <c r="AI120" s="1"/>
  <c r="AA21" i="31"/>
  <c r="AE21" s="1"/>
  <c r="AD22"/>
  <c r="AF121" i="23"/>
  <c r="AJ121" s="1"/>
  <c r="AB22" i="31"/>
  <c r="AF22" s="1"/>
  <c r="AF122" i="23"/>
  <c r="AJ122" s="1"/>
  <c r="AB23" i="31"/>
  <c r="AF23" s="1"/>
  <c r="AJ23" s="1"/>
  <c r="AE131" i="23"/>
  <c r="AI131" s="1"/>
  <c r="AA32" i="31"/>
  <c r="AE32" s="1"/>
  <c r="AD33"/>
  <c r="AF132" i="23"/>
  <c r="AJ132" s="1"/>
  <c r="AB33" i="31"/>
  <c r="AF33" s="1"/>
  <c r="AJ33" s="1"/>
  <c r="AD37"/>
  <c r="AC9" i="29"/>
  <c r="AD9"/>
  <c r="AJ9"/>
  <c r="AD13"/>
  <c r="AH13" s="1"/>
  <c r="AF24" i="23"/>
  <c r="AJ24" s="1"/>
  <c r="AB13" i="29"/>
  <c r="AF13" s="1"/>
  <c r="AJ13" s="1"/>
  <c r="AD15"/>
  <c r="AH15" s="1"/>
  <c r="AF26" i="23"/>
  <c r="AJ26" s="1"/>
  <c r="AB15" i="29"/>
  <c r="AF15" s="1"/>
  <c r="AJ15" s="1"/>
  <c r="AD17"/>
  <c r="AH17" s="1"/>
  <c r="AF28" i="23"/>
  <c r="AJ28" s="1"/>
  <c r="AB17" i="29"/>
  <c r="AF17" s="1"/>
  <c r="AJ17" s="1"/>
  <c r="AD19"/>
  <c r="AH19" s="1"/>
  <c r="AD97" i="23"/>
  <c r="AF150" i="7"/>
  <c r="AN150" s="1"/>
  <c r="AA97" i="23"/>
  <c r="AD98"/>
  <c r="AF152" i="7"/>
  <c r="AN152" s="1"/>
  <c r="AA99" i="23"/>
  <c r="AC99" s="1"/>
  <c r="AD104"/>
  <c r="AD110"/>
  <c r="AF161" i="7"/>
  <c r="AJ161" s="1"/>
  <c r="AA111" i="23"/>
  <c r="AD112"/>
  <c r="AF163" i="7"/>
  <c r="AN163" s="1"/>
  <c r="AA113" i="23"/>
  <c r="AC113" s="1"/>
  <c r="AD114"/>
  <c r="AJ115"/>
  <c r="AF166" i="7"/>
  <c r="AJ166" s="1"/>
  <c r="AA116" i="23"/>
  <c r="AC116" s="1"/>
  <c r="AD121"/>
  <c r="AD132"/>
  <c r="AD136"/>
  <c r="AC20"/>
  <c r="AD20"/>
  <c r="AF20"/>
  <c r="AF87" i="7"/>
  <c r="AJ87" s="1"/>
  <c r="AA23" i="23"/>
  <c r="AD24"/>
  <c r="AD26"/>
  <c r="AD28"/>
  <c r="AD30"/>
  <c r="Y15"/>
  <c r="AD15"/>
  <c r="AF151" i="7"/>
  <c r="AN151" s="1"/>
  <c r="AA98" i="23"/>
  <c r="AD99"/>
  <c r="AC103"/>
  <c r="AD103"/>
  <c r="AF156" i="7"/>
  <c r="AA104" i="23"/>
  <c r="AC109"/>
  <c r="AD109"/>
  <c r="AF162" i="7"/>
  <c r="AJ162" s="1"/>
  <c r="AA112" i="23"/>
  <c r="AD113"/>
  <c r="AF165" i="7"/>
  <c r="AN165" s="1"/>
  <c r="AA115" i="23"/>
  <c r="AD116"/>
  <c r="AC120"/>
  <c r="AD120"/>
  <c r="AF170" i="7"/>
  <c r="AA121" i="23"/>
  <c r="AF171" i="7"/>
  <c r="AA122" i="23"/>
  <c r="AC131"/>
  <c r="AD131"/>
  <c r="AF179" i="7"/>
  <c r="AJ179" s="1"/>
  <c r="AA132" i="23"/>
  <c r="AD137"/>
  <c r="AE20"/>
  <c r="AD21"/>
  <c r="AD23"/>
  <c r="AG87" i="7"/>
  <c r="AB23" i="23"/>
  <c r="AF88" i="7"/>
  <c r="AN88" s="1"/>
  <c r="AA24" i="23"/>
  <c r="AD25"/>
  <c r="AF90" i="7"/>
  <c r="AJ90" s="1"/>
  <c r="AA26" i="23"/>
  <c r="AD27"/>
  <c r="AF92" i="7"/>
  <c r="AN92" s="1"/>
  <c r="AA28" i="23"/>
  <c r="AD29"/>
  <c r="AD31"/>
  <c r="AJ81" i="7"/>
  <c r="AK78"/>
  <c r="AA44" i="14"/>
  <c r="AB44"/>
  <c r="AF44" s="1"/>
  <c r="AF46"/>
  <c r="W46"/>
  <c r="AA25"/>
  <c r="AE26"/>
  <c r="AE170" i="7"/>
  <c r="AI170" s="1"/>
  <c r="AE150"/>
  <c r="AI150" s="1"/>
  <c r="AD150"/>
  <c r="AE151"/>
  <c r="AI151" s="1"/>
  <c r="AD151"/>
  <c r="AJ152"/>
  <c r="AE241"/>
  <c r="AD241"/>
  <c r="AA238"/>
  <c r="AG241"/>
  <c r="AC238"/>
  <c r="AF155"/>
  <c r="AB154"/>
  <c r="AF159"/>
  <c r="AB160"/>
  <c r="AA161"/>
  <c r="Z111" i="23" s="1"/>
  <c r="Z12" i="31" s="1"/>
  <c r="AD152" i="7"/>
  <c r="AE152"/>
  <c r="AI152" s="1"/>
  <c r="AF241"/>
  <c r="AB238"/>
  <c r="AE155"/>
  <c r="AD155"/>
  <c r="AA154"/>
  <c r="AG155"/>
  <c r="AC154"/>
  <c r="AE156"/>
  <c r="AI156" s="1"/>
  <c r="AD156"/>
  <c r="AA246"/>
  <c r="AG246"/>
  <c r="AC243"/>
  <c r="AB108" i="23" s="1"/>
  <c r="AB9" i="31" s="1"/>
  <c r="AF9" s="1"/>
  <c r="AE164" i="7"/>
  <c r="AA165"/>
  <c r="Z115" i="23" s="1"/>
  <c r="Z16" i="31" s="1"/>
  <c r="AE251" i="7"/>
  <c r="AD251"/>
  <c r="AA248"/>
  <c r="AG251"/>
  <c r="AC248"/>
  <c r="AD169"/>
  <c r="AE169"/>
  <c r="AG169"/>
  <c r="AC168"/>
  <c r="AC319" s="1"/>
  <c r="AA171"/>
  <c r="Z122" i="23" s="1"/>
  <c r="Z23" i="31" s="1"/>
  <c r="AD170" i="7"/>
  <c r="AF246"/>
  <c r="AN246" s="1"/>
  <c r="AB243"/>
  <c r="AA108" i="23" s="1"/>
  <c r="AA9" i="31" s="1"/>
  <c r="AE9" s="1"/>
  <c r="AD159" i="7"/>
  <c r="AE159"/>
  <c r="AI159" s="1"/>
  <c r="AG159"/>
  <c r="AE160"/>
  <c r="AI160" s="1"/>
  <c r="AD162"/>
  <c r="AE162"/>
  <c r="AI162" s="1"/>
  <c r="AD163"/>
  <c r="AE163"/>
  <c r="AC164"/>
  <c r="AD166"/>
  <c r="AE166"/>
  <c r="AI166" s="1"/>
  <c r="AF251"/>
  <c r="AB248"/>
  <c r="AF169"/>
  <c r="AB168"/>
  <c r="AE261"/>
  <c r="AD261"/>
  <c r="AA258"/>
  <c r="AG261"/>
  <c r="AO261" s="1"/>
  <c r="AC258"/>
  <c r="AF178"/>
  <c r="AB177"/>
  <c r="AE179"/>
  <c r="AI179" s="1"/>
  <c r="AD179"/>
  <c r="AE182"/>
  <c r="AA181"/>
  <c r="AF84"/>
  <c r="AN84" s="1"/>
  <c r="AE87"/>
  <c r="AD87"/>
  <c r="AC89"/>
  <c r="AF261"/>
  <c r="AN261" s="1"/>
  <c r="AB258"/>
  <c r="AD178"/>
  <c r="AE178"/>
  <c r="AA177"/>
  <c r="AG178"/>
  <c r="AK178" s="1"/>
  <c r="AC177"/>
  <c r="AE266"/>
  <c r="AA263"/>
  <c r="Z135" i="23" s="1"/>
  <c r="Z36" i="31" s="1"/>
  <c r="AE183" i="7"/>
  <c r="AE84"/>
  <c r="AD84"/>
  <c r="AA83"/>
  <c r="Z8" i="29" s="1"/>
  <c r="AG84" i="7"/>
  <c r="AE85"/>
  <c r="AE86"/>
  <c r="AD88"/>
  <c r="AE88"/>
  <c r="AI88" s="1"/>
  <c r="AE89"/>
  <c r="AI89" s="1"/>
  <c r="AE92"/>
  <c r="AD92"/>
  <c r="AE93"/>
  <c r="AI93" s="1"/>
  <c r="AE95"/>
  <c r="AI79"/>
  <c r="AI78"/>
  <c r="Z81"/>
  <c r="W76"/>
  <c r="AE81"/>
  <c r="AE90"/>
  <c r="AI90" s="1"/>
  <c r="AD90"/>
  <c r="AE91"/>
  <c r="AE94"/>
  <c r="AI94" s="1"/>
  <c r="AA291"/>
  <c r="AC149"/>
  <c r="AB96" i="23" s="1"/>
  <c r="AB149" i="7"/>
  <c r="AA149"/>
  <c r="Z96" i="23" s="1"/>
  <c r="Z19" i="30" s="1"/>
  <c r="AC148" i="7"/>
  <c r="AB95" i="23" s="1"/>
  <c r="AB148" i="7"/>
  <c r="AA148"/>
  <c r="Z95" i="23" s="1"/>
  <c r="Z18" i="30" s="1"/>
  <c r="AC147" i="7"/>
  <c r="AB94" i="23" s="1"/>
  <c r="AB147" i="7"/>
  <c r="AA94" i="23" s="1"/>
  <c r="AA147" i="7"/>
  <c r="Z94" i="23" s="1"/>
  <c r="Z17" i="30" s="1"/>
  <c r="AC236" i="7"/>
  <c r="AB236"/>
  <c r="AA236"/>
  <c r="AC142"/>
  <c r="AB88" i="23" s="1"/>
  <c r="AB142" i="7"/>
  <c r="AA142"/>
  <c r="Z88" i="23" s="1"/>
  <c r="Z11" i="30" s="1"/>
  <c r="AC144" i="7"/>
  <c r="AB90" i="23" s="1"/>
  <c r="AB144" i="7"/>
  <c r="AA144"/>
  <c r="Z90" i="23" s="1"/>
  <c r="Z13" i="30" s="1"/>
  <c r="AC143" i="7"/>
  <c r="AB89" i="23" s="1"/>
  <c r="AB143" i="7"/>
  <c r="AA143"/>
  <c r="Z89" i="23" s="1"/>
  <c r="Z12" i="30" s="1"/>
  <c r="AC141" i="7"/>
  <c r="AB87" i="23" s="1"/>
  <c r="AB141" i="7"/>
  <c r="AA87" i="23" s="1"/>
  <c r="AA141" i="7"/>
  <c r="Z87" i="23" s="1"/>
  <c r="Z10" i="30" s="1"/>
  <c r="AC231" i="7"/>
  <c r="AB231"/>
  <c r="AA231"/>
  <c r="AC138"/>
  <c r="AB138"/>
  <c r="AA138"/>
  <c r="Z53" i="23" s="1"/>
  <c r="Z42" i="29" s="1"/>
  <c r="AC137" i="7"/>
  <c r="AB137"/>
  <c r="AA137"/>
  <c r="Z52" i="23" s="1"/>
  <c r="Z41" i="29" s="1"/>
  <c r="AC136" i="7"/>
  <c r="AB51" i="23" s="1"/>
  <c r="AB136" i="7"/>
  <c r="AA51" i="23" s="1"/>
  <c r="AA136" i="7"/>
  <c r="Z51" i="23" s="1"/>
  <c r="Z40" i="29" s="1"/>
  <c r="AB226" i="7"/>
  <c r="AB223" s="1"/>
  <c r="AA226"/>
  <c r="AA223" s="1"/>
  <c r="AC133"/>
  <c r="AB47" i="23" s="1"/>
  <c r="AB133" i="7"/>
  <c r="AA133"/>
  <c r="Z47" i="23" s="1"/>
  <c r="Z36" i="29" s="1"/>
  <c r="AC132" i="7"/>
  <c r="AB46" i="23" s="1"/>
  <c r="AB132" i="7"/>
  <c r="AA46" i="23" s="1"/>
  <c r="AA132" i="7"/>
  <c r="Z46" i="23" s="1"/>
  <c r="Z35" i="29" s="1"/>
  <c r="AC221" i="7"/>
  <c r="AB221"/>
  <c r="AA221"/>
  <c r="AD22" i="23" l="1"/>
  <c r="AH22" s="1"/>
  <c r="Z19"/>
  <c r="Z19" i="34" s="1"/>
  <c r="AD19" s="1"/>
  <c r="AM131" i="23"/>
  <c r="AI109"/>
  <c r="AN179" i="7"/>
  <c r="AH15" i="34"/>
  <c r="AJ151" i="7"/>
  <c r="AC317"/>
  <c r="AN161"/>
  <c r="AJ113" i="23"/>
  <c r="AJ92" i="7"/>
  <c r="AI92" s="1"/>
  <c r="AJ88"/>
  <c r="AH87"/>
  <c r="AN162"/>
  <c r="AN166"/>
  <c r="AN121" i="23"/>
  <c r="AJ163" i="7"/>
  <c r="AJ150"/>
  <c r="AM120" i="23"/>
  <c r="AJ165" i="7"/>
  <c r="AA158"/>
  <c r="AE158" s="1"/>
  <c r="AD35" i="29"/>
  <c r="AH35" s="1"/>
  <c r="AF46" i="23"/>
  <c r="AJ46" s="1"/>
  <c r="AB35" i="29"/>
  <c r="AF35" s="1"/>
  <c r="AJ35" s="1"/>
  <c r="AD40"/>
  <c r="AF51" i="23"/>
  <c r="AB40" i="29"/>
  <c r="AF40" s="1"/>
  <c r="AD42"/>
  <c r="AH42" s="1"/>
  <c r="AD10" i="30"/>
  <c r="AH10" s="1"/>
  <c r="AF87" i="23"/>
  <c r="AJ87" s="1"/>
  <c r="AB10" i="30"/>
  <c r="AF10" s="1"/>
  <c r="AJ10" s="1"/>
  <c r="AD13"/>
  <c r="AH13" s="1"/>
  <c r="AF90" i="23"/>
  <c r="AJ90" s="1"/>
  <c r="AB13" i="30"/>
  <c r="AF13" s="1"/>
  <c r="AJ13" s="1"/>
  <c r="AE94" i="23"/>
  <c r="AI94" s="1"/>
  <c r="AA17" i="30"/>
  <c r="AE17" s="1"/>
  <c r="AD18"/>
  <c r="AH18" s="1"/>
  <c r="AF95" i="23"/>
  <c r="AJ95" s="1"/>
  <c r="AB18" i="30"/>
  <c r="AF18" s="1"/>
  <c r="AJ18" s="1"/>
  <c r="AB130" i="23"/>
  <c r="AB31" i="31" s="1"/>
  <c r="AF31" s="1"/>
  <c r="AB30"/>
  <c r="Z130" i="23"/>
  <c r="Z31" i="31" s="1"/>
  <c r="Z30"/>
  <c r="AI9"/>
  <c r="AM9"/>
  <c r="AB119" i="23"/>
  <c r="AB20" i="31" s="1"/>
  <c r="AF20" s="1"/>
  <c r="AB19"/>
  <c r="Z119" i="23"/>
  <c r="Z20" i="31" s="1"/>
  <c r="AJ9"/>
  <c r="AN9"/>
  <c r="AA102" i="23"/>
  <c r="AA25" i="30" s="1"/>
  <c r="AE25" s="1"/>
  <c r="AA24"/>
  <c r="AD12" i="31"/>
  <c r="AE28" i="23"/>
  <c r="AM28" s="1"/>
  <c r="AA17" i="29"/>
  <c r="AE26" i="23"/>
  <c r="AI26" s="1"/>
  <c r="AA15" i="29"/>
  <c r="AE122" i="23"/>
  <c r="AM122" s="1"/>
  <c r="AA23" i="31"/>
  <c r="AE23" s="1"/>
  <c r="AE121" i="23"/>
  <c r="AI121" s="1"/>
  <c r="AA22" i="31"/>
  <c r="AE115" i="23"/>
  <c r="AI115" s="1"/>
  <c r="AA16" i="31"/>
  <c r="AE16" s="1"/>
  <c r="AE112" i="23"/>
  <c r="AI112" s="1"/>
  <c r="AA13" i="31"/>
  <c r="AE104" i="23"/>
  <c r="AI104" s="1"/>
  <c r="AA27" i="30"/>
  <c r="AE98" i="23"/>
  <c r="AM98" s="1"/>
  <c r="AA21" i="30"/>
  <c r="AE116" i="23"/>
  <c r="AM116" s="1"/>
  <c r="AA17" i="31"/>
  <c r="AE111" i="23"/>
  <c r="AI111" s="1"/>
  <c r="AA12" i="31"/>
  <c r="AE12" s="1"/>
  <c r="AE99" i="23"/>
  <c r="AI99" s="1"/>
  <c r="AA22" i="30"/>
  <c r="AG9" i="29"/>
  <c r="AD8"/>
  <c r="AH9"/>
  <c r="AH37" i="31"/>
  <c r="AH33"/>
  <c r="AM32"/>
  <c r="AI32"/>
  <c r="AN22"/>
  <c r="AJ22"/>
  <c r="AH22"/>
  <c r="AM21"/>
  <c r="AI21"/>
  <c r="AJ16"/>
  <c r="AN16"/>
  <c r="AH15"/>
  <c r="AH13"/>
  <c r="AH11"/>
  <c r="AI10"/>
  <c r="AM10"/>
  <c r="AH27" i="30"/>
  <c r="AH21"/>
  <c r="AH20"/>
  <c r="AH20" i="29"/>
  <c r="AH16"/>
  <c r="AH14"/>
  <c r="AH12"/>
  <c r="AH10"/>
  <c r="AC32" i="31"/>
  <c r="AC21"/>
  <c r="AC10"/>
  <c r="AC26" i="30"/>
  <c r="AE46" i="23"/>
  <c r="AM46" s="1"/>
  <c r="AA35" i="29"/>
  <c r="AE35" s="1"/>
  <c r="AD36"/>
  <c r="AH36" s="1"/>
  <c r="AF47" i="23"/>
  <c r="AJ47" s="1"/>
  <c r="AB36" i="29"/>
  <c r="AF36" s="1"/>
  <c r="AJ36" s="1"/>
  <c r="AE51" i="23"/>
  <c r="AM51" s="1"/>
  <c r="AA40" i="29"/>
  <c r="AE40" s="1"/>
  <c r="AD41"/>
  <c r="AH41" s="1"/>
  <c r="AE87" i="23"/>
  <c r="AI87" s="1"/>
  <c r="AA10" i="30"/>
  <c r="AE10" s="1"/>
  <c r="AD12"/>
  <c r="AH12" s="1"/>
  <c r="AF89" i="23"/>
  <c r="AJ89" s="1"/>
  <c r="AB12" i="30"/>
  <c r="AF12" s="1"/>
  <c r="AJ12" s="1"/>
  <c r="AD11"/>
  <c r="AH11" s="1"/>
  <c r="AF88" i="23"/>
  <c r="AJ88" s="1"/>
  <c r="AB11" i="30"/>
  <c r="AF11" s="1"/>
  <c r="AD17"/>
  <c r="AH17" s="1"/>
  <c r="AF94" i="23"/>
  <c r="AJ94" s="1"/>
  <c r="AB17" i="30"/>
  <c r="AF17" s="1"/>
  <c r="AJ17" s="1"/>
  <c r="AD19"/>
  <c r="AF96" i="23"/>
  <c r="AJ96" s="1"/>
  <c r="AB19" i="30"/>
  <c r="AF19" s="1"/>
  <c r="AJ19" s="1"/>
  <c r="AD36" i="31"/>
  <c r="AA130" i="23"/>
  <c r="AA31" i="31" s="1"/>
  <c r="AE31" s="1"/>
  <c r="AA30"/>
  <c r="AA119" i="23"/>
  <c r="AA20" i="31" s="1"/>
  <c r="AE20" s="1"/>
  <c r="AA19"/>
  <c r="AD23"/>
  <c r="AD16"/>
  <c r="AB102" i="23"/>
  <c r="AB25" i="30" s="1"/>
  <c r="AF25" s="1"/>
  <c r="AB24"/>
  <c r="Z102" i="23"/>
  <c r="Z25" i="30" s="1"/>
  <c r="Z24"/>
  <c r="AE24" i="23"/>
  <c r="AM24" s="1"/>
  <c r="AA13" i="29"/>
  <c r="AF23" i="23"/>
  <c r="AJ23" s="1"/>
  <c r="AB12" i="29"/>
  <c r="AF12" s="1"/>
  <c r="AJ12" s="1"/>
  <c r="AE132" i="23"/>
  <c r="AM132" s="1"/>
  <c r="AA33" i="31"/>
  <c r="AE23" i="23"/>
  <c r="AI23" s="1"/>
  <c r="AA12" i="29"/>
  <c r="AE113" i="23"/>
  <c r="AI113" s="1"/>
  <c r="AA14" i="31"/>
  <c r="AE97" i="23"/>
  <c r="AM97" s="1"/>
  <c r="AA20" i="30"/>
  <c r="AH38" i="31"/>
  <c r="AG32"/>
  <c r="AO32" s="1"/>
  <c r="AH32"/>
  <c r="AG21"/>
  <c r="AO21" s="1"/>
  <c r="AH21"/>
  <c r="AH17"/>
  <c r="AJ14"/>
  <c r="AN14"/>
  <c r="AH14"/>
  <c r="AG10"/>
  <c r="AO10" s="1"/>
  <c r="AH10"/>
  <c r="AG26" i="30"/>
  <c r="AH26"/>
  <c r="AK26" s="1"/>
  <c r="AH22"/>
  <c r="Z35" i="31"/>
  <c r="AI46" i="23"/>
  <c r="AD47"/>
  <c r="AD52"/>
  <c r="AG137" i="7"/>
  <c r="AB52" i="23"/>
  <c r="AF138" i="7"/>
  <c r="AA53" i="23"/>
  <c r="AD89"/>
  <c r="AF144" i="7"/>
  <c r="AN144" s="1"/>
  <c r="AA90" i="23"/>
  <c r="AC90" s="1"/>
  <c r="AD88"/>
  <c r="AC94"/>
  <c r="AD94"/>
  <c r="AF148" i="7"/>
  <c r="AN148" s="1"/>
  <c r="AA95" i="23"/>
  <c r="AC95" s="1"/>
  <c r="AD96"/>
  <c r="Z134"/>
  <c r="Z41" i="34" s="1"/>
  <c r="AD135" i="23"/>
  <c r="AB25"/>
  <c r="AC122"/>
  <c r="AD122"/>
  <c r="AC115"/>
  <c r="AD115"/>
  <c r="AF160" i="7"/>
  <c r="AN160" s="1"/>
  <c r="AA110" i="23"/>
  <c r="AA11" i="31" s="1"/>
  <c r="AH15" i="23"/>
  <c r="AH30"/>
  <c r="AH28"/>
  <c r="AH26"/>
  <c r="AH24"/>
  <c r="AJ20"/>
  <c r="AG20"/>
  <c r="AD19"/>
  <c r="AH20"/>
  <c r="AC23"/>
  <c r="AC132"/>
  <c r="AC121"/>
  <c r="AC112"/>
  <c r="AC104"/>
  <c r="AC98"/>
  <c r="AC97"/>
  <c r="AC46"/>
  <c r="AD46"/>
  <c r="AF133" i="7"/>
  <c r="AN133" s="1"/>
  <c r="AA47" i="23"/>
  <c r="AC51"/>
  <c r="AD51"/>
  <c r="AF137" i="7"/>
  <c r="AA52" i="23"/>
  <c r="AD53"/>
  <c r="AG138" i="7"/>
  <c r="AB53" i="23"/>
  <c r="AC87"/>
  <c r="AD87"/>
  <c r="AF143" i="7"/>
  <c r="AN143" s="1"/>
  <c r="AA89" i="23"/>
  <c r="AD90"/>
  <c r="AF142" i="7"/>
  <c r="AN142" s="1"/>
  <c r="AA88" i="23"/>
  <c r="AD95"/>
  <c r="AF149" i="7"/>
  <c r="AN149" s="1"/>
  <c r="AA96" i="23"/>
  <c r="AC158" i="7"/>
  <c r="AB8" i="31" s="1"/>
  <c r="AB114" i="23"/>
  <c r="AB107" s="1"/>
  <c r="AB37" i="34" s="1"/>
  <c r="AF37" s="1"/>
  <c r="AE108" i="23"/>
  <c r="AF108"/>
  <c r="AC111"/>
  <c r="AD111"/>
  <c r="AH31"/>
  <c r="AH29"/>
  <c r="AH27"/>
  <c r="AH25"/>
  <c r="AH23"/>
  <c r="AH21"/>
  <c r="AM20"/>
  <c r="AI20"/>
  <c r="AH137"/>
  <c r="AG131"/>
  <c r="AO131" s="1"/>
  <c r="AH131"/>
  <c r="AK131" s="1"/>
  <c r="AG120"/>
  <c r="AO120" s="1"/>
  <c r="AH120"/>
  <c r="AK120" s="1"/>
  <c r="AH116"/>
  <c r="AH113"/>
  <c r="AG109"/>
  <c r="AO109" s="1"/>
  <c r="AH109"/>
  <c r="AK109" s="1"/>
  <c r="AG103"/>
  <c r="AH103"/>
  <c r="AK103" s="1"/>
  <c r="AH99"/>
  <c r="AH136"/>
  <c r="AH132"/>
  <c r="AH121"/>
  <c r="AH114"/>
  <c r="AH112"/>
  <c r="AH110"/>
  <c r="AH104"/>
  <c r="AH98"/>
  <c r="AH97"/>
  <c r="AC28"/>
  <c r="AC26"/>
  <c r="AC24"/>
  <c r="AJ178" i="7"/>
  <c r="AN178"/>
  <c r="AJ159"/>
  <c r="AN159"/>
  <c r="AD160"/>
  <c r="AG258"/>
  <c r="AO258" s="1"/>
  <c r="AG248"/>
  <c r="AI26" i="14"/>
  <c r="AJ44"/>
  <c r="AN44"/>
  <c r="AA9"/>
  <c r="AE25"/>
  <c r="AE46"/>
  <c r="Z46"/>
  <c r="W44"/>
  <c r="AN46"/>
  <c r="AJ46"/>
  <c r="AI87" i="7"/>
  <c r="AI95"/>
  <c r="AH84"/>
  <c r="AF221"/>
  <c r="AN221" s="1"/>
  <c r="AB218"/>
  <c r="AB131"/>
  <c r="AF132"/>
  <c r="AN132" s="1"/>
  <c r="AE133"/>
  <c r="AI133" s="1"/>
  <c r="AD133"/>
  <c r="AF226"/>
  <c r="AF223" s="1"/>
  <c r="AA50" i="23"/>
  <c r="AA39" i="29" s="1"/>
  <c r="AE39" s="1"/>
  <c r="AE136" i="7"/>
  <c r="AA135"/>
  <c r="AD136"/>
  <c r="AG136"/>
  <c r="AC135"/>
  <c r="AE138"/>
  <c r="AI138" s="1"/>
  <c r="AD138"/>
  <c r="AA228"/>
  <c r="AE231"/>
  <c r="AD231"/>
  <c r="AG231"/>
  <c r="AC228"/>
  <c r="AF141"/>
  <c r="AN141" s="1"/>
  <c r="AB140"/>
  <c r="AE144"/>
  <c r="AI144" s="1"/>
  <c r="AD144"/>
  <c r="AE142"/>
  <c r="AI142" s="1"/>
  <c r="AD142"/>
  <c r="AE236"/>
  <c r="AD236"/>
  <c r="AA233"/>
  <c r="Z93" i="23" s="1"/>
  <c r="Z16" i="30" s="1"/>
  <c r="AG236" i="7"/>
  <c r="AC233"/>
  <c r="AB93" i="23" s="1"/>
  <c r="AB16" i="30" s="1"/>
  <c r="AF16" s="1"/>
  <c r="AD147" i="7"/>
  <c r="AE147"/>
  <c r="AI147" s="1"/>
  <c r="AA146"/>
  <c r="AG147"/>
  <c r="AC146"/>
  <c r="AD149"/>
  <c r="AE149"/>
  <c r="AI149" s="1"/>
  <c r="AI81"/>
  <c r="AQ81" s="1"/>
  <c r="W291"/>
  <c r="F300"/>
  <c r="E300" s="1"/>
  <c r="D300" s="1"/>
  <c r="C300" s="1"/>
  <c r="AE83"/>
  <c r="AA292"/>
  <c r="AG177"/>
  <c r="AA321"/>
  <c r="AE177"/>
  <c r="AI177" s="1"/>
  <c r="AD177"/>
  <c r="AJ261"/>
  <c r="AA322"/>
  <c r="AE181"/>
  <c r="AB319"/>
  <c r="AF168"/>
  <c r="AN168" s="1"/>
  <c r="AF248"/>
  <c r="AJ246"/>
  <c r="AH169"/>
  <c r="AI169"/>
  <c r="AE248"/>
  <c r="AD248"/>
  <c r="AH251"/>
  <c r="AI251"/>
  <c r="AG243"/>
  <c r="AO243" s="1"/>
  <c r="AA317"/>
  <c r="AD154"/>
  <c r="AG238"/>
  <c r="AO238" s="1"/>
  <c r="AE238"/>
  <c r="AD238"/>
  <c r="AH241"/>
  <c r="AI241"/>
  <c r="AI91"/>
  <c r="AI86"/>
  <c r="AI85"/>
  <c r="AI183"/>
  <c r="AH155"/>
  <c r="AB317"/>
  <c r="AD221"/>
  <c r="AE221"/>
  <c r="AA218"/>
  <c r="AG221"/>
  <c r="AC218"/>
  <c r="AD132"/>
  <c r="AA131"/>
  <c r="AE132"/>
  <c r="AC131"/>
  <c r="AG132"/>
  <c r="AE226"/>
  <c r="AE223" s="1"/>
  <c r="Z50" i="23"/>
  <c r="Z39" i="29" s="1"/>
  <c r="AF136" i="7"/>
  <c r="AB135"/>
  <c r="AE137"/>
  <c r="AD137"/>
  <c r="AF231"/>
  <c r="AN231" s="1"/>
  <c r="AB228"/>
  <c r="AE141"/>
  <c r="AD141"/>
  <c r="AA140"/>
  <c r="AG141"/>
  <c r="AC140"/>
  <c r="AE143"/>
  <c r="AI143" s="1"/>
  <c r="AD143"/>
  <c r="AF236"/>
  <c r="AN236" s="1"/>
  <c r="AB233"/>
  <c r="AA93" i="23" s="1"/>
  <c r="AA16" i="30" s="1"/>
  <c r="AE16" s="1"/>
  <c r="AF147" i="7"/>
  <c r="AN147" s="1"/>
  <c r="AB146"/>
  <c r="AA15" i="30" s="1"/>
  <c r="AD148" i="7"/>
  <c r="AE148"/>
  <c r="AI148" s="1"/>
  <c r="AE263"/>
  <c r="AH178"/>
  <c r="AP178" s="1"/>
  <c r="AI178"/>
  <c r="AF258"/>
  <c r="AN258" s="1"/>
  <c r="AB89"/>
  <c r="AA25" i="23" s="1"/>
  <c r="AJ84" i="7"/>
  <c r="AI84" s="1"/>
  <c r="AB321"/>
  <c r="AF177"/>
  <c r="AN177" s="1"/>
  <c r="AD258"/>
  <c r="AE258"/>
  <c r="AH261"/>
  <c r="AP261" s="1"/>
  <c r="AI261"/>
  <c r="AB164"/>
  <c r="AA114" i="23" s="1"/>
  <c r="AA15" i="31" s="1"/>
  <c r="AF243" i="7"/>
  <c r="AN243" s="1"/>
  <c r="AE171"/>
  <c r="AI171" s="1"/>
  <c r="AD171"/>
  <c r="AD165"/>
  <c r="AE165"/>
  <c r="AI165" s="1"/>
  <c r="AD246"/>
  <c r="AE246"/>
  <c r="AI246" s="1"/>
  <c r="AH246" s="1"/>
  <c r="AA243"/>
  <c r="Z108" i="23" s="1"/>
  <c r="Z9" i="31" s="1"/>
  <c r="AF238" i="7"/>
  <c r="AN238" s="1"/>
  <c r="AD161"/>
  <c r="AE161"/>
  <c r="AI161" s="1"/>
  <c r="AE76"/>
  <c r="AH159"/>
  <c r="AA168"/>
  <c r="Z19" i="31" s="1"/>
  <c r="AI163" i="7"/>
  <c r="AC129"/>
  <c r="AB42" i="23" s="1"/>
  <c r="AB129" i="7"/>
  <c r="AA42" i="23" s="1"/>
  <c r="AA129" i="7"/>
  <c r="Z42" i="23" s="1"/>
  <c r="Z31" i="29" s="1"/>
  <c r="AC216" i="7"/>
  <c r="AC213" s="1"/>
  <c r="AB41" i="23" s="1"/>
  <c r="AB30" i="29" s="1"/>
  <c r="AF30" s="1"/>
  <c r="AB216" i="7"/>
  <c r="AA216"/>
  <c r="AC126"/>
  <c r="AB126"/>
  <c r="AA126"/>
  <c r="Z82" i="23" s="1"/>
  <c r="Z34" i="28" s="1"/>
  <c r="AC125" i="7"/>
  <c r="AB125"/>
  <c r="AA125"/>
  <c r="Z81" i="23" s="1"/>
  <c r="Z33" i="28" s="1"/>
  <c r="AC124" i="7"/>
  <c r="AB124"/>
  <c r="AA124"/>
  <c r="Z80" i="23" s="1"/>
  <c r="Z32" i="28" s="1"/>
  <c r="AC123" i="7"/>
  <c r="AB123"/>
  <c r="AA123"/>
  <c r="Z79" i="23" s="1"/>
  <c r="Z31" i="28" s="1"/>
  <c r="AC122" i="7"/>
  <c r="AB78" i="23" s="1"/>
  <c r="AB122" i="7"/>
  <c r="AA78" i="23" s="1"/>
  <c r="AA122" i="7"/>
  <c r="Z78" i="23" s="1"/>
  <c r="Z30" i="28" s="1"/>
  <c r="AC211" i="7"/>
  <c r="AC208" s="1"/>
  <c r="AB77" i="23" s="1"/>
  <c r="AB29" i="28" s="1"/>
  <c r="AB211" i="7"/>
  <c r="AA211"/>
  <c r="AC119"/>
  <c r="AB74" i="23" s="1"/>
  <c r="AB119" i="7"/>
  <c r="AA119"/>
  <c r="Z74" i="23" s="1"/>
  <c r="Z26" i="28" s="1"/>
  <c r="AC118" i="7"/>
  <c r="AB73" i="23" s="1"/>
  <c r="AB118" i="7"/>
  <c r="AA118"/>
  <c r="Z73" i="23" s="1"/>
  <c r="Z25" i="28" s="1"/>
  <c r="AC117" i="7"/>
  <c r="AB72" i="23" s="1"/>
  <c r="AB117" i="7"/>
  <c r="AA117"/>
  <c r="Z72" i="23" s="1"/>
  <c r="Z24" i="28" s="1"/>
  <c r="AC116" i="7"/>
  <c r="AB71" i="23" s="1"/>
  <c r="AB116" i="7"/>
  <c r="AA71" i="23" s="1"/>
  <c r="AA116" i="7"/>
  <c r="Z71" i="23" s="1"/>
  <c r="Z23" i="28" s="1"/>
  <c r="AC206" i="7"/>
  <c r="AB206"/>
  <c r="AA206"/>
  <c r="AC107"/>
  <c r="AB67" i="23" s="1"/>
  <c r="AB107" i="7"/>
  <c r="AA107"/>
  <c r="Z67" i="23" s="1"/>
  <c r="Z19" i="28" s="1"/>
  <c r="AC105" i="7"/>
  <c r="AB65" i="23" s="1"/>
  <c r="AB105" i="7"/>
  <c r="AA65" i="23" s="1"/>
  <c r="AA105" i="7"/>
  <c r="Z65" i="23" s="1"/>
  <c r="Z17" i="28" s="1"/>
  <c r="AC106" i="7"/>
  <c r="AB66" i="23" s="1"/>
  <c r="AB106" i="7"/>
  <c r="AA106"/>
  <c r="Z66" i="23" s="1"/>
  <c r="Z18" i="28" s="1"/>
  <c r="AC196" i="7"/>
  <c r="AB196"/>
  <c r="AA196"/>
  <c r="AA113"/>
  <c r="Z61" i="23" s="1"/>
  <c r="Z13" i="28" s="1"/>
  <c r="AJ160" i="7" l="1"/>
  <c r="AJ148"/>
  <c r="AJ149"/>
  <c r="AJ37" i="34"/>
  <c r="AN37"/>
  <c r="AD41"/>
  <c r="AH19"/>
  <c r="AG98" i="23"/>
  <c r="AO98" s="1"/>
  <c r="AJ143" i="7"/>
  <c r="AC53" i="23"/>
  <c r="AG24"/>
  <c r="AO24" s="1"/>
  <c r="AG26"/>
  <c r="AI98"/>
  <c r="AK98" s="1"/>
  <c r="AG99"/>
  <c r="AO99" s="1"/>
  <c r="AM115"/>
  <c r="AG116"/>
  <c r="AO116" s="1"/>
  <c r="AG23"/>
  <c r="Z118"/>
  <c r="Z38" i="34" s="1"/>
  <c r="AE119" i="23"/>
  <c r="AM119" s="1"/>
  <c r="AI97"/>
  <c r="AK97" s="1"/>
  <c r="AG132"/>
  <c r="AO132" s="1"/>
  <c r="AI122"/>
  <c r="AI28"/>
  <c r="AC130"/>
  <c r="AC102"/>
  <c r="AC101" s="1"/>
  <c r="AN88"/>
  <c r="AJ142" i="7"/>
  <c r="AC318"/>
  <c r="AG97" i="23"/>
  <c r="AO97" s="1"/>
  <c r="AM99"/>
  <c r="AG104"/>
  <c r="AM111"/>
  <c r="AM113"/>
  <c r="AI116"/>
  <c r="AK116" s="1"/>
  <c r="AG121"/>
  <c r="AO121" s="1"/>
  <c r="AM112"/>
  <c r="AG113"/>
  <c r="AO113" s="1"/>
  <c r="AM121"/>
  <c r="AI132"/>
  <c r="AK132" s="1"/>
  <c r="AI24"/>
  <c r="AK24" s="1"/>
  <c r="AD119"/>
  <c r="AD118" s="1"/>
  <c r="AB118"/>
  <c r="AB38" i="34" s="1"/>
  <c r="AF38" s="1"/>
  <c r="AF130" i="23"/>
  <c r="AN130" s="1"/>
  <c r="AG28"/>
  <c r="AO28" s="1"/>
  <c r="AF102"/>
  <c r="AJ102" s="1"/>
  <c r="AJ101" s="1"/>
  <c r="AE130"/>
  <c r="AM130" s="1"/>
  <c r="AM87"/>
  <c r="AK258" i="7"/>
  <c r="AE102" i="23"/>
  <c r="AE101" s="1"/>
  <c r="AM101" s="1"/>
  <c r="AM94"/>
  <c r="AI51"/>
  <c r="AA38" i="29"/>
  <c r="AJ133" i="7"/>
  <c r="AJ144"/>
  <c r="AK104" i="23"/>
  <c r="AG112"/>
  <c r="AO112" s="1"/>
  <c r="AK121"/>
  <c r="AK23"/>
  <c r="AC119"/>
  <c r="AC118" s="1"/>
  <c r="AF119"/>
  <c r="AF118" s="1"/>
  <c r="AN118" s="1"/>
  <c r="AD130"/>
  <c r="AD129" s="1"/>
  <c r="Z129"/>
  <c r="Z40" i="34" s="1"/>
  <c r="AB129" i="23"/>
  <c r="AB40" i="34" s="1"/>
  <c r="AF40" s="1"/>
  <c r="AK26" i="23"/>
  <c r="AD102"/>
  <c r="AD101" s="1"/>
  <c r="Z101"/>
  <c r="Z34" i="34" s="1"/>
  <c r="AB101" i="23"/>
  <c r="AB34" i="34" s="1"/>
  <c r="AF34" s="1"/>
  <c r="AA118" i="23"/>
  <c r="AA38" i="34" s="1"/>
  <c r="AE38" s="1"/>
  <c r="AA129" i="23"/>
  <c r="AA40" i="34" s="1"/>
  <c r="AE40" s="1"/>
  <c r="AK10" i="31"/>
  <c r="AK21"/>
  <c r="AL178" i="7"/>
  <c r="BH178" s="1"/>
  <c r="AA101" i="23"/>
  <c r="AA34" i="34" s="1"/>
  <c r="AE34" s="1"/>
  <c r="AK32" i="31"/>
  <c r="AC16"/>
  <c r="AC23"/>
  <c r="AB15" i="30"/>
  <c r="Z15"/>
  <c r="AJ51" i="23"/>
  <c r="AN51"/>
  <c r="AJ40" i="29"/>
  <c r="AN40"/>
  <c r="AD18" i="28"/>
  <c r="AF66" i="23"/>
  <c r="AJ66" s="1"/>
  <c r="AB18" i="28"/>
  <c r="AF18" s="1"/>
  <c r="AJ18" s="1"/>
  <c r="AE65" i="23"/>
  <c r="AI65" s="1"/>
  <c r="AA17" i="28"/>
  <c r="AE17" s="1"/>
  <c r="AI17" s="1"/>
  <c r="AD19"/>
  <c r="AF67" i="23"/>
  <c r="AJ67" s="1"/>
  <c r="AB19" i="28"/>
  <c r="AF19" s="1"/>
  <c r="AJ19" s="1"/>
  <c r="AD23"/>
  <c r="AF71" i="23"/>
  <c r="AJ71" s="1"/>
  <c r="AB23" i="28"/>
  <c r="AF23" s="1"/>
  <c r="AJ23" s="1"/>
  <c r="AD25"/>
  <c r="AF73" i="23"/>
  <c r="AJ73" s="1"/>
  <c r="AB25" i="28"/>
  <c r="AF25" s="1"/>
  <c r="AJ25" s="1"/>
  <c r="AF29"/>
  <c r="AE78" i="23"/>
  <c r="AI78" s="1"/>
  <c r="AA30" i="28"/>
  <c r="AE30" s="1"/>
  <c r="AD31"/>
  <c r="AD33"/>
  <c r="AJ30" i="29"/>
  <c r="AN30"/>
  <c r="AE42" i="23"/>
  <c r="AI42" s="1"/>
  <c r="AA31" i="29"/>
  <c r="AE31" s="1"/>
  <c r="AC9" i="31"/>
  <c r="AD9"/>
  <c r="AE15"/>
  <c r="AI16" i="30"/>
  <c r="AM16"/>
  <c r="AA86" i="23"/>
  <c r="AA9" i="30" s="1"/>
  <c r="AE9" s="1"/>
  <c r="AA8"/>
  <c r="AA28" s="1"/>
  <c r="AD39" i="29"/>
  <c r="AB45" i="23"/>
  <c r="AB34" i="29" s="1"/>
  <c r="AF34" s="1"/>
  <c r="AB33"/>
  <c r="Z45" i="23"/>
  <c r="Z34" i="29" s="1"/>
  <c r="Z33"/>
  <c r="AF15" i="30"/>
  <c r="AN16"/>
  <c r="AJ16"/>
  <c r="AJ15" s="1"/>
  <c r="AC16"/>
  <c r="AD16"/>
  <c r="AB86" i="23"/>
  <c r="AB9" i="30" s="1"/>
  <c r="AF9" s="1"/>
  <c r="AB8"/>
  <c r="Z86" i="23"/>
  <c r="Z9" i="30" s="1"/>
  <c r="Z8"/>
  <c r="AM39" i="29"/>
  <c r="AI39"/>
  <c r="AA45" i="23"/>
  <c r="AA34" i="29" s="1"/>
  <c r="AE34" s="1"/>
  <c r="AA33"/>
  <c r="AF114" i="23"/>
  <c r="AJ114" s="1"/>
  <c r="AB15" i="31"/>
  <c r="AF15" s="1"/>
  <c r="AE96" i="23"/>
  <c r="AI96" s="1"/>
  <c r="AA19" i="30"/>
  <c r="AE88" i="23"/>
  <c r="AI88" s="1"/>
  <c r="AA11" i="30"/>
  <c r="AE89" i="23"/>
  <c r="AI89" s="1"/>
  <c r="AA12" i="30"/>
  <c r="AF53" i="23"/>
  <c r="AJ53" s="1"/>
  <c r="AB42" i="29"/>
  <c r="AF42" s="1"/>
  <c r="AJ42" s="1"/>
  <c r="AE52" i="23"/>
  <c r="AM52" s="1"/>
  <c r="AA41" i="29"/>
  <c r="AE47" i="23"/>
  <c r="AI47" s="1"/>
  <c r="AA36" i="29"/>
  <c r="AE11" i="31"/>
  <c r="AC11"/>
  <c r="AF25" i="23"/>
  <c r="AB14" i="29"/>
  <c r="AF14" s="1"/>
  <c r="AE95" i="23"/>
  <c r="AG95" s="1"/>
  <c r="AO95" s="1"/>
  <c r="AA18" i="30"/>
  <c r="AE53" i="23"/>
  <c r="AI53" s="1"/>
  <c r="AA42" i="29"/>
  <c r="AF52" i="23"/>
  <c r="AJ52" s="1"/>
  <c r="AB41" i="29"/>
  <c r="AF41" s="1"/>
  <c r="AJ41" s="1"/>
  <c r="AE20" i="30"/>
  <c r="AC20"/>
  <c r="AE14" i="31"/>
  <c r="AC14"/>
  <c r="AE12" i="29"/>
  <c r="AC12"/>
  <c r="AE33" i="31"/>
  <c r="AC33"/>
  <c r="AE13" i="29"/>
  <c r="AC13"/>
  <c r="AG16" i="31"/>
  <c r="AO16" s="1"/>
  <c r="AH16"/>
  <c r="AG23"/>
  <c r="AO23" s="1"/>
  <c r="AH23"/>
  <c r="AI20"/>
  <c r="AM20"/>
  <c r="AE30"/>
  <c r="AM30" s="1"/>
  <c r="AI31"/>
  <c r="AM31"/>
  <c r="AE22" i="30"/>
  <c r="AC22"/>
  <c r="AI12" i="31"/>
  <c r="AM12"/>
  <c r="AE17"/>
  <c r="AC17"/>
  <c r="AE21" i="30"/>
  <c r="AC21"/>
  <c r="AE27"/>
  <c r="AE24" s="1"/>
  <c r="AC27"/>
  <c r="AE13" i="31"/>
  <c r="AC13"/>
  <c r="AI16"/>
  <c r="AM16"/>
  <c r="AE22"/>
  <c r="AC22"/>
  <c r="AI23"/>
  <c r="AM23"/>
  <c r="AE15" i="29"/>
  <c r="AC15"/>
  <c r="AE17"/>
  <c r="AC17"/>
  <c r="AG12" i="31"/>
  <c r="AO12" s="1"/>
  <c r="AH12"/>
  <c r="AC20"/>
  <c r="AD20"/>
  <c r="AF19"/>
  <c r="AN19" s="1"/>
  <c r="AJ20"/>
  <c r="AJ19" s="1"/>
  <c r="AN20"/>
  <c r="Z38" i="29"/>
  <c r="AK112" i="23"/>
  <c r="AC129"/>
  <c r="AC17" i="30"/>
  <c r="AC10"/>
  <c r="AC40" i="29"/>
  <c r="AC35"/>
  <c r="AD13" i="28"/>
  <c r="AD17"/>
  <c r="AF65" i="23"/>
  <c r="AJ65" s="1"/>
  <c r="AB17" i="28"/>
  <c r="AF17" s="1"/>
  <c r="AJ17" s="1"/>
  <c r="AE71" i="23"/>
  <c r="AM71" s="1"/>
  <c r="AA23" i="28"/>
  <c r="AE23" s="1"/>
  <c r="AD24"/>
  <c r="AF72" i="23"/>
  <c r="AJ72" s="1"/>
  <c r="AB24" i="28"/>
  <c r="AF24" s="1"/>
  <c r="AJ24" s="1"/>
  <c r="AD26"/>
  <c r="AF74" i="23"/>
  <c r="AJ74" s="1"/>
  <c r="AB26" i="28"/>
  <c r="AF26" s="1"/>
  <c r="AJ26" s="1"/>
  <c r="AD30"/>
  <c r="AF78" i="23"/>
  <c r="AJ78" s="1"/>
  <c r="AB30" i="28"/>
  <c r="AF30" s="1"/>
  <c r="AJ30" s="1"/>
  <c r="AD32"/>
  <c r="AD34"/>
  <c r="AD31" i="29"/>
  <c r="AF42" i="23"/>
  <c r="AJ42" s="1"/>
  <c r="AB31" i="29"/>
  <c r="AF31" s="1"/>
  <c r="AJ31" s="1"/>
  <c r="AA14"/>
  <c r="AE90" i="23"/>
  <c r="AG90" s="1"/>
  <c r="AO90" s="1"/>
  <c r="AA13" i="30"/>
  <c r="AC25"/>
  <c r="AD25"/>
  <c r="AF24"/>
  <c r="AN24" s="1"/>
  <c r="AN25"/>
  <c r="AJ25"/>
  <c r="AJ24" s="1"/>
  <c r="AD35" i="31"/>
  <c r="AH36"/>
  <c r="AH19" i="30"/>
  <c r="AN11"/>
  <c r="AJ11"/>
  <c r="AG10"/>
  <c r="AO10" s="1"/>
  <c r="AI10"/>
  <c r="AK10" s="1"/>
  <c r="AM10"/>
  <c r="AI40" i="29"/>
  <c r="AM40"/>
  <c r="AG35"/>
  <c r="AO35" s="1"/>
  <c r="AM35"/>
  <c r="AI35"/>
  <c r="AK35" s="1"/>
  <c r="AH8"/>
  <c r="AK9"/>
  <c r="AO9"/>
  <c r="AI25" i="30"/>
  <c r="AM25"/>
  <c r="AC31" i="31"/>
  <c r="AC30" s="1"/>
  <c r="AD31"/>
  <c r="AF30"/>
  <c r="AN30" s="1"/>
  <c r="AJ31"/>
  <c r="AJ30" s="1"/>
  <c r="AN31"/>
  <c r="AG17" i="30"/>
  <c r="AO17" s="1"/>
  <c r="AM17"/>
  <c r="AI17"/>
  <c r="AK17" s="1"/>
  <c r="AG40" i="29"/>
  <c r="AO40" s="1"/>
  <c r="AH40"/>
  <c r="Z8" i="31"/>
  <c r="AC12"/>
  <c r="AD66" i="23"/>
  <c r="AD67"/>
  <c r="AC71"/>
  <c r="AD71"/>
  <c r="AF117" i="7"/>
  <c r="AN117" s="1"/>
  <c r="AA72" i="23"/>
  <c r="AC72" s="1"/>
  <c r="AD73"/>
  <c r="AF119" i="7"/>
  <c r="AN119" s="1"/>
  <c r="AA74" i="23"/>
  <c r="AC74" s="1"/>
  <c r="AF77"/>
  <c r="AM78"/>
  <c r="AD79"/>
  <c r="AG123" i="7"/>
  <c r="AB79" i="23"/>
  <c r="AF124" i="7"/>
  <c r="AA80" i="23"/>
  <c r="AD81"/>
  <c r="AG125" i="7"/>
  <c r="AB81" i="23"/>
  <c r="AF126" i="7"/>
  <c r="AA82" i="23"/>
  <c r="AB40"/>
  <c r="AB21" i="34" s="1"/>
  <c r="AF21" s="1"/>
  <c r="AF41" i="23"/>
  <c r="AM42"/>
  <c r="Z107"/>
  <c r="Z37" i="34" s="1"/>
  <c r="AC108" i="23"/>
  <c r="AD108"/>
  <c r="AE114"/>
  <c r="AC114"/>
  <c r="AA92"/>
  <c r="AA33" i="34" s="1"/>
  <c r="AE33" s="1"/>
  <c r="AE93" i="23"/>
  <c r="Z49"/>
  <c r="Z23" i="34" s="1"/>
  <c r="AD50" i="23"/>
  <c r="AB44"/>
  <c r="AB22" i="34" s="1"/>
  <c r="AF22" s="1"/>
  <c r="Z44" i="23"/>
  <c r="Z22" i="34" s="1"/>
  <c r="AD45" i="23"/>
  <c r="AB92"/>
  <c r="AB33" i="34" s="1"/>
  <c r="AF33" s="1"/>
  <c r="AF93" i="23"/>
  <c r="Z92"/>
  <c r="Z33" i="34" s="1"/>
  <c r="AC93" i="23"/>
  <c r="AD93"/>
  <c r="AA49"/>
  <c r="AA23" i="34" s="1"/>
  <c r="AE23" s="1"/>
  <c r="AE50" i="23"/>
  <c r="AI108"/>
  <c r="AM108"/>
  <c r="AF129"/>
  <c r="AN129" s="1"/>
  <c r="AH95"/>
  <c r="AH90"/>
  <c r="AG87"/>
  <c r="AO87" s="1"/>
  <c r="AH87"/>
  <c r="AK87" s="1"/>
  <c r="AH53"/>
  <c r="AG51"/>
  <c r="AO51" s="1"/>
  <c r="AH51"/>
  <c r="AG46"/>
  <c r="AO46" s="1"/>
  <c r="AH46"/>
  <c r="AK46" s="1"/>
  <c r="AK20"/>
  <c r="AH19"/>
  <c r="AO20"/>
  <c r="AF101"/>
  <c r="AN101" s="1"/>
  <c r="AE110"/>
  <c r="AC110"/>
  <c r="AG115"/>
  <c r="AO115" s="1"/>
  <c r="AH115"/>
  <c r="AK115" s="1"/>
  <c r="AG122"/>
  <c r="AO122" s="1"/>
  <c r="AH122"/>
  <c r="AK122" s="1"/>
  <c r="AE118"/>
  <c r="AM118" s="1"/>
  <c r="AD134"/>
  <c r="AH135"/>
  <c r="AK99"/>
  <c r="AK113"/>
  <c r="AC96"/>
  <c r="AC88"/>
  <c r="AC89"/>
  <c r="AC52"/>
  <c r="AC47"/>
  <c r="AD61"/>
  <c r="AF106" i="7"/>
  <c r="AA66" i="23"/>
  <c r="AC65"/>
  <c r="AD65"/>
  <c r="AF107" i="7"/>
  <c r="AA67" i="23"/>
  <c r="AI71"/>
  <c r="AD72"/>
  <c r="AF118" i="7"/>
  <c r="AJ118" s="1"/>
  <c r="AA73" i="23"/>
  <c r="AD74"/>
  <c r="AC78"/>
  <c r="AD78"/>
  <c r="AF123" i="7"/>
  <c r="AA79" i="23"/>
  <c r="AD80"/>
  <c r="AG124" i="7"/>
  <c r="AB80" i="23"/>
  <c r="AF125" i="7"/>
  <c r="AA81" i="23"/>
  <c r="AD82"/>
  <c r="AG126" i="7"/>
  <c r="AB82" i="23"/>
  <c r="AC42"/>
  <c r="AD42"/>
  <c r="AE25"/>
  <c r="AC25"/>
  <c r="AG111"/>
  <c r="AO111" s="1"/>
  <c r="AH111"/>
  <c r="AK111" s="1"/>
  <c r="AN108"/>
  <c r="AJ108"/>
  <c r="AH130"/>
  <c r="AH96"/>
  <c r="AG94"/>
  <c r="AO94" s="1"/>
  <c r="AH94"/>
  <c r="AK94" s="1"/>
  <c r="AH88"/>
  <c r="AH89"/>
  <c r="AH52"/>
  <c r="AH47"/>
  <c r="AA107"/>
  <c r="AK28"/>
  <c r="AK231" i="7"/>
  <c r="AO231"/>
  <c r="AN248"/>
  <c r="AK248"/>
  <c r="AO248"/>
  <c r="AI25" i="14"/>
  <c r="AE44"/>
  <c r="Z44"/>
  <c r="W9"/>
  <c r="AI46"/>
  <c r="AC121" i="7"/>
  <c r="AC311" s="1"/>
  <c r="AH138"/>
  <c r="AC113"/>
  <c r="AB193"/>
  <c r="AA64" i="23" s="1"/>
  <c r="AA16" i="28" s="1"/>
  <c r="AF196" i="7"/>
  <c r="AD105"/>
  <c r="AA104"/>
  <c r="AE105"/>
  <c r="AG105"/>
  <c r="AC104"/>
  <c r="AE107"/>
  <c r="AD107"/>
  <c r="AF206"/>
  <c r="AB203"/>
  <c r="AA70" i="23" s="1"/>
  <c r="AA22" i="28" s="1"/>
  <c r="AF116" i="7"/>
  <c r="AB115"/>
  <c r="AD117"/>
  <c r="AE117"/>
  <c r="AI117" s="1"/>
  <c r="AE118"/>
  <c r="AI118" s="1"/>
  <c r="AD118"/>
  <c r="AE119"/>
  <c r="AI119" s="1"/>
  <c r="AD119"/>
  <c r="AF211"/>
  <c r="AB208"/>
  <c r="AA77" i="23" s="1"/>
  <c r="AA29" i="28" s="1"/>
  <c r="AF122" i="7"/>
  <c r="AB121"/>
  <c r="AE123"/>
  <c r="AI123" s="1"/>
  <c r="AD123"/>
  <c r="AE124"/>
  <c r="AD124"/>
  <c r="AE125"/>
  <c r="AD125"/>
  <c r="AF216"/>
  <c r="AB213"/>
  <c r="AA41" i="23" s="1"/>
  <c r="AA30" i="29" s="1"/>
  <c r="AE30" s="1"/>
  <c r="AF129" i="7"/>
  <c r="AB128"/>
  <c r="AA29" i="29" s="1"/>
  <c r="AD168" i="7"/>
  <c r="AD319" s="1"/>
  <c r="AA319"/>
  <c r="AE168"/>
  <c r="AE291"/>
  <c r="AJ238"/>
  <c r="AI258"/>
  <c r="AH258"/>
  <c r="AP258" s="1"/>
  <c r="AH177"/>
  <c r="AP177" s="1"/>
  <c r="AF321"/>
  <c r="AE321" s="1"/>
  <c r="AJ177"/>
  <c r="AJ147"/>
  <c r="AJ236"/>
  <c r="AF228"/>
  <c r="AN228" s="1"/>
  <c r="AB314"/>
  <c r="AF135"/>
  <c r="AN135" s="1"/>
  <c r="AC313"/>
  <c r="AG131"/>
  <c r="AA313"/>
  <c r="AE131"/>
  <c r="AD131"/>
  <c r="AG218"/>
  <c r="AD218"/>
  <c r="AE218"/>
  <c r="AH248"/>
  <c r="AP248" s="1"/>
  <c r="AI248"/>
  <c r="AI158"/>
  <c r="AF319"/>
  <c r="AJ168"/>
  <c r="AE322"/>
  <c r="AI181"/>
  <c r="AC316"/>
  <c r="AG146"/>
  <c r="AA316"/>
  <c r="AD146"/>
  <c r="AE146"/>
  <c r="AB315"/>
  <c r="AF140"/>
  <c r="AN140" s="1"/>
  <c r="AG228"/>
  <c r="AO228" s="1"/>
  <c r="AE228"/>
  <c r="AD228"/>
  <c r="AE135"/>
  <c r="AA314"/>
  <c r="AD135"/>
  <c r="AN223"/>
  <c r="AJ132"/>
  <c r="AF218"/>
  <c r="AN218" s="1"/>
  <c r="AD317"/>
  <c r="AD321"/>
  <c r="AC321" s="1"/>
  <c r="AE113"/>
  <c r="AA193"/>
  <c r="Z64" i="23" s="1"/>
  <c r="Z16" i="28" s="1"/>
  <c r="AE196" i="7"/>
  <c r="AD196"/>
  <c r="AC193"/>
  <c r="AB64" i="23" s="1"/>
  <c r="AB16" i="28" s="1"/>
  <c r="AG196" i="7"/>
  <c r="AE106"/>
  <c r="AD106"/>
  <c r="AF105"/>
  <c r="AB104"/>
  <c r="AE206"/>
  <c r="AD206"/>
  <c r="AA203"/>
  <c r="Z70" i="23" s="1"/>
  <c r="Z22" i="28" s="1"/>
  <c r="AG206" i="7"/>
  <c r="AC203"/>
  <c r="AB70" i="23" s="1"/>
  <c r="AB22" i="28" s="1"/>
  <c r="AE116" i="7"/>
  <c r="AA115"/>
  <c r="AD116"/>
  <c r="AG116"/>
  <c r="AC115"/>
  <c r="AD211"/>
  <c r="AE211"/>
  <c r="AA208"/>
  <c r="Z77" i="23" s="1"/>
  <c r="Z29" i="28" s="1"/>
  <c r="AG208" i="7"/>
  <c r="AO208" s="1"/>
  <c r="AD122"/>
  <c r="AA121"/>
  <c r="AE122"/>
  <c r="AI122" s="1"/>
  <c r="AD126"/>
  <c r="AE126"/>
  <c r="AD216"/>
  <c r="AA213"/>
  <c r="Z41" i="23" s="1"/>
  <c r="Z30" i="29" s="1"/>
  <c r="AE216" i="7"/>
  <c r="AG213"/>
  <c r="AE129"/>
  <c r="AA128"/>
  <c r="Z29" i="29" s="1"/>
  <c r="AD129" i="7"/>
  <c r="AG129"/>
  <c r="AC128"/>
  <c r="AB29" i="29" s="1"/>
  <c r="AE243" i="7"/>
  <c r="AD243"/>
  <c r="AJ243"/>
  <c r="AF164"/>
  <c r="AD164"/>
  <c r="AF89"/>
  <c r="AN89" s="1"/>
  <c r="AD89"/>
  <c r="AJ258"/>
  <c r="AI263"/>
  <c r="AB316"/>
  <c r="AF146"/>
  <c r="AN146" s="1"/>
  <c r="AF233"/>
  <c r="AN233" s="1"/>
  <c r="AC315"/>
  <c r="AG140"/>
  <c r="AO140" s="1"/>
  <c r="AA315"/>
  <c r="AD140"/>
  <c r="AE140"/>
  <c r="AH141"/>
  <c r="AI141"/>
  <c r="AJ231"/>
  <c r="AH137"/>
  <c r="AI137"/>
  <c r="AH132"/>
  <c r="AI132"/>
  <c r="AH238"/>
  <c r="AP238" s="1"/>
  <c r="AI238"/>
  <c r="AK238"/>
  <c r="AK243"/>
  <c r="AJ248"/>
  <c r="AG321"/>
  <c r="AK177"/>
  <c r="AE292"/>
  <c r="AI83"/>
  <c r="AG233"/>
  <c r="AO233" s="1"/>
  <c r="AD233"/>
  <c r="AE233"/>
  <c r="AH236"/>
  <c r="AI236"/>
  <c r="AJ141"/>
  <c r="AH231"/>
  <c r="AP231" s="1"/>
  <c r="AI231"/>
  <c r="AG135"/>
  <c r="AO135" s="1"/>
  <c r="AH136"/>
  <c r="AI136"/>
  <c r="AB313"/>
  <c r="AF131"/>
  <c r="AN131" s="1"/>
  <c r="AJ221"/>
  <c r="AI221" s="1"/>
  <c r="AH221"/>
  <c r="AB158"/>
  <c r="AA8" i="31" s="1"/>
  <c r="AA318" i="7"/>
  <c r="AH147"/>
  <c r="AC112"/>
  <c r="AB112"/>
  <c r="AA112"/>
  <c r="Z60" i="23" s="1"/>
  <c r="Z12" i="28" s="1"/>
  <c r="AC111" i="7"/>
  <c r="AB59" i="23" s="1"/>
  <c r="AB111" i="7"/>
  <c r="AA111"/>
  <c r="Z59" i="23" s="1"/>
  <c r="Z11" i="28" s="1"/>
  <c r="AC110" i="7"/>
  <c r="AB58" i="23" s="1"/>
  <c r="AB110" i="7"/>
  <c r="AA58" i="23" s="1"/>
  <c r="AA110" i="7"/>
  <c r="Z58" i="23" s="1"/>
  <c r="Z10" i="28" s="1"/>
  <c r="AC201" i="7"/>
  <c r="AB201"/>
  <c r="AA201"/>
  <c r="AC102"/>
  <c r="AB38" i="23" s="1"/>
  <c r="AB102" i="7"/>
  <c r="AA102"/>
  <c r="Z38" i="23" s="1"/>
  <c r="Z27" i="29" s="1"/>
  <c r="AC101" i="7"/>
  <c r="AB37" i="23" s="1"/>
  <c r="AB101" i="7"/>
  <c r="AA101"/>
  <c r="Z37" i="23" s="1"/>
  <c r="Z26" i="29" s="1"/>
  <c r="AC100" i="7"/>
  <c r="AB36" i="23" s="1"/>
  <c r="AB100" i="7"/>
  <c r="AA100"/>
  <c r="Z36" i="23" s="1"/>
  <c r="Z25" i="29" s="1"/>
  <c r="AC99" i="7"/>
  <c r="AB35" i="23" s="1"/>
  <c r="AB99" i="7"/>
  <c r="AA35" i="23" s="1"/>
  <c r="AA99" i="7"/>
  <c r="Z35" i="23" s="1"/>
  <c r="Z24" i="29" s="1"/>
  <c r="AC191" i="7"/>
  <c r="AB191"/>
  <c r="AA191"/>
  <c r="AH102" i="23" l="1"/>
  <c r="AH101" s="1"/>
  <c r="AH119"/>
  <c r="AI119"/>
  <c r="AI118" s="1"/>
  <c r="AN102"/>
  <c r="AJ130"/>
  <c r="AJ129" s="1"/>
  <c r="AJ119" i="7"/>
  <c r="AI90" i="23"/>
  <c r="AK90" s="1"/>
  <c r="AG130"/>
  <c r="AG129" s="1"/>
  <c r="AO129" s="1"/>
  <c r="AE129"/>
  <c r="AM129" s="1"/>
  <c r="AC19" i="31"/>
  <c r="AC33" i="34"/>
  <c r="AD33"/>
  <c r="AJ33"/>
  <c r="AN33"/>
  <c r="AD22"/>
  <c r="AD37"/>
  <c r="AI38"/>
  <c r="AM38"/>
  <c r="AC34"/>
  <c r="AD34"/>
  <c r="AC40"/>
  <c r="AD40"/>
  <c r="AH41"/>
  <c r="AI23"/>
  <c r="AM23"/>
  <c r="AJ22"/>
  <c r="AN22"/>
  <c r="AD23"/>
  <c r="AI33"/>
  <c r="AM33"/>
  <c r="AJ21"/>
  <c r="AN21"/>
  <c r="AI34"/>
  <c r="AM34"/>
  <c r="AI40"/>
  <c r="AM40"/>
  <c r="AJ34"/>
  <c r="AN34"/>
  <c r="AJ40"/>
  <c r="AN40"/>
  <c r="AJ38"/>
  <c r="AN38"/>
  <c r="AC38"/>
  <c r="AD38"/>
  <c r="AJ117" i="7"/>
  <c r="AJ107" i="23"/>
  <c r="AF107"/>
  <c r="AN107" s="1"/>
  <c r="AM53"/>
  <c r="AG89"/>
  <c r="AO89" s="1"/>
  <c r="AI130"/>
  <c r="AI129" s="1"/>
  <c r="AD86"/>
  <c r="AH86" s="1"/>
  <c r="AG88"/>
  <c r="AO88" s="1"/>
  <c r="AM102"/>
  <c r="AM47"/>
  <c r="AM89"/>
  <c r="AM88"/>
  <c r="AM96"/>
  <c r="AN119"/>
  <c r="AB85"/>
  <c r="AB32" i="34" s="1"/>
  <c r="AG47" i="23"/>
  <c r="AO47" s="1"/>
  <c r="AG52"/>
  <c r="AO52" s="1"/>
  <c r="AM90"/>
  <c r="AI95"/>
  <c r="AK95" s="1"/>
  <c r="AG96"/>
  <c r="AO96" s="1"/>
  <c r="AG102"/>
  <c r="AO102" s="1"/>
  <c r="AI102"/>
  <c r="AI101" s="1"/>
  <c r="AN25"/>
  <c r="AI52"/>
  <c r="AK52" s="1"/>
  <c r="AG53"/>
  <c r="AO53" s="1"/>
  <c r="AE45"/>
  <c r="AM45" s="1"/>
  <c r="Z85"/>
  <c r="Z32" i="34" s="1"/>
  <c r="Z31" s="1"/>
  <c r="AA85" i="23"/>
  <c r="AA32" i="34" s="1"/>
  <c r="AA37"/>
  <c r="AB28" i="30"/>
  <c r="AK47" i="23"/>
  <c r="AK89"/>
  <c r="AK88"/>
  <c r="AM95"/>
  <c r="AK96"/>
  <c r="AG119"/>
  <c r="AO119" s="1"/>
  <c r="AJ25"/>
  <c r="AK51"/>
  <c r="AJ119"/>
  <c r="AJ118" s="1"/>
  <c r="AA44"/>
  <c r="AA22" i="34" s="1"/>
  <c r="AE22" s="1"/>
  <c r="AC86" i="23"/>
  <c r="AC85" s="1"/>
  <c r="AF86"/>
  <c r="AJ86" s="1"/>
  <c r="AJ85" s="1"/>
  <c r="AE86"/>
  <c r="AI86" s="1"/>
  <c r="AI85" s="1"/>
  <c r="AC24" i="30"/>
  <c r="AN118" i="7"/>
  <c r="AK40" i="29"/>
  <c r="Z28" i="30"/>
  <c r="AL231" i="7"/>
  <c r="AC45" i="23"/>
  <c r="AF45"/>
  <c r="AN45" s="1"/>
  <c r="AK12" i="31"/>
  <c r="AE35" i="23"/>
  <c r="AM35" s="1"/>
  <c r="AA24" i="29"/>
  <c r="AE24" s="1"/>
  <c r="AD25"/>
  <c r="AH25" s="1"/>
  <c r="AF36" i="23"/>
  <c r="AJ36" s="1"/>
  <c r="AB25" i="29"/>
  <c r="AF25" s="1"/>
  <c r="AJ25" s="1"/>
  <c r="AD27"/>
  <c r="AH27" s="1"/>
  <c r="AF38" i="23"/>
  <c r="AJ38" s="1"/>
  <c r="AB27" i="29"/>
  <c r="AF27" s="1"/>
  <c r="AJ27" s="1"/>
  <c r="AD10" i="28"/>
  <c r="AH10" s="1"/>
  <c r="AF58" i="23"/>
  <c r="AJ58" s="1"/>
  <c r="AB10" i="28"/>
  <c r="AF10" s="1"/>
  <c r="AJ10" s="1"/>
  <c r="AD12"/>
  <c r="AH12" s="1"/>
  <c r="AC30" i="29"/>
  <c r="AD30"/>
  <c r="AB21" i="28"/>
  <c r="AF22"/>
  <c r="Z21"/>
  <c r="AC22"/>
  <c r="AD22"/>
  <c r="AB15"/>
  <c r="AF16"/>
  <c r="AE81" i="23"/>
  <c r="AM81" s="1"/>
  <c r="AA33" i="28"/>
  <c r="AF80" i="23"/>
  <c r="AJ80" s="1"/>
  <c r="AB32" i="28"/>
  <c r="AF32" s="1"/>
  <c r="AJ32" s="1"/>
  <c r="AE82" i="23"/>
  <c r="AM82" s="1"/>
  <c r="AA34" i="28"/>
  <c r="AF81" i="23"/>
  <c r="AJ81" s="1"/>
  <c r="AB33" i="28"/>
  <c r="AF33" s="1"/>
  <c r="AJ33" s="1"/>
  <c r="AE72" i="23"/>
  <c r="AM72" s="1"/>
  <c r="AA24" i="28"/>
  <c r="AD30" i="31"/>
  <c r="AG31"/>
  <c r="AH31"/>
  <c r="AM24" i="30"/>
  <c r="AD19" i="31"/>
  <c r="AG20"/>
  <c r="AH20"/>
  <c r="AE42" i="29"/>
  <c r="AC42"/>
  <c r="AE18" i="30"/>
  <c r="AC18"/>
  <c r="AN14" i="29"/>
  <c r="AJ14"/>
  <c r="AE36"/>
  <c r="AE33" s="1"/>
  <c r="AM33" s="1"/>
  <c r="AC36"/>
  <c r="AE41"/>
  <c r="AC41"/>
  <c r="AE12" i="30"/>
  <c r="AC12"/>
  <c r="AE11"/>
  <c r="AC11"/>
  <c r="AE19"/>
  <c r="AC19"/>
  <c r="AJ15" i="31"/>
  <c r="AJ8" s="1"/>
  <c r="AF8"/>
  <c r="AG16" i="30"/>
  <c r="AD15"/>
  <c r="AH16"/>
  <c r="AN15"/>
  <c r="AC34" i="29"/>
  <c r="AD34"/>
  <c r="AG34" s="1"/>
  <c r="AF33"/>
  <c r="AN33" s="1"/>
  <c r="AJ34"/>
  <c r="AJ33" s="1"/>
  <c r="AN34"/>
  <c r="AM9" i="30"/>
  <c r="AI9"/>
  <c r="AG9" i="31"/>
  <c r="AD8"/>
  <c r="AH9"/>
  <c r="AI31" i="29"/>
  <c r="AM31"/>
  <c r="AC31"/>
  <c r="AC29" s="1"/>
  <c r="AC30" i="28"/>
  <c r="AC17"/>
  <c r="AK23" i="31"/>
  <c r="AK16"/>
  <c r="AC15"/>
  <c r="AC8" s="1"/>
  <c r="AF29" i="29"/>
  <c r="AN29" s="1"/>
  <c r="AC23" i="28"/>
  <c r="AD24" i="29"/>
  <c r="AH24" s="1"/>
  <c r="AF35" i="23"/>
  <c r="AJ35" s="1"/>
  <c r="AB24" i="29"/>
  <c r="AF24" s="1"/>
  <c r="AJ24" s="1"/>
  <c r="AD26"/>
  <c r="AH26" s="1"/>
  <c r="AF37" i="23"/>
  <c r="AJ37" s="1"/>
  <c r="AB26" i="29"/>
  <c r="AF26" s="1"/>
  <c r="AJ26" s="1"/>
  <c r="AE58" i="23"/>
  <c r="AI58" s="1"/>
  <c r="AA10" i="28"/>
  <c r="AE10" s="1"/>
  <c r="AD11"/>
  <c r="AH11" s="1"/>
  <c r="AF59" i="23"/>
  <c r="AJ59" s="1"/>
  <c r="AB11" i="28"/>
  <c r="AF11" s="1"/>
  <c r="AJ11" s="1"/>
  <c r="Z28"/>
  <c r="AC29"/>
  <c r="AD29"/>
  <c r="Z15"/>
  <c r="AC16"/>
  <c r="AD16"/>
  <c r="AE29" i="29"/>
  <c r="AM29" s="1"/>
  <c r="AI30"/>
  <c r="AI29" s="1"/>
  <c r="AM30"/>
  <c r="AE29" i="28"/>
  <c r="AE22"/>
  <c r="AE16"/>
  <c r="AF82" i="23"/>
  <c r="AJ82" s="1"/>
  <c r="AB34" i="28"/>
  <c r="AF34" s="1"/>
  <c r="AJ34" s="1"/>
  <c r="AE79" i="23"/>
  <c r="AI79" s="1"/>
  <c r="AA31" i="28"/>
  <c r="AE73" i="23"/>
  <c r="AI73" s="1"/>
  <c r="AA25" i="28"/>
  <c r="AE67" i="23"/>
  <c r="AI67" s="1"/>
  <c r="AA19" i="28"/>
  <c r="AE66" i="23"/>
  <c r="AM66" s="1"/>
  <c r="AA18" i="28"/>
  <c r="AA15" s="1"/>
  <c r="AE80" i="23"/>
  <c r="AM80" s="1"/>
  <c r="AA32" i="28"/>
  <c r="AF79" i="23"/>
  <c r="AJ79" s="1"/>
  <c r="AB31" i="28"/>
  <c r="AF31" s="1"/>
  <c r="AJ31" s="1"/>
  <c r="AE74" i="23"/>
  <c r="AI74" s="1"/>
  <c r="AA26" i="28"/>
  <c r="AH35" i="31"/>
  <c r="AG25" i="30"/>
  <c r="AD24"/>
  <c r="AH25"/>
  <c r="AE13"/>
  <c r="AC13"/>
  <c r="AE14" i="29"/>
  <c r="AC14"/>
  <c r="AG31"/>
  <c r="AO31" s="1"/>
  <c r="AH31"/>
  <c r="AK31" s="1"/>
  <c r="AH34" i="28"/>
  <c r="AH32"/>
  <c r="AG30"/>
  <c r="AO30" s="1"/>
  <c r="AH30"/>
  <c r="AH26"/>
  <c r="AH24"/>
  <c r="AM23"/>
  <c r="AI23"/>
  <c r="AG17"/>
  <c r="AH17"/>
  <c r="AK17" s="1"/>
  <c r="AH13"/>
  <c r="AG17" i="29"/>
  <c r="AO17" s="1"/>
  <c r="AM17"/>
  <c r="AI17"/>
  <c r="AK17" s="1"/>
  <c r="AG15"/>
  <c r="AI15"/>
  <c r="AK15" s="1"/>
  <c r="AM22" i="31"/>
  <c r="AI22"/>
  <c r="AK22" s="1"/>
  <c r="AG22"/>
  <c r="AO22" s="1"/>
  <c r="AM13"/>
  <c r="AI13"/>
  <c r="AK13" s="1"/>
  <c r="AG13"/>
  <c r="AO13" s="1"/>
  <c r="AI27" i="30"/>
  <c r="AK27" s="1"/>
  <c r="AG27"/>
  <c r="AM21"/>
  <c r="AI21"/>
  <c r="AK21" s="1"/>
  <c r="AG21"/>
  <c r="AO21" s="1"/>
  <c r="AM17" i="31"/>
  <c r="AI17"/>
  <c r="AK17" s="1"/>
  <c r="AG17"/>
  <c r="AO17" s="1"/>
  <c r="AM22" i="30"/>
  <c r="AI22"/>
  <c r="AK22" s="1"/>
  <c r="AG22"/>
  <c r="AO22" s="1"/>
  <c r="AG13" i="29"/>
  <c r="AO13" s="1"/>
  <c r="AM13"/>
  <c r="AI13"/>
  <c r="AK13" s="1"/>
  <c r="AM33" i="31"/>
  <c r="AI33"/>
  <c r="AK33" s="1"/>
  <c r="AG33"/>
  <c r="AO33" s="1"/>
  <c r="AI12" i="29"/>
  <c r="AK12" s="1"/>
  <c r="AG12"/>
  <c r="AI14" i="31"/>
  <c r="AK14" s="1"/>
  <c r="AM14"/>
  <c r="AG14"/>
  <c r="AO14" s="1"/>
  <c r="AM20" i="30"/>
  <c r="AI20"/>
  <c r="AK20" s="1"/>
  <c r="AG20"/>
  <c r="AO20" s="1"/>
  <c r="AM11" i="31"/>
  <c r="AI11"/>
  <c r="AE8"/>
  <c r="AG11"/>
  <c r="AO11" s="1"/>
  <c r="AM34" i="29"/>
  <c r="AI34"/>
  <c r="AC9" i="30"/>
  <c r="AD9"/>
  <c r="AF8"/>
  <c r="AN8" s="1"/>
  <c r="AJ9"/>
  <c r="AJ8" s="1"/>
  <c r="AJ28" s="1"/>
  <c r="AN9"/>
  <c r="AD38" i="29"/>
  <c r="AH39"/>
  <c r="AM15" i="31"/>
  <c r="AI15"/>
  <c r="AG15"/>
  <c r="AO15" s="1"/>
  <c r="AH33" i="28"/>
  <c r="AH31"/>
  <c r="AI30"/>
  <c r="AM30"/>
  <c r="AJ29"/>
  <c r="AN29"/>
  <c r="AH25"/>
  <c r="AG23"/>
  <c r="AO23" s="1"/>
  <c r="AH23"/>
  <c r="AH19"/>
  <c r="AH18"/>
  <c r="AE19" i="31"/>
  <c r="AM19" s="1"/>
  <c r="AJ29" i="29"/>
  <c r="AC35" i="23"/>
  <c r="AD35"/>
  <c r="AF100" i="7"/>
  <c r="AN100" s="1"/>
  <c r="AA36" i="23"/>
  <c r="AC36" s="1"/>
  <c r="AD37"/>
  <c r="AF102" i="7"/>
  <c r="AJ102" s="1"/>
  <c r="AA38" i="23"/>
  <c r="AC38" s="1"/>
  <c r="AD59"/>
  <c r="AF112" i="7"/>
  <c r="AN112" s="1"/>
  <c r="AA60" i="23"/>
  <c r="Z76"/>
  <c r="Z29" i="34" s="1"/>
  <c r="AC77" i="23"/>
  <c r="AD77"/>
  <c r="Z63"/>
  <c r="Z27" i="34" s="1"/>
  <c r="AC64" i="23"/>
  <c r="AD64"/>
  <c r="AA40"/>
  <c r="AA21" i="34" s="1"/>
  <c r="AE21" s="1"/>
  <c r="AE41" i="23"/>
  <c r="AA76"/>
  <c r="AA29" i="34" s="1"/>
  <c r="AE29" s="1"/>
  <c r="AE77" i="23"/>
  <c r="AA69"/>
  <c r="AA28" i="34" s="1"/>
  <c r="AE28" s="1"/>
  <c r="AE70" i="23"/>
  <c r="AA63"/>
  <c r="AA27" i="34" s="1"/>
  <c r="AE27" s="1"/>
  <c r="AE64" i="23"/>
  <c r="AG42"/>
  <c r="AO42" s="1"/>
  <c r="AH42"/>
  <c r="AK42" s="1"/>
  <c r="AG82"/>
  <c r="AO82" s="1"/>
  <c r="AH82"/>
  <c r="AI81"/>
  <c r="AH80"/>
  <c r="AG78"/>
  <c r="AO78" s="1"/>
  <c r="AH78"/>
  <c r="AK78" s="1"/>
  <c r="AG74"/>
  <c r="AO74" s="1"/>
  <c r="AH74"/>
  <c r="AM73"/>
  <c r="AH72"/>
  <c r="AG65"/>
  <c r="AH65"/>
  <c r="AK65" s="1"/>
  <c r="AI66"/>
  <c r="AH61"/>
  <c r="AI110"/>
  <c r="AK110" s="1"/>
  <c r="AM110"/>
  <c r="AG110"/>
  <c r="AO110" s="1"/>
  <c r="AG93"/>
  <c r="AD92"/>
  <c r="AH93"/>
  <c r="AD49"/>
  <c r="AH50"/>
  <c r="AI114"/>
  <c r="AK114" s="1"/>
  <c r="AM114"/>
  <c r="AG114"/>
  <c r="AO114" s="1"/>
  <c r="AF40"/>
  <c r="AN40" s="1"/>
  <c r="AJ41"/>
  <c r="AJ40" s="1"/>
  <c r="AN41"/>
  <c r="AI82"/>
  <c r="AH81"/>
  <c r="AG79"/>
  <c r="AO79" s="1"/>
  <c r="AH79"/>
  <c r="AF76"/>
  <c r="AN76" s="1"/>
  <c r="AN77"/>
  <c r="AJ77"/>
  <c r="AJ76" s="1"/>
  <c r="AH73"/>
  <c r="AG71"/>
  <c r="AO71" s="1"/>
  <c r="AH71"/>
  <c r="AK71" s="1"/>
  <c r="AH67"/>
  <c r="AH66"/>
  <c r="AK53"/>
  <c r="AC44"/>
  <c r="AC107"/>
  <c r="AD36"/>
  <c r="AF101" i="7"/>
  <c r="AJ101" s="1"/>
  <c r="AA37" i="23"/>
  <c r="AD38"/>
  <c r="AC58"/>
  <c r="AD58"/>
  <c r="AF111" i="7"/>
  <c r="AJ111" s="1"/>
  <c r="AA59" i="23"/>
  <c r="AD60"/>
  <c r="AG112" i="7"/>
  <c r="AK112" s="1"/>
  <c r="AB60" i="23"/>
  <c r="Z40"/>
  <c r="Z21" i="34" s="1"/>
  <c r="AC41" i="23"/>
  <c r="AC40" s="1"/>
  <c r="AD41"/>
  <c r="AB69"/>
  <c r="AB28" i="34" s="1"/>
  <c r="AF28" s="1"/>
  <c r="AF70" i="23"/>
  <c r="Z69"/>
  <c r="Z28" i="34" s="1"/>
  <c r="AC70" i="23"/>
  <c r="AD70"/>
  <c r="AB63"/>
  <c r="AB27" i="34" s="1"/>
  <c r="AF27" s="1"/>
  <c r="AF64" i="23"/>
  <c r="AG113" i="7"/>
  <c r="AB61" i="23"/>
  <c r="AH129"/>
  <c r="AH118"/>
  <c r="AM25"/>
  <c r="AI25"/>
  <c r="AG25"/>
  <c r="AH134"/>
  <c r="AE49"/>
  <c r="AM49" s="1"/>
  <c r="AM50"/>
  <c r="AI50"/>
  <c r="AD85"/>
  <c r="AF92"/>
  <c r="AN92" s="1"/>
  <c r="AJ93"/>
  <c r="AJ92" s="1"/>
  <c r="AN93"/>
  <c r="AD44"/>
  <c r="AH45"/>
  <c r="AE92"/>
  <c r="AM92" s="1"/>
  <c r="AM93"/>
  <c r="AI93"/>
  <c r="AG108"/>
  <c r="AD107"/>
  <c r="AH108"/>
  <c r="AC82"/>
  <c r="AC80"/>
  <c r="AE107"/>
  <c r="AC92"/>
  <c r="AC81"/>
  <c r="AC79"/>
  <c r="AB76"/>
  <c r="AB29" i="34" s="1"/>
  <c r="AF29" s="1"/>
  <c r="AC73" i="23"/>
  <c r="AC67"/>
  <c r="AC66"/>
  <c r="AJ164" i="7"/>
  <c r="AI164" s="1"/>
  <c r="AN164"/>
  <c r="AK213"/>
  <c r="AO213"/>
  <c r="AO218"/>
  <c r="AJ129"/>
  <c r="AN129"/>
  <c r="AJ116"/>
  <c r="AN116"/>
  <c r="AJ206"/>
  <c r="AN206"/>
  <c r="AB312"/>
  <c r="AC312"/>
  <c r="AG121"/>
  <c r="AG311" s="1"/>
  <c r="AC66" i="14"/>
  <c r="AI44"/>
  <c r="AE9"/>
  <c r="AD315" i="7"/>
  <c r="AL177"/>
  <c r="AH123"/>
  <c r="AB66" i="14"/>
  <c r="AH206" i="7"/>
  <c r="AH196"/>
  <c r="AD191"/>
  <c r="AE191"/>
  <c r="AA188"/>
  <c r="Z34" i="23" s="1"/>
  <c r="Z23" i="29" s="1"/>
  <c r="AG191" i="7"/>
  <c r="AC188"/>
  <c r="AB34" i="23" s="1"/>
  <c r="AB23" i="29" s="1"/>
  <c r="AF23" s="1"/>
  <c r="AD99" i="7"/>
  <c r="AA98"/>
  <c r="Z22" i="29" s="1"/>
  <c r="Z43" s="1"/>
  <c r="AE99" i="7"/>
  <c r="AI99" s="1"/>
  <c r="AC98"/>
  <c r="AB22" i="29" s="1"/>
  <c r="AG99" i="7"/>
  <c r="AF201"/>
  <c r="AB198"/>
  <c r="AA57" i="23" s="1"/>
  <c r="AA9" i="28" s="1"/>
  <c r="AF110" i="7"/>
  <c r="AJ110" s="1"/>
  <c r="AE112"/>
  <c r="AD112"/>
  <c r="AB318"/>
  <c r="AF158"/>
  <c r="AD158"/>
  <c r="AD318" s="1"/>
  <c r="AH233"/>
  <c r="AP233" s="1"/>
  <c r="AI233"/>
  <c r="AG315"/>
  <c r="AK140"/>
  <c r="AF316"/>
  <c r="AE316" s="1"/>
  <c r="AJ146"/>
  <c r="AH129"/>
  <c r="AI129"/>
  <c r="AE213"/>
  <c r="AD213"/>
  <c r="AH126"/>
  <c r="AI126"/>
  <c r="AK208"/>
  <c r="AC310"/>
  <c r="AG115"/>
  <c r="AH116"/>
  <c r="AI116"/>
  <c r="AB308"/>
  <c r="AF104"/>
  <c r="AN104" s="1"/>
  <c r="AD193"/>
  <c r="AE193"/>
  <c r="AI113"/>
  <c r="AJ218"/>
  <c r="AH228"/>
  <c r="AP228" s="1"/>
  <c r="AI228"/>
  <c r="AK228"/>
  <c r="AG316"/>
  <c r="AK146"/>
  <c r="AK218"/>
  <c r="AE313"/>
  <c r="AH131"/>
  <c r="AP131" s="1"/>
  <c r="AI131"/>
  <c r="AG313"/>
  <c r="AK131"/>
  <c r="AJ228"/>
  <c r="AH321"/>
  <c r="AF213"/>
  <c r="AB311"/>
  <c r="AF121"/>
  <c r="AF208"/>
  <c r="AN208" s="1"/>
  <c r="AB310"/>
  <c r="AF115"/>
  <c r="AN115" s="1"/>
  <c r="AF203"/>
  <c r="AG104"/>
  <c r="AC308"/>
  <c r="AH105"/>
  <c r="AI105"/>
  <c r="AF193"/>
  <c r="AN193" s="1"/>
  <c r="AB113"/>
  <c r="AA66" i="14"/>
  <c r="AL238" i="7"/>
  <c r="BH238" s="1"/>
  <c r="AD316"/>
  <c r="AJ319"/>
  <c r="AJ321"/>
  <c r="AI321" s="1"/>
  <c r="AF191"/>
  <c r="AB188"/>
  <c r="AA34" i="23" s="1"/>
  <c r="AA23" i="29" s="1"/>
  <c r="AE23" s="1"/>
  <c r="AF99" i="7"/>
  <c r="AN99" s="1"/>
  <c r="AB98"/>
  <c r="AA22" i="29" s="1"/>
  <c r="AD100" i="7"/>
  <c r="AE100"/>
  <c r="AI100" s="1"/>
  <c r="AE101"/>
  <c r="AI101" s="1"/>
  <c r="AD101"/>
  <c r="AD102"/>
  <c r="AE102"/>
  <c r="AI102" s="1"/>
  <c r="AD201"/>
  <c r="AE201"/>
  <c r="AI201" s="1"/>
  <c r="AA198"/>
  <c r="Z57" i="23" s="1"/>
  <c r="Z9" i="28" s="1"/>
  <c r="AG201" i="7"/>
  <c r="AC198"/>
  <c r="AB57" i="23" s="1"/>
  <c r="AB9" i="28" s="1"/>
  <c r="AE110" i="7"/>
  <c r="AA109"/>
  <c r="AD110"/>
  <c r="AG110"/>
  <c r="AC109"/>
  <c r="AD111"/>
  <c r="AE111"/>
  <c r="AI111" s="1"/>
  <c r="AF313"/>
  <c r="AJ131"/>
  <c r="AK135"/>
  <c r="AK233"/>
  <c r="AI292"/>
  <c r="AI140"/>
  <c r="AH140"/>
  <c r="AP140" s="1"/>
  <c r="AJ233"/>
  <c r="AJ89"/>
  <c r="AH243"/>
  <c r="AP243" s="1"/>
  <c r="AI243"/>
  <c r="AA312"/>
  <c r="AD128"/>
  <c r="AA311"/>
  <c r="AD121"/>
  <c r="AE121"/>
  <c r="AD208"/>
  <c r="AE208"/>
  <c r="AA310"/>
  <c r="AD115"/>
  <c r="AE115"/>
  <c r="AG203"/>
  <c r="AE203"/>
  <c r="AD203"/>
  <c r="AG193"/>
  <c r="AO193" s="1"/>
  <c r="AH135"/>
  <c r="AP135" s="1"/>
  <c r="AI135"/>
  <c r="AF315"/>
  <c r="AE315" s="1"/>
  <c r="AJ140"/>
  <c r="AH146"/>
  <c r="AP146" s="1"/>
  <c r="AI146"/>
  <c r="AI322"/>
  <c r="AL248"/>
  <c r="BH248" s="1"/>
  <c r="AH218"/>
  <c r="AP218" s="1"/>
  <c r="AI218"/>
  <c r="AF314"/>
  <c r="AE314" s="1"/>
  <c r="AJ135"/>
  <c r="AL258"/>
  <c r="AE319"/>
  <c r="AI168"/>
  <c r="AI319" s="1"/>
  <c r="AH125"/>
  <c r="AI125"/>
  <c r="AH124"/>
  <c r="AI124"/>
  <c r="AA308"/>
  <c r="AD104"/>
  <c r="AE104"/>
  <c r="AE318"/>
  <c r="AD313"/>
  <c r="AI206"/>
  <c r="AO130" i="23" l="1"/>
  <c r="AI45"/>
  <c r="AI44" s="1"/>
  <c r="AN86"/>
  <c r="AD84"/>
  <c r="AG101"/>
  <c r="AO101" s="1"/>
  <c r="AG118"/>
  <c r="AO118" s="1"/>
  <c r="AI72"/>
  <c r="AK72" s="1"/>
  <c r="AM74"/>
  <c r="AI80"/>
  <c r="AK80" s="1"/>
  <c r="AG81"/>
  <c r="AO81" s="1"/>
  <c r="AF85"/>
  <c r="AN85" s="1"/>
  <c r="AM67"/>
  <c r="AG72"/>
  <c r="AO72" s="1"/>
  <c r="AM79"/>
  <c r="AG80"/>
  <c r="AO80" s="1"/>
  <c r="AJ29" i="34"/>
  <c r="AN29"/>
  <c r="AC28"/>
  <c r="AD28"/>
  <c r="AJ28"/>
  <c r="AN28"/>
  <c r="AC27"/>
  <c r="AD27"/>
  <c r="AI22"/>
  <c r="AM22"/>
  <c r="AE37"/>
  <c r="AG37" s="1"/>
  <c r="AO37" s="1"/>
  <c r="AA31"/>
  <c r="AE31" s="1"/>
  <c r="AE32"/>
  <c r="AB31"/>
  <c r="AF31" s="1"/>
  <c r="AF32"/>
  <c r="AG38"/>
  <c r="AO38" s="1"/>
  <c r="AH38"/>
  <c r="AK38" s="1"/>
  <c r="AJ27"/>
  <c r="AN27"/>
  <c r="AC21"/>
  <c r="AD21"/>
  <c r="AM27"/>
  <c r="AI27"/>
  <c r="AI28"/>
  <c r="AM28"/>
  <c r="AI29"/>
  <c r="AM29"/>
  <c r="AI21"/>
  <c r="AM21"/>
  <c r="AC29"/>
  <c r="AD29"/>
  <c r="AD31"/>
  <c r="AC32"/>
  <c r="AD32"/>
  <c r="AH23"/>
  <c r="AG40"/>
  <c r="AO40" s="1"/>
  <c r="AH40"/>
  <c r="AK40" s="1"/>
  <c r="AG34"/>
  <c r="AO34" s="1"/>
  <c r="AH34"/>
  <c r="AK34" s="1"/>
  <c r="AH37"/>
  <c r="AG22"/>
  <c r="AO22" s="1"/>
  <c r="AH22"/>
  <c r="AG33"/>
  <c r="AO33" s="1"/>
  <c r="AH33"/>
  <c r="AK33" s="1"/>
  <c r="AC37"/>
  <c r="AC22"/>
  <c r="AN101" i="7"/>
  <c r="AC15" i="30"/>
  <c r="AI107" i="23"/>
  <c r="AG66"/>
  <c r="AO66" s="1"/>
  <c r="AG67"/>
  <c r="AO67" s="1"/>
  <c r="AG73"/>
  <c r="AO73" s="1"/>
  <c r="AK81"/>
  <c r="AI30" i="31"/>
  <c r="AI24" i="30"/>
  <c r="AC33" i="29"/>
  <c r="AK130" i="23"/>
  <c r="AK129" s="1"/>
  <c r="AP129" s="1"/>
  <c r="AM86"/>
  <c r="AE44"/>
  <c r="AM44" s="1"/>
  <c r="AK119"/>
  <c r="AK118" s="1"/>
  <c r="AP118" s="1"/>
  <c r="AJ45"/>
  <c r="AJ44" s="1"/>
  <c r="Z84"/>
  <c r="Z30" i="30" s="1"/>
  <c r="AK79" i="23"/>
  <c r="AB84"/>
  <c r="AA84"/>
  <c r="AA30" i="30" s="1"/>
  <c r="AI92" i="23"/>
  <c r="AI84" s="1"/>
  <c r="AE85"/>
  <c r="AM85" s="1"/>
  <c r="AG86"/>
  <c r="AO86" s="1"/>
  <c r="AI35"/>
  <c r="AI49"/>
  <c r="AC60"/>
  <c r="AK67"/>
  <c r="AK73"/>
  <c r="AF44"/>
  <c r="AN44" s="1"/>
  <c r="AK102"/>
  <c r="AK101" s="1"/>
  <c r="AP101" s="1"/>
  <c r="AK23" i="28"/>
  <c r="AJ28"/>
  <c r="AB30" i="30"/>
  <c r="AD312" i="7"/>
  <c r="AJ112"/>
  <c r="AJ100"/>
  <c r="AG45" i="23"/>
  <c r="AG44" s="1"/>
  <c r="AO44" s="1"/>
  <c r="AK66"/>
  <c r="AF28" i="28"/>
  <c r="AN28" s="1"/>
  <c r="AK15" i="31"/>
  <c r="AC8" i="30"/>
  <c r="AA21" i="28"/>
  <c r="AA28"/>
  <c r="AF9"/>
  <c r="Z8"/>
  <c r="Z35" s="1"/>
  <c r="AC9"/>
  <c r="AD9"/>
  <c r="AE9"/>
  <c r="AF22" i="29"/>
  <c r="AJ23"/>
  <c r="AJ22" s="1"/>
  <c r="AN23"/>
  <c r="AC23"/>
  <c r="AD23"/>
  <c r="AG23" s="1"/>
  <c r="AE38" i="23"/>
  <c r="AI38" s="1"/>
  <c r="AA27" i="29"/>
  <c r="AG9" i="30"/>
  <c r="AD8"/>
  <c r="AD28" s="1"/>
  <c r="AD30" s="1"/>
  <c r="AH9"/>
  <c r="AI8" i="31"/>
  <c r="AK11"/>
  <c r="AI14" i="29"/>
  <c r="AK14" s="1"/>
  <c r="AM14"/>
  <c r="AG14"/>
  <c r="AO14" s="1"/>
  <c r="AG13" i="30"/>
  <c r="AO13" s="1"/>
  <c r="AI13"/>
  <c r="AK13" s="1"/>
  <c r="AM13"/>
  <c r="AE26" i="28"/>
  <c r="AC26"/>
  <c r="AE32"/>
  <c r="AC32"/>
  <c r="AE18"/>
  <c r="AC18"/>
  <c r="AE19"/>
  <c r="AC19"/>
  <c r="AE25"/>
  <c r="AC25"/>
  <c r="AE31"/>
  <c r="AC31"/>
  <c r="AE15"/>
  <c r="AM15" s="1"/>
  <c r="AI16"/>
  <c r="AM16"/>
  <c r="AM22"/>
  <c r="AI22"/>
  <c r="AI29"/>
  <c r="AM29"/>
  <c r="AD28"/>
  <c r="AG29"/>
  <c r="AH29"/>
  <c r="AK9" i="31"/>
  <c r="AH8"/>
  <c r="AG8"/>
  <c r="AO9"/>
  <c r="AN8"/>
  <c r="AK20"/>
  <c r="AK19" s="1"/>
  <c r="AH19"/>
  <c r="AG30"/>
  <c r="AO30" s="1"/>
  <c r="AO31"/>
  <c r="AE24" i="28"/>
  <c r="AC24"/>
  <c r="AE34"/>
  <c r="AC34"/>
  <c r="AE33"/>
  <c r="AC33"/>
  <c r="AF15"/>
  <c r="AN15" s="1"/>
  <c r="AJ16"/>
  <c r="AJ15" s="1"/>
  <c r="AN16"/>
  <c r="AG22"/>
  <c r="AD21"/>
  <c r="AH22"/>
  <c r="AC24" i="29"/>
  <c r="AB28" i="28"/>
  <c r="AF28" i="30"/>
  <c r="AC10" i="28"/>
  <c r="AM23" i="29"/>
  <c r="AI23"/>
  <c r="AF61" i="23"/>
  <c r="AJ61" s="1"/>
  <c r="AB13" i="28"/>
  <c r="AF13" s="1"/>
  <c r="AJ13" s="1"/>
  <c r="AF60" i="23"/>
  <c r="AJ60" s="1"/>
  <c r="AB12" i="28"/>
  <c r="AF12" s="1"/>
  <c r="AJ12" s="1"/>
  <c r="AE59" i="23"/>
  <c r="AI59" s="1"/>
  <c r="AA11" i="28"/>
  <c r="AE37" i="23"/>
  <c r="AM37" s="1"/>
  <c r="AA26" i="29"/>
  <c r="AE60" i="23"/>
  <c r="AG60" s="1"/>
  <c r="AO60" s="1"/>
  <c r="AA12" i="28"/>
  <c r="AE36" i="23"/>
  <c r="AG36" s="1"/>
  <c r="AO36" s="1"/>
  <c r="AA25" i="29"/>
  <c r="AH38"/>
  <c r="AO34"/>
  <c r="AM8" i="31"/>
  <c r="AH24" i="30"/>
  <c r="AK25"/>
  <c r="AK24" s="1"/>
  <c r="AG24"/>
  <c r="AO25"/>
  <c r="AG16" i="28"/>
  <c r="AD15"/>
  <c r="AH16"/>
  <c r="AG10"/>
  <c r="AI10"/>
  <c r="AK10" s="1"/>
  <c r="AD33" i="29"/>
  <c r="AH34"/>
  <c r="AK16" i="30"/>
  <c r="AH15"/>
  <c r="AO16"/>
  <c r="AM19"/>
  <c r="AI19"/>
  <c r="AK19" s="1"/>
  <c r="AG19"/>
  <c r="AO19" s="1"/>
  <c r="AG11"/>
  <c r="AO11" s="1"/>
  <c r="AI11"/>
  <c r="AK11" s="1"/>
  <c r="AM11"/>
  <c r="AG12"/>
  <c r="AO12" s="1"/>
  <c r="AI12"/>
  <c r="AK12" s="1"/>
  <c r="AM12"/>
  <c r="AG41" i="29"/>
  <c r="AO41" s="1"/>
  <c r="AM41"/>
  <c r="AI41"/>
  <c r="AE38"/>
  <c r="AM38" s="1"/>
  <c r="AG36"/>
  <c r="AO36" s="1"/>
  <c r="AM36"/>
  <c r="AI36"/>
  <c r="AK36" s="1"/>
  <c r="AG18" i="30"/>
  <c r="AO18" s="1"/>
  <c r="AI18"/>
  <c r="AM18"/>
  <c r="AE15"/>
  <c r="AG42" i="29"/>
  <c r="AO42" s="1"/>
  <c r="AM42"/>
  <c r="AI42"/>
  <c r="AK42" s="1"/>
  <c r="AG19" i="31"/>
  <c r="AO19" s="1"/>
  <c r="AO20"/>
  <c r="AK31"/>
  <c r="AK30" s="1"/>
  <c r="AH30"/>
  <c r="AF21" i="28"/>
  <c r="AN21" s="1"/>
  <c r="AJ22"/>
  <c r="AJ21" s="1"/>
  <c r="AN22"/>
  <c r="AD29" i="29"/>
  <c r="AG30"/>
  <c r="AH30"/>
  <c r="AG24"/>
  <c r="AO24" s="1"/>
  <c r="AM24"/>
  <c r="AI24"/>
  <c r="AK24" s="1"/>
  <c r="AK30" i="28"/>
  <c r="AI19" i="31"/>
  <c r="AC15" i="28"/>
  <c r="AE8" i="30"/>
  <c r="AM8" s="1"/>
  <c r="AA33" i="23"/>
  <c r="AE34"/>
  <c r="AM107"/>
  <c r="AH44"/>
  <c r="AK86"/>
  <c r="AK85" s="1"/>
  <c r="AP85" s="1"/>
  <c r="AH85"/>
  <c r="AO25"/>
  <c r="AF69"/>
  <c r="AN69" s="1"/>
  <c r="AJ70"/>
  <c r="AJ69" s="1"/>
  <c r="AN70"/>
  <c r="AG41"/>
  <c r="AD40"/>
  <c r="AH41"/>
  <c r="AH49"/>
  <c r="AK93"/>
  <c r="AK92" s="1"/>
  <c r="AP92" s="1"/>
  <c r="AH92"/>
  <c r="AG92"/>
  <c r="AO92" s="1"/>
  <c r="AO93"/>
  <c r="AG77"/>
  <c r="AD76"/>
  <c r="AH77"/>
  <c r="AC69"/>
  <c r="AJ84"/>
  <c r="AJ30" i="30" s="1"/>
  <c r="AC63" i="23"/>
  <c r="AC59"/>
  <c r="AC37"/>
  <c r="AB56"/>
  <c r="AF57"/>
  <c r="Z56"/>
  <c r="AC57"/>
  <c r="AD57"/>
  <c r="AB109" i="7"/>
  <c r="AF109" s="1"/>
  <c r="AN109" s="1"/>
  <c r="AA61" i="23"/>
  <c r="AA13" i="28" s="1"/>
  <c r="AE57" i="23"/>
  <c r="AB33"/>
  <c r="AB20" i="34" s="1"/>
  <c r="AF20" s="1"/>
  <c r="AF34" i="23"/>
  <c r="Z33"/>
  <c r="AC34"/>
  <c r="AC33" s="1"/>
  <c r="AD34"/>
  <c r="AK108"/>
  <c r="AK107" s="1"/>
  <c r="AH107"/>
  <c r="AG107"/>
  <c r="AO108"/>
  <c r="AK25"/>
  <c r="AF63"/>
  <c r="AN63" s="1"/>
  <c r="AN64"/>
  <c r="AJ64"/>
  <c r="AJ63" s="1"/>
  <c r="AG70"/>
  <c r="AD69"/>
  <c r="AH70"/>
  <c r="AH60"/>
  <c r="AG58"/>
  <c r="AH58"/>
  <c r="AK58" s="1"/>
  <c r="AH38"/>
  <c r="AH36"/>
  <c r="AE63"/>
  <c r="AM63" s="1"/>
  <c r="AI64"/>
  <c r="AI63" s="1"/>
  <c r="AM64"/>
  <c r="AE69"/>
  <c r="AM69" s="1"/>
  <c r="AI70"/>
  <c r="AM70"/>
  <c r="AE76"/>
  <c r="AM76" s="1"/>
  <c r="AI77"/>
  <c r="AM77"/>
  <c r="AE40"/>
  <c r="AM40" s="1"/>
  <c r="AM41"/>
  <c r="AI41"/>
  <c r="AI40" s="1"/>
  <c r="AG64"/>
  <c r="AD63"/>
  <c r="AH64"/>
  <c r="AH59"/>
  <c r="AH37"/>
  <c r="AG35"/>
  <c r="AO35" s="1"/>
  <c r="AH35"/>
  <c r="AC84"/>
  <c r="AK74"/>
  <c r="AK82"/>
  <c r="AC76"/>
  <c r="AO203" i="7"/>
  <c r="AJ191"/>
  <c r="AN191"/>
  <c r="AN203"/>
  <c r="AN121"/>
  <c r="AJ213"/>
  <c r="AN213"/>
  <c r="AN158"/>
  <c r="AJ201"/>
  <c r="AN201"/>
  <c r="AI112"/>
  <c r="AH112" s="1"/>
  <c r="AP112" s="1"/>
  <c r="AK121"/>
  <c r="AK311" s="1"/>
  <c r="AK313"/>
  <c r="AI9" i="14"/>
  <c r="BH258" i="7"/>
  <c r="AD308"/>
  <c r="AJ315"/>
  <c r="AJ313"/>
  <c r="AI191"/>
  <c r="AD66" i="14"/>
  <c r="AL321" i="7"/>
  <c r="AH104"/>
  <c r="AP104" s="1"/>
  <c r="AI104"/>
  <c r="AI316"/>
  <c r="AL146"/>
  <c r="AH203"/>
  <c r="AP203" s="1"/>
  <c r="AI203"/>
  <c r="AK203"/>
  <c r="AH208"/>
  <c r="AP208" s="1"/>
  <c r="AI208"/>
  <c r="AH121"/>
  <c r="AP121" s="1"/>
  <c r="AI121"/>
  <c r="AL243"/>
  <c r="BH243" s="1"/>
  <c r="AH315"/>
  <c r="AC309"/>
  <c r="AG109"/>
  <c r="AH110"/>
  <c r="AI110"/>
  <c r="AF98"/>
  <c r="AN98" s="1"/>
  <c r="AF188"/>
  <c r="AF310"/>
  <c r="AJ115"/>
  <c r="AF311"/>
  <c r="AE311" s="1"/>
  <c r="AJ121"/>
  <c r="AI313"/>
  <c r="AH313" s="1"/>
  <c r="AL131"/>
  <c r="AL228"/>
  <c r="BH228" s="1"/>
  <c r="AI213"/>
  <c r="AH213"/>
  <c r="AP213" s="1"/>
  <c r="AF198"/>
  <c r="AD310"/>
  <c r="AH201"/>
  <c r="AI318"/>
  <c r="AJ316"/>
  <c r="AK315"/>
  <c r="AH99"/>
  <c r="AH191"/>
  <c r="AL218"/>
  <c r="BH218" s="1"/>
  <c r="AH316"/>
  <c r="AL135"/>
  <c r="AK193"/>
  <c r="AE310"/>
  <c r="AH115"/>
  <c r="AP115" s="1"/>
  <c r="AI115"/>
  <c r="AI315"/>
  <c r="AL140"/>
  <c r="AA309"/>
  <c r="AE109"/>
  <c r="AG198"/>
  <c r="AE198"/>
  <c r="AD198"/>
  <c r="AJ99"/>
  <c r="AF113"/>
  <c r="AD113"/>
  <c r="AJ193"/>
  <c r="AG308"/>
  <c r="AK104"/>
  <c r="AJ203"/>
  <c r="AJ208"/>
  <c r="AH193"/>
  <c r="AP193" s="1"/>
  <c r="AI193"/>
  <c r="AF308"/>
  <c r="AE308" s="1"/>
  <c r="AJ104"/>
  <c r="AG310"/>
  <c r="AK115"/>
  <c r="AL233"/>
  <c r="AF318"/>
  <c r="AJ158"/>
  <c r="AE98"/>
  <c r="AD98"/>
  <c r="AG188"/>
  <c r="AD188"/>
  <c r="AE188"/>
  <c r="AD311"/>
  <c r="AK316"/>
  <c r="AI147" i="1"/>
  <c r="AH82" i="22" s="1"/>
  <c r="AH34" i="25" s="1"/>
  <c r="AK34" s="1"/>
  <c r="AF84" i="23" l="1"/>
  <c r="AF30" i="30" s="1"/>
  <c r="AC21" i="28"/>
  <c r="AI69" i="23"/>
  <c r="AI36"/>
  <c r="AG37"/>
  <c r="AO37" s="1"/>
  <c r="AG59"/>
  <c r="AI76"/>
  <c r="AE84"/>
  <c r="AC28" i="28"/>
  <c r="AL315" i="7"/>
  <c r="AN315" s="1"/>
  <c r="AI37" i="23"/>
  <c r="AK37" s="1"/>
  <c r="AK22" i="34"/>
  <c r="AM60" i="23"/>
  <c r="AK38"/>
  <c r="AC28" i="30"/>
  <c r="AC30" s="1"/>
  <c r="AG32" i="34"/>
  <c r="AO32" s="1"/>
  <c r="AH32"/>
  <c r="AG31"/>
  <c r="AO31" s="1"/>
  <c r="AH31"/>
  <c r="AG29"/>
  <c r="AO29" s="1"/>
  <c r="AH29"/>
  <c r="AK29" s="1"/>
  <c r="AG21"/>
  <c r="AO21" s="1"/>
  <c r="AH21"/>
  <c r="AK21" s="1"/>
  <c r="AJ31"/>
  <c r="AN31"/>
  <c r="AI31"/>
  <c r="AM31"/>
  <c r="AJ20"/>
  <c r="AN20"/>
  <c r="AJ32"/>
  <c r="AN32"/>
  <c r="AI32"/>
  <c r="AM32"/>
  <c r="AI37"/>
  <c r="AM37"/>
  <c r="AG27"/>
  <c r="AO27" s="1"/>
  <c r="AH27"/>
  <c r="AK27" s="1"/>
  <c r="AG28"/>
  <c r="AO28" s="1"/>
  <c r="AH28"/>
  <c r="AK28" s="1"/>
  <c r="AK37"/>
  <c r="AC31"/>
  <c r="AK45" i="23"/>
  <c r="AK44" s="1"/>
  <c r="AP44" s="1"/>
  <c r="AG85"/>
  <c r="AO85" s="1"/>
  <c r="AK35"/>
  <c r="AM36"/>
  <c r="AK59"/>
  <c r="AI60"/>
  <c r="AK60" s="1"/>
  <c r="AG38"/>
  <c r="AK8" i="31"/>
  <c r="AO45" i="23"/>
  <c r="AK310" i="7"/>
  <c r="AB309"/>
  <c r="AN28" i="30"/>
  <c r="Z18" i="23"/>
  <c r="Z45" i="29" s="1"/>
  <c r="Z20" i="34"/>
  <c r="Z55" i="23"/>
  <c r="Z37" i="28" s="1"/>
  <c r="Z26" i="34"/>
  <c r="AB55" i="23"/>
  <c r="AB26" i="34"/>
  <c r="AA20"/>
  <c r="AP107" i="23"/>
  <c r="AD109" i="7"/>
  <c r="AD309" s="1"/>
  <c r="AI8" i="30"/>
  <c r="AA8" i="28"/>
  <c r="AA35" s="1"/>
  <c r="AL112" i="7"/>
  <c r="BH112" s="1"/>
  <c r="AE13" i="28"/>
  <c r="AC13"/>
  <c r="AG29" i="29"/>
  <c r="AO29" s="1"/>
  <c r="AO30"/>
  <c r="AM15" i="30"/>
  <c r="AE28"/>
  <c r="AK18"/>
  <c r="AK15" s="1"/>
  <c r="AI15"/>
  <c r="AI28" s="1"/>
  <c r="AI30" s="1"/>
  <c r="AK41" i="29"/>
  <c r="AI38"/>
  <c r="AK34"/>
  <c r="AK33" s="1"/>
  <c r="AH33"/>
  <c r="AH15" i="28"/>
  <c r="AK16"/>
  <c r="AO16"/>
  <c r="AO24" i="30"/>
  <c r="AO23" i="29"/>
  <c r="AI33" i="28"/>
  <c r="AK33" s="1"/>
  <c r="AM33"/>
  <c r="AG33"/>
  <c r="AO33" s="1"/>
  <c r="AM34"/>
  <c r="AI34"/>
  <c r="AK34" s="1"/>
  <c r="AG34"/>
  <c r="AO34" s="1"/>
  <c r="AM24"/>
  <c r="AI24"/>
  <c r="AK24" s="1"/>
  <c r="AG24"/>
  <c r="AO24" s="1"/>
  <c r="AO8" i="31"/>
  <c r="AO29" i="28"/>
  <c r="AM31"/>
  <c r="AI31"/>
  <c r="AK31" s="1"/>
  <c r="AG31"/>
  <c r="AO31" s="1"/>
  <c r="AM25"/>
  <c r="AI25"/>
  <c r="AK25" s="1"/>
  <c r="AG25"/>
  <c r="AO25" s="1"/>
  <c r="AI19"/>
  <c r="AK19" s="1"/>
  <c r="AM19"/>
  <c r="AG19"/>
  <c r="AO19" s="1"/>
  <c r="AI18"/>
  <c r="AK18" s="1"/>
  <c r="AM18"/>
  <c r="AG18"/>
  <c r="AO18" s="1"/>
  <c r="AM32"/>
  <c r="AI32"/>
  <c r="AK32" s="1"/>
  <c r="AG32"/>
  <c r="AO32" s="1"/>
  <c r="AI26"/>
  <c r="AK26" s="1"/>
  <c r="AM26"/>
  <c r="AG26"/>
  <c r="AO26" s="1"/>
  <c r="AE27" i="29"/>
  <c r="AC27"/>
  <c r="AD22"/>
  <c r="AD43" s="1"/>
  <c r="AH23"/>
  <c r="AN22"/>
  <c r="AF8" i="28"/>
  <c r="AJ9"/>
  <c r="AJ8" s="1"/>
  <c r="AJ35" s="1"/>
  <c r="AN9"/>
  <c r="AG33" i="29"/>
  <c r="AO33" s="1"/>
  <c r="AI33"/>
  <c r="AE28" i="28"/>
  <c r="AM28" s="1"/>
  <c r="AL34" i="25"/>
  <c r="AO34" s="1"/>
  <c r="AH28"/>
  <c r="AK28" s="1"/>
  <c r="AH29" i="29"/>
  <c r="AK30"/>
  <c r="AK29" s="1"/>
  <c r="AE25"/>
  <c r="AC25"/>
  <c r="AE12" i="28"/>
  <c r="AC12"/>
  <c r="AE26" i="29"/>
  <c r="AC26"/>
  <c r="AE11" i="28"/>
  <c r="AC11"/>
  <c r="AK22"/>
  <c r="AH21"/>
  <c r="AO22"/>
  <c r="AK29"/>
  <c r="AH28"/>
  <c r="AH8" i="30"/>
  <c r="AH28" s="1"/>
  <c r="AK9"/>
  <c r="AK8" s="1"/>
  <c r="AG8"/>
  <c r="AO8" s="1"/>
  <c r="AO9"/>
  <c r="AI9" i="28"/>
  <c r="AM9"/>
  <c r="AG9"/>
  <c r="AD8"/>
  <c r="AD35" s="1"/>
  <c r="AH9"/>
  <c r="AA56" i="23"/>
  <c r="AG15" i="30"/>
  <c r="AO15" s="1"/>
  <c r="AE21" i="28"/>
  <c r="AM21" s="1"/>
  <c r="AB8"/>
  <c r="AB35" s="1"/>
  <c r="AL82" i="22"/>
  <c r="AK82"/>
  <c r="AK76" s="1"/>
  <c r="AH76"/>
  <c r="AK70" i="23"/>
  <c r="AK69" s="1"/>
  <c r="AP69" s="1"/>
  <c r="AH69"/>
  <c r="AG69"/>
  <c r="AO69" s="1"/>
  <c r="AO70"/>
  <c r="AG34"/>
  <c r="AD33"/>
  <c r="AD18" s="1"/>
  <c r="AH34"/>
  <c r="AF56"/>
  <c r="AN57"/>
  <c r="AJ57"/>
  <c r="AJ56" s="1"/>
  <c r="AJ55" s="1"/>
  <c r="AK77"/>
  <c r="AK76" s="1"/>
  <c r="AP76" s="1"/>
  <c r="AH76"/>
  <c r="AG76"/>
  <c r="AO76" s="1"/>
  <c r="AO77"/>
  <c r="AK36"/>
  <c r="AK84"/>
  <c r="AK64"/>
  <c r="AK63" s="1"/>
  <c r="AP63" s="1"/>
  <c r="AH63"/>
  <c r="AG63"/>
  <c r="AO63" s="1"/>
  <c r="AO64"/>
  <c r="AO107"/>
  <c r="AF33"/>
  <c r="AN34"/>
  <c r="AJ34"/>
  <c r="AJ33" s="1"/>
  <c r="AM57"/>
  <c r="AI57"/>
  <c r="AE61"/>
  <c r="AE56" s="1"/>
  <c r="AC61"/>
  <c r="AC56" s="1"/>
  <c r="AC55" s="1"/>
  <c r="AG57"/>
  <c r="AD56"/>
  <c r="AD55" s="1"/>
  <c r="AH57"/>
  <c r="AK41"/>
  <c r="AK40" s="1"/>
  <c r="AP40" s="1"/>
  <c r="AH40"/>
  <c r="AG40"/>
  <c r="AO40" s="1"/>
  <c r="AO41"/>
  <c r="AE33"/>
  <c r="AM34"/>
  <c r="AI34"/>
  <c r="AH84"/>
  <c r="AO198" i="7"/>
  <c r="AN198"/>
  <c r="AJ188"/>
  <c r="AN188"/>
  <c r="AL213"/>
  <c r="BH213" s="1"/>
  <c r="AJ308"/>
  <c r="BH233"/>
  <c r="AK321"/>
  <c r="AN321"/>
  <c r="AJ311"/>
  <c r="AH188"/>
  <c r="AI188"/>
  <c r="AJ318"/>
  <c r="AE309"/>
  <c r="AH109"/>
  <c r="AP109" s="1"/>
  <c r="AI109"/>
  <c r="AI310"/>
  <c r="AL115"/>
  <c r="AJ198"/>
  <c r="AG309"/>
  <c r="AK109"/>
  <c r="AH311"/>
  <c r="AL203"/>
  <c r="BH203" s="1"/>
  <c r="AI308"/>
  <c r="AL104"/>
  <c r="AL193"/>
  <c r="BH193" s="1"/>
  <c r="AL313"/>
  <c r="AN313" s="1"/>
  <c r="AJ310"/>
  <c r="AL208"/>
  <c r="BH208" s="1"/>
  <c r="AI98"/>
  <c r="AJ113"/>
  <c r="AH113"/>
  <c r="AH198"/>
  <c r="AP198" s="1"/>
  <c r="AI198"/>
  <c r="AK198"/>
  <c r="AH310"/>
  <c r="AJ98"/>
  <c r="AI311"/>
  <c r="AL121"/>
  <c r="AH308"/>
  <c r="AF309"/>
  <c r="AJ109"/>
  <c r="AL316"/>
  <c r="AN316" s="1"/>
  <c r="AL147" i="1"/>
  <c r="AM147"/>
  <c r="AI138"/>
  <c r="AI289"/>
  <c r="AI290" s="1"/>
  <c r="AI291" s="1"/>
  <c r="P42"/>
  <c r="R42" s="1"/>
  <c r="AG84" i="23" l="1"/>
  <c r="AI33"/>
  <c r="AE20" i="34"/>
  <c r="AB25"/>
  <c r="AF25" s="1"/>
  <c r="AF26"/>
  <c r="AD26"/>
  <c r="AC20"/>
  <c r="AD20"/>
  <c r="AK31"/>
  <c r="AP31" s="1"/>
  <c r="AK32"/>
  <c r="O15" i="22"/>
  <c r="BU42" i="1"/>
  <c r="AC22" i="29"/>
  <c r="AI28" i="28"/>
  <c r="AK28"/>
  <c r="AG21"/>
  <c r="AO21" s="1"/>
  <c r="AK21"/>
  <c r="AE8"/>
  <c r="AE35" s="1"/>
  <c r="AB37"/>
  <c r="AH30" i="30"/>
  <c r="AH55" i="22"/>
  <c r="AH29" i="33"/>
  <c r="AA55" i="23"/>
  <c r="AA26" i="34"/>
  <c r="AC26" s="1"/>
  <c r="AM28" i="30"/>
  <c r="AE30"/>
  <c r="Z25" i="34"/>
  <c r="Z18"/>
  <c r="AD37" i="28"/>
  <c r="AJ37"/>
  <c r="AD45" i="29"/>
  <c r="AI15" i="28"/>
  <c r="AI21"/>
  <c r="AC8"/>
  <c r="AC35" s="1"/>
  <c r="AC37" s="1"/>
  <c r="AK28" i="30"/>
  <c r="AK30" s="1"/>
  <c r="AG11" i="28"/>
  <c r="AI11"/>
  <c r="AK11" s="1"/>
  <c r="AG26" i="29"/>
  <c r="AO26" s="1"/>
  <c r="AI26"/>
  <c r="AK26" s="1"/>
  <c r="AM26"/>
  <c r="AG12" i="28"/>
  <c r="AO12" s="1"/>
  <c r="AI12"/>
  <c r="AK12" s="1"/>
  <c r="AM12"/>
  <c r="AG25" i="29"/>
  <c r="AI25"/>
  <c r="AM25"/>
  <c r="AE22"/>
  <c r="AW34" i="25"/>
  <c r="AT34"/>
  <c r="AP34"/>
  <c r="AS34" s="1"/>
  <c r="AK23" i="29"/>
  <c r="AH22"/>
  <c r="AH43" s="1"/>
  <c r="AI13" i="28"/>
  <c r="AK13" s="1"/>
  <c r="AG13"/>
  <c r="AG28" i="30"/>
  <c r="AG15" i="28"/>
  <c r="AO15" s="1"/>
  <c r="AH8"/>
  <c r="AH35" s="1"/>
  <c r="AK9"/>
  <c r="AO9"/>
  <c r="AH35" i="25"/>
  <c r="AL28"/>
  <c r="AO28" s="1"/>
  <c r="AN8" i="28"/>
  <c r="AF35"/>
  <c r="AG27" i="29"/>
  <c r="AI27"/>
  <c r="AK27" s="1"/>
  <c r="AG28" i="28"/>
  <c r="AO28" s="1"/>
  <c r="AK15"/>
  <c r="AE55" i="23"/>
  <c r="AM55" s="1"/>
  <c r="AM56"/>
  <c r="AM33"/>
  <c r="AF55"/>
  <c r="AN55" s="1"/>
  <c r="AN56"/>
  <c r="AO82" i="22"/>
  <c r="AW82" s="1"/>
  <c r="AP82"/>
  <c r="AS82" s="1"/>
  <c r="AT82"/>
  <c r="AL76"/>
  <c r="AK57" i="23"/>
  <c r="AH56"/>
  <c r="AH55" s="1"/>
  <c r="AO57"/>
  <c r="AI61"/>
  <c r="AK61" s="1"/>
  <c r="AG61"/>
  <c r="AG56" s="1"/>
  <c r="AN33"/>
  <c r="AK34"/>
  <c r="AK33" s="1"/>
  <c r="AP33" s="1"/>
  <c r="AH33"/>
  <c r="AH18" s="1"/>
  <c r="AG33"/>
  <c r="AO34"/>
  <c r="AJ309" i="7"/>
  <c r="AL311"/>
  <c r="AN311" s="1"/>
  <c r="AI309"/>
  <c r="AL109"/>
  <c r="AL308"/>
  <c r="AN308" s="1"/>
  <c r="AK309"/>
  <c r="AL310"/>
  <c r="AN310" s="1"/>
  <c r="AH309"/>
  <c r="AL198"/>
  <c r="AP147" i="1"/>
  <c r="AX147" s="1"/>
  <c r="AQ147"/>
  <c r="AU147"/>
  <c r="AM138"/>
  <c r="P286"/>
  <c r="R286" s="1"/>
  <c r="AB42"/>
  <c r="P35"/>
  <c r="R35" s="1"/>
  <c r="P48" i="13"/>
  <c r="AH138" i="1"/>
  <c r="AI97"/>
  <c r="AI64" i="13"/>
  <c r="O15" i="33" l="1"/>
  <c r="Q15" s="1"/>
  <c r="BF15" i="22"/>
  <c r="AA15"/>
  <c r="AU15" s="1"/>
  <c r="AY15"/>
  <c r="BA15" s="1"/>
  <c r="AY15" i="33"/>
  <c r="BA15" s="1"/>
  <c r="Q15" i="22"/>
  <c r="AA15" i="33"/>
  <c r="AU15" s="1"/>
  <c r="AD25" i="34"/>
  <c r="AJ25"/>
  <c r="AN25"/>
  <c r="AD18"/>
  <c r="AA25"/>
  <c r="AE25" s="1"/>
  <c r="AE26"/>
  <c r="AG26" s="1"/>
  <c r="AO26" s="1"/>
  <c r="AG20"/>
  <c r="AO20" s="1"/>
  <c r="AH20"/>
  <c r="AH26"/>
  <c r="AJ26"/>
  <c r="AN26"/>
  <c r="AI20"/>
  <c r="AM20"/>
  <c r="AM8" i="28"/>
  <c r="AH37" i="25"/>
  <c r="AA37" i="28"/>
  <c r="AN35"/>
  <c r="AN37" s="1"/>
  <c r="AF37"/>
  <c r="AO28" i="30"/>
  <c r="AG30"/>
  <c r="AH37" i="28"/>
  <c r="AM35"/>
  <c r="AM37" s="1"/>
  <c r="AE37"/>
  <c r="AH25" i="33"/>
  <c r="AL29"/>
  <c r="AK29"/>
  <c r="AK8" i="28"/>
  <c r="AK35" s="1"/>
  <c r="AH45" i="29"/>
  <c r="AG8" i="28"/>
  <c r="AG35" s="1"/>
  <c r="AT28" i="25"/>
  <c r="AP28"/>
  <c r="AS28" s="1"/>
  <c r="AO25" i="29"/>
  <c r="AG22"/>
  <c r="AM22"/>
  <c r="AK25"/>
  <c r="AK22" s="1"/>
  <c r="AI22"/>
  <c r="AI8" i="28"/>
  <c r="AI35" s="1"/>
  <c r="AG55" i="23"/>
  <c r="AO55" s="1"/>
  <c r="AO56"/>
  <c r="AQ15" i="22"/>
  <c r="AS15" s="1"/>
  <c r="BB15" s="1"/>
  <c r="AI56" i="23"/>
  <c r="AI55" s="1"/>
  <c r="AO33"/>
  <c r="AO76" i="22"/>
  <c r="AP76"/>
  <c r="AT76"/>
  <c r="AK56" i="23"/>
  <c r="AL55"/>
  <c r="AL37" i="28" s="1"/>
  <c r="AH17" i="22"/>
  <c r="BH198" i="7"/>
  <c r="AK308"/>
  <c r="AL309"/>
  <c r="AN309" s="1"/>
  <c r="P250" i="1"/>
  <c r="R250" s="1"/>
  <c r="AB35"/>
  <c r="BB42"/>
  <c r="BA42" s="1"/>
  <c r="AZ42" s="1"/>
  <c r="AY42" s="1"/>
  <c r="AL64" i="13"/>
  <c r="AM64"/>
  <c r="AI60"/>
  <c r="AZ48"/>
  <c r="R48"/>
  <c r="P46"/>
  <c r="AV42" i="1"/>
  <c r="AR42"/>
  <c r="AD42"/>
  <c r="AB286"/>
  <c r="P290"/>
  <c r="R290" s="1"/>
  <c r="AL138"/>
  <c r="AQ138"/>
  <c r="AU138"/>
  <c r="AC15" i="22" l="1"/>
  <c r="AW15" s="1"/>
  <c r="AC15" i="33"/>
  <c r="AW15" s="1"/>
  <c r="AQ15"/>
  <c r="AS15" s="1"/>
  <c r="AI25" i="34"/>
  <c r="AM25"/>
  <c r="AI26"/>
  <c r="AM26"/>
  <c r="AH18"/>
  <c r="AG25"/>
  <c r="AH25"/>
  <c r="AC25"/>
  <c r="AK26"/>
  <c r="AK20"/>
  <c r="AO29" i="33"/>
  <c r="AW29" s="1"/>
  <c r="AT29"/>
  <c r="AP29"/>
  <c r="AS29" s="1"/>
  <c r="AO25" i="34"/>
  <c r="AO35" i="28"/>
  <c r="AO37" s="1"/>
  <c r="AG37"/>
  <c r="AH17" i="33"/>
  <c r="AI37" i="28"/>
  <c r="AK55" i="23"/>
  <c r="AK37" i="28" s="1"/>
  <c r="AP56" i="23"/>
  <c r="AO8" i="28"/>
  <c r="AO22" i="29"/>
  <c r="AW28" i="25"/>
  <c r="R46" i="13"/>
  <c r="AZ46"/>
  <c r="P9"/>
  <c r="P90" s="1"/>
  <c r="AI52"/>
  <c r="BB35" i="1"/>
  <c r="BA35" s="1"/>
  <c r="AZ35" s="1"/>
  <c r="AY35" s="1"/>
  <c r="AZ250"/>
  <c r="P251"/>
  <c r="R251" s="1"/>
  <c r="AX42"/>
  <c r="AD286"/>
  <c r="AQ64" i="13"/>
  <c r="AK25" i="34" l="1"/>
  <c r="AP25" s="1"/>
  <c r="P78" i="13"/>
  <c r="R9"/>
  <c r="R90" s="1"/>
  <c r="AZ9"/>
  <c r="AZ251" i="1"/>
  <c r="P267"/>
  <c r="BB250"/>
  <c r="R267" l="1"/>
  <c r="BB251"/>
  <c r="AZ267"/>
  <c r="P292"/>
  <c r="P293" l="1"/>
  <c r="R293" s="1"/>
  <c r="R292"/>
  <c r="O9" i="22"/>
  <c r="P300" i="1"/>
  <c r="BB267"/>
  <c r="Q9" i="22" l="1"/>
  <c r="Q138" s="1"/>
  <c r="Q141" s="1"/>
  <c r="O9" i="33"/>
  <c r="AY9" i="22"/>
  <c r="O138"/>
  <c r="R300" i="1"/>
  <c r="Q9" i="33" l="1"/>
  <c r="Q43" s="1"/>
  <c r="Q46" s="1"/>
  <c r="O43"/>
  <c r="O46" s="1"/>
  <c r="AY9"/>
  <c r="O140" i="22"/>
  <c r="O141"/>
  <c r="Q140"/>
  <c r="AY138"/>
  <c r="BA9"/>
  <c r="BA138" s="1"/>
  <c r="AY43" i="33" l="1"/>
  <c r="BA9"/>
  <c r="BA43" s="1"/>
  <c r="Q44"/>
  <c r="Q45"/>
  <c r="O45"/>
  <c r="O44"/>
  <c r="BA141" i="22"/>
  <c r="AY140"/>
  <c r="AY141"/>
  <c r="BA140"/>
  <c r="AY45" i="33" l="1"/>
  <c r="AY46"/>
  <c r="BA44"/>
  <c r="BA46"/>
  <c r="AY44"/>
  <c r="BA45"/>
  <c r="F78" i="13"/>
  <c r="W48"/>
  <c r="W46" s="1"/>
  <c r="X48"/>
  <c r="X46" s="1"/>
  <c r="Y14"/>
  <c r="AC14" s="1"/>
  <c r="Y15"/>
  <c r="Z15" s="1"/>
  <c r="Y21"/>
  <c r="Z21" s="1"/>
  <c r="Y22"/>
  <c r="Y256" i="1"/>
  <c r="Y23" i="13" s="1"/>
  <c r="AC23" s="1"/>
  <c r="AD23" s="1"/>
  <c r="Y27"/>
  <c r="Y25" s="1"/>
  <c r="Y30"/>
  <c r="Z30" s="1"/>
  <c r="Y31"/>
  <c r="Y37"/>
  <c r="Y36" s="1"/>
  <c r="AC36" s="1"/>
  <c r="Y40"/>
  <c r="Y41"/>
  <c r="AC41" s="1"/>
  <c r="Y42"/>
  <c r="Z42" s="1"/>
  <c r="Y43"/>
  <c r="Z43" s="1"/>
  <c r="Y44"/>
  <c r="AC44" s="1"/>
  <c r="AW44" s="1"/>
  <c r="Y47"/>
  <c r="Z47" s="1"/>
  <c r="Y48"/>
  <c r="Y10"/>
  <c r="AC10" s="1"/>
  <c r="AE13"/>
  <c r="AM13" s="1"/>
  <c r="AQ13" s="1"/>
  <c r="AE14"/>
  <c r="AM14" s="1"/>
  <c r="AE15"/>
  <c r="AM15" s="1"/>
  <c r="AQ15" s="1"/>
  <c r="AE22"/>
  <c r="AM22" s="1"/>
  <c r="AU22" s="1"/>
  <c r="AE23"/>
  <c r="AE27"/>
  <c r="AE30"/>
  <c r="AM30" s="1"/>
  <c r="AU30" s="1"/>
  <c r="AE31"/>
  <c r="AE34"/>
  <c r="AE33" s="1"/>
  <c r="AE40"/>
  <c r="AM40" s="1"/>
  <c r="AE42"/>
  <c r="AE43"/>
  <c r="AM43" s="1"/>
  <c r="AE44"/>
  <c r="AM44" s="1"/>
  <c r="AE47"/>
  <c r="AM47" s="1"/>
  <c r="AU47" s="1"/>
  <c r="AE48"/>
  <c r="AE10"/>
  <c r="AI48"/>
  <c r="AI46" s="1"/>
  <c r="AI9" s="1"/>
  <c r="AI90" s="1"/>
  <c r="AF13"/>
  <c r="AF14"/>
  <c r="AN14" s="1"/>
  <c r="AF15"/>
  <c r="AN15" s="1"/>
  <c r="AF18"/>
  <c r="AF17" s="1"/>
  <c r="AF22"/>
  <c r="AN22" s="1"/>
  <c r="AF255" i="1"/>
  <c r="AF256" s="1"/>
  <c r="AF27" i="13"/>
  <c r="AF30"/>
  <c r="AN30" s="1"/>
  <c r="AF31"/>
  <c r="AF34"/>
  <c r="AF33" s="1"/>
  <c r="AN33" s="1"/>
  <c r="AF40"/>
  <c r="AN40" s="1"/>
  <c r="AV40" s="1"/>
  <c r="AF42"/>
  <c r="AN42" s="1"/>
  <c r="AF43"/>
  <c r="AN43" s="1"/>
  <c r="AF44"/>
  <c r="AN44" s="1"/>
  <c r="AF47"/>
  <c r="AN47" s="1"/>
  <c r="AV47" s="1"/>
  <c r="AF48"/>
  <c r="AF10"/>
  <c r="AN10" s="1"/>
  <c r="AJ26"/>
  <c r="AJ25" s="1"/>
  <c r="AJ48"/>
  <c r="AJ46" s="1"/>
  <c r="AG13"/>
  <c r="AG14"/>
  <c r="AO14" s="1"/>
  <c r="AG15"/>
  <c r="AO15" s="1"/>
  <c r="AG22"/>
  <c r="AO22" s="1"/>
  <c r="AG255" i="1"/>
  <c r="AG256" s="1"/>
  <c r="AG27" i="13"/>
  <c r="AG25" s="1"/>
  <c r="AG30"/>
  <c r="AO30" s="1"/>
  <c r="AG31"/>
  <c r="AG34"/>
  <c r="AG33" s="1"/>
  <c r="AO33" s="1"/>
  <c r="AG37"/>
  <c r="AG36" s="1"/>
  <c r="AG40"/>
  <c r="AO40" s="1"/>
  <c r="AG41"/>
  <c r="AO41" s="1"/>
  <c r="AG42"/>
  <c r="AO42" s="1"/>
  <c r="AG43"/>
  <c r="AH43" s="1"/>
  <c r="AG44"/>
  <c r="AO44" s="1"/>
  <c r="AG47"/>
  <c r="AO47" s="1"/>
  <c r="AG48"/>
  <c r="AG10"/>
  <c r="AO10" s="1"/>
  <c r="AK26"/>
  <c r="AK25" s="1"/>
  <c r="AK48"/>
  <c r="AK46" s="1"/>
  <c r="BA9"/>
  <c r="BB9" s="1"/>
  <c r="G55"/>
  <c r="K55" s="1"/>
  <c r="AY55" s="1"/>
  <c r="G56"/>
  <c r="K56" s="1"/>
  <c r="AY56" s="1"/>
  <c r="G57"/>
  <c r="K57" s="1"/>
  <c r="AY57" s="1"/>
  <c r="G58"/>
  <c r="K58" s="1"/>
  <c r="AY58" s="1"/>
  <c r="G61"/>
  <c r="G62"/>
  <c r="K62" s="1"/>
  <c r="AY62" s="1"/>
  <c r="G63"/>
  <c r="G64"/>
  <c r="K64" s="1"/>
  <c r="AY64" s="1"/>
  <c r="G67"/>
  <c r="G68"/>
  <c r="K68" s="1"/>
  <c r="AY68" s="1"/>
  <c r="G69"/>
  <c r="G72"/>
  <c r="K72" s="1"/>
  <c r="AY72" s="1"/>
  <c r="G73"/>
  <c r="K73" s="1"/>
  <c r="AY73" s="1"/>
  <c r="G74"/>
  <c r="K74" s="1"/>
  <c r="AY74" s="1"/>
  <c r="G75"/>
  <c r="H55"/>
  <c r="L55" s="1"/>
  <c r="AZ55" s="1"/>
  <c r="H56"/>
  <c r="H57"/>
  <c r="H58"/>
  <c r="L58" s="1"/>
  <c r="AZ58" s="1"/>
  <c r="H61"/>
  <c r="H62"/>
  <c r="L62" s="1"/>
  <c r="AZ62" s="1"/>
  <c r="H63"/>
  <c r="L63" s="1"/>
  <c r="AZ63" s="1"/>
  <c r="H64"/>
  <c r="L64" s="1"/>
  <c r="AZ64" s="1"/>
  <c r="H67"/>
  <c r="L67" s="1"/>
  <c r="AZ67" s="1"/>
  <c r="H68"/>
  <c r="L68" s="1"/>
  <c r="AZ68" s="1"/>
  <c r="H69"/>
  <c r="H72"/>
  <c r="L72" s="1"/>
  <c r="AZ72" s="1"/>
  <c r="H73"/>
  <c r="H74"/>
  <c r="H75"/>
  <c r="L75" s="1"/>
  <c r="AZ75" s="1"/>
  <c r="H76"/>
  <c r="L76" s="1"/>
  <c r="AZ76" s="1"/>
  <c r="I55"/>
  <c r="M55" s="1"/>
  <c r="BA55" s="1"/>
  <c r="I56"/>
  <c r="M56" s="1"/>
  <c r="BA56" s="1"/>
  <c r="I57"/>
  <c r="I58"/>
  <c r="M58" s="1"/>
  <c r="BA58" s="1"/>
  <c r="I61"/>
  <c r="M61" s="1"/>
  <c r="BA61" s="1"/>
  <c r="I62"/>
  <c r="M62" s="1"/>
  <c r="BA62" s="1"/>
  <c r="I63"/>
  <c r="I64"/>
  <c r="I67"/>
  <c r="M67" s="1"/>
  <c r="BA67" s="1"/>
  <c r="I68"/>
  <c r="I69"/>
  <c r="M69" s="1"/>
  <c r="BA69" s="1"/>
  <c r="I72"/>
  <c r="M72" s="1"/>
  <c r="BA72" s="1"/>
  <c r="I73"/>
  <c r="M73" s="1"/>
  <c r="BA73" s="1"/>
  <c r="I74"/>
  <c r="M74" s="1"/>
  <c r="BA74" s="1"/>
  <c r="I75"/>
  <c r="M75" s="1"/>
  <c r="BA75" s="1"/>
  <c r="I76"/>
  <c r="M76" s="1"/>
  <c r="L50"/>
  <c r="M50"/>
  <c r="AB10"/>
  <c r="AM10"/>
  <c r="AU10" s="1"/>
  <c r="AZ10"/>
  <c r="BA10"/>
  <c r="AZ17"/>
  <c r="BA17"/>
  <c r="AZ14"/>
  <c r="BA14"/>
  <c r="AZ15"/>
  <c r="BA15"/>
  <c r="AB17"/>
  <c r="AB14"/>
  <c r="AZ13"/>
  <c r="BA13"/>
  <c r="AZ18"/>
  <c r="BA18"/>
  <c r="AB15"/>
  <c r="AC15"/>
  <c r="AZ20"/>
  <c r="BA20"/>
  <c r="AL15"/>
  <c r="AZ12"/>
  <c r="BA12"/>
  <c r="AB20"/>
  <c r="AC21"/>
  <c r="AS21" s="1"/>
  <c r="AT21" s="1"/>
  <c r="AZ21"/>
  <c r="BA21"/>
  <c r="AZ23"/>
  <c r="BA23"/>
  <c r="AB22"/>
  <c r="AZ22"/>
  <c r="BA22"/>
  <c r="AB25"/>
  <c r="Z22"/>
  <c r="AZ25"/>
  <c r="BA25"/>
  <c r="AU23"/>
  <c r="AL20"/>
  <c r="AW26"/>
  <c r="AZ26"/>
  <c r="BA26"/>
  <c r="AL23"/>
  <c r="AZ27"/>
  <c r="BA27"/>
  <c r="AZ30"/>
  <c r="BA30"/>
  <c r="AZ29"/>
  <c r="BA29"/>
  <c r="AZ39"/>
  <c r="BA39"/>
  <c r="AZ34"/>
  <c r="BA34"/>
  <c r="AZ33"/>
  <c r="BA33"/>
  <c r="AZ37"/>
  <c r="BA37"/>
  <c r="AB29"/>
  <c r="AB39"/>
  <c r="AB33"/>
  <c r="AC33"/>
  <c r="AB31"/>
  <c r="AZ41"/>
  <c r="BA41"/>
  <c r="AB36"/>
  <c r="AN36"/>
  <c r="AB41"/>
  <c r="AN41"/>
  <c r="AZ44"/>
  <c r="M44"/>
  <c r="BA44" s="1"/>
  <c r="AZ31"/>
  <c r="BA31"/>
  <c r="AB44"/>
  <c r="AZ40"/>
  <c r="M40"/>
  <c r="BA40" s="1"/>
  <c r="AZ36"/>
  <c r="BA36"/>
  <c r="AZ42"/>
  <c r="M42"/>
  <c r="BA42" s="1"/>
  <c r="BA46"/>
  <c r="BB46" s="1"/>
  <c r="AL31"/>
  <c r="AC40"/>
  <c r="AD40" s="1"/>
  <c r="AB43"/>
  <c r="AB42"/>
  <c r="AC42"/>
  <c r="AL29"/>
  <c r="AL33"/>
  <c r="Z27"/>
  <c r="AL27"/>
  <c r="AZ43"/>
  <c r="BA43"/>
  <c r="Z44"/>
  <c r="Z40"/>
  <c r="AH37"/>
  <c r="AL39"/>
  <c r="AZ47"/>
  <c r="BA47"/>
  <c r="BA48"/>
  <c r="BB48" s="1"/>
  <c r="AL47"/>
  <c r="AN50"/>
  <c r="AR50" s="1"/>
  <c r="AM50"/>
  <c r="AO50"/>
  <c r="AS50" s="1"/>
  <c r="AQ50"/>
  <c r="AY50"/>
  <c r="AZ50"/>
  <c r="BA50"/>
  <c r="AU50"/>
  <c r="AN58"/>
  <c r="AN75"/>
  <c r="AO56"/>
  <c r="AP56" s="1"/>
  <c r="AO57"/>
  <c r="AP57" s="1"/>
  <c r="AO58"/>
  <c r="AS58" s="1"/>
  <c r="AO64"/>
  <c r="AO73"/>
  <c r="AS73" s="1"/>
  <c r="AO75"/>
  <c r="J58"/>
  <c r="L54"/>
  <c r="AZ54" s="1"/>
  <c r="M54"/>
  <c r="BA54" s="1"/>
  <c r="Q53"/>
  <c r="AC56"/>
  <c r="AC55"/>
  <c r="AD55" s="1"/>
  <c r="AX55" s="1"/>
  <c r="AV55"/>
  <c r="AU55"/>
  <c r="AC57"/>
  <c r="AU56"/>
  <c r="M57"/>
  <c r="BA57" s="1"/>
  <c r="AU58"/>
  <c r="J62"/>
  <c r="AB62"/>
  <c r="AR62" s="1"/>
  <c r="AC62"/>
  <c r="AS62" s="1"/>
  <c r="AC63"/>
  <c r="AS63" s="1"/>
  <c r="AC64"/>
  <c r="L61"/>
  <c r="AZ61" s="1"/>
  <c r="AU62"/>
  <c r="K63"/>
  <c r="AY63" s="1"/>
  <c r="M63"/>
  <c r="BA63" s="1"/>
  <c r="AU63"/>
  <c r="M64"/>
  <c r="BA64" s="1"/>
  <c r="AV64"/>
  <c r="AU64"/>
  <c r="K67"/>
  <c r="AY67" s="1"/>
  <c r="M68"/>
  <c r="BA68" s="1"/>
  <c r="AB75"/>
  <c r="AC75"/>
  <c r="L69"/>
  <c r="AZ69" s="1"/>
  <c r="AX72"/>
  <c r="AW72"/>
  <c r="AV72"/>
  <c r="AU73"/>
  <c r="L74"/>
  <c r="AZ74" s="1"/>
  <c r="AU75"/>
  <c r="K76"/>
  <c r="AY76" s="1"/>
  <c r="AM255" i="1"/>
  <c r="AM256" s="1"/>
  <c r="AQ256" s="1"/>
  <c r="AM91"/>
  <c r="AM92"/>
  <c r="AQ92" s="1"/>
  <c r="AN161"/>
  <c r="AR161" s="1"/>
  <c r="AN162"/>
  <c r="AV162" s="1"/>
  <c r="AN234"/>
  <c r="AR234" s="1"/>
  <c r="AN72"/>
  <c r="AR72" s="1"/>
  <c r="AN73"/>
  <c r="AN91"/>
  <c r="AN92"/>
  <c r="AC256"/>
  <c r="AD256" s="1"/>
  <c r="AC71"/>
  <c r="AS71" s="1"/>
  <c r="AC72"/>
  <c r="AD72" s="1"/>
  <c r="AC73"/>
  <c r="AC74"/>
  <c r="AW74" s="1"/>
  <c r="AC76"/>
  <c r="AD76" s="1"/>
  <c r="AO105"/>
  <c r="AS105" s="1"/>
  <c r="AT105" s="1"/>
  <c r="AO106"/>
  <c r="AS106" s="1"/>
  <c r="AT106" s="1"/>
  <c r="AO135"/>
  <c r="AO128" s="1"/>
  <c r="AO146"/>
  <c r="AO138" s="1"/>
  <c r="AO152"/>
  <c r="AN30" i="24" s="1"/>
  <c r="AO161" i="1"/>
  <c r="AS161" s="1"/>
  <c r="AO162"/>
  <c r="AO208"/>
  <c r="AO203" s="1"/>
  <c r="AS203" s="1"/>
  <c r="AT203" s="1"/>
  <c r="AO223"/>
  <c r="AP223" s="1"/>
  <c r="AO224"/>
  <c r="AO234"/>
  <c r="AW234" s="1"/>
  <c r="AO72"/>
  <c r="AO73"/>
  <c r="AO76"/>
  <c r="AP76" s="1"/>
  <c r="AO91"/>
  <c r="AS91" s="1"/>
  <c r="AO92"/>
  <c r="AS92" s="1"/>
  <c r="AO93"/>
  <c r="AO13"/>
  <c r="V78" i="13"/>
  <c r="V80" s="1"/>
  <c r="U78"/>
  <c r="U80" s="1"/>
  <c r="T78"/>
  <c r="T80" s="1"/>
  <c r="S78"/>
  <c r="S80" s="1"/>
  <c r="P80"/>
  <c r="O80"/>
  <c r="F80"/>
  <c r="E80"/>
  <c r="D80"/>
  <c r="C80"/>
  <c r="AS38" i="1"/>
  <c r="AS39"/>
  <c r="AT39" s="1"/>
  <c r="AS42"/>
  <c r="AT42" s="1"/>
  <c r="AI250"/>
  <c r="AI251" s="1"/>
  <c r="AI267" s="1"/>
  <c r="AI269" s="1"/>
  <c r="AB32"/>
  <c r="AR32" s="1"/>
  <c r="AR20"/>
  <c r="AS20"/>
  <c r="AS26"/>
  <c r="AT26" s="1"/>
  <c r="AS16"/>
  <c r="AT16" s="1"/>
  <c r="AR21"/>
  <c r="AS21"/>
  <c r="AS19"/>
  <c r="AT19" s="1"/>
  <c r="AC35"/>
  <c r="AS35" s="1"/>
  <c r="AS23"/>
  <c r="AT23" s="1"/>
  <c r="AS30"/>
  <c r="AT30" s="1"/>
  <c r="AS29"/>
  <c r="AT29" s="1"/>
  <c r="AS25"/>
  <c r="AT25" s="1"/>
  <c r="AC66"/>
  <c r="AD66" s="1"/>
  <c r="AX66" s="1"/>
  <c r="AS41"/>
  <c r="AT41" s="1"/>
  <c r="AS40"/>
  <c r="AT40" s="1"/>
  <c r="AR43"/>
  <c r="AS43"/>
  <c r="AS50"/>
  <c r="AT50" s="1"/>
  <c r="AS54"/>
  <c r="AT54" s="1"/>
  <c r="AS56"/>
  <c r="AT56" s="1"/>
  <c r="AS58"/>
  <c r="AT58" s="1"/>
  <c r="AS51"/>
  <c r="AT51" s="1"/>
  <c r="AS55"/>
  <c r="AT55" s="1"/>
  <c r="AR66"/>
  <c r="AS61"/>
  <c r="AT61" s="1"/>
  <c r="AS64"/>
  <c r="AT64" s="1"/>
  <c r="AS57"/>
  <c r="AT57" s="1"/>
  <c r="AS65"/>
  <c r="AT65" s="1"/>
  <c r="AS46"/>
  <c r="AT46" s="1"/>
  <c r="AS48"/>
  <c r="AT48" s="1"/>
  <c r="AS59"/>
  <c r="AT59" s="1"/>
  <c r="AS60"/>
  <c r="AT60" s="1"/>
  <c r="AS62"/>
  <c r="AT62" s="1"/>
  <c r="AR71"/>
  <c r="AR74"/>
  <c r="AS84"/>
  <c r="AT84" s="1"/>
  <c r="AR87"/>
  <c r="AS87"/>
  <c r="AR90"/>
  <c r="AS90"/>
  <c r="AS82"/>
  <c r="AT82" s="1"/>
  <c r="AR85"/>
  <c r="AS85"/>
  <c r="AR86"/>
  <c r="AS86"/>
  <c r="AR88"/>
  <c r="AS88"/>
  <c r="AS89"/>
  <c r="AT89" s="1"/>
  <c r="AS83"/>
  <c r="AT83" s="1"/>
  <c r="AS93"/>
  <c r="AT93" s="1"/>
  <c r="AS94"/>
  <c r="AT94" s="1"/>
  <c r="AQ91"/>
  <c r="AR206"/>
  <c r="AS101"/>
  <c r="AT101" s="1"/>
  <c r="BD101" s="1"/>
  <c r="AS110"/>
  <c r="AT110" s="1"/>
  <c r="BD110" s="1"/>
  <c r="AS111"/>
  <c r="AT111" s="1"/>
  <c r="BD111" s="1"/>
  <c r="AC112"/>
  <c r="AS119"/>
  <c r="AT119" s="1"/>
  <c r="BD119" s="1"/>
  <c r="AS120"/>
  <c r="AT120" s="1"/>
  <c r="BD120" s="1"/>
  <c r="AS129"/>
  <c r="AT129" s="1"/>
  <c r="BD129" s="1"/>
  <c r="AS130"/>
  <c r="AT130" s="1"/>
  <c r="BD130" s="1"/>
  <c r="AC131"/>
  <c r="AS139"/>
  <c r="AT139" s="1"/>
  <c r="BD139" s="1"/>
  <c r="AS140"/>
  <c r="AT140" s="1"/>
  <c r="BD140" s="1"/>
  <c r="AC141"/>
  <c r="AS150"/>
  <c r="AT150" s="1"/>
  <c r="BD150" s="1"/>
  <c r="AS151"/>
  <c r="AT151" s="1"/>
  <c r="BD151" s="1"/>
  <c r="AC152"/>
  <c r="AS157"/>
  <c r="AT157" s="1"/>
  <c r="BD157" s="1"/>
  <c r="AS158"/>
  <c r="AT158" s="1"/>
  <c r="BD158" s="1"/>
  <c r="AC159"/>
  <c r="AB34" i="24" s="1"/>
  <c r="AS165" i="1"/>
  <c r="AT165" s="1"/>
  <c r="BD165" s="1"/>
  <c r="AS166"/>
  <c r="AT166" s="1"/>
  <c r="BD166" s="1"/>
  <c r="AS174"/>
  <c r="AT174" s="1"/>
  <c r="BD174" s="1"/>
  <c r="AS175"/>
  <c r="AT175" s="1"/>
  <c r="BD175" s="1"/>
  <c r="AS184"/>
  <c r="AT184" s="1"/>
  <c r="BD184" s="1"/>
  <c r="AS185"/>
  <c r="AT185" s="1"/>
  <c r="BD185" s="1"/>
  <c r="AS196"/>
  <c r="AT196" s="1"/>
  <c r="BD196" s="1"/>
  <c r="AS197"/>
  <c r="AT197" s="1"/>
  <c r="BD197" s="1"/>
  <c r="AS204"/>
  <c r="AT204" s="1"/>
  <c r="BD204" s="1"/>
  <c r="AS205"/>
  <c r="AT205" s="1"/>
  <c r="BD205" s="1"/>
  <c r="AC206"/>
  <c r="AS218"/>
  <c r="AT218" s="1"/>
  <c r="BD218" s="1"/>
  <c r="AS219"/>
  <c r="AT219" s="1"/>
  <c r="BD219" s="1"/>
  <c r="AC220"/>
  <c r="AS227"/>
  <c r="AT227" s="1"/>
  <c r="BD227" s="1"/>
  <c r="AS228"/>
  <c r="AT228" s="1"/>
  <c r="BD228" s="1"/>
  <c r="AS235"/>
  <c r="AT235" s="1"/>
  <c r="BD235" s="1"/>
  <c r="AS236"/>
  <c r="AT236" s="1"/>
  <c r="BD236" s="1"/>
  <c r="AC237"/>
  <c r="AS243"/>
  <c r="AT243" s="1"/>
  <c r="BD243" s="1"/>
  <c r="AS244"/>
  <c r="AT244" s="1"/>
  <c r="BD244" s="1"/>
  <c r="AP93"/>
  <c r="AX93" s="1"/>
  <c r="AC107"/>
  <c r="AS107" s="1"/>
  <c r="AT107" s="1"/>
  <c r="AC114"/>
  <c r="AS114" s="1"/>
  <c r="AC115"/>
  <c r="AS115" s="1"/>
  <c r="AC133"/>
  <c r="AS133" s="1"/>
  <c r="AC134"/>
  <c r="AS134" s="1"/>
  <c r="AT134" s="1"/>
  <c r="AC135"/>
  <c r="AC136"/>
  <c r="AS136" s="1"/>
  <c r="AT136" s="1"/>
  <c r="AC143"/>
  <c r="AS143" s="1"/>
  <c r="AT143" s="1"/>
  <c r="AS144"/>
  <c r="AC145"/>
  <c r="AS145" s="1"/>
  <c r="AT145" s="1"/>
  <c r="AC146"/>
  <c r="AD146" s="1"/>
  <c r="AS147"/>
  <c r="AT147" s="1"/>
  <c r="AC154"/>
  <c r="AS154" s="1"/>
  <c r="AT154" s="1"/>
  <c r="AC162"/>
  <c r="AD162" s="1"/>
  <c r="AC169"/>
  <c r="AS169" s="1"/>
  <c r="AT169" s="1"/>
  <c r="AC170"/>
  <c r="AS170" s="1"/>
  <c r="AT170" s="1"/>
  <c r="AC171"/>
  <c r="AS171" s="1"/>
  <c r="AT171" s="1"/>
  <c r="AC208"/>
  <c r="AC209"/>
  <c r="AS209" s="1"/>
  <c r="AT209" s="1"/>
  <c r="AC210"/>
  <c r="AS210" s="1"/>
  <c r="AT210" s="1"/>
  <c r="AC212"/>
  <c r="AS212" s="1"/>
  <c r="AC213"/>
  <c r="AS213" s="1"/>
  <c r="AC214"/>
  <c r="AS214" s="1"/>
  <c r="AC215"/>
  <c r="AS215" s="1"/>
  <c r="AT215" s="1"/>
  <c r="AC223"/>
  <c r="AD223" s="1"/>
  <c r="AC224"/>
  <c r="AD224" s="1"/>
  <c r="AS239"/>
  <c r="AT239" s="1"/>
  <c r="AC240"/>
  <c r="AS240" s="1"/>
  <c r="AR114"/>
  <c r="AR115"/>
  <c r="AR144"/>
  <c r="AR208"/>
  <c r="AR212"/>
  <c r="AR213"/>
  <c r="AR214"/>
  <c r="AR224"/>
  <c r="AR240"/>
  <c r="AS109"/>
  <c r="AT109" s="1"/>
  <c r="AV112"/>
  <c r="AV135"/>
  <c r="AV210"/>
  <c r="AV215"/>
  <c r="AQ234"/>
  <c r="AQ224"/>
  <c r="AR259"/>
  <c r="AR261"/>
  <c r="AS261"/>
  <c r="AR260"/>
  <c r="AS260"/>
  <c r="G53" i="14"/>
  <c r="O53" s="1"/>
  <c r="S53" s="1"/>
  <c r="G54"/>
  <c r="G55"/>
  <c r="O55" s="1"/>
  <c r="S55" s="1"/>
  <c r="G56"/>
  <c r="O56" s="1"/>
  <c r="G59"/>
  <c r="O59" s="1"/>
  <c r="S59" s="1"/>
  <c r="G60"/>
  <c r="O60" s="1"/>
  <c r="S60" s="1"/>
  <c r="G61"/>
  <c r="O61" s="1"/>
  <c r="S61" s="1"/>
  <c r="G62"/>
  <c r="G65"/>
  <c r="O65" s="1"/>
  <c r="G66"/>
  <c r="G67"/>
  <c r="O67" s="1"/>
  <c r="S67" s="1"/>
  <c r="G70"/>
  <c r="G71"/>
  <c r="O71" s="1"/>
  <c r="S71" s="1"/>
  <c r="AM71" s="1"/>
  <c r="G73"/>
  <c r="H53"/>
  <c r="P53" s="1"/>
  <c r="T53" s="1"/>
  <c r="H54"/>
  <c r="P54" s="1"/>
  <c r="T54" s="1"/>
  <c r="H55"/>
  <c r="P55" s="1"/>
  <c r="T55" s="1"/>
  <c r="H56"/>
  <c r="P56" s="1"/>
  <c r="H59"/>
  <c r="P59" s="1"/>
  <c r="T59" s="1"/>
  <c r="H60"/>
  <c r="P60" s="1"/>
  <c r="T60" s="1"/>
  <c r="H61"/>
  <c r="P61" s="1"/>
  <c r="T61" s="1"/>
  <c r="H62"/>
  <c r="P62" s="1"/>
  <c r="H65"/>
  <c r="P65" s="1"/>
  <c r="H66"/>
  <c r="P66" s="1"/>
  <c r="H67"/>
  <c r="P67" s="1"/>
  <c r="H70"/>
  <c r="P70" s="1"/>
  <c r="T70" s="1"/>
  <c r="H71"/>
  <c r="P71" s="1"/>
  <c r="H72"/>
  <c r="P72" s="1"/>
  <c r="T72" s="1"/>
  <c r="H73"/>
  <c r="P73" s="1"/>
  <c r="I53"/>
  <c r="Q53" s="1"/>
  <c r="U53" s="1"/>
  <c r="I54"/>
  <c r="Q54" s="1"/>
  <c r="I55"/>
  <c r="Q55" s="1"/>
  <c r="U55" s="1"/>
  <c r="I56"/>
  <c r="Q56" s="1"/>
  <c r="I59"/>
  <c r="Q59" s="1"/>
  <c r="I60"/>
  <c r="Q60" s="1"/>
  <c r="I61"/>
  <c r="Q61" s="1"/>
  <c r="U61" s="1"/>
  <c r="I62"/>
  <c r="Q62" s="1"/>
  <c r="I65"/>
  <c r="Q65" s="1"/>
  <c r="I66"/>
  <c r="Q66" s="1"/>
  <c r="I67"/>
  <c r="Q67" s="1"/>
  <c r="I70"/>
  <c r="Q70" s="1"/>
  <c r="I71"/>
  <c r="Q71" s="1"/>
  <c r="I72"/>
  <c r="Q72" s="1"/>
  <c r="I73"/>
  <c r="Q73" s="1"/>
  <c r="C56"/>
  <c r="C51" s="1"/>
  <c r="C62"/>
  <c r="C58" s="1"/>
  <c r="C65"/>
  <c r="F65" s="1"/>
  <c r="C66"/>
  <c r="C74"/>
  <c r="C69" s="1"/>
  <c r="D56"/>
  <c r="D51" s="1"/>
  <c r="D62"/>
  <c r="D58" s="1"/>
  <c r="D65"/>
  <c r="D66"/>
  <c r="D67"/>
  <c r="D71"/>
  <c r="F71" s="1"/>
  <c r="D73"/>
  <c r="D74"/>
  <c r="E54"/>
  <c r="E56"/>
  <c r="E60"/>
  <c r="E62"/>
  <c r="E65"/>
  <c r="E66"/>
  <c r="E67"/>
  <c r="E70"/>
  <c r="E71"/>
  <c r="E72"/>
  <c r="F72" s="1"/>
  <c r="E73"/>
  <c r="E74"/>
  <c r="F74" s="1"/>
  <c r="L76"/>
  <c r="W48"/>
  <c r="AE48" s="1"/>
  <c r="X48"/>
  <c r="AF48" s="1"/>
  <c r="Y48"/>
  <c r="S48"/>
  <c r="P48"/>
  <c r="T48" s="1"/>
  <c r="Q48"/>
  <c r="U48" s="1"/>
  <c r="AG48"/>
  <c r="AM48"/>
  <c r="AD48"/>
  <c r="AB53"/>
  <c r="AB54"/>
  <c r="AB55"/>
  <c r="AB56"/>
  <c r="AB59"/>
  <c r="AB60"/>
  <c r="AB61"/>
  <c r="AB62"/>
  <c r="AB65"/>
  <c r="AB67"/>
  <c r="AB70"/>
  <c r="AB71"/>
  <c r="AB72"/>
  <c r="AB73"/>
  <c r="AB74"/>
  <c r="AA53"/>
  <c r="AA54"/>
  <c r="AA55"/>
  <c r="AA56"/>
  <c r="Y98" i="7"/>
  <c r="X22" i="29" s="1"/>
  <c r="Y128" i="7"/>
  <c r="X29" i="29" s="1"/>
  <c r="Y55" i="14"/>
  <c r="Y56"/>
  <c r="Y59"/>
  <c r="Y60"/>
  <c r="Y61"/>
  <c r="Y62"/>
  <c r="Y65"/>
  <c r="Y66"/>
  <c r="AG66" s="1"/>
  <c r="Y154" i="7"/>
  <c r="X24" i="30" s="1"/>
  <c r="X28" s="1"/>
  <c r="X30" s="1"/>
  <c r="Y158" i="7"/>
  <c r="X8" i="31" s="1"/>
  <c r="Y168" i="7"/>
  <c r="X19" i="31" s="1"/>
  <c r="Y73" i="14"/>
  <c r="Y74"/>
  <c r="AC53"/>
  <c r="AC54"/>
  <c r="AC55"/>
  <c r="AC59"/>
  <c r="AC60"/>
  <c r="AG60" s="1"/>
  <c r="AC61"/>
  <c r="AC62"/>
  <c r="AC65"/>
  <c r="AC67"/>
  <c r="AC70"/>
  <c r="AC71"/>
  <c r="AC72"/>
  <c r="AC73"/>
  <c r="AC74"/>
  <c r="AA59"/>
  <c r="AA60"/>
  <c r="AA61"/>
  <c r="AA62"/>
  <c r="AA65"/>
  <c r="AA67"/>
  <c r="AA70"/>
  <c r="AA71"/>
  <c r="AA72"/>
  <c r="AA73"/>
  <c r="AA74"/>
  <c r="W53"/>
  <c r="W128" i="7"/>
  <c r="V29" i="29" s="1"/>
  <c r="V43" s="1"/>
  <c r="V45" s="1"/>
  <c r="W55" i="14"/>
  <c r="W56"/>
  <c r="W59"/>
  <c r="W60"/>
  <c r="W61"/>
  <c r="W62"/>
  <c r="W65"/>
  <c r="W66"/>
  <c r="AE66" s="1"/>
  <c r="W154" i="7"/>
  <c r="V24" i="30" s="1"/>
  <c r="V28" s="1"/>
  <c r="V30" s="1"/>
  <c r="W70" i="14"/>
  <c r="W71"/>
  <c r="W72"/>
  <c r="W73"/>
  <c r="AE73" s="1"/>
  <c r="W74"/>
  <c r="X53"/>
  <c r="X128" i="7"/>
  <c r="W29" i="29" s="1"/>
  <c r="X55" i="14"/>
  <c r="X56"/>
  <c r="X59"/>
  <c r="X60"/>
  <c r="X61"/>
  <c r="X62"/>
  <c r="X65"/>
  <c r="X66"/>
  <c r="AF66" s="1"/>
  <c r="X154" i="7"/>
  <c r="W24" i="30" s="1"/>
  <c r="W28" s="1"/>
  <c r="W30" s="1"/>
  <c r="X70" i="14"/>
  <c r="X71"/>
  <c r="X72"/>
  <c r="X73"/>
  <c r="X74"/>
  <c r="AF74" s="1"/>
  <c r="N51"/>
  <c r="AA52"/>
  <c r="G52"/>
  <c r="N52"/>
  <c r="W52"/>
  <c r="F54"/>
  <c r="N54"/>
  <c r="N56"/>
  <c r="N58"/>
  <c r="N59"/>
  <c r="F60"/>
  <c r="N60"/>
  <c r="N62"/>
  <c r="N64"/>
  <c r="N66"/>
  <c r="F67"/>
  <c r="N67"/>
  <c r="N69"/>
  <c r="N70"/>
  <c r="O73"/>
  <c r="S73" s="1"/>
  <c r="AM73" s="1"/>
  <c r="T74"/>
  <c r="O74" i="7"/>
  <c r="Q74"/>
  <c r="S40"/>
  <c r="S80"/>
  <c r="AM80" s="1"/>
  <c r="P74"/>
  <c r="R74"/>
  <c r="R76"/>
  <c r="U49"/>
  <c r="U50"/>
  <c r="AO50" s="1"/>
  <c r="U29"/>
  <c r="AO29" s="1"/>
  <c r="U30"/>
  <c r="U31"/>
  <c r="U32"/>
  <c r="AO32" s="1"/>
  <c r="U33"/>
  <c r="AO33" s="1"/>
  <c r="U34"/>
  <c r="U35"/>
  <c r="U36"/>
  <c r="U37"/>
  <c r="U38"/>
  <c r="U39"/>
  <c r="U40"/>
  <c r="U41"/>
  <c r="AO41" s="1"/>
  <c r="U42"/>
  <c r="U43"/>
  <c r="AO43" s="1"/>
  <c r="U23"/>
  <c r="U24"/>
  <c r="AO24" s="1"/>
  <c r="U13"/>
  <c r="U14"/>
  <c r="AO14" s="1"/>
  <c r="U15"/>
  <c r="U16"/>
  <c r="U17"/>
  <c r="U18"/>
  <c r="U79"/>
  <c r="U80"/>
  <c r="AO80" s="1"/>
  <c r="U188"/>
  <c r="AO188" s="1"/>
  <c r="U168"/>
  <c r="T49"/>
  <c r="AN49" s="1"/>
  <c r="T50"/>
  <c r="T29"/>
  <c r="AN29" s="1"/>
  <c r="T30"/>
  <c r="AN30" s="1"/>
  <c r="T31"/>
  <c r="AN31" s="1"/>
  <c r="T32"/>
  <c r="T33"/>
  <c r="AN33" s="1"/>
  <c r="T34"/>
  <c r="AN34" s="1"/>
  <c r="T35"/>
  <c r="AN35" s="1"/>
  <c r="T36"/>
  <c r="T37"/>
  <c r="T38"/>
  <c r="AN38" s="1"/>
  <c r="T39"/>
  <c r="AN39" s="1"/>
  <c r="T40"/>
  <c r="AN40" s="1"/>
  <c r="T41"/>
  <c r="AN41" s="1"/>
  <c r="T42"/>
  <c r="AN42" s="1"/>
  <c r="T43"/>
  <c r="AN43" s="1"/>
  <c r="T23"/>
  <c r="AN23" s="1"/>
  <c r="T24"/>
  <c r="T13"/>
  <c r="AN13" s="1"/>
  <c r="T14"/>
  <c r="T15"/>
  <c r="AN15" s="1"/>
  <c r="T16"/>
  <c r="AN16" s="1"/>
  <c r="T17"/>
  <c r="AN17" s="1"/>
  <c r="T18"/>
  <c r="AN18" s="1"/>
  <c r="T9"/>
  <c r="T79"/>
  <c r="T80"/>
  <c r="V13"/>
  <c r="AP13" s="1"/>
  <c r="AJ13"/>
  <c r="AJ17"/>
  <c r="AE52"/>
  <c r="AG52"/>
  <c r="AG33"/>
  <c r="AG45" s="1"/>
  <c r="AI52"/>
  <c r="AF52"/>
  <c r="AF45"/>
  <c r="AH52"/>
  <c r="AU33"/>
  <c r="AJ49"/>
  <c r="AK41"/>
  <c r="AK24"/>
  <c r="U9"/>
  <c r="AM9"/>
  <c r="AD52"/>
  <c r="AD59" s="1"/>
  <c r="AD297" s="1"/>
  <c r="U84"/>
  <c r="Q88"/>
  <c r="U88" s="1"/>
  <c r="AO88" s="1"/>
  <c r="AG88"/>
  <c r="AH88" s="1"/>
  <c r="Q87"/>
  <c r="U87" s="1"/>
  <c r="AG89"/>
  <c r="AH89" s="1"/>
  <c r="Q89"/>
  <c r="U89" s="1"/>
  <c r="AG90"/>
  <c r="AH90" s="1"/>
  <c r="Q90"/>
  <c r="U90" s="1"/>
  <c r="AO90" s="1"/>
  <c r="Q92"/>
  <c r="U92" s="1"/>
  <c r="AO92" s="1"/>
  <c r="AG92"/>
  <c r="AH92" s="1"/>
  <c r="U99"/>
  <c r="AG101"/>
  <c r="AH101" s="1"/>
  <c r="Q100"/>
  <c r="U100" s="1"/>
  <c r="AO100" s="1"/>
  <c r="AG100"/>
  <c r="AH100" s="1"/>
  <c r="Q101"/>
  <c r="R101" s="1"/>
  <c r="AG102"/>
  <c r="AH102" s="1"/>
  <c r="R100"/>
  <c r="Q102"/>
  <c r="U102" s="1"/>
  <c r="S106"/>
  <c r="AM106" s="1"/>
  <c r="T106"/>
  <c r="U106"/>
  <c r="AO106" s="1"/>
  <c r="AG106"/>
  <c r="AH106" s="1"/>
  <c r="T105"/>
  <c r="AN105" s="1"/>
  <c r="U105"/>
  <c r="AO105" s="1"/>
  <c r="AJ105"/>
  <c r="S107"/>
  <c r="AM107" s="1"/>
  <c r="T107"/>
  <c r="AN107" s="1"/>
  <c r="U107"/>
  <c r="AO107" s="1"/>
  <c r="AG107"/>
  <c r="AH107" s="1"/>
  <c r="AG111"/>
  <c r="AH111" s="1"/>
  <c r="Q111"/>
  <c r="R111" s="1"/>
  <c r="U110"/>
  <c r="U113"/>
  <c r="U116"/>
  <c r="AG118"/>
  <c r="AH118" s="1"/>
  <c r="AG117"/>
  <c r="AH117" s="1"/>
  <c r="Q117"/>
  <c r="U117" s="1"/>
  <c r="AO117" s="1"/>
  <c r="AG119"/>
  <c r="AH119" s="1"/>
  <c r="Q118"/>
  <c r="R118" s="1"/>
  <c r="U119"/>
  <c r="AG122"/>
  <c r="AH122" s="1"/>
  <c r="T122"/>
  <c r="AN122" s="1"/>
  <c r="U122"/>
  <c r="AO122" s="1"/>
  <c r="T123"/>
  <c r="AN123" s="1"/>
  <c r="U123"/>
  <c r="AO123" s="1"/>
  <c r="AJ123"/>
  <c r="T124"/>
  <c r="AN124" s="1"/>
  <c r="U124"/>
  <c r="AO124" s="1"/>
  <c r="T125"/>
  <c r="AN125" s="1"/>
  <c r="U125"/>
  <c r="AO125" s="1"/>
  <c r="U129"/>
  <c r="T126"/>
  <c r="AN126" s="1"/>
  <c r="U126"/>
  <c r="AO126" s="1"/>
  <c r="AJ126"/>
  <c r="U132"/>
  <c r="Q133"/>
  <c r="U133" s="1"/>
  <c r="AO133" s="1"/>
  <c r="AG133"/>
  <c r="AH133" s="1"/>
  <c r="R133"/>
  <c r="T136"/>
  <c r="U136"/>
  <c r="T137"/>
  <c r="AN137" s="1"/>
  <c r="U137"/>
  <c r="AO137" s="1"/>
  <c r="AJ137"/>
  <c r="AG142"/>
  <c r="AH142" s="1"/>
  <c r="Q143"/>
  <c r="U143" s="1"/>
  <c r="AO143" s="1"/>
  <c r="AG143"/>
  <c r="AG144"/>
  <c r="AH144" s="1"/>
  <c r="Q142"/>
  <c r="U142" s="1"/>
  <c r="AO142" s="1"/>
  <c r="T138"/>
  <c r="AN138" s="1"/>
  <c r="U138"/>
  <c r="AO138" s="1"/>
  <c r="AJ138"/>
  <c r="AK138"/>
  <c r="U141"/>
  <c r="AH143"/>
  <c r="Q144"/>
  <c r="U144" s="1"/>
  <c r="AO144" s="1"/>
  <c r="U147"/>
  <c r="Q148"/>
  <c r="U148" s="1"/>
  <c r="AO148" s="1"/>
  <c r="AG148"/>
  <c r="AH148" s="1"/>
  <c r="AG149"/>
  <c r="AH149" s="1"/>
  <c r="Q150"/>
  <c r="U150" s="1"/>
  <c r="AO150" s="1"/>
  <c r="AG150"/>
  <c r="AH150" s="1"/>
  <c r="Q149"/>
  <c r="R149" s="1"/>
  <c r="Q151"/>
  <c r="U151" s="1"/>
  <c r="AO151" s="1"/>
  <c r="AG151"/>
  <c r="AH151" s="1"/>
  <c r="Q152"/>
  <c r="U152" s="1"/>
  <c r="AO152" s="1"/>
  <c r="AG152"/>
  <c r="AH152" s="1"/>
  <c r="R151"/>
  <c r="T156"/>
  <c r="AN156" s="1"/>
  <c r="U156"/>
  <c r="AO156" s="1"/>
  <c r="AG156"/>
  <c r="AH156" s="1"/>
  <c r="S155"/>
  <c r="T155"/>
  <c r="AN155" s="1"/>
  <c r="U155"/>
  <c r="AO155" s="1"/>
  <c r="AJ155"/>
  <c r="AG160"/>
  <c r="AH160" s="1"/>
  <c r="AG161"/>
  <c r="AH161" s="1"/>
  <c r="AG162"/>
  <c r="AH162" s="1"/>
  <c r="Q161"/>
  <c r="U161" s="1"/>
  <c r="AO161" s="1"/>
  <c r="Q160"/>
  <c r="R160" s="1"/>
  <c r="U159"/>
  <c r="Q162"/>
  <c r="R162" s="1"/>
  <c r="AG163"/>
  <c r="AH163" s="1"/>
  <c r="Q163"/>
  <c r="U163" s="1"/>
  <c r="AG165"/>
  <c r="AH165" s="1"/>
  <c r="AG164"/>
  <c r="AH164" s="1"/>
  <c r="Q165"/>
  <c r="U165" s="1"/>
  <c r="AO165" s="1"/>
  <c r="Q164"/>
  <c r="U164" s="1"/>
  <c r="AO164" s="1"/>
  <c r="AG166"/>
  <c r="AH166" s="1"/>
  <c r="Q166"/>
  <c r="U166" s="1"/>
  <c r="AO166" s="1"/>
  <c r="T169"/>
  <c r="AN169" s="1"/>
  <c r="U169"/>
  <c r="AO169" s="1"/>
  <c r="AG170"/>
  <c r="AH170" s="1"/>
  <c r="P170"/>
  <c r="T170" s="1"/>
  <c r="AN170" s="1"/>
  <c r="Q170"/>
  <c r="U170" s="1"/>
  <c r="AO170" s="1"/>
  <c r="P171"/>
  <c r="T171" s="1"/>
  <c r="AN171" s="1"/>
  <c r="Q171"/>
  <c r="U171" s="1"/>
  <c r="AO171" s="1"/>
  <c r="AG171"/>
  <c r="AH171" s="1"/>
  <c r="AG179"/>
  <c r="AK179" s="1"/>
  <c r="AL179" s="1"/>
  <c r="BH179" s="1"/>
  <c r="N185"/>
  <c r="M185"/>
  <c r="M267" s="1"/>
  <c r="L185"/>
  <c r="L267" s="1"/>
  <c r="K185"/>
  <c r="K267" s="1"/>
  <c r="U191"/>
  <c r="S196"/>
  <c r="AM196" s="1"/>
  <c r="T196"/>
  <c r="AN196" s="1"/>
  <c r="U196"/>
  <c r="AO196" s="1"/>
  <c r="AJ196"/>
  <c r="U201"/>
  <c r="U206"/>
  <c r="AG211"/>
  <c r="AH211" s="1"/>
  <c r="S211"/>
  <c r="T211"/>
  <c r="AN211" s="1"/>
  <c r="U211"/>
  <c r="AG216"/>
  <c r="AH216" s="1"/>
  <c r="S216"/>
  <c r="AM216" s="1"/>
  <c r="T216"/>
  <c r="U216"/>
  <c r="U221"/>
  <c r="S226"/>
  <c r="T226"/>
  <c r="AN226" s="1"/>
  <c r="U226"/>
  <c r="U236"/>
  <c r="T241"/>
  <c r="AN241" s="1"/>
  <c r="U241"/>
  <c r="AO241" s="1"/>
  <c r="U246"/>
  <c r="T251"/>
  <c r="U251"/>
  <c r="AO251" s="1"/>
  <c r="AK261"/>
  <c r="AL261" s="1"/>
  <c r="N74"/>
  <c r="AH300"/>
  <c r="AG300"/>
  <c r="AF300"/>
  <c r="AE300"/>
  <c r="AD300"/>
  <c r="Z300"/>
  <c r="Y300"/>
  <c r="X300"/>
  <c r="W300"/>
  <c r="Z298"/>
  <c r="Y298"/>
  <c r="X298"/>
  <c r="W298"/>
  <c r="R298"/>
  <c r="Q298"/>
  <c r="P298"/>
  <c r="O298"/>
  <c r="N298"/>
  <c r="M298"/>
  <c r="L298"/>
  <c r="K298"/>
  <c r="J298"/>
  <c r="J73" i="13" l="1"/>
  <c r="AM226" i="7"/>
  <c r="S223"/>
  <c r="AW21" i="13"/>
  <c r="AP13" i="1"/>
  <c r="AX13" s="1"/>
  <c r="AW13"/>
  <c r="AR91"/>
  <c r="AV91"/>
  <c r="AU91" s="1"/>
  <c r="AR92"/>
  <c r="AV92"/>
  <c r="L73" i="13"/>
  <c r="AZ73" s="1"/>
  <c r="J68"/>
  <c r="J64"/>
  <c r="J75"/>
  <c r="J69"/>
  <c r="J67"/>
  <c r="J63"/>
  <c r="J61"/>
  <c r="H53"/>
  <c r="L53" s="1"/>
  <c r="AC47"/>
  <c r="AW47" s="1"/>
  <c r="AO43"/>
  <c r="Z10"/>
  <c r="AJ226" i="7"/>
  <c r="AS10" i="13"/>
  <c r="K75"/>
  <c r="AY75" s="1"/>
  <c r="K69"/>
  <c r="AY69" s="1"/>
  <c r="BB69" s="1"/>
  <c r="K61"/>
  <c r="AY61" s="1"/>
  <c r="L56"/>
  <c r="AZ56" s="1"/>
  <c r="BB56" s="1"/>
  <c r="Z37"/>
  <c r="N44"/>
  <c r="AC37"/>
  <c r="AD37" s="1"/>
  <c r="J57"/>
  <c r="J55"/>
  <c r="AJ122" i="7"/>
  <c r="U111"/>
  <c r="AO111" s="1"/>
  <c r="Y29" i="13"/>
  <c r="AC29" s="1"/>
  <c r="AD29" s="1"/>
  <c r="Y39"/>
  <c r="Z39" s="1"/>
  <c r="Z31"/>
  <c r="AC31"/>
  <c r="AW31" s="1"/>
  <c r="AI216" i="7"/>
  <c r="AI106"/>
  <c r="AO163"/>
  <c r="AR34" i="24"/>
  <c r="AS34" s="1"/>
  <c r="AV34"/>
  <c r="AB33"/>
  <c r="AC34"/>
  <c r="AW34" s="1"/>
  <c r="AB41" i="22"/>
  <c r="AB40" s="1"/>
  <c r="AB30" i="24"/>
  <c r="AN29"/>
  <c r="AO30"/>
  <c r="Y46" i="13"/>
  <c r="AC46" s="1"/>
  <c r="AS206" i="1"/>
  <c r="AT206" s="1"/>
  <c r="BD206" s="1"/>
  <c r="AB108" i="22"/>
  <c r="AS131" i="1"/>
  <c r="AB70" i="22"/>
  <c r="AO149" i="1"/>
  <c r="AS149" s="1"/>
  <c r="AN41" i="22"/>
  <c r="AS237" i="1"/>
  <c r="AT237" s="1"/>
  <c r="BD237" s="1"/>
  <c r="AB130" i="22"/>
  <c r="AS220" i="1"/>
  <c r="AB119" i="22"/>
  <c r="AS159" i="1"/>
  <c r="AT159" s="1"/>
  <c r="BD159" s="1"/>
  <c r="AB45" i="22"/>
  <c r="AS141" i="1"/>
  <c r="AT141" s="1"/>
  <c r="BD141" s="1"/>
  <c r="AB77" i="22"/>
  <c r="AS112" i="1"/>
  <c r="AT112" s="1"/>
  <c r="BD112" s="1"/>
  <c r="AB64" i="22"/>
  <c r="AN84" i="23"/>
  <c r="AN30" i="30" s="1"/>
  <c r="AM84" i="23"/>
  <c r="AM30" i="30" s="1"/>
  <c r="AJ251" i="7"/>
  <c r="AN251"/>
  <c r="AK246"/>
  <c r="AL246" s="1"/>
  <c r="AO246"/>
  <c r="AJ216"/>
  <c r="AN216"/>
  <c r="V201"/>
  <c r="AP201" s="1"/>
  <c r="AO201"/>
  <c r="AI155"/>
  <c r="AM155"/>
  <c r="AK141"/>
  <c r="AL141" s="1"/>
  <c r="BH141" s="1"/>
  <c r="AO141"/>
  <c r="AJ136"/>
  <c r="AN136"/>
  <c r="AK132"/>
  <c r="AL132" s="1"/>
  <c r="BH132" s="1"/>
  <c r="AO132"/>
  <c r="AK129"/>
  <c r="AL129" s="1"/>
  <c r="BH129" s="1"/>
  <c r="AO129"/>
  <c r="V119"/>
  <c r="AP119" s="1"/>
  <c r="AO119"/>
  <c r="V116"/>
  <c r="AP116" s="1"/>
  <c r="AO116"/>
  <c r="AJ106"/>
  <c r="AN106"/>
  <c r="V102"/>
  <c r="AP102" s="1"/>
  <c r="AO102"/>
  <c r="V84"/>
  <c r="AP84" s="1"/>
  <c r="AO84"/>
  <c r="AJ14"/>
  <c r="AN14"/>
  <c r="AJ24"/>
  <c r="AL24" s="1"/>
  <c r="AN24"/>
  <c r="AJ37"/>
  <c r="AN37"/>
  <c r="AK17"/>
  <c r="AL17" s="1"/>
  <c r="AO17"/>
  <c r="AK15"/>
  <c r="AO15"/>
  <c r="AK13"/>
  <c r="AL13" s="1"/>
  <c r="AO13"/>
  <c r="AK23"/>
  <c r="AK25" s="1"/>
  <c r="AO23"/>
  <c r="AK42"/>
  <c r="AO42"/>
  <c r="AK40"/>
  <c r="AO40"/>
  <c r="AK38"/>
  <c r="AO38"/>
  <c r="AK36"/>
  <c r="AO36"/>
  <c r="AK34"/>
  <c r="AO34"/>
  <c r="AK30"/>
  <c r="AO30"/>
  <c r="S45"/>
  <c r="AM40"/>
  <c r="AK236"/>
  <c r="AL236" s="1"/>
  <c r="AO236"/>
  <c r="AK221"/>
  <c r="AL221" s="1"/>
  <c r="AO221"/>
  <c r="AI211"/>
  <c r="AM211"/>
  <c r="AK206"/>
  <c r="AL206" s="1"/>
  <c r="AO206"/>
  <c r="V191"/>
  <c r="AP191" s="1"/>
  <c r="AO191"/>
  <c r="V159"/>
  <c r="AP159" s="1"/>
  <c r="AO159"/>
  <c r="AK147"/>
  <c r="AL147" s="1"/>
  <c r="BH147" s="1"/>
  <c r="AO147"/>
  <c r="AK136"/>
  <c r="AO136"/>
  <c r="V113"/>
  <c r="AP113" s="1"/>
  <c r="AO113"/>
  <c r="V110"/>
  <c r="AP110" s="1"/>
  <c r="AO110"/>
  <c r="AK99"/>
  <c r="AL99" s="1"/>
  <c r="BH99" s="1"/>
  <c r="AO99"/>
  <c r="AK87"/>
  <c r="AL87" s="1"/>
  <c r="BH87" s="1"/>
  <c r="AO87"/>
  <c r="AJ36"/>
  <c r="AL36" s="1"/>
  <c r="AN36"/>
  <c r="AJ32"/>
  <c r="AN32"/>
  <c r="AJ50"/>
  <c r="AJ52" s="1"/>
  <c r="AN50"/>
  <c r="AK18"/>
  <c r="AO18"/>
  <c r="AK16"/>
  <c r="AO16"/>
  <c r="AK39"/>
  <c r="AO39"/>
  <c r="AK37"/>
  <c r="AO37"/>
  <c r="AK35"/>
  <c r="AO35"/>
  <c r="AK31"/>
  <c r="AO31"/>
  <c r="AK49"/>
  <c r="AO49"/>
  <c r="V246"/>
  <c r="AP246" s="1"/>
  <c r="AI226"/>
  <c r="AO216"/>
  <c r="AO211"/>
  <c r="AK196"/>
  <c r="AI196"/>
  <c r="AO89"/>
  <c r="AJ41"/>
  <c r="AG59"/>
  <c r="AG297" s="1"/>
  <c r="AB298" i="1"/>
  <c r="AS13"/>
  <c r="AT13" s="1"/>
  <c r="J76" i="13"/>
  <c r="J74"/>
  <c r="J72"/>
  <c r="J56"/>
  <c r="L269" i="7"/>
  <c r="K140" i="23"/>
  <c r="K142"/>
  <c r="K269" i="7"/>
  <c r="J140" i="23"/>
  <c r="J142"/>
  <c r="M269" i="7"/>
  <c r="L140" i="23"/>
  <c r="L142"/>
  <c r="V17"/>
  <c r="V138" s="1"/>
  <c r="V45" i="34" s="1"/>
  <c r="AN9" i="23"/>
  <c r="AE59" i="7"/>
  <c r="X67" i="14"/>
  <c r="AF67" s="1"/>
  <c r="Y72"/>
  <c r="Z72" s="1"/>
  <c r="Y70"/>
  <c r="AG70" s="1"/>
  <c r="Y54"/>
  <c r="AG54" s="1"/>
  <c r="K80"/>
  <c r="W67"/>
  <c r="AE67" s="1"/>
  <c r="Y71"/>
  <c r="AG71" s="1"/>
  <c r="Y67"/>
  <c r="AG67" s="1"/>
  <c r="AH42" i="13"/>
  <c r="AK32" i="7"/>
  <c r="V15"/>
  <c r="AP15" s="1"/>
  <c r="V23"/>
  <c r="AP23" s="1"/>
  <c r="V42"/>
  <c r="AP42" s="1"/>
  <c r="V38"/>
  <c r="AP38" s="1"/>
  <c r="V34"/>
  <c r="AP34" s="1"/>
  <c r="V30"/>
  <c r="AP30" s="1"/>
  <c r="U25"/>
  <c r="AO25" s="1"/>
  <c r="U74" i="14"/>
  <c r="S74"/>
  <c r="AM74" s="1"/>
  <c r="F62"/>
  <c r="F56"/>
  <c r="L80"/>
  <c r="AD143" i="1"/>
  <c r="AX143" s="1"/>
  <c r="AW131"/>
  <c r="AT21"/>
  <c r="Z256"/>
  <c r="L57" i="13"/>
  <c r="AZ57" s="1"/>
  <c r="BB57" s="1"/>
  <c r="BB43"/>
  <c r="BB36"/>
  <c r="AD21"/>
  <c r="AX21" s="1"/>
  <c r="Y12"/>
  <c r="AC12" s="1"/>
  <c r="AD12" s="1"/>
  <c r="C64" i="14"/>
  <c r="E58"/>
  <c r="E51"/>
  <c r="F51" s="1"/>
  <c r="R48"/>
  <c r="T71"/>
  <c r="AF23" i="13"/>
  <c r="AF20" s="1"/>
  <c r="AN20" s="1"/>
  <c r="AF59" i="7"/>
  <c r="AF74" s="1"/>
  <c r="AN18" i="13"/>
  <c r="AR18" s="1"/>
  <c r="F73" i="14"/>
  <c r="C50"/>
  <c r="C76" s="1"/>
  <c r="C80" s="1"/>
  <c r="U67"/>
  <c r="AJ15" i="7"/>
  <c r="AL15" s="1"/>
  <c r="V17"/>
  <c r="AP17" s="1"/>
  <c r="V36"/>
  <c r="AP36" s="1"/>
  <c r="V18"/>
  <c r="AP18" s="1"/>
  <c r="V16"/>
  <c r="AP16" s="1"/>
  <c r="T25"/>
  <c r="AN25" s="1"/>
  <c r="V43"/>
  <c r="AP43" s="1"/>
  <c r="V41"/>
  <c r="AP41" s="1"/>
  <c r="V39"/>
  <c r="AP39" s="1"/>
  <c r="V37"/>
  <c r="AP37" s="1"/>
  <c r="V35"/>
  <c r="AP35" s="1"/>
  <c r="V49"/>
  <c r="AP49" s="1"/>
  <c r="U60" i="14"/>
  <c r="AO60" s="1"/>
  <c r="U56"/>
  <c r="AL49" i="7"/>
  <c r="Z48" i="14"/>
  <c r="X312" i="7"/>
  <c r="AE154"/>
  <c r="AE317" s="1"/>
  <c r="AD112" i="1"/>
  <c r="AX112" s="1"/>
  <c r="AE53" i="14"/>
  <c r="AW115" i="1"/>
  <c r="AW107"/>
  <c r="AN27" i="13"/>
  <c r="AV27" s="1"/>
  <c r="F81"/>
  <c r="BB23"/>
  <c r="I66"/>
  <c r="M66" s="1"/>
  <c r="BA66" s="1"/>
  <c r="G66"/>
  <c r="K66" s="1"/>
  <c r="AY66" s="1"/>
  <c r="I71"/>
  <c r="M71" s="1"/>
  <c r="BA71" s="1"/>
  <c r="I60"/>
  <c r="M60" s="1"/>
  <c r="BA60" s="1"/>
  <c r="G60"/>
  <c r="K60" s="1"/>
  <c r="AY60" s="1"/>
  <c r="BB41"/>
  <c r="BB39"/>
  <c r="BB12"/>
  <c r="AD15"/>
  <c r="BB18"/>
  <c r="BB10"/>
  <c r="H66"/>
  <c r="L66" s="1"/>
  <c r="AZ66" s="1"/>
  <c r="G71"/>
  <c r="K71" s="1"/>
  <c r="I53"/>
  <c r="M53" s="1"/>
  <c r="H71"/>
  <c r="L71" s="1"/>
  <c r="AZ71" s="1"/>
  <c r="H60"/>
  <c r="G53"/>
  <c r="K53" s="1"/>
  <c r="AY53" s="1"/>
  <c r="L60"/>
  <c r="AZ60" s="1"/>
  <c r="AO48" i="14"/>
  <c r="AK48"/>
  <c r="E69"/>
  <c r="F58"/>
  <c r="AK188" i="7"/>
  <c r="AL188" s="1"/>
  <c r="BH188" s="1"/>
  <c r="AK43"/>
  <c r="AJ43"/>
  <c r="AJ39"/>
  <c r="AJ35"/>
  <c r="AL35" s="1"/>
  <c r="AF154"/>
  <c r="AJ154" s="1"/>
  <c r="V188"/>
  <c r="AP188" s="1"/>
  <c r="V24"/>
  <c r="AP24" s="1"/>
  <c r="V79"/>
  <c r="F70" i="14"/>
  <c r="F66"/>
  <c r="AH48"/>
  <c r="V48"/>
  <c r="E64"/>
  <c r="D69"/>
  <c r="F69" s="1"/>
  <c r="U70"/>
  <c r="N42" i="13"/>
  <c r="BB33"/>
  <c r="BB34"/>
  <c r="BB25"/>
  <c r="BB22"/>
  <c r="N40"/>
  <c r="AW15"/>
  <c r="N73"/>
  <c r="N71"/>
  <c r="BB50"/>
  <c r="BB42"/>
  <c r="BB17"/>
  <c r="AY71"/>
  <c r="N68"/>
  <c r="N67"/>
  <c r="N63"/>
  <c r="N62"/>
  <c r="N74"/>
  <c r="BB71"/>
  <c r="N69"/>
  <c r="Q52"/>
  <c r="BA53"/>
  <c r="BB31"/>
  <c r="BB44"/>
  <c r="AR41"/>
  <c r="BB30"/>
  <c r="BB27"/>
  <c r="BB15"/>
  <c r="BB14"/>
  <c r="J60"/>
  <c r="BB72"/>
  <c r="BB67"/>
  <c r="N76"/>
  <c r="N75"/>
  <c r="N72"/>
  <c r="N58"/>
  <c r="R53"/>
  <c r="BB47"/>
  <c r="BB40"/>
  <c r="AD44"/>
  <c r="BB37"/>
  <c r="BB29"/>
  <c r="BB26"/>
  <c r="BB21"/>
  <c r="BB20"/>
  <c r="BB13"/>
  <c r="N50"/>
  <c r="AR43"/>
  <c r="BB74"/>
  <c r="BB68"/>
  <c r="BB63"/>
  <c r="BB75"/>
  <c r="BB64"/>
  <c r="BB61"/>
  <c r="BB58"/>
  <c r="AZ53"/>
  <c r="BB73"/>
  <c r="BB62"/>
  <c r="BB55"/>
  <c r="BB54"/>
  <c r="BA76"/>
  <c r="BB76" s="1"/>
  <c r="N64"/>
  <c r="N61"/>
  <c r="N56"/>
  <c r="N55"/>
  <c r="N54"/>
  <c r="AP50"/>
  <c r="AX50" s="1"/>
  <c r="AW40"/>
  <c r="AG62" i="14"/>
  <c r="U319" i="7"/>
  <c r="AW213" i="1"/>
  <c r="AP106"/>
  <c r="AX106" s="1"/>
  <c r="AD71"/>
  <c r="AX71" s="1"/>
  <c r="AC48" i="13"/>
  <c r="AV62"/>
  <c r="AA48"/>
  <c r="C78" i="14"/>
  <c r="U52" i="7"/>
  <c r="AO52" s="1"/>
  <c r="M76" i="14"/>
  <c r="M80" s="1"/>
  <c r="U72"/>
  <c r="U66"/>
  <c r="AO66" s="1"/>
  <c r="U62"/>
  <c r="AO62" s="1"/>
  <c r="U54"/>
  <c r="S65"/>
  <c r="AM65" s="1"/>
  <c r="K275" i="7"/>
  <c r="AD74"/>
  <c r="V236"/>
  <c r="AP236" s="1"/>
  <c r="N267"/>
  <c r="AH33"/>
  <c r="AH45" s="1"/>
  <c r="AH59" s="1"/>
  <c r="AH297" s="1"/>
  <c r="AI48" i="14"/>
  <c r="D64"/>
  <c r="F64" s="1"/>
  <c r="U73"/>
  <c r="T73"/>
  <c r="T67"/>
  <c r="V67" s="1"/>
  <c r="S56"/>
  <c r="AM56" s="1"/>
  <c r="T65"/>
  <c r="J72"/>
  <c r="J55"/>
  <c r="AN74"/>
  <c r="Z55"/>
  <c r="AF59"/>
  <c r="AN59" s="1"/>
  <c r="W317" i="7"/>
  <c r="AK251"/>
  <c r="Z98"/>
  <c r="AG98"/>
  <c r="AF65" i="14"/>
  <c r="AF61"/>
  <c r="AN61" s="1"/>
  <c r="Z59"/>
  <c r="AF55"/>
  <c r="AJ55" s="1"/>
  <c r="AF53"/>
  <c r="AN53" s="1"/>
  <c r="AE62"/>
  <c r="AD61"/>
  <c r="AT88" i="1"/>
  <c r="AT86"/>
  <c r="AT85"/>
  <c r="AU14" i="13"/>
  <c r="AQ14"/>
  <c r="AB48"/>
  <c r="AE20"/>
  <c r="AM20" s="1"/>
  <c r="AQ20" s="1"/>
  <c r="AO9" i="7"/>
  <c r="AK9"/>
  <c r="V9"/>
  <c r="AP9" s="1"/>
  <c r="AJ30"/>
  <c r="AL30" s="1"/>
  <c r="AO255" i="1"/>
  <c r="AO256" s="1"/>
  <c r="AS256" s="1"/>
  <c r="AR40" i="13"/>
  <c r="AN48" i="14"/>
  <c r="AT261" i="1"/>
  <c r="AJ48" i="14"/>
  <c r="AT260" i="1"/>
  <c r="AW50" i="13"/>
  <c r="AV50"/>
  <c r="AT50"/>
  <c r="BD50" s="1"/>
  <c r="AK107" i="7"/>
  <c r="AK106"/>
  <c r="AJ23"/>
  <c r="AJ42"/>
  <c r="AJ40"/>
  <c r="AJ38"/>
  <c r="AJ34"/>
  <c r="AL34" s="1"/>
  <c r="AJ16"/>
  <c r="AL16" s="1"/>
  <c r="V40"/>
  <c r="AP40" s="1"/>
  <c r="V32"/>
  <c r="AP32" s="1"/>
  <c r="AK50"/>
  <c r="AI40"/>
  <c r="AI45" s="1"/>
  <c r="AI59" s="1"/>
  <c r="AI297" s="1"/>
  <c r="AJ18"/>
  <c r="AK33"/>
  <c r="V251"/>
  <c r="AP251" s="1"/>
  <c r="AK116"/>
  <c r="AL116" s="1"/>
  <c r="BH116" s="1"/>
  <c r="V107"/>
  <c r="AP107" s="1"/>
  <c r="Z56" i="14"/>
  <c r="AE65"/>
  <c r="V106" i="7"/>
  <c r="AP106" s="1"/>
  <c r="AP58" i="13"/>
  <c r="AX58" s="1"/>
  <c r="AV161" i="1"/>
  <c r="AD159"/>
  <c r="AX159" s="1"/>
  <c r="AW208"/>
  <c r="AW162"/>
  <c r="AD74"/>
  <c r="AX74" s="1"/>
  <c r="AP73"/>
  <c r="AS75" i="13"/>
  <c r="AW62"/>
  <c r="AP234" i="1"/>
  <c r="AX234" s="1"/>
  <c r="AW215"/>
  <c r="AD213"/>
  <c r="AX213" s="1"/>
  <c r="AW170"/>
  <c r="AP162"/>
  <c r="AX162" s="1"/>
  <c r="AD145"/>
  <c r="AX145" s="1"/>
  <c r="AS223"/>
  <c r="AT223" s="1"/>
  <c r="AV58" i="13"/>
  <c r="AR58"/>
  <c r="AT58" s="1"/>
  <c r="AS55"/>
  <c r="AT55" s="1"/>
  <c r="AS56"/>
  <c r="V156" i="7"/>
  <c r="AP156" s="1"/>
  <c r="R152"/>
  <c r="R150"/>
  <c r="R144"/>
  <c r="V132"/>
  <c r="AP132" s="1"/>
  <c r="R117"/>
  <c r="AI107"/>
  <c r="R102"/>
  <c r="AK84"/>
  <c r="AL84" s="1"/>
  <c r="BH84" s="1"/>
  <c r="AD73" i="14"/>
  <c r="J70"/>
  <c r="J66"/>
  <c r="J62"/>
  <c r="J54"/>
  <c r="AJ211" i="7"/>
  <c r="V211"/>
  <c r="AP211" s="1"/>
  <c r="W58" i="14"/>
  <c r="AF71"/>
  <c r="AQ128" i="7"/>
  <c r="Z158"/>
  <c r="R88"/>
  <c r="AG158"/>
  <c r="O66" i="14"/>
  <c r="S66" s="1"/>
  <c r="Z60"/>
  <c r="AE52"/>
  <c r="Z62"/>
  <c r="AF56"/>
  <c r="AW33" i="7"/>
  <c r="V33"/>
  <c r="AP33" s="1"/>
  <c r="AJ33"/>
  <c r="AL33" s="1"/>
  <c r="V31"/>
  <c r="AP31" s="1"/>
  <c r="AJ31"/>
  <c r="AL31" s="1"/>
  <c r="T45"/>
  <c r="AN45" s="1"/>
  <c r="V29"/>
  <c r="AP29" s="1"/>
  <c r="AJ29"/>
  <c r="T19"/>
  <c r="AN19" s="1"/>
  <c r="V14"/>
  <c r="AP14" s="1"/>
  <c r="T52"/>
  <c r="AN52" s="1"/>
  <c r="V50"/>
  <c r="AP50" s="1"/>
  <c r="U19"/>
  <c r="AO19" s="1"/>
  <c r="AK14"/>
  <c r="AL41"/>
  <c r="U45"/>
  <c r="AO45" s="1"/>
  <c r="AN9"/>
  <c r="AK29"/>
  <c r="AJ9"/>
  <c r="V25"/>
  <c r="AP25" s="1"/>
  <c r="AR42" i="13"/>
  <c r="AQ255" i="1"/>
  <c r="AS66"/>
  <c r="AN255"/>
  <c r="AN256" s="1"/>
  <c r="AV256" s="1"/>
  <c r="AV42" i="13"/>
  <c r="Z41"/>
  <c r="AC43"/>
  <c r="Z36"/>
  <c r="AM23"/>
  <c r="AQ23" s="1"/>
  <c r="AH13"/>
  <c r="AS15"/>
  <c r="AG12"/>
  <c r="AO12" s="1"/>
  <c r="AS12" s="1"/>
  <c r="AT66" i="1"/>
  <c r="AD42" i="13"/>
  <c r="AS44"/>
  <c r="AR44"/>
  <c r="AV36"/>
  <c r="AP41"/>
  <c r="AV14"/>
  <c r="AR14"/>
  <c r="AS41"/>
  <c r="AW41"/>
  <c r="AT90" i="1"/>
  <c r="AT87"/>
  <c r="AW66"/>
  <c r="AT43"/>
  <c r="AV32"/>
  <c r="AT20"/>
  <c r="AH255"/>
  <c r="AH256" s="1"/>
  <c r="AW42" i="13"/>
  <c r="AS40"/>
  <c r="AH41"/>
  <c r="AD33"/>
  <c r="AM34"/>
  <c r="AU34" s="1"/>
  <c r="AC30"/>
  <c r="Z23"/>
  <c r="Z14"/>
  <c r="AO13"/>
  <c r="AS13" s="1"/>
  <c r="AT91" i="1"/>
  <c r="AS42" i="13"/>
  <c r="AG39"/>
  <c r="AO39" s="1"/>
  <c r="AP14"/>
  <c r="AE39"/>
  <c r="AM39" s="1"/>
  <c r="AU39" s="1"/>
  <c r="AD36"/>
  <c r="Y20"/>
  <c r="AC20" s="1"/>
  <c r="AD20" s="1"/>
  <c r="AP91" i="1"/>
  <c r="AX91" s="1"/>
  <c r="AD41" i="13"/>
  <c r="AR36"/>
  <c r="AP30"/>
  <c r="AD10"/>
  <c r="AS47"/>
  <c r="AG29"/>
  <c r="AO29" s="1"/>
  <c r="AF39"/>
  <c r="AN39" s="1"/>
  <c r="AV39" s="1"/>
  <c r="AE29"/>
  <c r="AM29" s="1"/>
  <c r="AU29" s="1"/>
  <c r="AG23"/>
  <c r="AO23" s="1"/>
  <c r="AR10"/>
  <c r="AV10"/>
  <c r="AQ44"/>
  <c r="AP44"/>
  <c r="AW29"/>
  <c r="AS14"/>
  <c r="AW14"/>
  <c r="AD14"/>
  <c r="AV30"/>
  <c r="AR30"/>
  <c r="AC25"/>
  <c r="Z25"/>
  <c r="AP10"/>
  <c r="AF12"/>
  <c r="AN12" s="1"/>
  <c r="AV12" s="1"/>
  <c r="AH10"/>
  <c r="AE12"/>
  <c r="AP92" i="1"/>
  <c r="AX92" s="1"/>
  <c r="AT92"/>
  <c r="AM298"/>
  <c r="AH44" i="13"/>
  <c r="AV43"/>
  <c r="AV41"/>
  <c r="AH31"/>
  <c r="AH30"/>
  <c r="AQ30"/>
  <c r="AM42"/>
  <c r="AU42" s="1"/>
  <c r="AO31"/>
  <c r="AM31"/>
  <c r="AQ31" s="1"/>
  <c r="AO34"/>
  <c r="AC27"/>
  <c r="AP22"/>
  <c r="AC22"/>
  <c r="AH14"/>
  <c r="Z12"/>
  <c r="AW10"/>
  <c r="AG46"/>
  <c r="AO46" s="1"/>
  <c r="AF29"/>
  <c r="AN29" s="1"/>
  <c r="AH22"/>
  <c r="AJ171" i="7"/>
  <c r="R71" i="14"/>
  <c r="J53"/>
  <c r="Y318" i="7"/>
  <c r="W312"/>
  <c r="AJ241"/>
  <c r="V241"/>
  <c r="AP241" s="1"/>
  <c r="AK216"/>
  <c r="AK191"/>
  <c r="AL191" s="1"/>
  <c r="V169"/>
  <c r="AP169" s="1"/>
  <c r="AK155"/>
  <c r="V129"/>
  <c r="AP129" s="1"/>
  <c r="Z128"/>
  <c r="AG128"/>
  <c r="AE128"/>
  <c r="V168"/>
  <c r="AJ71" i="14"/>
  <c r="O62"/>
  <c r="S62" s="1"/>
  <c r="AM62" s="1"/>
  <c r="AF73"/>
  <c r="AE74"/>
  <c r="AI74" s="1"/>
  <c r="Z66"/>
  <c r="AE61"/>
  <c r="AI61" s="1"/>
  <c r="AE55"/>
  <c r="AI55" s="1"/>
  <c r="AE71"/>
  <c r="AI71" s="1"/>
  <c r="AD62"/>
  <c r="AE60"/>
  <c r="AI60" s="1"/>
  <c r="AG73"/>
  <c r="AG65"/>
  <c r="AG59"/>
  <c r="AG55"/>
  <c r="AO55" s="1"/>
  <c r="AE56"/>
  <c r="AD65"/>
  <c r="V155" i="7"/>
  <c r="AP155" s="1"/>
  <c r="Y319"/>
  <c r="AK156"/>
  <c r="R143"/>
  <c r="AL138"/>
  <c r="BH138" s="1"/>
  <c r="V136"/>
  <c r="AP136" s="1"/>
  <c r="V137"/>
  <c r="AP137" s="1"/>
  <c r="V125"/>
  <c r="AP125" s="1"/>
  <c r="AK124"/>
  <c r="V123"/>
  <c r="AP123" s="1"/>
  <c r="AK119"/>
  <c r="AL119" s="1"/>
  <c r="BH119" s="1"/>
  <c r="R90"/>
  <c r="R87"/>
  <c r="AI80"/>
  <c r="V80"/>
  <c r="Z73" i="14"/>
  <c r="AD71"/>
  <c r="AH66"/>
  <c r="J56"/>
  <c r="AF72"/>
  <c r="AN72" s="1"/>
  <c r="Z65"/>
  <c r="AD74"/>
  <c r="AD72"/>
  <c r="AE59"/>
  <c r="AC64"/>
  <c r="AG74"/>
  <c r="J67"/>
  <c r="AD171" i="1"/>
  <c r="AX171" s="1"/>
  <c r="AD206"/>
  <c r="AX206" s="1"/>
  <c r="AD141"/>
  <c r="AX141" s="1"/>
  <c r="AW106"/>
  <c r="AR162"/>
  <c r="AS224"/>
  <c r="AT224" s="1"/>
  <c r="AS152"/>
  <c r="AV72"/>
  <c r="AP75" i="13"/>
  <c r="AW73"/>
  <c r="AS64"/>
  <c r="AT64" s="1"/>
  <c r="AH47"/>
  <c r="AO156" i="1"/>
  <c r="AW156" s="1"/>
  <c r="AQ47" i="13"/>
  <c r="AE46"/>
  <c r="AM46" s="1"/>
  <c r="AD237" i="1"/>
  <c r="AX237" s="1"/>
  <c r="AW220"/>
  <c r="AS234"/>
  <c r="AT234" s="1"/>
  <c r="AD209"/>
  <c r="AX209" s="1"/>
  <c r="AP208"/>
  <c r="AW134"/>
  <c r="AP135"/>
  <c r="AS208"/>
  <c r="AT208" s="1"/>
  <c r="AS162"/>
  <c r="AS135"/>
  <c r="AT135" s="1"/>
  <c r="AW72"/>
  <c r="AS74"/>
  <c r="AT74" s="1"/>
  <c r="AP152"/>
  <c r="AO217"/>
  <c r="AP217" s="1"/>
  <c r="AS73"/>
  <c r="AW75" i="13"/>
  <c r="AR75"/>
  <c r="AD64"/>
  <c r="AD62"/>
  <c r="AX62" s="1"/>
  <c r="AR47"/>
  <c r="AO48"/>
  <c r="AH27"/>
  <c r="AO27"/>
  <c r="AM27"/>
  <c r="AU27" s="1"/>
  <c r="AO26"/>
  <c r="AS26" s="1"/>
  <c r="AF46"/>
  <c r="AN46" s="1"/>
  <c r="AK117" i="7"/>
  <c r="AL117" s="1"/>
  <c r="BH117" s="1"/>
  <c r="V117"/>
  <c r="AP117" s="1"/>
  <c r="V74" i="14"/>
  <c r="R55"/>
  <c r="O52"/>
  <c r="S52" s="1"/>
  <c r="AM52" s="1"/>
  <c r="Z74"/>
  <c r="AE72"/>
  <c r="AI72" s="1"/>
  <c r="W69"/>
  <c r="AC69"/>
  <c r="Z61"/>
  <c r="AB69"/>
  <c r="I69"/>
  <c r="Q69" s="1"/>
  <c r="H64"/>
  <c r="P64" s="1"/>
  <c r="T64" s="1"/>
  <c r="J73"/>
  <c r="G69"/>
  <c r="O69" s="1"/>
  <c r="S69" s="1"/>
  <c r="AM69" s="1"/>
  <c r="G51"/>
  <c r="O51" s="1"/>
  <c r="S51" s="1"/>
  <c r="AM51" s="1"/>
  <c r="V216" i="7"/>
  <c r="AP216" s="1"/>
  <c r="V171"/>
  <c r="AP171" s="1"/>
  <c r="R171"/>
  <c r="R170"/>
  <c r="AK169"/>
  <c r="R148"/>
  <c r="U118"/>
  <c r="U101"/>
  <c r="AO101" s="1"/>
  <c r="V99"/>
  <c r="AP99" s="1"/>
  <c r="X69" i="14"/>
  <c r="X58"/>
  <c r="AD55"/>
  <c r="AD53"/>
  <c r="AB58"/>
  <c r="AD54"/>
  <c r="H58"/>
  <c r="P58" s="1"/>
  <c r="T58" s="1"/>
  <c r="G64"/>
  <c r="O64" s="1"/>
  <c r="J61"/>
  <c r="J59"/>
  <c r="AT212" i="1"/>
  <c r="AT144"/>
  <c r="AD35"/>
  <c r="AW57" i="13"/>
  <c r="AW223" i="1"/>
  <c r="AD169"/>
  <c r="AX169" s="1"/>
  <c r="AW154"/>
  <c r="AD136"/>
  <c r="AX136" s="1"/>
  <c r="AD134"/>
  <c r="AX134" s="1"/>
  <c r="AW114"/>
  <c r="AD114"/>
  <c r="AX114" s="1"/>
  <c r="AT213"/>
  <c r="AT115"/>
  <c r="AT71"/>
  <c r="AT161"/>
  <c r="AX76"/>
  <c r="AW237"/>
  <c r="AD215"/>
  <c r="AX215" s="1"/>
  <c r="AW214"/>
  <c r="AD214"/>
  <c r="AX214" s="1"/>
  <c r="AW212"/>
  <c r="AD212"/>
  <c r="AX212" s="1"/>
  <c r="AW210"/>
  <c r="AW209"/>
  <c r="AD210"/>
  <c r="AX210" s="1"/>
  <c r="AD208"/>
  <c r="AP203"/>
  <c r="AX203" s="1"/>
  <c r="AW171"/>
  <c r="AD170"/>
  <c r="AX170" s="1"/>
  <c r="AW169"/>
  <c r="AP161"/>
  <c r="AX161" s="1"/>
  <c r="AD154"/>
  <c r="AX154" s="1"/>
  <c r="AW136"/>
  <c r="AD115"/>
  <c r="AX115" s="1"/>
  <c r="AD107"/>
  <c r="AX107" s="1"/>
  <c r="AW105"/>
  <c r="AT214"/>
  <c r="AW73"/>
  <c r="AD73"/>
  <c r="AV75" i="13"/>
  <c r="AP73"/>
  <c r="AW64"/>
  <c r="AW63"/>
  <c r="AP64"/>
  <c r="AS57"/>
  <c r="AT57" s="1"/>
  <c r="AL48"/>
  <c r="AN48"/>
  <c r="AX223" i="1"/>
  <c r="AW152"/>
  <c r="AW135"/>
  <c r="AW133"/>
  <c r="AD135"/>
  <c r="AW71"/>
  <c r="AR73"/>
  <c r="AW35"/>
  <c r="AS76"/>
  <c r="AT76" s="1"/>
  <c r="AS72"/>
  <c r="AT72" s="1"/>
  <c r="AO25" i="13"/>
  <c r="AW55"/>
  <c r="AM61" i="14"/>
  <c r="U65"/>
  <c r="R65"/>
  <c r="R59"/>
  <c r="U59"/>
  <c r="V59" s="1"/>
  <c r="AW33" i="13"/>
  <c r="AS33"/>
  <c r="AV22"/>
  <c r="AR22"/>
  <c r="AP15"/>
  <c r="AR15"/>
  <c r="AT15" s="1"/>
  <c r="AV15"/>
  <c r="AU43"/>
  <c r="AP43"/>
  <c r="AQ43"/>
  <c r="AU40"/>
  <c r="AP40"/>
  <c r="AX40" s="1"/>
  <c r="AQ40"/>
  <c r="AK165" i="7"/>
  <c r="AL165" s="1"/>
  <c r="BH165" s="1"/>
  <c r="AM60" i="14"/>
  <c r="T62"/>
  <c r="AO36" i="13"/>
  <c r="AP36" s="1"/>
  <c r="AX36" s="1"/>
  <c r="AH36"/>
  <c r="AR33"/>
  <c r="AV33"/>
  <c r="AN17"/>
  <c r="AH33"/>
  <c r="AM33"/>
  <c r="R73" i="14"/>
  <c r="AA69"/>
  <c r="Y317" i="7"/>
  <c r="AQ154"/>
  <c r="X317"/>
  <c r="Y312"/>
  <c r="R291"/>
  <c r="AK241"/>
  <c r="V226"/>
  <c r="V223" s="1"/>
  <c r="V314" s="1"/>
  <c r="V196"/>
  <c r="AP196" s="1"/>
  <c r="AK171"/>
  <c r="R165"/>
  <c r="R163"/>
  <c r="U160"/>
  <c r="AK159"/>
  <c r="AL159" s="1"/>
  <c r="BH159" s="1"/>
  <c r="V147"/>
  <c r="AP147" s="1"/>
  <c r="R142"/>
  <c r="V141"/>
  <c r="AP141" s="1"/>
  <c r="AK125"/>
  <c r="V124"/>
  <c r="AP124" s="1"/>
  <c r="AK123"/>
  <c r="AL123" s="1"/>
  <c r="BH123" s="1"/>
  <c r="AK113"/>
  <c r="AL113" s="1"/>
  <c r="BH113" s="1"/>
  <c r="AK110"/>
  <c r="AL110" s="1"/>
  <c r="BH110" s="1"/>
  <c r="AJ107"/>
  <c r="V105"/>
  <c r="AP105" s="1"/>
  <c r="Z168"/>
  <c r="Z154"/>
  <c r="R92"/>
  <c r="V87"/>
  <c r="AP87" s="1"/>
  <c r="AF128"/>
  <c r="AG168"/>
  <c r="AO168" s="1"/>
  <c r="AG154"/>
  <c r="W97"/>
  <c r="AJ74" i="14"/>
  <c r="AI73"/>
  <c r="R72"/>
  <c r="J71"/>
  <c r="AF70"/>
  <c r="AN70" s="1"/>
  <c r="AE70"/>
  <c r="AD70"/>
  <c r="O70"/>
  <c r="R70" s="1"/>
  <c r="AD67"/>
  <c r="R67"/>
  <c r="J65"/>
  <c r="AF62"/>
  <c r="AG61"/>
  <c r="AO61" s="1"/>
  <c r="R61"/>
  <c r="AD60"/>
  <c r="AF60"/>
  <c r="AN60" s="1"/>
  <c r="R60"/>
  <c r="J60"/>
  <c r="AD59"/>
  <c r="O54"/>
  <c r="AA64"/>
  <c r="AA51"/>
  <c r="AB64"/>
  <c r="AW240" i="1"/>
  <c r="AD240"/>
  <c r="AX240" s="1"/>
  <c r="AV234"/>
  <c r="AW224"/>
  <c r="AP224"/>
  <c r="AX224" s="1"/>
  <c r="AW206"/>
  <c r="AW203"/>
  <c r="AW159"/>
  <c r="AW146"/>
  <c r="AW145"/>
  <c r="AP146"/>
  <c r="AX146" s="1"/>
  <c r="AW143"/>
  <c r="AW141"/>
  <c r="AD133"/>
  <c r="AX133" s="1"/>
  <c r="AW112"/>
  <c r="AT114"/>
  <c r="AS146"/>
  <c r="AT146" s="1"/>
  <c r="AP105"/>
  <c r="AX105" s="1"/>
  <c r="AW76"/>
  <c r="AV73"/>
  <c r="AP72"/>
  <c r="AF298"/>
  <c r="AD75" i="13"/>
  <c r="AW58"/>
  <c r="AD57"/>
  <c r="AX57" s="1"/>
  <c r="AW56"/>
  <c r="AH48"/>
  <c r="Z48"/>
  <c r="AP47"/>
  <c r="AM48"/>
  <c r="AV44"/>
  <c r="AH40"/>
  <c r="AH34"/>
  <c r="AN31"/>
  <c r="AO37"/>
  <c r="AN34"/>
  <c r="AL26"/>
  <c r="AQ22"/>
  <c r="AH15"/>
  <c r="AU13"/>
  <c r="AQ10"/>
  <c r="AN13"/>
  <c r="AK142" i="7"/>
  <c r="AL142" s="1"/>
  <c r="BH142" s="1"/>
  <c r="V142"/>
  <c r="AP142" s="1"/>
  <c r="AK90"/>
  <c r="AL90" s="1"/>
  <c r="BH90" s="1"/>
  <c r="V90"/>
  <c r="AP90" s="1"/>
  <c r="AK89"/>
  <c r="AL89" s="1"/>
  <c r="BH89" s="1"/>
  <c r="V89"/>
  <c r="AP89" s="1"/>
  <c r="AM59" i="14"/>
  <c r="V55"/>
  <c r="AM55"/>
  <c r="V53"/>
  <c r="AI53"/>
  <c r="AM53"/>
  <c r="V164" i="7"/>
  <c r="AP164" s="1"/>
  <c r="AK164"/>
  <c r="AL164" s="1"/>
  <c r="BH164" s="1"/>
  <c r="AK100"/>
  <c r="AL100" s="1"/>
  <c r="BH100" s="1"/>
  <c r="V100"/>
  <c r="AP100" s="1"/>
  <c r="V221"/>
  <c r="AP221" s="1"/>
  <c r="AK211"/>
  <c r="V206"/>
  <c r="AP206" s="1"/>
  <c r="AK201"/>
  <c r="AL201" s="1"/>
  <c r="AJ169"/>
  <c r="R166"/>
  <c r="V165"/>
  <c r="AP165" s="1"/>
  <c r="R164"/>
  <c r="U162"/>
  <c r="AO162" s="1"/>
  <c r="R161"/>
  <c r="AJ156"/>
  <c r="U149"/>
  <c r="AO149" s="1"/>
  <c r="V138"/>
  <c r="AP138" s="1"/>
  <c r="V126"/>
  <c r="AP126" s="1"/>
  <c r="AK122"/>
  <c r="V122"/>
  <c r="AP122" s="1"/>
  <c r="AK105"/>
  <c r="AL105" s="1"/>
  <c r="BH105" s="1"/>
  <c r="AK102"/>
  <c r="AL102" s="1"/>
  <c r="BH102" s="1"/>
  <c r="R89"/>
  <c r="U71" i="14"/>
  <c r="V71" s="1"/>
  <c r="R53"/>
  <c r="AC58"/>
  <c r="I64"/>
  <c r="Q64" s="1"/>
  <c r="V61"/>
  <c r="R56"/>
  <c r="AA58"/>
  <c r="Y58"/>
  <c r="I58"/>
  <c r="Q58" s="1"/>
  <c r="U58" s="1"/>
  <c r="H69"/>
  <c r="P69" s="1"/>
  <c r="G58"/>
  <c r="O58" s="1"/>
  <c r="AK170" i="7"/>
  <c r="V163"/>
  <c r="AP163" s="1"/>
  <c r="AK163"/>
  <c r="AL163" s="1"/>
  <c r="BH163" s="1"/>
  <c r="AK151"/>
  <c r="AL151" s="1"/>
  <c r="BH151" s="1"/>
  <c r="V151"/>
  <c r="AP151" s="1"/>
  <c r="AK148"/>
  <c r="AL148" s="1"/>
  <c r="BH148" s="1"/>
  <c r="V148"/>
  <c r="AP148" s="1"/>
  <c r="V144"/>
  <c r="AP144" s="1"/>
  <c r="AK144"/>
  <c r="AL144" s="1"/>
  <c r="BH144" s="1"/>
  <c r="AK88"/>
  <c r="AL88" s="1"/>
  <c r="BH88" s="1"/>
  <c r="V88"/>
  <c r="AP88" s="1"/>
  <c r="V72" i="14"/>
  <c r="AM67"/>
  <c r="X54"/>
  <c r="W54"/>
  <c r="AG72"/>
  <c r="Y64"/>
  <c r="AJ170" i="7"/>
  <c r="V170"/>
  <c r="AP170" s="1"/>
  <c r="AK166"/>
  <c r="AL166" s="1"/>
  <c r="BH166" s="1"/>
  <c r="V166"/>
  <c r="AP166" s="1"/>
  <c r="AK161"/>
  <c r="AL161" s="1"/>
  <c r="BH161" s="1"/>
  <c r="V161"/>
  <c r="AP161" s="1"/>
  <c r="AK152"/>
  <c r="AL152" s="1"/>
  <c r="BH152" s="1"/>
  <c r="V152"/>
  <c r="AP152" s="1"/>
  <c r="AK150"/>
  <c r="AL150" s="1"/>
  <c r="BH150" s="1"/>
  <c r="V150"/>
  <c r="AP150" s="1"/>
  <c r="V143"/>
  <c r="AP143" s="1"/>
  <c r="AK143"/>
  <c r="AL143" s="1"/>
  <c r="BH143" s="1"/>
  <c r="V133"/>
  <c r="AP133" s="1"/>
  <c r="AK133"/>
  <c r="AL133" s="1"/>
  <c r="BH133" s="1"/>
  <c r="AK92"/>
  <c r="AL92" s="1"/>
  <c r="BH92" s="1"/>
  <c r="V92"/>
  <c r="AP92" s="1"/>
  <c r="X64" i="14"/>
  <c r="W64"/>
  <c r="Z71"/>
  <c r="Y69"/>
  <c r="Y53"/>
  <c r="N76"/>
  <c r="AH179" i="7"/>
  <c r="AP179" s="1"/>
  <c r="AK137"/>
  <c r="AL137" s="1"/>
  <c r="BH137" s="1"/>
  <c r="AK126"/>
  <c r="AL126" s="1"/>
  <c r="BH126" s="1"/>
  <c r="AJ125"/>
  <c r="AJ124"/>
  <c r="T66" i="14"/>
  <c r="T56"/>
  <c r="AI78" i="13"/>
  <c r="AI80" s="1"/>
  <c r="AT240" i="1"/>
  <c r="AO99"/>
  <c r="AW99" s="1"/>
  <c r="AL46" i="13"/>
  <c r="AS286" i="1"/>
  <c r="AN156"/>
  <c r="AR156" s="1"/>
  <c r="AK9" i="13"/>
  <c r="AK90" s="1"/>
  <c r="AT133" i="1"/>
  <c r="AI292"/>
  <c r="AW128"/>
  <c r="AP128"/>
  <c r="AS128"/>
  <c r="W9" i="13"/>
  <c r="W90" s="1"/>
  <c r="AA46"/>
  <c r="AS138" i="1"/>
  <c r="AT138" s="1"/>
  <c r="AP138"/>
  <c r="AX138" s="1"/>
  <c r="AW138"/>
  <c r="AT62" i="13"/>
  <c r="AJ9"/>
  <c r="AJ90" s="1"/>
  <c r="AL25"/>
  <c r="AB46"/>
  <c r="X9"/>
  <c r="X90" s="1"/>
  <c r="AL106" i="7" l="1"/>
  <c r="BH106" s="1"/>
  <c r="V111"/>
  <c r="AP111" s="1"/>
  <c r="AI293" i="1"/>
  <c r="J66" i="13"/>
  <c r="AL155" i="7"/>
  <c r="BH155" s="1"/>
  <c r="AL251"/>
  <c r="AM223"/>
  <c r="S314"/>
  <c r="AN23" i="13"/>
  <c r="AR23" s="1"/>
  <c r="AD47"/>
  <c r="AK111" i="7"/>
  <c r="AL111" s="1"/>
  <c r="BH111" s="1"/>
  <c r="AG74"/>
  <c r="AL23"/>
  <c r="AL25" s="1"/>
  <c r="AK45"/>
  <c r="AW149" i="1"/>
  <c r="AU20" i="13"/>
  <c r="Z29"/>
  <c r="AS29"/>
  <c r="N66"/>
  <c r="J53"/>
  <c r="J71"/>
  <c r="AW12"/>
  <c r="AD31"/>
  <c r="BB53"/>
  <c r="N60"/>
  <c r="AL122" i="7"/>
  <c r="BH122" s="1"/>
  <c r="AL196"/>
  <c r="AS31" i="13"/>
  <c r="AX14"/>
  <c r="AX41"/>
  <c r="AC39"/>
  <c r="Z46"/>
  <c r="AP149" i="1"/>
  <c r="AO29" i="24"/>
  <c r="AV33"/>
  <c r="AR33"/>
  <c r="AS33" s="1"/>
  <c r="AC33"/>
  <c r="AW33" s="1"/>
  <c r="AV30"/>
  <c r="AR30"/>
  <c r="AB29"/>
  <c r="AV64" i="22"/>
  <c r="AR64"/>
  <c r="AS64" s="1"/>
  <c r="AB63"/>
  <c r="AC64"/>
  <c r="AW64" s="1"/>
  <c r="AV77"/>
  <c r="AR77"/>
  <c r="AS77" s="1"/>
  <c r="AB76"/>
  <c r="AC77"/>
  <c r="AW77" s="1"/>
  <c r="AV45"/>
  <c r="AR45"/>
  <c r="AS45" s="1"/>
  <c r="AB44"/>
  <c r="AC45"/>
  <c r="AW45" s="1"/>
  <c r="AV119"/>
  <c r="AR119"/>
  <c r="AB118"/>
  <c r="AV130"/>
  <c r="AR130"/>
  <c r="AS130" s="1"/>
  <c r="AB129"/>
  <c r="AC130"/>
  <c r="AW130" s="1"/>
  <c r="AN40"/>
  <c r="AV40" s="1"/>
  <c r="AO41"/>
  <c r="AV70"/>
  <c r="AR70"/>
  <c r="AB69"/>
  <c r="E50" i="14"/>
  <c r="E76" s="1"/>
  <c r="E80" s="1"/>
  <c r="AJ67"/>
  <c r="AL50" i="7"/>
  <c r="AL52" s="1"/>
  <c r="AL42"/>
  <c r="AL37"/>
  <c r="AL14"/>
  <c r="AL136"/>
  <c r="BH136" s="1"/>
  <c r="AV41" i="22"/>
  <c r="AV108"/>
  <c r="AR108"/>
  <c r="AB107"/>
  <c r="AC108"/>
  <c r="AR41"/>
  <c r="AO84" i="23"/>
  <c r="AO30" i="30" s="1"/>
  <c r="AN128" i="7"/>
  <c r="AK160"/>
  <c r="AL160" s="1"/>
  <c r="BH160" s="1"/>
  <c r="AO160"/>
  <c r="AK118"/>
  <c r="AL118" s="1"/>
  <c r="BH118" s="1"/>
  <c r="AO118"/>
  <c r="S59"/>
  <c r="AM45"/>
  <c r="AO158"/>
  <c r="N80" i="14"/>
  <c r="Z67"/>
  <c r="AW256" i="1"/>
  <c r="AK60" i="14"/>
  <c r="U69"/>
  <c r="AL216" i="7"/>
  <c r="AX44" i="13"/>
  <c r="AK19" i="7"/>
  <c r="AL18"/>
  <c r="AL19" s="1"/>
  <c r="AK52"/>
  <c r="AK59" s="1"/>
  <c r="AL38"/>
  <c r="N57" i="13"/>
  <c r="AP48" i="14"/>
  <c r="AL39" i="7"/>
  <c r="AL32"/>
  <c r="AK128"/>
  <c r="AL241"/>
  <c r="AF317"/>
  <c r="N269"/>
  <c r="M140" i="23"/>
  <c r="M142"/>
  <c r="AF297" i="7"/>
  <c r="AF298" s="1"/>
  <c r="AE74"/>
  <c r="AE297"/>
  <c r="AE298" s="1"/>
  <c r="T59"/>
  <c r="AH12" i="13"/>
  <c r="AT14"/>
  <c r="AR256" i="1"/>
  <c r="AT256" s="1"/>
  <c r="AV18" i="13"/>
  <c r="AI154" i="7"/>
  <c r="AI317" s="1"/>
  <c r="V73" i="14"/>
  <c r="AL43" i="7"/>
  <c r="BB60" i="13"/>
  <c r="BB66"/>
  <c r="AK67" i="14"/>
  <c r="AH9" i="22"/>
  <c r="AH9" i="33" s="1"/>
  <c r="U59" i="7"/>
  <c r="AL18" i="23"/>
  <c r="AL45" i="29" s="1"/>
  <c r="AT41" i="13"/>
  <c r="Z70" i="14"/>
  <c r="AJ59"/>
  <c r="AE58"/>
  <c r="AX15" i="13"/>
  <c r="S64" i="14"/>
  <c r="AM64" s="1"/>
  <c r="AO74"/>
  <c r="AR27" i="13"/>
  <c r="AN71" i="14"/>
  <c r="N53" i="13"/>
  <c r="I52"/>
  <c r="G52"/>
  <c r="H52"/>
  <c r="L52" s="1"/>
  <c r="V60" i="14"/>
  <c r="AR255" i="1"/>
  <c r="AJ317" i="7"/>
  <c r="AP256" i="1"/>
  <c r="AX256" s="1"/>
  <c r="AG318" i="7"/>
  <c r="AJ65" i="14"/>
  <c r="AH298" i="7"/>
  <c r="D50" i="14"/>
  <c r="D76" s="1"/>
  <c r="D80" s="1"/>
  <c r="AO72"/>
  <c r="AJ53"/>
  <c r="AO65"/>
  <c r="AK73"/>
  <c r="AI65"/>
  <c r="AJ25" i="7"/>
  <c r="AN65" i="14"/>
  <c r="AF69"/>
  <c r="AI52"/>
  <c r="AK62"/>
  <c r="AW48" i="13"/>
  <c r="AD48"/>
  <c r="AX75"/>
  <c r="AK74" i="14"/>
  <c r="AL74" s="1"/>
  <c r="AJ61"/>
  <c r="AK66"/>
  <c r="AN55"/>
  <c r="AH62"/>
  <c r="AL40" i="7"/>
  <c r="AL48" i="14"/>
  <c r="AR48" s="1"/>
  <c r="J52" i="13"/>
  <c r="J78" s="1"/>
  <c r="R52"/>
  <c r="R78" s="1"/>
  <c r="R81" s="1"/>
  <c r="Q78"/>
  <c r="Q80" s="1"/>
  <c r="AP13"/>
  <c r="AX13" s="1"/>
  <c r="AQ34"/>
  <c r="AX47"/>
  <c r="AS27"/>
  <c r="AT47"/>
  <c r="Z20"/>
  <c r="AJ73" i="14"/>
  <c r="AG58"/>
  <c r="AK58" s="1"/>
  <c r="AK54"/>
  <c r="R66"/>
  <c r="AL169" i="7"/>
  <c r="BH169" s="1"/>
  <c r="AK98"/>
  <c r="AL98" s="1"/>
  <c r="AI56" i="14"/>
  <c r="AT75" i="13"/>
  <c r="F50" i="14"/>
  <c r="F76" s="1"/>
  <c r="F80" s="1"/>
  <c r="AL170" i="7"/>
  <c r="BH170" s="1"/>
  <c r="Z58" i="14"/>
  <c r="AH74" i="7"/>
  <c r="AJ19"/>
  <c r="AG298"/>
  <c r="AL9"/>
  <c r="AH98"/>
  <c r="AP98" s="1"/>
  <c r="AH73" i="14"/>
  <c r="AP73" s="1"/>
  <c r="AS217" i="1"/>
  <c r="AP99"/>
  <c r="AX99" s="1"/>
  <c r="AO73" i="14"/>
  <c r="AL107" i="7"/>
  <c r="BH107" s="1"/>
  <c r="AR12" i="13"/>
  <c r="AV156" i="1"/>
  <c r="AI62" i="14"/>
  <c r="AH67"/>
  <c r="AP67" s="1"/>
  <c r="J51"/>
  <c r="AG64"/>
  <c r="AK65"/>
  <c r="AL65" s="1"/>
  <c r="AN73"/>
  <c r="AL211" i="7"/>
  <c r="AP255" i="1"/>
  <c r="AX255" s="1"/>
  <c r="AW255"/>
  <c r="AK158" i="7"/>
  <c r="AL158" s="1"/>
  <c r="Z318"/>
  <c r="R62" i="14"/>
  <c r="AN298" i="1"/>
  <c r="AR298" s="1"/>
  <c r="AH59" i="14"/>
  <c r="AP59" s="1"/>
  <c r="AH158" i="7"/>
  <c r="AP158" s="1"/>
  <c r="AH65" i="14"/>
  <c r="AV255" i="1"/>
  <c r="AR39" i="13"/>
  <c r="AT44"/>
  <c r="AS255" i="1"/>
  <c r="AH29" i="13"/>
  <c r="AQ29"/>
  <c r="AX64"/>
  <c r="AW217" i="1"/>
  <c r="AP48" i="13"/>
  <c r="AX73" i="1"/>
  <c r="AX208"/>
  <c r="AT162"/>
  <c r="AP156"/>
  <c r="AX156" s="1"/>
  <c r="AP46" i="13"/>
  <c r="AX135" i="1"/>
  <c r="AS156"/>
  <c r="AT156" s="1"/>
  <c r="AL156" i="7"/>
  <c r="BH156" s="1"/>
  <c r="AI66" i="14"/>
  <c r="AM66"/>
  <c r="AO67"/>
  <c r="AO54"/>
  <c r="J64"/>
  <c r="AJ72"/>
  <c r="V65"/>
  <c r="AH74"/>
  <c r="AP74" s="1"/>
  <c r="AH60"/>
  <c r="AL171" i="7"/>
  <c r="BH171" s="1"/>
  <c r="AE69" i="14"/>
  <c r="AI69" s="1"/>
  <c r="AK55"/>
  <c r="AL55" s="1"/>
  <c r="AI298" i="7"/>
  <c r="V19"/>
  <c r="AP19" s="1"/>
  <c r="V45"/>
  <c r="AP45" s="1"/>
  <c r="AL29"/>
  <c r="AJ45"/>
  <c r="V52"/>
  <c r="AP52" s="1"/>
  <c r="AW43" i="13"/>
  <c r="AS43"/>
  <c r="AT43" s="1"/>
  <c r="AM12"/>
  <c r="AP12" s="1"/>
  <c r="AX12" s="1"/>
  <c r="AX10"/>
  <c r="AD43"/>
  <c r="AX43" s="1"/>
  <c r="AH39"/>
  <c r="AD30"/>
  <c r="AX30" s="1"/>
  <c r="AS30"/>
  <c r="AT30" s="1"/>
  <c r="AW30"/>
  <c r="AT40"/>
  <c r="AP39"/>
  <c r="AG20"/>
  <c r="AO20" s="1"/>
  <c r="AW22"/>
  <c r="AD22"/>
  <c r="AX22" s="1"/>
  <c r="AS22"/>
  <c r="AT22" s="1"/>
  <c r="AD27"/>
  <c r="AW27"/>
  <c r="AQ298" i="1"/>
  <c r="AU298"/>
  <c r="AD25" i="13"/>
  <c r="AW25"/>
  <c r="AW34"/>
  <c r="AS34"/>
  <c r="AP42"/>
  <c r="AX42" s="1"/>
  <c r="AQ42"/>
  <c r="AT42" s="1"/>
  <c r="AT10"/>
  <c r="AQ39"/>
  <c r="AH23"/>
  <c r="AS25"/>
  <c r="AI128" i="7"/>
  <c r="AE312"/>
  <c r="V319"/>
  <c r="AG312"/>
  <c r="AH72" i="14"/>
  <c r="AP72" s="1"/>
  <c r="AL124" i="7"/>
  <c r="BH124" s="1"/>
  <c r="J69" i="14"/>
  <c r="AJ70"/>
  <c r="AD58"/>
  <c r="AH61"/>
  <c r="AP61" s="1"/>
  <c r="AI59"/>
  <c r="Z312" i="7"/>
  <c r="AH55" i="14"/>
  <c r="AP55" s="1"/>
  <c r="AD69"/>
  <c r="AF64"/>
  <c r="AN64" s="1"/>
  <c r="G50"/>
  <c r="O50" s="1"/>
  <c r="AJ60"/>
  <c r="AL60" s="1"/>
  <c r="AH46" i="13"/>
  <c r="AT73" i="1"/>
  <c r="AP27" i="13"/>
  <c r="AQ27"/>
  <c r="AS48"/>
  <c r="V101" i="7"/>
  <c r="AP101" s="1"/>
  <c r="AK101"/>
  <c r="AL101" s="1"/>
  <c r="BH101" s="1"/>
  <c r="V118"/>
  <c r="AP118" s="1"/>
  <c r="AA50" i="14"/>
  <c r="AA76" s="1"/>
  <c r="AF58"/>
  <c r="AH58" s="1"/>
  <c r="AV48" i="13"/>
  <c r="AR48"/>
  <c r="AS99" i="1"/>
  <c r="AT99" s="1"/>
  <c r="AP37" i="13"/>
  <c r="AX37" s="1"/>
  <c r="AS37"/>
  <c r="AT37" s="1"/>
  <c r="AW37"/>
  <c r="AX72" i="1"/>
  <c r="S54" i="14"/>
  <c r="R54"/>
  <c r="W185" i="7"/>
  <c r="AQ97"/>
  <c r="AQ294" s="1"/>
  <c r="W294"/>
  <c r="W295" s="1"/>
  <c r="W296" s="1"/>
  <c r="AK154"/>
  <c r="AG317"/>
  <c r="Z319"/>
  <c r="AW36" i="13"/>
  <c r="AS36"/>
  <c r="AT36" s="1"/>
  <c r="AS46"/>
  <c r="AW46"/>
  <c r="AR20"/>
  <c r="AV20"/>
  <c r="AV29"/>
  <c r="AP29"/>
  <c r="AX29" s="1"/>
  <c r="AR29"/>
  <c r="AK59" i="14"/>
  <c r="AO59"/>
  <c r="AV13" i="13"/>
  <c r="AR13"/>
  <c r="AT13" s="1"/>
  <c r="AV34"/>
  <c r="AR34"/>
  <c r="AP31"/>
  <c r="AX31" s="1"/>
  <c r="AV31"/>
  <c r="AR31"/>
  <c r="AU48"/>
  <c r="AQ48"/>
  <c r="AH168" i="7"/>
  <c r="AP168" s="1"/>
  <c r="AK168"/>
  <c r="AG319"/>
  <c r="AJ128"/>
  <c r="AH128"/>
  <c r="AP128" s="1"/>
  <c r="AF312"/>
  <c r="Z317"/>
  <c r="V160"/>
  <c r="AP160" s="1"/>
  <c r="AP33" i="13"/>
  <c r="AX33" s="1"/>
  <c r="AU33"/>
  <c r="AQ33"/>
  <c r="AT33" s="1"/>
  <c r="AR17"/>
  <c r="AV17"/>
  <c r="AN62" i="14"/>
  <c r="V62"/>
  <c r="AJ62"/>
  <c r="AS23" i="13"/>
  <c r="AW23"/>
  <c r="AH154" i="7"/>
  <c r="AK61" i="14"/>
  <c r="AL125" i="7"/>
  <c r="BH125" s="1"/>
  <c r="J58" i="14"/>
  <c r="S70"/>
  <c r="AD64"/>
  <c r="AP34" i="13"/>
  <c r="AX34" s="1"/>
  <c r="V149" i="7"/>
  <c r="AP149" s="1"/>
  <c r="AK149"/>
  <c r="AL149" s="1"/>
  <c r="BH149" s="1"/>
  <c r="V162"/>
  <c r="AP162" s="1"/>
  <c r="AK162"/>
  <c r="AL162" s="1"/>
  <c r="BH162" s="1"/>
  <c r="AN67" i="14"/>
  <c r="V56"/>
  <c r="AN56"/>
  <c r="AJ56"/>
  <c r="R58"/>
  <c r="S58"/>
  <c r="R69"/>
  <c r="T69"/>
  <c r="Z53"/>
  <c r="AG53"/>
  <c r="AG69"/>
  <c r="Z69"/>
  <c r="R64"/>
  <c r="U64"/>
  <c r="AI67"/>
  <c r="AL67" s="1"/>
  <c r="AK72"/>
  <c r="AJ66"/>
  <c r="V66"/>
  <c r="AP66" s="1"/>
  <c r="AN66"/>
  <c r="AH70"/>
  <c r="AO70"/>
  <c r="AK70"/>
  <c r="AO71"/>
  <c r="AH71"/>
  <c r="AP71" s="1"/>
  <c r="AK71"/>
  <c r="AL71" s="1"/>
  <c r="AE64"/>
  <c r="Z64"/>
  <c r="R51"/>
  <c r="AE54"/>
  <c r="W51"/>
  <c r="Z54"/>
  <c r="AF54"/>
  <c r="AB9" i="13"/>
  <c r="AB90" s="1"/>
  <c r="AL9"/>
  <c r="AA9"/>
  <c r="AA90" s="1"/>
  <c r="W78"/>
  <c r="W80" s="1"/>
  <c r="AV46"/>
  <c r="AR46"/>
  <c r="AD46"/>
  <c r="AU46"/>
  <c r="AQ46"/>
  <c r="AI300" i="1"/>
  <c r="AP23" i="13" l="1"/>
  <c r="AX23" s="1"/>
  <c r="AJ59" i="7"/>
  <c r="AJ297" s="1"/>
  <c r="AJ298" s="1"/>
  <c r="E78" i="14"/>
  <c r="AV23" i="13"/>
  <c r="AH20"/>
  <c r="AH43" i="33"/>
  <c r="AW108" i="22"/>
  <c r="AS108"/>
  <c r="H78" i="13"/>
  <c r="H80" s="1"/>
  <c r="AW39"/>
  <c r="AD39"/>
  <c r="AX39" s="1"/>
  <c r="AT31"/>
  <c r="AT255" i="1"/>
  <c r="AS39" i="13"/>
  <c r="AT39" s="1"/>
  <c r="AR40" i="22"/>
  <c r="AR29" i="24"/>
  <c r="AV29"/>
  <c r="AV118" i="22"/>
  <c r="AR118"/>
  <c r="AV44"/>
  <c r="AR44"/>
  <c r="AS44" s="1"/>
  <c r="BB44" s="1"/>
  <c r="AC44"/>
  <c r="AW44" s="1"/>
  <c r="AV76"/>
  <c r="AR76"/>
  <c r="AS76" s="1"/>
  <c r="BB76" s="1"/>
  <c r="AC76"/>
  <c r="AW76" s="1"/>
  <c r="AV63"/>
  <c r="AR63"/>
  <c r="AS63" s="1"/>
  <c r="BB63" s="1"/>
  <c r="AC63"/>
  <c r="AW63" s="1"/>
  <c r="AV107"/>
  <c r="AR107"/>
  <c r="AS107" s="1"/>
  <c r="BB107" s="1"/>
  <c r="AC107"/>
  <c r="AW107" s="1"/>
  <c r="AV69"/>
  <c r="AR69"/>
  <c r="AO40"/>
  <c r="AV129"/>
  <c r="AR129"/>
  <c r="AS129" s="1"/>
  <c r="BB129" s="1"/>
  <c r="AC129"/>
  <c r="AW129" s="1"/>
  <c r="AK297" i="7"/>
  <c r="AK298" s="1"/>
  <c r="U297"/>
  <c r="AO59"/>
  <c r="S297"/>
  <c r="AM297" s="1"/>
  <c r="AM59"/>
  <c r="T297"/>
  <c r="AN59"/>
  <c r="AV298" i="1"/>
  <c r="AT29" i="13"/>
  <c r="AK312" i="7"/>
  <c r="AK9" i="23"/>
  <c r="AG9"/>
  <c r="AO9" s="1"/>
  <c r="AM9"/>
  <c r="AH318" i="7"/>
  <c r="K52" i="13"/>
  <c r="G78"/>
  <c r="G80" s="1"/>
  <c r="M52"/>
  <c r="I78"/>
  <c r="I80" s="1"/>
  <c r="AL84" i="23"/>
  <c r="AL30" i="30" s="1"/>
  <c r="AH138" i="22"/>
  <c r="AX27" i="13"/>
  <c r="V59" i="7"/>
  <c r="AL45"/>
  <c r="AP60" i="14"/>
  <c r="AO58"/>
  <c r="AL59" i="7"/>
  <c r="BB59" s="1"/>
  <c r="AP62" i="14"/>
  <c r="AL73"/>
  <c r="AX48" i="13"/>
  <c r="J80"/>
  <c r="J81"/>
  <c r="L78"/>
  <c r="L80" s="1"/>
  <c r="AZ52"/>
  <c r="AL61" i="14"/>
  <c r="AK318" i="7"/>
  <c r="AT27" i="13"/>
  <c r="R80"/>
  <c r="AL72" i="14"/>
  <c r="AL62"/>
  <c r="AL90" i="13"/>
  <c r="F78" i="14"/>
  <c r="D78"/>
  <c r="AL59"/>
  <c r="AJ64"/>
  <c r="AL66"/>
  <c r="AU12" i="13"/>
  <c r="AP65" i="14"/>
  <c r="AX46" i="13"/>
  <c r="S298" i="7"/>
  <c r="AM298" s="1"/>
  <c r="G76" i="14"/>
  <c r="AQ12" i="13"/>
  <c r="AT12" s="1"/>
  <c r="AT46"/>
  <c r="AT34"/>
  <c r="AI312" i="7"/>
  <c r="J50" i="14"/>
  <c r="AN58"/>
  <c r="AJ58"/>
  <c r="AT48" i="13"/>
  <c r="AI70" i="14"/>
  <c r="AL70" s="1"/>
  <c r="V70"/>
  <c r="AP70" s="1"/>
  <c r="AM70"/>
  <c r="AH317" i="7"/>
  <c r="AL318"/>
  <c r="AN318" s="1"/>
  <c r="AJ312"/>
  <c r="AL128"/>
  <c r="AL168"/>
  <c r="AK319"/>
  <c r="AH312"/>
  <c r="AH319"/>
  <c r="AS20" i="13"/>
  <c r="AT20" s="1"/>
  <c r="AW20"/>
  <c r="AP20"/>
  <c r="AX20" s="1"/>
  <c r="AK317" i="7"/>
  <c r="AL154"/>
  <c r="W267"/>
  <c r="AQ185"/>
  <c r="AM54" i="14"/>
  <c r="V54"/>
  <c r="AT23" i="13"/>
  <c r="Z51" i="14"/>
  <c r="W50"/>
  <c r="AE51"/>
  <c r="AA78"/>
  <c r="AK69"/>
  <c r="AH69"/>
  <c r="AO69"/>
  <c r="V69"/>
  <c r="AJ69"/>
  <c r="AN69"/>
  <c r="AM58"/>
  <c r="V58"/>
  <c r="AP58" s="1"/>
  <c r="AI58"/>
  <c r="AJ54"/>
  <c r="AN54"/>
  <c r="AH54"/>
  <c r="AI54"/>
  <c r="V51"/>
  <c r="AH64"/>
  <c r="AI64"/>
  <c r="S50"/>
  <c r="O76"/>
  <c r="AK64"/>
  <c r="AO64"/>
  <c r="V64"/>
  <c r="AH53"/>
  <c r="AP53" s="1"/>
  <c r="AK53"/>
  <c r="AL53" s="1"/>
  <c r="AO53"/>
  <c r="AA78" i="13"/>
  <c r="AP9" i="23" l="1"/>
  <c r="AP9" i="34"/>
  <c r="AH46" i="33"/>
  <c r="N52" i="13"/>
  <c r="N78" s="1"/>
  <c r="N81" s="1"/>
  <c r="AH45" i="33"/>
  <c r="AH44"/>
  <c r="AH140" i="22"/>
  <c r="AH141"/>
  <c r="V297" i="7"/>
  <c r="AP59"/>
  <c r="V140" i="23"/>
  <c r="V142"/>
  <c r="AL297" i="7"/>
  <c r="AL298" s="1"/>
  <c r="K78" i="13"/>
  <c r="K80" s="1"/>
  <c r="AY52"/>
  <c r="AY78" s="1"/>
  <c r="AY80" s="1"/>
  <c r="M78"/>
  <c r="M80" s="1"/>
  <c r="BA52"/>
  <c r="BA78" s="1"/>
  <c r="BA80" s="1"/>
  <c r="AZ78"/>
  <c r="AZ80" s="1"/>
  <c r="N80"/>
  <c r="AL58" i="14"/>
  <c r="J76"/>
  <c r="R50"/>
  <c r="R76" s="1"/>
  <c r="U298" i="7"/>
  <c r="AO298" s="1"/>
  <c r="AO297"/>
  <c r="T298"/>
  <c r="AN298" s="1"/>
  <c r="AN297"/>
  <c r="AP69" i="14"/>
  <c r="W275" i="7"/>
  <c r="AL317"/>
  <c r="AN317" s="1"/>
  <c r="AL319"/>
  <c r="AN319" s="1"/>
  <c r="AL312"/>
  <c r="AN312" s="1"/>
  <c r="AP54" i="14"/>
  <c r="AL54"/>
  <c r="AI51"/>
  <c r="AP64"/>
  <c r="AL64"/>
  <c r="AL69"/>
  <c r="O78"/>
  <c r="AM50"/>
  <c r="V50"/>
  <c r="S76"/>
  <c r="AE50"/>
  <c r="Z50"/>
  <c r="W76"/>
  <c r="W80" s="1"/>
  <c r="AA80" i="13"/>
  <c r="BB52" l="1"/>
  <c r="BB78" s="1"/>
  <c r="BB81" s="1"/>
  <c r="R78" i="14"/>
  <c r="V298" i="7"/>
  <c r="AP298" s="1"/>
  <c r="AP297"/>
  <c r="V76" i="14"/>
  <c r="W78"/>
  <c r="AE76"/>
  <c r="AM76"/>
  <c r="AI50"/>
  <c r="BB80" i="13" l="1"/>
  <c r="AE78" i="14"/>
  <c r="AI76"/>
  <c r="AX295" i="1" l="1"/>
  <c r="AW295" s="1"/>
  <c r="AV295" l="1"/>
  <c r="AU295" s="1"/>
  <c r="AC226" i="7" l="1"/>
  <c r="AC223" s="1"/>
  <c r="AB50" i="23" l="1"/>
  <c r="AB39" i="29" s="1"/>
  <c r="AB38"/>
  <c r="AB49" i="23"/>
  <c r="AD226" i="7"/>
  <c r="AD223" s="1"/>
  <c r="AC314"/>
  <c r="AG226"/>
  <c r="AO226" l="1"/>
  <c r="AG223"/>
  <c r="AC50" i="23"/>
  <c r="AC49" s="1"/>
  <c r="AB23" i="34"/>
  <c r="AF50" i="23"/>
  <c r="AF49" s="1"/>
  <c r="AF39" i="29"/>
  <c r="AC39"/>
  <c r="AC38" s="1"/>
  <c r="AO223" i="7"/>
  <c r="AC56" i="14"/>
  <c r="AD56" s="1"/>
  <c r="AH226" i="7"/>
  <c r="AK226"/>
  <c r="AL226" s="1"/>
  <c r="AG314"/>
  <c r="AD314"/>
  <c r="AP226" l="1"/>
  <c r="AH223"/>
  <c r="AP223" s="1"/>
  <c r="AF23" i="34"/>
  <c r="AC23"/>
  <c r="AG50" i="23"/>
  <c r="AO50" s="1"/>
  <c r="AN50"/>
  <c r="AJ50"/>
  <c r="AJ49" s="1"/>
  <c r="AF38" i="29"/>
  <c r="AN39"/>
  <c r="AJ39"/>
  <c r="AG39"/>
  <c r="AN49" i="23"/>
  <c r="AG56" i="14"/>
  <c r="AH314" i="7"/>
  <c r="AD51" i="14"/>
  <c r="AH56"/>
  <c r="AP56" s="1"/>
  <c r="AK56"/>
  <c r="AL56" s="1"/>
  <c r="AO56"/>
  <c r="AJ23" i="34" l="1"/>
  <c r="AK23" s="1"/>
  <c r="AN23"/>
  <c r="AG23"/>
  <c r="AO23" s="1"/>
  <c r="AG49" i="23"/>
  <c r="AK50"/>
  <c r="AK49" s="1"/>
  <c r="AJ38" i="29"/>
  <c r="AK39"/>
  <c r="AK38" s="1"/>
  <c r="AN38"/>
  <c r="AG38"/>
  <c r="AO39"/>
  <c r="AH51" i="14"/>
  <c r="AP51" s="1"/>
  <c r="AD50"/>
  <c r="AO49" i="23" l="1"/>
  <c r="AP49"/>
  <c r="AO38" i="29"/>
  <c r="AH50" i="14"/>
  <c r="AL50" l="1"/>
  <c r="AP50"/>
  <c r="AP76" l="1"/>
  <c r="AR67" i="1" l="1"/>
  <c r="AS67"/>
  <c r="AR103"/>
  <c r="AS103"/>
  <c r="AT103" s="1"/>
  <c r="AR113"/>
  <c r="AS113"/>
  <c r="AT113" s="1"/>
  <c r="AR122"/>
  <c r="AS122"/>
  <c r="AT122" s="1"/>
  <c r="AR132"/>
  <c r="AS132"/>
  <c r="AT132" s="1"/>
  <c r="AR142"/>
  <c r="AS142"/>
  <c r="AT142" s="1"/>
  <c r="AR148"/>
  <c r="AS148"/>
  <c r="AT148" s="1"/>
  <c r="AR153"/>
  <c r="AS153"/>
  <c r="AR155"/>
  <c r="AS155"/>
  <c r="AT155" s="1"/>
  <c r="AR160"/>
  <c r="AS160"/>
  <c r="AT160" s="1"/>
  <c r="AR163"/>
  <c r="AS163"/>
  <c r="AT163" s="1"/>
  <c r="AR168"/>
  <c r="AS168"/>
  <c r="AT168" s="1"/>
  <c r="AR172"/>
  <c r="AS172"/>
  <c r="AT172" s="1"/>
  <c r="AR177"/>
  <c r="AS177"/>
  <c r="AT177" s="1"/>
  <c r="AR182"/>
  <c r="AS182"/>
  <c r="AT182" s="1"/>
  <c r="AR187"/>
  <c r="AS187"/>
  <c r="AR194"/>
  <c r="AS194"/>
  <c r="AR199"/>
  <c r="AS199"/>
  <c r="AT199" s="1"/>
  <c r="AR202"/>
  <c r="AS202"/>
  <c r="AT202" s="1"/>
  <c r="AR207"/>
  <c r="AS207"/>
  <c r="AR221"/>
  <c r="AS221"/>
  <c r="AR230"/>
  <c r="AS230"/>
  <c r="AT230"/>
  <c r="AR238"/>
  <c r="AS238"/>
  <c r="AT238" s="1"/>
  <c r="AR246"/>
  <c r="AS246"/>
  <c r="AT246" s="1"/>
  <c r="Y22"/>
  <c r="Y32" s="1"/>
  <c r="AC22" l="1"/>
  <c r="AD22" s="1"/>
  <c r="Z22"/>
  <c r="Y18" i="13"/>
  <c r="Y17" s="1"/>
  <c r="Y9" s="1"/>
  <c r="Y90" s="1"/>
  <c r="AT207" i="1"/>
  <c r="AT67"/>
  <c r="AT194"/>
  <c r="AT187"/>
  <c r="AT153"/>
  <c r="AT221"/>
  <c r="Y298"/>
  <c r="AC18" i="13"/>
  <c r="AD18" s="1"/>
  <c r="Z32" i="1"/>
  <c r="Z298" s="1"/>
  <c r="AC32"/>
  <c r="AD32" s="1"/>
  <c r="AD298" s="1"/>
  <c r="Z17" i="13"/>
  <c r="AC17"/>
  <c r="AG22" i="1"/>
  <c r="AC298"/>
  <c r="AW18" i="13" l="1"/>
  <c r="AW22" i="1"/>
  <c r="Z18" i="13"/>
  <c r="AO22" i="1"/>
  <c r="AG32"/>
  <c r="AH22"/>
  <c r="AH32" s="1"/>
  <c r="AG18" i="13"/>
  <c r="AW17"/>
  <c r="AD17"/>
  <c r="AC9"/>
  <c r="AC90" s="1"/>
  <c r="Z9"/>
  <c r="Z90" s="1"/>
  <c r="AD9" l="1"/>
  <c r="AD90" s="1"/>
  <c r="AG17"/>
  <c r="AO18"/>
  <c r="AH18"/>
  <c r="AG298" i="1"/>
  <c r="AH298"/>
  <c r="AP22"/>
  <c r="AX22" s="1"/>
  <c r="AS22"/>
  <c r="AT22" s="1"/>
  <c r="AO32"/>
  <c r="AP32" l="1"/>
  <c r="AX32" s="1"/>
  <c r="AO298"/>
  <c r="AS32"/>
  <c r="AT32" s="1"/>
  <c r="AW32"/>
  <c r="AO17" i="13"/>
  <c r="AG9"/>
  <c r="AG90" s="1"/>
  <c r="AH17"/>
  <c r="AS18"/>
  <c r="AT18" s="1"/>
  <c r="AP18"/>
  <c r="AX18" s="1"/>
  <c r="AP17" l="1"/>
  <c r="AX17" s="1"/>
  <c r="AS17"/>
  <c r="AT17" s="1"/>
  <c r="AP298" i="1"/>
  <c r="AS298"/>
  <c r="AW298"/>
  <c r="AO9" i="13"/>
  <c r="AO90" s="1"/>
  <c r="AX298" i="1" l="1"/>
  <c r="AT298"/>
  <c r="AW9" i="13"/>
  <c r="AS9"/>
  <c r="AS90" s="1"/>
  <c r="T21" i="7" l="1"/>
  <c r="AN21" s="1"/>
  <c r="U21"/>
  <c r="S21"/>
  <c r="T26"/>
  <c r="AN26" s="1"/>
  <c r="U26"/>
  <c r="S26"/>
  <c r="AK26" l="1"/>
  <c r="AO26"/>
  <c r="AI21"/>
  <c r="AM21"/>
  <c r="AI26"/>
  <c r="AM26"/>
  <c r="AK21"/>
  <c r="AO21"/>
  <c r="AJ21"/>
  <c r="AL21" s="1"/>
  <c r="V26"/>
  <c r="AP26" s="1"/>
  <c r="V21"/>
  <c r="AP21" s="1"/>
  <c r="AJ26"/>
  <c r="AL26" l="1"/>
  <c r="X220" i="1"/>
  <c r="W119" i="22" s="1"/>
  <c r="W20" i="27" s="1"/>
  <c r="Y20" s="1"/>
  <c r="W19" l="1"/>
  <c r="Y19" s="1"/>
  <c r="AA20"/>
  <c r="AC20" s="1"/>
  <c r="W118" i="22"/>
  <c r="W38" i="33" s="1"/>
  <c r="Y119" i="22"/>
  <c r="AB220" i="1"/>
  <c r="AA119" i="22" s="1"/>
  <c r="Z220" i="1"/>
  <c r="X217"/>
  <c r="AA38" i="33" l="1"/>
  <c r="Y38"/>
  <c r="AA19" i="27"/>
  <c r="AC19" s="1"/>
  <c r="AU20"/>
  <c r="AQ20"/>
  <c r="AS20" s="1"/>
  <c r="AW20"/>
  <c r="Y118" i="22"/>
  <c r="AU119"/>
  <c r="AQ119"/>
  <c r="AS119" s="1"/>
  <c r="AA118"/>
  <c r="AC119"/>
  <c r="AW119" s="1"/>
  <c r="AB217" i="1"/>
  <c r="Z217"/>
  <c r="X73" i="13"/>
  <c r="AV220" i="1"/>
  <c r="AR220"/>
  <c r="AT220" s="1"/>
  <c r="BD220" s="1"/>
  <c r="AD220"/>
  <c r="AX220" s="1"/>
  <c r="AU38" i="33" l="1"/>
  <c r="AQ38"/>
  <c r="AC38"/>
  <c r="AW38" s="1"/>
  <c r="AQ19" i="27"/>
  <c r="AS19" s="1"/>
  <c r="AU19"/>
  <c r="AU118" i="22"/>
  <c r="AQ118"/>
  <c r="AS118" s="1"/>
  <c r="BB118" s="1"/>
  <c r="AC118"/>
  <c r="AW118" s="1"/>
  <c r="Z73" i="13"/>
  <c r="AB73"/>
  <c r="AD217" i="1"/>
  <c r="AX217" s="1"/>
  <c r="AR217"/>
  <c r="AV217"/>
  <c r="AS38" i="33" l="1"/>
  <c r="AW19" i="27"/>
  <c r="AQ217" i="1"/>
  <c r="AT217" s="1"/>
  <c r="AR73" i="13"/>
  <c r="AD73"/>
  <c r="AX73" s="1"/>
  <c r="AV73"/>
  <c r="AT73" l="1"/>
  <c r="X131" i="1" l="1"/>
  <c r="W70" i="22" s="1"/>
  <c r="W22" i="25" s="1"/>
  <c r="Y22" s="1"/>
  <c r="W21" l="1"/>
  <c r="Y21" s="1"/>
  <c r="AA22"/>
  <c r="AC22" s="1"/>
  <c r="W69" i="22"/>
  <c r="Y70"/>
  <c r="AB131" i="1"/>
  <c r="AA70" i="22" s="1"/>
  <c r="Z131" i="1"/>
  <c r="X128"/>
  <c r="Y69" i="22" l="1"/>
  <c r="W28" i="33"/>
  <c r="AU22" i="25"/>
  <c r="AQ22"/>
  <c r="AS22" s="1"/>
  <c r="AW22"/>
  <c r="AA21"/>
  <c r="AC21" s="1"/>
  <c r="AU70" i="22"/>
  <c r="AQ70"/>
  <c r="AS70" s="1"/>
  <c r="AA69"/>
  <c r="AC70"/>
  <c r="AW70" s="1"/>
  <c r="AB128" i="1"/>
  <c r="Z128"/>
  <c r="X63" i="13"/>
  <c r="AR131" i="1"/>
  <c r="AV131"/>
  <c r="AD131"/>
  <c r="W288"/>
  <c r="AA28" i="33" l="1"/>
  <c r="Y28"/>
  <c r="AQ21" i="25"/>
  <c r="AS21" s="1"/>
  <c r="AU21"/>
  <c r="AU69" i="22"/>
  <c r="AQ69"/>
  <c r="AS69" s="1"/>
  <c r="BB69" s="1"/>
  <c r="AC69"/>
  <c r="AW69" s="1"/>
  <c r="W290" i="1"/>
  <c r="W291" s="1"/>
  <c r="AT131"/>
  <c r="BD131" s="1"/>
  <c r="AV128"/>
  <c r="AR128"/>
  <c r="AT128" s="1"/>
  <c r="AD128"/>
  <c r="AX128" s="1"/>
  <c r="AX131"/>
  <c r="Z63" i="13"/>
  <c r="AB63"/>
  <c r="AQ28" i="33" l="1"/>
  <c r="AS28" s="1"/>
  <c r="AU28"/>
  <c r="AC28"/>
  <c r="AW28" s="1"/>
  <c r="AW21" i="25"/>
  <c r="AR63" i="13"/>
  <c r="AV63"/>
  <c r="AD63"/>
  <c r="AX63" s="1"/>
  <c r="AT63" l="1"/>
  <c r="S77" i="7" l="1"/>
  <c r="T77"/>
  <c r="U77"/>
  <c r="S67"/>
  <c r="T67"/>
  <c r="U67"/>
  <c r="S68"/>
  <c r="T68"/>
  <c r="U68"/>
  <c r="V77"/>
  <c r="T76"/>
  <c r="V67"/>
  <c r="V68"/>
  <c r="AP68" s="1"/>
  <c r="U71"/>
  <c r="AO71" s="1"/>
  <c r="U72"/>
  <c r="U76"/>
  <c r="T71"/>
  <c r="AN71" s="1"/>
  <c r="T72"/>
  <c r="S71"/>
  <c r="AM71" s="1"/>
  <c r="S72"/>
  <c r="AM72" s="1"/>
  <c r="S76"/>
  <c r="AM76" s="1"/>
  <c r="AT53"/>
  <c r="AW53" s="1"/>
  <c r="AW59" s="1"/>
  <c r="AW74" s="1"/>
  <c r="S224"/>
  <c r="T224"/>
  <c r="U224"/>
  <c r="S225"/>
  <c r="T225"/>
  <c r="U225"/>
  <c r="AU53"/>
  <c r="AU59" s="1"/>
  <c r="AU74" s="1"/>
  <c r="AU267" s="1"/>
  <c r="S210"/>
  <c r="T210"/>
  <c r="U210"/>
  <c r="U264"/>
  <c r="S264"/>
  <c r="T264"/>
  <c r="U260"/>
  <c r="S260"/>
  <c r="T260"/>
  <c r="U259"/>
  <c r="S259"/>
  <c r="T259"/>
  <c r="U250"/>
  <c r="S250"/>
  <c r="T250"/>
  <c r="U205"/>
  <c r="S205"/>
  <c r="T205"/>
  <c r="P66"/>
  <c r="T66" s="1"/>
  <c r="AN66" s="1"/>
  <c r="Q66"/>
  <c r="U66" s="1"/>
  <c r="AO66" s="1"/>
  <c r="U249"/>
  <c r="S249"/>
  <c r="T249"/>
  <c r="U245"/>
  <c r="S245"/>
  <c r="T245"/>
  <c r="U200"/>
  <c r="S200"/>
  <c r="AM200" s="1"/>
  <c r="AI200"/>
  <c r="T200"/>
  <c r="U195"/>
  <c r="S195"/>
  <c r="T195"/>
  <c r="U265"/>
  <c r="S265"/>
  <c r="T265"/>
  <c r="U244"/>
  <c r="S244"/>
  <c r="T244"/>
  <c r="U240"/>
  <c r="S240"/>
  <c r="T240"/>
  <c r="U239"/>
  <c r="S239"/>
  <c r="T239"/>
  <c r="U214"/>
  <c r="S214"/>
  <c r="T214"/>
  <c r="U215"/>
  <c r="S215"/>
  <c r="T215"/>
  <c r="U209"/>
  <c r="S209"/>
  <c r="T209"/>
  <c r="U204"/>
  <c r="S204"/>
  <c r="T204"/>
  <c r="U199"/>
  <c r="S199"/>
  <c r="T199"/>
  <c r="U194"/>
  <c r="S194"/>
  <c r="T194"/>
  <c r="AT59"/>
  <c r="AT74" s="1"/>
  <c r="AT76" s="1"/>
  <c r="S11"/>
  <c r="AM11" s="1"/>
  <c r="T11"/>
  <c r="U11"/>
  <c r="AO11" s="1"/>
  <c r="V11"/>
  <c r="AP11" s="1"/>
  <c r="AI11"/>
  <c r="AK11"/>
  <c r="S27"/>
  <c r="T27"/>
  <c r="AN27" s="1"/>
  <c r="U27"/>
  <c r="S44"/>
  <c r="AM44" s="1"/>
  <c r="T44"/>
  <c r="AN44" s="1"/>
  <c r="U44"/>
  <c r="AO44" s="1"/>
  <c r="AI27"/>
  <c r="AJ27"/>
  <c r="AJ44"/>
  <c r="AK44"/>
  <c r="S47"/>
  <c r="T47"/>
  <c r="AN47" s="1"/>
  <c r="U47"/>
  <c r="AO47" s="1"/>
  <c r="P62"/>
  <c r="T62" s="1"/>
  <c r="AN62" s="1"/>
  <c r="Q62"/>
  <c r="U62" s="1"/>
  <c r="AO62" s="1"/>
  <c r="AI47"/>
  <c r="AK47"/>
  <c r="AJ47"/>
  <c r="AL47" s="1"/>
  <c r="S60"/>
  <c r="T60"/>
  <c r="U60"/>
  <c r="S65"/>
  <c r="AM65" s="1"/>
  <c r="T65"/>
  <c r="AN65" s="1"/>
  <c r="U65"/>
  <c r="AO65" s="1"/>
  <c r="S61"/>
  <c r="T61"/>
  <c r="AN61" s="1"/>
  <c r="U61"/>
  <c r="AO61" s="1"/>
  <c r="R62"/>
  <c r="R66"/>
  <c r="AI61"/>
  <c r="AK61"/>
  <c r="AI65"/>
  <c r="AJ65"/>
  <c r="AK65"/>
  <c r="S69"/>
  <c r="AM69" s="1"/>
  <c r="T69"/>
  <c r="AN69" s="1"/>
  <c r="U69"/>
  <c r="AO69" s="1"/>
  <c r="AJ69"/>
  <c r="S82"/>
  <c r="AM82" s="1"/>
  <c r="T82"/>
  <c r="AN82" s="1"/>
  <c r="U82"/>
  <c r="AO82" s="1"/>
  <c r="AJ82"/>
  <c r="S96"/>
  <c r="AM96" s="1"/>
  <c r="T96"/>
  <c r="AN96" s="1"/>
  <c r="U96"/>
  <c r="AO96" s="1"/>
  <c r="AJ96"/>
  <c r="S103"/>
  <c r="AM103" s="1"/>
  <c r="T103"/>
  <c r="AN103" s="1"/>
  <c r="U103"/>
  <c r="AO103" s="1"/>
  <c r="AJ103"/>
  <c r="S108"/>
  <c r="AM108" s="1"/>
  <c r="T108"/>
  <c r="AN108" s="1"/>
  <c r="U108"/>
  <c r="AO108" s="1"/>
  <c r="AJ108"/>
  <c r="T114"/>
  <c r="U114"/>
  <c r="AO114" s="1"/>
  <c r="AI114"/>
  <c r="AK114"/>
  <c r="T127"/>
  <c r="AN127" s="1"/>
  <c r="U127"/>
  <c r="AO127" s="1"/>
  <c r="T130"/>
  <c r="AN130" s="1"/>
  <c r="U130"/>
  <c r="AO130" s="1"/>
  <c r="AI127"/>
  <c r="AK127"/>
  <c r="AI130"/>
  <c r="AK130"/>
  <c r="T134"/>
  <c r="AN134" s="1"/>
  <c r="U134"/>
  <c r="AK134" s="1"/>
  <c r="AI134"/>
  <c r="AJ134"/>
  <c r="T139"/>
  <c r="AN139" s="1"/>
  <c r="U139"/>
  <c r="AO139" s="1"/>
  <c r="AI139"/>
  <c r="AK139"/>
  <c r="T145"/>
  <c r="AN145" s="1"/>
  <c r="U145"/>
  <c r="AO145" s="1"/>
  <c r="AI145"/>
  <c r="AJ145"/>
  <c r="AK145"/>
  <c r="T153"/>
  <c r="AN153" s="1"/>
  <c r="U153"/>
  <c r="AI153"/>
  <c r="T157"/>
  <c r="AN157" s="1"/>
  <c r="U157"/>
  <c r="AI157"/>
  <c r="T167"/>
  <c r="U167"/>
  <c r="AO167" s="1"/>
  <c r="AI167"/>
  <c r="T172"/>
  <c r="AN172" s="1"/>
  <c r="U172"/>
  <c r="AO172" s="1"/>
  <c r="AI172"/>
  <c r="AJ172"/>
  <c r="AK172"/>
  <c r="T176"/>
  <c r="AN176" s="1"/>
  <c r="U176"/>
  <c r="AI176"/>
  <c r="AJ176"/>
  <c r="T180"/>
  <c r="AN180" s="1"/>
  <c r="U180"/>
  <c r="AI180"/>
  <c r="S184"/>
  <c r="AI184" s="1"/>
  <c r="T184"/>
  <c r="AN184" s="1"/>
  <c r="U184"/>
  <c r="AO184" s="1"/>
  <c r="S186"/>
  <c r="T186"/>
  <c r="AN186" s="1"/>
  <c r="U186"/>
  <c r="AO186" s="1"/>
  <c r="AI186"/>
  <c r="AK186"/>
  <c r="AJ184"/>
  <c r="S189"/>
  <c r="T189"/>
  <c r="AN189" s="1"/>
  <c r="U189"/>
  <c r="AO189" s="1"/>
  <c r="S190"/>
  <c r="T190"/>
  <c r="AN190" s="1"/>
  <c r="U190"/>
  <c r="AK189"/>
  <c r="V195"/>
  <c r="AP195" s="1"/>
  <c r="AI189"/>
  <c r="AI190"/>
  <c r="V194"/>
  <c r="AP194" s="1"/>
  <c r="S192"/>
  <c r="AM192" s="1"/>
  <c r="T192"/>
  <c r="AN192" s="1"/>
  <c r="U192"/>
  <c r="AO192" s="1"/>
  <c r="AI192"/>
  <c r="AK192"/>
  <c r="V199"/>
  <c r="AP199" s="1"/>
  <c r="V200"/>
  <c r="AP200" s="1"/>
  <c r="S197"/>
  <c r="AI197" s="1"/>
  <c r="T197"/>
  <c r="AN197" s="1"/>
  <c r="U197"/>
  <c r="AO197" s="1"/>
  <c r="AJ197"/>
  <c r="V205"/>
  <c r="AP205" s="1"/>
  <c r="S202"/>
  <c r="T202"/>
  <c r="AN202" s="1"/>
  <c r="U202"/>
  <c r="AO202" s="1"/>
  <c r="V204"/>
  <c r="AP204" s="1"/>
  <c r="AI202"/>
  <c r="AJ202"/>
  <c r="AK202"/>
  <c r="V209"/>
  <c r="AP209" s="1"/>
  <c r="S207"/>
  <c r="AM207" s="1"/>
  <c r="T207"/>
  <c r="AN207" s="1"/>
  <c r="U207"/>
  <c r="AI207"/>
  <c r="AK207"/>
  <c r="V210"/>
  <c r="AP210" s="1"/>
  <c r="V214"/>
  <c r="AP214" s="1"/>
  <c r="V215"/>
  <c r="AP215" s="1"/>
  <c r="S212"/>
  <c r="AM212" s="1"/>
  <c r="T212"/>
  <c r="AN212" s="1"/>
  <c r="U212"/>
  <c r="AO212" s="1"/>
  <c r="V212"/>
  <c r="AP212" s="1"/>
  <c r="AI212"/>
  <c r="AJ212"/>
  <c r="AK212"/>
  <c r="AL212"/>
  <c r="S219"/>
  <c r="AM219" s="1"/>
  <c r="T219"/>
  <c r="AN219" s="1"/>
  <c r="U219"/>
  <c r="AO219" s="1"/>
  <c r="S217"/>
  <c r="AM217" s="1"/>
  <c r="T217"/>
  <c r="AN217" s="1"/>
  <c r="U217"/>
  <c r="AO217" s="1"/>
  <c r="AI219"/>
  <c r="S220"/>
  <c r="AM220" s="1"/>
  <c r="T220"/>
  <c r="AN220" s="1"/>
  <c r="U220"/>
  <c r="AO220" s="1"/>
  <c r="AI217"/>
  <c r="AJ217"/>
  <c r="AK217"/>
  <c r="AK220"/>
  <c r="S222"/>
  <c r="AM222" s="1"/>
  <c r="T222"/>
  <c r="AN222" s="1"/>
  <c r="U222"/>
  <c r="AO222" s="1"/>
  <c r="AI222"/>
  <c r="V225"/>
  <c r="AP225" s="1"/>
  <c r="V224"/>
  <c r="AP224" s="1"/>
  <c r="S230"/>
  <c r="AM230" s="1"/>
  <c r="T230"/>
  <c r="AN230" s="1"/>
  <c r="U230"/>
  <c r="AO230" s="1"/>
  <c r="AJ230"/>
  <c r="S234"/>
  <c r="AM234" s="1"/>
  <c r="T234"/>
  <c r="AN234" s="1"/>
  <c r="U234"/>
  <c r="AO234" s="1"/>
  <c r="S229"/>
  <c r="AM229" s="1"/>
  <c r="T229"/>
  <c r="AN229" s="1"/>
  <c r="U229"/>
  <c r="AO229" s="1"/>
  <c r="S235"/>
  <c r="AM235" s="1"/>
  <c r="T235"/>
  <c r="AN235" s="1"/>
  <c r="U235"/>
  <c r="AO235" s="1"/>
  <c r="AJ234"/>
  <c r="AJ229"/>
  <c r="AK234"/>
  <c r="S232"/>
  <c r="AM232" s="1"/>
  <c r="T232"/>
  <c r="AN232" s="1"/>
  <c r="U232"/>
  <c r="AO232" s="1"/>
  <c r="S227"/>
  <c r="AM227" s="1"/>
  <c r="T227"/>
  <c r="AN227" s="1"/>
  <c r="U227"/>
  <c r="AO227" s="1"/>
  <c r="AI227"/>
  <c r="AI232"/>
  <c r="AK232"/>
  <c r="AK235"/>
  <c r="AI234"/>
  <c r="AI235"/>
  <c r="V239"/>
  <c r="AP239" s="1"/>
  <c r="S237"/>
  <c r="AM237" s="1"/>
  <c r="T237"/>
  <c r="U237"/>
  <c r="AO237" s="1"/>
  <c r="V240"/>
  <c r="AP240" s="1"/>
  <c r="V244"/>
  <c r="AP244" s="1"/>
  <c r="S242"/>
  <c r="T242"/>
  <c r="AN242" s="1"/>
  <c r="U242"/>
  <c r="AO242" s="1"/>
  <c r="V245"/>
  <c r="AP245" s="1"/>
  <c r="AK242"/>
  <c r="S247"/>
  <c r="AM247" s="1"/>
  <c r="T247"/>
  <c r="AN247" s="1"/>
  <c r="U247"/>
  <c r="AO247" s="1"/>
  <c r="V249"/>
  <c r="AP249" s="1"/>
  <c r="AI247"/>
  <c r="V250"/>
  <c r="AP250" s="1"/>
  <c r="S254"/>
  <c r="T254"/>
  <c r="U254"/>
  <c r="S252"/>
  <c r="AM252" s="1"/>
  <c r="T252"/>
  <c r="AN252" s="1"/>
  <c r="U252"/>
  <c r="AO252" s="1"/>
  <c r="S255"/>
  <c r="AM255" s="1"/>
  <c r="T255"/>
  <c r="AN255" s="1"/>
  <c r="U255"/>
  <c r="AO255" s="1"/>
  <c r="AI252"/>
  <c r="AJ255"/>
  <c r="V259"/>
  <c r="AP259" s="1"/>
  <c r="AI255"/>
  <c r="S257"/>
  <c r="AM257" s="1"/>
  <c r="T257"/>
  <c r="AN257" s="1"/>
  <c r="U257"/>
  <c r="AO257" s="1"/>
  <c r="AI257"/>
  <c r="V260"/>
  <c r="AP260" s="1"/>
  <c r="V264"/>
  <c r="AP264" s="1"/>
  <c r="V265"/>
  <c r="AP265" s="1"/>
  <c r="S262"/>
  <c r="AM262" s="1"/>
  <c r="T262"/>
  <c r="AN262" s="1"/>
  <c r="U262"/>
  <c r="AO262" s="1"/>
  <c r="AI262"/>
  <c r="AK262"/>
  <c r="AJ262" l="1"/>
  <c r="AJ257"/>
  <c r="AK252"/>
  <c r="AK247"/>
  <c r="AJ235"/>
  <c r="AL235" s="1"/>
  <c r="AI229"/>
  <c r="AK227"/>
  <c r="AK229"/>
  <c r="AI230"/>
  <c r="AJ222"/>
  <c r="AJ220"/>
  <c r="AJ219"/>
  <c r="AK197"/>
  <c r="AK184"/>
  <c r="AJ186"/>
  <c r="V72"/>
  <c r="AP72" s="1"/>
  <c r="AK222"/>
  <c r="V252"/>
  <c r="AP252" s="1"/>
  <c r="V254"/>
  <c r="AI82"/>
  <c r="AK69"/>
  <c r="AI69"/>
  <c r="AJ61"/>
  <c r="AK219"/>
  <c r="AL219" s="1"/>
  <c r="AJ207"/>
  <c r="AK230"/>
  <c r="V219"/>
  <c r="AP219" s="1"/>
  <c r="V65"/>
  <c r="AP65" s="1"/>
  <c r="AK257"/>
  <c r="V255"/>
  <c r="V247"/>
  <c r="AP247" s="1"/>
  <c r="AL172"/>
  <c r="AL145"/>
  <c r="AJ254"/>
  <c r="AN254"/>
  <c r="V242"/>
  <c r="AP242" s="1"/>
  <c r="AM242"/>
  <c r="AJ237"/>
  <c r="AN237"/>
  <c r="V207"/>
  <c r="AP207" s="1"/>
  <c r="AO207"/>
  <c r="V202"/>
  <c r="AP202" s="1"/>
  <c r="AM202"/>
  <c r="AK190"/>
  <c r="AO190"/>
  <c r="V190"/>
  <c r="AP190" s="1"/>
  <c r="AM190"/>
  <c r="V186"/>
  <c r="AP186" s="1"/>
  <c r="AM186"/>
  <c r="V180"/>
  <c r="AP180" s="1"/>
  <c r="AO180"/>
  <c r="V176"/>
  <c r="AP176" s="1"/>
  <c r="AO176"/>
  <c r="V157"/>
  <c r="AP157" s="1"/>
  <c r="AO157"/>
  <c r="V153"/>
  <c r="AP153" s="1"/>
  <c r="AO153"/>
  <c r="V61"/>
  <c r="AP61" s="1"/>
  <c r="AM61"/>
  <c r="AJ60"/>
  <c r="AN60"/>
  <c r="V47"/>
  <c r="AP47" s="1"/>
  <c r="AM47"/>
  <c r="AK27"/>
  <c r="AO27"/>
  <c r="V27"/>
  <c r="AP27" s="1"/>
  <c r="AM27"/>
  <c r="AJ194"/>
  <c r="AN194"/>
  <c r="AK194"/>
  <c r="AO194"/>
  <c r="AI199"/>
  <c r="AM199"/>
  <c r="AJ204"/>
  <c r="AN204"/>
  <c r="AK204"/>
  <c r="AO204"/>
  <c r="AI209"/>
  <c r="AM209"/>
  <c r="AJ215"/>
  <c r="AN215"/>
  <c r="AK215"/>
  <c r="AO215"/>
  <c r="AI214"/>
  <c r="AM214"/>
  <c r="AJ239"/>
  <c r="AN239"/>
  <c r="AK239"/>
  <c r="AO239"/>
  <c r="AI240"/>
  <c r="AM240"/>
  <c r="AJ244"/>
  <c r="AN244"/>
  <c r="AK244"/>
  <c r="AO244"/>
  <c r="AI265"/>
  <c r="AM265"/>
  <c r="AJ195"/>
  <c r="AN195"/>
  <c r="AK195"/>
  <c r="AO195"/>
  <c r="AK200"/>
  <c r="AO200"/>
  <c r="AI245"/>
  <c r="AM245"/>
  <c r="AJ249"/>
  <c r="AN249"/>
  <c r="AK249"/>
  <c r="AO249"/>
  <c r="AI205"/>
  <c r="AM205"/>
  <c r="AJ250"/>
  <c r="AN250"/>
  <c r="AK250"/>
  <c r="AO250"/>
  <c r="AI259"/>
  <c r="AM259"/>
  <c r="AJ260"/>
  <c r="AN260"/>
  <c r="AK260"/>
  <c r="AO260"/>
  <c r="AI264"/>
  <c r="AM264"/>
  <c r="AK210"/>
  <c r="AO210"/>
  <c r="AI210"/>
  <c r="AM210"/>
  <c r="AK225"/>
  <c r="AO225"/>
  <c r="AI225"/>
  <c r="AM225"/>
  <c r="AJ224"/>
  <c r="AN224"/>
  <c r="T70"/>
  <c r="AN70" s="1"/>
  <c r="AN72"/>
  <c r="AK68"/>
  <c r="AO68"/>
  <c r="AI68"/>
  <c r="AI72" s="1"/>
  <c r="AM68"/>
  <c r="AJ67"/>
  <c r="AJ71" s="1"/>
  <c r="AN67"/>
  <c r="AK77"/>
  <c r="AO77"/>
  <c r="AI77"/>
  <c r="AM77"/>
  <c r="V262"/>
  <c r="AP262" s="1"/>
  <c r="V257"/>
  <c r="AP257" s="1"/>
  <c r="V230"/>
  <c r="AP230" s="1"/>
  <c r="AL184"/>
  <c r="AJ180"/>
  <c r="V172"/>
  <c r="AP172" s="1"/>
  <c r="AJ157"/>
  <c r="AJ153"/>
  <c r="V145"/>
  <c r="AP145" s="1"/>
  <c r="AJ139"/>
  <c r="AJ130"/>
  <c r="AK108"/>
  <c r="AI108"/>
  <c r="AK103"/>
  <c r="AI103"/>
  <c r="AK96"/>
  <c r="AI96"/>
  <c r="AK82"/>
  <c r="AL65"/>
  <c r="AO254"/>
  <c r="AI254"/>
  <c r="AM254"/>
  <c r="V197"/>
  <c r="AP197" s="1"/>
  <c r="AM197"/>
  <c r="V189"/>
  <c r="AP189" s="1"/>
  <c r="AM189"/>
  <c r="V184"/>
  <c r="AP184" s="1"/>
  <c r="AM184"/>
  <c r="AJ167"/>
  <c r="AN167"/>
  <c r="V134"/>
  <c r="AP134" s="1"/>
  <c r="AO134"/>
  <c r="AJ114"/>
  <c r="AN114"/>
  <c r="AK60"/>
  <c r="AO60"/>
  <c r="AJ11"/>
  <c r="AL11" s="1"/>
  <c r="AN11"/>
  <c r="AI194"/>
  <c r="AM194"/>
  <c r="AJ199"/>
  <c r="AN199"/>
  <c r="AK199"/>
  <c r="AO199"/>
  <c r="AI204"/>
  <c r="AM204"/>
  <c r="AJ209"/>
  <c r="AN209"/>
  <c r="AK209"/>
  <c r="AO209"/>
  <c r="AI215"/>
  <c r="AM215"/>
  <c r="AJ214"/>
  <c r="AN214"/>
  <c r="AK214"/>
  <c r="AO214"/>
  <c r="AI239"/>
  <c r="AM239"/>
  <c r="AJ240"/>
  <c r="AN240"/>
  <c r="AK240"/>
  <c r="AO240"/>
  <c r="AI244"/>
  <c r="AM244"/>
  <c r="AJ265"/>
  <c r="AN265"/>
  <c r="AK265"/>
  <c r="AO265"/>
  <c r="AI195"/>
  <c r="AM195"/>
  <c r="AJ200"/>
  <c r="AN200"/>
  <c r="AJ245"/>
  <c r="AN245"/>
  <c r="AK245"/>
  <c r="AO245"/>
  <c r="AI249"/>
  <c r="AM249"/>
  <c r="AJ205"/>
  <c r="AN205"/>
  <c r="AK205"/>
  <c r="AO205"/>
  <c r="AI250"/>
  <c r="AM250"/>
  <c r="AJ259"/>
  <c r="AN259"/>
  <c r="AK259"/>
  <c r="AO259"/>
  <c r="AI260"/>
  <c r="AM260"/>
  <c r="AJ264"/>
  <c r="AN264"/>
  <c r="AK264"/>
  <c r="AO264"/>
  <c r="AJ210"/>
  <c r="AN210"/>
  <c r="AJ225"/>
  <c r="AN225"/>
  <c r="AK224"/>
  <c r="AK223" s="1"/>
  <c r="AK314" s="1"/>
  <c r="AO224"/>
  <c r="AI224"/>
  <c r="AI223" s="1"/>
  <c r="AI314" s="1"/>
  <c r="AM224"/>
  <c r="U70"/>
  <c r="AO70" s="1"/>
  <c r="AO72"/>
  <c r="V71"/>
  <c r="AP71" s="1"/>
  <c r="AP67"/>
  <c r="V76"/>
  <c r="V291" s="1"/>
  <c r="AP77"/>
  <c r="AJ68"/>
  <c r="AJ72" s="1"/>
  <c r="AN68"/>
  <c r="AK67"/>
  <c r="AK71" s="1"/>
  <c r="AO67"/>
  <c r="AI67"/>
  <c r="AM67"/>
  <c r="AJ77"/>
  <c r="AN77"/>
  <c r="V227"/>
  <c r="AP227" s="1"/>
  <c r="V232"/>
  <c r="AP232" s="1"/>
  <c r="AL186"/>
  <c r="AL61"/>
  <c r="AL27"/>
  <c r="AL194"/>
  <c r="T291"/>
  <c r="AI60"/>
  <c r="AL60" s="1"/>
  <c r="AM60"/>
  <c r="AK66"/>
  <c r="V62"/>
  <c r="AP62" s="1"/>
  <c r="AJ62"/>
  <c r="AI242"/>
  <c r="V237"/>
  <c r="AP237" s="1"/>
  <c r="AL234"/>
  <c r="AJ232"/>
  <c r="V222"/>
  <c r="AP222" s="1"/>
  <c r="AJ192"/>
  <c r="AK180"/>
  <c r="AL180" s="1"/>
  <c r="AK157"/>
  <c r="AL157" s="1"/>
  <c r="V44"/>
  <c r="AP44" s="1"/>
  <c r="V235"/>
  <c r="AP235" s="1"/>
  <c r="V229"/>
  <c r="AP229" s="1"/>
  <c r="V234"/>
  <c r="AP234" s="1"/>
  <c r="V220"/>
  <c r="AP220" s="1"/>
  <c r="V217"/>
  <c r="AP217" s="1"/>
  <c r="AI44"/>
  <c r="AL44" s="1"/>
  <c r="AJ66"/>
  <c r="AL66" s="1"/>
  <c r="V66"/>
  <c r="AP66" s="1"/>
  <c r="AL262"/>
  <c r="AJ252"/>
  <c r="AL252" s="1"/>
  <c r="AJ247"/>
  <c r="AJ242"/>
  <c r="AK237"/>
  <c r="AI237"/>
  <c r="AJ227"/>
  <c r="AL227" s="1"/>
  <c r="AI220"/>
  <c r="AL202"/>
  <c r="V139"/>
  <c r="AP139" s="1"/>
  <c r="AL134"/>
  <c r="V127"/>
  <c r="AP127" s="1"/>
  <c r="AL108"/>
  <c r="V108"/>
  <c r="AP108" s="1"/>
  <c r="AL96"/>
  <c r="V96"/>
  <c r="AP96" s="1"/>
  <c r="AL69"/>
  <c r="V69"/>
  <c r="AP69" s="1"/>
  <c r="AL222"/>
  <c r="AL197"/>
  <c r="AL192"/>
  <c r="V192"/>
  <c r="AP192" s="1"/>
  <c r="V167"/>
  <c r="AP167" s="1"/>
  <c r="AL103"/>
  <c r="V103"/>
  <c r="AP103" s="1"/>
  <c r="AL82"/>
  <c r="V82"/>
  <c r="AP82" s="1"/>
  <c r="AK62"/>
  <c r="V60"/>
  <c r="AP60" s="1"/>
  <c r="AK72"/>
  <c r="AK70" s="1"/>
  <c r="U291"/>
  <c r="T74"/>
  <c r="AN74" s="1"/>
  <c r="T299"/>
  <c r="T300" s="1"/>
  <c r="AN300" s="1"/>
  <c r="AI71"/>
  <c r="AI70" s="1"/>
  <c r="AL257"/>
  <c r="AL247"/>
  <c r="AL207"/>
  <c r="AK176"/>
  <c r="AL176" s="1"/>
  <c r="AK167"/>
  <c r="AL167" s="1"/>
  <c r="AK153"/>
  <c r="AL153" s="1"/>
  <c r="AL139"/>
  <c r="AL130"/>
  <c r="AL114"/>
  <c r="V70"/>
  <c r="AP70" s="1"/>
  <c r="AL232"/>
  <c r="AL217"/>
  <c r="V130"/>
  <c r="AP130" s="1"/>
  <c r="V114"/>
  <c r="AP114" s="1"/>
  <c r="S70"/>
  <c r="AM70" s="1"/>
  <c r="U74"/>
  <c r="AO74" s="1"/>
  <c r="U299"/>
  <c r="V74"/>
  <c r="AI76"/>
  <c r="AQ76" s="1"/>
  <c r="AQ291" s="1"/>
  <c r="AQ295" s="1"/>
  <c r="AL77"/>
  <c r="S299"/>
  <c r="AJ190"/>
  <c r="AJ189"/>
  <c r="AL189" s="1"/>
  <c r="AJ127"/>
  <c r="AL127" s="1"/>
  <c r="S291"/>
  <c r="AL220" l="1"/>
  <c r="AL230"/>
  <c r="AJ223"/>
  <c r="AJ314" s="1"/>
  <c r="AL229"/>
  <c r="AJ70"/>
  <c r="AJ299" s="1"/>
  <c r="AJ300" s="1"/>
  <c r="AL67"/>
  <c r="AL71" s="1"/>
  <c r="AL209"/>
  <c r="AL68"/>
  <c r="AL72" s="1"/>
  <c r="AL70" s="1"/>
  <c r="AL224"/>
  <c r="AL259"/>
  <c r="AL210"/>
  <c r="AL250"/>
  <c r="AL215"/>
  <c r="AL204"/>
  <c r="AL190"/>
  <c r="AL225"/>
  <c r="AL260"/>
  <c r="AL200"/>
  <c r="AL264"/>
  <c r="AL240"/>
  <c r="AL205"/>
  <c r="AL245"/>
  <c r="AL265"/>
  <c r="AL214"/>
  <c r="AL199"/>
  <c r="AL62"/>
  <c r="AI74"/>
  <c r="AI299"/>
  <c r="AI300" s="1"/>
  <c r="AL242"/>
  <c r="V299"/>
  <c r="S74"/>
  <c r="AM74" s="1"/>
  <c r="AL249"/>
  <c r="AL195"/>
  <c r="AL244"/>
  <c r="AL239"/>
  <c r="AN299"/>
  <c r="AP74"/>
  <c r="AL237"/>
  <c r="AJ74"/>
  <c r="AK74"/>
  <c r="AK299"/>
  <c r="AK300" s="1"/>
  <c r="AM299"/>
  <c r="S300"/>
  <c r="AM300" s="1"/>
  <c r="AI291"/>
  <c r="AP299"/>
  <c r="V300"/>
  <c r="AP300" s="1"/>
  <c r="U300"/>
  <c r="AO300" s="1"/>
  <c r="AO299"/>
  <c r="AM291"/>
  <c r="AL223" l="1"/>
  <c r="BH223" s="1"/>
  <c r="AL299"/>
  <c r="AL300" s="1"/>
  <c r="BB70"/>
  <c r="AL74"/>
  <c r="AI78" i="14"/>
  <c r="V78"/>
  <c r="AZ16" i="13"/>
  <c r="BA16"/>
  <c r="AS16"/>
  <c r="AT16" s="1"/>
  <c r="AY11"/>
  <c r="AZ11"/>
  <c r="BA11"/>
  <c r="AX11"/>
  <c r="AW11"/>
  <c r="AY19"/>
  <c r="AZ19"/>
  <c r="BA19"/>
  <c r="BB19" s="1"/>
  <c r="AX19"/>
  <c r="AW19"/>
  <c r="AZ24"/>
  <c r="BA24"/>
  <c r="BB24" s="1"/>
  <c r="AS24"/>
  <c r="AT24" s="1"/>
  <c r="AS32"/>
  <c r="AT32" s="1"/>
  <c r="AZ28"/>
  <c r="BA28"/>
  <c r="BB28" s="1"/>
  <c r="AS38"/>
  <c r="AT38" s="1"/>
  <c r="AZ32"/>
  <c r="BA32"/>
  <c r="AZ38"/>
  <c r="BA38"/>
  <c r="AY35"/>
  <c r="AZ35"/>
  <c r="BA35"/>
  <c r="BB35" s="1"/>
  <c r="AX35"/>
  <c r="AW35"/>
  <c r="AY45"/>
  <c r="AZ45"/>
  <c r="BA45"/>
  <c r="AX45"/>
  <c r="AW45"/>
  <c r="AS49"/>
  <c r="AT49" s="1"/>
  <c r="AY49"/>
  <c r="AZ49"/>
  <c r="BA49"/>
  <c r="AX49"/>
  <c r="AY51"/>
  <c r="AZ51"/>
  <c r="BA51"/>
  <c r="BB51"/>
  <c r="AX51"/>
  <c r="AW51"/>
  <c r="AY59"/>
  <c r="AZ59"/>
  <c r="BA59"/>
  <c r="AY65"/>
  <c r="AZ65"/>
  <c r="BA65"/>
  <c r="BB65" s="1"/>
  <c r="AZ70"/>
  <c r="BA70"/>
  <c r="BB70" s="1"/>
  <c r="AL314" i="7" l="1"/>
  <c r="AN314" s="1"/>
  <c r="S78" i="14"/>
  <c r="BB45" i="13"/>
  <c r="BB32"/>
  <c r="BB49"/>
  <c r="BB38"/>
  <c r="BB59"/>
  <c r="BB11"/>
  <c r="BB16"/>
  <c r="X152" i="1" l="1"/>
  <c r="W41" i="22" s="1"/>
  <c r="W30" i="24" s="1"/>
  <c r="W29" l="1"/>
  <c r="Y30"/>
  <c r="W40" i="22"/>
  <c r="W21" i="33" s="1"/>
  <c r="Y41" i="22"/>
  <c r="AB152" i="1"/>
  <c r="Z152"/>
  <c r="X149"/>
  <c r="AA21" i="33" l="1"/>
  <c r="Y21"/>
  <c r="AA41" i="22"/>
  <c r="AQ41" s="1"/>
  <c r="AS41" s="1"/>
  <c r="AA30" i="24"/>
  <c r="Y29"/>
  <c r="Y40" i="22"/>
  <c r="Z149" i="1"/>
  <c r="AB149"/>
  <c r="X56" i="13"/>
  <c r="AV152" i="1"/>
  <c r="AR152"/>
  <c r="AD152"/>
  <c r="AU41" i="22" l="1"/>
  <c r="AQ21" i="33"/>
  <c r="AS21" s="1"/>
  <c r="AU21"/>
  <c r="AC21"/>
  <c r="AW21" s="1"/>
  <c r="AA40" i="22"/>
  <c r="AQ40" s="1"/>
  <c r="AS40" s="1"/>
  <c r="BB40" s="1"/>
  <c r="AQ30" i="24"/>
  <c r="AS30" s="1"/>
  <c r="AU30"/>
  <c r="AA29"/>
  <c r="AC30"/>
  <c r="AW30" s="1"/>
  <c r="AC41" i="22"/>
  <c r="AW41" s="1"/>
  <c r="AU40"/>
  <c r="AT152" i="1"/>
  <c r="BD152" s="1"/>
  <c r="AV149"/>
  <c r="AD149"/>
  <c r="AX149" s="1"/>
  <c r="AR149"/>
  <c r="AT149" s="1"/>
  <c r="AX152"/>
  <c r="Z56" i="13"/>
  <c r="AB56"/>
  <c r="AC40" i="22" l="1"/>
  <c r="AW40" s="1"/>
  <c r="AU29" i="24"/>
  <c r="AQ29"/>
  <c r="AC29"/>
  <c r="AR56" i="13"/>
  <c r="AT56" s="1"/>
  <c r="AV56"/>
  <c r="AD56"/>
  <c r="AX56" s="1"/>
  <c r="AW29" i="24" l="1"/>
  <c r="AS29"/>
  <c r="X123" i="1" l="1"/>
  <c r="W58" i="22" s="1"/>
  <c r="W10" i="25" s="1"/>
  <c r="Y121" i="1"/>
  <c r="X57" i="22" s="1"/>
  <c r="X9" i="25" s="1"/>
  <c r="Y124" i="1"/>
  <c r="Y126"/>
  <c r="X121"/>
  <c r="W57" i="22" s="1"/>
  <c r="W9" i="25" s="1"/>
  <c r="X124" i="1"/>
  <c r="W59" i="22" s="1"/>
  <c r="W11" i="25" s="1"/>
  <c r="X126" i="1"/>
  <c r="W61" i="22" s="1"/>
  <c r="W13" i="25" s="1"/>
  <c r="Y125" i="1"/>
  <c r="Y9" i="25" l="1"/>
  <c r="AA13"/>
  <c r="AA9"/>
  <c r="AA10"/>
  <c r="AA11"/>
  <c r="AB9"/>
  <c r="AC125" i="1"/>
  <c r="AW125" s="1"/>
  <c r="X60" i="22"/>
  <c r="AA61"/>
  <c r="Y57"/>
  <c r="AC124" i="1"/>
  <c r="AW124" s="1"/>
  <c r="X59" i="22"/>
  <c r="AA58"/>
  <c r="AA59"/>
  <c r="AC126" i="1"/>
  <c r="AW126" s="1"/>
  <c r="X61" i="22"/>
  <c r="AB126" i="1"/>
  <c r="Z126"/>
  <c r="AB123"/>
  <c r="AJ121"/>
  <c r="AI57" i="22" s="1"/>
  <c r="AI9" i="25" s="1"/>
  <c r="Y123" i="1"/>
  <c r="X58" i="22" s="1"/>
  <c r="AB124" i="1"/>
  <c r="Z124"/>
  <c r="AB121"/>
  <c r="AA57" i="22" s="1"/>
  <c r="Z121" i="1"/>
  <c r="AC121"/>
  <c r="AB57" i="22" s="1"/>
  <c r="X56" l="1"/>
  <c r="X55" s="1"/>
  <c r="AC9" i="25"/>
  <c r="AM9"/>
  <c r="AB59" i="22"/>
  <c r="AV59" s="1"/>
  <c r="X11" i="25"/>
  <c r="Y11" s="1"/>
  <c r="AB60" i="22"/>
  <c r="AV60" s="1"/>
  <c r="X12" i="25"/>
  <c r="AB12" s="1"/>
  <c r="AB58" i="22"/>
  <c r="X10" i="25"/>
  <c r="Y10" s="1"/>
  <c r="AB61" i="22"/>
  <c r="AC61" s="1"/>
  <c r="X13" i="25"/>
  <c r="Y13" s="1"/>
  <c r="Y59" i="22"/>
  <c r="AC57"/>
  <c r="Y58"/>
  <c r="Y61"/>
  <c r="AC123" i="1"/>
  <c r="AD123" s="1"/>
  <c r="AD121"/>
  <c r="AD124"/>
  <c r="AN121"/>
  <c r="AD126"/>
  <c r="X125"/>
  <c r="W60" i="22" s="1"/>
  <c r="W12" i="25" s="1"/>
  <c r="Y12" s="1"/>
  <c r="Y118" i="1"/>
  <c r="Z123"/>
  <c r="X26" i="33" l="1"/>
  <c r="AB26" s="1"/>
  <c r="AU9" i="25"/>
  <c r="X25" i="33"/>
  <c r="AV61" i="22"/>
  <c r="AQ9" i="25"/>
  <c r="AC59" i="22"/>
  <c r="AB56"/>
  <c r="AA12" i="25"/>
  <c r="AC12" s="1"/>
  <c r="W8"/>
  <c r="AB13"/>
  <c r="AC13" s="1"/>
  <c r="AB10"/>
  <c r="AC10" s="1"/>
  <c r="X8"/>
  <c r="X35" s="1"/>
  <c r="X37" s="1"/>
  <c r="AV12"/>
  <c r="AB11"/>
  <c r="AC11" s="1"/>
  <c r="AC58" i="22"/>
  <c r="AA60"/>
  <c r="Y60"/>
  <c r="W56"/>
  <c r="W26" i="33" s="1"/>
  <c r="AV121" i="1"/>
  <c r="AM57" i="22"/>
  <c r="AB55"/>
  <c r="AC118" i="1"/>
  <c r="Y61" i="13"/>
  <c r="AB125" i="1"/>
  <c r="Z125"/>
  <c r="X118"/>
  <c r="AR121"/>
  <c r="W25" i="33" l="1"/>
  <c r="Y26"/>
  <c r="AA26"/>
  <c r="AB25"/>
  <c r="Y8" i="25"/>
  <c r="AV11"/>
  <c r="Y35"/>
  <c r="W35"/>
  <c r="AB8"/>
  <c r="AV13"/>
  <c r="AA8"/>
  <c r="AC8" s="1"/>
  <c r="AU57" i="22"/>
  <c r="AQ57"/>
  <c r="W55"/>
  <c r="Y55" s="1"/>
  <c r="Y56"/>
  <c r="AC60"/>
  <c r="AA56"/>
  <c r="AB118" i="1"/>
  <c r="Z118"/>
  <c r="X61" i="13"/>
  <c r="AD125" i="1"/>
  <c r="Y60" i="13"/>
  <c r="AC61"/>
  <c r="AC26" i="33" l="1"/>
  <c r="AA25"/>
  <c r="Y25"/>
  <c r="Y37" i="25"/>
  <c r="W37"/>
  <c r="AB35"/>
  <c r="AB37" s="1"/>
  <c r="AA35"/>
  <c r="AA55" i="22"/>
  <c r="AC56"/>
  <c r="AC60" i="13"/>
  <c r="AD118" i="1"/>
  <c r="AB61" i="13"/>
  <c r="Z61"/>
  <c r="X60"/>
  <c r="AC25" i="33" l="1"/>
  <c r="AA37" i="25"/>
  <c r="AC35"/>
  <c r="AC55" i="22"/>
  <c r="AB60" i="13"/>
  <c r="Z60"/>
  <c r="AD61"/>
  <c r="AC37" i="25" l="1"/>
  <c r="AD60" i="13"/>
  <c r="AE179" i="1" l="1"/>
  <c r="AD88" i="22" s="1"/>
  <c r="AG181" i="1"/>
  <c r="AF90" i="22" s="1"/>
  <c r="AF13" i="26" s="1"/>
  <c r="AK176" i="1"/>
  <c r="AJ86" i="22" s="1"/>
  <c r="AJ9" i="26" s="1"/>
  <c r="AK181" i="1"/>
  <c r="AJ90" i="22" s="1"/>
  <c r="AE178" i="1"/>
  <c r="AD87" i="22" s="1"/>
  <c r="AD10" i="26" s="1"/>
  <c r="AE180" i="1"/>
  <c r="AD89" i="22" s="1"/>
  <c r="AD12" i="26" s="1"/>
  <c r="AF181" i="1"/>
  <c r="AE90" i="22" l="1"/>
  <c r="BF181" i="1"/>
  <c r="AL10" i="26"/>
  <c r="AL88" i="22"/>
  <c r="AT88" s="1"/>
  <c r="AD11" i="26"/>
  <c r="AL12"/>
  <c r="AN90" i="22"/>
  <c r="AJ13" i="26"/>
  <c r="AN13" s="1"/>
  <c r="AL87" i="22"/>
  <c r="AP88"/>
  <c r="AL89"/>
  <c r="AO176" i="1"/>
  <c r="AO181"/>
  <c r="AM180"/>
  <c r="AM178"/>
  <c r="AE181"/>
  <c r="AD90" i="22" s="1"/>
  <c r="AJ181" i="1"/>
  <c r="AN181" s="1"/>
  <c r="AM179"/>
  <c r="AE13" i="26" l="1"/>
  <c r="BF90" i="22"/>
  <c r="AD85"/>
  <c r="AD32" i="33" s="1"/>
  <c r="AD13" i="26"/>
  <c r="AN86" i="22"/>
  <c r="AN9" i="26"/>
  <c r="AT12"/>
  <c r="AP12"/>
  <c r="AL11"/>
  <c r="AP10"/>
  <c r="AT10"/>
  <c r="AD8"/>
  <c r="AL181" i="1"/>
  <c r="AI90" i="22"/>
  <c r="AI13" i="26" s="1"/>
  <c r="AG90" i="22"/>
  <c r="AL90"/>
  <c r="AL85" s="1"/>
  <c r="AP89"/>
  <c r="AT89"/>
  <c r="AT87"/>
  <c r="AP87"/>
  <c r="AH181" i="1"/>
  <c r="AM181"/>
  <c r="AM173" s="1"/>
  <c r="AU178"/>
  <c r="AQ178"/>
  <c r="AQ179"/>
  <c r="AU179"/>
  <c r="AQ180"/>
  <c r="AU180"/>
  <c r="AJ176"/>
  <c r="AI86" i="22" s="1"/>
  <c r="AI9" i="26" s="1"/>
  <c r="AE173" i="1"/>
  <c r="AL32" i="33" l="1"/>
  <c r="AT11" i="26"/>
  <c r="AP11"/>
  <c r="AM13"/>
  <c r="AK13"/>
  <c r="AG13"/>
  <c r="AL13"/>
  <c r="AT85" i="22"/>
  <c r="AP85"/>
  <c r="AM90"/>
  <c r="AK90"/>
  <c r="AO90"/>
  <c r="AP90"/>
  <c r="AT90"/>
  <c r="AQ173" i="1"/>
  <c r="AU173"/>
  <c r="AP181"/>
  <c r="AU181"/>
  <c r="AQ181"/>
  <c r="AE67" i="13"/>
  <c r="AL176" i="1"/>
  <c r="AN176"/>
  <c r="AT32" i="33" l="1"/>
  <c r="AP32"/>
  <c r="AM86" i="22"/>
  <c r="AO86" s="1"/>
  <c r="AM9" i="26"/>
  <c r="AO13"/>
  <c r="AT13"/>
  <c r="AP13"/>
  <c r="AL8"/>
  <c r="AK86" i="22"/>
  <c r="AK9" i="26"/>
  <c r="AP176" i="1"/>
  <c r="AM67" i="13"/>
  <c r="AP8" i="26" l="1"/>
  <c r="AT8"/>
  <c r="AO9"/>
  <c r="AQ67" i="13"/>
  <c r="AU67"/>
  <c r="AE188" i="1" l="1"/>
  <c r="AD94" i="22" s="1"/>
  <c r="AD17" i="26" s="1"/>
  <c r="X188" i="1"/>
  <c r="W94" i="22" s="1"/>
  <c r="W17" i="26" s="1"/>
  <c r="X190" i="1"/>
  <c r="W96" i="22" s="1"/>
  <c r="W19" i="26" s="1"/>
  <c r="X192" i="1"/>
  <c r="W98" i="22" s="1"/>
  <c r="W21" i="26" s="1"/>
  <c r="Y189" i="1"/>
  <c r="Y193"/>
  <c r="AJ186"/>
  <c r="AI93" i="22" s="1"/>
  <c r="AI16" i="26" s="1"/>
  <c r="AF192" i="1"/>
  <c r="X186"/>
  <c r="W93" i="22" s="1"/>
  <c r="W16" i="26" s="1"/>
  <c r="X191" i="1"/>
  <c r="W97" i="22" s="1"/>
  <c r="W20" i="26" s="1"/>
  <c r="Y188" i="1"/>
  <c r="Y190"/>
  <c r="Y192"/>
  <c r="AJ192"/>
  <c r="AI98" i="22" s="1"/>
  <c r="AI21" i="26" s="1"/>
  <c r="AE98" i="22" l="1"/>
  <c r="AM98" s="1"/>
  <c r="BF192" i="1"/>
  <c r="AA19" i="26"/>
  <c r="AL17"/>
  <c r="AA20"/>
  <c r="AA21"/>
  <c r="AA17"/>
  <c r="AC192" i="1"/>
  <c r="X98" i="22"/>
  <c r="AC188" i="1"/>
  <c r="X94" i="22"/>
  <c r="AC189" i="1"/>
  <c r="X95" i="22"/>
  <c r="AA96"/>
  <c r="AL94"/>
  <c r="AC190" i="1"/>
  <c r="X96" i="22"/>
  <c r="AA97"/>
  <c r="AC193" i="1"/>
  <c r="X99" i="22"/>
  <c r="AA98"/>
  <c r="Y98"/>
  <c r="AA94"/>
  <c r="Y94"/>
  <c r="Y191" i="1"/>
  <c r="AK186"/>
  <c r="AJ93" i="22" s="1"/>
  <c r="AJ16" i="26" s="1"/>
  <c r="AW192" i="1"/>
  <c r="AW190"/>
  <c r="AB191"/>
  <c r="AL186"/>
  <c r="AN186"/>
  <c r="AB190"/>
  <c r="Z190"/>
  <c r="AN192"/>
  <c r="AE192"/>
  <c r="AD98" i="22" s="1"/>
  <c r="AB186" i="1"/>
  <c r="AW189"/>
  <c r="AB192"/>
  <c r="Z192"/>
  <c r="AB188"/>
  <c r="Z188"/>
  <c r="AM188"/>
  <c r="AE21" i="26" l="1"/>
  <c r="AM21" s="1"/>
  <c r="AQ21" s="1"/>
  <c r="BF98" i="22"/>
  <c r="AL98"/>
  <c r="AT98" s="1"/>
  <c r="AD21" i="26"/>
  <c r="AM93" i="22"/>
  <c r="AM16" i="26"/>
  <c r="AB96" i="22"/>
  <c r="AC96" s="1"/>
  <c r="X19" i="26"/>
  <c r="AA93" i="22"/>
  <c r="AA16" i="26"/>
  <c r="AK93" i="22"/>
  <c r="AK16" i="26"/>
  <c r="AB99" i="22"/>
  <c r="X22" i="26"/>
  <c r="AB22" s="1"/>
  <c r="AB95" i="22"/>
  <c r="AV95" s="1"/>
  <c r="X18" i="26"/>
  <c r="AB18" s="1"/>
  <c r="AB94" i="22"/>
  <c r="AC94" s="1"/>
  <c r="X17" i="26"/>
  <c r="AB98" i="22"/>
  <c r="AC98" s="1"/>
  <c r="X21" i="26"/>
  <c r="AU21"/>
  <c r="AP17"/>
  <c r="AT17"/>
  <c r="AQ93" i="22"/>
  <c r="AU98"/>
  <c r="AQ98"/>
  <c r="AC191" i="1"/>
  <c r="AW191" s="1"/>
  <c r="X97" i="22"/>
  <c r="X20" i="26" s="1"/>
  <c r="AP94" i="22"/>
  <c r="AT94"/>
  <c r="Y96"/>
  <c r="Z191" i="1"/>
  <c r="AQ188"/>
  <c r="AU188"/>
  <c r="AM192"/>
  <c r="Y186"/>
  <c r="X93" i="22" s="1"/>
  <c r="X16" i="26" s="1"/>
  <c r="AO186" i="1"/>
  <c r="AP186" s="1"/>
  <c r="X189"/>
  <c r="W95" i="22" s="1"/>
  <c r="W18" i="26" s="1"/>
  <c r="X193" i="1"/>
  <c r="W99" i="22" s="1"/>
  <c r="W22" i="26" s="1"/>
  <c r="AD188" i="1"/>
  <c r="AR192"/>
  <c r="AV192"/>
  <c r="AD192"/>
  <c r="AV186"/>
  <c r="AD190"/>
  <c r="AV96" i="22" l="1"/>
  <c r="AV98"/>
  <c r="AU93"/>
  <c r="AD191" i="1"/>
  <c r="AP98" i="22"/>
  <c r="AA22" i="26"/>
  <c r="Y22"/>
  <c r="AA18"/>
  <c r="Y18"/>
  <c r="W15"/>
  <c r="X15"/>
  <c r="Y16"/>
  <c r="AB21"/>
  <c r="Y21"/>
  <c r="AB17"/>
  <c r="Y17"/>
  <c r="AV18"/>
  <c r="AQ16"/>
  <c r="AU16"/>
  <c r="AN93" i="22"/>
  <c r="AN16" i="26"/>
  <c r="AB20"/>
  <c r="Y20"/>
  <c r="AB19"/>
  <c r="Y19"/>
  <c r="AL21"/>
  <c r="AA99" i="22"/>
  <c r="Y99"/>
  <c r="AA95"/>
  <c r="Y95"/>
  <c r="W92"/>
  <c r="W33" i="33" s="1"/>
  <c r="X92" i="22"/>
  <c r="X33" i="33" s="1"/>
  <c r="AB33" s="1"/>
  <c r="Y93" i="22"/>
  <c r="AB97"/>
  <c r="Y97"/>
  <c r="AO93"/>
  <c r="AB189" i="1"/>
  <c r="Z189"/>
  <c r="X183"/>
  <c r="AC186"/>
  <c r="Y183"/>
  <c r="Z186"/>
  <c r="AU192"/>
  <c r="AQ192"/>
  <c r="AB193"/>
  <c r="Z193"/>
  <c r="Y33" i="33" l="1"/>
  <c r="AA33"/>
  <c r="Y15" i="26"/>
  <c r="AB93" i="22"/>
  <c r="AV93" s="1"/>
  <c r="AB16" i="26"/>
  <c r="AT21"/>
  <c r="AP21"/>
  <c r="AC18"/>
  <c r="AC22"/>
  <c r="AV19"/>
  <c r="AC19"/>
  <c r="AV20"/>
  <c r="AC20"/>
  <c r="AC17"/>
  <c r="AV21"/>
  <c r="AC21"/>
  <c r="AO16"/>
  <c r="AA15"/>
  <c r="AV97" i="22"/>
  <c r="AC97"/>
  <c r="AC95"/>
  <c r="AA92"/>
  <c r="AC99"/>
  <c r="Y92"/>
  <c r="AD193" i="1"/>
  <c r="AW186"/>
  <c r="AS186"/>
  <c r="AR186" s="1"/>
  <c r="AT186" s="1"/>
  <c r="BD186" s="1"/>
  <c r="AD186"/>
  <c r="AX186" s="1"/>
  <c r="AC183"/>
  <c r="Y68" i="13"/>
  <c r="AC68" s="1"/>
  <c r="Z183" i="1"/>
  <c r="AB183"/>
  <c r="X68" i="13"/>
  <c r="AD189" i="1"/>
  <c r="AC93" i="22" l="1"/>
  <c r="AW93" s="1"/>
  <c r="AR93"/>
  <c r="AS93" s="1"/>
  <c r="AC33" i="33"/>
  <c r="AV16" i="26"/>
  <c r="AB15"/>
  <c r="AR16"/>
  <c r="AS16" s="1"/>
  <c r="AC16"/>
  <c r="AW16" s="1"/>
  <c r="AB92" i="22"/>
  <c r="AC92" s="1"/>
  <c r="AB68" i="13"/>
  <c r="Z68"/>
  <c r="AD183" i="1"/>
  <c r="AC15" i="26" l="1"/>
  <c r="AD68" i="13"/>
  <c r="X201" i="1" l="1"/>
  <c r="W104" i="22" s="1"/>
  <c r="W27" i="26" s="1"/>
  <c r="X200" i="1"/>
  <c r="W103" i="22" s="1"/>
  <c r="W26" i="26" s="1"/>
  <c r="Y201" i="1"/>
  <c r="AA26" i="26" l="1"/>
  <c r="AA27"/>
  <c r="AC201" i="1"/>
  <c r="AW201" s="1"/>
  <c r="X104" i="22"/>
  <c r="AA104"/>
  <c r="Y104"/>
  <c r="AA103"/>
  <c r="Y200" i="1"/>
  <c r="Z200" s="1"/>
  <c r="Y198"/>
  <c r="X102" i="22" s="1"/>
  <c r="X25" i="26" s="1"/>
  <c r="AB200" i="1"/>
  <c r="AB201"/>
  <c r="Z201"/>
  <c r="AB104" i="22" l="1"/>
  <c r="AC104" s="1"/>
  <c r="X27" i="26"/>
  <c r="AC200" i="1"/>
  <c r="AD200" s="1"/>
  <c r="X103" i="22"/>
  <c r="X26" i="26" s="1"/>
  <c r="X24" s="1"/>
  <c r="AD201" i="1"/>
  <c r="Y195"/>
  <c r="AC198"/>
  <c r="X101" i="22" l="1"/>
  <c r="AV104"/>
  <c r="AB102"/>
  <c r="AB25" i="26"/>
  <c r="AB26"/>
  <c r="Y26"/>
  <c r="AB27"/>
  <c r="Y27"/>
  <c r="AB103" i="22"/>
  <c r="Y103"/>
  <c r="AC195" i="1"/>
  <c r="Y69" i="13"/>
  <c r="AC69" s="1"/>
  <c r="X34" i="33" l="1"/>
  <c r="AV27" i="26"/>
  <c r="AC27"/>
  <c r="AC26"/>
  <c r="AB24"/>
  <c r="AC103" i="22"/>
  <c r="AB101"/>
  <c r="AB34" i="33" l="1"/>
  <c r="AF126" i="1" l="1"/>
  <c r="AF125"/>
  <c r="AE126"/>
  <c r="AD61" i="22" s="1"/>
  <c r="AD13" i="25" s="1"/>
  <c r="AE125" i="1"/>
  <c r="AD60" i="22" s="1"/>
  <c r="AJ126" i="1"/>
  <c r="AI61" i="22" s="1"/>
  <c r="AI13" i="25" s="1"/>
  <c r="AJ125" i="1"/>
  <c r="AI60" i="22" s="1"/>
  <c r="AI12" i="25" s="1"/>
  <c r="AE123" i="1"/>
  <c r="AD58" i="22" s="1"/>
  <c r="AD10" i="25" s="1"/>
  <c r="AF124" i="1"/>
  <c r="AJ123"/>
  <c r="AI58" i="22" s="1"/>
  <c r="AI10" i="25" s="1"/>
  <c r="AF123" i="1"/>
  <c r="AK121"/>
  <c r="AJ57" i="22" s="1"/>
  <c r="AJ9" i="25" s="1"/>
  <c r="AK9" s="1"/>
  <c r="AK125" i="1"/>
  <c r="AJ60" i="22" s="1"/>
  <c r="AG125" i="1"/>
  <c r="AF60" i="22" s="1"/>
  <c r="AF12" i="25" s="1"/>
  <c r="AK124" i="1"/>
  <c r="AJ59" i="22" s="1"/>
  <c r="AJ11" i="25" s="1"/>
  <c r="AJ124" i="1"/>
  <c r="AE124"/>
  <c r="AD59" i="22" s="1"/>
  <c r="AD11" i="25" s="1"/>
  <c r="AK123" i="1"/>
  <c r="AJ58" i="22" s="1"/>
  <c r="AJ10" i="25" s="1"/>
  <c r="AG123" i="1"/>
  <c r="AF58" i="22" s="1"/>
  <c r="AF10" i="25" s="1"/>
  <c r="AG124" i="1"/>
  <c r="AK126"/>
  <c r="AJ61" i="22" s="1"/>
  <c r="AJ13" i="25" s="1"/>
  <c r="AG126" i="1"/>
  <c r="AE61" i="22" l="1"/>
  <c r="AM61" s="1"/>
  <c r="BF126" i="1"/>
  <c r="AE58" i="22"/>
  <c r="BF58" s="1"/>
  <c r="BF123" i="1"/>
  <c r="AE59" i="22"/>
  <c r="BF124" i="1"/>
  <c r="AE60" i="22"/>
  <c r="AM60" s="1"/>
  <c r="BF125" i="1"/>
  <c r="AL11" i="25"/>
  <c r="AT11" s="1"/>
  <c r="AL13"/>
  <c r="AP13" s="1"/>
  <c r="AK10"/>
  <c r="AK13"/>
  <c r="AN10"/>
  <c r="AN60" i="22"/>
  <c r="AR60" s="1"/>
  <c r="AJ12" i="25"/>
  <c r="AJ8" s="1"/>
  <c r="AJ35" s="1"/>
  <c r="AE10"/>
  <c r="AG10" s="1"/>
  <c r="AL60" i="22"/>
  <c r="AT60" s="1"/>
  <c r="AD12" i="25"/>
  <c r="AN9"/>
  <c r="AO9" s="1"/>
  <c r="AL10"/>
  <c r="AT13"/>
  <c r="AL59" i="22"/>
  <c r="AK60"/>
  <c r="AO126" i="1"/>
  <c r="AS126" s="1"/>
  <c r="AF61" i="22"/>
  <c r="AO124" i="1"/>
  <c r="AS124" s="1"/>
  <c r="AF59" i="22"/>
  <c r="AL124" i="1"/>
  <c r="AI59" i="22"/>
  <c r="AI11" i="25" s="1"/>
  <c r="AM58" i="22"/>
  <c r="AK58"/>
  <c r="AG58"/>
  <c r="AL58"/>
  <c r="AD56"/>
  <c r="AK61"/>
  <c r="AL61"/>
  <c r="AN58"/>
  <c r="AJ56"/>
  <c r="AO125" i="1"/>
  <c r="AS125" s="1"/>
  <c r="AN123"/>
  <c r="AF118"/>
  <c r="BF118" s="1"/>
  <c r="AL123"/>
  <c r="AJ118"/>
  <c r="AN124"/>
  <c r="AL126"/>
  <c r="AN126"/>
  <c r="AO123"/>
  <c r="AG118"/>
  <c r="AH124"/>
  <c r="AM124"/>
  <c r="AO121"/>
  <c r="AN57" i="22" s="1"/>
  <c r="AK118" i="1"/>
  <c r="AL121"/>
  <c r="AM123"/>
  <c r="AH123"/>
  <c r="AE118"/>
  <c r="AM125"/>
  <c r="AH125"/>
  <c r="AH126"/>
  <c r="AM126"/>
  <c r="AL125"/>
  <c r="AN125"/>
  <c r="AG60" i="22" l="1"/>
  <c r="AE56"/>
  <c r="BF56" s="1"/>
  <c r="AE12" i="25"/>
  <c r="AM12" s="1"/>
  <c r="AQ12" s="1"/>
  <c r="BF60" i="22"/>
  <c r="AE11" i="25"/>
  <c r="AM11" s="1"/>
  <c r="BF59" i="22"/>
  <c r="AE13" i="25"/>
  <c r="AM13" s="1"/>
  <c r="AQ13" s="1"/>
  <c r="BF61" i="22"/>
  <c r="AP11" i="25"/>
  <c r="AD55" i="22"/>
  <c r="AD26" i="33"/>
  <c r="AE55" i="22"/>
  <c r="BF55" s="1"/>
  <c r="AE26" i="33"/>
  <c r="AE25" s="1"/>
  <c r="AK12" i="25"/>
  <c r="AJ55" i="22"/>
  <c r="AJ26" i="33"/>
  <c r="AI8" i="25"/>
  <c r="AK11"/>
  <c r="AL12"/>
  <c r="AT12" s="1"/>
  <c r="AJ37"/>
  <c r="AO60" i="22"/>
  <c r="AW60" s="1"/>
  <c r="AP60"/>
  <c r="AN12" i="25"/>
  <c r="AR12" s="1"/>
  <c r="AD8"/>
  <c r="AK57" i="22"/>
  <c r="AG59"/>
  <c r="AF11" i="25"/>
  <c r="AN61" i="22"/>
  <c r="AR61" s="1"/>
  <c r="AF13" i="25"/>
  <c r="AU13"/>
  <c r="AV9"/>
  <c r="AR9"/>
  <c r="AS9" s="1"/>
  <c r="AW9"/>
  <c r="AM10"/>
  <c r="AO10" s="1"/>
  <c r="AW10" s="1"/>
  <c r="AE8"/>
  <c r="AE35" s="1"/>
  <c r="AV10"/>
  <c r="AR10"/>
  <c r="AU12"/>
  <c r="AT10"/>
  <c r="AP10"/>
  <c r="AF56" i="22"/>
  <c r="AG61"/>
  <c r="AI56"/>
  <c r="AN59"/>
  <c r="AR59" s="1"/>
  <c r="AU61"/>
  <c r="AQ61"/>
  <c r="AO58"/>
  <c r="AW58" s="1"/>
  <c r="AT58"/>
  <c r="AP58"/>
  <c r="AL56"/>
  <c r="AQ58"/>
  <c r="AU58"/>
  <c r="AQ60"/>
  <c r="AU60"/>
  <c r="AR57"/>
  <c r="AS57" s="1"/>
  <c r="AV57"/>
  <c r="AO57"/>
  <c r="AW57" s="1"/>
  <c r="AV58"/>
  <c r="AR58"/>
  <c r="AP61"/>
  <c r="AT61"/>
  <c r="AM59"/>
  <c r="AK59"/>
  <c r="AT59"/>
  <c r="AP59"/>
  <c r="AG179" i="1"/>
  <c r="AF88" i="22" s="1"/>
  <c r="AF11" i="26" s="1"/>
  <c r="AG180" i="1"/>
  <c r="AF89" i="22" s="1"/>
  <c r="AF12" i="26" s="1"/>
  <c r="AG178" i="1"/>
  <c r="AF87" i="22" s="1"/>
  <c r="AF10" i="26" s="1"/>
  <c r="AK179" i="1"/>
  <c r="AJ88" i="22" s="1"/>
  <c r="AK180" i="1"/>
  <c r="AJ89" i="22" s="1"/>
  <c r="AK178" i="1"/>
  <c r="AJ87" i="22" s="1"/>
  <c r="AJ10" i="26" s="1"/>
  <c r="Y179" i="1"/>
  <c r="Y181"/>
  <c r="Y180"/>
  <c r="Y178"/>
  <c r="X87" i="22" s="1"/>
  <c r="Y176" i="1"/>
  <c r="X86" i="22" s="1"/>
  <c r="X9" i="26" s="1"/>
  <c r="AJ179" i="1"/>
  <c r="AJ180"/>
  <c r="AJ178"/>
  <c r="AI87" i="22" s="1"/>
  <c r="AI10" i="26" s="1"/>
  <c r="X179" i="1"/>
  <c r="W88" i="22" s="1"/>
  <c r="W11" i="26" s="1"/>
  <c r="X181" i="1"/>
  <c r="W90" i="22" s="1"/>
  <c r="W13" i="26" s="1"/>
  <c r="X180" i="1"/>
  <c r="W89" i="22" s="1"/>
  <c r="W12" i="26" s="1"/>
  <c r="X178" i="1"/>
  <c r="W87" i="22" s="1"/>
  <c r="W10" i="26" s="1"/>
  <c r="AF179" i="1"/>
  <c r="AF180"/>
  <c r="AF178"/>
  <c r="AQ126"/>
  <c r="AU126"/>
  <c r="AP126"/>
  <c r="AX126" s="1"/>
  <c r="AL118"/>
  <c r="AO118"/>
  <c r="AS121"/>
  <c r="AW121"/>
  <c r="AP121"/>
  <c r="AG61" i="13"/>
  <c r="AG60" s="1"/>
  <c r="AJ61"/>
  <c r="AF61"/>
  <c r="AF60" s="1"/>
  <c r="AH118" i="1"/>
  <c r="AR125"/>
  <c r="AV125"/>
  <c r="AQ125"/>
  <c r="AT125" s="1"/>
  <c r="AU125"/>
  <c r="AP125"/>
  <c r="AX125" s="1"/>
  <c r="AE61" i="13"/>
  <c r="AU123" i="1"/>
  <c r="AP123"/>
  <c r="AX123" s="1"/>
  <c r="AQ123"/>
  <c r="AM118"/>
  <c r="AK61" i="13"/>
  <c r="AU124" i="1"/>
  <c r="AQ124"/>
  <c r="AP124"/>
  <c r="AX124" s="1"/>
  <c r="AW123"/>
  <c r="AS123"/>
  <c r="AV126"/>
  <c r="AR126"/>
  <c r="AV124"/>
  <c r="AR124"/>
  <c r="AR123"/>
  <c r="AV123"/>
  <c r="AN118"/>
  <c r="AG11" i="25" l="1"/>
  <c r="AG12"/>
  <c r="AE89" i="22"/>
  <c r="BF89" s="1"/>
  <c r="BF180" i="1"/>
  <c r="AE87" i="22"/>
  <c r="AE85" s="1"/>
  <c r="BF178" i="1"/>
  <c r="AE88" i="22"/>
  <c r="BF88" s="1"/>
  <c r="BF179" i="1"/>
  <c r="AK56" i="22"/>
  <c r="AK55" s="1"/>
  <c r="AS61"/>
  <c r="AG56"/>
  <c r="AG55" s="1"/>
  <c r="AP12" i="25"/>
  <c r="AO61" i="22"/>
  <c r="AW61" s="1"/>
  <c r="AN56"/>
  <c r="AN55" s="1"/>
  <c r="AS60"/>
  <c r="AL8" i="25"/>
  <c r="AP8" s="1"/>
  <c r="AE37"/>
  <c r="AS12"/>
  <c r="AD35"/>
  <c r="AD37" s="1"/>
  <c r="AJ25" i="33"/>
  <c r="AI55" i="22"/>
  <c r="AI26" i="33"/>
  <c r="AF55" i="22"/>
  <c r="AF26" i="33"/>
  <c r="AF25" s="1"/>
  <c r="AN13" i="25"/>
  <c r="AG13"/>
  <c r="AI35"/>
  <c r="AI37" s="1"/>
  <c r="AK8"/>
  <c r="AK35" s="1"/>
  <c r="AD25" i="33"/>
  <c r="AG26"/>
  <c r="AL26"/>
  <c r="AO12" i="25"/>
  <c r="AW12" s="1"/>
  <c r="AF8" i="26"/>
  <c r="AO59" i="22"/>
  <c r="AW59" s="1"/>
  <c r="AG88"/>
  <c r="AA12" i="26"/>
  <c r="AA11"/>
  <c r="AN89" i="22"/>
  <c r="AJ12" i="26"/>
  <c r="AN12" s="1"/>
  <c r="AQ11" i="25"/>
  <c r="AU11"/>
  <c r="AU10"/>
  <c r="AQ10"/>
  <c r="AS10" s="1"/>
  <c r="AM8"/>
  <c r="AN11"/>
  <c r="AO11" s="1"/>
  <c r="AF8"/>
  <c r="AF35" s="1"/>
  <c r="AE12" i="26"/>
  <c r="AG12" s="1"/>
  <c r="AA10"/>
  <c r="AA13"/>
  <c r="AK10"/>
  <c r="AB87" i="22"/>
  <c r="X10" i="26"/>
  <c r="AB10" s="1"/>
  <c r="AN10"/>
  <c r="AN88" i="22"/>
  <c r="AJ11" i="26"/>
  <c r="AN11" s="1"/>
  <c r="AL35" i="25"/>
  <c r="AA87" i="22"/>
  <c r="Y87"/>
  <c r="AA90"/>
  <c r="AK87"/>
  <c r="AL179" i="1"/>
  <c r="AI88" i="22"/>
  <c r="AI11" i="26" s="1"/>
  <c r="AC181" i="1"/>
  <c r="AW181" s="1"/>
  <c r="X90" i="22"/>
  <c r="AN87"/>
  <c r="AJ85"/>
  <c r="AJ32" i="33" s="1"/>
  <c r="AU59" i="22"/>
  <c r="AQ59"/>
  <c r="AS59" s="1"/>
  <c r="AM56"/>
  <c r="AS58"/>
  <c r="AM87"/>
  <c r="AG87"/>
  <c r="AA89"/>
  <c r="AA88"/>
  <c r="AL180" i="1"/>
  <c r="AI89" i="22"/>
  <c r="AI12" i="26" s="1"/>
  <c r="AC180" i="1"/>
  <c r="X89" i="22"/>
  <c r="AC179" i="1"/>
  <c r="X88" i="22"/>
  <c r="AL55"/>
  <c r="AT56"/>
  <c r="AP56"/>
  <c r="AF85"/>
  <c r="AF32" i="33" s="1"/>
  <c r="AN180" i="1"/>
  <c r="AH180"/>
  <c r="AN179"/>
  <c r="AH179"/>
  <c r="AB178"/>
  <c r="Z178"/>
  <c r="AB179"/>
  <c r="Z179"/>
  <c r="AC178"/>
  <c r="AO178"/>
  <c r="AG173"/>
  <c r="AO180"/>
  <c r="X176"/>
  <c r="W86" i="22" s="1"/>
  <c r="W9" i="26" s="1"/>
  <c r="AN178" i="1"/>
  <c r="AF173"/>
  <c r="BF173" s="1"/>
  <c r="AH178"/>
  <c r="AB180"/>
  <c r="Z180"/>
  <c r="AB181"/>
  <c r="Z181"/>
  <c r="AL178"/>
  <c r="AJ173"/>
  <c r="AC176"/>
  <c r="Y173"/>
  <c r="AK173"/>
  <c r="AO179"/>
  <c r="AR118"/>
  <c r="AV118"/>
  <c r="AT123"/>
  <c r="AX121"/>
  <c r="AT121"/>
  <c r="BD121" s="1"/>
  <c r="AO61" i="13"/>
  <c r="AK60"/>
  <c r="AU118" i="1"/>
  <c r="AQ118"/>
  <c r="AP118"/>
  <c r="AX118" s="1"/>
  <c r="AM61" i="13"/>
  <c r="AH61"/>
  <c r="AE60"/>
  <c r="AL61"/>
  <c r="AJ60"/>
  <c r="AS118" i="1"/>
  <c r="AW118"/>
  <c r="AT124"/>
  <c r="AT126"/>
  <c r="AG89" i="22" l="1"/>
  <c r="AE11" i="26"/>
  <c r="AG11" s="1"/>
  <c r="AE10"/>
  <c r="AE8" s="1"/>
  <c r="BF87" i="22"/>
  <c r="AE32" i="33"/>
  <c r="BF85" i="22"/>
  <c r="AO56"/>
  <c r="AW56" s="1"/>
  <c r="AS181" i="1"/>
  <c r="AK37" i="25"/>
  <c r="AV56" i="22"/>
  <c r="AT8" i="25"/>
  <c r="AR56" i="22"/>
  <c r="AF37" i="25"/>
  <c r="AI25" i="33"/>
  <c r="AK26"/>
  <c r="AM26"/>
  <c r="AG32"/>
  <c r="AN32"/>
  <c r="AT35" i="25"/>
  <c r="AL37"/>
  <c r="AL25" i="33"/>
  <c r="AP26"/>
  <c r="AT26"/>
  <c r="AG25"/>
  <c r="AR13" i="25"/>
  <c r="AS13" s="1"/>
  <c r="AO13"/>
  <c r="AW13" s="1"/>
  <c r="AN26" i="33"/>
  <c r="AG8" i="25"/>
  <c r="AG35" s="1"/>
  <c r="AG37" s="1"/>
  <c r="X85" i="22"/>
  <c r="AL173" i="1"/>
  <c r="AH173"/>
  <c r="AW180"/>
  <c r="AG85" i="22"/>
  <c r="AB86"/>
  <c r="AR86" s="1"/>
  <c r="AB9" i="26"/>
  <c r="AB88" i="22"/>
  <c r="AC88" s="1"/>
  <c r="X11" i="26"/>
  <c r="AB89" i="22"/>
  <c r="AR89" s="1"/>
  <c r="X12" i="26"/>
  <c r="AM12"/>
  <c r="AO12" s="1"/>
  <c r="AK12"/>
  <c r="AB90" i="22"/>
  <c r="AC90" s="1"/>
  <c r="AW90" s="1"/>
  <c r="X13" i="26"/>
  <c r="AM11"/>
  <c r="AO11" s="1"/>
  <c r="AK11"/>
  <c r="AR10"/>
  <c r="AV10"/>
  <c r="AQ13"/>
  <c r="AU13"/>
  <c r="AC10"/>
  <c r="AR11" i="25"/>
  <c r="AS11" s="1"/>
  <c r="AN8"/>
  <c r="AO8" s="1"/>
  <c r="W8" i="26"/>
  <c r="Y9"/>
  <c r="AP35" i="25"/>
  <c r="AM35"/>
  <c r="AQ8"/>
  <c r="AQ35" s="1"/>
  <c r="AU8"/>
  <c r="AJ8" i="26"/>
  <c r="AI8"/>
  <c r="AW11" i="25"/>
  <c r="AN85" i="22"/>
  <c r="X8" i="26"/>
  <c r="X28" s="1"/>
  <c r="AN8"/>
  <c r="AK8"/>
  <c r="Y10"/>
  <c r="W85" i="22"/>
  <c r="W32" i="33" s="1"/>
  <c r="Y86" i="22"/>
  <c r="AP55"/>
  <c r="AT55"/>
  <c r="AR55"/>
  <c r="AV55"/>
  <c r="AU90"/>
  <c r="AQ90"/>
  <c r="AU87"/>
  <c r="AQ87"/>
  <c r="AC87"/>
  <c r="AV87"/>
  <c r="AM89"/>
  <c r="AO89" s="1"/>
  <c r="AK89"/>
  <c r="AO87"/>
  <c r="AM55"/>
  <c r="AU56"/>
  <c r="AQ56"/>
  <c r="AM88"/>
  <c r="AO88" s="1"/>
  <c r="AK88"/>
  <c r="Y88"/>
  <c r="Y89"/>
  <c r="AR87"/>
  <c r="AI85"/>
  <c r="AI32" i="33" s="1"/>
  <c r="Y90" i="22"/>
  <c r="AT118" i="1"/>
  <c r="AO173"/>
  <c r="AS176"/>
  <c r="AW176"/>
  <c r="AJ67" i="13"/>
  <c r="AF67"/>
  <c r="AB176" i="1"/>
  <c r="Z176"/>
  <c r="X173"/>
  <c r="AW178"/>
  <c r="AS178"/>
  <c r="AR179"/>
  <c r="AP179"/>
  <c r="AR180"/>
  <c r="AP180"/>
  <c r="AS179"/>
  <c r="AT179" s="1"/>
  <c r="AS180"/>
  <c r="AK67" i="13"/>
  <c r="AC173" i="1"/>
  <c r="Y67" i="13"/>
  <c r="AR181" i="1"/>
  <c r="AD181"/>
  <c r="AX181" s="1"/>
  <c r="AV181"/>
  <c r="AV180"/>
  <c r="AD180"/>
  <c r="AP178"/>
  <c r="AN173"/>
  <c r="AG67" i="13"/>
  <c r="AV179" i="1"/>
  <c r="AD179"/>
  <c r="AV178"/>
  <c r="AR178"/>
  <c r="AD178"/>
  <c r="AW179"/>
  <c r="AQ61" i="13"/>
  <c r="AQ60" s="1"/>
  <c r="AM60"/>
  <c r="AU61"/>
  <c r="AL60"/>
  <c r="AN61"/>
  <c r="AO60"/>
  <c r="AS61"/>
  <c r="AW61"/>
  <c r="AH60"/>
  <c r="AV86" i="22" l="1"/>
  <c r="AQ11" i="26"/>
  <c r="AG10"/>
  <c r="AG8" s="1"/>
  <c r="AM10"/>
  <c r="AT181" i="1"/>
  <c r="AS56" i="22"/>
  <c r="BB56" s="1"/>
  <c r="AO26" i="33"/>
  <c r="AW26" s="1"/>
  <c r="AV89" i="22"/>
  <c r="AK32" i="33"/>
  <c r="AM32"/>
  <c r="AA32"/>
  <c r="AT25"/>
  <c r="AP37" i="25"/>
  <c r="AT37"/>
  <c r="AU35"/>
  <c r="AM37"/>
  <c r="X84" i="22"/>
  <c r="X30" i="26" s="1"/>
  <c r="X32" i="33"/>
  <c r="AN25"/>
  <c r="AV25" s="1"/>
  <c r="AV26"/>
  <c r="AR26"/>
  <c r="AR25" s="1"/>
  <c r="AP25"/>
  <c r="AM25"/>
  <c r="AU25" s="1"/>
  <c r="AU26"/>
  <c r="AQ26"/>
  <c r="AQ25" s="1"/>
  <c r="AK25"/>
  <c r="AC89" i="22"/>
  <c r="AW89" s="1"/>
  <c r="AS173" i="1"/>
  <c r="AK85" i="22"/>
  <c r="AV90"/>
  <c r="AV88"/>
  <c r="AB85"/>
  <c r="AR85" s="1"/>
  <c r="AU12" i="26"/>
  <c r="Y8"/>
  <c r="AA86" i="22"/>
  <c r="AQ86" s="1"/>
  <c r="AS86" s="1"/>
  <c r="AA9" i="26"/>
  <c r="AN35" i="25"/>
  <c r="AV8"/>
  <c r="AR8"/>
  <c r="AS8" s="1"/>
  <c r="AB13" i="26"/>
  <c r="Y13"/>
  <c r="AB12"/>
  <c r="Y12"/>
  <c r="AB11"/>
  <c r="Y11"/>
  <c r="AV9"/>
  <c r="AR9"/>
  <c r="AB8"/>
  <c r="AW173" i="1"/>
  <c r="AR90" i="22"/>
  <c r="AS90" s="1"/>
  <c r="AR88"/>
  <c r="AQ12" i="26"/>
  <c r="AU11"/>
  <c r="AM8"/>
  <c r="AU55" i="22"/>
  <c r="AQ55"/>
  <c r="AS55" s="1"/>
  <c r="AB84"/>
  <c r="AS87"/>
  <c r="AQ89"/>
  <c r="AS89" s="1"/>
  <c r="AW88"/>
  <c r="AU88"/>
  <c r="Y85"/>
  <c r="AM85"/>
  <c r="AW87"/>
  <c r="AU89"/>
  <c r="AQ88"/>
  <c r="AO55"/>
  <c r="AW55" s="1"/>
  <c r="AX178" i="1"/>
  <c r="AX179"/>
  <c r="AX180"/>
  <c r="AT180"/>
  <c r="AT178"/>
  <c r="AP173"/>
  <c r="AC67" i="13"/>
  <c r="Y66"/>
  <c r="AO67"/>
  <c r="AB173" i="1"/>
  <c r="Z173"/>
  <c r="X67" i="13"/>
  <c r="AV176" i="1"/>
  <c r="AR176"/>
  <c r="AD176"/>
  <c r="AH67" i="13"/>
  <c r="AN67"/>
  <c r="AL67"/>
  <c r="AS60"/>
  <c r="AN60"/>
  <c r="AV61"/>
  <c r="AR61"/>
  <c r="AR60" s="1"/>
  <c r="AW60"/>
  <c r="AU60"/>
  <c r="AP61"/>
  <c r="AX61" s="1"/>
  <c r="AQ10" i="26" l="1"/>
  <c r="AS10" s="1"/>
  <c r="AO10"/>
  <c r="AW10" s="1"/>
  <c r="AU10"/>
  <c r="AO32" i="33"/>
  <c r="AU37" i="25"/>
  <c r="AO25" i="33"/>
  <c r="AW25" s="1"/>
  <c r="AV35" i="25"/>
  <c r="AV37" s="1"/>
  <c r="AN37"/>
  <c r="X31" i="33"/>
  <c r="AB32"/>
  <c r="AC32" s="1"/>
  <c r="AU32"/>
  <c r="AQ32"/>
  <c r="AS26"/>
  <c r="AS25" s="1"/>
  <c r="AQ37" i="25"/>
  <c r="Y32" i="33"/>
  <c r="AV85" i="22"/>
  <c r="AS88"/>
  <c r="AA85"/>
  <c r="AU85" s="1"/>
  <c r="AU86"/>
  <c r="AB28" i="26"/>
  <c r="AB30" s="1"/>
  <c r="AR8"/>
  <c r="AV8"/>
  <c r="AR11"/>
  <c r="AS11" s="1"/>
  <c r="AV11"/>
  <c r="AC11"/>
  <c r="AW11" s="1"/>
  <c r="AR12"/>
  <c r="AS12" s="1"/>
  <c r="AV12"/>
  <c r="AC12"/>
  <c r="AW12" s="1"/>
  <c r="AR13"/>
  <c r="AS13" s="1"/>
  <c r="AV13"/>
  <c r="AC13"/>
  <c r="AW13" s="1"/>
  <c r="AR35" i="25"/>
  <c r="AR37" s="1"/>
  <c r="AS35"/>
  <c r="AS37" s="1"/>
  <c r="AO8" i="26"/>
  <c r="AO35" i="25"/>
  <c r="AW8"/>
  <c r="AU9" i="26"/>
  <c r="AA8"/>
  <c r="AQ9"/>
  <c r="AS9" s="1"/>
  <c r="AC9"/>
  <c r="AW9" s="1"/>
  <c r="AC86" i="22"/>
  <c r="AW86" s="1"/>
  <c r="AO85"/>
  <c r="AP67" i="13"/>
  <c r="AX176" i="1"/>
  <c r="Z67" i="13"/>
  <c r="AB67"/>
  <c r="AS67"/>
  <c r="AT176" i="1"/>
  <c r="BD176" s="1"/>
  <c r="AV173"/>
  <c r="AD173"/>
  <c r="AX173" s="1"/>
  <c r="AR173"/>
  <c r="AT173" s="1"/>
  <c r="AC66" i="13"/>
  <c r="AV60"/>
  <c r="AT61"/>
  <c r="AT60" s="1"/>
  <c r="AP60"/>
  <c r="AX60" s="1"/>
  <c r="AC85" i="22" l="1"/>
  <c r="AW85" s="1"/>
  <c r="AQ85"/>
  <c r="AS85" s="1"/>
  <c r="BB85" s="1"/>
  <c r="AW32" i="33"/>
  <c r="AB31"/>
  <c r="AV32"/>
  <c r="AR32"/>
  <c r="AW35" i="25"/>
  <c r="AW37" s="1"/>
  <c r="AO37"/>
  <c r="AQ8" i="26"/>
  <c r="AU8"/>
  <c r="AC8"/>
  <c r="AF193" i="1"/>
  <c r="AF191"/>
  <c r="AF190"/>
  <c r="AF189"/>
  <c r="AF188"/>
  <c r="AV67" i="13"/>
  <c r="AR67"/>
  <c r="AD67"/>
  <c r="AX67" s="1"/>
  <c r="AW67" s="1"/>
  <c r="AE95" i="22" l="1"/>
  <c r="BF189" i="1"/>
  <c r="AE97" i="22"/>
  <c r="BF191" i="1"/>
  <c r="AE94" i="22"/>
  <c r="AE92" s="1"/>
  <c r="BF188" i="1"/>
  <c r="AE96" i="22"/>
  <c r="BF190" i="1"/>
  <c r="AE99" i="22"/>
  <c r="BF193" i="1"/>
  <c r="AS32" i="33"/>
  <c r="AW8" i="26"/>
  <c r="AS8"/>
  <c r="AE189" i="1"/>
  <c r="AD95" i="22" s="1"/>
  <c r="AD18" i="26" s="1"/>
  <c r="AE191" i="1"/>
  <c r="AD97" i="22" s="1"/>
  <c r="AF183" i="1"/>
  <c r="BF183" s="1"/>
  <c r="AG188"/>
  <c r="AF94" i="22" s="1"/>
  <c r="AF17" i="26" s="1"/>
  <c r="AG190" i="1"/>
  <c r="AF96" i="22" s="1"/>
  <c r="AF19" i="26" s="1"/>
  <c r="AG192" i="1"/>
  <c r="AF98" i="22" s="1"/>
  <c r="AJ188" i="1"/>
  <c r="AI94" i="22" s="1"/>
  <c r="AI17" i="26" s="1"/>
  <c r="AJ190" i="1"/>
  <c r="AI96" i="22" s="1"/>
  <c r="AI19" i="26" s="1"/>
  <c r="AJ193" i="1"/>
  <c r="AK189"/>
  <c r="AJ95" i="22" s="1"/>
  <c r="AJ18" i="26" s="1"/>
  <c r="AK191" i="1"/>
  <c r="AJ97" i="22" s="1"/>
  <c r="AJ20" i="26" s="1"/>
  <c r="AK193" i="1"/>
  <c r="AJ99" i="22" s="1"/>
  <c r="AJ22" i="26" s="1"/>
  <c r="AE190" i="1"/>
  <c r="AD96" i="22" s="1"/>
  <c r="AE193" i="1"/>
  <c r="AD99" i="22" s="1"/>
  <c r="AG189" i="1"/>
  <c r="AG191"/>
  <c r="AF97" i="22" s="1"/>
  <c r="AF20" i="26" s="1"/>
  <c r="AG193" i="1"/>
  <c r="AJ189"/>
  <c r="AJ191"/>
  <c r="AK188"/>
  <c r="AJ94" i="22" s="1"/>
  <c r="AJ17" i="26" s="1"/>
  <c r="AK190" i="1"/>
  <c r="AJ96" i="22" s="1"/>
  <c r="AK192" i="1"/>
  <c r="AT67" i="13"/>
  <c r="AE33" i="33" l="1"/>
  <c r="BF92" i="22"/>
  <c r="AE22" i="26"/>
  <c r="BF99" i="22"/>
  <c r="AE19" i="26"/>
  <c r="AM19" s="1"/>
  <c r="BF96" i="22"/>
  <c r="AE17" i="26"/>
  <c r="AG17" s="1"/>
  <c r="BF94" i="22"/>
  <c r="AE20" i="26"/>
  <c r="BF97" i="22"/>
  <c r="AE18" i="26"/>
  <c r="BF95" i="22"/>
  <c r="AN17" i="26"/>
  <c r="AL99" i="22"/>
  <c r="AP99" s="1"/>
  <c r="AD22" i="26"/>
  <c r="AG98" i="22"/>
  <c r="AF21" i="26"/>
  <c r="AG21" s="1"/>
  <c r="AL97" i="22"/>
  <c r="AT97" s="1"/>
  <c r="AD20" i="26"/>
  <c r="AN96" i="22"/>
  <c r="AR96" s="1"/>
  <c r="AJ19" i="26"/>
  <c r="AN19" s="1"/>
  <c r="AR19" s="1"/>
  <c r="AL96" i="22"/>
  <c r="AP96" s="1"/>
  <c r="AD19" i="26"/>
  <c r="AM17"/>
  <c r="AK17"/>
  <c r="AL18"/>
  <c r="AN190" i="1"/>
  <c r="AR190" s="1"/>
  <c r="AN20" i="26"/>
  <c r="AR20" s="1"/>
  <c r="AL192" i="1"/>
  <c r="AJ98" i="22"/>
  <c r="AJ21" i="26" s="1"/>
  <c r="AN94" i="22"/>
  <c r="AJ92"/>
  <c r="AJ33" i="33" s="1"/>
  <c r="AL189" i="1"/>
  <c r="AI95" i="22"/>
  <c r="AI18" i="26" s="1"/>
  <c r="AM96" i="22"/>
  <c r="AK96"/>
  <c r="AG94"/>
  <c r="AL191" i="1"/>
  <c r="AI97" i="22"/>
  <c r="AI20" i="26" s="1"/>
  <c r="AO193" i="1"/>
  <c r="AS193" s="1"/>
  <c r="AF99" i="22"/>
  <c r="AO189" i="1"/>
  <c r="AS189" s="1"/>
  <c r="AF95" i="22"/>
  <c r="AN193" i="1"/>
  <c r="AV193" s="1"/>
  <c r="AI99" i="22"/>
  <c r="AI22" i="26" s="1"/>
  <c r="AM94" i="22"/>
  <c r="AK94"/>
  <c r="AL95"/>
  <c r="AD92"/>
  <c r="AD33" i="33" s="1"/>
  <c r="AN97" i="22"/>
  <c r="AR97" s="1"/>
  <c r="AG96"/>
  <c r="AG97"/>
  <c r="AO191" i="1"/>
  <c r="AS191" s="1"/>
  <c r="AK183"/>
  <c r="AH193"/>
  <c r="AM193"/>
  <c r="AH190"/>
  <c r="AM190"/>
  <c r="AL188"/>
  <c r="AJ183"/>
  <c r="AO188"/>
  <c r="AG183"/>
  <c r="AN189"/>
  <c r="AL193"/>
  <c r="AH188"/>
  <c r="AN188"/>
  <c r="AO192"/>
  <c r="AH192"/>
  <c r="AF68" i="13"/>
  <c r="AH191" i="1"/>
  <c r="AM191"/>
  <c r="AH189"/>
  <c r="AM189"/>
  <c r="AE183"/>
  <c r="AN191"/>
  <c r="AL190"/>
  <c r="AO190"/>
  <c r="AS190" s="1"/>
  <c r="AE15" i="26" l="1"/>
  <c r="AL33" i="33"/>
  <c r="AW193" i="1"/>
  <c r="AR193"/>
  <c r="AT99" i="22"/>
  <c r="AD15" i="26"/>
  <c r="AT96" i="22"/>
  <c r="AP97"/>
  <c r="AV190" i="1"/>
  <c r="AO96" i="22"/>
  <c r="AW96" s="1"/>
  <c r="AM22" i="26"/>
  <c r="AK22"/>
  <c r="AT18"/>
  <c r="AP18"/>
  <c r="AQ17"/>
  <c r="AU17"/>
  <c r="AO17"/>
  <c r="AW17" s="1"/>
  <c r="AU19"/>
  <c r="AQ19"/>
  <c r="AV17"/>
  <c r="AR17"/>
  <c r="AF92" i="22"/>
  <c r="AF33" i="33" s="1"/>
  <c r="AF18" i="26"/>
  <c r="AN99" i="22"/>
  <c r="AR99" s="1"/>
  <c r="AF22" i="26"/>
  <c r="AN22" s="1"/>
  <c r="AM20"/>
  <c r="AK20"/>
  <c r="AM18"/>
  <c r="AK18"/>
  <c r="AN21"/>
  <c r="AK21"/>
  <c r="AG19"/>
  <c r="AL19"/>
  <c r="AG20"/>
  <c r="AL20"/>
  <c r="AL22"/>
  <c r="AI15"/>
  <c r="AI92" i="22"/>
  <c r="AI33" i="33" s="1"/>
  <c r="AK19" i="26"/>
  <c r="AJ15"/>
  <c r="AQ94" i="22"/>
  <c r="AU94"/>
  <c r="AO94"/>
  <c r="AW94" s="1"/>
  <c r="AM97"/>
  <c r="AK97"/>
  <c r="AU96"/>
  <c r="AQ96"/>
  <c r="AS96" s="1"/>
  <c r="AM95"/>
  <c r="AK95"/>
  <c r="AN98"/>
  <c r="AK98"/>
  <c r="AG99"/>
  <c r="AN95"/>
  <c r="AR95" s="1"/>
  <c r="AG95"/>
  <c r="AP95"/>
  <c r="AT95"/>
  <c r="AL92"/>
  <c r="AM99"/>
  <c r="AK99"/>
  <c r="AR94"/>
  <c r="AV94"/>
  <c r="AG92"/>
  <c r="AQ189" i="1"/>
  <c r="AP189"/>
  <c r="AX189" s="1"/>
  <c r="AU189"/>
  <c r="AM183"/>
  <c r="AU191"/>
  <c r="AP191"/>
  <c r="AX191" s="1"/>
  <c r="AQ191"/>
  <c r="AS192"/>
  <c r="AT192" s="1"/>
  <c r="AP192"/>
  <c r="AX192" s="1"/>
  <c r="AV188"/>
  <c r="AR188"/>
  <c r="AN183"/>
  <c r="AP188"/>
  <c r="AX188" s="1"/>
  <c r="AS188"/>
  <c r="AW188"/>
  <c r="AO183"/>
  <c r="AP193"/>
  <c r="AX193" s="1"/>
  <c r="AU193"/>
  <c r="AQ193"/>
  <c r="AL183"/>
  <c r="AR191"/>
  <c r="AV191"/>
  <c r="AE68" i="13"/>
  <c r="AV189" i="1"/>
  <c r="AR189"/>
  <c r="AG68" i="13"/>
  <c r="AJ68"/>
  <c r="AQ190" i="1"/>
  <c r="AT190" s="1"/>
  <c r="AP190"/>
  <c r="AX190" s="1"/>
  <c r="AU190"/>
  <c r="AK68" i="13"/>
  <c r="AH183" i="1"/>
  <c r="AK33" i="33" l="1"/>
  <c r="AM33"/>
  <c r="AG33"/>
  <c r="AT33"/>
  <c r="AP33"/>
  <c r="AN33"/>
  <c r="AT193" i="1"/>
  <c r="AV99" i="22"/>
  <c r="AN92"/>
  <c r="AR92" s="1"/>
  <c r="AO95"/>
  <c r="AW95" s="1"/>
  <c r="AK15" i="26"/>
  <c r="AK92" i="22"/>
  <c r="AO22" i="26"/>
  <c r="AW22" s="1"/>
  <c r="AT22"/>
  <c r="AP22"/>
  <c r="AO20"/>
  <c r="AW20" s="1"/>
  <c r="AT20"/>
  <c r="AP20"/>
  <c r="AO19"/>
  <c r="AW19" s="1"/>
  <c r="AP19"/>
  <c r="AS19" s="1"/>
  <c r="AT19"/>
  <c r="AR22"/>
  <c r="AV22"/>
  <c r="AG18"/>
  <c r="AN18"/>
  <c r="AF15"/>
  <c r="AU22"/>
  <c r="AQ22"/>
  <c r="AO21"/>
  <c r="AW21" s="1"/>
  <c r="AR21"/>
  <c r="AS21" s="1"/>
  <c r="AQ18"/>
  <c r="AU18"/>
  <c r="AU20"/>
  <c r="AQ20"/>
  <c r="AS17"/>
  <c r="AG22"/>
  <c r="AM15"/>
  <c r="AL15"/>
  <c r="AV92" i="22"/>
  <c r="AU99"/>
  <c r="AQ99"/>
  <c r="AS99" s="1"/>
  <c r="AO99"/>
  <c r="AW99" s="1"/>
  <c r="AP92"/>
  <c r="AT92"/>
  <c r="AO98"/>
  <c r="AW98" s="1"/>
  <c r="AR98"/>
  <c r="AS98" s="1"/>
  <c r="AU95"/>
  <c r="AQ95"/>
  <c r="AQ97"/>
  <c r="AS97" s="1"/>
  <c r="AU97"/>
  <c r="AO97"/>
  <c r="AW97" s="1"/>
  <c r="AS95"/>
  <c r="AM92"/>
  <c r="AS94"/>
  <c r="AS183" i="1"/>
  <c r="AW183"/>
  <c r="AT188"/>
  <c r="AT189"/>
  <c r="AT191"/>
  <c r="AO68" i="13"/>
  <c r="AL68"/>
  <c r="AM68"/>
  <c r="AH68"/>
  <c r="AR183" i="1"/>
  <c r="AV183"/>
  <c r="AP183"/>
  <c r="AX183" s="1"/>
  <c r="AQ183"/>
  <c r="AU183"/>
  <c r="AN68" i="13"/>
  <c r="AV33" i="33" l="1"/>
  <c r="AR33"/>
  <c r="AO33"/>
  <c r="AW33" s="1"/>
  <c r="AQ33"/>
  <c r="AU33"/>
  <c r="AG15" i="26"/>
  <c r="AU15"/>
  <c r="AQ15"/>
  <c r="AT15"/>
  <c r="AP15"/>
  <c r="AR18"/>
  <c r="AS18" s="1"/>
  <c r="AN15"/>
  <c r="AO18"/>
  <c r="AW18" s="1"/>
  <c r="AS20"/>
  <c r="AS22"/>
  <c r="AQ92" i="22"/>
  <c r="AS92" s="1"/>
  <c r="BB92" s="1"/>
  <c r="AU92"/>
  <c r="AO92"/>
  <c r="AW92" s="1"/>
  <c r="AV68" i="13"/>
  <c r="AR68"/>
  <c r="AQ68"/>
  <c r="AU68"/>
  <c r="AP68"/>
  <c r="AX68" s="1"/>
  <c r="AS68"/>
  <c r="AW68"/>
  <c r="AT183" i="1"/>
  <c r="AS33" i="33" l="1"/>
  <c r="AO15" i="26"/>
  <c r="AR15"/>
  <c r="AV15"/>
  <c r="AT68" i="13"/>
  <c r="AW15" i="26" l="1"/>
  <c r="AS15"/>
  <c r="AK201" i="1"/>
  <c r="AJ104" i="22" s="1"/>
  <c r="AJ27" i="26" s="1"/>
  <c r="AK200" i="1"/>
  <c r="AJ103" i="22" s="1"/>
  <c r="AJ26" i="26" s="1"/>
  <c r="AK198" i="1"/>
  <c r="AJ102" i="22" s="1"/>
  <c r="AG201" i="1"/>
  <c r="AF104" i="22" s="1"/>
  <c r="AF27" i="26" s="1"/>
  <c r="AG200" i="1"/>
  <c r="AF103" i="22" s="1"/>
  <c r="AJ201" i="1"/>
  <c r="AI104" i="22" s="1"/>
  <c r="AI27" i="26" s="1"/>
  <c r="AJ200" i="1"/>
  <c r="AI103" i="22" s="1"/>
  <c r="AI26" i="26" s="1"/>
  <c r="AJ198" i="1"/>
  <c r="AI102" i="22" s="1"/>
  <c r="AI25" i="26" s="1"/>
  <c r="AF201" i="1"/>
  <c r="AF200"/>
  <c r="AE201"/>
  <c r="AD104" i="22" s="1"/>
  <c r="AD27" i="26" s="1"/>
  <c r="AE200" i="1"/>
  <c r="AD103" i="22" s="1"/>
  <c r="AD26" i="26" s="1"/>
  <c r="AE103" i="22" l="1"/>
  <c r="AM103" s="1"/>
  <c r="BF200" i="1"/>
  <c r="AE104" i="22"/>
  <c r="AG104" s="1"/>
  <c r="BF201" i="1"/>
  <c r="AN27" i="26"/>
  <c r="AR27" s="1"/>
  <c r="AL27"/>
  <c r="AK26"/>
  <c r="AF101" i="22"/>
  <c r="AF26" i="26"/>
  <c r="AF24" s="1"/>
  <c r="AF28" s="1"/>
  <c r="AJ101" i="22"/>
  <c r="AJ25" i="26"/>
  <c r="AJ24" s="1"/>
  <c r="AJ28" s="1"/>
  <c r="AL26"/>
  <c r="AD24"/>
  <c r="AD28" s="1"/>
  <c r="AK27"/>
  <c r="AI24"/>
  <c r="AI28" s="1"/>
  <c r="AL104" i="22"/>
  <c r="AK103"/>
  <c r="AN104"/>
  <c r="AR104" s="1"/>
  <c r="AG103"/>
  <c r="AL103"/>
  <c r="AD101"/>
  <c r="AK104"/>
  <c r="AI101"/>
  <c r="AN103"/>
  <c r="AL201" i="1"/>
  <c r="AO201"/>
  <c r="AS201" s="1"/>
  <c r="AN201"/>
  <c r="AR201" s="1"/>
  <c r="AH200"/>
  <c r="AM200"/>
  <c r="AE195"/>
  <c r="AO198"/>
  <c r="AK195"/>
  <c r="AH201"/>
  <c r="AM201"/>
  <c r="AN200"/>
  <c r="AF195"/>
  <c r="BF195" s="1"/>
  <c r="AV201"/>
  <c r="AL198"/>
  <c r="AN198"/>
  <c r="AJ195"/>
  <c r="AL200"/>
  <c r="AO200"/>
  <c r="AG195"/>
  <c r="AE101" i="22" l="1"/>
  <c r="BF101" s="1"/>
  <c r="AM104"/>
  <c r="AE27" i="26"/>
  <c r="BF104" i="22"/>
  <c r="AE26" i="26"/>
  <c r="BF103" i="22"/>
  <c r="AN26" i="26"/>
  <c r="AV26" s="1"/>
  <c r="AI84" i="22"/>
  <c r="AI34" i="33"/>
  <c r="AD84" i="22"/>
  <c r="AD30" i="26" s="1"/>
  <c r="AD34" i="33"/>
  <c r="AJ84" i="22"/>
  <c r="AJ30" i="26" s="1"/>
  <c r="AJ34" i="33"/>
  <c r="AF84" i="22"/>
  <c r="AF30" i="26" s="1"/>
  <c r="AF34" i="33"/>
  <c r="AF31" s="1"/>
  <c r="AE34"/>
  <c r="AE31" s="1"/>
  <c r="AI30" i="26"/>
  <c r="AG26"/>
  <c r="AG101" i="22"/>
  <c r="AG84" s="1"/>
  <c r="AM102"/>
  <c r="AM101" s="1"/>
  <c r="AM25" i="26"/>
  <c r="AN102" i="22"/>
  <c r="AN101" s="1"/>
  <c r="AN25" i="26"/>
  <c r="AK102" i="22"/>
  <c r="AK101" s="1"/>
  <c r="AK84" s="1"/>
  <c r="AK25" i="26"/>
  <c r="AK24" s="1"/>
  <c r="AK28" s="1"/>
  <c r="AP26"/>
  <c r="AT26"/>
  <c r="AL24"/>
  <c r="AP27"/>
  <c r="AT27"/>
  <c r="AR103" i="22"/>
  <c r="AV103"/>
  <c r="AU104"/>
  <c r="AQ104"/>
  <c r="AO103"/>
  <c r="AW103" s="1"/>
  <c r="AT103"/>
  <c r="AP103"/>
  <c r="AL101"/>
  <c r="AQ103"/>
  <c r="AU103"/>
  <c r="AO104"/>
  <c r="AW104" s="1"/>
  <c r="AP104"/>
  <c r="AT104"/>
  <c r="AG69" i="13"/>
  <c r="AG66" s="1"/>
  <c r="AJ69"/>
  <c r="AL195" i="1"/>
  <c r="AF69" i="13"/>
  <c r="AF66" s="1"/>
  <c r="AK69"/>
  <c r="AE69"/>
  <c r="AH195" i="1"/>
  <c r="AS200"/>
  <c r="AW200"/>
  <c r="AP198"/>
  <c r="AN195"/>
  <c r="AV200"/>
  <c r="AR200"/>
  <c r="AP201"/>
  <c r="AX201" s="1"/>
  <c r="AQ201"/>
  <c r="AT201" s="1"/>
  <c r="AU201"/>
  <c r="AO195"/>
  <c r="AW198"/>
  <c r="AS198"/>
  <c r="AQ200"/>
  <c r="AP200"/>
  <c r="AX200" s="1"/>
  <c r="AU200"/>
  <c r="AM195"/>
  <c r="AV102" i="22" l="1"/>
  <c r="AE84"/>
  <c r="AM26" i="26"/>
  <c r="AE24"/>
  <c r="AE28" s="1"/>
  <c r="AG27"/>
  <c r="AM27"/>
  <c r="AG24"/>
  <c r="AG28" s="1"/>
  <c r="AE30"/>
  <c r="BF84" i="22"/>
  <c r="AN24" i="26"/>
  <c r="AR24" s="1"/>
  <c r="AR28" s="1"/>
  <c r="AO102" i="22"/>
  <c r="AR26" i="26"/>
  <c r="AO26"/>
  <c r="AW26" s="1"/>
  <c r="AK30"/>
  <c r="AN34" i="33"/>
  <c r="AJ31"/>
  <c r="AG34"/>
  <c r="AL34"/>
  <c r="AD31"/>
  <c r="AK34"/>
  <c r="AM34"/>
  <c r="AI31"/>
  <c r="AG30" i="26"/>
  <c r="AP24"/>
  <c r="AT24"/>
  <c r="AL28"/>
  <c r="AV25"/>
  <c r="AR25"/>
  <c r="AM24"/>
  <c r="AO24" s="1"/>
  <c r="AO25"/>
  <c r="AR102" i="22"/>
  <c r="AS103"/>
  <c r="AR101"/>
  <c r="AV101"/>
  <c r="AN84"/>
  <c r="AM84"/>
  <c r="AO101"/>
  <c r="AT101"/>
  <c r="AP101"/>
  <c r="AL84"/>
  <c r="AS104"/>
  <c r="AU195" i="1"/>
  <c r="AQ195"/>
  <c r="AH69" i="13"/>
  <c r="AM69"/>
  <c r="AE66"/>
  <c r="AS195" i="1"/>
  <c r="AW195"/>
  <c r="AP195"/>
  <c r="AT200"/>
  <c r="AO69" i="13"/>
  <c r="AK66"/>
  <c r="AL69"/>
  <c r="AN69"/>
  <c r="AJ66"/>
  <c r="AU26" i="26" l="1"/>
  <c r="AQ26"/>
  <c r="AS26" s="1"/>
  <c r="AQ27"/>
  <c r="AS27" s="1"/>
  <c r="AO27"/>
  <c r="AW27" s="1"/>
  <c r="AU27"/>
  <c r="AV24"/>
  <c r="AN28"/>
  <c r="AV28" s="1"/>
  <c r="AK31" i="33"/>
  <c r="AO34"/>
  <c r="AP34"/>
  <c r="AT34"/>
  <c r="AL31"/>
  <c r="AT28" i="26"/>
  <c r="AL30"/>
  <c r="AM31" i="33"/>
  <c r="AG31"/>
  <c r="AV34"/>
  <c r="AR34"/>
  <c r="AR31" s="1"/>
  <c r="AN31"/>
  <c r="AV31" s="1"/>
  <c r="AO28" i="26"/>
  <c r="AM28"/>
  <c r="AP28"/>
  <c r="AO84" i="22"/>
  <c r="AP84"/>
  <c r="AT84"/>
  <c r="AR84"/>
  <c r="AR30" i="26" s="1"/>
  <c r="AV84" i="22"/>
  <c r="AL66" i="13"/>
  <c r="AS69"/>
  <c r="AS66" s="1"/>
  <c r="AW69"/>
  <c r="AO66"/>
  <c r="AH66"/>
  <c r="AN66"/>
  <c r="AQ69"/>
  <c r="AQ66" s="1"/>
  <c r="AP69"/>
  <c r="AM66"/>
  <c r="AN30" i="26" l="1"/>
  <c r="AM30"/>
  <c r="AP30"/>
  <c r="AV30"/>
  <c r="AO30"/>
  <c r="AO31" i="33"/>
  <c r="AT31"/>
  <c r="AP31"/>
  <c r="AT30" i="26"/>
  <c r="AP66" i="13"/>
  <c r="AU66"/>
  <c r="AW66"/>
  <c r="AC259" i="1" l="1"/>
  <c r="AS259" s="1"/>
  <c r="AT259" s="1"/>
  <c r="AR15"/>
  <c r="AS15"/>
  <c r="AT15" s="1"/>
  <c r="AR14"/>
  <c r="AS14"/>
  <c r="AT14" s="1"/>
  <c r="AR18"/>
  <c r="AS18"/>
  <c r="AR34"/>
  <c r="AS34"/>
  <c r="AR28"/>
  <c r="AS28"/>
  <c r="AR27"/>
  <c r="AS27"/>
  <c r="AR24"/>
  <c r="AS24"/>
  <c r="AR33"/>
  <c r="AS33"/>
  <c r="AT33" s="1"/>
  <c r="AR36"/>
  <c r="AS36"/>
  <c r="AR31"/>
  <c r="AS31"/>
  <c r="AR63"/>
  <c r="AS63"/>
  <c r="AR47"/>
  <c r="AS47"/>
  <c r="AT47" s="1"/>
  <c r="AR53"/>
  <c r="AS53"/>
  <c r="AR44"/>
  <c r="AS44"/>
  <c r="AR49"/>
  <c r="AS49"/>
  <c r="AR52"/>
  <c r="AS52"/>
  <c r="AT52" s="1"/>
  <c r="AR80"/>
  <c r="AS80"/>
  <c r="AT80" s="1"/>
  <c r="AR81"/>
  <c r="AS81"/>
  <c r="AT81" s="1"/>
  <c r="AR95"/>
  <c r="AS95"/>
  <c r="AT95" s="1"/>
  <c r="AR96"/>
  <c r="AS96"/>
  <c r="AR98"/>
  <c r="AS98"/>
  <c r="AR108"/>
  <c r="AS108"/>
  <c r="AR117"/>
  <c r="AS117"/>
  <c r="AR127"/>
  <c r="AS127"/>
  <c r="AR137"/>
  <c r="AS137"/>
  <c r="AT137"/>
  <c r="AR216"/>
  <c r="AS216"/>
  <c r="AT216" s="1"/>
  <c r="AR225"/>
  <c r="AS225"/>
  <c r="AT225" s="1"/>
  <c r="AR233"/>
  <c r="AS233"/>
  <c r="AT233" s="1"/>
  <c r="AR241"/>
  <c r="AS241"/>
  <c r="AT241" s="1"/>
  <c r="AS252"/>
  <c r="AT252" s="1"/>
  <c r="AS249"/>
  <c r="AT249" s="1"/>
  <c r="AS254"/>
  <c r="AT254" s="1"/>
  <c r="AD259"/>
  <c r="AX259" s="1"/>
  <c r="AS253"/>
  <c r="AT253" s="1"/>
  <c r="AS258"/>
  <c r="AT258" s="1"/>
  <c r="AS257"/>
  <c r="AT257" s="1"/>
  <c r="AW259"/>
  <c r="AT34" l="1"/>
  <c r="AT108"/>
  <c r="AT98"/>
  <c r="AT96"/>
  <c r="AT49"/>
  <c r="AT44"/>
  <c r="AT53"/>
  <c r="AT127"/>
  <c r="AT117"/>
  <c r="AT31"/>
  <c r="AT36"/>
  <c r="AT63"/>
  <c r="AT27"/>
  <c r="AT28"/>
  <c r="AT24"/>
  <c r="AT18"/>
  <c r="Y256" i="7" l="1"/>
  <c r="Z256" s="1"/>
  <c r="Y254"/>
  <c r="Y255"/>
  <c r="AG255" l="1"/>
  <c r="Z255"/>
  <c r="AG254"/>
  <c r="Y253"/>
  <c r="Z254"/>
  <c r="AH254" l="1"/>
  <c r="AP254" s="1"/>
  <c r="AK254"/>
  <c r="AL254" s="1"/>
  <c r="AH255"/>
  <c r="AP255" s="1"/>
  <c r="AK255"/>
  <c r="AL255" s="1"/>
  <c r="Y187"/>
  <c r="Y293" s="1"/>
  <c r="X125" i="23"/>
  <c r="Z253" i="7"/>
  <c r="Z187" s="1"/>
  <c r="Z293" s="1"/>
  <c r="H36" i="32"/>
  <c r="H35" l="1"/>
  <c r="P36"/>
  <c r="L36"/>
  <c r="M36" s="1"/>
  <c r="I36"/>
  <c r="Q36" s="1"/>
  <c r="X26" i="31"/>
  <c r="Y26" s="1"/>
  <c r="Y125" i="23"/>
  <c r="I35" i="32" l="1"/>
  <c r="Q35" s="1"/>
  <c r="P35"/>
  <c r="L35"/>
  <c r="M35" s="1"/>
  <c r="R35" s="1"/>
  <c r="AG231" i="1" l="1"/>
  <c r="X231"/>
  <c r="Y229"/>
  <c r="Y232"/>
  <c r="AJ229"/>
  <c r="AK231"/>
  <c r="BM174" i="7"/>
  <c r="BN175"/>
  <c r="BR175" s="1"/>
  <c r="AG232" i="1"/>
  <c r="X229"/>
  <c r="X232"/>
  <c r="Y231"/>
  <c r="AK232"/>
  <c r="AJ127" i="22" s="1"/>
  <c r="BM175" i="7"/>
  <c r="BQ175" s="1"/>
  <c r="BN174"/>
  <c r="AF231" i="1" l="1"/>
  <c r="BF231" s="1"/>
  <c r="AJ232"/>
  <c r="AI127" i="22" s="1"/>
  <c r="W127"/>
  <c r="AB232" i="1"/>
  <c r="Z232"/>
  <c r="W125" i="22"/>
  <c r="Z229" i="1"/>
  <c r="X226"/>
  <c r="AB229"/>
  <c r="AF127" i="22"/>
  <c r="AF28" i="27" s="1"/>
  <c r="AO232" i="1"/>
  <c r="X127" i="22"/>
  <c r="AC232" i="1"/>
  <c r="X125" i="22"/>
  <c r="Y226" i="1"/>
  <c r="AC229"/>
  <c r="W126" i="22"/>
  <c r="Z231" i="1"/>
  <c r="AB231"/>
  <c r="AJ28" i="27"/>
  <c r="X126" i="22"/>
  <c r="AC231" i="1"/>
  <c r="BR232"/>
  <c r="BV232" s="1"/>
  <c r="AK229"/>
  <c r="AJ231"/>
  <c r="AJ226" s="1"/>
  <c r="BN173" i="7"/>
  <c r="BR173" s="1"/>
  <c r="BR174"/>
  <c r="BQ174"/>
  <c r="BM173"/>
  <c r="BQ173" s="1"/>
  <c r="AJ126" i="22"/>
  <c r="AI125"/>
  <c r="AN229" i="1"/>
  <c r="AL229"/>
  <c r="AF126" i="22"/>
  <c r="AO231" i="1"/>
  <c r="AG226"/>
  <c r="AN127" i="22" l="1"/>
  <c r="BQ231" i="1"/>
  <c r="BU231" s="1"/>
  <c r="BQ232"/>
  <c r="BU232" s="1"/>
  <c r="AJ74" i="13"/>
  <c r="AI26" i="27"/>
  <c r="AJ27"/>
  <c r="AN126" i="22"/>
  <c r="AF232" i="1"/>
  <c r="AJ125" i="22"/>
  <c r="AO229" i="1"/>
  <c r="AK226"/>
  <c r="X27" i="27"/>
  <c r="AB27" s="1"/>
  <c r="AB126" i="22"/>
  <c r="AC226" i="1"/>
  <c r="Y74" i="13"/>
  <c r="AS232" i="1"/>
  <c r="AW232"/>
  <c r="AA125" i="22"/>
  <c r="AV229" i="1"/>
  <c r="AR229"/>
  <c r="AD229"/>
  <c r="AA127" i="22"/>
  <c r="W28" i="27"/>
  <c r="Y127" i="22"/>
  <c r="AN28" i="27"/>
  <c r="BR231" i="1"/>
  <c r="BV231" s="1"/>
  <c r="BP231"/>
  <c r="BT231" s="1"/>
  <c r="BP232"/>
  <c r="BT232" s="1"/>
  <c r="AE231"/>
  <c r="AG74" i="13"/>
  <c r="AF27" i="27"/>
  <c r="AF124" i="22"/>
  <c r="AK125"/>
  <c r="AL288" i="1"/>
  <c r="AP229"/>
  <c r="AP288" s="1"/>
  <c r="AM125" i="22"/>
  <c r="AI126"/>
  <c r="AL231" i="1"/>
  <c r="AE232"/>
  <c r="AS231"/>
  <c r="AW231"/>
  <c r="AD231"/>
  <c r="AA126" i="22"/>
  <c r="W27" i="27"/>
  <c r="Y126" i="22"/>
  <c r="AB125"/>
  <c r="AW229" i="1"/>
  <c r="AS229"/>
  <c r="X124" i="22"/>
  <c r="X26" i="27"/>
  <c r="X28"/>
  <c r="AB28" s="1"/>
  <c r="AB127" i="22"/>
  <c r="AB226" i="1"/>
  <c r="Z226"/>
  <c r="X74" i="13"/>
  <c r="W26" i="27"/>
  <c r="W124" i="22"/>
  <c r="Y125"/>
  <c r="AD232" i="1"/>
  <c r="AI28" i="27"/>
  <c r="AK28" s="1"/>
  <c r="AK127" i="22"/>
  <c r="AE126"/>
  <c r="BF126" s="1"/>
  <c r="AN231" i="1"/>
  <c r="AV231" s="1"/>
  <c r="AF226"/>
  <c r="BF226" s="1"/>
  <c r="AN232"/>
  <c r="AV232" s="1"/>
  <c r="AE127" i="22" l="1"/>
  <c r="AE124" s="1"/>
  <c r="BF124" s="1"/>
  <c r="BF232" i="1"/>
  <c r="AR231"/>
  <c r="W39" i="33"/>
  <c r="Y124" i="22"/>
  <c r="AR127"/>
  <c r="AV127"/>
  <c r="AB26" i="27"/>
  <c r="X25"/>
  <c r="AC126" i="22"/>
  <c r="AD127"/>
  <c r="AM232" i="1"/>
  <c r="AH232"/>
  <c r="AF39" i="33"/>
  <c r="AD126" i="22"/>
  <c r="AH231" i="1"/>
  <c r="AM231"/>
  <c r="AE226"/>
  <c r="AC127" i="22"/>
  <c r="AX229" i="1"/>
  <c r="AN125" i="22"/>
  <c r="AN124" s="1"/>
  <c r="AO226" i="1"/>
  <c r="AM26" i="27"/>
  <c r="AR232" i="1"/>
  <c r="AN226"/>
  <c r="AF74" i="13"/>
  <c r="AE27" i="27"/>
  <c r="Y26"/>
  <c r="AA26"/>
  <c r="W25"/>
  <c r="AB74" i="13"/>
  <c r="Z74"/>
  <c r="AD226" i="1"/>
  <c r="AV226"/>
  <c r="AR28" i="27"/>
  <c r="AV28"/>
  <c r="X39" i="33"/>
  <c r="AT229" i="1"/>
  <c r="BD229" s="1"/>
  <c r="AB124" i="22"/>
  <c r="AA27" i="27"/>
  <c r="Y27"/>
  <c r="AI27"/>
  <c r="AK27" s="1"/>
  <c r="AK126" i="22"/>
  <c r="AK124" s="1"/>
  <c r="AM126"/>
  <c r="AQ126" s="1"/>
  <c r="AN27" i="27"/>
  <c r="AV27" s="1"/>
  <c r="AF25"/>
  <c r="Y28"/>
  <c r="AA28"/>
  <c r="AA124" i="22"/>
  <c r="AU125"/>
  <c r="AQ125"/>
  <c r="AC125"/>
  <c r="AC74" i="13"/>
  <c r="AV126" i="22"/>
  <c r="AR126"/>
  <c r="AK74" i="13"/>
  <c r="AJ124" i="22"/>
  <c r="AJ26" i="27"/>
  <c r="AK26" s="1"/>
  <c r="AI124" i="22"/>
  <c r="AH226" i="1" l="1"/>
  <c r="AE28" i="27"/>
  <c r="AM28" s="1"/>
  <c r="BF127" i="22"/>
  <c r="AM127"/>
  <c r="AM124" s="1"/>
  <c r="AR226" i="1"/>
  <c r="AO125" i="22"/>
  <c r="AW125" s="1"/>
  <c r="AR125"/>
  <c r="AS125" s="1"/>
  <c r="AV125"/>
  <c r="AW226" i="1"/>
  <c r="AI39" i="33"/>
  <c r="AJ39"/>
  <c r="AO74" i="13"/>
  <c r="AS74" s="1"/>
  <c r="AC124" i="22"/>
  <c r="AB39" i="33"/>
  <c r="AD74" i="13"/>
  <c r="AC26" i="27"/>
  <c r="AU26"/>
  <c r="AE39" i="33"/>
  <c r="AE74" i="13"/>
  <c r="AD28" i="27"/>
  <c r="AL127" i="22"/>
  <c r="AG127"/>
  <c r="AB25" i="27"/>
  <c r="Y39" i="33"/>
  <c r="AA39"/>
  <c r="AL74" i="13"/>
  <c r="AR27" i="27"/>
  <c r="AS226" i="1"/>
  <c r="AU126" i="22"/>
  <c r="Y175" i="7"/>
  <c r="X127" i="23" s="1"/>
  <c r="Y174" i="7"/>
  <c r="AJ25" i="27"/>
  <c r="AN26"/>
  <c r="AR26" s="1"/>
  <c r="AC28"/>
  <c r="AQ28"/>
  <c r="AU28"/>
  <c r="AC27"/>
  <c r="AR124" i="22"/>
  <c r="AV124"/>
  <c r="Y25" i="27"/>
  <c r="AA25"/>
  <c r="AM27"/>
  <c r="AU27" s="1"/>
  <c r="AE25"/>
  <c r="AQ26"/>
  <c r="AO26"/>
  <c r="AQ231" i="1"/>
  <c r="AM226"/>
  <c r="AP231"/>
  <c r="AX231" s="1"/>
  <c r="AU231"/>
  <c r="AG126" i="22"/>
  <c r="AD27" i="27"/>
  <c r="AL126" i="22"/>
  <c r="AD124"/>
  <c r="AL232" i="1"/>
  <c r="AL226" s="1"/>
  <c r="AQ232"/>
  <c r="AU232"/>
  <c r="AN74" i="13"/>
  <c r="AI25" i="27"/>
  <c r="AU127" i="22" l="1"/>
  <c r="AQ127"/>
  <c r="AN39" i="33"/>
  <c r="AG124" i="22"/>
  <c r="AW26" i="27"/>
  <c r="AQ124" i="22"/>
  <c r="AV26" i="27"/>
  <c r="AU124" i="22"/>
  <c r="AQ27" i="27"/>
  <c r="AS26"/>
  <c r="X174" i="7"/>
  <c r="X175"/>
  <c r="AK25" i="27"/>
  <c r="AP232" i="1"/>
  <c r="AX232" s="1"/>
  <c r="AT232"/>
  <c r="AD39" i="33"/>
  <c r="AG27" i="27"/>
  <c r="AL27"/>
  <c r="AD25"/>
  <c r="AT231" i="1"/>
  <c r="AM25" i="27"/>
  <c r="X28" i="31"/>
  <c r="AT127" i="22"/>
  <c r="AO127"/>
  <c r="AW127" s="1"/>
  <c r="AP127"/>
  <c r="AS127" s="1"/>
  <c r="AM39" i="33"/>
  <c r="AV39"/>
  <c r="AK39"/>
  <c r="AR74" i="13"/>
  <c r="AN25" i="27"/>
  <c r="AO126" i="22"/>
  <c r="AW126" s="1"/>
  <c r="AL124"/>
  <c r="AP126"/>
  <c r="AS126" s="1"/>
  <c r="AT126"/>
  <c r="AP226" i="1"/>
  <c r="AX226" s="1"/>
  <c r="AU226"/>
  <c r="AQ226"/>
  <c r="AT226" s="1"/>
  <c r="AC25" i="27"/>
  <c r="AQ25"/>
  <c r="X126" i="23"/>
  <c r="Y173" i="7"/>
  <c r="AC39" i="33"/>
  <c r="AL28" i="27"/>
  <c r="AG28"/>
  <c r="AM74" i="13"/>
  <c r="AH74"/>
  <c r="AW74"/>
  <c r="AV74" s="1"/>
  <c r="AQ39" i="33" l="1"/>
  <c r="AU39"/>
  <c r="AR39"/>
  <c r="AU25" i="27"/>
  <c r="AU74" i="13"/>
  <c r="AP74"/>
  <c r="AX74" s="1"/>
  <c r="AQ74"/>
  <c r="AO28" i="27"/>
  <c r="AW28" s="1"/>
  <c r="AT28"/>
  <c r="AP28"/>
  <c r="AS28" s="1"/>
  <c r="X25" i="31"/>
  <c r="Y320" i="7"/>
  <c r="AG25" i="27"/>
  <c r="AL25"/>
  <c r="AG39" i="33"/>
  <c r="AL39"/>
  <c r="X27" i="31"/>
  <c r="X124" i="23"/>
  <c r="AO124" i="22"/>
  <c r="AW124" s="1"/>
  <c r="AP124"/>
  <c r="AS124" s="1"/>
  <c r="BB124" s="1"/>
  <c r="AT124"/>
  <c r="AR25" i="27"/>
  <c r="AO27"/>
  <c r="AW27" s="1"/>
  <c r="AT27"/>
  <c r="AP27"/>
  <c r="AS27" s="1"/>
  <c r="W127" i="23"/>
  <c r="Z175" i="7"/>
  <c r="W126" i="23"/>
  <c r="Z174" i="7"/>
  <c r="X173"/>
  <c r="AV25" i="27"/>
  <c r="W25" i="31" l="1"/>
  <c r="X320" i="7"/>
  <c r="Z173"/>
  <c r="Z320" s="1"/>
  <c r="W27" i="31"/>
  <c r="Y27" s="1"/>
  <c r="W124" i="23"/>
  <c r="Y126"/>
  <c r="W28" i="31"/>
  <c r="Y127" i="23"/>
  <c r="AP39" i="33"/>
  <c r="AO39"/>
  <c r="AW39" s="1"/>
  <c r="AT39"/>
  <c r="X39" i="34"/>
  <c r="AP25" i="27"/>
  <c r="AT25"/>
  <c r="AO25"/>
  <c r="AT74" i="13"/>
  <c r="Y124" i="23" l="1"/>
  <c r="AW25" i="27"/>
  <c r="AS25"/>
  <c r="AS39" i="33"/>
  <c r="Y28" i="31"/>
  <c r="Y25" s="1"/>
  <c r="W39" i="34"/>
  <c r="Y39" l="1"/>
  <c r="X69" i="1" l="1"/>
  <c r="X77"/>
  <c r="X70"/>
  <c r="Y69"/>
  <c r="Y77"/>
  <c r="Y70"/>
  <c r="AJ69"/>
  <c r="AJ77"/>
  <c r="AJ70"/>
  <c r="BM85" i="7"/>
  <c r="BQ85" s="1"/>
  <c r="BM93"/>
  <c r="BQ93" s="1"/>
  <c r="BM86"/>
  <c r="BQ86" s="1"/>
  <c r="BN85"/>
  <c r="BR85" s="1"/>
  <c r="BN93"/>
  <c r="BR93" s="1"/>
  <c r="BN86"/>
  <c r="BR86" s="1"/>
  <c r="X91"/>
  <c r="X95"/>
  <c r="X94"/>
  <c r="X79" i="1"/>
  <c r="X78"/>
  <c r="Y79"/>
  <c r="AJ75"/>
  <c r="AJ79"/>
  <c r="AJ78"/>
  <c r="BM91" i="7"/>
  <c r="BQ91" s="1"/>
  <c r="BM95"/>
  <c r="BQ95" s="1"/>
  <c r="BM94"/>
  <c r="BQ94" s="1"/>
  <c r="BN95"/>
  <c r="BR95" s="1"/>
  <c r="BN94"/>
  <c r="BR94" s="1"/>
  <c r="X85"/>
  <c r="X93"/>
  <c r="X86"/>
  <c r="Y91"/>
  <c r="X27" i="23" s="1"/>
  <c r="AK75" i="1"/>
  <c r="AJ27" i="22" s="1"/>
  <c r="BP79" i="1" l="1"/>
  <c r="BT79" s="1"/>
  <c r="BQ75"/>
  <c r="BU75" s="1"/>
  <c r="BQ78"/>
  <c r="BU78" s="1"/>
  <c r="BP69"/>
  <c r="BT69" s="1"/>
  <c r="BP77"/>
  <c r="BT77" s="1"/>
  <c r="BP70"/>
  <c r="BT70" s="1"/>
  <c r="BQ69"/>
  <c r="BU69" s="1"/>
  <c r="BQ77"/>
  <c r="BU77" s="1"/>
  <c r="BQ70"/>
  <c r="BU70" s="1"/>
  <c r="AF69"/>
  <c r="BF69" s="1"/>
  <c r="AF77"/>
  <c r="BF77" s="1"/>
  <c r="AF70"/>
  <c r="BF70" s="1"/>
  <c r="Y75"/>
  <c r="Y45" s="1"/>
  <c r="Y78"/>
  <c r="X75"/>
  <c r="X287" s="1"/>
  <c r="X16" i="29"/>
  <c r="BN91" i="7"/>
  <c r="BR91" s="1"/>
  <c r="W22" i="23"/>
  <c r="W29"/>
  <c r="W21"/>
  <c r="X83" i="7"/>
  <c r="AI30" i="22"/>
  <c r="AI31"/>
  <c r="AI27"/>
  <c r="AL75" i="1"/>
  <c r="X31" i="22"/>
  <c r="AC79" i="1"/>
  <c r="AI22" i="22"/>
  <c r="AI29"/>
  <c r="AI21"/>
  <c r="AJ45" i="1"/>
  <c r="AJ54" i="13"/>
  <c r="AC69" i="1"/>
  <c r="X21" i="22"/>
  <c r="Y287" i="1"/>
  <c r="BP75"/>
  <c r="BT75" s="1"/>
  <c r="BP78"/>
  <c r="BT78" s="1"/>
  <c r="BQ79"/>
  <c r="BU79" s="1"/>
  <c r="AE75"/>
  <c r="AF75"/>
  <c r="BF75" s="1"/>
  <c r="AF79"/>
  <c r="BF79" s="1"/>
  <c r="AF78"/>
  <c r="BF78" s="1"/>
  <c r="AJ16" i="24"/>
  <c r="W30" i="22"/>
  <c r="AB78" i="1"/>
  <c r="Z78"/>
  <c r="AB79"/>
  <c r="W31" i="22"/>
  <c r="Z79" i="1"/>
  <c r="W30" i="23"/>
  <c r="W31"/>
  <c r="W27"/>
  <c r="Z91" i="7"/>
  <c r="X22" i="22"/>
  <c r="AC70" i="1"/>
  <c r="X29" i="22"/>
  <c r="AC77" i="1"/>
  <c r="AB70"/>
  <c r="W22" i="22"/>
  <c r="Z70" i="1"/>
  <c r="W29" i="22"/>
  <c r="Z77" i="1"/>
  <c r="AB77"/>
  <c r="AB69"/>
  <c r="W21" i="22"/>
  <c r="Z69" i="1"/>
  <c r="X45" l="1"/>
  <c r="AB45" s="1"/>
  <c r="Y54" i="13"/>
  <c r="X54"/>
  <c r="AB54" s="1"/>
  <c r="AG75" i="1"/>
  <c r="BR78"/>
  <c r="BV78" s="1"/>
  <c r="BR75"/>
  <c r="BV75" s="1"/>
  <c r="Z54" i="13"/>
  <c r="Z287" i="1"/>
  <c r="AA21" i="22"/>
  <c r="Y21"/>
  <c r="W10" i="24"/>
  <c r="AD77" i="1"/>
  <c r="W18" i="24"/>
  <c r="Y29" i="22"/>
  <c r="AA29"/>
  <c r="Y22"/>
  <c r="AA22"/>
  <c r="W11" i="24"/>
  <c r="W16" i="29"/>
  <c r="Y27" i="23"/>
  <c r="W20" i="29"/>
  <c r="W19"/>
  <c r="W20" i="24"/>
  <c r="AA31" i="22"/>
  <c r="Y31"/>
  <c r="W19" i="24"/>
  <c r="AA30" i="22"/>
  <c r="AC54" i="13"/>
  <c r="Y53"/>
  <c r="AI10" i="24"/>
  <c r="AI19" i="22"/>
  <c r="AI18" i="24"/>
  <c r="AI11"/>
  <c r="AB31" i="22"/>
  <c r="X20" i="24"/>
  <c r="AB20" s="1"/>
  <c r="AI16"/>
  <c r="AK16" s="1"/>
  <c r="AK27" i="22"/>
  <c r="AI20" i="24"/>
  <c r="AI19"/>
  <c r="X27" i="22"/>
  <c r="AC75" i="1"/>
  <c r="AE70"/>
  <c r="AE77"/>
  <c r="AE69"/>
  <c r="BR70"/>
  <c r="BV70" s="1"/>
  <c r="BR77"/>
  <c r="BV77" s="1"/>
  <c r="BR69"/>
  <c r="BV69" s="1"/>
  <c r="AE78"/>
  <c r="AE79"/>
  <c r="BR79"/>
  <c r="BV79" s="1"/>
  <c r="Z45"/>
  <c r="AD69"/>
  <c r="AD70"/>
  <c r="X18" i="24"/>
  <c r="AB18" s="1"/>
  <c r="AB29" i="22"/>
  <c r="AB22"/>
  <c r="X11" i="24"/>
  <c r="AB11" s="1"/>
  <c r="AD79" i="1"/>
  <c r="AE30" i="22"/>
  <c r="AN78" i="1"/>
  <c r="AV78" s="1"/>
  <c r="AE31" i="22"/>
  <c r="AN79" i="1"/>
  <c r="AR79" s="1"/>
  <c r="AE27" i="22"/>
  <c r="AN75" i="1"/>
  <c r="AD27" i="22"/>
  <c r="AM75" i="1"/>
  <c r="AH75"/>
  <c r="AC45"/>
  <c r="AB21" i="22"/>
  <c r="X10" i="24"/>
  <c r="AJ53" i="13"/>
  <c r="W8" i="29"/>
  <c r="W43" s="1"/>
  <c r="X292" i="7"/>
  <c r="X52" i="14"/>
  <c r="W10" i="29"/>
  <c r="W19" i="23"/>
  <c r="W18" i="29"/>
  <c r="W11"/>
  <c r="AB75" i="1"/>
  <c r="W27" i="22"/>
  <c r="Z75" i="1"/>
  <c r="X30" i="22"/>
  <c r="AC78" i="1"/>
  <c r="AE22" i="22"/>
  <c r="AN70" i="1"/>
  <c r="AR70" s="1"/>
  <c r="AE29" i="22"/>
  <c r="AN77" i="1"/>
  <c r="AV77" s="1"/>
  <c r="AE21" i="22"/>
  <c r="BF21" s="1"/>
  <c r="AN69" i="1"/>
  <c r="AF287"/>
  <c r="AF45"/>
  <c r="AF54" i="13"/>
  <c r="AF53" s="1"/>
  <c r="AE16" i="24" l="1"/>
  <c r="AM16" s="1"/>
  <c r="BF27" i="22"/>
  <c r="AE20" i="24"/>
  <c r="AM20" s="1"/>
  <c r="BF31" i="22"/>
  <c r="AE19" i="24"/>
  <c r="BF30" i="22"/>
  <c r="AE18" i="24"/>
  <c r="AM18" s="1"/>
  <c r="BF29" i="22"/>
  <c r="AE11" i="24"/>
  <c r="BF22" i="22"/>
  <c r="X53" i="13"/>
  <c r="AB53" s="1"/>
  <c r="AC287" i="1"/>
  <c r="AR78"/>
  <c r="AV79"/>
  <c r="AE10" i="24"/>
  <c r="AE19" i="22"/>
  <c r="BF19" s="1"/>
  <c r="X19" i="24"/>
  <c r="AB19" s="1"/>
  <c r="AB30" i="22"/>
  <c r="AC30" s="1"/>
  <c r="W16" i="24"/>
  <c r="AA27" i="22"/>
  <c r="AA19" s="1"/>
  <c r="Y27"/>
  <c r="AD45" i="1"/>
  <c r="AD16" i="24"/>
  <c r="AL27" i="22"/>
  <c r="AD31"/>
  <c r="AM79" i="1"/>
  <c r="AD21" i="22"/>
  <c r="AM69" i="1"/>
  <c r="AE287"/>
  <c r="AE54" i="13"/>
  <c r="AD22" i="22"/>
  <c r="AM70" i="1"/>
  <c r="AB27" i="22"/>
  <c r="X16" i="24"/>
  <c r="AB16" s="1"/>
  <c r="AM11"/>
  <c r="AI18" i="22"/>
  <c r="AI19" i="33"/>
  <c r="Y19" i="24"/>
  <c r="AA19"/>
  <c r="AA20"/>
  <c r="Y20"/>
  <c r="Y11"/>
  <c r="AA11"/>
  <c r="AA10"/>
  <c r="Y10"/>
  <c r="W8"/>
  <c r="Z53" i="13"/>
  <c r="X19" i="22"/>
  <c r="AV70" i="1"/>
  <c r="AM30" i="22"/>
  <c r="AU30" s="1"/>
  <c r="AM31"/>
  <c r="AM21"/>
  <c r="AU21" s="1"/>
  <c r="W19"/>
  <c r="AE45" i="1"/>
  <c r="AV69"/>
  <c r="AN287"/>
  <c r="AN45"/>
  <c r="AR75"/>
  <c r="AV75"/>
  <c r="W19" i="34"/>
  <c r="W18" i="23"/>
  <c r="X51" i="14"/>
  <c r="AB10" i="24"/>
  <c r="X8"/>
  <c r="X43" s="1"/>
  <c r="AQ75" i="1"/>
  <c r="AU75"/>
  <c r="AD30" i="22"/>
  <c r="AM78" i="1"/>
  <c r="AD29" i="22"/>
  <c r="AM77" i="1"/>
  <c r="AD75"/>
  <c r="AM19" i="24"/>
  <c r="AI8"/>
  <c r="AI43" s="1"/>
  <c r="AC53" i="13"/>
  <c r="AU31" i="22"/>
  <c r="AC31"/>
  <c r="AQ31"/>
  <c r="Y16" i="29"/>
  <c r="AC22" i="22"/>
  <c r="AC29"/>
  <c r="AA18" i="24"/>
  <c r="Y18"/>
  <c r="AC21" i="22"/>
  <c r="AD54" i="13"/>
  <c r="AF27" i="22"/>
  <c r="AG27" s="1"/>
  <c r="AO75" i="1"/>
  <c r="AS75" s="1"/>
  <c r="AN54" i="13"/>
  <c r="AN53" s="1"/>
  <c r="AD78" i="1"/>
  <c r="AB287"/>
  <c r="AR69"/>
  <c r="AM27" i="22"/>
  <c r="AM22"/>
  <c r="AQ22" s="1"/>
  <c r="AM29"/>
  <c r="AU29" s="1"/>
  <c r="Y30"/>
  <c r="AR77" i="1"/>
  <c r="AB19" i="22" l="1"/>
  <c r="AC19" s="1"/>
  <c r="AT75" i="1"/>
  <c r="AQ21" i="22"/>
  <c r="AQ30"/>
  <c r="AB18"/>
  <c r="AA18"/>
  <c r="AQ77" i="1"/>
  <c r="AU77"/>
  <c r="AQ78"/>
  <c r="AU78"/>
  <c r="X50" i="14"/>
  <c r="W18" i="34"/>
  <c r="AV287" i="1"/>
  <c r="AQ11" i="24"/>
  <c r="AU11"/>
  <c r="AC11"/>
  <c r="AQ19"/>
  <c r="AU19"/>
  <c r="AC19"/>
  <c r="AI18" i="33"/>
  <c r="AQ70" i="1"/>
  <c r="AU70"/>
  <c r="AU79"/>
  <c r="AQ79"/>
  <c r="AQ27" i="22"/>
  <c r="AU27"/>
  <c r="AC27"/>
  <c r="AE18"/>
  <c r="BF18" s="1"/>
  <c r="AE19" i="33"/>
  <c r="AE18" s="1"/>
  <c r="AQ29" i="22"/>
  <c r="AU22"/>
  <c r="AW75" i="1"/>
  <c r="AP75"/>
  <c r="AX75" s="1"/>
  <c r="AM19" i="22"/>
  <c r="AM18" s="1"/>
  <c r="W45" i="29"/>
  <c r="AV45" i="1"/>
  <c r="AF16" i="24"/>
  <c r="AN16" s="1"/>
  <c r="AR16" s="1"/>
  <c r="AN27" i="22"/>
  <c r="AR27" s="1"/>
  <c r="AQ18" i="24"/>
  <c r="AU18"/>
  <c r="AC18"/>
  <c r="AD18"/>
  <c r="AL29" i="22"/>
  <c r="AD19" i="24"/>
  <c r="AL30" i="22"/>
  <c r="AB8" i="24"/>
  <c r="W19" i="33"/>
  <c r="Y19" i="22"/>
  <c r="W18"/>
  <c r="X18"/>
  <c r="X19" i="33"/>
  <c r="AD53" i="13"/>
  <c r="AV53"/>
  <c r="AR53"/>
  <c r="Y8" i="24"/>
  <c r="Y43" s="1"/>
  <c r="W43"/>
  <c r="AC10"/>
  <c r="AQ20"/>
  <c r="AC20"/>
  <c r="AU20"/>
  <c r="AI45"/>
  <c r="AV27" i="22"/>
  <c r="AD11" i="24"/>
  <c r="AL22" i="22"/>
  <c r="AM54" i="13"/>
  <c r="AE53"/>
  <c r="AQ69" i="1"/>
  <c r="AU69"/>
  <c r="AM287"/>
  <c r="AM45"/>
  <c r="AD10" i="24"/>
  <c r="AL21" i="22"/>
  <c r="AD19"/>
  <c r="AD20" i="24"/>
  <c r="AL31" i="22"/>
  <c r="AT27"/>
  <c r="AP27"/>
  <c r="AL16" i="24"/>
  <c r="AA16"/>
  <c r="AA8" s="1"/>
  <c r="Y16"/>
  <c r="AM10"/>
  <c r="AM8" s="1"/>
  <c r="AM43" s="1"/>
  <c r="AE8"/>
  <c r="AE43" s="1"/>
  <c r="AE45" s="1"/>
  <c r="AR287" i="1"/>
  <c r="AR54" i="13"/>
  <c r="AR45" i="1"/>
  <c r="AD287"/>
  <c r="AO27" i="22" l="1"/>
  <c r="AW27" s="1"/>
  <c r="W45" i="24"/>
  <c r="AM45"/>
  <c r="AG16"/>
  <c r="AS27" i="22"/>
  <c r="AQ8" i="24"/>
  <c r="AC8"/>
  <c r="AU8"/>
  <c r="AA43"/>
  <c r="AT31" i="22"/>
  <c r="AP31"/>
  <c r="AL20" i="24"/>
  <c r="AL10"/>
  <c r="AD8"/>
  <c r="AD43" s="1"/>
  <c r="AU287" i="1"/>
  <c r="AQ287"/>
  <c r="AM53" i="13"/>
  <c r="AQ54"/>
  <c r="AP22" i="22"/>
  <c r="AT22"/>
  <c r="AL19" i="24"/>
  <c r="AQ10"/>
  <c r="X45"/>
  <c r="AV16"/>
  <c r="AQ19" i="22"/>
  <c r="AU16" i="24"/>
  <c r="AQ16"/>
  <c r="AC16"/>
  <c r="AO16"/>
  <c r="AP16"/>
  <c r="AT16"/>
  <c r="AD18" i="22"/>
  <c r="AD19" i="33"/>
  <c r="AP21" i="22"/>
  <c r="AT21"/>
  <c r="AL19"/>
  <c r="AQ45" i="1"/>
  <c r="AU45"/>
  <c r="AL11" i="24"/>
  <c r="AB19" i="33"/>
  <c r="X18"/>
  <c r="Y18" i="22"/>
  <c r="Y45" i="24" s="1"/>
  <c r="AA19" i="33"/>
  <c r="Y19"/>
  <c r="W18"/>
  <c r="AB43" i="24"/>
  <c r="AT30" i="22"/>
  <c r="AP30"/>
  <c r="AT29"/>
  <c r="AP29"/>
  <c r="AL18" i="24"/>
  <c r="AM18" i="33"/>
  <c r="AU18" i="22"/>
  <c r="AC18"/>
  <c r="AQ18"/>
  <c r="AU10" i="24"/>
  <c r="AM19" i="33"/>
  <c r="AU19" s="1"/>
  <c r="AU19" i="22"/>
  <c r="AS16" i="24" l="1"/>
  <c r="AT18"/>
  <c r="AP18"/>
  <c r="AB45"/>
  <c r="AB18" i="33"/>
  <c r="AL18" i="22"/>
  <c r="AT19"/>
  <c r="AP19"/>
  <c r="AD18" i="33"/>
  <c r="AL19"/>
  <c r="AQ43" i="24"/>
  <c r="AQ45" s="1"/>
  <c r="AA18" i="33"/>
  <c r="Y18"/>
  <c r="AQ19"/>
  <c r="AC19"/>
  <c r="AP11" i="24"/>
  <c r="AT11"/>
  <c r="AD45"/>
  <c r="AT19"/>
  <c r="AP19"/>
  <c r="AQ53" i="13"/>
  <c r="AU53"/>
  <c r="AL8" i="24"/>
  <c r="AT10"/>
  <c r="AP10"/>
  <c r="AP20"/>
  <c r="AT20"/>
  <c r="AA45"/>
  <c r="AU43"/>
  <c r="AU45" s="1"/>
  <c r="AC43"/>
  <c r="AW16"/>
  <c r="AC45" l="1"/>
  <c r="AU18" i="33"/>
  <c r="AQ18"/>
  <c r="AC18"/>
  <c r="AP19"/>
  <c r="AT19"/>
  <c r="AT18" i="22"/>
  <c r="AP18"/>
  <c r="AT8" i="24"/>
  <c r="AL43"/>
  <c r="AP8"/>
  <c r="AL18" i="33"/>
  <c r="AP18" l="1"/>
  <c r="AT18"/>
  <c r="AL45" i="24"/>
  <c r="AT43"/>
  <c r="AT45" s="1"/>
  <c r="AP43"/>
  <c r="AP45" s="1"/>
  <c r="AU293" i="1" l="1"/>
  <c r="AC81" i="7" l="1"/>
  <c r="I91" l="1"/>
  <c r="I93"/>
  <c r="H95"/>
  <c r="AB79"/>
  <c r="H91"/>
  <c r="AC91"/>
  <c r="I94"/>
  <c r="AB15" i="23"/>
  <c r="AG81" i="7"/>
  <c r="AD81"/>
  <c r="AC46" i="14"/>
  <c r="AC80" i="7"/>
  <c r="AG80" s="1"/>
  <c r="AK80" s="1"/>
  <c r="AC79"/>
  <c r="AB80"/>
  <c r="AD46" i="14" l="1"/>
  <c r="AG46"/>
  <c r="AC44"/>
  <c r="AK81" i="7"/>
  <c r="AL81" s="1"/>
  <c r="AH81"/>
  <c r="AP81" s="1"/>
  <c r="I95"/>
  <c r="J95" s="1"/>
  <c r="H30" i="23"/>
  <c r="Q94" i="7"/>
  <c r="U94" s="1"/>
  <c r="G31" i="23"/>
  <c r="P95" i="7"/>
  <c r="H94"/>
  <c r="H29" i="23"/>
  <c r="Q93" i="7"/>
  <c r="U93" s="1"/>
  <c r="AF80"/>
  <c r="AD80"/>
  <c r="AG79"/>
  <c r="AC76"/>
  <c r="AC291" s="1"/>
  <c r="AB13" i="23"/>
  <c r="AC26" i="14"/>
  <c r="AB15" i="34"/>
  <c r="AF15" i="23"/>
  <c r="AC15"/>
  <c r="AB95" i="7"/>
  <c r="AB94"/>
  <c r="H93"/>
  <c r="AB27" i="23"/>
  <c r="AG91" i="7"/>
  <c r="G27" i="23"/>
  <c r="J91" i="7"/>
  <c r="P91"/>
  <c r="AB26" i="14"/>
  <c r="AA13" i="23"/>
  <c r="AB76" i="7"/>
  <c r="AB291" s="1"/>
  <c r="AD79"/>
  <c r="AB93"/>
  <c r="AB91"/>
  <c r="H27" i="23"/>
  <c r="Q91" i="7"/>
  <c r="U91" s="1"/>
  <c r="AD76" l="1"/>
  <c r="AD291" s="1"/>
  <c r="H16" i="29"/>
  <c r="P27" i="23"/>
  <c r="AF93" i="7"/>
  <c r="AA29" i="23"/>
  <c r="AB25" i="14"/>
  <c r="AD26"/>
  <c r="T91" i="7"/>
  <c r="R91"/>
  <c r="O27" i="23"/>
  <c r="I27"/>
  <c r="G16" i="29"/>
  <c r="AB16"/>
  <c r="AF16" s="1"/>
  <c r="AF27" i="23"/>
  <c r="AA30"/>
  <c r="AF94" i="7"/>
  <c r="AF15" i="34"/>
  <c r="AC15"/>
  <c r="AB13"/>
  <c r="AF13" s="1"/>
  <c r="AF13" i="23"/>
  <c r="AO79" i="7"/>
  <c r="AK79"/>
  <c r="AK76" s="1"/>
  <c r="AK291" s="1"/>
  <c r="AG76"/>
  <c r="AJ80"/>
  <c r="AL80" s="1"/>
  <c r="AN80"/>
  <c r="AH80"/>
  <c r="H18" i="29"/>
  <c r="P29" i="23"/>
  <c r="G20" i="29"/>
  <c r="O31" i="23"/>
  <c r="H19" i="29"/>
  <c r="P30" i="23"/>
  <c r="AK46" i="14"/>
  <c r="AL46" s="1"/>
  <c r="AH46"/>
  <c r="AP46" s="1"/>
  <c r="AO91" i="7"/>
  <c r="AK91"/>
  <c r="AA27" i="23"/>
  <c r="AD91" i="7"/>
  <c r="AF91"/>
  <c r="AH91" s="1"/>
  <c r="AC13" i="23"/>
  <c r="AA13" i="34"/>
  <c r="G29" i="23"/>
  <c r="P93" i="7"/>
  <c r="J93"/>
  <c r="AF95"/>
  <c r="AA31" i="23"/>
  <c r="AJ15"/>
  <c r="AK15" s="1"/>
  <c r="AP15" s="1"/>
  <c r="AG15"/>
  <c r="AO15" s="1"/>
  <c r="AC25" i="14"/>
  <c r="AG26"/>
  <c r="P94" i="7"/>
  <c r="G30" i="23"/>
  <c r="J94" i="7"/>
  <c r="T95"/>
  <c r="H31" i="23"/>
  <c r="Q95" i="7"/>
  <c r="U95" s="1"/>
  <c r="AG44" i="14"/>
  <c r="AD44"/>
  <c r="I16" i="29" l="1"/>
  <c r="AN91" i="7"/>
  <c r="H20" i="29"/>
  <c r="I20" s="1"/>
  <c r="P31" i="23"/>
  <c r="AJ95" i="7"/>
  <c r="V95"/>
  <c r="G19" i="29"/>
  <c r="I19" s="1"/>
  <c r="O30" i="23"/>
  <c r="I30"/>
  <c r="AK26" i="14"/>
  <c r="AO26"/>
  <c r="AN95" i="7"/>
  <c r="T93"/>
  <c r="AN93" s="1"/>
  <c r="R93"/>
  <c r="AC13" i="34"/>
  <c r="P18" i="29"/>
  <c r="T18" s="1"/>
  <c r="T29" i="23"/>
  <c r="AP80" i="7"/>
  <c r="AN13" i="23"/>
  <c r="AJ13"/>
  <c r="AA19" i="29"/>
  <c r="AE30" i="23"/>
  <c r="AB9" i="14"/>
  <c r="AD25"/>
  <c r="AD9" s="1"/>
  <c r="AD76" s="1"/>
  <c r="I31" i="23"/>
  <c r="AK44" i="14"/>
  <c r="AL44" s="1"/>
  <c r="AH44"/>
  <c r="AP44" s="1"/>
  <c r="AO95" i="7"/>
  <c r="T94"/>
  <c r="AN94" s="1"/>
  <c r="R94"/>
  <c r="AG25" i="14"/>
  <c r="AC9"/>
  <c r="AA20" i="29"/>
  <c r="AE31" i="23"/>
  <c r="O29"/>
  <c r="I29"/>
  <c r="G18" i="29"/>
  <c r="I18" s="1"/>
  <c r="AC27" i="23"/>
  <c r="AA16" i="29"/>
  <c r="AE27" i="23"/>
  <c r="P19" i="29"/>
  <c r="T19" s="1"/>
  <c r="T30" i="23"/>
  <c r="O20" i="29"/>
  <c r="Q31" i="23"/>
  <c r="S31"/>
  <c r="AG291" i="7"/>
  <c r="AO76"/>
  <c r="AN13" i="34"/>
  <c r="AJ13"/>
  <c r="AJ15"/>
  <c r="AK15" s="1"/>
  <c r="AP15" s="1"/>
  <c r="AG15"/>
  <c r="AO15" s="1"/>
  <c r="S27" i="23"/>
  <c r="O16" i="29"/>
  <c r="Q27" i="23"/>
  <c r="AJ91" i="7"/>
  <c r="AL91" s="1"/>
  <c r="BH91" s="1"/>
  <c r="V91"/>
  <c r="AP91" s="1"/>
  <c r="AA18" i="29"/>
  <c r="AE29" i="23"/>
  <c r="T27"/>
  <c r="AN27" s="1"/>
  <c r="P16" i="29"/>
  <c r="T16" s="1"/>
  <c r="AN16" s="1"/>
  <c r="R95" i="7"/>
  <c r="AJ27" i="23" l="1"/>
  <c r="U27"/>
  <c r="AM27"/>
  <c r="AO291" i="7"/>
  <c r="AI27" i="23"/>
  <c r="AK27" s="1"/>
  <c r="AG27"/>
  <c r="AO27" s="1"/>
  <c r="AI31"/>
  <c r="AG9" i="14"/>
  <c r="AO9" s="1"/>
  <c r="AO25"/>
  <c r="AK25"/>
  <c r="AK9" s="1"/>
  <c r="AJ94" i="7"/>
  <c r="V94"/>
  <c r="AE19" i="29"/>
  <c r="AJ16"/>
  <c r="AE18"/>
  <c r="S16"/>
  <c r="Q16"/>
  <c r="AM31" i="23"/>
  <c r="S20" i="29"/>
  <c r="AC16"/>
  <c r="AE16"/>
  <c r="AG16" s="1"/>
  <c r="S29" i="23"/>
  <c r="AI29" s="1"/>
  <c r="O18" i="29"/>
  <c r="Q29" i="23"/>
  <c r="AE20" i="29"/>
  <c r="AD78" i="14"/>
  <c r="AJ93" i="7"/>
  <c r="V93"/>
  <c r="S30" i="23"/>
  <c r="Q30"/>
  <c r="O19" i="29"/>
  <c r="P20"/>
  <c r="T20" s="1"/>
  <c r="AN20" s="1"/>
  <c r="T31" i="23"/>
  <c r="AN31" s="1"/>
  <c r="S18" i="29" l="1"/>
  <c r="Q18"/>
  <c r="Q20"/>
  <c r="S19"/>
  <c r="Q19"/>
  <c r="U30" i="23"/>
  <c r="AM30"/>
  <c r="U29"/>
  <c r="AM29"/>
  <c r="U20" i="29"/>
  <c r="AM20"/>
  <c r="AI20"/>
  <c r="U16"/>
  <c r="AO16" s="1"/>
  <c r="AM16"/>
  <c r="AI16"/>
  <c r="AK16" s="1"/>
  <c r="U31" i="23"/>
  <c r="AI30"/>
  <c r="U19" i="29" l="1"/>
  <c r="AI19"/>
  <c r="AM19"/>
  <c r="U18"/>
  <c r="AM18"/>
  <c r="AI18"/>
  <c r="I86" i="7" l="1"/>
  <c r="AB86" l="1"/>
  <c r="H86"/>
  <c r="H22" i="23"/>
  <c r="Q86" i="7"/>
  <c r="U86" s="1"/>
  <c r="I85" l="1"/>
  <c r="P22" i="23"/>
  <c r="H11" i="29"/>
  <c r="AA22" i="23"/>
  <c r="AF86" i="7"/>
  <c r="H85"/>
  <c r="P86"/>
  <c r="G22" i="23"/>
  <c r="J86" i="7"/>
  <c r="T86" l="1"/>
  <c r="R86"/>
  <c r="G21" i="23"/>
  <c r="J85" i="7"/>
  <c r="J83" s="1"/>
  <c r="P85"/>
  <c r="H83"/>
  <c r="AA11" i="29"/>
  <c r="AE22" i="23"/>
  <c r="T22"/>
  <c r="P11" i="29"/>
  <c r="T11" s="1"/>
  <c r="AB85" i="7"/>
  <c r="O22" i="23"/>
  <c r="G11" i="29"/>
  <c r="I11" s="1"/>
  <c r="I22" i="23"/>
  <c r="H21"/>
  <c r="I83" i="7"/>
  <c r="Q85"/>
  <c r="U85" s="1"/>
  <c r="H8" i="29" l="1"/>
  <c r="H43" s="1"/>
  <c r="I292" i="7"/>
  <c r="Q83"/>
  <c r="I52" i="14"/>
  <c r="AF85" i="7"/>
  <c r="AA21" i="23"/>
  <c r="AB83" i="7"/>
  <c r="T85"/>
  <c r="R85"/>
  <c r="G10" i="29"/>
  <c r="O21" i="23"/>
  <c r="I21"/>
  <c r="I19" s="1"/>
  <c r="I18" s="1"/>
  <c r="G19"/>
  <c r="AN86" i="7"/>
  <c r="AJ86"/>
  <c r="V86"/>
  <c r="AO85"/>
  <c r="H10" i="29"/>
  <c r="P21" i="23"/>
  <c r="H19"/>
  <c r="O11" i="29"/>
  <c r="S22" i="23"/>
  <c r="AI22" s="1"/>
  <c r="Q22"/>
  <c r="AE11" i="29"/>
  <c r="G8"/>
  <c r="G43" s="1"/>
  <c r="H292" i="7"/>
  <c r="P83"/>
  <c r="H52" i="14"/>
  <c r="J292" i="7"/>
  <c r="P52" i="14" l="1"/>
  <c r="J52"/>
  <c r="H51"/>
  <c r="Q11" i="29"/>
  <c r="S11"/>
  <c r="H18" i="23"/>
  <c r="H45" i="29" s="1"/>
  <c r="H19" i="34"/>
  <c r="G19"/>
  <c r="G18" i="23"/>
  <c r="Q21"/>
  <c r="Q19" s="1"/>
  <c r="Q18" s="1"/>
  <c r="S21"/>
  <c r="O10" i="29"/>
  <c r="O19" i="23"/>
  <c r="O18" s="1"/>
  <c r="AA8" i="29"/>
  <c r="AA43" s="1"/>
  <c r="AB292" i="7"/>
  <c r="AF83"/>
  <c r="AB52" i="14"/>
  <c r="AA10" i="29"/>
  <c r="AA19" i="23"/>
  <c r="AE21"/>
  <c r="I51" i="14"/>
  <c r="Q52"/>
  <c r="U52" s="1"/>
  <c r="O8" i="29"/>
  <c r="O43" s="1"/>
  <c r="R83" i="7"/>
  <c r="R292" s="1"/>
  <c r="P292"/>
  <c r="T83"/>
  <c r="U22" i="23"/>
  <c r="AM22"/>
  <c r="T21"/>
  <c r="P10" i="29"/>
  <c r="T10" s="1"/>
  <c r="P19" i="23"/>
  <c r="P18" s="1"/>
  <c r="AJ85" i="7"/>
  <c r="V85"/>
  <c r="AN85"/>
  <c r="P8" i="29"/>
  <c r="P43" s="1"/>
  <c r="Q292" i="7"/>
  <c r="U83"/>
  <c r="I10" i="29"/>
  <c r="I8" s="1"/>
  <c r="I43" s="1"/>
  <c r="I45" s="1"/>
  <c r="H256" i="7" l="1"/>
  <c r="H174"/>
  <c r="G256"/>
  <c r="I256"/>
  <c r="G174"/>
  <c r="I174"/>
  <c r="H175"/>
  <c r="AC175"/>
  <c r="G175"/>
  <c r="I175"/>
  <c r="AB175"/>
  <c r="G45" i="29"/>
  <c r="AN21" i="23"/>
  <c r="T19"/>
  <c r="T18" s="1"/>
  <c r="AM21"/>
  <c r="AE19"/>
  <c r="AE18" s="1"/>
  <c r="AB51" i="14"/>
  <c r="AF52"/>
  <c r="U21" i="23"/>
  <c r="U19" s="1"/>
  <c r="S19"/>
  <c r="AI21"/>
  <c r="H18" i="34"/>
  <c r="P19"/>
  <c r="T19" s="1"/>
  <c r="P45" i="29"/>
  <c r="O45"/>
  <c r="U292" i="7"/>
  <c r="AN10" i="29"/>
  <c r="T8"/>
  <c r="V83" i="7"/>
  <c r="V292" s="1"/>
  <c r="T292"/>
  <c r="AN83"/>
  <c r="AJ83"/>
  <c r="Q51" i="14"/>
  <c r="U51" s="1"/>
  <c r="I50"/>
  <c r="AA19" i="34"/>
  <c r="AA18" i="23"/>
  <c r="AE10" i="29"/>
  <c r="AF292" i="7"/>
  <c r="Q10" i="29"/>
  <c r="Q8" s="1"/>
  <c r="Q43" s="1"/>
  <c r="Q45" s="1"/>
  <c r="S10"/>
  <c r="O19" i="34"/>
  <c r="I19"/>
  <c r="G18"/>
  <c r="U11" i="29"/>
  <c r="AI11"/>
  <c r="AM11"/>
  <c r="P51" i="14"/>
  <c r="T51" s="1"/>
  <c r="H50"/>
  <c r="T52"/>
  <c r="R52"/>
  <c r="AF175" i="7" l="1"/>
  <c r="AA127" i="23"/>
  <c r="Q175" i="7"/>
  <c r="U175" s="1"/>
  <c r="AO175" s="1"/>
  <c r="H127" i="23"/>
  <c r="O175" i="7"/>
  <c r="J175"/>
  <c r="F127" i="23"/>
  <c r="AB174" i="7"/>
  <c r="F126" i="23"/>
  <c r="O174" i="7"/>
  <c r="J174"/>
  <c r="J173" s="1"/>
  <c r="G173"/>
  <c r="AA256"/>
  <c r="AB127" i="23"/>
  <c r="AG175" i="7"/>
  <c r="AA175"/>
  <c r="G127" i="23"/>
  <c r="P175" i="7"/>
  <c r="T175" s="1"/>
  <c r="H126" i="23"/>
  <c r="I173" i="7"/>
  <c r="Q174"/>
  <c r="U174" s="1"/>
  <c r="AO174" s="1"/>
  <c r="AB256"/>
  <c r="Q256"/>
  <c r="U256" s="1"/>
  <c r="I253"/>
  <c r="O256"/>
  <c r="J256"/>
  <c r="J253" s="1"/>
  <c r="G253"/>
  <c r="AC174"/>
  <c r="AA174"/>
  <c r="P174"/>
  <c r="T174" s="1"/>
  <c r="G126" i="23"/>
  <c r="H173" i="7"/>
  <c r="AC256"/>
  <c r="P256"/>
  <c r="T256" s="1"/>
  <c r="H253"/>
  <c r="AN52" i="14"/>
  <c r="V52"/>
  <c r="AJ52"/>
  <c r="U10" i="29"/>
  <c r="S8"/>
  <c r="AM10"/>
  <c r="AI10"/>
  <c r="AA18" i="34"/>
  <c r="AE19"/>
  <c r="AO51" i="14"/>
  <c r="S18" i="23"/>
  <c r="AM19"/>
  <c r="H76" i="14"/>
  <c r="P50"/>
  <c r="I18" i="34"/>
  <c r="O18"/>
  <c r="S19"/>
  <c r="Q19"/>
  <c r="AN292" i="7"/>
  <c r="AM292" s="1"/>
  <c r="AE8" i="29"/>
  <c r="AE43" s="1"/>
  <c r="AE45" s="1"/>
  <c r="AA45"/>
  <c r="Q50" i="14"/>
  <c r="I76"/>
  <c r="AJ292" i="7"/>
  <c r="T43" i="29"/>
  <c r="P18" i="34"/>
  <c r="T18" s="1"/>
  <c r="AI19" i="23"/>
  <c r="AI18" s="1"/>
  <c r="U18"/>
  <c r="AB50" i="14"/>
  <c r="AF51"/>
  <c r="AN51" s="1"/>
  <c r="T45" i="29"/>
  <c r="AJ175" i="7" l="1"/>
  <c r="AK175"/>
  <c r="G25" i="31"/>
  <c r="P173" i="7"/>
  <c r="T173" s="1"/>
  <c r="AB126" i="23"/>
  <c r="AG174" i="7"/>
  <c r="AK174" s="1"/>
  <c r="AC173"/>
  <c r="F125" i="23"/>
  <c r="G187" i="7"/>
  <c r="O253"/>
  <c r="R256"/>
  <c r="S256"/>
  <c r="H125" i="23"/>
  <c r="Q253" i="7"/>
  <c r="AF256"/>
  <c r="AJ256" s="1"/>
  <c r="AB253"/>
  <c r="H25" i="31"/>
  <c r="Q173" i="7"/>
  <c r="U173" s="1"/>
  <c r="I320"/>
  <c r="H320" s="1"/>
  <c r="G28" i="31"/>
  <c r="O28" s="1"/>
  <c r="S28" s="1"/>
  <c r="O127" i="23"/>
  <c r="S127" s="1"/>
  <c r="AD256" i="7"/>
  <c r="AA253"/>
  <c r="AE256"/>
  <c r="F25" i="31"/>
  <c r="F39" s="1"/>
  <c r="G320" i="7"/>
  <c r="F320" s="1"/>
  <c r="O173"/>
  <c r="G97"/>
  <c r="S174"/>
  <c r="R174"/>
  <c r="AN175"/>
  <c r="G125" i="23"/>
  <c r="P253" i="7"/>
  <c r="AC253"/>
  <c r="AG256"/>
  <c r="AO256" s="1"/>
  <c r="G27" i="31"/>
  <c r="O27" s="1"/>
  <c r="S27" s="1"/>
  <c r="O126" i="23"/>
  <c r="S126" s="1"/>
  <c r="Z126"/>
  <c r="AE174" i="7"/>
  <c r="AD174"/>
  <c r="AA173"/>
  <c r="H27" i="31"/>
  <c r="P27" s="1"/>
  <c r="T27" s="1"/>
  <c r="AN27" s="1"/>
  <c r="P126" i="23"/>
  <c r="T126" s="1"/>
  <c r="AN126" s="1"/>
  <c r="Z127"/>
  <c r="AD175" i="7"/>
  <c r="AE175"/>
  <c r="AH175" s="1"/>
  <c r="AB28" i="31"/>
  <c r="AF28" s="1"/>
  <c r="AF127" i="23"/>
  <c r="J320" i="7"/>
  <c r="F27" i="31"/>
  <c r="I126" i="23"/>
  <c r="N126"/>
  <c r="AA126"/>
  <c r="AB173" i="7"/>
  <c r="AF174"/>
  <c r="AN174" s="1"/>
  <c r="F28" i="31"/>
  <c r="N127" i="23"/>
  <c r="I127"/>
  <c r="S175" i="7"/>
  <c r="R175"/>
  <c r="P127" i="23"/>
  <c r="T127" s="1"/>
  <c r="AN127" s="1"/>
  <c r="H28" i="31"/>
  <c r="P28" s="1"/>
  <c r="T28" s="1"/>
  <c r="AA28"/>
  <c r="AE28" s="1"/>
  <c r="AE127" i="23"/>
  <c r="AB76" i="14"/>
  <c r="AF50"/>
  <c r="Q76"/>
  <c r="U50"/>
  <c r="U19" i="34"/>
  <c r="AI19"/>
  <c r="AM19"/>
  <c r="S18"/>
  <c r="Q18"/>
  <c r="T50" i="14"/>
  <c r="P76"/>
  <c r="AI8" i="29"/>
  <c r="AI43" s="1"/>
  <c r="AI45" s="1"/>
  <c r="S43"/>
  <c r="AM43" s="1"/>
  <c r="AM8"/>
  <c r="AM18" i="23"/>
  <c r="AE18" i="34"/>
  <c r="U8" i="29"/>
  <c r="U43" s="1"/>
  <c r="AJ51" i="14"/>
  <c r="AK256" i="7" l="1"/>
  <c r="S45" i="29"/>
  <c r="AM127" i="23"/>
  <c r="AM45" i="29"/>
  <c r="AN28" i="31"/>
  <c r="AJ28"/>
  <c r="N28"/>
  <c r="I28"/>
  <c r="AA25"/>
  <c r="AB320" i="7"/>
  <c r="AF173"/>
  <c r="AJ173" s="1"/>
  <c r="Q126" i="23"/>
  <c r="R126"/>
  <c r="N27" i="31"/>
  <c r="I27"/>
  <c r="Z25"/>
  <c r="Z39" s="1"/>
  <c r="AA320" i="7"/>
  <c r="AD173"/>
  <c r="AE173"/>
  <c r="AA97"/>
  <c r="T253"/>
  <c r="G26" i="31"/>
  <c r="O26" s="1"/>
  <c r="O125" i="23"/>
  <c r="G124"/>
  <c r="AM174" i="7"/>
  <c r="V174"/>
  <c r="AI174"/>
  <c r="O320"/>
  <c r="R173"/>
  <c r="S173"/>
  <c r="AM28" i="31"/>
  <c r="AI28"/>
  <c r="AA125" i="23"/>
  <c r="AF253" i="7"/>
  <c r="U253"/>
  <c r="H26" i="31"/>
  <c r="P26" s="1"/>
  <c r="P125" i="23"/>
  <c r="H124"/>
  <c r="G293" i="7"/>
  <c r="AC320"/>
  <c r="AB25" i="31"/>
  <c r="AG173" i="7"/>
  <c r="AB27" i="31"/>
  <c r="AF27" s="1"/>
  <c r="AJ27" s="1"/>
  <c r="AF126" i="23"/>
  <c r="AJ126" s="1"/>
  <c r="T320" i="7"/>
  <c r="AH174"/>
  <c r="AH256"/>
  <c r="AN256"/>
  <c r="AM175"/>
  <c r="V175"/>
  <c r="AI175"/>
  <c r="AL175" s="1"/>
  <c r="BH175" s="1"/>
  <c r="Q127" i="23"/>
  <c r="R127"/>
  <c r="AA27" i="31"/>
  <c r="AE27" s="1"/>
  <c r="AM27" s="1"/>
  <c r="AE126" i="23"/>
  <c r="AM126" s="1"/>
  <c r="Z28" i="31"/>
  <c r="AD127" i="23"/>
  <c r="AG127" s="1"/>
  <c r="AC127"/>
  <c r="Z27" i="31"/>
  <c r="AC126" i="23"/>
  <c r="AD126"/>
  <c r="AI27" i="31"/>
  <c r="AB125" i="23"/>
  <c r="AG253" i="7"/>
  <c r="G294"/>
  <c r="O97"/>
  <c r="G185"/>
  <c r="O185" s="1"/>
  <c r="Z125" i="23"/>
  <c r="AA187" i="7"/>
  <c r="AA293" s="1"/>
  <c r="AD253"/>
  <c r="AE253"/>
  <c r="AO173"/>
  <c r="U320"/>
  <c r="AK173"/>
  <c r="AM256"/>
  <c r="AI256"/>
  <c r="V256"/>
  <c r="O187"/>
  <c r="R253"/>
  <c r="S253"/>
  <c r="F26" i="31"/>
  <c r="N125" i="23"/>
  <c r="I125"/>
  <c r="I124" s="1"/>
  <c r="F124"/>
  <c r="AJ127"/>
  <c r="AP175" i="7"/>
  <c r="AJ174"/>
  <c r="AI127" i="23"/>
  <c r="U45" i="29"/>
  <c r="P78" i="14"/>
  <c r="Q78"/>
  <c r="T76"/>
  <c r="AJ50"/>
  <c r="AN50"/>
  <c r="U18" i="34"/>
  <c r="AI18"/>
  <c r="AM18"/>
  <c r="U76" i="14"/>
  <c r="AO50"/>
  <c r="AB78"/>
  <c r="AL256" i="7" l="1"/>
  <c r="AP256"/>
  <c r="AP174"/>
  <c r="AG126" i="23"/>
  <c r="I26" i="31"/>
  <c r="I25" s="1"/>
  <c r="N26"/>
  <c r="AE187" i="7"/>
  <c r="AH253"/>
  <c r="S185"/>
  <c r="AD27" i="31"/>
  <c r="AG27" s="1"/>
  <c r="AC27"/>
  <c r="U127" i="23"/>
  <c r="AO127" s="1"/>
  <c r="AH127"/>
  <c r="AK127" s="1"/>
  <c r="T125"/>
  <c r="P124"/>
  <c r="AK253" i="7"/>
  <c r="AO253"/>
  <c r="AN253"/>
  <c r="AA26" i="31"/>
  <c r="AE26" s="1"/>
  <c r="AE25" s="1"/>
  <c r="AA124" i="23"/>
  <c r="AE125"/>
  <c r="AE124" s="1"/>
  <c r="S125"/>
  <c r="O124"/>
  <c r="AJ253" i="7"/>
  <c r="AA294"/>
  <c r="AA295" s="1"/>
  <c r="AA296" s="1"/>
  <c r="AA298" s="1"/>
  <c r="AA185"/>
  <c r="AE97"/>
  <c r="F26" i="32"/>
  <c r="F25" s="1"/>
  <c r="Q27" i="31"/>
  <c r="R27"/>
  <c r="AN173" i="7"/>
  <c r="AF320"/>
  <c r="AE320" s="1"/>
  <c r="R28" i="31"/>
  <c r="Q28"/>
  <c r="AI126" i="23"/>
  <c r="G295" i="7"/>
  <c r="G296" s="1"/>
  <c r="R320"/>
  <c r="Q320" s="1"/>
  <c r="P320" s="1"/>
  <c r="AL174"/>
  <c r="BH174" s="1"/>
  <c r="AD320"/>
  <c r="F39" i="34"/>
  <c r="F106" i="23"/>
  <c r="R125"/>
  <c r="Q125"/>
  <c r="Q124" s="1"/>
  <c r="N124"/>
  <c r="N106" s="1"/>
  <c r="AM253" i="7"/>
  <c r="S187"/>
  <c r="V253"/>
  <c r="AI253"/>
  <c r="O293"/>
  <c r="O267"/>
  <c r="Z26" i="31"/>
  <c r="AC125" i="23"/>
  <c r="AC124" s="1"/>
  <c r="Z124"/>
  <c r="AD125"/>
  <c r="O294" i="7"/>
  <c r="S97"/>
  <c r="AB26" i="31"/>
  <c r="AF26" s="1"/>
  <c r="AF25" s="1"/>
  <c r="AB124" i="23"/>
  <c r="AF125"/>
  <c r="AF124" s="1"/>
  <c r="AD28" i="31"/>
  <c r="AG28" s="1"/>
  <c r="AC28"/>
  <c r="H39" i="34"/>
  <c r="T26" i="31"/>
  <c r="P25"/>
  <c r="AM173" i="7"/>
  <c r="V173"/>
  <c r="S320"/>
  <c r="G39" i="34"/>
  <c r="S26" i="31"/>
  <c r="O25"/>
  <c r="AI173" i="7"/>
  <c r="AH173"/>
  <c r="U126" i="23"/>
  <c r="AH126"/>
  <c r="AG320" i="7"/>
  <c r="G267"/>
  <c r="AO76" i="14"/>
  <c r="U78"/>
  <c r="AN76"/>
  <c r="T78"/>
  <c r="AK126" i="23" l="1"/>
  <c r="V320" i="7"/>
  <c r="AJ320"/>
  <c r="AO126" i="23"/>
  <c r="AI320" i="7"/>
  <c r="G269"/>
  <c r="G80" i="14"/>
  <c r="AP173" i="7"/>
  <c r="AH320"/>
  <c r="S294"/>
  <c r="AM294" s="1"/>
  <c r="AM97"/>
  <c r="AI97"/>
  <c r="AD124" i="23"/>
  <c r="AD106" s="1"/>
  <c r="AG125"/>
  <c r="AG124" s="1"/>
  <c r="O275" i="7"/>
  <c r="O80" i="14"/>
  <c r="AI187" i="7"/>
  <c r="AL253"/>
  <c r="AM187"/>
  <c r="S293"/>
  <c r="S267"/>
  <c r="U125" i="23"/>
  <c r="R124"/>
  <c r="AH125"/>
  <c r="N39" i="34"/>
  <c r="I39"/>
  <c r="F36"/>
  <c r="U28" i="31"/>
  <c r="AH28"/>
  <c r="AK28" s="1"/>
  <c r="S124" i="23"/>
  <c r="AM125"/>
  <c r="AI125"/>
  <c r="AI124" s="1"/>
  <c r="AA39" i="34"/>
  <c r="T124" i="23"/>
  <c r="AN125"/>
  <c r="AJ125"/>
  <c r="AJ124" s="1"/>
  <c r="AM185" i="7"/>
  <c r="AE293"/>
  <c r="B26" i="32"/>
  <c r="AL173" i="7"/>
  <c r="S25" i="31"/>
  <c r="AI26"/>
  <c r="AI25" s="1"/>
  <c r="AM26"/>
  <c r="O39" i="34"/>
  <c r="S39" s="1"/>
  <c r="T25" i="31"/>
  <c r="AJ26"/>
  <c r="AJ25" s="1"/>
  <c r="AN26"/>
  <c r="P39" i="34"/>
  <c r="T39" s="1"/>
  <c r="AB39"/>
  <c r="Z39"/>
  <c r="Z106" i="23"/>
  <c r="AD26" i="31"/>
  <c r="AC26"/>
  <c r="AC25" s="1"/>
  <c r="F41"/>
  <c r="F17" i="23"/>
  <c r="U27" i="31"/>
  <c r="AO27" s="1"/>
  <c r="AH27"/>
  <c r="AK27" s="1"/>
  <c r="AE294" i="7"/>
  <c r="AE295" s="1"/>
  <c r="AE296" s="1"/>
  <c r="AA267"/>
  <c r="AE185"/>
  <c r="AI185" s="1"/>
  <c r="AP253"/>
  <c r="R26" i="31"/>
  <c r="Q26"/>
  <c r="Q25" s="1"/>
  <c r="N25"/>
  <c r="N39" s="1"/>
  <c r="N41" s="1"/>
  <c r="AO28"/>
  <c r="O295" i="7"/>
  <c r="O296" s="1"/>
  <c r="AK320"/>
  <c r="AL320" l="1"/>
  <c r="AN320" s="1"/>
  <c r="AM25" i="31"/>
  <c r="AM124" i="23"/>
  <c r="U26" i="31"/>
  <c r="R25"/>
  <c r="AH26"/>
  <c r="AA80" i="14"/>
  <c r="AA275" i="7"/>
  <c r="AG26" i="31"/>
  <c r="AG25" s="1"/>
  <c r="AD25"/>
  <c r="AD39" s="1"/>
  <c r="AD41" s="1"/>
  <c r="AD39" i="34"/>
  <c r="AC39"/>
  <c r="Z36"/>
  <c r="AF39"/>
  <c r="AJ39" s="1"/>
  <c r="AE39"/>
  <c r="AM39" s="1"/>
  <c r="AK125" i="23"/>
  <c r="AK124" s="1"/>
  <c r="AH124"/>
  <c r="AH106" s="1"/>
  <c r="U124"/>
  <c r="AO124" s="1"/>
  <c r="AO125"/>
  <c r="AM293" i="7"/>
  <c r="S295"/>
  <c r="BH253"/>
  <c r="AI294"/>
  <c r="AE267"/>
  <c r="N17" i="23"/>
  <c r="F138"/>
  <c r="Z41" i="31"/>
  <c r="Z17" i="23"/>
  <c r="N26" i="32"/>
  <c r="B25"/>
  <c r="J26"/>
  <c r="J25" s="1"/>
  <c r="N36" i="34"/>
  <c r="F17"/>
  <c r="Q39"/>
  <c r="R39"/>
  <c r="AL124" i="23"/>
  <c r="R106"/>
  <c r="AL106" s="1"/>
  <c r="S275" i="7"/>
  <c r="S80" i="14"/>
  <c r="AM267" i="7"/>
  <c r="AI293"/>
  <c r="AI295" s="1"/>
  <c r="AI296" s="1"/>
  <c r="AI267"/>
  <c r="AN25" i="31"/>
  <c r="AN124" i="23"/>
  <c r="AN39" i="34" l="1"/>
  <c r="AI275" i="7"/>
  <c r="AI80" i="14"/>
  <c r="AL39" i="34"/>
  <c r="U39"/>
  <c r="AH39"/>
  <c r="N17"/>
  <c r="F43"/>
  <c r="F45" s="1"/>
  <c r="F140" i="23"/>
  <c r="F142"/>
  <c r="AP124"/>
  <c r="AK26" i="31"/>
  <c r="AK25" s="1"/>
  <c r="AH25"/>
  <c r="AH39" s="1"/>
  <c r="AH41" s="1"/>
  <c r="U25"/>
  <c r="AO26"/>
  <c r="AI39" i="34"/>
  <c r="R36"/>
  <c r="N25" i="32"/>
  <c r="Z138" i="23"/>
  <c r="AD17"/>
  <c r="AD138" s="1"/>
  <c r="R17"/>
  <c r="N138"/>
  <c r="AE80" i="14"/>
  <c r="AE275" i="7"/>
  <c r="AM295"/>
  <c r="S296"/>
  <c r="AM296" s="1"/>
  <c r="AD36" i="34"/>
  <c r="Z17"/>
  <c r="AO25" i="31"/>
  <c r="AL25"/>
  <c r="R39"/>
  <c r="AG39" i="34"/>
  <c r="AL39" i="31" l="1"/>
  <c r="AL41" s="1"/>
  <c r="R41"/>
  <c r="AD17" i="34"/>
  <c r="AD43" s="1"/>
  <c r="AD45" s="1"/>
  <c r="Z43"/>
  <c r="Z45" s="1"/>
  <c r="N140" i="23"/>
  <c r="N142"/>
  <c r="AD142"/>
  <c r="AD140"/>
  <c r="AL36" i="34"/>
  <c r="AH36"/>
  <c r="N43"/>
  <c r="N45" s="1"/>
  <c r="R17"/>
  <c r="AO39"/>
  <c r="R138" i="23"/>
  <c r="AH17"/>
  <c r="AH138" s="1"/>
  <c r="AL17"/>
  <c r="Z140"/>
  <c r="Z142"/>
  <c r="AK39" i="34"/>
  <c r="AL138" i="23" l="1"/>
  <c r="R142"/>
  <c r="R140"/>
  <c r="AH140"/>
  <c r="AH142"/>
  <c r="AL17" i="34"/>
  <c r="R43"/>
  <c r="AH17"/>
  <c r="AH43" s="1"/>
  <c r="AH45" s="1"/>
  <c r="AL43" l="1"/>
  <c r="AL45" s="1"/>
  <c r="R45"/>
  <c r="AG70" i="1" l="1"/>
  <c r="Y95" i="7"/>
  <c r="Y85"/>
  <c r="AC85" l="1"/>
  <c r="AC93"/>
  <c r="X21" i="23"/>
  <c r="Z85" i="7"/>
  <c r="AF22" i="22"/>
  <c r="AH70" i="1"/>
  <c r="AG78"/>
  <c r="AK69"/>
  <c r="AK77"/>
  <c r="AK79"/>
  <c r="AC94" i="7"/>
  <c r="AC95"/>
  <c r="Y93"/>
  <c r="X31" i="23"/>
  <c r="Z95" i="7"/>
  <c r="AC86"/>
  <c r="Y86"/>
  <c r="Y94"/>
  <c r="AG69" i="1"/>
  <c r="AG77"/>
  <c r="AG79"/>
  <c r="AK70"/>
  <c r="AK78"/>
  <c r="AJ22" i="22" l="1"/>
  <c r="AL70" i="1"/>
  <c r="AF31" i="22"/>
  <c r="AO79" i="1"/>
  <c r="AH79"/>
  <c r="AF29" i="22"/>
  <c r="AO77" i="1"/>
  <c r="AH77"/>
  <c r="AF21" i="22"/>
  <c r="AO69" i="1"/>
  <c r="AG287"/>
  <c r="AG45"/>
  <c r="AG54" i="13"/>
  <c r="AH69" i="1"/>
  <c r="X22" i="23"/>
  <c r="Z86" i="7"/>
  <c r="AB22" i="23"/>
  <c r="AG86" i="7"/>
  <c r="AD86"/>
  <c r="X20" i="29"/>
  <c r="Y20" s="1"/>
  <c r="Y31" i="23"/>
  <c r="AG95" i="7"/>
  <c r="AB31" i="23"/>
  <c r="AD95" i="7"/>
  <c r="AJ31" i="22"/>
  <c r="AL79" i="1"/>
  <c r="AJ29" i="22"/>
  <c r="AL77" i="1"/>
  <c r="AJ21" i="22"/>
  <c r="AK45" i="1"/>
  <c r="AK54" i="13"/>
  <c r="AL69" i="1"/>
  <c r="AO70"/>
  <c r="Y83" i="7"/>
  <c r="AJ30" i="22"/>
  <c r="AL78" i="1"/>
  <c r="X30" i="23"/>
  <c r="Z94" i="7"/>
  <c r="X29" i="23"/>
  <c r="Z93" i="7"/>
  <c r="AB30" i="23"/>
  <c r="AG94" i="7"/>
  <c r="AD94"/>
  <c r="AF30" i="22"/>
  <c r="AO78" i="1"/>
  <c r="AH78"/>
  <c r="AF11" i="24"/>
  <c r="AG11" s="1"/>
  <c r="AG22" i="22"/>
  <c r="X10" i="29"/>
  <c r="Y10" s="1"/>
  <c r="Y21" i="23"/>
  <c r="AB29"/>
  <c r="AG93" i="7"/>
  <c r="AD93"/>
  <c r="AB21" i="23"/>
  <c r="AF21" s="1"/>
  <c r="AG85" i="7"/>
  <c r="AC83"/>
  <c r="AD85"/>
  <c r="X19" i="23" l="1"/>
  <c r="X18" s="1"/>
  <c r="AJ21"/>
  <c r="AG21"/>
  <c r="AK85" i="7"/>
  <c r="AL85" s="1"/>
  <c r="BH85" s="1"/>
  <c r="AH85"/>
  <c r="AP85" s="1"/>
  <c r="AB18" i="29"/>
  <c r="AC29" i="23"/>
  <c r="AW78" i="1"/>
  <c r="AS78"/>
  <c r="AT78" s="1"/>
  <c r="AP78"/>
  <c r="AX78" s="1"/>
  <c r="AB19" i="29"/>
  <c r="AC30" i="23"/>
  <c r="X18" i="29"/>
  <c r="Y18" s="1"/>
  <c r="AF29" i="23"/>
  <c r="Y29"/>
  <c r="X19" i="29"/>
  <c r="Y19" s="1"/>
  <c r="AF30" i="23"/>
  <c r="Y30"/>
  <c r="AL287" i="1"/>
  <c r="AL45"/>
  <c r="AB20" i="29"/>
  <c r="AC31" i="23"/>
  <c r="AK86" i="7"/>
  <c r="AL86" s="1"/>
  <c r="BH86" s="1"/>
  <c r="AO86"/>
  <c r="AH86"/>
  <c r="AP86" s="1"/>
  <c r="AG53" i="13"/>
  <c r="AH54"/>
  <c r="AF10" i="24"/>
  <c r="AF19" i="22"/>
  <c r="AG21"/>
  <c r="AS77" i="1"/>
  <c r="AT77" s="1"/>
  <c r="AW77"/>
  <c r="AP77"/>
  <c r="AX77" s="1"/>
  <c r="AF20" i="24"/>
  <c r="AG20" s="1"/>
  <c r="AG31" i="22"/>
  <c r="AJ11" i="24"/>
  <c r="AN22" i="22"/>
  <c r="AK22"/>
  <c r="AB8" i="29"/>
  <c r="AB43" s="1"/>
  <c r="AG83" i="7"/>
  <c r="AC292"/>
  <c r="AC52" i="14"/>
  <c r="AD83" i="7"/>
  <c r="AD292" s="1"/>
  <c r="AB10" i="29"/>
  <c r="AB19" i="23"/>
  <c r="AC21"/>
  <c r="AH93" i="7"/>
  <c r="AP93" s="1"/>
  <c r="AK93"/>
  <c r="AL93" s="1"/>
  <c r="BH93" s="1"/>
  <c r="AO93"/>
  <c r="AF19" i="24"/>
  <c r="AG19" s="1"/>
  <c r="AG30" i="22"/>
  <c r="AH94" i="7"/>
  <c r="AP94" s="1"/>
  <c r="AO94"/>
  <c r="AK94"/>
  <c r="AL94" s="1"/>
  <c r="BH94" s="1"/>
  <c r="AJ19" i="24"/>
  <c r="AN30" i="22"/>
  <c r="AK30"/>
  <c r="X8" i="29"/>
  <c r="X43" s="1"/>
  <c r="Y292" i="7"/>
  <c r="Y52" i="14"/>
  <c r="Z83" i="7"/>
  <c r="Z292" s="1"/>
  <c r="AS70" i="1"/>
  <c r="AT70" s="1"/>
  <c r="AW70"/>
  <c r="AP70"/>
  <c r="AX70" s="1"/>
  <c r="AO54" i="13"/>
  <c r="AK53"/>
  <c r="AL54"/>
  <c r="AJ10" i="24"/>
  <c r="AN21" i="22"/>
  <c r="AJ19"/>
  <c r="AK21"/>
  <c r="AJ18" i="24"/>
  <c r="AN29" i="22"/>
  <c r="AK29"/>
  <c r="AJ20" i="24"/>
  <c r="AN31" i="22"/>
  <c r="AK31"/>
  <c r="AK95" i="7"/>
  <c r="AL95" s="1"/>
  <c r="BH95" s="1"/>
  <c r="AH95"/>
  <c r="AP95" s="1"/>
  <c r="AB11" i="29"/>
  <c r="AC22" i="23"/>
  <c r="X11" i="29"/>
  <c r="Y11" s="1"/>
  <c r="AF22" i="23"/>
  <c r="Y22"/>
  <c r="AH287" i="1"/>
  <c r="AH45"/>
  <c r="AO287"/>
  <c r="AO45"/>
  <c r="AW69"/>
  <c r="AS69"/>
  <c r="AP69"/>
  <c r="AF18" i="24"/>
  <c r="AG18" s="1"/>
  <c r="AG29" i="22"/>
  <c r="AW79" i="1"/>
  <c r="AS79"/>
  <c r="AT79" s="1"/>
  <c r="AP79"/>
  <c r="AX79" s="1"/>
  <c r="AF31" i="23"/>
  <c r="X19" i="34" l="1"/>
  <c r="X18" s="1"/>
  <c r="Y19" i="23"/>
  <c r="Y18" s="1"/>
  <c r="X45" i="29"/>
  <c r="Y8"/>
  <c r="Y43" s="1"/>
  <c r="Y45" s="1"/>
  <c r="AP287" i="1"/>
  <c r="AX69"/>
  <c r="AW287"/>
  <c r="AN22" i="23"/>
  <c r="AJ22"/>
  <c r="AK22" s="1"/>
  <c r="AG22"/>
  <c r="AO22" s="1"/>
  <c r="AN20" i="24"/>
  <c r="AK20"/>
  <c r="AV29" i="22"/>
  <c r="AR29"/>
  <c r="AS29" s="1"/>
  <c r="AO29"/>
  <c r="AW29" s="1"/>
  <c r="AN19"/>
  <c r="AR21"/>
  <c r="AS21" s="1"/>
  <c r="AV21"/>
  <c r="AO21"/>
  <c r="AW21" s="1"/>
  <c r="AO53" i="13"/>
  <c r="AS54"/>
  <c r="AT54" s="1"/>
  <c r="AP54"/>
  <c r="AX54" s="1"/>
  <c r="AW54" s="1"/>
  <c r="AV54" s="1"/>
  <c r="AU54" s="1"/>
  <c r="AN19" i="24"/>
  <c r="AK19"/>
  <c r="AF10" i="29"/>
  <c r="AC10"/>
  <c r="AC51" i="14"/>
  <c r="AC50" s="1"/>
  <c r="AC76" s="1"/>
  <c r="AD52"/>
  <c r="AV22" i="22"/>
  <c r="AR22"/>
  <c r="AS22" s="1"/>
  <c r="AO22"/>
  <c r="AW22" s="1"/>
  <c r="AF18"/>
  <c r="AF19" i="33"/>
  <c r="AF20" i="29"/>
  <c r="AC20"/>
  <c r="AK287" i="1"/>
  <c r="AN30" i="23"/>
  <c r="AJ30"/>
  <c r="AK30" s="1"/>
  <c r="AG30"/>
  <c r="AO30" s="1"/>
  <c r="AF19" i="29"/>
  <c r="AC19"/>
  <c r="AO21" i="23"/>
  <c r="AK21"/>
  <c r="AK19" i="22"/>
  <c r="AK18" s="1"/>
  <c r="AC19" i="23"/>
  <c r="AC18" s="1"/>
  <c r="AJ31"/>
  <c r="AK31" s="1"/>
  <c r="AG31"/>
  <c r="AO31" s="1"/>
  <c r="AS287" i="1"/>
  <c r="AT287" s="1"/>
  <c r="AT69"/>
  <c r="AS45"/>
  <c r="AT45" s="1"/>
  <c r="AW45"/>
  <c r="AP45"/>
  <c r="AX45" s="1"/>
  <c r="AF11" i="29"/>
  <c r="AC11"/>
  <c r="AV31" i="22"/>
  <c r="AR31"/>
  <c r="AS31" s="1"/>
  <c r="AO31"/>
  <c r="AW31" s="1"/>
  <c r="AN18" i="24"/>
  <c r="AK18"/>
  <c r="AJ18" i="22"/>
  <c r="AJ19" i="33"/>
  <c r="AN10" i="24"/>
  <c r="AJ8"/>
  <c r="AJ43" s="1"/>
  <c r="AK10"/>
  <c r="AL53" i="13"/>
  <c r="AG52" i="14"/>
  <c r="Y51"/>
  <c r="Z52"/>
  <c r="AR30" i="22"/>
  <c r="AS30" s="1"/>
  <c r="AV30"/>
  <c r="AO30"/>
  <c r="AW30" s="1"/>
  <c r="AB19" i="34"/>
  <c r="AB18" i="23"/>
  <c r="AG292" i="7"/>
  <c r="AO83"/>
  <c r="AK83"/>
  <c r="AH83"/>
  <c r="AN11" i="24"/>
  <c r="AK11"/>
  <c r="AF8"/>
  <c r="AF43" s="1"/>
  <c r="AG10"/>
  <c r="AG8" s="1"/>
  <c r="AG43" s="1"/>
  <c r="AH53" i="13"/>
  <c r="AJ29" i="23"/>
  <c r="AK29" s="1"/>
  <c r="AG29"/>
  <c r="AO29" s="1"/>
  <c r="AN29"/>
  <c r="AF18" i="29"/>
  <c r="AC18"/>
  <c r="AG19" i="22"/>
  <c r="AG18" s="1"/>
  <c r="AF19" i="23"/>
  <c r="Y19" i="34" l="1"/>
  <c r="AK8" i="24"/>
  <c r="AK43" s="1"/>
  <c r="AK45" s="1"/>
  <c r="AP83" i="7"/>
  <c r="AH292"/>
  <c r="AF19" i="34"/>
  <c r="AB18"/>
  <c r="AF18" s="1"/>
  <c r="AC19"/>
  <c r="Y18"/>
  <c r="AK52" i="14"/>
  <c r="AL52" s="1"/>
  <c r="AO52"/>
  <c r="AH52"/>
  <c r="AP52" s="1"/>
  <c r="AN19" i="33"/>
  <c r="AJ18"/>
  <c r="AK19"/>
  <c r="AN11" i="29"/>
  <c r="AJ11"/>
  <c r="AK11" s="1"/>
  <c r="AG11"/>
  <c r="AO11" s="1"/>
  <c r="AJ20"/>
  <c r="AK20" s="1"/>
  <c r="AG20"/>
  <c r="AO20" s="1"/>
  <c r="AF45" i="24"/>
  <c r="AC78" i="14"/>
  <c r="AF8" i="29"/>
  <c r="AJ10"/>
  <c r="AG10"/>
  <c r="AW53" i="13"/>
  <c r="AS53"/>
  <c r="AT53" s="1"/>
  <c r="AP53"/>
  <c r="AX53" s="1"/>
  <c r="AN18" i="22"/>
  <c r="AV19"/>
  <c r="AR19"/>
  <c r="AS19" s="1"/>
  <c r="BB19" s="1"/>
  <c r="AO19"/>
  <c r="AW19" s="1"/>
  <c r="AX287" i="1"/>
  <c r="AG45" i="24"/>
  <c r="AJ45"/>
  <c r="AB45" i="29"/>
  <c r="AK19" i="23"/>
  <c r="AG19"/>
  <c r="AN19"/>
  <c r="AF18"/>
  <c r="AN18" s="1"/>
  <c r="AN18" i="29"/>
  <c r="AJ18"/>
  <c r="AK18" s="1"/>
  <c r="AG18"/>
  <c r="AO18" s="1"/>
  <c r="AR11" i="24"/>
  <c r="AS11" s="1"/>
  <c r="AV11"/>
  <c r="AO11"/>
  <c r="AW11" s="1"/>
  <c r="AK292" i="7"/>
  <c r="AL83"/>
  <c r="AO292"/>
  <c r="Y50" i="14"/>
  <c r="AG51"/>
  <c r="AK51" s="1"/>
  <c r="AL51" s="1"/>
  <c r="AN8" i="24"/>
  <c r="AV10"/>
  <c r="AR10"/>
  <c r="AS10" s="1"/>
  <c r="AO10"/>
  <c r="AW10" s="1"/>
  <c r="AR18"/>
  <c r="AS18" s="1"/>
  <c r="AV18"/>
  <c r="AO18"/>
  <c r="AW18" s="1"/>
  <c r="AN19" i="29"/>
  <c r="AJ19"/>
  <c r="AK19" s="1"/>
  <c r="AG19"/>
  <c r="AO19" s="1"/>
  <c r="AJ287" i="1"/>
  <c r="AF18" i="33"/>
  <c r="AG19"/>
  <c r="AV19" i="24"/>
  <c r="AR19"/>
  <c r="AS19" s="1"/>
  <c r="AO19"/>
  <c r="AW19" s="1"/>
  <c r="AV20"/>
  <c r="AR20"/>
  <c r="AS20" s="1"/>
  <c r="AO20"/>
  <c r="AW20" s="1"/>
  <c r="AJ19" i="23"/>
  <c r="AJ18" s="1"/>
  <c r="AC8" i="29"/>
  <c r="AC43" s="1"/>
  <c r="AC45" s="1"/>
  <c r="AN43" i="24" l="1"/>
  <c r="AV8"/>
  <c r="AR8"/>
  <c r="AO8"/>
  <c r="Y76" i="14"/>
  <c r="AG50"/>
  <c r="AG18" i="23"/>
  <c r="AO18" s="1"/>
  <c r="AO19"/>
  <c r="AJ8" i="29"/>
  <c r="AJ43" s="1"/>
  <c r="AJ45" s="1"/>
  <c r="AK10"/>
  <c r="AK8" s="1"/>
  <c r="AK43" s="1"/>
  <c r="AN18" i="33"/>
  <c r="AK18"/>
  <c r="AC18" i="34"/>
  <c r="AP292" i="7"/>
  <c r="AG18" i="33"/>
  <c r="BH83" i="7"/>
  <c r="AL292"/>
  <c r="AP19" i="23"/>
  <c r="AK18"/>
  <c r="AO18" i="22"/>
  <c r="AR18"/>
  <c r="AV18"/>
  <c r="AG8" i="29"/>
  <c r="AO10"/>
  <c r="AF43"/>
  <c r="AN8"/>
  <c r="AR19" i="33"/>
  <c r="AS19" s="1"/>
  <c r="AV19"/>
  <c r="AO19"/>
  <c r="AW19" s="1"/>
  <c r="AN18" i="34"/>
  <c r="AJ18"/>
  <c r="AK18" s="1"/>
  <c r="AG18"/>
  <c r="AO18" s="1"/>
  <c r="AN19"/>
  <c r="AJ19"/>
  <c r="AK19" s="1"/>
  <c r="AG19"/>
  <c r="AO19" s="1"/>
  <c r="AP18" l="1"/>
  <c r="AF45" i="29"/>
  <c r="AN43"/>
  <c r="AN45" s="1"/>
  <c r="AO8"/>
  <c r="AG43"/>
  <c r="AS18" i="22"/>
  <c r="BH292" i="7"/>
  <c r="AV18" i="33"/>
  <c r="AR18"/>
  <c r="AS18" s="1"/>
  <c r="AO18"/>
  <c r="AW18" s="1"/>
  <c r="AG76" i="14"/>
  <c r="AK50"/>
  <c r="AK76" s="1"/>
  <c r="AO43" i="24"/>
  <c r="AW43" s="1"/>
  <c r="AW8"/>
  <c r="AK45" i="29"/>
  <c r="AW18" i="22"/>
  <c r="Y78" i="14"/>
  <c r="AR43" i="24"/>
  <c r="AR45" s="1"/>
  <c r="AS8"/>
  <c r="AS43" s="1"/>
  <c r="AS45" s="1"/>
  <c r="AN45"/>
  <c r="AV43"/>
  <c r="AV45" s="1"/>
  <c r="AO45" l="1"/>
  <c r="AG78" i="14"/>
  <c r="AG45" i="29"/>
  <c r="AO43"/>
  <c r="AO45" s="1"/>
  <c r="AW45" i="24"/>
  <c r="AK78" i="14"/>
  <c r="J375" i="15" l="1"/>
  <c r="M309"/>
  <c r="M313" l="1"/>
  <c r="M355"/>
  <c r="I375"/>
  <c r="M375" s="1"/>
  <c r="J379" l="1"/>
  <c r="I379"/>
  <c r="M379" s="1"/>
  <c r="M359"/>
  <c r="X198" i="1" l="1"/>
  <c r="W102" i="22" l="1"/>
  <c r="AB198" i="1"/>
  <c r="Z198"/>
  <c r="X195"/>
  <c r="W25" i="26" l="1"/>
  <c r="Y102" i="22"/>
  <c r="W101"/>
  <c r="Z195" i="1"/>
  <c r="AB195"/>
  <c r="X69" i="13"/>
  <c r="AA102" i="22"/>
  <c r="AD198" i="1"/>
  <c r="AA25" i="26"/>
  <c r="AR198" i="1"/>
  <c r="AV198"/>
  <c r="AD195" l="1"/>
  <c r="AX195" s="1"/>
  <c r="AV195"/>
  <c r="AR195"/>
  <c r="AT195" s="1"/>
  <c r="AT198"/>
  <c r="BD198" s="1"/>
  <c r="AX198"/>
  <c r="AD288"/>
  <c r="AC25" i="26"/>
  <c r="AW25" s="1"/>
  <c r="AA24"/>
  <c r="AQ25"/>
  <c r="AS25" s="1"/>
  <c r="AU25"/>
  <c r="AA101" i="22"/>
  <c r="AC102"/>
  <c r="AW102" s="1"/>
  <c r="AU102"/>
  <c r="AQ102"/>
  <c r="AS102" s="1"/>
  <c r="AB69" i="13"/>
  <c r="Z69"/>
  <c r="X66"/>
  <c r="W34" i="33"/>
  <c r="Y101" i="22"/>
  <c r="W84"/>
  <c r="Y25" i="26"/>
  <c r="W24"/>
  <c r="AX288" i="1" l="1"/>
  <c r="AC24" i="26"/>
  <c r="AA28"/>
  <c r="AQ24"/>
  <c r="AU24"/>
  <c r="Y24"/>
  <c r="Y28" s="1"/>
  <c r="W28"/>
  <c r="W30" s="1"/>
  <c r="Y84" i="22"/>
  <c r="AA34" i="33"/>
  <c r="Y34"/>
  <c r="W31"/>
  <c r="Z66" i="13"/>
  <c r="AB66"/>
  <c r="AD69"/>
  <c r="AX69" s="1"/>
  <c r="AR69"/>
  <c r="AV69"/>
  <c r="AU69" s="1"/>
  <c r="AC101" i="22"/>
  <c r="AW101" s="1"/>
  <c r="AA84"/>
  <c r="AU101"/>
  <c r="AQ101"/>
  <c r="AS101" s="1"/>
  <c r="BB101" s="1"/>
  <c r="AC84" l="1"/>
  <c r="AW84" s="1"/>
  <c r="AQ84"/>
  <c r="AS84" s="1"/>
  <c r="AU84"/>
  <c r="AD66" i="13"/>
  <c r="AX66" s="1"/>
  <c r="AV66"/>
  <c r="AA31" i="33"/>
  <c r="Y31"/>
  <c r="AC34"/>
  <c r="AW34" s="1"/>
  <c r="AU34"/>
  <c r="AQ34"/>
  <c r="AQ28" i="26"/>
  <c r="AQ30" s="1"/>
  <c r="AS24"/>
  <c r="AS28" s="1"/>
  <c r="AC28"/>
  <c r="AW24"/>
  <c r="Y30"/>
  <c r="AR66" i="13"/>
  <c r="AT69"/>
  <c r="AT66" s="1"/>
  <c r="AA30" i="26"/>
  <c r="AU28"/>
  <c r="AU30" s="1"/>
  <c r="AC30" l="1"/>
  <c r="AW28"/>
  <c r="AW30" s="1"/>
  <c r="AC31" i="33"/>
  <c r="AW31" s="1"/>
  <c r="AU31"/>
  <c r="AQ31"/>
  <c r="AS34"/>
  <c r="AS31" s="1"/>
  <c r="AS30" i="26"/>
  <c r="L1032" i="11" l="1"/>
  <c r="L1043"/>
  <c r="Y183" i="7" s="1"/>
  <c r="X137" i="23" s="1"/>
  <c r="H1032" i="11"/>
  <c r="H1043"/>
  <c r="G1032"/>
  <c r="G1043"/>
  <c r="L1387" i="8"/>
  <c r="L1402"/>
  <c r="AK248" i="1" s="1"/>
  <c r="AJ137" i="22" s="1"/>
  <c r="L1371" i="8"/>
  <c r="K1371"/>
  <c r="J1378"/>
  <c r="H1387"/>
  <c r="H1402"/>
  <c r="H1371"/>
  <c r="G1387"/>
  <c r="G1402"/>
  <c r="F1409"/>
  <c r="F1378"/>
  <c r="L1386"/>
  <c r="L1401"/>
  <c r="J1386"/>
  <c r="H1386"/>
  <c r="H1401"/>
  <c r="F1401"/>
  <c r="F1403" l="1"/>
  <c r="BP248" i="1"/>
  <c r="BT248" s="1"/>
  <c r="H1388" i="8"/>
  <c r="H1735"/>
  <c r="H1417"/>
  <c r="P1386"/>
  <c r="U1386"/>
  <c r="BR247" i="1"/>
  <c r="BV247" s="1"/>
  <c r="L1403" i="8"/>
  <c r="L1413" s="1"/>
  <c r="AG248" i="1"/>
  <c r="S1378" i="8"/>
  <c r="F1376"/>
  <c r="N1378"/>
  <c r="Q1378" s="1"/>
  <c r="F1805"/>
  <c r="I1378"/>
  <c r="I1387"/>
  <c r="G1736"/>
  <c r="X247" i="1"/>
  <c r="U1402" i="8"/>
  <c r="P1402"/>
  <c r="Y248" i="1"/>
  <c r="M1378" i="8"/>
  <c r="M1376" s="1"/>
  <c r="J1376"/>
  <c r="J1382" s="1"/>
  <c r="J1805"/>
  <c r="L1418"/>
  <c r="L1732"/>
  <c r="L1372"/>
  <c r="L1382" s="1"/>
  <c r="AK245" i="1"/>
  <c r="L1736" i="8"/>
  <c r="AK247" i="1"/>
  <c r="T1032" i="11"/>
  <c r="G1055"/>
  <c r="G1309"/>
  <c r="I1032"/>
  <c r="V1032" s="1"/>
  <c r="BM182" i="7"/>
  <c r="U1043" i="11"/>
  <c r="P1043"/>
  <c r="BN183" i="7"/>
  <c r="BR183" s="1"/>
  <c r="L1309" i="11"/>
  <c r="L1055"/>
  <c r="Y182" i="7"/>
  <c r="H1403" i="8"/>
  <c r="P1401"/>
  <c r="U1401"/>
  <c r="BR248" i="1"/>
  <c r="BV248" s="1"/>
  <c r="J1388" i="8"/>
  <c r="AE247" i="1"/>
  <c r="L1388" i="8"/>
  <c r="L1398" s="1"/>
  <c r="L1735"/>
  <c r="L1417"/>
  <c r="AG247" i="1"/>
  <c r="I1409" i="8"/>
  <c r="F1407"/>
  <c r="I1402"/>
  <c r="X248" i="1"/>
  <c r="H1418" i="8"/>
  <c r="H1732"/>
  <c r="P1371"/>
  <c r="U1371"/>
  <c r="H1372"/>
  <c r="Y245" i="1"/>
  <c r="U1387" i="8"/>
  <c r="H1736"/>
  <c r="P1387"/>
  <c r="Y247" i="1"/>
  <c r="K1732" i="8"/>
  <c r="M1371"/>
  <c r="M1372" s="1"/>
  <c r="K1372"/>
  <c r="K1382" s="1"/>
  <c r="AJ245" i="1"/>
  <c r="AJ38" i="27"/>
  <c r="I1043" i="11"/>
  <c r="BM183" i="7"/>
  <c r="BQ183" s="1"/>
  <c r="U1032" i="11"/>
  <c r="H1055"/>
  <c r="P1032"/>
  <c r="H1309"/>
  <c r="BN182" i="7"/>
  <c r="X38" i="31"/>
  <c r="K1402" i="8"/>
  <c r="G1386"/>
  <c r="K1387"/>
  <c r="K1386"/>
  <c r="K1401"/>
  <c r="K1032" i="11"/>
  <c r="O1032" s="1"/>
  <c r="G1401" i="8"/>
  <c r="F1394"/>
  <c r="K1043" i="11"/>
  <c r="O1043" s="1"/>
  <c r="Q1043" s="1"/>
  <c r="L1419" i="8" l="1"/>
  <c r="L1429" s="1"/>
  <c r="L1414"/>
  <c r="Q1032" i="11"/>
  <c r="T1043"/>
  <c r="G1403" i="8"/>
  <c r="O1401"/>
  <c r="T1401"/>
  <c r="BQ248" i="1"/>
  <c r="BU248" s="1"/>
  <c r="K1403" i="8"/>
  <c r="K1413" s="1"/>
  <c r="AF248" i="1"/>
  <c r="K1388" i="8"/>
  <c r="K1398" s="1"/>
  <c r="K1414" s="1"/>
  <c r="K1735"/>
  <c r="K1417"/>
  <c r="AF247" i="1"/>
  <c r="M1387" i="8"/>
  <c r="V1387" s="1"/>
  <c r="K1736"/>
  <c r="M1736" s="1"/>
  <c r="AJ247" i="1"/>
  <c r="M1402" i="8"/>
  <c r="AJ248" i="1"/>
  <c r="U1309" i="11"/>
  <c r="P1309"/>
  <c r="H1376"/>
  <c r="E275" i="7"/>
  <c r="U1055" i="11"/>
  <c r="P1055"/>
  <c r="AI135" i="22"/>
  <c r="AL245" i="1"/>
  <c r="AN245"/>
  <c r="AJ242"/>
  <c r="AJ288"/>
  <c r="U1372" i="8"/>
  <c r="H1382"/>
  <c r="P1372"/>
  <c r="U1418"/>
  <c r="P1418"/>
  <c r="I1407"/>
  <c r="X136" i="23"/>
  <c r="Y181" i="7"/>
  <c r="L1376" i="11"/>
  <c r="BQ182" i="7"/>
  <c r="BM181"/>
  <c r="BQ181" s="1"/>
  <c r="I1055" i="11"/>
  <c r="AJ136" i="22"/>
  <c r="AK289" i="1"/>
  <c r="AJ135" i="22"/>
  <c r="AO245" i="1"/>
  <c r="AK242"/>
  <c r="AK288"/>
  <c r="AK290" s="1"/>
  <c r="AK291" s="1"/>
  <c r="L1727" i="8"/>
  <c r="L1864"/>
  <c r="M1805"/>
  <c r="M1806" s="1"/>
  <c r="M1803" s="1"/>
  <c r="M1799" s="1"/>
  <c r="J1806"/>
  <c r="W136" i="22"/>
  <c r="AB247" i="1"/>
  <c r="Z247"/>
  <c r="X289"/>
  <c r="F1806" i="8"/>
  <c r="I1805"/>
  <c r="N1805"/>
  <c r="S1805"/>
  <c r="S1376"/>
  <c r="N1376"/>
  <c r="Q1376" s="1"/>
  <c r="F1382"/>
  <c r="AF137" i="22"/>
  <c r="AO248" i="1"/>
  <c r="U1735" i="8"/>
  <c r="H1734"/>
  <c r="P1735"/>
  <c r="H1863"/>
  <c r="Q269" i="1"/>
  <c r="Q291"/>
  <c r="K1418" i="8"/>
  <c r="M1418" s="1"/>
  <c r="O1402"/>
  <c r="Q1402" s="1"/>
  <c r="T1402"/>
  <c r="M1386"/>
  <c r="M1388" s="1"/>
  <c r="M1382"/>
  <c r="O1387"/>
  <c r="Q1387" s="1"/>
  <c r="BV267" i="1"/>
  <c r="I1401" i="8"/>
  <c r="M1043" i="11"/>
  <c r="V1043" s="1"/>
  <c r="X183" i="7"/>
  <c r="F1392" i="8"/>
  <c r="I1394"/>
  <c r="F1818"/>
  <c r="F1896" s="1"/>
  <c r="F1425"/>
  <c r="M1032" i="11"/>
  <c r="K1309"/>
  <c r="K1055"/>
  <c r="M1055" s="1"/>
  <c r="X182" i="7"/>
  <c r="G1388" i="8"/>
  <c r="G1735"/>
  <c r="G1417"/>
  <c r="O1386"/>
  <c r="T1386"/>
  <c r="BQ247" i="1"/>
  <c r="BU247" s="1"/>
  <c r="BU267" s="1"/>
  <c r="BR182" i="7"/>
  <c r="BN181"/>
  <c r="BR181" s="1"/>
  <c r="K1727" i="8"/>
  <c r="K1905" s="1"/>
  <c r="M1732"/>
  <c r="M1727" s="1"/>
  <c r="K1864"/>
  <c r="M1864" s="1"/>
  <c r="X136" i="22"/>
  <c r="AC247" i="1"/>
  <c r="Y289"/>
  <c r="P1736" i="8"/>
  <c r="U1736"/>
  <c r="X135" i="22"/>
  <c r="AC245" i="1"/>
  <c r="Y242"/>
  <c r="Y288"/>
  <c r="Y290" s="1"/>
  <c r="Y291" s="1"/>
  <c r="U1732" i="8"/>
  <c r="P1732"/>
  <c r="P1727" s="1"/>
  <c r="H1894"/>
  <c r="H1727"/>
  <c r="H1864"/>
  <c r="H1896"/>
  <c r="W137" i="22"/>
  <c r="AB248" i="1"/>
  <c r="Z248"/>
  <c r="AF136" i="22"/>
  <c r="AO247" i="1"/>
  <c r="AO289" s="1"/>
  <c r="AG242"/>
  <c r="AG289"/>
  <c r="AG290" s="1"/>
  <c r="AG291" s="1"/>
  <c r="L1734" i="8"/>
  <c r="L1904" s="1"/>
  <c r="L1863"/>
  <c r="AD136" i="22"/>
  <c r="AM247" i="1"/>
  <c r="AH247"/>
  <c r="U1403" i="8"/>
  <c r="H1413"/>
  <c r="P1403"/>
  <c r="T1309" i="11"/>
  <c r="O1309"/>
  <c r="I1309"/>
  <c r="G1376"/>
  <c r="D275" i="7"/>
  <c r="X137" i="22"/>
  <c r="AC248" i="1"/>
  <c r="T1736" i="8"/>
  <c r="O1736"/>
  <c r="I1736"/>
  <c r="V1736" s="1"/>
  <c r="V1378"/>
  <c r="I1376"/>
  <c r="V1376" s="1"/>
  <c r="U1417"/>
  <c r="H1419"/>
  <c r="P1417"/>
  <c r="U1388"/>
  <c r="H1398"/>
  <c r="P1388"/>
  <c r="F1413"/>
  <c r="K1873"/>
  <c r="V1402"/>
  <c r="L1873"/>
  <c r="T1387"/>
  <c r="J1394"/>
  <c r="N1394" s="1"/>
  <c r="Q1394" s="1"/>
  <c r="J1409"/>
  <c r="F1386"/>
  <c r="J1401"/>
  <c r="Q1736" l="1"/>
  <c r="M1905"/>
  <c r="F1900"/>
  <c r="F1898"/>
  <c r="AS248" i="1"/>
  <c r="AW248"/>
  <c r="F275" i="7"/>
  <c r="P1413" i="8"/>
  <c r="U1413"/>
  <c r="AB135" i="22"/>
  <c r="AS245" i="1"/>
  <c r="AS288" s="1"/>
  <c r="AW245"/>
  <c r="AC288"/>
  <c r="Y136" i="22"/>
  <c r="X37" i="27"/>
  <c r="AB37" s="1"/>
  <c r="AB136" i="22"/>
  <c r="M1401" i="8"/>
  <c r="M1403" s="1"/>
  <c r="J1403"/>
  <c r="AE248" i="1"/>
  <c r="N1401" i="8"/>
  <c r="Q1401" s="1"/>
  <c r="J1417"/>
  <c r="S1401"/>
  <c r="J1735"/>
  <c r="M1409"/>
  <c r="J1407"/>
  <c r="S1409"/>
  <c r="N1409"/>
  <c r="Q1409" s="1"/>
  <c r="P1419"/>
  <c r="H1429"/>
  <c r="U1419"/>
  <c r="X38" i="27"/>
  <c r="AB38" s="1"/>
  <c r="AB137" i="22"/>
  <c r="I1376" i="11"/>
  <c r="D296" i="7"/>
  <c r="Q1309" i="11"/>
  <c r="AU247" i="1"/>
  <c r="AQ247"/>
  <c r="U1863" i="8"/>
  <c r="L1866"/>
  <c r="L1871" s="1"/>
  <c r="W38" i="27"/>
  <c r="Y137" i="22"/>
  <c r="AA137"/>
  <c r="P1864" i="8"/>
  <c r="U1864"/>
  <c r="AC242" i="1"/>
  <c r="Y76" i="13"/>
  <c r="Y97" i="1"/>
  <c r="X36" i="27"/>
  <c r="X134" i="22"/>
  <c r="AS247" i="1"/>
  <c r="AC289"/>
  <c r="AW289" s="1"/>
  <c r="T1417" i="8"/>
  <c r="O1417"/>
  <c r="G1398"/>
  <c r="O1388"/>
  <c r="T1388"/>
  <c r="F1423"/>
  <c r="I1425"/>
  <c r="H1866"/>
  <c r="P1863"/>
  <c r="U1734"/>
  <c r="H1904"/>
  <c r="N1382"/>
  <c r="S1382"/>
  <c r="V1805"/>
  <c r="I1806"/>
  <c r="AD247" i="1"/>
  <c r="AB289"/>
  <c r="L1829" i="8"/>
  <c r="L1831" s="1"/>
  <c r="L1737"/>
  <c r="L1824" s="1"/>
  <c r="L1905"/>
  <c r="AK76" i="13"/>
  <c r="AK97" i="1"/>
  <c r="AK250" s="1"/>
  <c r="AK251" s="1"/>
  <c r="AK267" s="1"/>
  <c r="AJ36" i="27"/>
  <c r="AJ134" i="22"/>
  <c r="AJ37" i="27"/>
  <c r="AN136" i="22"/>
  <c r="X35" i="31"/>
  <c r="X39" s="1"/>
  <c r="Y322" i="7"/>
  <c r="Y97"/>
  <c r="AJ76" i="13"/>
  <c r="AJ71" s="1"/>
  <c r="AJ52" s="1"/>
  <c r="AJ97" i="1"/>
  <c r="AJ250" s="1"/>
  <c r="AJ251" s="1"/>
  <c r="AJ267" s="1"/>
  <c r="AK135" i="22"/>
  <c r="AI137"/>
  <c r="AL248" i="1"/>
  <c r="AI136" i="22"/>
  <c r="AL247" i="1"/>
  <c r="AL242" s="1"/>
  <c r="AL97" s="1"/>
  <c r="AJ289"/>
  <c r="G1413" i="8"/>
  <c r="O1403"/>
  <c r="T1403"/>
  <c r="Z289" i="1"/>
  <c r="V1055" i="11"/>
  <c r="K1419" i="8"/>
  <c r="K1429" s="1"/>
  <c r="F1388"/>
  <c r="I1386"/>
  <c r="F1735"/>
  <c r="F1417"/>
  <c r="N1386"/>
  <c r="Q1386" s="1"/>
  <c r="S1386"/>
  <c r="BP247" i="1"/>
  <c r="BT247" s="1"/>
  <c r="BT267" s="1"/>
  <c r="J1392" i="8"/>
  <c r="J1398" s="1"/>
  <c r="J1818"/>
  <c r="N1818" s="1"/>
  <c r="J1425"/>
  <c r="N1425" s="1"/>
  <c r="Q1425" s="1"/>
  <c r="M1394"/>
  <c r="M1392" s="1"/>
  <c r="M1398" s="1"/>
  <c r="H1414"/>
  <c r="U1398"/>
  <c r="P1398"/>
  <c r="AD37" i="27"/>
  <c r="AL136" i="22"/>
  <c r="AG76" i="13"/>
  <c r="AG71" s="1"/>
  <c r="AG52" s="1"/>
  <c r="AG78" s="1"/>
  <c r="AG97" i="1"/>
  <c r="AG250" s="1"/>
  <c r="AG251" s="1"/>
  <c r="AG267" s="1"/>
  <c r="AF37" i="27"/>
  <c r="AF134" i="22"/>
  <c r="AD248" i="1"/>
  <c r="H1898" i="8"/>
  <c r="H1900"/>
  <c r="U1727"/>
  <c r="H1737"/>
  <c r="H1829"/>
  <c r="H1905"/>
  <c r="P1905"/>
  <c r="O1735"/>
  <c r="O1734" s="1"/>
  <c r="O1904" s="1"/>
  <c r="T1735"/>
  <c r="G1734"/>
  <c r="G1863"/>
  <c r="P269" i="1"/>
  <c r="P291"/>
  <c r="W136" i="23"/>
  <c r="Z182" i="7"/>
  <c r="X181"/>
  <c r="M1309" i="11"/>
  <c r="F1819" i="8"/>
  <c r="I1818"/>
  <c r="I1392"/>
  <c r="W137" i="23"/>
  <c r="Z183" i="7"/>
  <c r="I1403" i="8"/>
  <c r="AF38" i="27"/>
  <c r="AN38" s="1"/>
  <c r="AN137" i="22"/>
  <c r="N1806" i="8"/>
  <c r="N1803" s="1"/>
  <c r="N1799" s="1"/>
  <c r="N1905" s="1"/>
  <c r="Q1805"/>
  <c r="Q1806" s="1"/>
  <c r="Q1803" s="1"/>
  <c r="Q1799" s="1"/>
  <c r="F1803"/>
  <c r="S1806"/>
  <c r="W37" i="27"/>
  <c r="AA136" i="22"/>
  <c r="J1803" i="8"/>
  <c r="J1799" s="1"/>
  <c r="AO242" i="1"/>
  <c r="AO97" s="1"/>
  <c r="AN135" i="22"/>
  <c r="AO288" i="1"/>
  <c r="X37" i="31"/>
  <c r="X134" i="23"/>
  <c r="U1382" i="8"/>
  <c r="P1382"/>
  <c r="P1873" s="1"/>
  <c r="H1873"/>
  <c r="AP245" i="1"/>
  <c r="AM135" i="22"/>
  <c r="AN288" i="1"/>
  <c r="AI134" i="22"/>
  <c r="AI36" i="27"/>
  <c r="U1376" i="11"/>
  <c r="P1376"/>
  <c r="E296" i="7"/>
  <c r="AE136" i="22"/>
  <c r="AG136" s="1"/>
  <c r="BF247" i="1"/>
  <c r="AN247"/>
  <c r="AP247" s="1"/>
  <c r="AF242"/>
  <c r="AF289"/>
  <c r="AE137" i="22"/>
  <c r="BF248" i="1"/>
  <c r="AN248"/>
  <c r="AR248" s="1"/>
  <c r="L1907" i="8"/>
  <c r="S1394"/>
  <c r="M1873"/>
  <c r="L1874"/>
  <c r="P1734"/>
  <c r="P1904" s="1"/>
  <c r="F1894"/>
  <c r="F1870"/>
  <c r="O1055" i="11"/>
  <c r="Q1055" s="1"/>
  <c r="T1055"/>
  <c r="AJ290" i="1"/>
  <c r="AJ291" s="1"/>
  <c r="K1734" i="8"/>
  <c r="K1904" s="1"/>
  <c r="V1401" l="1"/>
  <c r="AS289" i="1"/>
  <c r="P1907" i="8"/>
  <c r="V1394"/>
  <c r="AG80" i="13"/>
  <c r="AL289" i="1"/>
  <c r="AL290" s="1"/>
  <c r="AL291" s="1"/>
  <c r="AL250"/>
  <c r="AL251" s="1"/>
  <c r="AL267" s="1"/>
  <c r="AL269" s="1"/>
  <c r="BF242"/>
  <c r="AF76" i="13"/>
  <c r="AF97" i="1"/>
  <c r="BF97" s="1"/>
  <c r="AK36" i="27"/>
  <c r="AM36"/>
  <c r="X41" i="34"/>
  <c r="X36" s="1"/>
  <c r="X17" s="1"/>
  <c r="X106" i="23"/>
  <c r="AO250" i="1"/>
  <c r="AO251" s="1"/>
  <c r="AO267" s="1"/>
  <c r="J1905" i="8"/>
  <c r="J1873"/>
  <c r="Y37" i="27"/>
  <c r="AA37"/>
  <c r="I1413" i="8"/>
  <c r="V1403"/>
  <c r="N1819"/>
  <c r="N1816" s="1"/>
  <c r="N1811" s="1"/>
  <c r="Q1818"/>
  <c r="Q1819" s="1"/>
  <c r="Q1816" s="1"/>
  <c r="Q1811" s="1"/>
  <c r="F1816"/>
  <c r="W35" i="31"/>
  <c r="W39" s="1"/>
  <c r="X322" i="7"/>
  <c r="Z181"/>
  <c r="Z322" s="1"/>
  <c r="X97"/>
  <c r="W37" i="31"/>
  <c r="Y37" s="1"/>
  <c r="W134" i="23"/>
  <c r="Y136"/>
  <c r="T1734" i="8"/>
  <c r="G1904"/>
  <c r="U1737"/>
  <c r="H1824"/>
  <c r="U1824" s="1"/>
  <c r="AN37" i="27"/>
  <c r="AF35"/>
  <c r="AT136" i="22"/>
  <c r="AP136"/>
  <c r="M1818" i="8"/>
  <c r="M1819" s="1"/>
  <c r="M1816" s="1"/>
  <c r="M1811" s="1"/>
  <c r="J1819"/>
  <c r="S1819" s="1"/>
  <c r="J1870"/>
  <c r="M1870" s="1"/>
  <c r="S1735"/>
  <c r="F1734"/>
  <c r="N1735"/>
  <c r="I1735"/>
  <c r="F1863"/>
  <c r="O269" i="1"/>
  <c r="O291"/>
  <c r="R291" s="1"/>
  <c r="F1398" i="8"/>
  <c r="N1388"/>
  <c r="Q1388" s="1"/>
  <c r="S1388"/>
  <c r="AI37" i="27"/>
  <c r="AK37" s="1"/>
  <c r="AM136" i="22"/>
  <c r="AO136" s="1"/>
  <c r="AK136"/>
  <c r="AK134" s="1"/>
  <c r="AK106" s="1"/>
  <c r="AI38" i="27"/>
  <c r="AK38" s="1"/>
  <c r="AK137" i="22"/>
  <c r="AM137"/>
  <c r="AJ78" i="13"/>
  <c r="AJ80" s="1"/>
  <c r="AJ41" i="33"/>
  <c r="AJ36" s="1"/>
  <c r="AJ17" s="1"/>
  <c r="AJ106" i="22"/>
  <c r="AJ17" s="1"/>
  <c r="AK269" i="1"/>
  <c r="AK292"/>
  <c r="L1850" i="8"/>
  <c r="L1878" s="1"/>
  <c r="H8" i="32"/>
  <c r="H7" s="1"/>
  <c r="I1423" i="8"/>
  <c r="G1414"/>
  <c r="T1398"/>
  <c r="O1398"/>
  <c r="X41" i="33"/>
  <c r="X106" i="22"/>
  <c r="X17" s="1"/>
  <c r="AC97" i="1"/>
  <c r="AS97" s="1"/>
  <c r="Y250"/>
  <c r="AW242"/>
  <c r="AS242"/>
  <c r="AR137" i="22"/>
  <c r="AV137"/>
  <c r="S1407" i="8"/>
  <c r="N1407"/>
  <c r="Q1407" s="1"/>
  <c r="M1735"/>
  <c r="M1734" s="1"/>
  <c r="M1904" s="1"/>
  <c r="J1734"/>
  <c r="J1419"/>
  <c r="M1417"/>
  <c r="M1419" s="1"/>
  <c r="AD137" i="22"/>
  <c r="AH248" i="1"/>
  <c r="AH242" s="1"/>
  <c r="AH97" s="1"/>
  <c r="AH289" s="1"/>
  <c r="AM248"/>
  <c r="AE289"/>
  <c r="AE242"/>
  <c r="AR37" i="27"/>
  <c r="AV37"/>
  <c r="L1908" i="8"/>
  <c r="P1829"/>
  <c r="P1831" s="1"/>
  <c r="P1850" s="1"/>
  <c r="AV248" i="1"/>
  <c r="AX247"/>
  <c r="AW247" s="1"/>
  <c r="AR247"/>
  <c r="AR289" s="1"/>
  <c r="H1907" i="8"/>
  <c r="N1392"/>
  <c r="Q1392" s="1"/>
  <c r="L1891"/>
  <c r="AC290" i="1"/>
  <c r="V1309" i="11"/>
  <c r="N1870" i="8"/>
  <c r="Q1870" s="1"/>
  <c r="S1870"/>
  <c r="I1870"/>
  <c r="V1870" s="1"/>
  <c r="AE38" i="27"/>
  <c r="AM38" s="1"/>
  <c r="BF137" i="22"/>
  <c r="AW288" i="1"/>
  <c r="AO290"/>
  <c r="AO291" s="1"/>
  <c r="AE37" i="27"/>
  <c r="BF136" i="22"/>
  <c r="AE134"/>
  <c r="AI41" i="33"/>
  <c r="AI106" i="22"/>
  <c r="AI17" s="1"/>
  <c r="AM134"/>
  <c r="AM106" s="1"/>
  <c r="AO135"/>
  <c r="AQ136"/>
  <c r="AC136"/>
  <c r="AU136"/>
  <c r="S1803" i="8"/>
  <c r="F1799"/>
  <c r="W38" i="31"/>
  <c r="Y137" i="23"/>
  <c r="V1818" i="8"/>
  <c r="I1819"/>
  <c r="H1831"/>
  <c r="U1829"/>
  <c r="AF41" i="33"/>
  <c r="AF106" i="22"/>
  <c r="AF17" s="1"/>
  <c r="AG269" i="1"/>
  <c r="AG292"/>
  <c r="AG37" i="27"/>
  <c r="AL37"/>
  <c r="P1414" i="8"/>
  <c r="P1874" s="1"/>
  <c r="U1414"/>
  <c r="H1874"/>
  <c r="M1425"/>
  <c r="M1423" s="1"/>
  <c r="J1423"/>
  <c r="J1429" s="1"/>
  <c r="S1417"/>
  <c r="I1417"/>
  <c r="F1419"/>
  <c r="N1417"/>
  <c r="Q1417" s="1"/>
  <c r="I1388"/>
  <c r="V1386"/>
  <c r="O1413"/>
  <c r="T1413"/>
  <c r="AJ269" i="1"/>
  <c r="AJ292"/>
  <c r="Y294" i="7"/>
  <c r="Y295" s="1"/>
  <c r="Y296" s="1"/>
  <c r="Y185"/>
  <c r="Y267" s="1"/>
  <c r="AJ35" i="27"/>
  <c r="AJ39" s="1"/>
  <c r="AN36"/>
  <c r="AO76" i="13"/>
  <c r="AO71" s="1"/>
  <c r="AK71"/>
  <c r="I1803" i="8"/>
  <c r="V1806"/>
  <c r="N1873"/>
  <c r="U1866"/>
  <c r="H1871"/>
  <c r="P1866"/>
  <c r="P1871" s="1"/>
  <c r="F1429"/>
  <c r="S1423"/>
  <c r="AB36" i="27"/>
  <c r="X35"/>
  <c r="AC76" i="13"/>
  <c r="Y71"/>
  <c r="AQ137" i="22"/>
  <c r="AU137"/>
  <c r="AC137"/>
  <c r="Y38" i="27"/>
  <c r="AA38"/>
  <c r="F296" i="7"/>
  <c r="AR38" i="27"/>
  <c r="AV38"/>
  <c r="U1429" i="8"/>
  <c r="P1429"/>
  <c r="M1407"/>
  <c r="V1407" s="1"/>
  <c r="V1409"/>
  <c r="J1413"/>
  <c r="S1403"/>
  <c r="N1403"/>
  <c r="Q1403" s="1"/>
  <c r="AR136" i="22"/>
  <c r="AV136"/>
  <c r="AR135"/>
  <c r="AV135"/>
  <c r="AB134"/>
  <c r="AN242" i="1"/>
  <c r="AN97" s="1"/>
  <c r="AN289"/>
  <c r="AV289" s="1"/>
  <c r="AN134" i="22"/>
  <c r="AN106" s="1"/>
  <c r="F1843" i="8"/>
  <c r="V1392"/>
  <c r="S1818"/>
  <c r="P1737"/>
  <c r="P1824" s="1"/>
  <c r="K1874"/>
  <c r="AV247" i="1"/>
  <c r="S1392" i="8"/>
  <c r="S1425"/>
  <c r="AJ41" i="27" l="1"/>
  <c r="M1429" i="8"/>
  <c r="P1908"/>
  <c r="AR134" i="22"/>
  <c r="AV134"/>
  <c r="AB106"/>
  <c r="AC38" i="27"/>
  <c r="AU38"/>
  <c r="AQ38"/>
  <c r="AW76" i="13"/>
  <c r="AS76"/>
  <c r="AR36" i="27"/>
  <c r="AV36"/>
  <c r="V1803" i="8"/>
  <c r="I1799"/>
  <c r="V1799" s="1"/>
  <c r="AO52" i="13"/>
  <c r="AO78" s="1"/>
  <c r="AO80" s="1"/>
  <c r="I1398" i="8"/>
  <c r="V1398" s="1"/>
  <c r="V1388"/>
  <c r="N1419"/>
  <c r="S1419"/>
  <c r="AN41" i="33"/>
  <c r="AN36" s="1"/>
  <c r="AF36"/>
  <c r="AF17" s="1"/>
  <c r="U1831" i="8"/>
  <c r="H1850"/>
  <c r="D8" i="32"/>
  <c r="S1799" i="8"/>
  <c r="F1905"/>
  <c r="F1873"/>
  <c r="AK41" i="33"/>
  <c r="AI36"/>
  <c r="AC291" i="1"/>
  <c r="AS290"/>
  <c r="AS291" s="1"/>
  <c r="AW290"/>
  <c r="AW291" s="1"/>
  <c r="AE76" i="13"/>
  <c r="AE97" i="1"/>
  <c r="AU248"/>
  <c r="AP248"/>
  <c r="AX248" s="1"/>
  <c r="AQ248"/>
  <c r="AM242"/>
  <c r="AM289"/>
  <c r="AU289" s="1"/>
  <c r="AD38" i="27"/>
  <c r="AL137" i="22"/>
  <c r="AG137"/>
  <c r="AG134" s="1"/>
  <c r="AG106" s="1"/>
  <c r="AD134"/>
  <c r="AB41" i="33"/>
  <c r="X36"/>
  <c r="V1423" i="8"/>
  <c r="AK293" i="1"/>
  <c r="AK300"/>
  <c r="AJ9" i="22"/>
  <c r="AJ138" s="1"/>
  <c r="AN17"/>
  <c r="N1398" i="8"/>
  <c r="Q1398" s="1"/>
  <c r="S1398"/>
  <c r="F1414"/>
  <c r="V1735"/>
  <c r="I1734"/>
  <c r="R269" i="1"/>
  <c r="S1734" i="8"/>
  <c r="F1829"/>
  <c r="F1831" s="1"/>
  <c r="B8" i="32" s="1"/>
  <c r="F1737" i="8"/>
  <c r="AA269" i="1" s="1"/>
  <c r="AA291"/>
  <c r="X43" i="34"/>
  <c r="N1423" i="8"/>
  <c r="Q1423" s="1"/>
  <c r="P1878"/>
  <c r="AT247" i="1"/>
  <c r="AS136" i="22"/>
  <c r="Y134" i="23"/>
  <c r="Y106" s="1"/>
  <c r="AW97" i="1"/>
  <c r="AI35" i="27"/>
  <c r="I1843" i="8"/>
  <c r="B19" i="32"/>
  <c r="J1414" i="8"/>
  <c r="S1413"/>
  <c r="N1413"/>
  <c r="Q1413" s="1"/>
  <c r="AC71" i="13"/>
  <c r="AW71" s="1"/>
  <c r="Y52"/>
  <c r="AB35" i="27"/>
  <c r="X39"/>
  <c r="X41" s="1"/>
  <c r="S1429" i="8"/>
  <c r="N1429"/>
  <c r="U1871"/>
  <c r="H1891"/>
  <c r="P1891" s="1"/>
  <c r="AL71" i="13"/>
  <c r="AK52"/>
  <c r="Y275" i="7"/>
  <c r="Y80" i="14"/>
  <c r="AJ300" i="1"/>
  <c r="AJ293"/>
  <c r="AI9" i="22"/>
  <c r="AI138" s="1"/>
  <c r="AL292" i="1"/>
  <c r="V1417" i="8"/>
  <c r="AP37" i="27"/>
  <c r="AT37"/>
  <c r="AG293" i="1"/>
  <c r="AF9" i="22"/>
  <c r="AF9" i="33" s="1"/>
  <c r="AG300" i="1"/>
  <c r="I1816" i="8"/>
  <c r="V1819"/>
  <c r="Y38" i="31"/>
  <c r="Y35" s="1"/>
  <c r="Y39" s="1"/>
  <c r="Y41" s="1"/>
  <c r="AK17" i="22"/>
  <c r="AE41" i="33"/>
  <c r="BF134" i="22"/>
  <c r="AE106"/>
  <c r="AM37" i="27"/>
  <c r="AO37" s="1"/>
  <c r="AE35"/>
  <c r="Y251" i="1"/>
  <c r="AC250"/>
  <c r="AB17" i="22"/>
  <c r="O1414" i="8"/>
  <c r="O1874" s="1"/>
  <c r="T1414"/>
  <c r="G1874"/>
  <c r="AN17" i="33"/>
  <c r="I1863" i="8"/>
  <c r="F1866"/>
  <c r="N1734"/>
  <c r="N1904" s="1"/>
  <c r="Q1735"/>
  <c r="Q1734" s="1"/>
  <c r="Q1904" s="1"/>
  <c r="J1816"/>
  <c r="J1811" s="1"/>
  <c r="J1904" s="1"/>
  <c r="J1843"/>
  <c r="S1843" s="1"/>
  <c r="AN35" i="27"/>
  <c r="AN39" s="1"/>
  <c r="AN41" s="1"/>
  <c r="AF39"/>
  <c r="AF41" s="1"/>
  <c r="W41" i="34"/>
  <c r="W106" i="23"/>
  <c r="X294" i="7"/>
  <c r="Z97"/>
  <c r="Z294" s="1"/>
  <c r="X185"/>
  <c r="Z185" s="1"/>
  <c r="F1811" i="8"/>
  <c r="AC37" i="27"/>
  <c r="AQ37"/>
  <c r="AO269" i="1"/>
  <c r="AO292"/>
  <c r="X41" i="31"/>
  <c r="X17" i="23"/>
  <c r="X138" s="1"/>
  <c r="AN76" i="13"/>
  <c r="AN71" s="1"/>
  <c r="AN52" s="1"/>
  <c r="AF71"/>
  <c r="AF52" s="1"/>
  <c r="AF138" i="22"/>
  <c r="AW136"/>
  <c r="M1413" i="8"/>
  <c r="V1413" s="1"/>
  <c r="H1908"/>
  <c r="V1425"/>
  <c r="AO36" i="27"/>
  <c r="AU37" l="1"/>
  <c r="AS37"/>
  <c r="S1811" i="8"/>
  <c r="S1816"/>
  <c r="AF141" i="22"/>
  <c r="AF140"/>
  <c r="Y41" i="34"/>
  <c r="W36"/>
  <c r="AS250" i="1"/>
  <c r="AW250"/>
  <c r="AM35" i="27"/>
  <c r="AM39" s="1"/>
  <c r="AM41" s="1"/>
  <c r="AE39"/>
  <c r="AE41" s="1"/>
  <c r="BF106" i="22"/>
  <c r="AE17"/>
  <c r="AM41" i="33"/>
  <c r="AM36" s="1"/>
  <c r="AE36"/>
  <c r="AE17" s="1"/>
  <c r="AL293" i="1"/>
  <c r="AL300"/>
  <c r="AK78" i="13"/>
  <c r="AK80" s="1"/>
  <c r="AL52"/>
  <c r="AL78" s="1"/>
  <c r="AC52"/>
  <c r="Y78"/>
  <c r="M1414" i="8"/>
  <c r="M1874" s="1"/>
  <c r="J1874"/>
  <c r="AJ9" i="33"/>
  <c r="AN9" i="22"/>
  <c r="AR41" i="33"/>
  <c r="AR36" s="1"/>
  <c r="AV41"/>
  <c r="AG38" i="27"/>
  <c r="AL38"/>
  <c r="AD35"/>
  <c r="AP242" i="1"/>
  <c r="AQ242"/>
  <c r="AU242"/>
  <c r="AM97"/>
  <c r="D7" i="32"/>
  <c r="L8"/>
  <c r="P8"/>
  <c r="AR106" i="22"/>
  <c r="AV106"/>
  <c r="N1843" i="8"/>
  <c r="Q1843" s="1"/>
  <c r="X45" i="34"/>
  <c r="F1904" i="8"/>
  <c r="AN138" i="22"/>
  <c r="X142" i="23"/>
  <c r="X140"/>
  <c r="AO293" i="1"/>
  <c r="AO300"/>
  <c r="W41" i="31"/>
  <c r="W17" i="23"/>
  <c r="M1843" i="8"/>
  <c r="M1842" s="1"/>
  <c r="J1842"/>
  <c r="F19" i="32"/>
  <c r="N19" s="1"/>
  <c r="AV17" i="22"/>
  <c r="AR17"/>
  <c r="AC251" i="1"/>
  <c r="Y267"/>
  <c r="AI140" i="22"/>
  <c r="AI141"/>
  <c r="V1816" i="8"/>
  <c r="I1811"/>
  <c r="V1811" s="1"/>
  <c r="AI9" i="33"/>
  <c r="AK9" i="22"/>
  <c r="AK138" s="1"/>
  <c r="AR35" i="27"/>
  <c r="AR39" s="1"/>
  <c r="AV35"/>
  <c r="AB39"/>
  <c r="E19" i="32"/>
  <c r="J19"/>
  <c r="M19" s="1"/>
  <c r="AK35" i="27"/>
  <c r="AK39" s="1"/>
  <c r="AK41" s="1"/>
  <c r="AI39"/>
  <c r="AI41" s="1"/>
  <c r="V1734" i="8"/>
  <c r="I1904"/>
  <c r="N1414"/>
  <c r="S1414"/>
  <c r="I1414"/>
  <c r="F1874"/>
  <c r="AJ141" i="22"/>
  <c r="AJ140"/>
  <c r="AB36" i="33"/>
  <c r="AV36" s="1"/>
  <c r="X17"/>
  <c r="AD41"/>
  <c r="AD106" i="22"/>
  <c r="AD17" s="1"/>
  <c r="AO137"/>
  <c r="AW137" s="1"/>
  <c r="AT137"/>
  <c r="AP137"/>
  <c r="AS137" s="1"/>
  <c r="AL134"/>
  <c r="AT248" i="1"/>
  <c r="AQ289"/>
  <c r="AT289" s="1"/>
  <c r="AH76" i="13"/>
  <c r="AM76"/>
  <c r="AE71"/>
  <c r="AK36" i="33"/>
  <c r="AI17"/>
  <c r="U1850" i="8"/>
  <c r="H1878"/>
  <c r="AF43" i="33"/>
  <c r="AS71" i="13"/>
  <c r="AW37" i="27"/>
  <c r="V1843" i="8" l="1"/>
  <c r="AR41" i="27"/>
  <c r="AK9" i="33"/>
  <c r="AK141" i="22"/>
  <c r="AK140"/>
  <c r="AL76" i="13"/>
  <c r="AQ76"/>
  <c r="AU76"/>
  <c r="AP76"/>
  <c r="AM71"/>
  <c r="AO134" i="22"/>
  <c r="AT134"/>
  <c r="AP134"/>
  <c r="AL106"/>
  <c r="AL17"/>
  <c r="AG17"/>
  <c r="AB17" i="33"/>
  <c r="Y269" i="1"/>
  <c r="Y292"/>
  <c r="Y17" i="23"/>
  <c r="AU97" i="1"/>
  <c r="AQ97"/>
  <c r="AP97"/>
  <c r="AP289" s="1"/>
  <c r="AL35" i="27"/>
  <c r="AG35"/>
  <c r="AG39" s="1"/>
  <c r="AG41" s="1"/>
  <c r="AD39"/>
  <c r="AD41" s="1"/>
  <c r="AN9" i="33"/>
  <c r="AN43" s="1"/>
  <c r="AJ43"/>
  <c r="AC78" i="13"/>
  <c r="AW52"/>
  <c r="AS52"/>
  <c r="AS78" s="1"/>
  <c r="AF46" i="33"/>
  <c r="AF44"/>
  <c r="AF45"/>
  <c r="AI43"/>
  <c r="AM17"/>
  <c r="AK17"/>
  <c r="AK43" s="1"/>
  <c r="AH71" i="13"/>
  <c r="AE52"/>
  <c r="AH52" s="1"/>
  <c r="AG41" i="33"/>
  <c r="AL41"/>
  <c r="AD36"/>
  <c r="V1414" i="8"/>
  <c r="I1874"/>
  <c r="Q1414"/>
  <c r="Q1874" s="1"/>
  <c r="N1874"/>
  <c r="AB41" i="27"/>
  <c r="AV39"/>
  <c r="AV41" s="1"/>
  <c r="AC267" i="1"/>
  <c r="AW251"/>
  <c r="AS251"/>
  <c r="F18" i="32"/>
  <c r="I19"/>
  <c r="I18" s="1"/>
  <c r="AN140" i="22"/>
  <c r="AN141"/>
  <c r="L7" i="32"/>
  <c r="P7"/>
  <c r="AP38" i="27"/>
  <c r="AS38" s="1"/>
  <c r="AO38"/>
  <c r="AW38" s="1"/>
  <c r="AT38"/>
  <c r="AL80" i="13"/>
  <c r="AL81"/>
  <c r="BF17" i="22"/>
  <c r="AM17"/>
  <c r="Y36" i="34"/>
  <c r="W17"/>
  <c r="Y80" i="13"/>
  <c r="AC269" i="1" l="1"/>
  <c r="AC292"/>
  <c r="AW267"/>
  <c r="AS267"/>
  <c r="AS269" s="1"/>
  <c r="AT41" i="33"/>
  <c r="AO41"/>
  <c r="AP41"/>
  <c r="AL36"/>
  <c r="AK46"/>
  <c r="AK44"/>
  <c r="AK45"/>
  <c r="AI46"/>
  <c r="AI44"/>
  <c r="AI45"/>
  <c r="AJ46"/>
  <c r="AJ45"/>
  <c r="AJ44"/>
  <c r="AT35" i="27"/>
  <c r="AO35"/>
  <c r="AO39" s="1"/>
  <c r="AP35"/>
  <c r="AL39"/>
  <c r="Y293" i="1"/>
  <c r="X9" i="22"/>
  <c r="Y300" i="1"/>
  <c r="AT106" i="22"/>
  <c r="AO106"/>
  <c r="AP106"/>
  <c r="AP71" i="13"/>
  <c r="AU71"/>
  <c r="AM52"/>
  <c r="Q19" i="32"/>
  <c r="Y17" i="34"/>
  <c r="AG36" i="33"/>
  <c r="AD17"/>
  <c r="AC80" i="13"/>
  <c r="AW78"/>
  <c r="AN46" i="33"/>
  <c r="AN45"/>
  <c r="AN44"/>
  <c r="AV17"/>
  <c r="AR17"/>
  <c r="AP17" i="22"/>
  <c r="AT17"/>
  <c r="AO17"/>
  <c r="AQ71" i="13"/>
  <c r="AS80"/>
  <c r="AW80" l="1"/>
  <c r="AL17" i="33"/>
  <c r="AG17"/>
  <c r="X9"/>
  <c r="AB9" i="22"/>
  <c r="X138"/>
  <c r="AL41" i="27"/>
  <c r="AT39"/>
  <c r="AT41" s="1"/>
  <c r="AP36" i="33"/>
  <c r="AO41" i="27"/>
  <c r="AQ52" i="13"/>
  <c r="AU52"/>
  <c r="AP52"/>
  <c r="AP39" i="27"/>
  <c r="AP41" s="1"/>
  <c r="AO36" i="33"/>
  <c r="AT36"/>
  <c r="AC293" i="1"/>
  <c r="AW293" s="1"/>
  <c r="AC300"/>
  <c r="AS292"/>
  <c r="AW292"/>
  <c r="X141" i="22" l="1"/>
  <c r="X140"/>
  <c r="AB9" i="33"/>
  <c r="X43"/>
  <c r="AP17"/>
  <c r="AT17"/>
  <c r="AO17"/>
  <c r="AS293" i="1"/>
  <c r="AS300"/>
  <c r="AV9" i="22"/>
  <c r="AR9"/>
  <c r="AR138" s="1"/>
  <c r="AB138"/>
  <c r="AB140" l="1"/>
  <c r="AB141"/>
  <c r="AV138"/>
  <c r="AV9" i="33"/>
  <c r="AR9"/>
  <c r="AR43" s="1"/>
  <c r="AB43"/>
  <c r="AR140" i="22"/>
  <c r="AR141"/>
  <c r="X46" i="33"/>
  <c r="X44"/>
  <c r="X45"/>
  <c r="AR46" l="1"/>
  <c r="AR45"/>
  <c r="AR44"/>
  <c r="AV141" i="22"/>
  <c r="AV140"/>
  <c r="AB46" i="33"/>
  <c r="AB45"/>
  <c r="AB44"/>
  <c r="AV43"/>
  <c r="AV44" l="1"/>
  <c r="AV45"/>
  <c r="AV46"/>
  <c r="G1371" i="8" l="1"/>
  <c r="O1371" l="1"/>
  <c r="Q1371" s="1"/>
  <c r="G1372"/>
  <c r="G1418"/>
  <c r="G1732"/>
  <c r="I1371"/>
  <c r="T1371"/>
  <c r="X245" i="1"/>
  <c r="W135" i="22" l="1"/>
  <c r="Z245" i="1"/>
  <c r="X242"/>
  <c r="AB245"/>
  <c r="X288"/>
  <c r="V1371" i="8"/>
  <c r="I1372"/>
  <c r="I1418"/>
  <c r="O1418"/>
  <c r="Q1418" s="1"/>
  <c r="T1418"/>
  <c r="G1419"/>
  <c r="T1732"/>
  <c r="I1732"/>
  <c r="O1732"/>
  <c r="G1727"/>
  <c r="G1864"/>
  <c r="G1894"/>
  <c r="G1896"/>
  <c r="G1382"/>
  <c r="O1372"/>
  <c r="Q1372" s="1"/>
  <c r="T1372"/>
  <c r="T1382" l="1"/>
  <c r="O1382"/>
  <c r="G1873"/>
  <c r="T1727"/>
  <c r="G1737"/>
  <c r="G1824" s="1"/>
  <c r="G1829"/>
  <c r="G1831" s="1"/>
  <c r="G1905"/>
  <c r="G1907" s="1"/>
  <c r="V1732"/>
  <c r="I1727"/>
  <c r="I1894"/>
  <c r="I1896"/>
  <c r="O1419"/>
  <c r="Q1419" s="1"/>
  <c r="G1429"/>
  <c r="T1419"/>
  <c r="I1382"/>
  <c r="V1372"/>
  <c r="X290" i="1"/>
  <c r="Z288"/>
  <c r="Z242"/>
  <c r="AB242"/>
  <c r="X76" i="13"/>
  <c r="X97" i="1"/>
  <c r="W36" i="27"/>
  <c r="Y135" i="22"/>
  <c r="W134"/>
  <c r="G1900" i="8"/>
  <c r="G1898"/>
  <c r="O1864"/>
  <c r="Q1864" s="1"/>
  <c r="T1864"/>
  <c r="I1864"/>
  <c r="V1864" s="1"/>
  <c r="G1866"/>
  <c r="Q1732"/>
  <c r="Q1727" s="1"/>
  <c r="Q1905" s="1"/>
  <c r="O1727"/>
  <c r="O1905" s="1"/>
  <c r="V1418"/>
  <c r="I1419"/>
  <c r="AA135" i="22"/>
  <c r="AR245" i="1"/>
  <c r="AV245"/>
  <c r="AD245"/>
  <c r="AX245" s="1"/>
  <c r="AB288"/>
  <c r="R1398" i="8"/>
  <c r="AT245" i="1" l="1"/>
  <c r="BD245" s="1"/>
  <c r="AR288"/>
  <c r="AT288" s="1"/>
  <c r="V1419" i="8"/>
  <c r="I1429"/>
  <c r="V1429" s="1"/>
  <c r="G1871"/>
  <c r="I1866"/>
  <c r="W41" i="33"/>
  <c r="Y134" i="22"/>
  <c r="W106"/>
  <c r="Y36" i="27"/>
  <c r="AA36"/>
  <c r="W35"/>
  <c r="AB76" i="13"/>
  <c r="Z76"/>
  <c r="X71"/>
  <c r="Z290" i="1"/>
  <c r="Z291" s="1"/>
  <c r="X291"/>
  <c r="V1382" i="8"/>
  <c r="I1873"/>
  <c r="O1429"/>
  <c r="Q1429" s="1"/>
  <c r="R1429" s="1"/>
  <c r="T1429"/>
  <c r="I1900"/>
  <c r="I1898"/>
  <c r="V1727"/>
  <c r="I1737"/>
  <c r="I1829"/>
  <c r="I1831" s="1"/>
  <c r="I1905"/>
  <c r="AV288" i="1"/>
  <c r="AB290"/>
  <c r="AB291" s="1"/>
  <c r="AU135" i="22"/>
  <c r="AA134"/>
  <c r="AQ135"/>
  <c r="AS135" s="1"/>
  <c r="AC135"/>
  <c r="AW135" s="1"/>
  <c r="AB97" i="1"/>
  <c r="Z97"/>
  <c r="X250"/>
  <c r="AV242"/>
  <c r="AD242"/>
  <c r="AX242" s="1"/>
  <c r="AR242"/>
  <c r="AT242" s="1"/>
  <c r="G1850" i="8"/>
  <c r="G1878" s="1"/>
  <c r="C8" i="32"/>
  <c r="O1873" i="8"/>
  <c r="Q1382"/>
  <c r="R1413"/>
  <c r="X251" i="1" l="1"/>
  <c r="AB250"/>
  <c r="AD250" s="1"/>
  <c r="Z250"/>
  <c r="AV97"/>
  <c r="AD97"/>
  <c r="AR97"/>
  <c r="AT97" s="1"/>
  <c r="Z71" i="13"/>
  <c r="AB71"/>
  <c r="X52"/>
  <c r="AV76"/>
  <c r="AR76"/>
  <c r="AD76"/>
  <c r="AX76" s="1"/>
  <c r="AC36" i="27"/>
  <c r="AW36" s="1"/>
  <c r="AU36"/>
  <c r="AQ36"/>
  <c r="AS36" s="1"/>
  <c r="Y106" i="22"/>
  <c r="W17"/>
  <c r="AA41" i="33"/>
  <c r="Y41"/>
  <c r="W36"/>
  <c r="G1891" i="8"/>
  <c r="R1382"/>
  <c r="Q1873"/>
  <c r="C7" i="32"/>
  <c r="E8"/>
  <c r="AC134" i="22"/>
  <c r="AW134" s="1"/>
  <c r="AQ134"/>
  <c r="AS134" s="1"/>
  <c r="BB134" s="1"/>
  <c r="AU134"/>
  <c r="AA106"/>
  <c r="Y35" i="27"/>
  <c r="Y39" s="1"/>
  <c r="Y41" s="1"/>
  <c r="AA35"/>
  <c r="W39"/>
  <c r="W41" s="1"/>
  <c r="G1908" i="8"/>
  <c r="AC35" i="27" l="1"/>
  <c r="AU35"/>
  <c r="AQ35"/>
  <c r="AA39"/>
  <c r="AQ106" i="22"/>
  <c r="AS106" s="1"/>
  <c r="AC106"/>
  <c r="AW106" s="1"/>
  <c r="AU106"/>
  <c r="Y17"/>
  <c r="AA17"/>
  <c r="AR71" i="13"/>
  <c r="AT76"/>
  <c r="AT71" s="1"/>
  <c r="X78"/>
  <c r="AB52"/>
  <c r="Z52"/>
  <c r="Z78" s="1"/>
  <c r="AD289" i="1"/>
  <c r="AX97"/>
  <c r="X267"/>
  <c r="AB251"/>
  <c r="Z251"/>
  <c r="Z267" s="1"/>
  <c r="Z269" s="1"/>
  <c r="Y36" i="33"/>
  <c r="AA36"/>
  <c r="W17"/>
  <c r="AU41"/>
  <c r="AC41"/>
  <c r="AW41" s="1"/>
  <c r="AQ41"/>
  <c r="AD71" i="13"/>
  <c r="AX71" s="1"/>
  <c r="AV71"/>
  <c r="Y17" i="33" l="1"/>
  <c r="AA17"/>
  <c r="AB267" i="1"/>
  <c r="AD251"/>
  <c r="AD267" s="1"/>
  <c r="AD269" s="1"/>
  <c r="AC17" i="22"/>
  <c r="AQ17"/>
  <c r="AS17" s="1"/>
  <c r="BC17" s="1"/>
  <c r="AU17"/>
  <c r="AQ39" i="27"/>
  <c r="AQ41" s="1"/>
  <c r="AS35"/>
  <c r="AS39" s="1"/>
  <c r="AS41" s="1"/>
  <c r="AW35"/>
  <c r="AC39"/>
  <c r="Z80" i="13"/>
  <c r="X80"/>
  <c r="AQ36" i="33"/>
  <c r="AS41"/>
  <c r="AS36" s="1"/>
  <c r="AC36"/>
  <c r="AW36" s="1"/>
  <c r="AU36"/>
  <c r="X269" i="1"/>
  <c r="X292"/>
  <c r="AX289"/>
  <c r="AD290"/>
  <c r="AD291" s="1"/>
  <c r="AB78" i="13"/>
  <c r="AD52"/>
  <c r="AV52"/>
  <c r="AR52"/>
  <c r="AT52" s="1"/>
  <c r="BD52" s="1"/>
  <c r="AA41" i="27"/>
  <c r="AU39"/>
  <c r="AU41" s="1"/>
  <c r="AB80" i="13" l="1"/>
  <c r="AD78"/>
  <c r="AX52"/>
  <c r="X293" i="1"/>
  <c r="W9" i="22"/>
  <c r="X300" i="1"/>
  <c r="Z292"/>
  <c r="AC41" i="27"/>
  <c r="AW39"/>
  <c r="AW41" s="1"/>
  <c r="AW17" i="22"/>
  <c r="AB269" i="1"/>
  <c r="AB292"/>
  <c r="AQ17" i="33"/>
  <c r="AS17" s="1"/>
  <c r="AC17"/>
  <c r="AU17"/>
  <c r="AD80" i="13" l="1"/>
  <c r="AD81"/>
  <c r="AW17" i="33"/>
  <c r="AB300" i="1"/>
  <c r="AB293"/>
  <c r="AV293" s="1"/>
  <c r="Z293"/>
  <c r="Z300"/>
  <c r="AD292"/>
  <c r="Y9" i="22"/>
  <c r="Y138" s="1"/>
  <c r="W9" i="33"/>
  <c r="AA9" i="22"/>
  <c r="W138"/>
  <c r="W140" l="1"/>
  <c r="W141"/>
  <c r="Y9" i="33"/>
  <c r="Y43" s="1"/>
  <c r="AA9"/>
  <c r="W43"/>
  <c r="AD293" i="1"/>
  <c r="AX293" s="1"/>
  <c r="AD300"/>
  <c r="AC9" i="22"/>
  <c r="AC138" s="1"/>
  <c r="AA138"/>
  <c r="Y140"/>
  <c r="Y141"/>
  <c r="AA140" l="1"/>
  <c r="AA141"/>
  <c r="W45" i="33"/>
  <c r="W46"/>
  <c r="W44"/>
  <c r="Y46"/>
  <c r="Y45"/>
  <c r="Y44"/>
  <c r="AC141" i="22"/>
  <c r="AC140"/>
  <c r="AC9" i="33"/>
  <c r="AC43" s="1"/>
  <c r="AA43"/>
  <c r="AC45" l="1"/>
  <c r="AC44"/>
  <c r="AC46"/>
  <c r="AA45"/>
  <c r="AA46"/>
  <c r="AA44"/>
  <c r="K1213" i="11" l="1"/>
  <c r="K1217" l="1"/>
  <c r="O1213"/>
  <c r="M1213"/>
  <c r="T1213"/>
  <c r="X78" i="7"/>
  <c r="Z78" l="1"/>
  <c r="AF78"/>
  <c r="M1217" i="11"/>
  <c r="V1213"/>
  <c r="O1217"/>
  <c r="O1221" s="1"/>
  <c r="Q1213"/>
  <c r="Q1217" s="1"/>
  <c r="Q1221" s="1"/>
  <c r="T1217"/>
  <c r="K1221"/>
  <c r="AH78" i="7" l="1"/>
  <c r="AJ78"/>
  <c r="AN78"/>
  <c r="T1221" i="11"/>
  <c r="M1221"/>
  <c r="V1217"/>
  <c r="AP78" i="7" l="1"/>
  <c r="V1221" i="11"/>
  <c r="AL78" i="7"/>
  <c r="K1631" i="8" l="1"/>
  <c r="T1631" l="1"/>
  <c r="O1631"/>
  <c r="K1633"/>
  <c r="AF37" i="1"/>
  <c r="K1643" i="8" l="1"/>
  <c r="O1633"/>
  <c r="T1633"/>
  <c r="AN37" i="1"/>
  <c r="J1651" i="8"/>
  <c r="J1636"/>
  <c r="F1641"/>
  <c r="M1651" l="1"/>
  <c r="J1650"/>
  <c r="S1651"/>
  <c r="N1651"/>
  <c r="Q1651" s="1"/>
  <c r="S1641"/>
  <c r="F1637"/>
  <c r="F1682"/>
  <c r="N1641"/>
  <c r="I1641"/>
  <c r="F1771"/>
  <c r="O1643"/>
  <c r="T1643"/>
  <c r="AV37" i="1"/>
  <c r="AR37"/>
  <c r="J1635" i="8"/>
  <c r="J1677"/>
  <c r="N1636"/>
  <c r="Q1636" s="1"/>
  <c r="S1636"/>
  <c r="M1636"/>
  <c r="J1764"/>
  <c r="M1650" l="1"/>
  <c r="V1650" s="1"/>
  <c r="V1651"/>
  <c r="S1650"/>
  <c r="N1650"/>
  <c r="Q1650" s="1"/>
  <c r="R1221" i="11"/>
  <c r="V1641" i="8"/>
  <c r="I1637"/>
  <c r="S1682"/>
  <c r="I1682"/>
  <c r="F1678"/>
  <c r="N1682"/>
  <c r="Q1682" s="1"/>
  <c r="I1771"/>
  <c r="N1771"/>
  <c r="F1844"/>
  <c r="S1771"/>
  <c r="F1766"/>
  <c r="F1869"/>
  <c r="Q1641"/>
  <c r="N1637"/>
  <c r="S1637"/>
  <c r="F1643"/>
  <c r="M1635"/>
  <c r="V1635" s="1"/>
  <c r="V1636"/>
  <c r="N1635"/>
  <c r="Q1635" s="1"/>
  <c r="S1635"/>
  <c r="M1764"/>
  <c r="J1868"/>
  <c r="J1763"/>
  <c r="S1764"/>
  <c r="N1764"/>
  <c r="Q1764" s="1"/>
  <c r="J1676"/>
  <c r="N1677"/>
  <c r="Q1677" s="1"/>
  <c r="M1677"/>
  <c r="S1677"/>
  <c r="J1631"/>
  <c r="R1651"/>
  <c r="N1869" l="1"/>
  <c r="Q1869" s="1"/>
  <c r="I1869"/>
  <c r="S1869"/>
  <c r="F1871"/>
  <c r="Q1771"/>
  <c r="Q1766" s="1"/>
  <c r="N1766"/>
  <c r="I1678"/>
  <c r="V1682"/>
  <c r="I1643"/>
  <c r="V1637"/>
  <c r="R1641"/>
  <c r="Q1637"/>
  <c r="F1762"/>
  <c r="S1766"/>
  <c r="I1844"/>
  <c r="N1844"/>
  <c r="S1844"/>
  <c r="F1842"/>
  <c r="B20" i="32"/>
  <c r="V1771" i="8"/>
  <c r="I1766"/>
  <c r="F1684"/>
  <c r="N1678"/>
  <c r="Q1678" s="1"/>
  <c r="S1678"/>
  <c r="J1835"/>
  <c r="N1763"/>
  <c r="S1763"/>
  <c r="J1762"/>
  <c r="M1763"/>
  <c r="V1764"/>
  <c r="M1676"/>
  <c r="V1676" s="1"/>
  <c r="V1677"/>
  <c r="N1676"/>
  <c r="Q1676" s="1"/>
  <c r="S1676"/>
  <c r="M1868"/>
  <c r="V1868" s="1"/>
  <c r="S1868"/>
  <c r="N1868"/>
  <c r="Q1868" s="1"/>
  <c r="J1633"/>
  <c r="N1631"/>
  <c r="Q1631" s="1"/>
  <c r="R1631" s="1"/>
  <c r="M1631"/>
  <c r="S1631"/>
  <c r="AE37" i="1"/>
  <c r="F1876" i="8" l="1"/>
  <c r="V1766"/>
  <c r="I1762"/>
  <c r="E20" i="32"/>
  <c r="N20"/>
  <c r="J20"/>
  <c r="B18"/>
  <c r="V1844" i="8"/>
  <c r="I1842"/>
  <c r="F1823"/>
  <c r="F1824" s="1"/>
  <c r="F1906"/>
  <c r="F1907" s="1"/>
  <c r="I1684"/>
  <c r="V1678"/>
  <c r="S1842"/>
  <c r="F1849"/>
  <c r="F1850" s="1"/>
  <c r="F1878" s="1"/>
  <c r="Q1844"/>
  <c r="Q1842" s="1"/>
  <c r="N1842"/>
  <c r="V1869"/>
  <c r="I1871"/>
  <c r="M1762"/>
  <c r="V1763"/>
  <c r="S1835"/>
  <c r="M1835"/>
  <c r="N1835"/>
  <c r="J1834"/>
  <c r="F11" i="32"/>
  <c r="J1823" i="8"/>
  <c r="S1823" s="1"/>
  <c r="S1762"/>
  <c r="Q1763"/>
  <c r="Q1762" s="1"/>
  <c r="Q1823" s="1"/>
  <c r="N1762"/>
  <c r="N1823" s="1"/>
  <c r="AM37" i="1"/>
  <c r="AH37"/>
  <c r="J1643" i="8"/>
  <c r="S1633"/>
  <c r="N1633"/>
  <c r="Q1633" s="1"/>
  <c r="M1633"/>
  <c r="V1631"/>
  <c r="F1891" l="1"/>
  <c r="I1876"/>
  <c r="M20" i="32"/>
  <c r="M18" s="1"/>
  <c r="R18" s="1"/>
  <c r="J18"/>
  <c r="Q20"/>
  <c r="E18"/>
  <c r="Q18" s="1"/>
  <c r="V1842" i="8"/>
  <c r="I1849"/>
  <c r="I1850" s="1"/>
  <c r="I1878" s="1"/>
  <c r="B7" i="32"/>
  <c r="N18"/>
  <c r="I1823" i="8"/>
  <c r="I1824" s="1"/>
  <c r="I1906"/>
  <c r="I1907" s="1"/>
  <c r="I1908" s="1"/>
  <c r="F1908"/>
  <c r="F10" i="32"/>
  <c r="N10" s="1"/>
  <c r="N11"/>
  <c r="I11"/>
  <c r="J11"/>
  <c r="Q1835" i="8"/>
  <c r="Q1834" s="1"/>
  <c r="Q1849" s="1"/>
  <c r="AB1849" s="1"/>
  <c r="N1834"/>
  <c r="N1849" s="1"/>
  <c r="M1823"/>
  <c r="V1762"/>
  <c r="J1849"/>
  <c r="S1849" s="1"/>
  <c r="S1834"/>
  <c r="M1834"/>
  <c r="V1835"/>
  <c r="M1643"/>
  <c r="V1643" s="1"/>
  <c r="V1633"/>
  <c r="N1643"/>
  <c r="Q1643" s="1"/>
  <c r="S1643"/>
  <c r="AQ37" i="1"/>
  <c r="AP37"/>
  <c r="AU37"/>
  <c r="V1823" i="8" l="1"/>
  <c r="I1891"/>
  <c r="B38" i="32"/>
  <c r="E7"/>
  <c r="M1849" i="8"/>
  <c r="V1849" s="1"/>
  <c r="V1834"/>
  <c r="I10" i="32"/>
  <c r="Q10" s="1"/>
  <c r="Q11"/>
  <c r="J10"/>
  <c r="M11"/>
  <c r="M10" s="1"/>
  <c r="R10" s="1"/>
  <c r="AT37" i="1"/>
  <c r="AX37"/>
  <c r="L1046" i="11" l="1"/>
  <c r="K1046"/>
  <c r="M1046" s="1"/>
  <c r="H1046"/>
  <c r="G1046"/>
  <c r="L1045"/>
  <c r="L1044" s="1"/>
  <c r="K1045"/>
  <c r="H1045"/>
  <c r="G1045"/>
  <c r="G1044" l="1"/>
  <c r="O1045"/>
  <c r="T1045"/>
  <c r="I1045"/>
  <c r="H183" i="7"/>
  <c r="L1047" i="11"/>
  <c r="L1051" s="1"/>
  <c r="AC183" i="7"/>
  <c r="U1046" i="11"/>
  <c r="P1046"/>
  <c r="U1045"/>
  <c r="H1044"/>
  <c r="P1045"/>
  <c r="I183" i="7"/>
  <c r="M1045" i="11"/>
  <c r="K1044"/>
  <c r="T1046"/>
  <c r="O1046"/>
  <c r="Q1046" s="1"/>
  <c r="I1046"/>
  <c r="V1046" s="1"/>
  <c r="L1035"/>
  <c r="K1035"/>
  <c r="H1035"/>
  <c r="G1035"/>
  <c r="L1034"/>
  <c r="K1034"/>
  <c r="H1034"/>
  <c r="G1034"/>
  <c r="L1023"/>
  <c r="L1306" s="1"/>
  <c r="K1023"/>
  <c r="H1023"/>
  <c r="G1023"/>
  <c r="L1022"/>
  <c r="K1022"/>
  <c r="H1022"/>
  <c r="G1022"/>
  <c r="H1033" l="1"/>
  <c r="H1311"/>
  <c r="H1057"/>
  <c r="P1034"/>
  <c r="U1034"/>
  <c r="I182" i="7"/>
  <c r="K1033" i="11"/>
  <c r="M1034"/>
  <c r="K1057"/>
  <c r="K1311"/>
  <c r="T1035"/>
  <c r="G1312"/>
  <c r="I1035"/>
  <c r="G1058"/>
  <c r="O1035"/>
  <c r="K1058"/>
  <c r="M1035"/>
  <c r="K1312"/>
  <c r="M1044"/>
  <c r="M1047" s="1"/>
  <c r="M1051" s="1"/>
  <c r="K1047"/>
  <c r="K1051" s="1"/>
  <c r="AB183" i="7"/>
  <c r="H137" i="23"/>
  <c r="Q183" i="7"/>
  <c r="U183" s="1"/>
  <c r="H1047" i="11"/>
  <c r="P1044"/>
  <c r="P1047" s="1"/>
  <c r="P1051" s="1"/>
  <c r="U1044"/>
  <c r="AB137" i="23"/>
  <c r="AG183" i="7"/>
  <c r="G137" i="23"/>
  <c r="J183" i="7"/>
  <c r="P183"/>
  <c r="G1047" i="11"/>
  <c r="T1044"/>
  <c r="I1044"/>
  <c r="O1044"/>
  <c r="T1022"/>
  <c r="G1021"/>
  <c r="O1022"/>
  <c r="G1305"/>
  <c r="I1022"/>
  <c r="H266" i="7"/>
  <c r="L1021" i="11"/>
  <c r="L1305"/>
  <c r="U1023"/>
  <c r="H1306"/>
  <c r="P1023"/>
  <c r="U1022"/>
  <c r="H1021"/>
  <c r="H1305"/>
  <c r="P1022"/>
  <c r="I266" i="7"/>
  <c r="K1021" i="11"/>
  <c r="M1022"/>
  <c r="K1305"/>
  <c r="T1023"/>
  <c r="I1023"/>
  <c r="G1306"/>
  <c r="O1023"/>
  <c r="Q1023" s="1"/>
  <c r="M1023"/>
  <c r="K1306"/>
  <c r="G1033"/>
  <c r="I1034"/>
  <c r="V1034" s="1"/>
  <c r="T1034"/>
  <c r="G1311"/>
  <c r="G1057"/>
  <c r="O1034"/>
  <c r="Q1034" s="1"/>
  <c r="H182" i="7"/>
  <c r="L1033" i="11"/>
  <c r="L1311"/>
  <c r="L1057"/>
  <c r="H1312"/>
  <c r="H1058"/>
  <c r="P1035"/>
  <c r="U1035"/>
  <c r="L1058"/>
  <c r="L1312"/>
  <c r="L1378" s="1"/>
  <c r="V1045"/>
  <c r="Q1045"/>
  <c r="L1310" l="1"/>
  <c r="L1308" s="1"/>
  <c r="L1415" s="1"/>
  <c r="M1312"/>
  <c r="U1058"/>
  <c r="P1058"/>
  <c r="L1036"/>
  <c r="L1040" s="1"/>
  <c r="L1052" s="1"/>
  <c r="L1389" s="1"/>
  <c r="AC182" i="7"/>
  <c r="T1311" i="11"/>
  <c r="G1310"/>
  <c r="I1311"/>
  <c r="O1311"/>
  <c r="M1306"/>
  <c r="K1378"/>
  <c r="M1378" s="1"/>
  <c r="K1304"/>
  <c r="M1305"/>
  <c r="K1377"/>
  <c r="M1021"/>
  <c r="M1024" s="1"/>
  <c r="M1028" s="1"/>
  <c r="K1024"/>
  <c r="K1028" s="1"/>
  <c r="AB266" i="7"/>
  <c r="H1024" i="11"/>
  <c r="P1021"/>
  <c r="P1024" s="1"/>
  <c r="P1028" s="1"/>
  <c r="U1021"/>
  <c r="L1024"/>
  <c r="L1028" s="1"/>
  <c r="AC266" i="7"/>
  <c r="O1047" i="11"/>
  <c r="O1051" s="1"/>
  <c r="Q1044"/>
  <c r="Q1047" s="1"/>
  <c r="Q1051" s="1"/>
  <c r="R1051" s="1"/>
  <c r="T183" i="7"/>
  <c r="R183"/>
  <c r="O137" i="23"/>
  <c r="I137"/>
  <c r="G38" i="31"/>
  <c r="AB38"/>
  <c r="AF38" s="1"/>
  <c r="AF137" i="23"/>
  <c r="AO183" i="7"/>
  <c r="AK183"/>
  <c r="AA137" i="23"/>
  <c r="AD183" i="7"/>
  <c r="AF183"/>
  <c r="M1057" i="11"/>
  <c r="K1056"/>
  <c r="M1033"/>
  <c r="M1036" s="1"/>
  <c r="M1040" s="1"/>
  <c r="K1036"/>
  <c r="K1040" s="1"/>
  <c r="K1052" s="1"/>
  <c r="AB182" i="7"/>
  <c r="U1057" i="11"/>
  <c r="H1056"/>
  <c r="P1057"/>
  <c r="H1036"/>
  <c r="P1033"/>
  <c r="P1036" s="1"/>
  <c r="P1040" s="1"/>
  <c r="U1033"/>
  <c r="L1056"/>
  <c r="L1059" s="1"/>
  <c r="L1063" s="1"/>
  <c r="V1023"/>
  <c r="V1022"/>
  <c r="Q1022"/>
  <c r="Q1035"/>
  <c r="V1035"/>
  <c r="U1312"/>
  <c r="P1312"/>
  <c r="M275" i="7"/>
  <c r="G136" i="23"/>
  <c r="J182" i="7"/>
  <c r="J181" s="1"/>
  <c r="P182"/>
  <c r="H181"/>
  <c r="I1057" i="11"/>
  <c r="V1057" s="1"/>
  <c r="T1057"/>
  <c r="G1056"/>
  <c r="O1057"/>
  <c r="G1036"/>
  <c r="T1033"/>
  <c r="I1033"/>
  <c r="O1033"/>
  <c r="T1306"/>
  <c r="I1306"/>
  <c r="O1306"/>
  <c r="G1378"/>
  <c r="Q266" i="7"/>
  <c r="U266" s="1"/>
  <c r="I263"/>
  <c r="U1305" i="11"/>
  <c r="H1304"/>
  <c r="P1305"/>
  <c r="H1406"/>
  <c r="H1377"/>
  <c r="H1408"/>
  <c r="H1410" s="1"/>
  <c r="U1306"/>
  <c r="P1306"/>
  <c r="H1378"/>
  <c r="L1304"/>
  <c r="L1299" s="1"/>
  <c r="L1377"/>
  <c r="L1380" s="1"/>
  <c r="L1384" s="1"/>
  <c r="P266" i="7"/>
  <c r="J266"/>
  <c r="J263" s="1"/>
  <c r="J187" s="1"/>
  <c r="J293" s="1"/>
  <c r="H263"/>
  <c r="G1304" i="11"/>
  <c r="O1305"/>
  <c r="T1305"/>
  <c r="I1305"/>
  <c r="G1406"/>
  <c r="G1377"/>
  <c r="G1408"/>
  <c r="G1410" s="1"/>
  <c r="I1021"/>
  <c r="G1024"/>
  <c r="O1021"/>
  <c r="T1021"/>
  <c r="V1044"/>
  <c r="I1047"/>
  <c r="T1047"/>
  <c r="G1051"/>
  <c r="T1051" s="1"/>
  <c r="U1047"/>
  <c r="H1051"/>
  <c r="U1051" s="1"/>
  <c r="H38" i="31"/>
  <c r="P38" s="1"/>
  <c r="T38" s="1"/>
  <c r="AN38" s="1"/>
  <c r="P137" i="23"/>
  <c r="T137" s="1"/>
  <c r="AN137" s="1"/>
  <c r="T1058" i="11"/>
  <c r="I1058"/>
  <c r="O1058"/>
  <c r="Q1058" s="1"/>
  <c r="O1312"/>
  <c r="Q1312" s="1"/>
  <c r="T1312"/>
  <c r="I1312"/>
  <c r="L275" i="7"/>
  <c r="K1310" i="11"/>
  <c r="M1311"/>
  <c r="H136" i="23"/>
  <c r="I181" i="7"/>
  <c r="Q182"/>
  <c r="U182" s="1"/>
  <c r="U1311" i="11"/>
  <c r="H1310"/>
  <c r="P1311"/>
  <c r="AH183" i="7"/>
  <c r="M1058" i="11"/>
  <c r="V1306" l="1"/>
  <c r="AN183" i="7"/>
  <c r="Q1305" i="11"/>
  <c r="Q1057"/>
  <c r="H35" i="31"/>
  <c r="H39" s="1"/>
  <c r="I322" i="7"/>
  <c r="Q181"/>
  <c r="I97"/>
  <c r="Q1021" i="11"/>
  <c r="Q1024" s="1"/>
  <c r="Q1028" s="1"/>
  <c r="O1024"/>
  <c r="O1028" s="1"/>
  <c r="V1021"/>
  <c r="I1024"/>
  <c r="O1377"/>
  <c r="I1377"/>
  <c r="G1380"/>
  <c r="G1384" s="1"/>
  <c r="V1305"/>
  <c r="I1408"/>
  <c r="I1410" s="1"/>
  <c r="I1406"/>
  <c r="G135" i="23"/>
  <c r="P263" i="7"/>
  <c r="H187"/>
  <c r="T266"/>
  <c r="R266"/>
  <c r="L1416" i="11"/>
  <c r="L1347"/>
  <c r="L1349" s="1"/>
  <c r="P1304"/>
  <c r="P1299" s="1"/>
  <c r="P1416" s="1"/>
  <c r="U1304"/>
  <c r="H1299"/>
  <c r="H135" i="23"/>
  <c r="Q263" i="7"/>
  <c r="I187"/>
  <c r="I1378" i="11"/>
  <c r="N296" i="7" s="1"/>
  <c r="O1378" i="11"/>
  <c r="L296" i="7"/>
  <c r="O1036" i="11"/>
  <c r="O1040" s="1"/>
  <c r="Q1033"/>
  <c r="Q1036" s="1"/>
  <c r="Q1040" s="1"/>
  <c r="R1040" s="1"/>
  <c r="G35" i="31"/>
  <c r="G39" s="1"/>
  <c r="P181" i="7"/>
  <c r="H322"/>
  <c r="H97"/>
  <c r="J322"/>
  <c r="J97"/>
  <c r="M1052" i="11"/>
  <c r="K1059"/>
  <c r="K1063" s="1"/>
  <c r="M1056"/>
  <c r="M1059" s="1"/>
  <c r="M1063" s="1"/>
  <c r="AC137" i="23"/>
  <c r="AA38" i="31"/>
  <c r="AE137" i="23"/>
  <c r="AC263" i="7"/>
  <c r="AG266"/>
  <c r="H1028" i="11"/>
  <c r="U1024"/>
  <c r="K1299"/>
  <c r="K1416" s="1"/>
  <c r="M1304"/>
  <c r="M1299" s="1"/>
  <c r="M1416" s="1"/>
  <c r="L1418"/>
  <c r="AJ38" i="31"/>
  <c r="K1388" i="11"/>
  <c r="M1377"/>
  <c r="V1311"/>
  <c r="H1308"/>
  <c r="P1310"/>
  <c r="P1308" s="1"/>
  <c r="U1310"/>
  <c r="AO182" i="7"/>
  <c r="H37" i="31"/>
  <c r="P37" s="1"/>
  <c r="T37" s="1"/>
  <c r="P136" i="23"/>
  <c r="T136" s="1"/>
  <c r="AN136" s="1"/>
  <c r="M1310" i="11"/>
  <c r="M1308" s="1"/>
  <c r="M1415" s="1"/>
  <c r="K1308"/>
  <c r="K1415" s="1"/>
  <c r="V1312"/>
  <c r="N275" i="7"/>
  <c r="V1047" i="11"/>
  <c r="I1051"/>
  <c r="V1051" s="1"/>
  <c r="G1028"/>
  <c r="T1024"/>
  <c r="I1304"/>
  <c r="G1299"/>
  <c r="O1304"/>
  <c r="T1304"/>
  <c r="P1378"/>
  <c r="M296" i="7"/>
  <c r="P1377" i="11"/>
  <c r="P1380" s="1"/>
  <c r="P1384" s="1"/>
  <c r="H1380"/>
  <c r="AK266" i="7"/>
  <c r="AO266"/>
  <c r="V1033" i="11"/>
  <c r="I1036"/>
  <c r="T1036"/>
  <c r="G1040"/>
  <c r="G1059"/>
  <c r="O1056"/>
  <c r="T1056"/>
  <c r="I1056"/>
  <c r="T182" i="7"/>
  <c r="R182"/>
  <c r="G37" i="31"/>
  <c r="O136" i="23"/>
  <c r="I136"/>
  <c r="U1036" i="11"/>
  <c r="H1040"/>
  <c r="U1056"/>
  <c r="H1059"/>
  <c r="P1056"/>
  <c r="P1059" s="1"/>
  <c r="P1063" s="1"/>
  <c r="AA136" i="23"/>
  <c r="AB181" i="7"/>
  <c r="AD182"/>
  <c r="AF182"/>
  <c r="O38" i="31"/>
  <c r="I38"/>
  <c r="S137" i="23"/>
  <c r="Q137"/>
  <c r="AJ183" i="7"/>
  <c r="V183"/>
  <c r="AP183" s="1"/>
  <c r="AF266"/>
  <c r="AD266"/>
  <c r="AB263"/>
  <c r="G1308" i="11"/>
  <c r="O1310"/>
  <c r="I1310"/>
  <c r="T1310"/>
  <c r="AB136" i="23"/>
  <c r="AC181" i="7"/>
  <c r="AG182"/>
  <c r="AK182" s="1"/>
  <c r="V1058" i="11"/>
  <c r="Q1306"/>
  <c r="L1313"/>
  <c r="L1342" s="1"/>
  <c r="AL183" i="7"/>
  <c r="BH183" s="1"/>
  <c r="AJ137" i="23"/>
  <c r="L1388" i="11"/>
  <c r="P1388"/>
  <c r="M1388"/>
  <c r="Q1311"/>
  <c r="AB35" i="31" l="1"/>
  <c r="AB39" s="1"/>
  <c r="AC322" i="7"/>
  <c r="AG181"/>
  <c r="AC97"/>
  <c r="Q1310" i="11"/>
  <c r="Q1308" s="1"/>
  <c r="Q1415" s="1"/>
  <c r="O1308"/>
  <c r="O1415" s="1"/>
  <c r="AA135" i="23"/>
  <c r="AD263" i="7"/>
  <c r="AD187" s="1"/>
  <c r="AD293" s="1"/>
  <c r="AF263"/>
  <c r="AB187"/>
  <c r="AN266"/>
  <c r="AH266"/>
  <c r="U137" i="23"/>
  <c r="AI137"/>
  <c r="AK137" s="1"/>
  <c r="Q38" i="31"/>
  <c r="S38"/>
  <c r="AA37"/>
  <c r="AC136" i="23"/>
  <c r="AE136"/>
  <c r="U1059" i="11"/>
  <c r="H1063"/>
  <c r="H1052"/>
  <c r="U1040"/>
  <c r="O37" i="31"/>
  <c r="I37"/>
  <c r="AJ182" i="7"/>
  <c r="AI182" s="1"/>
  <c r="AL182" s="1"/>
  <c r="BH182" s="1"/>
  <c r="V182"/>
  <c r="T1059" i="11"/>
  <c r="G1063"/>
  <c r="Q1304"/>
  <c r="Q1299" s="1"/>
  <c r="O1299"/>
  <c r="O1416" s="1"/>
  <c r="V1304"/>
  <c r="I1299"/>
  <c r="T1028"/>
  <c r="G1388"/>
  <c r="AN37" i="31"/>
  <c r="P1313" i="11"/>
  <c r="P1342" s="1"/>
  <c r="P1415"/>
  <c r="P1418" s="1"/>
  <c r="AM137" i="23"/>
  <c r="AG137"/>
  <c r="I293" i="7"/>
  <c r="H36" i="31"/>
  <c r="P36" s="1"/>
  <c r="P135" i="23"/>
  <c r="H134"/>
  <c r="L1363" i="11"/>
  <c r="H26" i="32"/>
  <c r="H25" s="1"/>
  <c r="H293" i="7"/>
  <c r="G36" i="31"/>
  <c r="I135" i="23"/>
  <c r="I134" s="1"/>
  <c r="I106" s="1"/>
  <c r="O135"/>
  <c r="G134"/>
  <c r="R1028" i="11"/>
  <c r="Q1388"/>
  <c r="U181" i="7"/>
  <c r="Q322"/>
  <c r="M1389" i="11"/>
  <c r="Q1378"/>
  <c r="Q1377"/>
  <c r="AB37" i="31"/>
  <c r="AF37" s="1"/>
  <c r="AJ37" s="1"/>
  <c r="AF136" i="23"/>
  <c r="AJ136" s="1"/>
  <c r="V1310" i="11"/>
  <c r="I1308"/>
  <c r="T1308"/>
  <c r="G1313"/>
  <c r="G1342" s="1"/>
  <c r="G1415"/>
  <c r="AN182" i="7"/>
  <c r="AH182"/>
  <c r="AF181"/>
  <c r="AA35" i="31"/>
  <c r="AA39" s="1"/>
  <c r="AD181" i="7"/>
  <c r="AD322" s="1"/>
  <c r="AB322"/>
  <c r="AB97"/>
  <c r="S136" i="23"/>
  <c r="Q136"/>
  <c r="I1059" i="11"/>
  <c r="V1056"/>
  <c r="O1059"/>
  <c r="O1063" s="1"/>
  <c r="Q1056"/>
  <c r="Q1059" s="1"/>
  <c r="Q1063" s="1"/>
  <c r="R1063" s="1"/>
  <c r="T1040"/>
  <c r="G1052"/>
  <c r="V1036"/>
  <c r="I1040"/>
  <c r="V1040" s="1"/>
  <c r="U1380"/>
  <c r="H1384"/>
  <c r="U1384" s="1"/>
  <c r="T1299"/>
  <c r="G1347"/>
  <c r="G1416"/>
  <c r="U1308"/>
  <c r="H1313"/>
  <c r="H1415"/>
  <c r="U1028"/>
  <c r="H1388"/>
  <c r="AB135" i="23"/>
  <c r="AG263" i="7"/>
  <c r="AC187"/>
  <c r="AC38" i="31"/>
  <c r="AE38"/>
  <c r="AG38" s="1"/>
  <c r="J294" i="7"/>
  <c r="J295" s="1"/>
  <c r="J296" s="1"/>
  <c r="J185"/>
  <c r="J267" s="1"/>
  <c r="P97"/>
  <c r="H294"/>
  <c r="H185"/>
  <c r="P185" s="1"/>
  <c r="P322"/>
  <c r="T181"/>
  <c r="R181"/>
  <c r="U263"/>
  <c r="Q187"/>
  <c r="U1299" i="11"/>
  <c r="H1347"/>
  <c r="H1416"/>
  <c r="AJ266" i="7"/>
  <c r="AI266" s="1"/>
  <c r="AL266" s="1"/>
  <c r="V266"/>
  <c r="AP266" s="1"/>
  <c r="R263"/>
  <c r="R187" s="1"/>
  <c r="R293" s="1"/>
  <c r="T263"/>
  <c r="P187"/>
  <c r="V1024" i="11"/>
  <c r="I1028"/>
  <c r="Q97" i="7"/>
  <c r="I185"/>
  <c r="Q185" s="1"/>
  <c r="U185" s="1"/>
  <c r="I294"/>
  <c r="L1419" i="11"/>
  <c r="K1389"/>
  <c r="I1380"/>
  <c r="I1384" s="1"/>
  <c r="O1388" l="1"/>
  <c r="AO137" i="23"/>
  <c r="V1028" i="11"/>
  <c r="I1388"/>
  <c r="P293" i="7"/>
  <c r="P267"/>
  <c r="Q293"/>
  <c r="Q267"/>
  <c r="J269"/>
  <c r="J275"/>
  <c r="J80" i="14"/>
  <c r="AC293" i="7"/>
  <c r="AB36" i="31"/>
  <c r="AF36" s="1"/>
  <c r="AF35" s="1"/>
  <c r="AF135" i="23"/>
  <c r="AF134" s="1"/>
  <c r="AB134"/>
  <c r="U1313" i="11"/>
  <c r="H1342"/>
  <c r="U1342" s="1"/>
  <c r="V1059"/>
  <c r="I1063"/>
  <c r="U136" i="23"/>
  <c r="AM136"/>
  <c r="G41" i="34"/>
  <c r="G106" i="23"/>
  <c r="H38" i="32"/>
  <c r="H41" i="34"/>
  <c r="H106" i="23"/>
  <c r="T36" i="31"/>
  <c r="P35"/>
  <c r="P39" s="1"/>
  <c r="Q1416" i="11"/>
  <c r="AR50" i="14"/>
  <c r="S37" i="31"/>
  <c r="Q37"/>
  <c r="U1052" i="11"/>
  <c r="P1052"/>
  <c r="P1389" s="1"/>
  <c r="H1389"/>
  <c r="U38" i="31"/>
  <c r="AM38"/>
  <c r="AI38"/>
  <c r="AK38" s="1"/>
  <c r="AB293" i="7"/>
  <c r="AG97"/>
  <c r="AG294" s="1"/>
  <c r="AC294"/>
  <c r="AC185"/>
  <c r="AG185" s="1"/>
  <c r="AO185" s="1"/>
  <c r="R322"/>
  <c r="AO38" i="31"/>
  <c r="G1418" i="11"/>
  <c r="H267" i="7"/>
  <c r="I295"/>
  <c r="I296" s="1"/>
  <c r="AK185"/>
  <c r="H1349" i="11"/>
  <c r="P1347"/>
  <c r="P1349" s="1"/>
  <c r="P1363" s="1"/>
  <c r="U1347"/>
  <c r="U97" i="7"/>
  <c r="Q294"/>
  <c r="V263"/>
  <c r="V187" s="1"/>
  <c r="AJ263"/>
  <c r="T187"/>
  <c r="AK263"/>
  <c r="AK187" s="1"/>
  <c r="U187"/>
  <c r="T322"/>
  <c r="V181"/>
  <c r="V322" s="1"/>
  <c r="AJ181"/>
  <c r="T185"/>
  <c r="R185"/>
  <c r="R267" s="1"/>
  <c r="T97"/>
  <c r="R97"/>
  <c r="R294" s="1"/>
  <c r="R295" s="1"/>
  <c r="R296" s="1"/>
  <c r="P294"/>
  <c r="AO263"/>
  <c r="AG187"/>
  <c r="I1347" i="11"/>
  <c r="I1349" s="1"/>
  <c r="I1363" s="1"/>
  <c r="I1404" s="1"/>
  <c r="G1349"/>
  <c r="O1052"/>
  <c r="T1052"/>
  <c r="I1052"/>
  <c r="G1389"/>
  <c r="AD97" i="7"/>
  <c r="AD294" s="1"/>
  <c r="AD295" s="1"/>
  <c r="AD296" s="1"/>
  <c r="AD298" s="1"/>
  <c r="AB185"/>
  <c r="AF97"/>
  <c r="AB294"/>
  <c r="AN181"/>
  <c r="AH181"/>
  <c r="AF322"/>
  <c r="V1308" i="11"/>
  <c r="I1313"/>
  <c r="I1342" s="1"/>
  <c r="I1415"/>
  <c r="AO181" i="7"/>
  <c r="U322"/>
  <c r="AK181"/>
  <c r="AK322" s="1"/>
  <c r="S135" i="23"/>
  <c r="Q135"/>
  <c r="Q134" s="1"/>
  <c r="Q106" s="1"/>
  <c r="O134"/>
  <c r="O106" s="1"/>
  <c r="I36" i="31"/>
  <c r="I35" s="1"/>
  <c r="I39" s="1"/>
  <c r="I41" s="1"/>
  <c r="O36"/>
  <c r="L1404" i="11"/>
  <c r="L1393"/>
  <c r="T135" i="23"/>
  <c r="P134"/>
  <c r="P106" s="1"/>
  <c r="V1299" i="11"/>
  <c r="I1416"/>
  <c r="T1063"/>
  <c r="U1063"/>
  <c r="AI136" i="23"/>
  <c r="AK136" s="1"/>
  <c r="AG136"/>
  <c r="AO136" s="1"/>
  <c r="AE37" i="31"/>
  <c r="AG37" s="1"/>
  <c r="AC37"/>
  <c r="AN263" i="7"/>
  <c r="AH263"/>
  <c r="AF187"/>
  <c r="AF293" s="1"/>
  <c r="AA36" i="31"/>
  <c r="AC135" i="23"/>
  <c r="AC134" s="1"/>
  <c r="AC106" s="1"/>
  <c r="AA134"/>
  <c r="AE135"/>
  <c r="H1418" i="11"/>
  <c r="H295" i="7"/>
  <c r="H296" s="1"/>
  <c r="I267"/>
  <c r="P1419" i="11"/>
  <c r="AP182" i="7"/>
  <c r="AG322"/>
  <c r="I269" l="1"/>
  <c r="I275"/>
  <c r="I80" i="14"/>
  <c r="AE134" i="23"/>
  <c r="AG135"/>
  <c r="AG134" s="1"/>
  <c r="T134"/>
  <c r="T106" s="1"/>
  <c r="AJ135"/>
  <c r="AJ134" s="1"/>
  <c r="AJ106" s="1"/>
  <c r="AN135"/>
  <c r="AH97" i="7"/>
  <c r="AH294" s="1"/>
  <c r="AF294"/>
  <c r="V1052" i="11"/>
  <c r="I1389"/>
  <c r="Q1052"/>
  <c r="Q1389" s="1"/>
  <c r="O1389"/>
  <c r="R275" i="7"/>
  <c r="R80" i="14"/>
  <c r="AJ322" i="7"/>
  <c r="AL181"/>
  <c r="AK293"/>
  <c r="AK267"/>
  <c r="AL263"/>
  <c r="AJ187"/>
  <c r="AJ293" s="1"/>
  <c r="U1349" i="11"/>
  <c r="H1363"/>
  <c r="D26" i="32"/>
  <c r="U37" i="31"/>
  <c r="AM37"/>
  <c r="AI37"/>
  <c r="AK37" s="1"/>
  <c r="T35"/>
  <c r="T39" s="1"/>
  <c r="AN36"/>
  <c r="AJ36"/>
  <c r="AJ35" s="1"/>
  <c r="AJ39" s="1"/>
  <c r="AJ41" s="1"/>
  <c r="P41" i="34"/>
  <c r="T41" s="1"/>
  <c r="H36"/>
  <c r="O41"/>
  <c r="I41"/>
  <c r="G36"/>
  <c r="AN134" i="23"/>
  <c r="AF106"/>
  <c r="H1419" i="11"/>
  <c r="AO37" i="31"/>
  <c r="AB295" i="7"/>
  <c r="AB296" s="1"/>
  <c r="AB298" s="1"/>
  <c r="AC267"/>
  <c r="Q295"/>
  <c r="Q296" s="1"/>
  <c r="P295"/>
  <c r="P296" s="1"/>
  <c r="AA41" i="34"/>
  <c r="AA106" i="23"/>
  <c r="AE36" i="31"/>
  <c r="AC36"/>
  <c r="AC35" s="1"/>
  <c r="AC39" s="1"/>
  <c r="AC41" s="1"/>
  <c r="AP263" i="7"/>
  <c r="AH187"/>
  <c r="AH293" s="1"/>
  <c r="Q36" i="31"/>
  <c r="Q35" s="1"/>
  <c r="Q39" s="1"/>
  <c r="Q41" s="1"/>
  <c r="S36"/>
  <c r="O35"/>
  <c r="O39" s="1"/>
  <c r="O41" s="1"/>
  <c r="U135" i="23"/>
  <c r="S134"/>
  <c r="S106" s="1"/>
  <c r="AM135"/>
  <c r="AI135"/>
  <c r="AP181" i="7"/>
  <c r="AH322"/>
  <c r="AF185"/>
  <c r="AD185"/>
  <c r="AD267" s="1"/>
  <c r="G1363" i="11"/>
  <c r="C26" i="32"/>
  <c r="AG293" i="7"/>
  <c r="AG295" s="1"/>
  <c r="AG296" s="1"/>
  <c r="AG267"/>
  <c r="V97"/>
  <c r="AN97"/>
  <c r="T294"/>
  <c r="AN294" s="1"/>
  <c r="AJ97"/>
  <c r="V185"/>
  <c r="AJ185"/>
  <c r="AL185" s="1"/>
  <c r="AO187"/>
  <c r="U293"/>
  <c r="U267"/>
  <c r="T293"/>
  <c r="T267"/>
  <c r="AN187"/>
  <c r="V293"/>
  <c r="AP187"/>
  <c r="AK97"/>
  <c r="AK294" s="1"/>
  <c r="U294"/>
  <c r="AO294" s="1"/>
  <c r="AO97"/>
  <c r="P1404" i="11"/>
  <c r="P1393"/>
  <c r="H275" i="7"/>
  <c r="G275" s="1"/>
  <c r="H80" i="14"/>
  <c r="H269" i="7"/>
  <c r="H17" i="23"/>
  <c r="H41" i="31"/>
  <c r="G17" i="23"/>
  <c r="G41" i="31"/>
  <c r="V1063" i="11"/>
  <c r="I1393"/>
  <c r="AB41" i="34"/>
  <c r="AB106" i="23"/>
  <c r="AF39" i="31"/>
  <c r="AF41" s="1"/>
  <c r="Q80" i="14"/>
  <c r="Q275" i="7"/>
  <c r="P80" i="14"/>
  <c r="P275" i="7"/>
  <c r="I1418" i="11"/>
  <c r="I1419" s="1"/>
  <c r="AB267" i="7"/>
  <c r="P41" i="31"/>
  <c r="AC295" i="7"/>
  <c r="AC296" s="1"/>
  <c r="AC298" s="1"/>
  <c r="AN35" i="31" l="1"/>
  <c r="AF41" i="34"/>
  <c r="AB36"/>
  <c r="G138" i="23"/>
  <c r="O17"/>
  <c r="I17"/>
  <c r="I138" s="1"/>
  <c r="P17"/>
  <c r="H138"/>
  <c r="AP293" i="7"/>
  <c r="T80" i="14"/>
  <c r="T275" i="7"/>
  <c r="U275"/>
  <c r="U80" i="14"/>
  <c r="AO267" i="7"/>
  <c r="V267"/>
  <c r="V294"/>
  <c r="V295" s="1"/>
  <c r="V296" s="1"/>
  <c r="AP97"/>
  <c r="G1404" i="11"/>
  <c r="G1393"/>
  <c r="AN185" i="7"/>
  <c r="AH185"/>
  <c r="AP185" s="1"/>
  <c r="U134" i="23"/>
  <c r="U106" s="1"/>
  <c r="AO135"/>
  <c r="U36" i="31"/>
  <c r="S35"/>
  <c r="S39" s="1"/>
  <c r="AI36"/>
  <c r="AM36"/>
  <c r="AA17" i="23"/>
  <c r="AA41" i="31"/>
  <c r="AC275" i="7"/>
  <c r="AC80" i="14"/>
  <c r="P36" i="34"/>
  <c r="T36" s="1"/>
  <c r="H17"/>
  <c r="T41" i="31"/>
  <c r="AN39"/>
  <c r="D25" i="32"/>
  <c r="L26"/>
  <c r="L25" s="1"/>
  <c r="P26"/>
  <c r="BH263" i="7"/>
  <c r="AL187"/>
  <c r="AO134" i="23"/>
  <c r="AG106"/>
  <c r="G1419" i="11"/>
  <c r="AK295" i="7"/>
  <c r="AK296" s="1"/>
  <c r="AP294"/>
  <c r="AB275"/>
  <c r="AB80" i="14"/>
  <c r="AB41" i="31"/>
  <c r="AB17" i="23"/>
  <c r="AN293" i="7"/>
  <c r="T295"/>
  <c r="T296" s="1"/>
  <c r="AO293"/>
  <c r="U295"/>
  <c r="AJ294"/>
  <c r="AL97"/>
  <c r="AL294" s="1"/>
  <c r="BH294" s="1"/>
  <c r="AG275"/>
  <c r="AG80" i="14"/>
  <c r="C25" i="32"/>
  <c r="C38" s="1"/>
  <c r="E26"/>
  <c r="E25" s="1"/>
  <c r="AD80" i="14"/>
  <c r="AD275" i="7"/>
  <c r="AK135" i="23"/>
  <c r="AK134" s="1"/>
  <c r="AI134"/>
  <c r="AI106" s="1"/>
  <c r="AG36" i="31"/>
  <c r="AG35" s="1"/>
  <c r="AE35"/>
  <c r="AE41" i="34"/>
  <c r="AG41" s="1"/>
  <c r="AC41"/>
  <c r="AA36"/>
  <c r="O36"/>
  <c r="I36"/>
  <c r="G17"/>
  <c r="S41"/>
  <c r="Q41"/>
  <c r="AN41"/>
  <c r="AJ41"/>
  <c r="U1363" i="11"/>
  <c r="H1404"/>
  <c r="H1393"/>
  <c r="AK275" i="7"/>
  <c r="AK80" i="14"/>
  <c r="AM134" i="23"/>
  <c r="AE106"/>
  <c r="AM106" s="1"/>
  <c r="AL322" i="7"/>
  <c r="AN322" s="1"/>
  <c r="AN106" i="23"/>
  <c r="U41" i="34" l="1"/>
  <c r="AM41"/>
  <c r="AI41"/>
  <c r="AK41" s="1"/>
  <c r="AA17"/>
  <c r="AC36"/>
  <c r="AE36"/>
  <c r="AG39" i="31"/>
  <c r="AG41" s="1"/>
  <c r="AP134" i="23"/>
  <c r="AK106"/>
  <c r="BH187" i="7"/>
  <c r="AL293"/>
  <c r="BH293" s="1"/>
  <c r="D38" i="32"/>
  <c r="P25"/>
  <c r="AA138" i="23"/>
  <c r="AC17"/>
  <c r="AC138" s="1"/>
  <c r="AE17"/>
  <c r="AK36" i="31"/>
  <c r="AK35" s="1"/>
  <c r="AK39" s="1"/>
  <c r="AK41" s="1"/>
  <c r="AI35"/>
  <c r="AI39" s="1"/>
  <c r="AI41" s="1"/>
  <c r="U35"/>
  <c r="U39" s="1"/>
  <c r="AO36"/>
  <c r="V275" i="7"/>
  <c r="V80" i="14"/>
  <c r="H142" i="23"/>
  <c r="H140"/>
  <c r="I140"/>
  <c r="I142"/>
  <c r="G142"/>
  <c r="G140"/>
  <c r="AO41" i="34"/>
  <c r="E38" i="32"/>
  <c r="AO106" i="23"/>
  <c r="I17" i="34"/>
  <c r="I43" s="1"/>
  <c r="I45" s="1"/>
  <c r="G43"/>
  <c r="G45" s="1"/>
  <c r="O17"/>
  <c r="S36"/>
  <c r="Q36"/>
  <c r="AM35" i="31"/>
  <c r="AE39"/>
  <c r="AE41" s="1"/>
  <c r="U296" i="7"/>
  <c r="AO296" s="1"/>
  <c r="AO295"/>
  <c r="AF17" i="23"/>
  <c r="AF138" s="1"/>
  <c r="AB138"/>
  <c r="P17" i="34"/>
  <c r="H43"/>
  <c r="H45" s="1"/>
  <c r="S41" i="31"/>
  <c r="AM39"/>
  <c r="AM41" s="1"/>
  <c r="P138" i="23"/>
  <c r="T17"/>
  <c r="S17"/>
  <c r="O138"/>
  <c r="Q17"/>
  <c r="Q138" s="1"/>
  <c r="AF36" i="34"/>
  <c r="AJ36" s="1"/>
  <c r="AB17"/>
  <c r="AN41" i="31"/>
  <c r="O140" i="23" l="1"/>
  <c r="O142"/>
  <c r="T138"/>
  <c r="AJ17"/>
  <c r="AJ138" s="1"/>
  <c r="AN17"/>
  <c r="AB140"/>
  <c r="AB142"/>
  <c r="Q17" i="34"/>
  <c r="Q43" s="1"/>
  <c r="Q45" s="1"/>
  <c r="S17"/>
  <c r="O43"/>
  <c r="O45" s="1"/>
  <c r="AA140" i="23"/>
  <c r="AA142"/>
  <c r="P38" i="32"/>
  <c r="L38"/>
  <c r="AG17" i="23"/>
  <c r="AN36" i="34"/>
  <c r="AO35" i="31"/>
  <c r="AB43" i="34"/>
  <c r="AB45" s="1"/>
  <c r="AF17"/>
  <c r="AF43" s="1"/>
  <c r="AF45" s="1"/>
  <c r="Q142" i="23"/>
  <c r="Q140"/>
  <c r="S138"/>
  <c r="AM17"/>
  <c r="AI17"/>
  <c r="AK17" s="1"/>
  <c r="U17"/>
  <c r="P142"/>
  <c r="P140"/>
  <c r="T17" i="34"/>
  <c r="P43"/>
  <c r="P45" s="1"/>
  <c r="AF142" i="23"/>
  <c r="AF140"/>
  <c r="AM36" i="34"/>
  <c r="U36"/>
  <c r="U41" i="31"/>
  <c r="AO39"/>
  <c r="AO41" s="1"/>
  <c r="AC140" i="23"/>
  <c r="AC142"/>
  <c r="AI36" i="34"/>
  <c r="AK36" s="1"/>
  <c r="AP36" s="1"/>
  <c r="AG36"/>
  <c r="AA43"/>
  <c r="AA45" s="1"/>
  <c r="AC17"/>
  <c r="AC43" s="1"/>
  <c r="AC45" s="1"/>
  <c r="AE17"/>
  <c r="AG17" l="1"/>
  <c r="U138" i="23"/>
  <c r="AO17"/>
  <c r="AI17" i="34"/>
  <c r="AM17"/>
  <c r="S43"/>
  <c r="S45" s="1"/>
  <c r="U17"/>
  <c r="T142" i="23"/>
  <c r="T140"/>
  <c r="AN138"/>
  <c r="AO36" i="34"/>
  <c r="T43"/>
  <c r="AN17"/>
  <c r="AJ17"/>
  <c r="AJ43" s="1"/>
  <c r="AJ45" s="1"/>
  <c r="S142" i="23"/>
  <c r="S140"/>
  <c r="AJ142"/>
  <c r="AJ140"/>
  <c r="T45" i="34" l="1"/>
  <c r="AN43"/>
  <c r="AN45" s="1"/>
  <c r="U140" i="23"/>
  <c r="U142"/>
  <c r="AK17" i="34"/>
  <c r="AP17" s="1"/>
  <c r="U43"/>
  <c r="U45" s="1"/>
  <c r="AO17"/>
  <c r="K1646" i="8" l="1"/>
  <c r="K1648" l="1"/>
  <c r="T1646"/>
  <c r="O1646"/>
  <c r="AF38" i="1"/>
  <c r="K1672" i="8"/>
  <c r="K1715"/>
  <c r="J1646"/>
  <c r="T1672" l="1"/>
  <c r="O1672"/>
  <c r="K1674"/>
  <c r="K1656"/>
  <c r="T1648"/>
  <c r="O1648"/>
  <c r="K1714"/>
  <c r="K1863"/>
  <c r="T1715"/>
  <c r="O1715"/>
  <c r="O1714" s="1"/>
  <c r="AN38" i="1"/>
  <c r="AE13" i="22"/>
  <c r="AF286" i="1"/>
  <c r="AF290" s="1"/>
  <c r="AF291" s="1"/>
  <c r="AF26" i="13"/>
  <c r="AF35" i="1"/>
  <c r="AF250" s="1"/>
  <c r="AF251" s="1"/>
  <c r="AF267" s="1"/>
  <c r="M1646" i="8"/>
  <c r="N1646"/>
  <c r="Q1646" s="1"/>
  <c r="R1646" s="1"/>
  <c r="J1648"/>
  <c r="S1646"/>
  <c r="AE38" i="1"/>
  <c r="J1672" i="8"/>
  <c r="J1715"/>
  <c r="AF292" i="1" l="1"/>
  <c r="AF269"/>
  <c r="AR38"/>
  <c r="AR286" s="1"/>
  <c r="AV38"/>
  <c r="AN35"/>
  <c r="AN286"/>
  <c r="K1737" i="8"/>
  <c r="K1829"/>
  <c r="T1714"/>
  <c r="K1906"/>
  <c r="K1907" s="1"/>
  <c r="T1674"/>
  <c r="O1674"/>
  <c r="K1684"/>
  <c r="AF25" i="13"/>
  <c r="AN26"/>
  <c r="BF13" i="22"/>
  <c r="AE13" i="33"/>
  <c r="AM13" s="1"/>
  <c r="AM13" i="22"/>
  <c r="O1906" i="8"/>
  <c r="O1907" s="1"/>
  <c r="O1737"/>
  <c r="O1824" s="1"/>
  <c r="O1829"/>
  <c r="O1831" s="1"/>
  <c r="O1850" s="1"/>
  <c r="T1863"/>
  <c r="O1863"/>
  <c r="K1866"/>
  <c r="T1656"/>
  <c r="O1656"/>
  <c r="S1715"/>
  <c r="N1715"/>
  <c r="M1715"/>
  <c r="J1714"/>
  <c r="J1863"/>
  <c r="AM38" i="1"/>
  <c r="AH38"/>
  <c r="AE286"/>
  <c r="AE290" s="1"/>
  <c r="AE291" s="1"/>
  <c r="AE35"/>
  <c r="AE250" s="1"/>
  <c r="AE251" s="1"/>
  <c r="AE267" s="1"/>
  <c r="AD13" i="22"/>
  <c r="AE26" i="13"/>
  <c r="J1656" i="8"/>
  <c r="S1648"/>
  <c r="N1648"/>
  <c r="Q1648" s="1"/>
  <c r="M1648"/>
  <c r="V1646"/>
  <c r="J1674"/>
  <c r="M1672"/>
  <c r="S1672"/>
  <c r="N1672"/>
  <c r="Q1672" s="1"/>
  <c r="AU13" i="33" l="1"/>
  <c r="AQ13"/>
  <c r="AV26" i="13"/>
  <c r="AR26"/>
  <c r="O1684" i="8"/>
  <c r="O1876" s="1"/>
  <c r="T1684"/>
  <c r="K1876"/>
  <c r="T1737"/>
  <c r="K1824"/>
  <c r="T1824" s="1"/>
  <c r="AR35" i="1"/>
  <c r="AN250"/>
  <c r="AV35"/>
  <c r="AF300"/>
  <c r="AF293"/>
  <c r="AE9" i="22"/>
  <c r="O1908" i="8"/>
  <c r="O1866"/>
  <c r="O1871" s="1"/>
  <c r="K1871"/>
  <c r="T1866"/>
  <c r="AU13" i="22"/>
  <c r="AQ13"/>
  <c r="AF9" i="13"/>
  <c r="AN25"/>
  <c r="T1829" i="8"/>
  <c r="K1831"/>
  <c r="AV286" i="1"/>
  <c r="AN290"/>
  <c r="N1674" i="8"/>
  <c r="Q1674" s="1"/>
  <c r="S1674"/>
  <c r="J1684"/>
  <c r="M1656"/>
  <c r="V1656" s="1"/>
  <c r="V1648"/>
  <c r="AM26" i="13"/>
  <c r="AH26"/>
  <c r="AE25"/>
  <c r="AE269" i="1"/>
  <c r="AE292"/>
  <c r="AH35"/>
  <c r="AH250" s="1"/>
  <c r="AH251" s="1"/>
  <c r="AH267" s="1"/>
  <c r="AH269" s="1"/>
  <c r="AH286"/>
  <c r="AH290" s="1"/>
  <c r="AH291" s="1"/>
  <c r="S1863" i="8"/>
  <c r="N1863"/>
  <c r="Q1863" s="1"/>
  <c r="J1866"/>
  <c r="M1863"/>
  <c r="V1863" s="1"/>
  <c r="V1715"/>
  <c r="M1714"/>
  <c r="M1674"/>
  <c r="V1672"/>
  <c r="S1656"/>
  <c r="N1656"/>
  <c r="Q1656" s="1"/>
  <c r="AD13" i="33"/>
  <c r="AL13" i="22"/>
  <c r="AG13"/>
  <c r="AU38" i="1"/>
  <c r="AQ38"/>
  <c r="AP38"/>
  <c r="AM35"/>
  <c r="AM286"/>
  <c r="S1714" i="8"/>
  <c r="J1906"/>
  <c r="J1907" s="1"/>
  <c r="J1829"/>
  <c r="J1737"/>
  <c r="Q1715"/>
  <c r="Q1714" s="1"/>
  <c r="N1714"/>
  <c r="O1878" l="1"/>
  <c r="AF90" i="13"/>
  <c r="AN9"/>
  <c r="AF78"/>
  <c r="AF80" s="1"/>
  <c r="T1871" i="8"/>
  <c r="BF9" i="22"/>
  <c r="AM9"/>
  <c r="AE138"/>
  <c r="AE9" i="33"/>
  <c r="AN251" i="1"/>
  <c r="AV250"/>
  <c r="AR250"/>
  <c r="AN291"/>
  <c r="AR290"/>
  <c r="AR291" s="1"/>
  <c r="AV290"/>
  <c r="AV291" s="1"/>
  <c r="T1831" i="8"/>
  <c r="K1850"/>
  <c r="G8" i="32"/>
  <c r="AV25" i="13"/>
  <c r="AR25"/>
  <c r="N1829" i="8"/>
  <c r="N1831" s="1"/>
  <c r="N1850" s="1"/>
  <c r="N1737"/>
  <c r="N1824" s="1"/>
  <c r="N1906"/>
  <c r="N1907" s="1"/>
  <c r="N1908" s="1"/>
  <c r="J1824"/>
  <c r="S1824" s="1"/>
  <c r="S1737"/>
  <c r="Q1829"/>
  <c r="Q1831" s="1"/>
  <c r="Q1737"/>
  <c r="Q1824" s="1"/>
  <c r="Q1906"/>
  <c r="Q1907" s="1"/>
  <c r="S1829"/>
  <c r="J1831"/>
  <c r="AP35" i="1"/>
  <c r="AX35" s="1"/>
  <c r="AQ35"/>
  <c r="AT35" s="1"/>
  <c r="AU35"/>
  <c r="AM250"/>
  <c r="AT38"/>
  <c r="AQ286"/>
  <c r="AT286" s="1"/>
  <c r="AL13" i="33"/>
  <c r="AG13"/>
  <c r="V1674" i="8"/>
  <c r="M1684"/>
  <c r="M1866"/>
  <c r="J1871"/>
  <c r="S1866"/>
  <c r="N1866"/>
  <c r="S1684"/>
  <c r="N1684"/>
  <c r="J1876"/>
  <c r="AU286" i="1"/>
  <c r="AM290"/>
  <c r="AX38"/>
  <c r="AP286"/>
  <c r="AO13" i="22"/>
  <c r="AW13" s="1"/>
  <c r="AT13"/>
  <c r="AP13"/>
  <c r="AS13" s="1"/>
  <c r="BB13" s="1"/>
  <c r="M1737" i="8"/>
  <c r="V1714"/>
  <c r="M1829"/>
  <c r="M1906"/>
  <c r="M1907" s="1"/>
  <c r="AD9" i="22"/>
  <c r="AH292" i="1"/>
  <c r="AE293"/>
  <c r="AE300"/>
  <c r="AM25" i="13"/>
  <c r="AE9"/>
  <c r="AH25"/>
  <c r="AQ26"/>
  <c r="AT26" s="1"/>
  <c r="AP26"/>
  <c r="AX26" s="1"/>
  <c r="AU26"/>
  <c r="K1878" i="8" l="1"/>
  <c r="T1850"/>
  <c r="K1908"/>
  <c r="AM9" i="33"/>
  <c r="AE43"/>
  <c r="AU9" i="22"/>
  <c r="AQ9"/>
  <c r="AQ138" s="1"/>
  <c r="AM138"/>
  <c r="K1891" i="8"/>
  <c r="O1891" s="1"/>
  <c r="O8" i="32"/>
  <c r="G7"/>
  <c r="K8"/>
  <c r="AR251" i="1"/>
  <c r="AN267"/>
  <c r="AV251"/>
  <c r="BF138" i="22"/>
  <c r="AE141"/>
  <c r="AE140"/>
  <c r="AN90" i="13"/>
  <c r="AV9"/>
  <c r="AR9"/>
  <c r="AN78"/>
  <c r="AE90"/>
  <c r="AE78"/>
  <c r="AM9"/>
  <c r="AH9"/>
  <c r="AH90" s="1"/>
  <c r="S1871" i="8"/>
  <c r="J1850"/>
  <c r="J1891" s="1"/>
  <c r="F8" i="32"/>
  <c r="S1831" i="8"/>
  <c r="N1878"/>
  <c r="AH293" i="1"/>
  <c r="AH300"/>
  <c r="Q1684" i="8"/>
  <c r="Q1876" s="1"/>
  <c r="N1876"/>
  <c r="N1871"/>
  <c r="Q1866"/>
  <c r="M1876"/>
  <c r="V1684"/>
  <c r="AQ250" i="1"/>
  <c r="AT250" s="1"/>
  <c r="AP250"/>
  <c r="AX250" s="1"/>
  <c r="AU250"/>
  <c r="AM251"/>
  <c r="AP25" i="13"/>
  <c r="AX25" s="1"/>
  <c r="AU25"/>
  <c r="AQ25"/>
  <c r="AT25" s="1"/>
  <c r="AL9" i="22"/>
  <c r="AD138"/>
  <c r="AD9" i="33"/>
  <c r="AG9" i="22"/>
  <c r="AG138" s="1"/>
  <c r="V1829" i="8"/>
  <c r="M1831"/>
  <c r="V1737"/>
  <c r="M1824"/>
  <c r="V1824" s="1"/>
  <c r="AX286" i="1"/>
  <c r="AP290"/>
  <c r="AU290"/>
  <c r="AU291" s="1"/>
  <c r="AM291"/>
  <c r="AQ290"/>
  <c r="V1866" i="8"/>
  <c r="M1871"/>
  <c r="V1871" s="1"/>
  <c r="AP13" i="33"/>
  <c r="AS13" s="1"/>
  <c r="AT13"/>
  <c r="AO13"/>
  <c r="AW13" s="1"/>
  <c r="AB1831" i="8"/>
  <c r="Q1850"/>
  <c r="Q1878" s="1"/>
  <c r="R1831"/>
  <c r="Q1908" l="1"/>
  <c r="AR90" i="13"/>
  <c r="AR78"/>
  <c r="K7" i="32"/>
  <c r="O7"/>
  <c r="AE44" i="33"/>
  <c r="AE46"/>
  <c r="AE45"/>
  <c r="AN80" i="13"/>
  <c r="AV78"/>
  <c r="AN269" i="1"/>
  <c r="AR267"/>
  <c r="AR269" s="1"/>
  <c r="AN292"/>
  <c r="AV267"/>
  <c r="AM140" i="22"/>
  <c r="AM141"/>
  <c r="AU138"/>
  <c r="AM43" i="33"/>
  <c r="AQ9"/>
  <c r="AQ43" s="1"/>
  <c r="AU9"/>
  <c r="AT290" i="1"/>
  <c r="AT291" s="1"/>
  <c r="AQ291"/>
  <c r="AD43" i="33"/>
  <c r="AL9"/>
  <c r="AG9"/>
  <c r="AG43" s="1"/>
  <c r="AT9" i="22"/>
  <c r="AO9"/>
  <c r="AP9"/>
  <c r="AL138"/>
  <c r="AU251" i="1"/>
  <c r="AP251"/>
  <c r="AM267"/>
  <c r="AQ251"/>
  <c r="AT251" s="1"/>
  <c r="Q1871" i="8"/>
  <c r="R1871" s="1"/>
  <c r="R1866"/>
  <c r="S1850"/>
  <c r="J1878"/>
  <c r="J1908"/>
  <c r="AU9" i="13"/>
  <c r="AP9"/>
  <c r="AQ9"/>
  <c r="AM90"/>
  <c r="AM78"/>
  <c r="AX290" i="1"/>
  <c r="AX291" s="1"/>
  <c r="AP291"/>
  <c r="V1831" i="8"/>
  <c r="M1850"/>
  <c r="AG140" i="22"/>
  <c r="AG141"/>
  <c r="AD141"/>
  <c r="AD140"/>
  <c r="N8" i="32"/>
  <c r="I8"/>
  <c r="Q8" s="1"/>
  <c r="J8"/>
  <c r="M8" s="1"/>
  <c r="R8" s="1"/>
  <c r="F7"/>
  <c r="M1891" i="8"/>
  <c r="N1891"/>
  <c r="Q1891" s="1"/>
  <c r="AE80" i="13"/>
  <c r="AH78"/>
  <c r="AQ46" i="33" l="1"/>
  <c r="AQ45"/>
  <c r="AQ44"/>
  <c r="AU140" i="22"/>
  <c r="AU141"/>
  <c r="AN293" i="1"/>
  <c r="AR292"/>
  <c r="AN300"/>
  <c r="AV292"/>
  <c r="AQ141" i="22"/>
  <c r="AM45" i="33"/>
  <c r="AU43"/>
  <c r="AM46"/>
  <c r="AM44"/>
  <c r="AV80" i="13"/>
  <c r="AQ140" i="22"/>
  <c r="AR80" i="13"/>
  <c r="AP90"/>
  <c r="AP78"/>
  <c r="AX9"/>
  <c r="AM269" i="1"/>
  <c r="AQ267"/>
  <c r="AM292"/>
  <c r="AU267"/>
  <c r="AS9" i="22"/>
  <c r="AP138"/>
  <c r="AP9" i="33"/>
  <c r="AO9"/>
  <c r="AT9"/>
  <c r="AL43"/>
  <c r="AH81" i="13"/>
  <c r="AH80"/>
  <c r="J7" i="32"/>
  <c r="M7" s="1"/>
  <c r="R7" s="1"/>
  <c r="I7"/>
  <c r="Q7" s="1"/>
  <c r="N7"/>
  <c r="F38"/>
  <c r="V1850" i="8"/>
  <c r="M1878"/>
  <c r="M1908"/>
  <c r="AU78" i="13"/>
  <c r="AU80" s="1"/>
  <c r="AM80"/>
  <c r="AT9"/>
  <c r="AQ90"/>
  <c r="AQ78"/>
  <c r="AQ80" s="1"/>
  <c r="AP267" i="1"/>
  <c r="AX251"/>
  <c r="AL140" i="22"/>
  <c r="AL141"/>
  <c r="AT138"/>
  <c r="AW9"/>
  <c r="AO138"/>
  <c r="AG46" i="33"/>
  <c r="AG45"/>
  <c r="AG44"/>
  <c r="AD45"/>
  <c r="AD46"/>
  <c r="AD44"/>
  <c r="AR293" i="1" l="1"/>
  <c r="AR300"/>
  <c r="AU46" i="33"/>
  <c r="AU44"/>
  <c r="AU45"/>
  <c r="AT78" i="13"/>
  <c r="AT90"/>
  <c r="AT92" s="1"/>
  <c r="BD9"/>
  <c r="N38" i="32"/>
  <c r="J38"/>
  <c r="AL45" i="33"/>
  <c r="AT43"/>
  <c r="AL46"/>
  <c r="AL44"/>
  <c r="AW9"/>
  <c r="AO43"/>
  <c r="AP140" i="22"/>
  <c r="AP141"/>
  <c r="AT267" i="1"/>
  <c r="AQ269"/>
  <c r="AO141" i="22"/>
  <c r="AW138"/>
  <c r="AO140"/>
  <c r="AT140"/>
  <c r="AT141"/>
  <c r="AP292" i="1"/>
  <c r="AP269"/>
  <c r="AX267"/>
  <c r="AS9" i="33"/>
  <c r="AS43" s="1"/>
  <c r="AP43"/>
  <c r="AS138" i="22"/>
  <c r="BB9"/>
  <c r="AQ292" i="1"/>
  <c r="AU292"/>
  <c r="AM293"/>
  <c r="AM300"/>
  <c r="AP80" i="13"/>
  <c r="AX78"/>
  <c r="AP81"/>
  <c r="AQ300" i="1" l="1"/>
  <c r="AQ293"/>
  <c r="AT292"/>
  <c r="AS162" i="22"/>
  <c r="BC138"/>
  <c r="AS142"/>
  <c r="AS139"/>
  <c r="BB138"/>
  <c r="AS141"/>
  <c r="AS140"/>
  <c r="AS46" i="33"/>
  <c r="AS47"/>
  <c r="AS44"/>
  <c r="AT280" i="1"/>
  <c r="AT272"/>
  <c r="AT269"/>
  <c r="BD78" i="13"/>
  <c r="AT80"/>
  <c r="AT81"/>
  <c r="AT79"/>
  <c r="AT83"/>
  <c r="AX81"/>
  <c r="AX79"/>
  <c r="AX80"/>
  <c r="AP44" i="33"/>
  <c r="AP46"/>
  <c r="AP45"/>
  <c r="AP293" i="1"/>
  <c r="AX292"/>
  <c r="AP300"/>
  <c r="AW140" i="22"/>
  <c r="AW139"/>
  <c r="AW141"/>
  <c r="AO46" i="33"/>
  <c r="AO44"/>
  <c r="AO45"/>
  <c r="AW43"/>
  <c r="AT46"/>
  <c r="AT45"/>
  <c r="AT44"/>
  <c r="AW44" l="1"/>
  <c r="AW45"/>
  <c r="AW46"/>
  <c r="AT293" i="1"/>
  <c r="AT300"/>
  <c r="K1224" i="11" l="1"/>
  <c r="M1224" l="1"/>
  <c r="T1224"/>
  <c r="K1228"/>
  <c r="O1224"/>
  <c r="X79" i="7"/>
  <c r="K1246" i="11"/>
  <c r="K1281"/>
  <c r="R1656" i="8"/>
  <c r="R1643"/>
  <c r="R1684"/>
  <c r="K1280" i="11" l="1"/>
  <c r="M1281"/>
  <c r="K1376"/>
  <c r="O1281"/>
  <c r="T1281"/>
  <c r="Z79" i="7"/>
  <c r="Z76" s="1"/>
  <c r="AF79"/>
  <c r="X76"/>
  <c r="W13" i="23"/>
  <c r="X26" i="14"/>
  <c r="T1228" i="11"/>
  <c r="K1232"/>
  <c r="M1228"/>
  <c r="V1224"/>
  <c r="T1246"/>
  <c r="K1250"/>
  <c r="M1246"/>
  <c r="V1246" s="1"/>
  <c r="O1246"/>
  <c r="Q1246" s="1"/>
  <c r="O1228"/>
  <c r="O1232" s="1"/>
  <c r="Q1224"/>
  <c r="Q1228" s="1"/>
  <c r="Q1232" s="1"/>
  <c r="S1873" i="8"/>
  <c r="M1232" i="11" l="1"/>
  <c r="V1228"/>
  <c r="W13" i="34"/>
  <c r="W138" i="23"/>
  <c r="Y13"/>
  <c r="Y138" s="1"/>
  <c r="AE13"/>
  <c r="AJ79" i="7"/>
  <c r="AH79"/>
  <c r="AN79"/>
  <c r="AF76"/>
  <c r="K1380" i="11"/>
  <c r="O1376"/>
  <c r="M1376"/>
  <c r="T1376"/>
  <c r="T1280"/>
  <c r="K1347"/>
  <c r="K1313"/>
  <c r="K1417"/>
  <c r="K1418" s="1"/>
  <c r="R1232"/>
  <c r="K1254"/>
  <c r="M1250"/>
  <c r="O1250"/>
  <c r="T1250"/>
  <c r="T1232"/>
  <c r="K1391"/>
  <c r="X25" i="14"/>
  <c r="Z26"/>
  <c r="AF26"/>
  <c r="X291" i="7"/>
  <c r="X295" s="1"/>
  <c r="X296" s="1"/>
  <c r="X267"/>
  <c r="X275" s="1"/>
  <c r="Z291"/>
  <c r="Z295" s="1"/>
  <c r="Z296" s="1"/>
  <c r="Z267"/>
  <c r="Z275" s="1"/>
  <c r="Q1281" i="11"/>
  <c r="Q1280" s="1"/>
  <c r="O1280"/>
  <c r="O1391" s="1"/>
  <c r="V1281"/>
  <c r="M1280"/>
  <c r="Q1417" l="1"/>
  <c r="Q1418" s="1"/>
  <c r="Q1313"/>
  <c r="Q1342" s="1"/>
  <c r="V1250"/>
  <c r="M1254"/>
  <c r="T1313"/>
  <c r="K1342"/>
  <c r="T1342" s="1"/>
  <c r="M1380"/>
  <c r="V1376"/>
  <c r="T1380"/>
  <c r="K1384"/>
  <c r="T1384" s="1"/>
  <c r="AL79" i="7"/>
  <c r="AL76" s="1"/>
  <c r="AJ76"/>
  <c r="Y140" i="23"/>
  <c r="Y142"/>
  <c r="Y13" i="34"/>
  <c r="Y43" s="1"/>
  <c r="Y45" s="1"/>
  <c r="AE13"/>
  <c r="W43"/>
  <c r="W45" s="1"/>
  <c r="V1232" i="11"/>
  <c r="M1391"/>
  <c r="Q1391"/>
  <c r="M1313"/>
  <c r="V1280"/>
  <c r="M1417"/>
  <c r="M1418" s="1"/>
  <c r="O1417"/>
  <c r="O1418" s="1"/>
  <c r="O1313"/>
  <c r="O1342" s="1"/>
  <c r="AJ26" i="14"/>
  <c r="AL26" s="1"/>
  <c r="AN26"/>
  <c r="AH26"/>
  <c r="AP26" s="1"/>
  <c r="Z25"/>
  <c r="Z9" s="1"/>
  <c r="Z76" s="1"/>
  <c r="X9"/>
  <c r="X76" s="1"/>
  <c r="AF25"/>
  <c r="O1254" i="11"/>
  <c r="Q1250"/>
  <c r="Q1254" s="1"/>
  <c r="T1254"/>
  <c r="M1347"/>
  <c r="O1347"/>
  <c r="K1349"/>
  <c r="T1347"/>
  <c r="O1380"/>
  <c r="O1384" s="1"/>
  <c r="Q1376"/>
  <c r="Q1380" s="1"/>
  <c r="Q1384" s="1"/>
  <c r="AF291" i="7"/>
  <c r="AF267"/>
  <c r="AN76"/>
  <c r="AP79"/>
  <c r="AH76"/>
  <c r="AG13" i="23"/>
  <c r="AI13"/>
  <c r="AM13"/>
  <c r="AE138"/>
  <c r="W142"/>
  <c r="W140"/>
  <c r="AM138" l="1"/>
  <c r="AE140"/>
  <c r="AE142"/>
  <c r="AK13"/>
  <c r="AI138"/>
  <c r="AH291" i="7"/>
  <c r="AP76"/>
  <c r="AH267"/>
  <c r="AN291"/>
  <c r="AF295"/>
  <c r="T1349" i="11"/>
  <c r="K1363"/>
  <c r="G26" i="32"/>
  <c r="V1347" i="11"/>
  <c r="M1349"/>
  <c r="X78" i="14"/>
  <c r="X80"/>
  <c r="AI13" i="34"/>
  <c r="AG13"/>
  <c r="AM13"/>
  <c r="AE43"/>
  <c r="AJ291" i="7"/>
  <c r="AJ295" s="1"/>
  <c r="AJ296" s="1"/>
  <c r="AJ267"/>
  <c r="AJ275" s="1"/>
  <c r="V1254" i="11"/>
  <c r="AO13" i="23"/>
  <c r="AG138"/>
  <c r="AN267" i="7"/>
  <c r="AF275"/>
  <c r="Q1347" i="11"/>
  <c r="Q1349" s="1"/>
  <c r="O1349"/>
  <c r="O1363" s="1"/>
  <c r="O1404" s="1"/>
  <c r="R1254"/>
  <c r="AN25" i="14"/>
  <c r="AF9"/>
  <c r="AJ25"/>
  <c r="AH25"/>
  <c r="Z78"/>
  <c r="Z80"/>
  <c r="M1342" i="11"/>
  <c r="V1342" s="1"/>
  <c r="V1313"/>
  <c r="AL267" i="7"/>
  <c r="AL291"/>
  <c r="M1384" i="11"/>
  <c r="V1384" s="1"/>
  <c r="V1380"/>
  <c r="AL277" i="7" l="1"/>
  <c r="AL351"/>
  <c r="AL275"/>
  <c r="AJ9" i="14"/>
  <c r="AJ76" s="1"/>
  <c r="AL25"/>
  <c r="AL9" s="1"/>
  <c r="Q1363" i="11"/>
  <c r="R1349"/>
  <c r="AE45" i="34"/>
  <c r="AM43"/>
  <c r="AM45" s="1"/>
  <c r="AO13"/>
  <c r="AG43"/>
  <c r="M1363" i="11"/>
  <c r="V1349"/>
  <c r="G25" i="32"/>
  <c r="O26"/>
  <c r="K26"/>
  <c r="I26"/>
  <c r="AI140" i="23"/>
  <c r="AI142"/>
  <c r="O1419" i="11"/>
  <c r="BH291" i="7"/>
  <c r="AL295"/>
  <c r="AL296" s="1"/>
  <c r="AH9" i="14"/>
  <c r="AP25"/>
  <c r="AF76"/>
  <c r="AN9"/>
  <c r="AG142" i="23"/>
  <c r="AG140"/>
  <c r="AO138"/>
  <c r="AK13" i="34"/>
  <c r="AI43"/>
  <c r="AI45" s="1"/>
  <c r="K1404" i="11"/>
  <c r="T1363"/>
  <c r="K1393"/>
  <c r="K1419"/>
  <c r="AF296" i="7"/>
  <c r="AN296" s="1"/>
  <c r="AN295"/>
  <c r="AH275"/>
  <c r="AP267"/>
  <c r="AH295"/>
  <c r="AP291"/>
  <c r="AK138" i="23"/>
  <c r="AP13"/>
  <c r="O1393" i="11"/>
  <c r="AF78" i="14" l="1"/>
  <c r="AF80"/>
  <c r="AH76"/>
  <c r="AP9"/>
  <c r="I25" i="32"/>
  <c r="Q25" s="1"/>
  <c r="Q26"/>
  <c r="AG45" i="34"/>
  <c r="AO43"/>
  <c r="AO45" s="1"/>
  <c r="AL76" i="14"/>
  <c r="AR9"/>
  <c r="AK142" i="23"/>
  <c r="AP138"/>
  <c r="AK139"/>
  <c r="AQ138"/>
  <c r="AK140"/>
  <c r="AP295" i="7"/>
  <c r="AH296"/>
  <c r="AP296" s="1"/>
  <c r="AP13" i="34"/>
  <c r="AK43"/>
  <c r="K25" i="32"/>
  <c r="M26"/>
  <c r="M25" s="1"/>
  <c r="R25" s="1"/>
  <c r="O25"/>
  <c r="G38"/>
  <c r="V1363" i="11"/>
  <c r="M1404"/>
  <c r="M1393"/>
  <c r="M1419"/>
  <c r="Q1404"/>
  <c r="Q1419"/>
  <c r="R1384"/>
  <c r="Q1408"/>
  <c r="Q1393"/>
  <c r="AJ78" i="14"/>
  <c r="AJ80"/>
  <c r="K38" i="32" l="1"/>
  <c r="M38" s="1"/>
  <c r="O38"/>
  <c r="I38"/>
  <c r="Q38" s="1"/>
  <c r="AP43" i="34"/>
  <c r="AK45"/>
  <c r="AK46"/>
  <c r="AR76" i="14"/>
  <c r="AL77"/>
  <c r="AL78"/>
  <c r="AL80"/>
  <c r="AH80"/>
  <c r="AH78"/>
  <c r="R38" i="32" l="1"/>
  <c r="M41"/>
  <c r="Q1365" i="11" l="1"/>
  <c r="Q1366"/>
  <c r="Q1855" i="8" l="1"/>
  <c r="Q1852"/>
</calcChain>
</file>

<file path=xl/comments1.xml><?xml version="1.0" encoding="utf-8"?>
<comments xmlns="http://schemas.openxmlformats.org/spreadsheetml/2006/main">
  <authors>
    <author>budget monitoring</author>
    <author>HP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budget monitoring
Public Private Partnership P2076M June 5, 2013</t>
        </r>
      </text>
    </comment>
    <comment ref="H10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9547K-SUB-ALLOTED TO HOSPITALS</t>
        </r>
      </text>
    </comment>
    <comment ref="L261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adjustment
</t>
        </r>
      </text>
    </comment>
    <comment ref="G49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AUGMENTATION FROM CHD P500K</t>
        </r>
      </text>
    </comment>
    <comment ref="G53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transfer to operating unit</t>
        </r>
      </text>
    </comment>
    <comment ref="H618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92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sub-allotment to hospitals</t>
        </r>
      </text>
    </comment>
    <comment ref="H934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DOUBLE ENTRY OF 28M LAST AUGUST</t>
        </r>
      </text>
    </comment>
    <comment ref="H93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SAA FROM CHD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P42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under SAGF-152</t>
        </r>
      </text>
    </comment>
    <comment ref="H13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I13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Q13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I133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</commentList>
</comments>
</file>

<file path=xl/comments3.xml><?xml version="1.0" encoding="utf-8"?>
<comments xmlns="http://schemas.openxmlformats.org/spreadsheetml/2006/main">
  <authors>
    <author>budget monitoring</author>
  </authors>
  <commentList>
    <comment ref="E13" authorId="0">
      <text>
        <r>
          <rPr>
            <b/>
            <sz val="9"/>
            <color indexed="81"/>
            <rFont val="Tahoma"/>
            <family val="2"/>
          </rPr>
          <t>budget monitoring:</t>
        </r>
        <r>
          <rPr>
            <sz val="9"/>
            <color indexed="81"/>
            <rFont val="Tahoma"/>
            <family val="2"/>
          </rPr>
          <t xml:space="preserve">
withdrawal of allotment - P17,665,511.94</t>
        </r>
      </text>
    </comment>
  </commentList>
</comments>
</file>

<file path=xl/sharedStrings.xml><?xml version="1.0" encoding="utf-8"?>
<sst xmlns="http://schemas.openxmlformats.org/spreadsheetml/2006/main" count="18195" uniqueCount="1122">
  <si>
    <t>PROGRAM/ACTIVITY/PROJECT</t>
  </si>
  <si>
    <t>PS</t>
  </si>
  <si>
    <t>MOOE</t>
  </si>
  <si>
    <t>CO</t>
  </si>
  <si>
    <t>TOTAL</t>
  </si>
  <si>
    <t xml:space="preserve">                    a. Central Office</t>
  </si>
  <si>
    <t xml:space="preserve">                    b. National Capital Region</t>
  </si>
  <si>
    <t xml:space="preserve">                    c. Region I</t>
  </si>
  <si>
    <t xml:space="preserve">                    d. Cordillera Administrative Region</t>
  </si>
  <si>
    <t xml:space="preserve">                    e. Region II</t>
  </si>
  <si>
    <t xml:space="preserve">                    f. Region III</t>
  </si>
  <si>
    <t xml:space="preserve">                    g. Region IV-A</t>
  </si>
  <si>
    <t xml:space="preserve">                    h. Region IV -B</t>
  </si>
  <si>
    <t xml:space="preserve">                    i. Region V</t>
  </si>
  <si>
    <t xml:space="preserve">                    j. Region VI</t>
  </si>
  <si>
    <t xml:space="preserve">                    k. Region VII</t>
  </si>
  <si>
    <t xml:space="preserve">                    l. Region VIII</t>
  </si>
  <si>
    <t xml:space="preserve">                    m.Region IX</t>
  </si>
  <si>
    <t xml:space="preserve">                   n. Region X</t>
  </si>
  <si>
    <t xml:space="preserve">                   o. Region XI</t>
  </si>
  <si>
    <t xml:space="preserve">                   p. Region XII</t>
  </si>
  <si>
    <t xml:space="preserve">                   q. Region XIII</t>
  </si>
  <si>
    <t xml:space="preserve">                   r. ARMM</t>
  </si>
  <si>
    <t>III. Operations</t>
  </si>
  <si>
    <t>c. Operation of Centers for Health Development</t>
  </si>
  <si>
    <t>1.  Metro Manila</t>
  </si>
  <si>
    <t>2.  Ilocos</t>
  </si>
  <si>
    <t>3. Cordillera</t>
  </si>
  <si>
    <t>4. Cagayan Valley</t>
  </si>
  <si>
    <t>5. Central Luzon</t>
  </si>
  <si>
    <t>6. Calabarzon</t>
  </si>
  <si>
    <t>7. Mimaropa</t>
  </si>
  <si>
    <t>8. Bicol</t>
  </si>
  <si>
    <t>9. Western Visayas</t>
  </si>
  <si>
    <t>10. Central Visayas</t>
  </si>
  <si>
    <t>11. Eastern Visayas</t>
  </si>
  <si>
    <t>12. Zamboanga Peninsula</t>
  </si>
  <si>
    <t>13. Northern Mindanao</t>
  </si>
  <si>
    <t>14. Davao Region</t>
  </si>
  <si>
    <t>15. Soccsksargen</t>
  </si>
  <si>
    <t>16. Caraga</t>
  </si>
  <si>
    <t>SUB-TOTAL , OPERATIONS</t>
  </si>
  <si>
    <t>TOTAL PROGRAMS</t>
  </si>
  <si>
    <t>B. PROJECTS</t>
  </si>
  <si>
    <t>I. Locally Funded Projects</t>
  </si>
  <si>
    <t>II. Foreign Assisted Projects</t>
  </si>
  <si>
    <t>TOTAL FOREIGN ASSISTED PROJECTS</t>
  </si>
  <si>
    <t>TOTAL APPROPRIATION</t>
  </si>
  <si>
    <t>DEPARTMENT OF HEALTH</t>
  </si>
  <si>
    <t>ALLOTMENT</t>
  </si>
  <si>
    <t>SUB-ALLOTMENT</t>
  </si>
  <si>
    <t>BUREAUS</t>
  </si>
  <si>
    <t>% OF UTILIZATION</t>
  </si>
  <si>
    <t>ADJUSTED ALLOTMENT</t>
  </si>
  <si>
    <t>OBLIGATIONS SAA</t>
  </si>
  <si>
    <t xml:space="preserve"> OBLIGATIONS ( REGULAR + SAA)</t>
  </si>
  <si>
    <t>NCR</t>
  </si>
  <si>
    <t>CARAGA</t>
  </si>
  <si>
    <t>BALANCE OF APPROPRIATION</t>
  </si>
  <si>
    <t>CENTRAL OFFICE</t>
  </si>
  <si>
    <t>CHD'S</t>
  </si>
  <si>
    <t>GRAND TOTAL</t>
  </si>
  <si>
    <t>OBLIGATIONS  REGULAR</t>
  </si>
  <si>
    <t>OBLIGATIONS REGULAR</t>
  </si>
  <si>
    <t>ADJUSTED ALLOTMENT (ALLOTMENT(+/-) SUB-ALLOTMENT)</t>
  </si>
  <si>
    <t>% OF UTILIZATION (OBLIG/ADJUSTED ALLOT)</t>
  </si>
  <si>
    <t>BALANCE OF ALLOTMENT (ALLOT-TOTAL OBLIGATIONS)</t>
  </si>
  <si>
    <t xml:space="preserve"> TOTAL OBLIGATIONS ( REGULAR + SAA)</t>
  </si>
  <si>
    <t>BALANCE OF ALLOTMENT</t>
  </si>
  <si>
    <t>SPECIAL HOSPITALS</t>
  </si>
  <si>
    <t>SMCT</t>
  </si>
  <si>
    <t xml:space="preserve"> Health Information Systems and Technology Devt.</t>
  </si>
  <si>
    <t>Health System Development Program</t>
  </si>
  <si>
    <t>SUB-TOTAL</t>
  </si>
  <si>
    <t>REGULATORY</t>
  </si>
  <si>
    <t>SERVICE DELIVERY</t>
  </si>
  <si>
    <t>Public Health System Development Program</t>
  </si>
  <si>
    <t>Elimination of diseases sych as malaria, schisto</t>
  </si>
  <si>
    <t>Rabies Control program</t>
  </si>
  <si>
    <t>Other Infectious Diseases and Control Program</t>
  </si>
  <si>
    <t>National Voluntary Blood Program</t>
  </si>
  <si>
    <t>Health Facilities enhancement program</t>
  </si>
  <si>
    <t>OFFICE OF THE SPECIAL CONCERN</t>
  </si>
  <si>
    <t>TOTAL OSEC - FUND 101</t>
  </si>
  <si>
    <t>FOREIGN ASSISTED PROJECTS - FUND 102</t>
  </si>
  <si>
    <t>Womens Health and Safe Motherhood Project II</t>
  </si>
  <si>
    <t>Health Sector Reform Projct - KFW Loan</t>
  </si>
  <si>
    <t>GRAND TOTAL - CENTRAL OFFICE</t>
  </si>
  <si>
    <t>CHD HOSPITALS</t>
  </si>
  <si>
    <t>GRAND TOTAL DOH - CONAP</t>
  </si>
  <si>
    <t>TOTAL HOSPITALS</t>
  </si>
  <si>
    <t>REGION</t>
  </si>
  <si>
    <t>CHD &amp; HOSPITAL</t>
  </si>
  <si>
    <t>OBLIGATION</t>
  </si>
  <si>
    <t>BALANCE</t>
  </si>
  <si>
    <t>REMARKS</t>
  </si>
  <si>
    <t>NCR-chd</t>
  </si>
  <si>
    <t>CHD - METRO MANILA</t>
  </si>
  <si>
    <t>*</t>
  </si>
  <si>
    <t>AUTOMATIC APPROPRIATION</t>
  </si>
  <si>
    <t>SPECIAL PURPOSE FUND</t>
  </si>
  <si>
    <t>chd</t>
  </si>
  <si>
    <t>NCR-HOSPITALS</t>
  </si>
  <si>
    <t>HOSPITALS-METRO MANILA</t>
  </si>
  <si>
    <t>Valenzuela General Hospital</t>
  </si>
  <si>
    <t>1.</t>
  </si>
  <si>
    <t>Las Piñas General Hospital and Satellite Trauma Center</t>
  </si>
  <si>
    <t>2.</t>
  </si>
  <si>
    <t>San Lorenzo Ruiz Special Hosp. for Women</t>
  </si>
  <si>
    <t>3.</t>
  </si>
  <si>
    <t>Dr. Jose N. Rodriguez Memo. Hosp.</t>
  </si>
  <si>
    <t>4.</t>
  </si>
  <si>
    <t>CAR-chd</t>
  </si>
  <si>
    <t>CHD- CAR</t>
  </si>
  <si>
    <t>CAR-hospital</t>
  </si>
  <si>
    <t>CAR</t>
  </si>
  <si>
    <t>HOSPITALS-CAR</t>
  </si>
  <si>
    <t>Baguio Gen Hosp &amp; Med. Ctr.</t>
  </si>
  <si>
    <t>Luis Hora Memo. Reg'l Hosp</t>
  </si>
  <si>
    <t>Conner District Hospital</t>
  </si>
  <si>
    <t xml:space="preserve">Far North Luzon General </t>
  </si>
  <si>
    <t>ILOCOS-chd</t>
  </si>
  <si>
    <t>CHD 1- ILOCOS</t>
  </si>
  <si>
    <t>ILOCOS-hospital</t>
  </si>
  <si>
    <t>HOSPITALS- ILOCOS REGION</t>
  </si>
  <si>
    <t>Region 1 Medical Center</t>
  </si>
  <si>
    <t>Mariano Marcos Memorial Hosp. &amp; Medical Ctr.</t>
  </si>
  <si>
    <t>Ilocos Training and Regional Medical   Center</t>
  </si>
  <si>
    <t>CAGAYAN-chd</t>
  </si>
  <si>
    <t>CHD 2 - Cagayan Valley</t>
  </si>
  <si>
    <t>CHD 2 - CAGAYAN VALLEY</t>
  </si>
  <si>
    <t>CAGAYAN-hospital</t>
  </si>
  <si>
    <t>CAGAYAN</t>
  </si>
  <si>
    <t>HOSPITALS- CAGAYAN VALLEY</t>
  </si>
  <si>
    <t>Cagayan Valley Medical Center</t>
  </si>
  <si>
    <t>Veterans General Hospital</t>
  </si>
  <si>
    <t>Southern Isabela General Hosp.</t>
  </si>
  <si>
    <t>Batanes General Hospital</t>
  </si>
  <si>
    <t>CENTRAL LUZON-chd</t>
  </si>
  <si>
    <t>CHD 3 - CENTRAL LUZON</t>
  </si>
  <si>
    <t>CENTRAL LUZON-hospital</t>
  </si>
  <si>
    <t>CENTRAL LUZON</t>
  </si>
  <si>
    <t>HOSPITALS- CENTRAL LUZON</t>
  </si>
  <si>
    <t>Dr. Paulino J. Garcia Memorial Research &amp; Medical Center</t>
  </si>
  <si>
    <t>Talavera Extension Hospital</t>
  </si>
  <si>
    <t>Jose B. Lingad Memorial General Hospital</t>
  </si>
  <si>
    <t>Mariveles Mental Hospital</t>
  </si>
  <si>
    <t>Bataan Provincial Hospital</t>
  </si>
  <si>
    <t>5.</t>
  </si>
  <si>
    <t>CALABARZON-chd</t>
  </si>
  <si>
    <t>CHD 4-A -CALABARZON</t>
  </si>
  <si>
    <t>CALABARZON-hospital</t>
  </si>
  <si>
    <t>CALABARZON</t>
  </si>
  <si>
    <t>HOSPITALS- CALABARZON</t>
  </si>
  <si>
    <t>Batangas Regional Hospital</t>
  </si>
  <si>
    <t>CALABARZON-total</t>
  </si>
  <si>
    <t>MIMAROPA-chd</t>
  </si>
  <si>
    <t>CHD 4-B- MIMAROPA</t>
  </si>
  <si>
    <t>MIMAROPA-hospital</t>
  </si>
  <si>
    <t>MIMAROPA</t>
  </si>
  <si>
    <t>HOSPITALS- MIMAROPA</t>
  </si>
  <si>
    <t>Culion Sanitarium &amp; Balala Hospital</t>
  </si>
  <si>
    <t>Ospital ng Palawan</t>
  </si>
  <si>
    <t>BICOL-chd</t>
  </si>
  <si>
    <t>CHD 5- BICOL REGION</t>
  </si>
  <si>
    <t>BICOL-hospital</t>
  </si>
  <si>
    <t>HOSPITALS-BICOL REGION</t>
  </si>
  <si>
    <t>Bicol Medical Center</t>
  </si>
  <si>
    <t>Bicol Regional Training &amp; Teaching Hospital</t>
  </si>
  <si>
    <t>Bicol Sanitarium</t>
  </si>
  <si>
    <t>W. VISAYAS-chd</t>
  </si>
  <si>
    <t>CHD 6- WESTERN VISAYAS</t>
  </si>
  <si>
    <t>W. VISAYAS-hospital</t>
  </si>
  <si>
    <t>W. VISAYAS</t>
  </si>
  <si>
    <t>HOSPITALS-WESTERN VISAYAS</t>
  </si>
  <si>
    <t>Western Visayas Medical Center</t>
  </si>
  <si>
    <t>Western Visayas Sanitarium</t>
  </si>
  <si>
    <t>Don Jose S. Monfort Medical Center</t>
  </si>
  <si>
    <t>Corazon Locsin Montelibano Memorial Regional Hospital</t>
  </si>
  <si>
    <t>C. VISAYAS-chd</t>
  </si>
  <si>
    <t>CHD 7- CENTRAL VISAYAS</t>
  </si>
  <si>
    <t>C. VISAYAS-hospital</t>
  </si>
  <si>
    <t>HOSPITALS-CENTRALVISAYAS</t>
  </si>
  <si>
    <t>Vicente Sotto Sr. Memorial Medical Center</t>
  </si>
  <si>
    <t>Gov. Celestino Gallares Memorial Hospital</t>
  </si>
  <si>
    <t>St. Anthony Mother &amp; Child Hospital</t>
  </si>
  <si>
    <t>Eversly Child Sanitarium</t>
  </si>
  <si>
    <t>Talisay District Hospital</t>
  </si>
  <si>
    <t>Don Emilio Del Valle Memorial Hospital</t>
  </si>
  <si>
    <t>6.</t>
  </si>
  <si>
    <t>E. VISAYAS-chd</t>
  </si>
  <si>
    <t>CHD 8- EASTERN VISAYAS</t>
  </si>
  <si>
    <t>E. VISAYAS-hospital</t>
  </si>
  <si>
    <t>HOSPITALS-EASTERN VISAYAS</t>
  </si>
  <si>
    <t>Eastern Visayas Regional Medical Center</t>
  </si>
  <si>
    <t>Schistosomiasis Hospital</t>
  </si>
  <si>
    <t>ZAMBOANGA-chd</t>
  </si>
  <si>
    <t>CHD 9- ZAMBOANGA PENINSULA</t>
  </si>
  <si>
    <t>ZAMBOANGA-hospital</t>
  </si>
  <si>
    <t>ZAMBOANGA</t>
  </si>
  <si>
    <t>HOSPITALS-ZAMBOANGA PENINSULA</t>
  </si>
  <si>
    <t>Zamboanga City Medical Center</t>
  </si>
  <si>
    <t xml:space="preserve"> </t>
  </si>
  <si>
    <t>Mindanao Central Sanitarium</t>
  </si>
  <si>
    <t>Sulu Sanitarium</t>
  </si>
  <si>
    <t>Labuan Public Hospital</t>
  </si>
  <si>
    <t>Basilan General Hospital</t>
  </si>
  <si>
    <t>Dr. Jose Rizal Memorial Hospital</t>
  </si>
  <si>
    <t>Margosatubig Regional Hospital</t>
  </si>
  <si>
    <t>7.</t>
  </si>
  <si>
    <t>Provision for Maintenance of two floating clinics</t>
  </si>
  <si>
    <t>8.</t>
  </si>
  <si>
    <t>N. MINDANAO-chd</t>
  </si>
  <si>
    <t>CHD 10- NORTHERN MINDANAO</t>
  </si>
  <si>
    <t>N. MINDANAO-hospital</t>
  </si>
  <si>
    <t>HOSPITALS-NORTHERN MINDANAO</t>
  </si>
  <si>
    <t>Northern Mindanao Medical Center</t>
  </si>
  <si>
    <t>Mayor Hilarion A. Ramiro Sr. Regional Training &amp; Teaching Hospital</t>
  </si>
  <si>
    <t>Amai Pakpak Medical Center</t>
  </si>
  <si>
    <t>DAVAO-chd</t>
  </si>
  <si>
    <t>CHD 11- DAVAO REGION</t>
  </si>
  <si>
    <t>DAVAO-hospital</t>
  </si>
  <si>
    <t>HOSPITALS-DAVAO REGION</t>
  </si>
  <si>
    <t>Southern Philippines Medical Center</t>
  </si>
  <si>
    <t>Davao Regional Hospital</t>
  </si>
  <si>
    <t>SOCCSARGEN-chd</t>
  </si>
  <si>
    <t>CHD 12- SOCCSARGEN</t>
  </si>
  <si>
    <t>SOCCSARGEN-hospital</t>
  </si>
  <si>
    <t>Cotobato Regional &amp; Medical Center</t>
  </si>
  <si>
    <t>Cotobato Sanitarium</t>
  </si>
  <si>
    <t>CARAGA-chd</t>
  </si>
  <si>
    <t>CHD-CARAGA</t>
  </si>
  <si>
    <t>CARAGA-hospital</t>
  </si>
  <si>
    <t>HOSPITALS-CARAGA</t>
  </si>
  <si>
    <t>Caraga Regional Hospital</t>
  </si>
  <si>
    <t>Adela Serra Ty Memo. Med. Center</t>
  </si>
  <si>
    <t>JOSE REYES  MEMORIAL MEDICAL CENTER</t>
  </si>
  <si>
    <t>RIZAL MEDICAL CENTER</t>
  </si>
  <si>
    <t>EAST AVENUE MEDICAL CENTER</t>
  </si>
  <si>
    <t>3</t>
  </si>
  <si>
    <t>QUIRINO MEMORIAL MEDICAL CENTER</t>
  </si>
  <si>
    <t>4</t>
  </si>
  <si>
    <t>TONDO MEDICAL CENTER</t>
  </si>
  <si>
    <t>5</t>
  </si>
  <si>
    <t>Jose Fabella Memorial Hospital</t>
  </si>
  <si>
    <t>6</t>
  </si>
  <si>
    <t>National Childrens Hospital</t>
  </si>
  <si>
    <t>7</t>
  </si>
  <si>
    <t>National Center for Mental Health</t>
  </si>
  <si>
    <t>8</t>
  </si>
  <si>
    <t>Philippine Orthopedic Center</t>
  </si>
  <si>
    <t>9</t>
  </si>
  <si>
    <t>San Lazaro Hospital</t>
  </si>
  <si>
    <t>10</t>
  </si>
  <si>
    <t>Research Institute for Tropical Medicine</t>
  </si>
  <si>
    <t>11</t>
  </si>
  <si>
    <t>Amang Rodriguez Medical Center</t>
  </si>
  <si>
    <t>12</t>
  </si>
  <si>
    <t>SPECIAL HOSPITALS-total</t>
  </si>
  <si>
    <t>total special hospitals</t>
  </si>
  <si>
    <t>TOTAL SPECIAL HOSPITALS</t>
  </si>
  <si>
    <t>BUREAUS-LUZON</t>
  </si>
  <si>
    <t>BFAD-LUZON</t>
  </si>
  <si>
    <t>BUREAUS-VISYAS</t>
  </si>
  <si>
    <t>BFAD-VISAYAS</t>
  </si>
  <si>
    <t>BUREAUS-MINDANAO</t>
  </si>
  <si>
    <t>BFAD-DAVAO</t>
  </si>
  <si>
    <t>BUREAUS-total</t>
  </si>
  <si>
    <t>total bureaus</t>
  </si>
  <si>
    <t>TOTAL BUREAUS</t>
  </si>
  <si>
    <t>QUARANTINE-tl</t>
  </si>
  <si>
    <t>QUARANTINE</t>
  </si>
  <si>
    <t>TOTAL QUARANTINE</t>
  </si>
  <si>
    <t>SUMMARY</t>
  </si>
  <si>
    <t>TL CHD</t>
  </si>
  <si>
    <t>TL RETAINED HOSPITALS</t>
  </si>
  <si>
    <t>TOTAL RETAINED HOSPITALS</t>
  </si>
  <si>
    <t>TL SPECIAL HOSPITALS</t>
  </si>
  <si>
    <t>TL BUREAUS</t>
  </si>
  <si>
    <t>TL QUARANTINE</t>
  </si>
  <si>
    <t>TL OSEC</t>
  </si>
  <si>
    <t>TOTAL OSEC</t>
  </si>
  <si>
    <t>TL FAPS</t>
  </si>
  <si>
    <t>TOTAL FAPS</t>
  </si>
  <si>
    <t>grand tl</t>
  </si>
  <si>
    <t>grand total</t>
  </si>
  <si>
    <t>RLIP</t>
  </si>
  <si>
    <t>Health Sector Policy Support Program (AECID)</t>
  </si>
  <si>
    <t>MPBF</t>
  </si>
  <si>
    <t>PGF</t>
  </si>
  <si>
    <t>PDAF</t>
  </si>
  <si>
    <t xml:space="preserve">GRAND TOTAL </t>
  </si>
  <si>
    <t>Noted by:</t>
  </si>
  <si>
    <t>LAUREANO C. CRUZ</t>
  </si>
  <si>
    <t>OIC, Finance Service</t>
  </si>
  <si>
    <t>CHD</t>
  </si>
  <si>
    <t>HOSPITAL</t>
  </si>
  <si>
    <t>SPECIAL</t>
  </si>
  <si>
    <t>NCr-total</t>
  </si>
  <si>
    <t>TOTAL (CHD CAR)</t>
  </si>
  <si>
    <t>TOTAL (CHD ILOCOS)</t>
  </si>
  <si>
    <t>ILOCOS</t>
  </si>
  <si>
    <t>TOTAL (CHD CAGAYAN VALLEY)</t>
  </si>
  <si>
    <t>CAGAYAN-total</t>
  </si>
  <si>
    <t>TOTAL (CHD CENTRAL LUZON)</t>
  </si>
  <si>
    <t>TOTAL (CHD CALABARZON)</t>
  </si>
  <si>
    <t>TOTAL (CHD MIMAROPA)</t>
  </si>
  <si>
    <t>TOTAL (CHD BICOL REGION)</t>
  </si>
  <si>
    <t>BICOL</t>
  </si>
  <si>
    <t>TOTAL (CHD WESTERN VISAYAS)</t>
  </si>
  <si>
    <t>TOTAL (CHD CENTRAL VISAYAS)</t>
  </si>
  <si>
    <t>C. VISAYAS</t>
  </si>
  <si>
    <t>TOTAL (CHD EASTERN VISAYAS)</t>
  </si>
  <si>
    <t>E. VISAYAS</t>
  </si>
  <si>
    <t>TOTAL (CHD ZAMBOANGA PENINSULA)</t>
  </si>
  <si>
    <t>TOTAL (CHD NORTHERN MINDANAO)</t>
  </si>
  <si>
    <t>N. MINDANAO</t>
  </si>
  <si>
    <t>TOTAL (CHD DAVAO REGION)</t>
  </si>
  <si>
    <t>DAVAO</t>
  </si>
  <si>
    <t>SOCCSARGEN</t>
  </si>
  <si>
    <t>TOTAL (CHD CARAGA)</t>
  </si>
  <si>
    <t xml:space="preserve">National Pharmaceutical Policy Development including provision of drugs and medicines, medical and dental supplies to make affordable   quality drugs available </t>
  </si>
  <si>
    <t xml:space="preserve">DEPARTMENT OF HEALTH </t>
  </si>
  <si>
    <t>OFFICE OF THE SECRETARY</t>
  </si>
  <si>
    <t>P/P/A</t>
  </si>
  <si>
    <t>PURPOSE</t>
  </si>
  <si>
    <t>ALLOT.</t>
  </si>
  <si>
    <t>ALLOTMENT AVAILABLE</t>
  </si>
  <si>
    <t>REALIGNMENT</t>
  </si>
  <si>
    <t>OBLIGATIONS</t>
  </si>
  <si>
    <t>UNOBLIGATED</t>
  </si>
  <si>
    <t>CODE</t>
  </si>
  <si>
    <t>THIS
QUARTER</t>
  </si>
  <si>
    <t>BALANCE OF
ALLOTMENT</t>
  </si>
  <si>
    <t>I. GENERAL ADMINISTRATION AND SUPPORT SERVICES</t>
  </si>
  <si>
    <t>II. SUPPORT TO OPERATIONS</t>
  </si>
  <si>
    <t>A.II.a</t>
  </si>
  <si>
    <t xml:space="preserve"> Formulation and Development of National Health Policies
    and Plans including Essential National Health Research</t>
  </si>
  <si>
    <t>A.II.b</t>
  </si>
  <si>
    <t>A.II.c.1</t>
  </si>
  <si>
    <t xml:space="preserve"> Health Human Resource Development</t>
  </si>
  <si>
    <t>A.II.c.2</t>
  </si>
  <si>
    <t>Provision for a pool of 60 Resident Physician</t>
  </si>
  <si>
    <t>A.II.c.3</t>
  </si>
  <si>
    <t>Provision for a pool of 136 Medical Specialist II</t>
  </si>
  <si>
    <t>A.II.c.4</t>
  </si>
  <si>
    <t>Implementation of Doctor to the Barrios and RHPP</t>
  </si>
  <si>
    <t>A.II.d</t>
  </si>
  <si>
    <t xml:space="preserve"> Development of Policies, Support Mechanisms
 and  Collaboration for International Health Cooperation </t>
  </si>
  <si>
    <t>A.II.e.1</t>
  </si>
  <si>
    <t>Local Health Systems Development Assistance</t>
  </si>
  <si>
    <t>A.II.e.2</t>
  </si>
  <si>
    <t xml:space="preserve">Health System Development Program including
Policy </t>
  </si>
  <si>
    <t>A.II.f.2</t>
  </si>
  <si>
    <t>Assistance to Philippine Tuberculosis Society</t>
  </si>
  <si>
    <t>A.II.f.3</t>
  </si>
  <si>
    <t>Assistance to Central Luzon Drug Rehabilitation Center</t>
  </si>
  <si>
    <t>III. OPERATIONS</t>
  </si>
  <si>
    <t>A.III.a.2</t>
  </si>
  <si>
    <t>A.III.a.5</t>
  </si>
  <si>
    <t xml:space="preserve">     5. National Pharmaceutical Policy Development 
         including provision of drugs and medicines, medical
         and dental supplies to make affordable quality drugs
         available </t>
  </si>
  <si>
    <t>A.III.b.1</t>
  </si>
  <si>
    <t>Epidemiology and Disease Surveillance</t>
  </si>
  <si>
    <t>A.III.b.2.a</t>
  </si>
  <si>
    <t xml:space="preserve"> Public Health Development Program including
 formulation of Public Health Policies and Quality
 Assurance </t>
  </si>
  <si>
    <t>A.III.b.2.b.1</t>
  </si>
  <si>
    <t xml:space="preserve"> Elimination of diseases as public health threat such 
 as malaria, schistosomiasis,  leprosy and filariasis</t>
  </si>
  <si>
    <t>A.III.b.2.b.2</t>
  </si>
  <si>
    <t>Rabies Control Program</t>
  </si>
  <si>
    <t>A.III.b.2.b.3.a.1</t>
  </si>
  <si>
    <t>Expanded Program on Immunization</t>
  </si>
  <si>
    <t>A.III.b.2.b.3.b</t>
  </si>
  <si>
    <t xml:space="preserve"> Tuberculosis  Control Program</t>
  </si>
  <si>
    <t>A.III.b.2.b.3.c</t>
  </si>
  <si>
    <t xml:space="preserve"> Other infectious diseases and emerging re-emerging 
 diseases including HIV/AIDS, dengue, food and water 
borne disases</t>
  </si>
  <si>
    <t>A.III.b.2.c</t>
  </si>
  <si>
    <t xml:space="preserve"> Non-Communicable Disease Prevention and 
 Control including P25 Million for Breast Cancer</t>
  </si>
  <si>
    <t>A.III.b.2.d</t>
  </si>
  <si>
    <t>Family Health including Family Planning</t>
  </si>
  <si>
    <t>A.III.b.2.e</t>
  </si>
  <si>
    <t>Environmental and Occupational Health</t>
  </si>
  <si>
    <t>A.III.b.3</t>
  </si>
  <si>
    <t>Operation of the PNAC Secretariat</t>
  </si>
  <si>
    <t>A.III.b.4</t>
  </si>
  <si>
    <t>Health Promotion</t>
  </si>
  <si>
    <t>A.III.b.5</t>
  </si>
  <si>
    <t xml:space="preserve"> Health Emergency Management including 
 provision of  emergency drugs and supplies</t>
  </si>
  <si>
    <t>A.III.b.6.a</t>
  </si>
  <si>
    <t xml:space="preserve">Formulation of Policies, Standards, and Plans
for Hospital and Other Health Facilities </t>
  </si>
  <si>
    <t>A.III.b.6.b</t>
  </si>
  <si>
    <t>National Voluntary Blood Services Program 
and Operation of  Blood Centers</t>
  </si>
  <si>
    <t>A.III.b.6.c</t>
  </si>
  <si>
    <t>Health Facilities Enhancement Program</t>
  </si>
  <si>
    <t>A.III.b.8.a</t>
  </si>
  <si>
    <t>Tagaytay City Rehabilitation Center</t>
  </si>
  <si>
    <t>A.III.b.8.b</t>
  </si>
  <si>
    <t>Mandaue City Rehabilitation Center</t>
  </si>
  <si>
    <t>A.III.b.8.c</t>
  </si>
  <si>
    <t>Cagayan de Oro Rehabilitation Center</t>
  </si>
  <si>
    <t>A.III.b.8.d</t>
  </si>
  <si>
    <t>Cebu (PNP) Rehabilitation Center</t>
  </si>
  <si>
    <t>Iloilo (PNP) Rehabilitation Center</t>
  </si>
  <si>
    <t>A.III.b.8.e</t>
  </si>
  <si>
    <t>A.III.b.8.g</t>
  </si>
  <si>
    <t>Malinao Regional Drug Rehabilitation Center</t>
  </si>
  <si>
    <t>A.III.b.8.h</t>
  </si>
  <si>
    <t>Bicutan (PNP) Rehabilitation Center</t>
  </si>
  <si>
    <t>A.III.b.8.I</t>
  </si>
  <si>
    <t>Dulag Leyte Rehabilitation Center</t>
  </si>
  <si>
    <t>A.III.b.8.J</t>
  </si>
  <si>
    <t xml:space="preserve">  Establishment of new as well as the operation,  
  maintenance and modernization /expansion of
  existing treatment and  rehabilitation centers 
  and facilities, subject to the submission 
  of special budget pursuant to  Section 35,
  Chapter 5, Book VI of EO No. 292</t>
  </si>
  <si>
    <t>B.I.a</t>
  </si>
  <si>
    <t>LOCALLY FUNDED PROJECT</t>
  </si>
  <si>
    <t>PENSION AND GRATUITY FUND</t>
  </si>
  <si>
    <t>FE</t>
  </si>
  <si>
    <t>GRAND TOTAL , OSEC</t>
  </si>
  <si>
    <t>Prepared by:</t>
  </si>
  <si>
    <t>AGNES D. MARFORI</t>
  </si>
  <si>
    <t>OIC, Budget Division</t>
  </si>
  <si>
    <t>THIS QUARTER</t>
  </si>
  <si>
    <t>BALANCE OF ALLOT</t>
  </si>
  <si>
    <t>GOP</t>
  </si>
  <si>
    <t>LP</t>
  </si>
  <si>
    <t>B.II.a</t>
  </si>
  <si>
    <t>B.II.b</t>
  </si>
  <si>
    <t>Prepared by :</t>
  </si>
  <si>
    <t>A.III.b.8.k</t>
  </si>
  <si>
    <t>TOTAL CHD/HOSPITAL</t>
  </si>
  <si>
    <t>OSEC</t>
  </si>
  <si>
    <t>FAPS</t>
  </si>
  <si>
    <t>REGIONAL HOSPITALS</t>
  </si>
  <si>
    <t>CHD 12- SOCCSKSARGEN</t>
  </si>
  <si>
    <t>HOSPITALS-SOCCSKSARGEN</t>
  </si>
  <si>
    <t>TOTAL (CHD SOCCSKSARGEN)</t>
  </si>
  <si>
    <t>HEALTH SECTOR POLICY SUPPORT PROGRAM
(AECID)</t>
  </si>
  <si>
    <t>CHDs &amp; Retained Hospitals</t>
  </si>
  <si>
    <t>NCR &amp; Southern Luzon</t>
  </si>
  <si>
    <t>Region IVA - Calabarzon</t>
  </si>
  <si>
    <t>Region IVB - Mimaropa</t>
  </si>
  <si>
    <t>Region V - Bicol</t>
  </si>
  <si>
    <t>Northern &amp; Central Luzon</t>
  </si>
  <si>
    <t xml:space="preserve">Metro Manila Hospitals </t>
  </si>
  <si>
    <t>Region I - Ilocos</t>
  </si>
  <si>
    <t>Region II - Cagayan Valley</t>
  </si>
  <si>
    <t>Region III - Central Luzon</t>
  </si>
  <si>
    <t>Visayas</t>
  </si>
  <si>
    <t>Region VI - Western Visayas</t>
  </si>
  <si>
    <t>Region VII - Central Visayas</t>
  </si>
  <si>
    <t>Region VIII - Eastern Visayas</t>
  </si>
  <si>
    <t>Mindanao</t>
  </si>
  <si>
    <t>Region IX - Zamboanga Peninsula</t>
  </si>
  <si>
    <t>Region X - Northern Mindanao</t>
  </si>
  <si>
    <t>Region XI - Davao</t>
  </si>
  <si>
    <t>Region XII - SOCCSKSARGEN</t>
  </si>
  <si>
    <t>Grand Total</t>
  </si>
  <si>
    <t>HSPSP - EU GRANT PHASE II</t>
  </si>
  <si>
    <t>SUSTAINABLE SANITATION PROGRAM IN EAST ASIA</t>
  </si>
  <si>
    <t>REGULAR</t>
  </si>
  <si>
    <t>TOTAL (REGULAR FUND)</t>
  </si>
  <si>
    <t>REALIGNMENT WITH SARO</t>
  </si>
  <si>
    <t>ADJUSTED APPROPRIATION</t>
  </si>
  <si>
    <t>a. Formulation and Development of National Health Policies and Plans including Essential National Health Research</t>
  </si>
  <si>
    <t>1. Health Human Resource Policy Development and Planning</t>
  </si>
  <si>
    <t>3. Provision for a pool of 136 Medical Specialist II (Part time)  and 10 Medical Specialist (Full Time)</t>
  </si>
  <si>
    <t>4. Implementation of the Doctors to the Barrios and Rural Health Practice Program</t>
  </si>
  <si>
    <t>2. Provision for a pool of 60 Resident Physicians</t>
  </si>
  <si>
    <t>b. Health Information Systems and Technology Development</t>
  </si>
  <si>
    <t>c. Health Human Resource Development</t>
  </si>
  <si>
    <t>a. General Administration and Support Services</t>
  </si>
  <si>
    <t xml:space="preserve">d. Development of Policies, Support Mechanisms
and  Collaboration for International Health Cooperation </t>
  </si>
  <si>
    <t>e. Health System Development</t>
  </si>
  <si>
    <t>1. Local Health System Development  Assistance</t>
  </si>
  <si>
    <t>2.Health System Development Program including policy Support</t>
  </si>
  <si>
    <t>f. Health Care Assistance</t>
  </si>
  <si>
    <t xml:space="preserve">1. Subsidy for Health Insurance Premium Payment of Indigents Families including  Informal Sector Enrolled in the National  Health Insurance Program
      </t>
  </si>
  <si>
    <t>2. Assistance to Philippine Tuberculosis Society (PTS)</t>
  </si>
  <si>
    <t>3. Assistance to Central Luzon Drug Rehabilitation Center</t>
  </si>
  <si>
    <t>Sub-total General Administration and Support</t>
  </si>
  <si>
    <t>Sub-total, Support to Operations</t>
  </si>
  <si>
    <t xml:space="preserve">1. Regulation of Food and Drugs </t>
  </si>
  <si>
    <t>a. Regulation of Food and Drugs, including Regulation of Food Fortification and Salt Iodization</t>
  </si>
  <si>
    <t>b. Operations of Cebu Satellite Laboratory</t>
  </si>
  <si>
    <t>c. Operations of Davao Satellite Laboratory</t>
  </si>
  <si>
    <t>2. Regulation of Health Facilities and Services</t>
  </si>
  <si>
    <t xml:space="preserve">3. Regulation of  Devices and Radiation Health </t>
  </si>
  <si>
    <t>4. Quarantine Services and International Health Surveillance</t>
  </si>
  <si>
    <t xml:space="preserve">5. National Pharmaceutical Policy Development including provision of drugs and medicines, medical and dental supplies to make affordable quality drugs available </t>
  </si>
  <si>
    <t>A. Programs</t>
  </si>
  <si>
    <t>I. General Administration and Support Services</t>
  </si>
  <si>
    <t>1. General Management and Supervision</t>
  </si>
  <si>
    <t xml:space="preserve"> II. Support to Operations</t>
  </si>
  <si>
    <t>a. Regulation Programs</t>
  </si>
  <si>
    <t>b. Service Delivery Program</t>
  </si>
  <si>
    <t>1. Epidemiology and Disease Surveillance</t>
  </si>
  <si>
    <t>2. Disease Prevention and Control</t>
  </si>
  <si>
    <t xml:space="preserve">a. Public Health Development Program including formulation ofPublic Health Policies and Quality Assurance </t>
  </si>
  <si>
    <t xml:space="preserve">b. Infectious Disease Prevention and Control </t>
  </si>
  <si>
    <t>1. Elimination of diseases as public health threat such as
malaria, schistosomiasis, leprosy and filariasis</t>
  </si>
  <si>
    <t>2. Rabies Control Program</t>
  </si>
  <si>
    <t>3. Intensified Disease Prevention and Control</t>
  </si>
  <si>
    <t>a. Vaccine-Preventable Disease Control</t>
  </si>
  <si>
    <t>1. Expanded Program on Immunization</t>
  </si>
  <si>
    <t>b. TB Control</t>
  </si>
  <si>
    <t>c. Other Infectious Diseases and Emerging and Re-emerging Diseases   including HIV/AIDS, Dengue,Food and Water-Borne Disases</t>
  </si>
  <si>
    <t>c. Non-Communicable Disease Prevention and Control</t>
  </si>
  <si>
    <t>d. Family Health and Responsible Parenting</t>
  </si>
  <si>
    <t>e. Environmental and Occupational Health</t>
  </si>
  <si>
    <t>3. Operation of the PNAC Secretariat</t>
  </si>
  <si>
    <t>4.  Health Promotion</t>
  </si>
  <si>
    <t>5. Health Emergency Management including provision of emergency drugs and supplies</t>
  </si>
  <si>
    <t xml:space="preserve">6. Health Facility Planning, Operations and Infrastructures Development </t>
  </si>
  <si>
    <t xml:space="preserve">a. Formulation of Policies, Standards, and Plans for Hospital 
and Other Health Facilities </t>
  </si>
  <si>
    <t>c. Health Facilities Enhancement Program</t>
  </si>
  <si>
    <t>7. Operation of Special Hospitals, Medical Centers and Institutes  for  Disease Prevention and Control</t>
  </si>
  <si>
    <t>a. Jose Reyes Memorial Medical Center, (A-450), (IBC-525)</t>
  </si>
  <si>
    <t>b. Rizal Medical Center , (A-300), (IBC- 273)</t>
  </si>
  <si>
    <t>c. East Avenue Medical Center, (A-600), (IBC-586)</t>
  </si>
  <si>
    <t>d. Quirino Memorial Medical Center, (A-350), (IBC-350)</t>
  </si>
  <si>
    <t>e. Tondo Medical Center, (A-200), (IBC- 243)</t>
  </si>
  <si>
    <t>f. Jose Fabella Memorial Hospital (A-700), (IBC- 513)</t>
  </si>
  <si>
    <t>g. National Children's Hospital , (A-250), (IBC-200)</t>
  </si>
  <si>
    <t>h. National Center for Mental Health (A-4200), (IBC-3151)</t>
  </si>
  <si>
    <t>i. Philippine Orthopedic Center, (A-700), (IBC- 645)</t>
  </si>
  <si>
    <t>j. San Lazaro Hospital , (A-500), (IBC-463)</t>
  </si>
  <si>
    <t>k. Research Institute for Tropical Medicine (A-50), (IBC-37)</t>
  </si>
  <si>
    <t>l. "Amang" Rodriguez Medical Center, (A-150), (IBC-204)</t>
  </si>
  <si>
    <t>6. Operation of Dangerous Drug Abuse Treatment and
Rehabilitation Centers</t>
  </si>
  <si>
    <t>a. Tagaytay City Rehabilitation Center</t>
  </si>
  <si>
    <t>c. Cagayan de Oro  City Rehabilitation Center</t>
  </si>
  <si>
    <t>d. Cebu (PNP) Rehabilitation Center</t>
  </si>
  <si>
    <t>e. Iloilo (PNP) Rehabilitation Center</t>
  </si>
  <si>
    <t>f.  San Fernando Camarines Sur (PNP) Rehabilitation Center</t>
  </si>
  <si>
    <t>g. Malinao Regional Drug Rehabilitation Center</t>
  </si>
  <si>
    <t>h.  Bicutan (PNP)  Rehabilitation Center</t>
  </si>
  <si>
    <t>a. Field coordination, internal and area sectoral planning, human resource development and other support services</t>
  </si>
  <si>
    <t xml:space="preserve">b. Implementation of health regulations and standards </t>
  </si>
  <si>
    <t xml:space="preserve">c. Local health assistance including  health systems development and public health program support </t>
  </si>
  <si>
    <t>d. Direct service provision</t>
  </si>
  <si>
    <t>1. Valenzuela Medical Hospital, Secondary (A-200) (IBC- 100),Valenzuela, Metro Manila</t>
  </si>
  <si>
    <t>2. Las Piñas General Hospital and Satellite Trauma Center, Secondary (A-200) (IBC-88), Las Pinas Metro Manila</t>
  </si>
  <si>
    <t>3. San Lorenzo Ruiz Special Hospital for Women ( A-10) (IBC-10), Malabon,Metro Manila</t>
  </si>
  <si>
    <t>4. Dr. Jose N. Rodriguez Memorial Hospital, Sanitaria (A-2000) (IBC- Custodial Care-1419; General Care -50)  Tala, Quezon  City</t>
  </si>
  <si>
    <t>1. Mariano Marcos Memorial Hospital and Medical Center, Tertiary-Medical  Center (A-200) (IBC-200), Batac, Ilocos orte,</t>
  </si>
  <si>
    <t xml:space="preserve">2. Region I Medical Center, Tertiary-Medical Center (A-300) (IBC- 300), Dagupan City      </t>
  </si>
  <si>
    <t>3.  Ilocos Training and Regional Medical Center, Tertiary-Regional, (A-300) (IBC-250) San   Fernando, La Union</t>
  </si>
  <si>
    <t>1.Baguio General Hospital and Medical Center, Tertiary-Medical, (A-400) (IBC-400) , Baguio City</t>
  </si>
  <si>
    <t>2. Luis Hora Memorial Regional Hospital Tertiary-Regional (A-150) (IBC-75),  Bauko, Mt. Province</t>
  </si>
  <si>
    <t xml:space="preserve">3. Conner District Hosp (A-25) (IBC-18), Conner, Apayao Province </t>
  </si>
  <si>
    <t>4. Far North Luzon General Hospital and Training Center (A-100) (IBC-35), Luna, Apayao Province</t>
  </si>
  <si>
    <t>1. Cagayan Valley Medical Center, Tertiary-Medical Center (A-500) (IBC- General Care - 350), Tuguegarao , Cagayan</t>
  </si>
  <si>
    <t>2. Veterans Regional Hospital, Tertiary-Regional (A-200) (IBC-200),  Bayombong,  Nueva Vizcaya</t>
  </si>
  <si>
    <t>3. Southern Isabela General Hosp.Tertiary (A-50) (IBC-50), Santiago City, Isabela</t>
  </si>
  <si>
    <t>4. Batanes General Hospital, Tertiary (A-75) (IBC-50),  Basco, Batanes</t>
  </si>
  <si>
    <t>1.Dr. Paulino J. Garcia Memorial Research &amp; Medical Center, Tertiary-Medical Center (A-400) (IBC-400), Cabanatuan City</t>
  </si>
  <si>
    <t>2. Talavera Extension Hospital, Secondary (A-50) (IBC-11), Talavera, Nueva Ecija</t>
  </si>
  <si>
    <t>3. Jose B. Lingad Memorial General Hospital, Tertiary-Regional, (A-250) (IBC- 296) San  Fernando, Pampanga</t>
  </si>
  <si>
    <t>4. Mariveles Mental Hospital (A-500) (ibc-500), Mariveles, Bataan</t>
  </si>
  <si>
    <t>5. Bataan General Hospital, Tertiary (A-350) (IBC-200), Balanga, Bataan.</t>
  </si>
  <si>
    <t>1. Batangas Regional Hospital, Tertiary-Regional (A-250) (IBC-200), Batangas City</t>
  </si>
  <si>
    <t>1.Culion Sanitarium and Balala Hospital, Sanitaria (A-600) (IBC- Custodial Care - 200; General Care-50), Culion, Palawan</t>
  </si>
  <si>
    <t>2. Ospital ng Palawan, Tertiary (A-150) (IBC-130), Puerto Princesa City, Palawan.</t>
  </si>
  <si>
    <t xml:space="preserve">1. Bicol Medical Center, Tertiary-Medical Center (A-500) (IBC-510), Naga   City
</t>
  </si>
  <si>
    <t>2. Bicol Regional Training and Teaching Hospital, Tertiary-Regional (A-250) (IBC-279), Legaspi City</t>
  </si>
  <si>
    <t>3. Bicol Sanitarium, Sanitaria (A-200) (IBC-200) , Cabusao, Camarines Sur</t>
  </si>
  <si>
    <t xml:space="preserve">1. Western Visayas Medical Center, Tertiary-Medical Center (A-400) (IBC-368), Iloilo City </t>
  </si>
  <si>
    <t>2. Western Visayas Regional Hospital, Tertiary-Regional (A-400) (IBC-400), Bacolod City</t>
  </si>
  <si>
    <t>3. Western Visayas Sanitarium (A-300) (IBC Custodial Care -150; General Care 50), Sta. Barbara, Iloilo City</t>
  </si>
  <si>
    <t>4. Don Jose S. Monfort Medical Center, Ext. Hosp., Tertiary Medical Center (A-50) (IBC-27), Barotac Nuevo, Iloilo</t>
  </si>
  <si>
    <t>1. Vicente Sotto Sr. Memorial Medical Center, Tertiary -Medical Center (A-800) (IBC-619) , Cebu City</t>
  </si>
  <si>
    <t>2. Gov. Celestino Gallares Memorial Hospital, Tertiary-Regional (A-225) (IBC-250) , Tagbilaran     City</t>
  </si>
  <si>
    <t>3.  St. Anthony Mother and Child Hospital, Secondary (A-25) (IBC-25),  Cebu City</t>
  </si>
  <si>
    <t>4.  Eversley Child Sanitarium, Sanitaria (A-500) (IBC Custodial Care  -200; General Care -50),  Mandaue City</t>
  </si>
  <si>
    <t>5. Talisay District Hospital (A-25) (IBC-25),  Talisay, Cebu</t>
  </si>
  <si>
    <t>6. Don Emilio del Valle Memorial Hospital (A-50) (IBC-27), Ubay, Bohol</t>
  </si>
  <si>
    <t>1.Eastern Visayas Regional Medical Center, Tertiary Medical Center (A-250) (IBC-273), Tacloban City</t>
  </si>
  <si>
    <t>2. Schistosomiasis Hospital, Secondary Medical Center, (A-25) (IBC - 25)Palo, Leyte</t>
  </si>
  <si>
    <t>1. Zamboanga City Medical Center, Tertiary-Medical Center (A-250) (IBC - 251), Zamboanga City</t>
  </si>
  <si>
    <t>2. Mindanao Central Sanitarium, Sanitaria (A-450) (IBC Custodial Care-100; General Care - 13), Pasabolong, Zamboanga City</t>
  </si>
  <si>
    <t>3. Sulu Sanitarium, Sanitaria (A-130) )IBC-115) , San Raymundo, Jolo, Sulu</t>
  </si>
  <si>
    <t>4. Labuan Public Hospital (A-10) (IBC-10), Labuan, Zamboanga City</t>
  </si>
  <si>
    <t>5. Basilan General Hospital, Tertiary (A-100) (IBC-25), Isabela, Basilan</t>
  </si>
  <si>
    <t>6. Dr. Jose Rizal Memorial Hospital, Tertiary (A-200) (IBC_75), Dapitan  City, Zamboanga del  Norte</t>
  </si>
  <si>
    <t>7. Margosatubig Regional Hospital, Tertiary-Regional (A-300) (IBC-121), Margosatubig, Zamboanga del Sur</t>
  </si>
  <si>
    <t>8. Provision for maintenance of two floating clinics</t>
  </si>
  <si>
    <t>1.Northern Mindanao Medical Center, Tertiary-Medical Center (A-300) (IBC-335)Center, Cagayan De Oro City</t>
  </si>
  <si>
    <t>2. Mayor Hilarion A. Ramiro Sr. Regional Training and Teaching Hospital, Tertiary-Regional (A-150) (IBC-150), Ozamis City</t>
  </si>
  <si>
    <t>3. Amai pakpak Medical Center, Tertiary-Medical Center (A-200)(IBC-75),  Marawi City, Lanao del Sur</t>
  </si>
  <si>
    <t>1. Southern Philippines Medical Center, Tertiary-Medical Center (A-1,200) (IBC- 1,200),  Davao City</t>
  </si>
  <si>
    <t>2. Davao Regional Hospital, Tertiary-Regional (A-200) (IBC-300), Tagum,  Davao Del Norte</t>
  </si>
  <si>
    <t>1. Cotabato Regional and Medical Center, Tertiary-Medical Center (A-400) (IBC-200), Cotabato City</t>
  </si>
  <si>
    <t>2. Cotabato Sanitarium, Sanitaria (A-250)(IBC- Custodial Care -100; General Care-10), Cotabato City</t>
  </si>
  <si>
    <t>1. Caraga Regional Hospital, Tertiary-Regional (A-150) (IBC-150),  Surigao City</t>
  </si>
  <si>
    <t>2. Adela Serra Ty Memorial Medical Center (A-200)(IBC-100), Tandag, Surigao del Sur</t>
  </si>
  <si>
    <t>Peso Counterpart</t>
  </si>
  <si>
    <t>Loan Proceeds</t>
  </si>
  <si>
    <t>TOTAL METRO MANILA HOSPITALS</t>
  </si>
  <si>
    <t>NCR-TOTAL</t>
  </si>
  <si>
    <t>total ncr</t>
  </si>
  <si>
    <t>***</t>
  </si>
  <si>
    <t>GRAND TOTAL METRO MANILA CHD&amp; HOSPITAL</t>
  </si>
  <si>
    <t>TOTAL CAR HOSPITALS</t>
  </si>
  <si>
    <t>CAR-total</t>
  </si>
  <si>
    <t>total car</t>
  </si>
  <si>
    <t>GRAND TOTAL CAR CHD &amp; HOSPITALS</t>
  </si>
  <si>
    <t>TOTAL (CHD METRO MANILA)</t>
  </si>
  <si>
    <t>TOTAL ILOCOS REGION HOSPITALS</t>
  </si>
  <si>
    <t>ILOCOS-total</t>
  </si>
  <si>
    <t>total ilocos</t>
  </si>
  <si>
    <t>GRAND TOTAL ILOCOS CHD &amp; HOSPITALS</t>
  </si>
  <si>
    <t>TOTAL CAGAYAN VALLEY HOSPITALS</t>
  </si>
  <si>
    <t>total cagayan</t>
  </si>
  <si>
    <t>GRAND TOTAL CAGAYAN VALLEY CHD &amp; HOSPITALS</t>
  </si>
  <si>
    <t>TOTAL CENTRAL LUZON HOSPITALS</t>
  </si>
  <si>
    <t>CENTRAL LUZON-total</t>
  </si>
  <si>
    <t>total c. luzon</t>
  </si>
  <si>
    <t>GRAND TOTAL CENTRAL LUZON CHD &amp; HOSPITALS</t>
  </si>
  <si>
    <t>TOTAL CALABARZON HOSPITAL</t>
  </si>
  <si>
    <t>total calabarzon</t>
  </si>
  <si>
    <t>GRAND TOTAL CALABARZON CHD &amp; HOSPITALS</t>
  </si>
  <si>
    <t>TOTAL MIMAROPA HOSPITALS</t>
  </si>
  <si>
    <t>MIMAROPA-total</t>
  </si>
  <si>
    <t>total mimaropa</t>
  </si>
  <si>
    <t>GRAND TOTAL MIMAROPA CHD &amp; HOSPITALS</t>
  </si>
  <si>
    <t>TOTAL BICOL REGION HOSPITALS</t>
  </si>
  <si>
    <t>BICOL-total</t>
  </si>
  <si>
    <t>total bicol</t>
  </si>
  <si>
    <t>GRAND TOTAL BICOL CHD &amp; HOSPITALS</t>
  </si>
  <si>
    <t>TOTAL WESTERN VISAYAS HOSPITALS</t>
  </si>
  <si>
    <t>W. VISAYAS-total</t>
  </si>
  <si>
    <t>total w. visyas</t>
  </si>
  <si>
    <t>GRAND TOTAL WESTERN VISAYAS CHD &amp; HOSPITALS</t>
  </si>
  <si>
    <t>TOTAL CENTRAL VISAYAS HOSPITALS</t>
  </si>
  <si>
    <t>C. VISAYAS-total</t>
  </si>
  <si>
    <t>total c. visayas</t>
  </si>
  <si>
    <t>GRAND TOTAL CENTRAL VISAYAS CHD &amp; HOSPITALS</t>
  </si>
  <si>
    <t>TOTAL EASTERN VISAYAS HOSPITALS</t>
  </si>
  <si>
    <t>E. VISAYAS-total</t>
  </si>
  <si>
    <t>total e. visayas</t>
  </si>
  <si>
    <t>GRAND TOTAL EASTERN VISAYAS CHD &amp; HOSPITALS</t>
  </si>
  <si>
    <t>TOTAL ZAMBOANGA PENINSULA HOSPITALS</t>
  </si>
  <si>
    <t>ZAMBOANGA-total</t>
  </si>
  <si>
    <t>total zamboanga</t>
  </si>
  <si>
    <t>GRAND TOTAL ZAMBOANGA PENINSULA CHD &amp; HOSPITALS</t>
  </si>
  <si>
    <t>TOTAL NORTHERN MINDANAO HOSPITALS</t>
  </si>
  <si>
    <t>N. MINDANAO-total</t>
  </si>
  <si>
    <t>total n. mindanao</t>
  </si>
  <si>
    <t>GRAND TOTAL NORTHERN MINDANAO CHD &amp; HOSPITALS</t>
  </si>
  <si>
    <t>TOTAL DAVAO REGION HOSPITALS</t>
  </si>
  <si>
    <t>DAVAO-total</t>
  </si>
  <si>
    <t>total davao</t>
  </si>
  <si>
    <t>GRAND TOTAL DAVAO CHD &amp; HOSPITALS</t>
  </si>
  <si>
    <t>TOTAL SOCCSKSARGEN HOSPITALS</t>
  </si>
  <si>
    <t>SOCCSARGEN-total</t>
  </si>
  <si>
    <t>total soccsksargen</t>
  </si>
  <si>
    <t>GRAND TOTAL SOCCSKSARGEN CHD &amp; HOSPITALS</t>
  </si>
  <si>
    <t>TOTAL CARAGA HOSPITALS</t>
  </si>
  <si>
    <t>CARAGA-total</t>
  </si>
  <si>
    <t>total caraga</t>
  </si>
  <si>
    <t>GRAND TOTAL CARAGA CHD &amp; HOSPITALS</t>
  </si>
  <si>
    <t>GRAND TOTAL SPECIAL HOSPITALS</t>
  </si>
  <si>
    <t>GRAND TOTAL BUREAUS</t>
  </si>
  <si>
    <t>SAGF-Fund 152</t>
  </si>
  <si>
    <t>GRAND TOTAL QUARANTINE</t>
  </si>
  <si>
    <t xml:space="preserve">M </t>
  </si>
  <si>
    <t>f</t>
  </si>
  <si>
    <t>x</t>
  </si>
  <si>
    <t>i. Dulag , Leyte Drug Rehabilitation Center</t>
  </si>
  <si>
    <t>Sub-total, Locally Funded Projects</t>
  </si>
  <si>
    <t>Formulation and Development of National Health Policies and plans including Essential National Health Research</t>
  </si>
  <si>
    <t>Development of policies, support mechanisms and collaboration for International Health Cooperation</t>
  </si>
  <si>
    <t>Establishment of new as well as the operation, maintenance and modernization /expansion of existing treatment and  rehabilitation centers and facilities, subject to the submission of special budget pursuant to  Section 35, Chapter 5, Book VI of EO No. 292</t>
  </si>
  <si>
    <t>General  Management and Supervision</t>
  </si>
  <si>
    <t>Health Emergency Preparedness and  Response Prog.</t>
  </si>
  <si>
    <t xml:space="preserve">Health Promotion </t>
  </si>
  <si>
    <t>Operation of the Philippine National AIDS Council</t>
  </si>
  <si>
    <t>Environmental and Occupational Health Programs</t>
  </si>
  <si>
    <t>Family Health and Primary Health Care Programs</t>
  </si>
  <si>
    <t>Non- Communicable Diseases Prevention and Control Prog.</t>
  </si>
  <si>
    <t>Epidemiology, Disease Surveillance and Lab. Network</t>
  </si>
  <si>
    <t>Health Information Systems and Technology Devt.</t>
  </si>
  <si>
    <t>Health Human Resource Policy Development and Planning</t>
  </si>
  <si>
    <t>Local Health Systems and Local Health Devt.</t>
  </si>
  <si>
    <t>Regulation of Health Facilities and Services</t>
  </si>
  <si>
    <t>Regulation of Health Devices and Technology</t>
  </si>
  <si>
    <t>1. \</t>
  </si>
  <si>
    <t>PS Allotment is from approved realignment of savings from CY2011 MOOE for payment of Magna Carta Benefits as per SARO-ROX+11-0035081 dtd 4/2/2012</t>
  </si>
  <si>
    <t>PS Allotment is from approved realignment of savings from CY2011 MOOE for payment of Magna Carta Benefits</t>
  </si>
  <si>
    <t>SPECIAL PURPOSE FUNDs</t>
  </si>
  <si>
    <t>****</t>
  </si>
  <si>
    <t>Transfer of appropriation from DOH to budgetary support to Govt.  Corp P12.028;  BMB-B-12-0002244 dated March 19, 2012</t>
  </si>
  <si>
    <t>capital outlay</t>
  </si>
  <si>
    <t>2012 - releases</t>
  </si>
  <si>
    <t>2011- balance</t>
  </si>
  <si>
    <t>SUB-ALLOTMENT (CURRENT RELEASED)</t>
  </si>
  <si>
    <t>SUB-ALLOTMENT (PRIOR YEAR'S BALANCE)</t>
  </si>
  <si>
    <t>TOTAL SUB-ALLOTMENT</t>
  </si>
  <si>
    <t>w/ approved realignment from MOOE to CO</t>
  </si>
  <si>
    <t>MOOE Allotment is charged to Special Account in the General Fund (SAGF)</t>
  </si>
  <si>
    <t>CAPITAL OUTLAY</t>
  </si>
  <si>
    <t>2012 RELEASES</t>
  </si>
  <si>
    <t>SAGF-Fund 152 (BOQ)</t>
  </si>
  <si>
    <t>SAGF-152 (BOQ)</t>
  </si>
  <si>
    <t>RESULTS BASED M &amp; E TOWARDS EQUITY AND EFFECTIVENESS
IDF (TF 095275)</t>
  </si>
  <si>
    <t>SUMMARY REPORT OF ALLOTMENT, OBLIGATIONS AND BALANCES</t>
  </si>
  <si>
    <t>SUMMARY  REPORT OF ALLOTMENT , OBLIGATIONS AND BALANCES</t>
  </si>
  <si>
    <t>INTERNAL REALIGNMENT ( USED OF SAVINGS TO PAY BENEFITS)</t>
  </si>
  <si>
    <t>REGULAR FUND - GAA APPROPRIATION</t>
  </si>
  <si>
    <t>GAA APPROPRIATION - TOTAL</t>
  </si>
  <si>
    <t>OTHER RELEASES &amp; SPECIAL PURPOSE FUND</t>
  </si>
  <si>
    <t>OTHER RELEASES &amp; SPECIAL PURPOSE FUND - TOTAL</t>
  </si>
  <si>
    <t>GRAND TOTAL (DOH-WIDE)</t>
  </si>
  <si>
    <t>GAA APPROPRIATION - GRAND TOTAL</t>
  </si>
  <si>
    <t>OTHER RELEASES &amp; SPECIAL PURPOSE FUND - GRAND TOTAL</t>
  </si>
  <si>
    <t>GRANTS &amp; DONATIONS</t>
  </si>
  <si>
    <t>TOTAL APPROPRIATION - CENTRAL OFFICE</t>
  </si>
  <si>
    <t>CY 2013 Released</t>
  </si>
  <si>
    <t>2012 SAA balance</t>
  </si>
  <si>
    <t>Caraga Rehabilitation Center</t>
  </si>
  <si>
    <t>A.III.b.8.l</t>
  </si>
  <si>
    <t>Pilar Rehabilitation Center</t>
  </si>
  <si>
    <t xml:space="preserve">FINANCIAL REPORT OF OPERATIONS </t>
  </si>
  <si>
    <t>CY 2013 CURRENT APPROPRIATIONS</t>
  </si>
  <si>
    <t>Family Health  and Responsible Parenting</t>
  </si>
  <si>
    <t>Argao  City Rehabilitation Center</t>
  </si>
  <si>
    <t>A.III.b.8.j</t>
  </si>
  <si>
    <t>Dagupan Rehabilitation Center</t>
  </si>
  <si>
    <t>A.III.b.8.m</t>
  </si>
  <si>
    <t>b. Argao  City Rehabilitation Center</t>
  </si>
  <si>
    <t>k. Caraga Rehabilitation Center</t>
  </si>
  <si>
    <t>m. Establishment of new as well as the operation, maintenance and modernization /expansion of existing treatment and rehabilitation centers and facilities, subject to the submission of special budget pursuant to  Section 35, Chapter 5, Book VI of EO No. 292</t>
  </si>
  <si>
    <t>FOREIGN ASSISTED PROJECTS</t>
  </si>
  <si>
    <t>j. Pilar Rehabilitation Center</t>
  </si>
  <si>
    <t>l. Dagupan Rehabilitation Center</t>
  </si>
  <si>
    <t>CY 2012 CONTINUING APPROPRIATIONS</t>
  </si>
  <si>
    <t xml:space="preserve">STATEMENT OF ALLOTMENTS, OBLIGATIONS AND BALANCES </t>
  </si>
  <si>
    <t>chd1</t>
  </si>
  <si>
    <t>chd2</t>
  </si>
  <si>
    <t>car</t>
  </si>
  <si>
    <t>chd3</t>
  </si>
  <si>
    <t>chd5</t>
  </si>
  <si>
    <t>chd6</t>
  </si>
  <si>
    <t>chd7</t>
  </si>
  <si>
    <t>chd8</t>
  </si>
  <si>
    <t>chd9</t>
  </si>
  <si>
    <t>chd10</t>
  </si>
  <si>
    <t>chd11</t>
  </si>
  <si>
    <t>chd12</t>
  </si>
  <si>
    <t>caraga</t>
  </si>
  <si>
    <t>chd4a</t>
  </si>
  <si>
    <t>chd4b</t>
  </si>
  <si>
    <t>Bureau of Quarantine</t>
  </si>
  <si>
    <t>INCURRED
THIS QUARTER</t>
  </si>
  <si>
    <t>BREAKDOWN</t>
  </si>
  <si>
    <t xml:space="preserve">    SAGF-152 (BOQ)</t>
  </si>
  <si>
    <t>SPECIAL PURPOSE/ AUTOMATIC APPRO</t>
  </si>
  <si>
    <t>CY 2012  CONTINUING APPROPRIATIONS</t>
  </si>
  <si>
    <t xml:space="preserve">CONTINUING APPROPRIATIONS (2012) - REGULAR FUND </t>
  </si>
  <si>
    <t xml:space="preserve">CURRENT APPROPRIATIONS (CY 2013) -  REGULAR FUND </t>
  </si>
  <si>
    <t>CURRENT APPROPRIATION 2013 (REGULAR FUND)</t>
  </si>
  <si>
    <t>CONTINUING APPROPRIATION 2012 (REGULAR FUND)</t>
  </si>
  <si>
    <t>SUB-ALLOTMENT-RLIP</t>
  </si>
  <si>
    <t>SUB-ALLOTMENT- MPBF</t>
  </si>
  <si>
    <t>TB Control Program</t>
  </si>
  <si>
    <t>ADJUSTMENT</t>
  </si>
  <si>
    <t/>
  </si>
  <si>
    <t>FOR CURRENT YEAR 2013</t>
  </si>
  <si>
    <t>AGENCY SPECIFIC BUDGET</t>
  </si>
  <si>
    <t>AGENCY SPECIFIC BUDGET (ADJUSTED)</t>
  </si>
  <si>
    <t>RLIP (ADJUSTED)</t>
  </si>
  <si>
    <t>HEALTH SECTOR POLICY SUPPORT PROGRAM (AECID)</t>
  </si>
  <si>
    <t>MPBF (ADJUSTED)</t>
  </si>
  <si>
    <t>TOTAL FAPs</t>
  </si>
  <si>
    <t>TOTAL CENTRAL OFFICE</t>
  </si>
  <si>
    <t>CHD/ HOSPITAL</t>
  </si>
  <si>
    <t>CHD/ HOSPITALS</t>
  </si>
  <si>
    <t>FICO</t>
  </si>
  <si>
    <t>HEALTH REGULATION</t>
  </si>
  <si>
    <t>HOSPITAL OPERATION</t>
  </si>
  <si>
    <t>VALENZUELA MEDICAL HOSPITAL</t>
  </si>
  <si>
    <t>LAS PIÑAS GENERAL HOSPITAL AND SATELLITE TRAUMA CENTER</t>
  </si>
  <si>
    <t>SAN LORENZO RUIZ SPECIAL HOSP. FOR WOMEN</t>
  </si>
  <si>
    <t>DR. JOSE N. RODRIGUEZ MEMO. HOSP.</t>
  </si>
  <si>
    <t>TOTAL-CHD MM INCL HOSPITAL</t>
  </si>
  <si>
    <t>BAGUIO GEN HOSP &amp; MED. CTR.</t>
  </si>
  <si>
    <t>LUIS HORA MEMO. REG'L HOSP</t>
  </si>
  <si>
    <t>CONNER DISTRICT HOSPITAL</t>
  </si>
  <si>
    <t xml:space="preserve">FAR NORTH LUZON GENERAL </t>
  </si>
  <si>
    <t>TOTAL-CHD CAR INCL HOSPITAL</t>
  </si>
  <si>
    <t>REGION 1 MEDICAL CENTER</t>
  </si>
  <si>
    <t>MARIANO MARCOS MEMORIAL HOSP. &amp; MEDICAL CTR.</t>
  </si>
  <si>
    <t>ILOCOS TRAINING AND REGIONAL MEDICAL   CENTER</t>
  </si>
  <si>
    <t>TOTAL-CHD ILOCOS INCL HOSPITAL</t>
  </si>
  <si>
    <t>CAGAYAN VALLEY MEDICAL CENTER</t>
  </si>
  <si>
    <t>VETERANS GENERAL HOSPITAL</t>
  </si>
  <si>
    <t>SOUTHERN ISABELA GENERAL HOSP.</t>
  </si>
  <si>
    <t>BATANES GENERAL HOSPITAL</t>
  </si>
  <si>
    <t>TOTAL-CHD CAGAYAN VALLEY INCL HOSPITAL</t>
  </si>
  <si>
    <t>DR. PAULINO J. GARCIA MEMORIAL RESEARCH &amp; MEDICAL CENTER</t>
  </si>
  <si>
    <t>TALAVERA EXTENSION HOSPITAL</t>
  </si>
  <si>
    <t>JOSE B. LINGAD MEMORIAL GENERAL HOSPITAL</t>
  </si>
  <si>
    <t>FINANCIAL ASSISTANCE</t>
  </si>
  <si>
    <t>MARIVELES MENTAL HOSPITAL</t>
  </si>
  <si>
    <t>BATAAN PROVINCIAL HOSPITAL</t>
  </si>
  <si>
    <t>TOTAL-CHD CENTRAL LUZON INCL HOSPITAL</t>
  </si>
  <si>
    <t>BATANGAS REGIONAL HOSPITAL</t>
  </si>
  <si>
    <t>TOTAL-CHD 4A CALABARZON INCL HOSPITAL</t>
  </si>
  <si>
    <t>CULION SANITARIUM &amp; BALALA HOSPITAL</t>
  </si>
  <si>
    <t>OSPITAL NG PALAWAN</t>
  </si>
  <si>
    <t>TOTAL-CHD 4B MIMAROPA INCL HOSPITAL</t>
  </si>
  <si>
    <t>BICOL MEDICAL CENTER</t>
  </si>
  <si>
    <t>BICOL REGIONAL TRAINING &amp; TEACHING HOSPITAL</t>
  </si>
  <si>
    <t>BICOL SANITARIUM</t>
  </si>
  <si>
    <t>TOTAL-CHD 5 BICOL REGION INCL HOSPITAL</t>
  </si>
  <si>
    <t>WESTERN VISAYAS MEDICAL CENTER</t>
  </si>
  <si>
    <t>WESTERN VISAYAS SANITARIUM</t>
  </si>
  <si>
    <t>DON JOSE S. MONFORT MEDICAL CENTER</t>
  </si>
  <si>
    <t>CORAZON LOCSIN MONTELIBANO MEMORIAL REGIONAL HOSPITAL / WESTERN VISAYAS REGIONAL HOSPITAL</t>
  </si>
  <si>
    <t>TOTAL-CHD 6 WESTERN VISAYAS INCL HOSPITAL</t>
  </si>
  <si>
    <t>VICENTE SOTTO SR. MEMORIAL MEDICAL CENTER</t>
  </si>
  <si>
    <t>GOV. CELESTINO GALLARES MEMORIAL HOSPITAL</t>
  </si>
  <si>
    <t>ST. ANTHONY MOTHER &amp; CHILD HOSPITAL</t>
  </si>
  <si>
    <t>EVERSLY CHILD SANITARIUM</t>
  </si>
  <si>
    <t>TALISAY DISTRICT HOSPITAL</t>
  </si>
  <si>
    <t>DON EMILIO DEL VALLE MEMORIAL HOSPITAL</t>
  </si>
  <si>
    <t>TOTAL-CHD 7 CENTRAL VISAYAS INCL HOSPITAL</t>
  </si>
  <si>
    <t>EASTERN VISAYAS REGIONAL MEDICAL CENTER</t>
  </si>
  <si>
    <t>SCHISTOSOMIASIS HOSPITAL</t>
  </si>
  <si>
    <t>TOTAL-CHD 8 EASTERN VISAYAS INCL HOSPITAL</t>
  </si>
  <si>
    <t>ZAMBOANGA CITY MEDICAL CENTER</t>
  </si>
  <si>
    <t>MINDANAO CENTRAL SANITARIUM</t>
  </si>
  <si>
    <t>SULU SANITARIUM</t>
  </si>
  <si>
    <t>LABUAN PUBLIC HOSPITAL</t>
  </si>
  <si>
    <t>BASILAN GENERAL HOSPITAL</t>
  </si>
  <si>
    <t>DR. JOSE RIZAL MEMORIAL HOSPITAL</t>
  </si>
  <si>
    <t>MARGOSATUBIG REGIONAL HOSPITAL</t>
  </si>
  <si>
    <t>PROVISION FOR MAINTENANCE OF TWO FLOATING CLINICS</t>
  </si>
  <si>
    <t>TOTAL-CHD 9 ZAMBOANGA INCL HOSPITAL</t>
  </si>
  <si>
    <t>NORTHERN MINDANAO MEDICAL CENTER</t>
  </si>
  <si>
    <t>MAYOR HILARION A. RAMIRO SR. REGIONAL TRAINING &amp; TEACHING HOSPITAL</t>
  </si>
  <si>
    <t>AMAI PAKPAK MEDICAL CENTER</t>
  </si>
  <si>
    <t>TOTAL-CHD 10 NORTHERN MINDANAO INCL HOSPITAL</t>
  </si>
  <si>
    <t>SOUTHERN PHILIPPINES MEDICAL CENTER</t>
  </si>
  <si>
    <t>DAVAO REGIONAL HOSPITAL</t>
  </si>
  <si>
    <t>TOTAL-CHD 11 DAVAO REGION INCL HOSPITAL</t>
  </si>
  <si>
    <t>COTABATO REGIONAL &amp; MEDICAL CENTER</t>
  </si>
  <si>
    <t>COTABATO SANITARIUM</t>
  </si>
  <si>
    <t>TOTAL-CHD 12 SOCCSKSARGEN INCL HOSPITAL</t>
  </si>
  <si>
    <t>CARAGA REGIONAL HOSPITAL</t>
  </si>
  <si>
    <t>ADELA SERRA TY MEMO. MED. CENTER</t>
  </si>
  <si>
    <t>TOTAL-CHD CARAGA INCL HOSPITAL</t>
  </si>
  <si>
    <t>JOSE REYES MEMORIAL MEDICAL CENTER</t>
  </si>
  <si>
    <t>FINANCIAL ASSISTANCE (DAF FUND)</t>
  </si>
  <si>
    <t>JOSE FABELLA MEMORIAL HOSPITAL</t>
  </si>
  <si>
    <t>NATIONAL CHILDRENS HOSPITAL</t>
  </si>
  <si>
    <t>NATIONAL CENTER FOR MENTAL HEALTH</t>
  </si>
  <si>
    <t>PHILIPPINE ORTHOPEDIC CENTER</t>
  </si>
  <si>
    <t>SAN LAZARO HOSPITAL</t>
  </si>
  <si>
    <t>RESEARCH INSTITUTE FOR TROPICAL MEDICINE</t>
  </si>
  <si>
    <t>AMANG RODRIGUEZ MEDICAL CENTER</t>
  </si>
  <si>
    <t>TOTAL- SPECIAL HOSPITALS</t>
  </si>
  <si>
    <t>TOTAL- BUREAUS</t>
  </si>
  <si>
    <t>FOREIGN ASSISTED  PROJECTS</t>
  </si>
  <si>
    <t>BFAD</t>
  </si>
  <si>
    <t>OR &amp; SPF</t>
  </si>
  <si>
    <t>GRANTS</t>
  </si>
  <si>
    <t>Checking of Sub-allotment</t>
  </si>
  <si>
    <t>CY 2012 CONTINUING APPROPRIATION</t>
  </si>
  <si>
    <t>SUSTAINABLE SANITATION IN EAST ASIA PROJECT (SUSEA)</t>
  </si>
  <si>
    <t>RESULT BASED  M&amp;E TOWARDS EQUITY &amp; EFFECTIVENESS</t>
  </si>
  <si>
    <t>*Highlighted Blue - No submission of SAOB as of February 21, 2013</t>
  </si>
  <si>
    <t>STATEMENT OF ALLOTMENT, OBLIGATIONS AND BALANCES</t>
  </si>
  <si>
    <t>HSPSP (AECID)</t>
  </si>
  <si>
    <t>b. Implementation of Various Projects for LGUs</t>
  </si>
  <si>
    <t xml:space="preserve"> DOH Appropriation Directly Released to GOCC represents the following </t>
  </si>
  <si>
    <t xml:space="preserve"> 1. Subsidy to Health Insurance Premium under PAMANA Program: Pilar I- Social Protection Package for Former Rebels </t>
  </si>
  <si>
    <t xml:space="preserve"> 2. Subsidy to health insurance Premium for Indigent families </t>
  </si>
  <si>
    <t xml:space="preserve"> Sub-total </t>
  </si>
  <si>
    <t>CY 2013 GAA</t>
  </si>
  <si>
    <t>W/ REALIGNMENT COVERED BY SARO WORTH P1,463,873.15 FROM PS TO CO</t>
  </si>
  <si>
    <t>CHDs &amp; Hospitals</t>
  </si>
  <si>
    <t>saa - Region</t>
  </si>
  <si>
    <t>Note:</t>
  </si>
  <si>
    <t>HEALTH SECTOR POLICY SUPPORT PROGRAM - PHASE II EU (DOH -A5629-171)</t>
  </si>
  <si>
    <t>formulation</t>
  </si>
  <si>
    <t>Health Sector Policy Support Program - Phase II EU (DOH -A5629-171)</t>
  </si>
  <si>
    <t>CY SAA</t>
  </si>
  <si>
    <t>CY RELEASED SAA</t>
  </si>
  <si>
    <t>PY RELEASED SAA</t>
  </si>
  <si>
    <t>Health Policy Finance &amp; Research Development Cluster</t>
  </si>
  <si>
    <t>Administration Technical Cluster</t>
  </si>
  <si>
    <t>Office of Undersecretary II</t>
  </si>
  <si>
    <t>Support to Service Delivery Cluster II</t>
  </si>
  <si>
    <t>Special Concerns Technical Cluster</t>
  </si>
  <si>
    <t>Support to Service Delivery Cluster I</t>
  </si>
  <si>
    <t>Internal Finance Management Technical Cluster</t>
  </si>
  <si>
    <t>Support to Service Delivery Cluster III</t>
  </si>
  <si>
    <t>Food and Drugs Administration and Regulation of Health Devices and Technology</t>
  </si>
  <si>
    <t>Valera</t>
  </si>
  <si>
    <t>Health Policy Development &amp; Planning Bureau</t>
  </si>
  <si>
    <t>Bureau of International Health Cooperation</t>
  </si>
  <si>
    <t>National Center for Pharmaceutical Access Management</t>
  </si>
  <si>
    <t>Health Human Resource Development Bureau</t>
  </si>
  <si>
    <t>gako</t>
  </si>
  <si>
    <t>Bureau of Local Health Development</t>
  </si>
  <si>
    <t>lozada</t>
  </si>
  <si>
    <t>Philippine National Aids Council</t>
  </si>
  <si>
    <t>Bureau of Food and Drugs</t>
  </si>
  <si>
    <t xml:space="preserve">Regulation of  Devices and Radiation Health </t>
  </si>
  <si>
    <t>tayag</t>
  </si>
  <si>
    <t>National Epidemiology Center</t>
  </si>
  <si>
    <t>National Center for Disease Prevention and Control</t>
  </si>
  <si>
    <t>Health Emergency Management Service</t>
  </si>
  <si>
    <t>National Center for Health Promotion</t>
  </si>
  <si>
    <t>lutero</t>
  </si>
  <si>
    <t>Bureau of Health Facilities and Services</t>
  </si>
  <si>
    <t>Operation of Dangerous Drug Abuse Treatment and Rehabilitation Centers</t>
  </si>
  <si>
    <t>punzalan</t>
  </si>
  <si>
    <t>Information Management System</t>
  </si>
  <si>
    <t>gutierrez</t>
  </si>
  <si>
    <t>b. National Voluntary Blood Services Program and Operation of  Blood  Centers</t>
  </si>
  <si>
    <t>National Center for Health Facility Development</t>
  </si>
  <si>
    <t>cortez</t>
  </si>
  <si>
    <t>Central Office including BFAD and BOQ</t>
  </si>
  <si>
    <t>USEC Madeleine de Rosas- Valera</t>
  </si>
  <si>
    <t>USEC Nemesio T. Gako</t>
  </si>
  <si>
    <t>OIC-ASEC Blesilda A. Gutirrez</t>
  </si>
  <si>
    <t>USEC David J. Lozada, Jr.</t>
  </si>
  <si>
    <t>Dir. Kenneth Hartigan Go</t>
  </si>
  <si>
    <t>ASEC Elmer G. Punzalan</t>
  </si>
  <si>
    <t>OIC-ASEC Roland L. Cortez</t>
  </si>
  <si>
    <t>OIC-ASEC Enrique A. Tayag</t>
  </si>
  <si>
    <t>OIC-ASEC Nicolas B. Lutero III</t>
  </si>
  <si>
    <t>General Management and Supervision</t>
  </si>
  <si>
    <t>Locally Funded Projects</t>
  </si>
  <si>
    <t>Assistance to Philippine Tuberculosis Society (PTS)</t>
  </si>
  <si>
    <t>go</t>
  </si>
  <si>
    <t>USEC Bayugo</t>
  </si>
  <si>
    <t>ASEC Ubial</t>
  </si>
  <si>
    <t>ASEC Busuego</t>
  </si>
  <si>
    <t>USEC Herbosa</t>
  </si>
  <si>
    <t xml:space="preserve">CUSTOM DUTIES AND TAXES </t>
  </si>
  <si>
    <t>CUSTOM DUTIES AND TAXES</t>
  </si>
  <si>
    <t>LOCALLY FUNDED PROJECTS</t>
  </si>
  <si>
    <t>Custom Duties &amp; Taxes</t>
  </si>
  <si>
    <t>ALLOTMENT LESS SAA</t>
  </si>
  <si>
    <t>FUR %</t>
  </si>
  <si>
    <t>PUBLIC -PRIVATE PARTNERSHIP</t>
  </si>
  <si>
    <t>AUTOMATIC APPROPRIATIONS</t>
  </si>
  <si>
    <t>OSEC Proper</t>
  </si>
  <si>
    <t xml:space="preserve">* DOH Appropriation Directly Released to GOCC represents the following </t>
  </si>
  <si>
    <t>a.* Womens Health and Safemotherhood Project II</t>
  </si>
  <si>
    <t>* Womens Health and Safe Motherhood Project II</t>
  </si>
  <si>
    <t>*Foreign Assisted Project</t>
  </si>
  <si>
    <t>Central Office</t>
  </si>
  <si>
    <t>Food and Drug Administration</t>
  </si>
  <si>
    <t>PHILIPPINE RACING CLUB</t>
  </si>
  <si>
    <t>Philippine Racing Club</t>
  </si>
  <si>
    <t>withdrawal</t>
  </si>
  <si>
    <t>realignment - CAR</t>
  </si>
  <si>
    <t>realignment - OSEC</t>
  </si>
  <si>
    <t>1. Jose Reyes Memorial Medical Center</t>
  </si>
  <si>
    <t xml:space="preserve">2. Rizal Medical Center </t>
  </si>
  <si>
    <t>3. East Avenue Medical Center</t>
  </si>
  <si>
    <t>4. Quirino Memorial Medical Center</t>
  </si>
  <si>
    <t>5. Tondo Medical Center</t>
  </si>
  <si>
    <t>6. Jose Fabella Memorial Hospital</t>
  </si>
  <si>
    <t>7. National Children's Hospital</t>
  </si>
  <si>
    <t>8. National Center for Mental Health</t>
  </si>
  <si>
    <t>9. Philippine Orthopedic Center</t>
  </si>
  <si>
    <t>10. San Lazaro Hospital</t>
  </si>
  <si>
    <t>11. Research Institute for Tropical Medicine</t>
  </si>
  <si>
    <t>12. "Amang" Rodriguez Medical Center</t>
  </si>
  <si>
    <t>1. CHD - NCR</t>
  </si>
  <si>
    <t>2. Valenzuela Medical Hospital</t>
  </si>
  <si>
    <t>3. Las Piñas General Hospital and Satellite Trauma Center</t>
  </si>
  <si>
    <t>4. San Lorenzo Ruiz Special Hospital for Women</t>
  </si>
  <si>
    <t>5. Dr. Jose N. Rodriguez Memorial Hospital</t>
  </si>
  <si>
    <t>2. Batangas Regional Hospital</t>
  </si>
  <si>
    <t>3. Ospital ng Palawan</t>
  </si>
  <si>
    <t>1. CHD - 4A</t>
  </si>
  <si>
    <t>Region 4A - Calabarzon</t>
  </si>
  <si>
    <t>Region 4B - Mimaropa</t>
  </si>
  <si>
    <t>1. CHD - 4B</t>
  </si>
  <si>
    <t>Region 5 - Bicol</t>
  </si>
  <si>
    <t>1. CHD - 5</t>
  </si>
  <si>
    <t xml:space="preserve">2. Bicol Medical Center
</t>
  </si>
  <si>
    <t>3. Bicol Regional Training and Teaching Hospital</t>
  </si>
  <si>
    <t>4. Bicol Sanitarium</t>
  </si>
  <si>
    <t>1. CHD -  CAR</t>
  </si>
  <si>
    <t>2.Baguio General Hospital and Medical Center</t>
  </si>
  <si>
    <t>3. Luis Hora Memorial Regional Hospital</t>
  </si>
  <si>
    <t>4. Conner District Hospital</t>
  </si>
  <si>
    <t>5. Far North Luzon General Hospital and Training Center</t>
  </si>
  <si>
    <t>1. CHD -  CHD 1</t>
  </si>
  <si>
    <t>Region 1 - Ilocos</t>
  </si>
  <si>
    <t>2. Mariano Marcos Memorial Hospital and Medical Center</t>
  </si>
  <si>
    <t>3. Region I Medical Center</t>
  </si>
  <si>
    <t>4.  Ilocos Training and Regional Medical Center</t>
  </si>
  <si>
    <t>Region 2 - Cagayan Valley</t>
  </si>
  <si>
    <t>1. CHD -  CHD 2</t>
  </si>
  <si>
    <t>2. Cagayan Valley Medical Center</t>
  </si>
  <si>
    <t>3. Veterans Regional Hospital</t>
  </si>
  <si>
    <t>4. Southern Isabela General Hospital</t>
  </si>
  <si>
    <t>5. Batanes General Hospital</t>
  </si>
  <si>
    <t>2. Dr. Paulino J. Garcia Memorial Research &amp; Medical Center</t>
  </si>
  <si>
    <t>3. Talavera Extension Hospital</t>
  </si>
  <si>
    <t>4. Jose B. Lingad Memorial General Hospital</t>
  </si>
  <si>
    <t>5. Mariveles Mental Hospital</t>
  </si>
  <si>
    <t>6. Bataan General Hospital</t>
  </si>
  <si>
    <t>1. CHD -  CHD 3</t>
  </si>
  <si>
    <t>Region 3 - Central Luzon</t>
  </si>
  <si>
    <t>Region 6 - Western Visayas</t>
  </si>
  <si>
    <t>1. CHD -  CHD 6</t>
  </si>
  <si>
    <t>2. Western Visayas Medical Center</t>
  </si>
  <si>
    <t>3. Western Visayas Regional Hospital</t>
  </si>
  <si>
    <t>4. Western Visayas Sanitarium</t>
  </si>
  <si>
    <t>5. Don Jose S. Monfort Medical Center</t>
  </si>
  <si>
    <t>1. CHD -  CHD 7</t>
  </si>
  <si>
    <t>Region 7 - Central Visayas</t>
  </si>
  <si>
    <t>2. Vicente Sotto Sr. Memorial Medical Center</t>
  </si>
  <si>
    <t>3. Gov. Celestino Gallares Memorial Hospital</t>
  </si>
  <si>
    <t>4.  St. Anthony Mother and Child Hospital</t>
  </si>
  <si>
    <t>5.  Eversley Child Sanitarium</t>
  </si>
  <si>
    <t>6. Talisay District Hospital</t>
  </si>
  <si>
    <t>7. Don Emilio del Valle Memorial Hospital</t>
  </si>
  <si>
    <t>Region 8 - Eastern Visayas</t>
  </si>
  <si>
    <t>1. CHD -  CHD 8</t>
  </si>
  <si>
    <t>2. Eastern Visayas Regional Medical Center</t>
  </si>
  <si>
    <t>3. Schistosomiasis Hospital</t>
  </si>
  <si>
    <t>Region 9 - Zamboanga Peninsula</t>
  </si>
  <si>
    <t>1. CHD -  CHD 9</t>
  </si>
  <si>
    <t>2. Zamboanga City Medical Center</t>
  </si>
  <si>
    <t>3. Mindanao Central Sanitarium</t>
  </si>
  <si>
    <t>4. Sulu Sanitarium</t>
  </si>
  <si>
    <t>5. Labuan Public Hospital</t>
  </si>
  <si>
    <t>6. Basilan General Hospital</t>
  </si>
  <si>
    <t>7. Dr. Jose Rizal Memorial Hospital</t>
  </si>
  <si>
    <t>8. Margosatubig Regional Hospital</t>
  </si>
  <si>
    <t>9. Provision for maintenance of two floating clinics</t>
  </si>
  <si>
    <t>Region 10 - Northern Mindanao</t>
  </si>
  <si>
    <t>1. CHD -  CHD 10</t>
  </si>
  <si>
    <t>2. Northern Mindanao Medical Center</t>
  </si>
  <si>
    <t>2. Mayor Hilarion A. Ramiro Sr. Regional Training and Teaching Hospital</t>
  </si>
  <si>
    <t>3. Amai pakpak Medical Center</t>
  </si>
  <si>
    <t>Region 11 - Davao</t>
  </si>
  <si>
    <t>1. CHD -  CHD 11</t>
  </si>
  <si>
    <t>2. Southern Philippines Medical Center</t>
  </si>
  <si>
    <t>3. Davao Regional Hospital</t>
  </si>
  <si>
    <t>Region 12 - SOCCSKSARGEN</t>
  </si>
  <si>
    <t>1. CHD -  CHD 12</t>
  </si>
  <si>
    <t>2. Cotabato Regional and Medical Center</t>
  </si>
  <si>
    <t>3. Cotabato Sanitarium</t>
  </si>
  <si>
    <t>1. CHD -  CARAGA</t>
  </si>
  <si>
    <t>2. Caraga Regional Hospital</t>
  </si>
  <si>
    <t xml:space="preserve">3. Adela Serra Ty Memorial Medical Center </t>
  </si>
  <si>
    <t>2. Culion Sanitarium and Balala Hospital</t>
  </si>
  <si>
    <t xml:space="preserve">NCR &amp; Southern Luzon Cluster </t>
  </si>
  <si>
    <t>Northern &amp; Central Luzon Cluster</t>
  </si>
  <si>
    <t>Visayas Cluster</t>
  </si>
  <si>
    <t>Utilization Rate (%)</t>
  </si>
  <si>
    <t>TL</t>
  </si>
  <si>
    <t>Current Year Budget</t>
  </si>
  <si>
    <t>Agency Specific Budget</t>
  </si>
  <si>
    <t>Automatic Appropriation</t>
  </si>
  <si>
    <t xml:space="preserve">Grants &amp; Donations </t>
  </si>
  <si>
    <t>HSPSP-(AECID)</t>
  </si>
  <si>
    <t>HSPSP- Phase II EU (DOH -A5629-171)</t>
  </si>
  <si>
    <t>Special Purpose Fund</t>
  </si>
  <si>
    <t>E- GOV'T FUND</t>
  </si>
  <si>
    <t>International Commitment Fund</t>
  </si>
  <si>
    <t>Continuing Appropriation</t>
  </si>
  <si>
    <t>Unobligated Allotment as of 12/31/12</t>
  </si>
  <si>
    <t>HSPSP - EU Grant Phase II</t>
  </si>
  <si>
    <t>Sustainable Sanitation in East Asia Project (SUSEA)</t>
  </si>
  <si>
    <t>Result Based  M&amp;E Towards Equity &amp; Effectiveness</t>
  </si>
  <si>
    <t>Financial Assistance (DAP FUND)</t>
  </si>
  <si>
    <t>INTERNATIONAL COMMITMENT FUND</t>
  </si>
  <si>
    <t>SUMMARY (TOTAL)</t>
  </si>
  <si>
    <t>CENTRAL OFFICE/FAPS</t>
  </si>
  <si>
    <t>BFAD/BOQ</t>
  </si>
  <si>
    <t>Implementation of various projects of LGUs</t>
  </si>
  <si>
    <t>E-GOVT FUND</t>
  </si>
  <si>
    <t>1. CHD 6</t>
  </si>
  <si>
    <t>1. CHD CAR</t>
  </si>
  <si>
    <t>1. CHD 1</t>
  </si>
  <si>
    <t>1. CHD 2</t>
  </si>
  <si>
    <t>1. CHD 3</t>
  </si>
  <si>
    <t>1. CHD NCR</t>
  </si>
  <si>
    <t>1. CHD 4A</t>
  </si>
  <si>
    <t>1. CHD 4B</t>
  </si>
  <si>
    <t>1. CHD 5</t>
  </si>
  <si>
    <t>1. CHD 7</t>
  </si>
  <si>
    <t>1. CHD 8</t>
  </si>
  <si>
    <t>1. CHD 9</t>
  </si>
  <si>
    <t>1. CHD 10</t>
  </si>
  <si>
    <t>1. CHD 11</t>
  </si>
  <si>
    <t>1. CHD 12</t>
  </si>
  <si>
    <t>1. CHD CARAGA</t>
  </si>
  <si>
    <t>SAOB as of October 31, 2013</t>
  </si>
  <si>
    <t>San Fernando Camarines Sur (PNP) Rehabilitation Center</t>
  </si>
  <si>
    <t>note: SAA-895/896</t>
  </si>
  <si>
    <t>osec</t>
  </si>
  <si>
    <t>ps</t>
  </si>
  <si>
    <t>mooe</t>
  </si>
  <si>
    <t>co</t>
  </si>
  <si>
    <t>* 1.Culion Sanitarium and Balala Hospital, Sanitaria (A-600) (IBC- Custodial Care - 200; General Care-50), Culion, Palawan</t>
  </si>
  <si>
    <t>* 2. Schistosomiasis Hospital, Secondary Medical Center, (A-25) (IBC - 25)Palo, Leyte</t>
  </si>
  <si>
    <t>NOTE:</t>
  </si>
  <si>
    <t>2. *Culion Sanitarium and Balala Hospital</t>
  </si>
  <si>
    <t>3. *Schistosomiasis Hospital</t>
  </si>
  <si>
    <t>3. *Ospital ng Palawan</t>
  </si>
  <si>
    <t>* Schistosomiasis Hospital - No submission of reports for the month due to Typhoon Yolanda, thus data reflected was derives from their September SAOB.</t>
  </si>
  <si>
    <r>
      <t xml:space="preserve">* Culion Sanitarium  - </t>
    </r>
    <r>
      <rPr>
        <sz val="9"/>
        <rFont val="Arial"/>
        <family val="2"/>
      </rPr>
      <t>No submission of reports for the month due to Typhoon Yolanda, thus data reflected was derives from their September SAOB.</t>
    </r>
  </si>
  <si>
    <t>AS OF NOVEMBER 30, 2013</t>
  </si>
  <si>
    <t>AS OF NOVEMBER 31, 2013</t>
  </si>
  <si>
    <t>As of November 30, 2013</t>
  </si>
  <si>
    <t>ALL FUNDS - as of November 30, 2013</t>
  </si>
  <si>
    <t>SAOB as of November 30, 2013</t>
  </si>
  <si>
    <r>
      <t xml:space="preserve">* Eastern Visayas Region - </t>
    </r>
    <r>
      <rPr>
        <sz val="9"/>
        <rFont val="Arial"/>
        <family val="2"/>
      </rPr>
      <t>No reports for the month due to Typhoon Yolanda, thus data showed was derived from their October SAOB.</t>
    </r>
  </si>
  <si>
    <r>
      <t>OSEC</t>
    </r>
    <r>
      <rPr>
        <sz val="9"/>
        <color rgb="FFFF0000"/>
        <rFont val="Calibri"/>
        <family val="2"/>
        <scheme val="minor"/>
      </rPr>
      <t xml:space="preserve"> (NET OF SAA)</t>
    </r>
  </si>
  <si>
    <t>OSEC (NET OF SAA)</t>
  </si>
  <si>
    <r>
      <t>*CHD 8 &amp; EVRMC - No</t>
    </r>
    <r>
      <rPr>
        <sz val="9"/>
        <color theme="1"/>
        <rFont val="Arial"/>
        <family val="2"/>
      </rPr>
      <t xml:space="preserve">  reports for November due to Typhoon Yolanda, thus data showed was derived from their October SAOB.</t>
    </r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</si>
</sst>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_(* #,##0_);_(* \(#,##0\);_(* &quot;-&quot;??_);_(@_)"/>
    <numFmt numFmtId="165" formatCode="General_)"/>
    <numFmt numFmtId="166" formatCode="_(* #,##0.0000_);_(* \(#,##0.0000\);_(* &quot;-&quot;??_);_(@_)"/>
    <numFmt numFmtId="167" formatCode="0.0%"/>
    <numFmt numFmtId="168" formatCode="_(* #,##0.000_);_(* \(#,##0.000\);_(* &quot;-&quot;??_);_(@_)"/>
    <numFmt numFmtId="169" formatCode="0.0000"/>
  </numFmts>
  <fonts count="173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Comic Sans MS"/>
      <family val="4"/>
    </font>
    <font>
      <sz val="11"/>
      <color theme="1"/>
      <name val="Comic Sans MS"/>
      <family val="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8"/>
      <name val="Arial"/>
      <family val="2"/>
    </font>
    <font>
      <b/>
      <i/>
      <sz val="11"/>
      <color theme="5" tint="-0.499984740745262"/>
      <name val="Comic Sans MS"/>
      <family val="4"/>
    </font>
    <font>
      <b/>
      <i/>
      <sz val="11"/>
      <color theme="5" tint="-0.499984740745262"/>
      <name val="Calibri"/>
      <family val="2"/>
      <scheme val="minor"/>
    </font>
    <font>
      <b/>
      <i/>
      <u/>
      <sz val="11"/>
      <color theme="5" tint="-0.499984740745262"/>
      <name val="Comic Sans MS"/>
      <family val="4"/>
    </font>
    <font>
      <b/>
      <sz val="10"/>
      <color theme="1"/>
      <name val="Arial"/>
      <family val="2"/>
    </font>
    <font>
      <b/>
      <i/>
      <sz val="10"/>
      <color theme="8" tint="-0.499984740745262"/>
      <name val="Comic Sans MS"/>
      <family val="4"/>
    </font>
    <font>
      <b/>
      <i/>
      <sz val="10"/>
      <color theme="8" tint="-0.499984740745262"/>
      <name val="Calibri"/>
      <family val="2"/>
      <scheme val="minor"/>
    </font>
    <font>
      <sz val="10"/>
      <color theme="8" tint="-0.499984740745262"/>
      <name val="Arial"/>
      <family val="2"/>
    </font>
    <font>
      <sz val="10"/>
      <color theme="8" tint="-0.499984740745262"/>
      <name val="Calibri"/>
      <family val="2"/>
      <scheme val="minor"/>
    </font>
    <font>
      <sz val="10"/>
      <color theme="1"/>
      <name val="Comic Sans MS"/>
      <family val="4"/>
    </font>
    <font>
      <b/>
      <i/>
      <sz val="10"/>
      <color theme="1"/>
      <name val="Calibri"/>
      <family val="2"/>
      <scheme val="minor"/>
    </font>
    <font>
      <b/>
      <sz val="4"/>
      <name val="Arial"/>
      <family val="2"/>
    </font>
    <font>
      <sz val="14"/>
      <name val="Arial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6" tint="-0.499984740745262"/>
      <name val="Calibri"/>
      <family val="2"/>
      <scheme val="minor"/>
    </font>
    <font>
      <b/>
      <i/>
      <sz val="10"/>
      <color theme="5" tint="-0.499984740745262"/>
      <name val="Arial"/>
      <family val="2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3" tint="-0.499984740745262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name val="Comic Sans MS"/>
      <family val="4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sz val="9"/>
      <color theme="4" tint="-0.499984740745262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sz val="8"/>
      <color theme="3" tint="-0.499984740745262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2"/>
      <color rgb="FFC00000"/>
      <name val="Calibri"/>
      <family val="2"/>
      <scheme val="minor"/>
    </font>
    <font>
      <b/>
      <u/>
      <sz val="12"/>
      <color rgb="FF0033CC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color theme="6" tint="-0.49998474074526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9"/>
      <color theme="3"/>
      <name val="Calibri"/>
      <family val="2"/>
      <scheme val="minor"/>
    </font>
    <font>
      <b/>
      <u/>
      <sz val="16"/>
      <color rgb="FFC00000"/>
      <name val="Calibri"/>
      <family val="2"/>
      <scheme val="minor"/>
    </font>
    <font>
      <b/>
      <u/>
      <sz val="12"/>
      <color theme="5" tint="-0.249977111117893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sz val="10"/>
      <color theme="1"/>
      <name val="Arial"/>
      <family val="2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sz val="10"/>
      <color theme="5" tint="-0.499984740745262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0"/>
      <color theme="8" tint="-0.499984740745262"/>
      <name val="Arial"/>
      <family val="2"/>
    </font>
    <font>
      <b/>
      <sz val="10"/>
      <color theme="8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5" tint="-0.249977111117893"/>
      <name val="Calibri"/>
      <family val="2"/>
      <scheme val="minor"/>
    </font>
    <font>
      <sz val="7"/>
      <color theme="3" tint="-0.499984740745262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4" tint="-0.249977111117893"/>
      <name val="Calibri"/>
      <family val="2"/>
      <scheme val="minor"/>
    </font>
    <font>
      <b/>
      <sz val="7"/>
      <color theme="3" tint="-0.249977111117893"/>
      <name val="Calibri"/>
      <family val="2"/>
      <scheme val="minor"/>
    </font>
    <font>
      <b/>
      <sz val="7"/>
      <color theme="5" tint="-0.249977111117893"/>
      <name val="Calibri"/>
      <family val="2"/>
      <scheme val="minor"/>
    </font>
    <font>
      <sz val="7"/>
      <color theme="1" tint="4.9989318521683403E-2"/>
      <name val="Calibri"/>
      <family val="2"/>
      <scheme val="minor"/>
    </font>
    <font>
      <sz val="7"/>
      <color theme="4" tint="-0.499984740745262"/>
      <name val="Calibri"/>
      <family val="2"/>
      <scheme val="minor"/>
    </font>
    <font>
      <b/>
      <sz val="7"/>
      <color theme="1" tint="4.9989318521683403E-2"/>
      <name val="Calibri"/>
      <family val="2"/>
      <scheme val="minor"/>
    </font>
    <font>
      <i/>
      <u val="singleAccounting"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3"/>
      <color rgb="FF000000"/>
      <name val="Bookman Old Style"/>
      <family val="1"/>
    </font>
    <font>
      <sz val="11"/>
      <color theme="1"/>
      <name val="Bookman Old Style"/>
      <family val="1"/>
    </font>
    <font>
      <sz val="13"/>
      <color theme="1"/>
      <name val="Bookman Old Style"/>
      <family val="1"/>
    </font>
    <font>
      <b/>
      <sz val="10"/>
      <color theme="1"/>
      <name val="Comic Sans MS"/>
      <family val="4"/>
    </font>
    <font>
      <sz val="9"/>
      <color rgb="FF000000"/>
      <name val="Tahoma"/>
      <family val="2"/>
    </font>
    <font>
      <b/>
      <i/>
      <sz val="10"/>
      <color theme="1"/>
      <name val="Comic Sans MS"/>
      <family val="4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sz val="9"/>
      <color theme="1"/>
      <name val="Tahoma"/>
      <family val="2"/>
    </font>
    <font>
      <sz val="12"/>
      <color theme="1"/>
      <name val="Blue Highway"/>
    </font>
    <font>
      <sz val="11"/>
      <color theme="1"/>
      <name val="Blue Highway"/>
    </font>
    <font>
      <u/>
      <sz val="11"/>
      <color theme="1"/>
      <name val="Blue Highway"/>
    </font>
    <font>
      <b/>
      <u/>
      <sz val="10"/>
      <color theme="1"/>
      <name val="Tahoma"/>
      <family val="2"/>
    </font>
    <font>
      <b/>
      <sz val="9"/>
      <color theme="1"/>
      <name val="Tahoma"/>
      <family val="2"/>
    </font>
    <font>
      <b/>
      <u/>
      <sz val="16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rgb="FFC00000"/>
      <name val="Comic Sans MS"/>
      <family val="4"/>
    </font>
    <font>
      <b/>
      <i/>
      <sz val="10"/>
      <color rgb="FFC00000"/>
      <name val="Calibri"/>
      <family val="2"/>
      <scheme val="minor"/>
    </font>
    <font>
      <sz val="10"/>
      <color rgb="FFC00000"/>
      <name val="Arial"/>
      <family val="2"/>
    </font>
    <font>
      <b/>
      <i/>
      <sz val="11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theme="8" tint="-0.499984740745262"/>
      <name val="Comic Sans MS"/>
      <family val="4"/>
    </font>
    <font>
      <b/>
      <i/>
      <sz val="11"/>
      <color theme="8" tint="-0.499984740745262"/>
      <name val="Calibri"/>
      <family val="2"/>
      <scheme val="minor"/>
    </font>
    <font>
      <b/>
      <sz val="10"/>
      <color rgb="FFC00000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6"/>
      <color theme="1"/>
      <name val="Arial"/>
      <family val="2"/>
    </font>
    <font>
      <sz val="9"/>
      <color theme="1"/>
      <name val="Comic Sans MS"/>
      <family val="4"/>
    </font>
    <font>
      <sz val="8"/>
      <color theme="1"/>
      <name val="Arial"/>
      <family val="2"/>
    </font>
    <font>
      <sz val="8"/>
      <color theme="1"/>
      <name val="Georgia"/>
      <family val="1"/>
    </font>
    <font>
      <u val="singleAccounting"/>
      <sz val="9"/>
      <color theme="1"/>
      <name val="Calibri"/>
      <family val="2"/>
      <scheme val="minor"/>
    </font>
    <font>
      <sz val="7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b/>
      <sz val="6"/>
      <color theme="1" tint="4.9989318521683403E-2"/>
      <name val="Calibri"/>
      <family val="2"/>
      <scheme val="minor"/>
    </font>
    <font>
      <sz val="6"/>
      <color theme="1" tint="4.9989318521683403E-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</cellStyleXfs>
  <cellXfs count="1553">
    <xf numFmtId="0" fontId="0" fillId="0" borderId="0" xfId="0"/>
    <xf numFmtId="43" fontId="2" fillId="0" borderId="1" xfId="1" applyFont="1" applyBorder="1"/>
    <xf numFmtId="164" fontId="2" fillId="0" borderId="2" xfId="1" applyNumberFormat="1" applyFont="1" applyBorder="1"/>
    <xf numFmtId="0" fontId="0" fillId="0" borderId="2" xfId="0" applyBorder="1"/>
    <xf numFmtId="43" fontId="0" fillId="0" borderId="0" xfId="0" applyNumberFormat="1"/>
    <xf numFmtId="10" fontId="2" fillId="0" borderId="2" xfId="2" applyNumberFormat="1" applyFont="1" applyBorder="1"/>
    <xf numFmtId="43" fontId="2" fillId="0" borderId="2" xfId="1" applyFont="1" applyBorder="1"/>
    <xf numFmtId="43" fontId="2" fillId="0" borderId="1" xfId="1" applyFont="1" applyBorder="1" applyAlignment="1">
      <alignment vertical="center"/>
    </xf>
    <xf numFmtId="10" fontId="2" fillId="0" borderId="2" xfId="2" applyNumberFormat="1" applyFont="1" applyBorder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15" fillId="3" borderId="2" xfId="2" applyNumberFormat="1" applyFont="1" applyFill="1" applyBorder="1" applyAlignment="1">
      <alignment horizontal="center" vertical="center"/>
    </xf>
    <xf numFmtId="10" fontId="2" fillId="0" borderId="1" xfId="2" applyNumberFormat="1" applyFont="1" applyBorder="1" applyAlignment="1">
      <alignment horizontal="center" vertical="center"/>
    </xf>
    <xf numFmtId="10" fontId="15" fillId="0" borderId="2" xfId="2" applyNumberFormat="1" applyFont="1" applyBorder="1" applyAlignment="1">
      <alignment horizontal="center" vertical="center"/>
    </xf>
    <xf numFmtId="0" fontId="9" fillId="7" borderId="2" xfId="0" applyFont="1" applyFill="1" applyBorder="1"/>
    <xf numFmtId="10" fontId="21" fillId="7" borderId="2" xfId="2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43" fontId="2" fillId="0" borderId="1" xfId="1" applyNumberFormat="1" applyFont="1" applyBorder="1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43" fontId="19" fillId="0" borderId="2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0" fillId="0" borderId="2" xfId="0" applyFont="1" applyBorder="1" applyAlignment="1">
      <alignment vertical="center"/>
    </xf>
    <xf numFmtId="43" fontId="0" fillId="0" borderId="2" xfId="0" applyNumberFormat="1" applyBorder="1" applyAlignment="1">
      <alignment vertical="center"/>
    </xf>
    <xf numFmtId="43" fontId="8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43" fontId="0" fillId="0" borderId="0" xfId="0" applyNumberFormat="1" applyAlignment="1">
      <alignment vertical="center"/>
    </xf>
    <xf numFmtId="0" fontId="9" fillId="7" borderId="2" xfId="0" applyFont="1" applyFill="1" applyBorder="1" applyAlignment="1">
      <alignment vertical="center"/>
    </xf>
    <xf numFmtId="43" fontId="8" fillId="7" borderId="2" xfId="0" applyNumberFormat="1" applyFont="1" applyFill="1" applyBorder="1" applyAlignment="1">
      <alignment vertical="center"/>
    </xf>
    <xf numFmtId="10" fontId="2" fillId="7" borderId="2" xfId="2" applyNumberFormat="1" applyFont="1" applyFill="1" applyBorder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5" fillId="0" borderId="0" xfId="0" applyFont="1" applyAlignment="1">
      <alignment horizontal="center" vertical="center"/>
    </xf>
    <xf numFmtId="43" fontId="23" fillId="0" borderId="2" xfId="0" applyNumberFormat="1" applyFont="1" applyBorder="1" applyAlignment="1">
      <alignment vertical="center"/>
    </xf>
    <xf numFmtId="10" fontId="24" fillId="0" borderId="2" xfId="2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3" fontId="6" fillId="0" borderId="2" xfId="0" applyNumberFormat="1" applyFont="1" applyBorder="1" applyAlignment="1">
      <alignment vertical="center"/>
    </xf>
    <xf numFmtId="43" fontId="27" fillId="0" borderId="2" xfId="0" applyNumberFormat="1" applyFont="1" applyBorder="1" applyAlignment="1">
      <alignment vertical="center"/>
    </xf>
    <xf numFmtId="0" fontId="3" fillId="0" borderId="0" xfId="0" applyFont="1"/>
    <xf numFmtId="0" fontId="17" fillId="0" borderId="0" xfId="0" applyFont="1"/>
    <xf numFmtId="0" fontId="3" fillId="0" borderId="0" xfId="0" applyFont="1" applyBorder="1"/>
    <xf numFmtId="0" fontId="17" fillId="0" borderId="5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left"/>
    </xf>
    <xf numFmtId="0" fontId="17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165" fontId="3" fillId="0" borderId="2" xfId="0" applyNumberFormat="1" applyFont="1" applyBorder="1" applyAlignment="1" applyProtection="1">
      <alignment horizontal="left"/>
    </xf>
    <xf numFmtId="43" fontId="29" fillId="0" borderId="2" xfId="1" applyFont="1" applyBorder="1"/>
    <xf numFmtId="43" fontId="3" fillId="0" borderId="2" xfId="1" applyFont="1" applyBorder="1"/>
    <xf numFmtId="165" fontId="3" fillId="0" borderId="2" xfId="0" applyNumberFormat="1" applyFont="1" applyBorder="1" applyAlignment="1" applyProtection="1">
      <alignment horizontal="left" wrapText="1"/>
    </xf>
    <xf numFmtId="43" fontId="3" fillId="0" borderId="5" xfId="1" applyFont="1" applyBorder="1"/>
    <xf numFmtId="165" fontId="3" fillId="0" borderId="5" xfId="0" applyNumberFormat="1" applyFont="1" applyBorder="1" applyAlignment="1" applyProtection="1">
      <alignment horizontal="left"/>
    </xf>
    <xf numFmtId="43" fontId="3" fillId="0" borderId="16" xfId="1" applyFont="1" applyBorder="1"/>
    <xf numFmtId="165" fontId="3" fillId="0" borderId="17" xfId="0" applyNumberFormat="1" applyFont="1" applyBorder="1" applyAlignment="1" applyProtection="1">
      <alignment horizontal="left"/>
    </xf>
    <xf numFmtId="43" fontId="2" fillId="0" borderId="17" xfId="1" applyFont="1" applyBorder="1"/>
    <xf numFmtId="43" fontId="29" fillId="0" borderId="18" xfId="1" applyFont="1" applyBorder="1"/>
    <xf numFmtId="43" fontId="3" fillId="0" borderId="19" xfId="1" applyFont="1" applyBorder="1"/>
    <xf numFmtId="43" fontId="30" fillId="0" borderId="2" xfId="1" applyFont="1" applyBorder="1"/>
    <xf numFmtId="43" fontId="31" fillId="0" borderId="0" xfId="0" applyNumberFormat="1" applyFont="1"/>
    <xf numFmtId="0" fontId="30" fillId="0" borderId="0" xfId="0" applyFont="1"/>
    <xf numFmtId="43" fontId="3" fillId="0" borderId="21" xfId="1" applyFont="1" applyBorder="1"/>
    <xf numFmtId="43" fontId="2" fillId="0" borderId="5" xfId="1" applyFont="1" applyBorder="1"/>
    <xf numFmtId="43" fontId="4" fillId="0" borderId="0" xfId="1" applyFont="1"/>
    <xf numFmtId="0" fontId="5" fillId="7" borderId="0" xfId="0" applyFont="1" applyFill="1" applyAlignment="1">
      <alignment vertical="center"/>
    </xf>
    <xf numFmtId="37" fontId="1" fillId="2" borderId="13" xfId="0" applyNumberFormat="1" applyFont="1" applyFill="1" applyBorder="1" applyAlignment="1" applyProtection="1">
      <alignment horizontal="center" vertical="center"/>
    </xf>
    <xf numFmtId="164" fontId="1" fillId="2" borderId="13" xfId="1" applyNumberFormat="1" applyFont="1" applyFill="1" applyBorder="1" applyAlignment="1" applyProtection="1">
      <alignment horizontal="center" vertical="center"/>
    </xf>
    <xf numFmtId="164" fontId="1" fillId="2" borderId="13" xfId="1" applyNumberFormat="1" applyFont="1" applyFill="1" applyBorder="1" applyAlignment="1" applyProtection="1">
      <alignment vertical="center"/>
    </xf>
    <xf numFmtId="43" fontId="1" fillId="2" borderId="13" xfId="1" applyFont="1" applyFill="1" applyBorder="1" applyAlignment="1" applyProtection="1">
      <alignment horizontal="center" vertical="center"/>
    </xf>
    <xf numFmtId="10" fontId="1" fillId="2" borderId="13" xfId="2" applyNumberFormat="1" applyFont="1" applyFill="1" applyBorder="1" applyAlignment="1" applyProtection="1">
      <alignment horizontal="center"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43" fontId="3" fillId="0" borderId="0" xfId="1" applyFont="1"/>
    <xf numFmtId="43" fontId="32" fillId="0" borderId="0" xfId="0" applyNumberFormat="1" applyFont="1"/>
    <xf numFmtId="43" fontId="7" fillId="0" borderId="0" xfId="0" applyNumberFormat="1" applyFont="1"/>
    <xf numFmtId="10" fontId="1" fillId="2" borderId="9" xfId="2" applyNumberFormat="1" applyFont="1" applyFill="1" applyBorder="1" applyAlignment="1" applyProtection="1">
      <alignment horizontal="center" vertical="center"/>
    </xf>
    <xf numFmtId="10" fontId="1" fillId="2" borderId="10" xfId="2" applyNumberFormat="1" applyFont="1" applyFill="1" applyBorder="1" applyAlignment="1" applyProtection="1">
      <alignment horizontal="center" vertical="center"/>
    </xf>
    <xf numFmtId="10" fontId="1" fillId="2" borderId="11" xfId="2" applyNumberFormat="1" applyFont="1" applyFill="1" applyBorder="1" applyAlignment="1" applyProtection="1">
      <alignment horizontal="center" vertical="center"/>
    </xf>
    <xf numFmtId="10" fontId="38" fillId="0" borderId="2" xfId="2" applyNumberFormat="1" applyFont="1" applyBorder="1" applyAlignment="1">
      <alignment horizontal="center" vertical="center"/>
    </xf>
    <xf numFmtId="43" fontId="1" fillId="2" borderId="9" xfId="1" applyFont="1" applyFill="1" applyBorder="1" applyAlignment="1" applyProtection="1">
      <alignment horizontal="center" vertical="center"/>
    </xf>
    <xf numFmtId="43" fontId="6" fillId="0" borderId="0" xfId="0" applyNumberFormat="1" applyFont="1" applyAlignment="1">
      <alignment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>
      <alignment vertical="center"/>
    </xf>
    <xf numFmtId="43" fontId="36" fillId="0" borderId="0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43" fontId="36" fillId="0" borderId="0" xfId="0" applyNumberFormat="1" applyFont="1" applyFill="1" applyAlignment="1">
      <alignment vertical="center"/>
    </xf>
    <xf numFmtId="43" fontId="33" fillId="0" borderId="0" xfId="1" applyFont="1" applyFill="1" applyAlignment="1">
      <alignment vertical="center"/>
    </xf>
    <xf numFmtId="43" fontId="36" fillId="0" borderId="2" xfId="1" applyFont="1" applyFill="1" applyBorder="1" applyAlignment="1">
      <alignment horizontal="center" vertical="center"/>
    </xf>
    <xf numFmtId="43" fontId="36" fillId="0" borderId="2" xfId="1" applyFont="1" applyFill="1" applyBorder="1" applyAlignment="1">
      <alignment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43" fontId="40" fillId="0" borderId="0" xfId="1" applyFont="1" applyFill="1" applyAlignment="1">
      <alignment vertical="center"/>
    </xf>
    <xf numFmtId="43" fontId="36" fillId="0" borderId="0" xfId="1" applyFont="1" applyFill="1" applyAlignment="1">
      <alignment vertical="center"/>
    </xf>
    <xf numFmtId="43" fontId="33" fillId="0" borderId="2" xfId="1" applyFont="1" applyFill="1" applyBorder="1" applyAlignment="1">
      <alignment horizontal="center" vertical="center"/>
    </xf>
    <xf numFmtId="43" fontId="33" fillId="0" borderId="2" xfId="1" applyFont="1" applyFill="1" applyBorder="1" applyAlignment="1">
      <alignment vertical="center"/>
    </xf>
    <xf numFmtId="43" fontId="33" fillId="0" borderId="0" xfId="1" applyFont="1" applyAlignment="1">
      <alignment vertical="center"/>
    </xf>
    <xf numFmtId="43" fontId="35" fillId="0" borderId="0" xfId="1" applyFont="1" applyAlignment="1">
      <alignment vertical="center"/>
    </xf>
    <xf numFmtId="43" fontId="35" fillId="2" borderId="0" xfId="1" applyFont="1" applyFill="1" applyAlignment="1">
      <alignment vertical="center"/>
    </xf>
    <xf numFmtId="43" fontId="34" fillId="0" borderId="0" xfId="1" applyFont="1" applyFill="1" applyBorder="1" applyAlignment="1">
      <alignment vertical="center"/>
    </xf>
    <xf numFmtId="43" fontId="47" fillId="0" borderId="0" xfId="1" applyFont="1" applyFill="1" applyBorder="1" applyAlignment="1">
      <alignment vertical="center"/>
    </xf>
    <xf numFmtId="43" fontId="35" fillId="0" borderId="0" xfId="1" applyFont="1" applyFill="1" applyAlignment="1">
      <alignment vertical="center"/>
    </xf>
    <xf numFmtId="43" fontId="33" fillId="4" borderId="0" xfId="1" applyFont="1" applyFill="1" applyAlignment="1">
      <alignment vertical="center"/>
    </xf>
    <xf numFmtId="43" fontId="36" fillId="0" borderId="0" xfId="1" applyFont="1" applyFill="1" applyBorder="1" applyAlignment="1">
      <alignment vertical="center"/>
    </xf>
    <xf numFmtId="43" fontId="33" fillId="0" borderId="2" xfId="1" applyFont="1" applyBorder="1" applyAlignment="1">
      <alignment vertical="center"/>
    </xf>
    <xf numFmtId="43" fontId="35" fillId="2" borderId="2" xfId="1" applyFont="1" applyFill="1" applyBorder="1" applyAlignment="1">
      <alignment vertical="center"/>
    </xf>
    <xf numFmtId="43" fontId="35" fillId="2" borderId="2" xfId="1" applyFont="1" applyFill="1" applyBorder="1" applyAlignment="1">
      <alignment horizontal="left" vertical="center"/>
    </xf>
    <xf numFmtId="43" fontId="35" fillId="6" borderId="0" xfId="1" applyFont="1" applyFill="1" applyAlignment="1">
      <alignment vertical="center"/>
    </xf>
    <xf numFmtId="43" fontId="33" fillId="3" borderId="2" xfId="1" applyFont="1" applyFill="1" applyBorder="1" applyAlignment="1">
      <alignment vertical="center"/>
    </xf>
    <xf numFmtId="43" fontId="33" fillId="0" borderId="2" xfId="1" applyFont="1" applyBorder="1" applyAlignment="1">
      <alignment horizontal="left" vertical="center"/>
    </xf>
    <xf numFmtId="43" fontId="35" fillId="6" borderId="2" xfId="1" applyFont="1" applyFill="1" applyBorder="1" applyAlignment="1">
      <alignment horizontal="left" vertical="center"/>
    </xf>
    <xf numFmtId="43" fontId="35" fillId="6" borderId="2" xfId="1" applyFont="1" applyFill="1" applyBorder="1" applyAlignment="1">
      <alignment vertical="center"/>
    </xf>
    <xf numFmtId="43" fontId="33" fillId="0" borderId="0" xfId="1" applyFont="1" applyFill="1" applyAlignment="1">
      <alignment horizontal="left" vertical="center"/>
    </xf>
    <xf numFmtId="43" fontId="33" fillId="0" borderId="0" xfId="1" applyFont="1" applyAlignment="1">
      <alignment horizontal="left" vertical="center"/>
    </xf>
    <xf numFmtId="43" fontId="33" fillId="4" borderId="0" xfId="1" applyFont="1" applyFill="1" applyAlignment="1">
      <alignment horizontal="left" vertical="center"/>
    </xf>
    <xf numFmtId="10" fontId="50" fillId="0" borderId="0" xfId="2" applyNumberFormat="1" applyFont="1" applyAlignment="1">
      <alignment horizontal="center" vertical="center" wrapText="1"/>
    </xf>
    <xf numFmtId="43" fontId="50" fillId="0" borderId="2" xfId="1" applyFont="1" applyBorder="1" applyAlignment="1">
      <alignment vertical="center" wrapText="1"/>
    </xf>
    <xf numFmtId="10" fontId="50" fillId="0" borderId="0" xfId="2" applyNumberFormat="1" applyFont="1" applyFill="1" applyAlignment="1">
      <alignment horizontal="center" vertical="center" wrapText="1"/>
    </xf>
    <xf numFmtId="43" fontId="50" fillId="0" borderId="0" xfId="1" applyFont="1" applyAlignment="1">
      <alignment vertical="center" wrapText="1"/>
    </xf>
    <xf numFmtId="9" fontId="50" fillId="4" borderId="0" xfId="2" applyFont="1" applyFill="1" applyAlignment="1">
      <alignment vertical="center" wrapText="1"/>
    </xf>
    <xf numFmtId="10" fontId="50" fillId="4" borderId="0" xfId="2" applyNumberFormat="1" applyFont="1" applyFill="1" applyAlignment="1">
      <alignment horizontal="center" vertical="center" wrapText="1"/>
    </xf>
    <xf numFmtId="43" fontId="51" fillId="0" borderId="2" xfId="1" applyFont="1" applyBorder="1" applyAlignment="1">
      <alignment vertical="center" wrapText="1"/>
    </xf>
    <xf numFmtId="43" fontId="51" fillId="2" borderId="2" xfId="1" applyFont="1" applyFill="1" applyBorder="1" applyAlignment="1">
      <alignment vertical="center" wrapText="1"/>
    </xf>
    <xf numFmtId="43" fontId="51" fillId="0" borderId="0" xfId="1" applyFont="1" applyFill="1" applyBorder="1" applyAlignment="1">
      <alignment vertical="center" wrapText="1"/>
    </xf>
    <xf numFmtId="43" fontId="50" fillId="4" borderId="0" xfId="1" applyFont="1" applyFill="1" applyAlignment="1">
      <alignment vertical="center" wrapText="1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52" fillId="0" borderId="0" xfId="0" applyFont="1" applyFill="1" applyBorder="1" applyAlignment="1">
      <alignment vertical="center"/>
    </xf>
    <xf numFmtId="9" fontId="33" fillId="0" borderId="0" xfId="2" applyFont="1" applyAlignment="1">
      <alignment horizontal="center" vertical="center"/>
    </xf>
    <xf numFmtId="9" fontId="35" fillId="0" borderId="0" xfId="2" applyFont="1" applyFill="1" applyAlignment="1">
      <alignment vertical="center"/>
    </xf>
    <xf numFmtId="9" fontId="36" fillId="0" borderId="0" xfId="2" applyFont="1" applyFill="1" applyAlignment="1">
      <alignment vertical="center"/>
    </xf>
    <xf numFmtId="43" fontId="35" fillId="4" borderId="0" xfId="1" applyFont="1" applyFill="1" applyAlignment="1">
      <alignment vertical="center"/>
    </xf>
    <xf numFmtId="43" fontId="51" fillId="4" borderId="0" xfId="1" applyFont="1" applyFill="1" applyBorder="1" applyAlignment="1">
      <alignment vertical="center" wrapText="1"/>
    </xf>
    <xf numFmtId="43" fontId="33" fillId="4" borderId="0" xfId="1" applyFont="1" applyFill="1" applyBorder="1" applyAlignment="1">
      <alignment vertical="center"/>
    </xf>
    <xf numFmtId="43" fontId="39" fillId="0" borderId="0" xfId="1" applyFont="1" applyFill="1" applyAlignment="1">
      <alignment vertical="center"/>
    </xf>
    <xf numFmtId="43" fontId="37" fillId="0" borderId="0" xfId="1" applyFont="1" applyFill="1" applyAlignment="1">
      <alignment vertical="center"/>
    </xf>
    <xf numFmtId="43" fontId="35" fillId="6" borderId="7" xfId="1" applyFont="1" applyFill="1" applyBorder="1" applyAlignment="1">
      <alignment vertical="center"/>
    </xf>
    <xf numFmtId="43" fontId="33" fillId="0" borderId="0" xfId="1" applyFont="1" applyFill="1" applyBorder="1" applyAlignment="1">
      <alignment vertical="center"/>
    </xf>
    <xf numFmtId="43" fontId="35" fillId="0" borderId="0" xfId="1" applyFont="1" applyFill="1" applyBorder="1" applyAlignment="1">
      <alignment vertical="center"/>
    </xf>
    <xf numFmtId="43" fontId="33" fillId="0" borderId="0" xfId="1" applyFont="1" applyBorder="1" applyAlignment="1">
      <alignment vertical="center"/>
    </xf>
    <xf numFmtId="43" fontId="35" fillId="2" borderId="0" xfId="1" applyFont="1" applyFill="1" applyBorder="1" applyAlignment="1">
      <alignment vertical="center"/>
    </xf>
    <xf numFmtId="43" fontId="35" fillId="6" borderId="0" xfId="1" applyFont="1" applyFill="1" applyBorder="1" applyAlignment="1">
      <alignment vertical="center"/>
    </xf>
    <xf numFmtId="9" fontId="33" fillId="0" borderId="0" xfId="2" applyNumberFormat="1" applyFont="1" applyAlignment="1">
      <alignment horizontal="center" vertical="center"/>
    </xf>
    <xf numFmtId="9" fontId="33" fillId="0" borderId="0" xfId="2" applyNumberFormat="1" applyFont="1" applyFill="1" applyAlignment="1">
      <alignment horizontal="center" vertical="center"/>
    </xf>
    <xf numFmtId="9" fontId="33" fillId="0" borderId="0" xfId="2" applyNumberFormat="1" applyFont="1" applyFill="1" applyBorder="1" applyAlignment="1">
      <alignment horizontal="center" vertical="center"/>
    </xf>
    <xf numFmtId="0" fontId="17" fillId="0" borderId="8" xfId="0" applyFont="1" applyBorder="1" applyAlignment="1">
      <alignment horizontal="center"/>
    </xf>
    <xf numFmtId="43" fontId="33" fillId="5" borderId="0" xfId="1" applyFont="1" applyFill="1" applyAlignment="1">
      <alignment vertical="center"/>
    </xf>
    <xf numFmtId="43" fontId="35" fillId="5" borderId="0" xfId="1" applyFont="1" applyFill="1" applyAlignment="1">
      <alignment vertical="center"/>
    </xf>
    <xf numFmtId="0" fontId="36" fillId="5" borderId="0" xfId="0" applyFont="1" applyFill="1" applyAlignment="1">
      <alignment vertical="center"/>
    </xf>
    <xf numFmtId="43" fontId="35" fillId="0" borderId="0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3" fontId="14" fillId="0" borderId="0" xfId="0" applyNumberFormat="1" applyFont="1" applyAlignment="1">
      <alignment vertical="center"/>
    </xf>
    <xf numFmtId="10" fontId="14" fillId="0" borderId="0" xfId="2" applyNumberFormat="1" applyFont="1" applyAlignment="1">
      <alignment horizontal="center" vertical="center"/>
    </xf>
    <xf numFmtId="43" fontId="14" fillId="0" borderId="0" xfId="1" applyFont="1" applyAlignment="1">
      <alignment horizontal="center" vertical="center"/>
    </xf>
    <xf numFmtId="0" fontId="53" fillId="0" borderId="0" xfId="0" applyFont="1"/>
    <xf numFmtId="43" fontId="7" fillId="0" borderId="0" xfId="1" applyFont="1"/>
    <xf numFmtId="43" fontId="48" fillId="0" borderId="0" xfId="1" applyFont="1" applyFill="1" applyBorder="1" applyAlignment="1">
      <alignment vertical="center"/>
    </xf>
    <xf numFmtId="0" fontId="17" fillId="0" borderId="5" xfId="0" applyFont="1" applyBorder="1" applyAlignment="1">
      <alignment horizontal="center" wrapText="1"/>
    </xf>
    <xf numFmtId="43" fontId="2" fillId="3" borderId="2" xfId="1" applyFont="1" applyFill="1" applyBorder="1"/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43" fontId="27" fillId="0" borderId="2" xfId="0" applyNumberFormat="1" applyFont="1" applyFill="1" applyBorder="1" applyAlignment="1">
      <alignment vertical="center"/>
    </xf>
    <xf numFmtId="9" fontId="35" fillId="2" borderId="2" xfId="2" applyNumberFormat="1" applyFont="1" applyFill="1" applyBorder="1" applyAlignment="1">
      <alignment horizontal="center" vertical="center"/>
    </xf>
    <xf numFmtId="43" fontId="35" fillId="2" borderId="1" xfId="1" applyFont="1" applyFill="1" applyBorder="1" applyAlignment="1">
      <alignment horizontal="left" vertical="center"/>
    </xf>
    <xf numFmtId="43" fontId="35" fillId="2" borderId="3" xfId="1" applyFont="1" applyFill="1" applyBorder="1" applyAlignment="1">
      <alignment horizontal="left" vertical="center" wrapText="1"/>
    </xf>
    <xf numFmtId="43" fontId="35" fillId="6" borderId="1" xfId="1" applyFont="1" applyFill="1" applyBorder="1" applyAlignment="1">
      <alignment horizontal="left" vertical="center" wrapText="1"/>
    </xf>
    <xf numFmtId="9" fontId="35" fillId="6" borderId="2" xfId="2" applyNumberFormat="1" applyFont="1" applyFill="1" applyBorder="1" applyAlignment="1">
      <alignment horizontal="center" vertical="center"/>
    </xf>
    <xf numFmtId="43" fontId="56" fillId="2" borderId="1" xfId="1" applyFont="1" applyFill="1" applyBorder="1" applyAlignment="1">
      <alignment horizontal="left" vertical="center" wrapText="1"/>
    </xf>
    <xf numFmtId="43" fontId="56" fillId="2" borderId="2" xfId="1" applyFont="1" applyFill="1" applyBorder="1" applyAlignment="1">
      <alignment vertical="center"/>
    </xf>
    <xf numFmtId="43" fontId="56" fillId="2" borderId="1" xfId="1" applyFont="1" applyFill="1" applyBorder="1" applyAlignment="1">
      <alignment horizontal="left" vertical="center"/>
    </xf>
    <xf numFmtId="43" fontId="56" fillId="2" borderId="1" xfId="1" applyFont="1" applyFill="1" applyBorder="1" applyAlignment="1">
      <alignment horizontal="left" vertical="center" indent="1"/>
    </xf>
    <xf numFmtId="43" fontId="56" fillId="2" borderId="2" xfId="1" applyFont="1" applyFill="1" applyBorder="1" applyAlignment="1">
      <alignment horizontal="left" vertical="center" indent="1"/>
    </xf>
    <xf numFmtId="166" fontId="56" fillId="2" borderId="2" xfId="1" applyNumberFormat="1" applyFont="1" applyFill="1" applyBorder="1" applyAlignment="1">
      <alignment vertical="center"/>
    </xf>
    <xf numFmtId="9" fontId="56" fillId="2" borderId="2" xfId="2" applyFont="1" applyFill="1" applyBorder="1" applyAlignment="1">
      <alignment horizontal="center" vertical="center"/>
    </xf>
    <xf numFmtId="168" fontId="56" fillId="6" borderId="2" xfId="1" applyNumberFormat="1" applyFont="1" applyFill="1" applyBorder="1" applyAlignment="1">
      <alignment vertical="center"/>
    </xf>
    <xf numFmtId="43" fontId="56" fillId="6" borderId="2" xfId="1" applyFont="1" applyFill="1" applyBorder="1" applyAlignment="1">
      <alignment vertical="center"/>
    </xf>
    <xf numFmtId="9" fontId="56" fillId="6" borderId="2" xfId="2" applyFont="1" applyFill="1" applyBorder="1" applyAlignment="1">
      <alignment horizontal="center" vertical="center"/>
    </xf>
    <xf numFmtId="43" fontId="51" fillId="6" borderId="2" xfId="1" applyFont="1" applyFill="1" applyBorder="1" applyAlignment="1">
      <alignment vertical="center" wrapText="1"/>
    </xf>
    <xf numFmtId="43" fontId="6" fillId="0" borderId="0" xfId="1" applyFont="1" applyAlignment="1">
      <alignment vertical="center"/>
    </xf>
    <xf numFmtId="9" fontId="6" fillId="0" borderId="0" xfId="2" applyNumberFormat="1" applyFont="1" applyAlignment="1">
      <alignment horizontal="center" vertical="center"/>
    </xf>
    <xf numFmtId="10" fontId="6" fillId="0" borderId="0" xfId="2" applyNumberFormat="1" applyFont="1" applyAlignment="1">
      <alignment horizontal="center" vertical="center" wrapText="1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vertical="center"/>
    </xf>
    <xf numFmtId="43" fontId="6" fillId="4" borderId="0" xfId="1" applyFont="1" applyFill="1" applyAlignment="1">
      <alignment vertical="center"/>
    </xf>
    <xf numFmtId="43" fontId="6" fillId="0" borderId="0" xfId="1" applyFont="1" applyFill="1" applyAlignment="1">
      <alignment vertical="center"/>
    </xf>
    <xf numFmtId="43" fontId="6" fillId="5" borderId="0" xfId="1" applyFont="1" applyFill="1" applyAlignment="1">
      <alignment vertical="center"/>
    </xf>
    <xf numFmtId="43" fontId="55" fillId="0" borderId="0" xfId="1" applyFont="1" applyAlignment="1">
      <alignment horizontal="left" vertical="center"/>
    </xf>
    <xf numFmtId="43" fontId="55" fillId="0" borderId="0" xfId="1" applyFont="1" applyBorder="1" applyAlignment="1">
      <alignment vertical="center" wrapText="1"/>
    </xf>
    <xf numFmtId="43" fontId="55" fillId="0" borderId="0" xfId="1" applyFont="1" applyFill="1" applyBorder="1" applyAlignment="1">
      <alignment vertical="center" wrapText="1"/>
    </xf>
    <xf numFmtId="43" fontId="55" fillId="4" borderId="0" xfId="1" applyFont="1" applyFill="1" applyAlignment="1">
      <alignment vertical="center" wrapText="1"/>
    </xf>
    <xf numFmtId="43" fontId="55" fillId="0" borderId="0" xfId="1" applyFont="1" applyFill="1" applyAlignment="1">
      <alignment vertical="center" wrapText="1"/>
    </xf>
    <xf numFmtId="43" fontId="55" fillId="0" borderId="0" xfId="1" applyFont="1" applyAlignment="1">
      <alignment vertical="center" wrapText="1"/>
    </xf>
    <xf numFmtId="43" fontId="55" fillId="5" borderId="0" xfId="1" applyFont="1" applyFill="1" applyAlignment="1">
      <alignment vertical="center" wrapText="1"/>
    </xf>
    <xf numFmtId="43" fontId="55" fillId="0" borderId="0" xfId="1" applyFont="1" applyBorder="1" applyAlignment="1">
      <alignment vertical="center"/>
    </xf>
    <xf numFmtId="43" fontId="55" fillId="0" borderId="0" xfId="1" applyFont="1" applyFill="1" applyBorder="1" applyAlignment="1">
      <alignment vertical="center"/>
    </xf>
    <xf numFmtId="43" fontId="55" fillId="4" borderId="0" xfId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43" fontId="55" fillId="0" borderId="0" xfId="1" applyFont="1" applyAlignment="1">
      <alignment vertical="center"/>
    </xf>
    <xf numFmtId="43" fontId="55" fillId="5" borderId="0" xfId="1" applyFont="1" applyFill="1" applyAlignment="1">
      <alignment vertical="center"/>
    </xf>
    <xf numFmtId="43" fontId="55" fillId="5" borderId="24" xfId="1" applyFont="1" applyFill="1" applyBorder="1" applyAlignment="1">
      <alignment horizontal="center" vertical="center" wrapText="1"/>
    </xf>
    <xf numFmtId="43" fontId="6" fillId="3" borderId="0" xfId="1" applyFont="1" applyFill="1" applyBorder="1" applyAlignment="1">
      <alignment vertical="center"/>
    </xf>
    <xf numFmtId="43" fontId="55" fillId="2" borderId="2" xfId="1" applyFont="1" applyFill="1" applyBorder="1" applyAlignment="1" applyProtection="1">
      <alignment horizontal="left" vertical="center"/>
    </xf>
    <xf numFmtId="43" fontId="55" fillId="2" borderId="2" xfId="1" applyFont="1" applyFill="1" applyBorder="1" applyAlignment="1">
      <alignment vertical="center"/>
    </xf>
    <xf numFmtId="9" fontId="55" fillId="2" borderId="2" xfId="2" applyNumberFormat="1" applyFont="1" applyFill="1" applyBorder="1" applyAlignment="1">
      <alignment horizontal="center" vertical="center"/>
    </xf>
    <xf numFmtId="43" fontId="55" fillId="2" borderId="0" xfId="1" applyFont="1" applyFill="1" applyBorder="1" applyAlignment="1">
      <alignment vertical="center"/>
    </xf>
    <xf numFmtId="43" fontId="55" fillId="2" borderId="0" xfId="1" applyFont="1" applyFill="1" applyAlignment="1">
      <alignment vertical="center"/>
    </xf>
    <xf numFmtId="43" fontId="55" fillId="2" borderId="2" xfId="1" applyFont="1" applyFill="1" applyBorder="1" applyAlignment="1">
      <alignment horizontal="left" vertical="center"/>
    </xf>
    <xf numFmtId="43" fontId="55" fillId="2" borderId="1" xfId="1" applyFont="1" applyFill="1" applyBorder="1" applyAlignment="1">
      <alignment horizontal="left" vertical="center" wrapText="1"/>
    </xf>
    <xf numFmtId="43" fontId="55" fillId="6" borderId="1" xfId="1" applyFont="1" applyFill="1" applyBorder="1" applyAlignment="1">
      <alignment horizontal="left" vertical="center" wrapText="1"/>
    </xf>
    <xf numFmtId="43" fontId="55" fillId="6" borderId="2" xfId="1" applyFont="1" applyFill="1" applyBorder="1" applyAlignment="1">
      <alignment vertical="center"/>
    </xf>
    <xf numFmtId="9" fontId="55" fillId="6" borderId="2" xfId="2" applyNumberFormat="1" applyFont="1" applyFill="1" applyBorder="1" applyAlignment="1">
      <alignment horizontal="center" vertical="center"/>
    </xf>
    <xf numFmtId="43" fontId="55" fillId="6" borderId="0" xfId="1" applyFont="1" applyFill="1" applyAlignment="1">
      <alignment vertical="center"/>
    </xf>
    <xf numFmtId="168" fontId="56" fillId="9" borderId="2" xfId="1" applyNumberFormat="1" applyFont="1" applyFill="1" applyBorder="1" applyAlignment="1">
      <alignment vertical="center"/>
    </xf>
    <xf numFmtId="43" fontId="56" fillId="9" borderId="2" xfId="1" applyFont="1" applyFill="1" applyBorder="1" applyAlignment="1">
      <alignment vertical="center"/>
    </xf>
    <xf numFmtId="9" fontId="56" fillId="9" borderId="2" xfId="2" applyFont="1" applyFill="1" applyBorder="1" applyAlignment="1">
      <alignment horizontal="center" vertical="center"/>
    </xf>
    <xf numFmtId="43" fontId="51" fillId="9" borderId="2" xfId="1" applyFont="1" applyFill="1" applyBorder="1" applyAlignment="1">
      <alignment vertical="center" wrapText="1"/>
    </xf>
    <xf numFmtId="43" fontId="35" fillId="9" borderId="0" xfId="1" applyFont="1" applyFill="1" applyAlignment="1">
      <alignment vertical="center"/>
    </xf>
    <xf numFmtId="43" fontId="54" fillId="0" borderId="0" xfId="1" applyFont="1" applyFill="1" applyBorder="1" applyAlignment="1">
      <alignment vertical="center" wrapText="1"/>
    </xf>
    <xf numFmtId="43" fontId="47" fillId="0" borderId="26" xfId="1" applyFont="1" applyFill="1" applyBorder="1" applyAlignment="1">
      <alignment vertical="center"/>
    </xf>
    <xf numFmtId="43" fontId="4" fillId="0" borderId="2" xfId="1" applyFont="1" applyBorder="1"/>
    <xf numFmtId="43" fontId="41" fillId="0" borderId="0" xfId="1" applyFont="1" applyFill="1" applyBorder="1" applyAlignment="1">
      <alignment horizontal="left" vertical="center"/>
    </xf>
    <xf numFmtId="10" fontId="4" fillId="0" borderId="0" xfId="2" applyNumberFormat="1" applyFont="1"/>
    <xf numFmtId="43" fontId="2" fillId="2" borderId="2" xfId="1" applyFont="1" applyFill="1" applyBorder="1"/>
    <xf numFmtId="10" fontId="2" fillId="0" borderId="2" xfId="1" applyNumberFormat="1" applyFont="1" applyBorder="1"/>
    <xf numFmtId="0" fontId="59" fillId="0" borderId="0" xfId="0" applyFont="1" applyFill="1" applyBorder="1" applyAlignment="1">
      <alignment horizontal="fill" vertical="center"/>
    </xf>
    <xf numFmtId="0" fontId="33" fillId="0" borderId="0" xfId="0" applyFont="1" applyFill="1" applyAlignment="1">
      <alignment vertical="center"/>
    </xf>
    <xf numFmtId="0" fontId="33" fillId="12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5" fillId="14" borderId="0" xfId="0" applyFont="1" applyFill="1" applyBorder="1" applyAlignment="1">
      <alignment horizontal="center" vertical="center" wrapText="1"/>
    </xf>
    <xf numFmtId="0" fontId="35" fillId="14" borderId="0" xfId="0" applyFont="1" applyFill="1" applyBorder="1" applyAlignment="1">
      <alignment horizontal="fill" vertical="center" wrapText="1"/>
    </xf>
    <xf numFmtId="0" fontId="35" fillId="14" borderId="0" xfId="0" applyFont="1" applyFill="1" applyAlignment="1">
      <alignment vertical="center"/>
    </xf>
    <xf numFmtId="0" fontId="35" fillId="14" borderId="0" xfId="0" applyFont="1" applyFill="1" applyAlignment="1">
      <alignment horizontal="center" vertical="center"/>
    </xf>
    <xf numFmtId="0" fontId="52" fillId="0" borderId="0" xfId="0" applyFont="1" applyFill="1" applyBorder="1" applyAlignment="1">
      <alignment horizontal="fill" vertical="center"/>
    </xf>
    <xf numFmtId="0" fontId="36" fillId="12" borderId="0" xfId="0" applyFont="1" applyFill="1" applyAlignment="1">
      <alignment vertical="center"/>
    </xf>
    <xf numFmtId="0" fontId="40" fillId="4" borderId="0" xfId="0" applyFont="1" applyFill="1" applyAlignment="1">
      <alignment vertical="center"/>
    </xf>
    <xf numFmtId="0" fontId="60" fillId="0" borderId="0" xfId="0" applyFont="1" applyFill="1" applyBorder="1" applyAlignment="1">
      <alignment horizontal="fill" vertical="center"/>
    </xf>
    <xf numFmtId="43" fontId="62" fillId="0" borderId="2" xfId="0" applyNumberFormat="1" applyFont="1" applyFill="1" applyBorder="1" applyAlignment="1">
      <alignment vertical="center"/>
    </xf>
    <xf numFmtId="9" fontId="62" fillId="0" borderId="2" xfId="2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vertical="center"/>
    </xf>
    <xf numFmtId="0" fontId="63" fillId="4" borderId="0" xfId="0" applyFont="1" applyFill="1" applyAlignment="1">
      <alignment vertical="center"/>
    </xf>
    <xf numFmtId="9" fontId="36" fillId="0" borderId="2" xfId="2" applyFont="1" applyFill="1" applyBorder="1" applyAlignment="1">
      <alignment horizontal="center" vertical="center"/>
    </xf>
    <xf numFmtId="0" fontId="64" fillId="4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9" fontId="66" fillId="0" borderId="2" xfId="2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15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0" fontId="68" fillId="0" borderId="0" xfId="0" applyFont="1" applyFill="1" applyBorder="1" applyAlignment="1">
      <alignment horizontal="fill" vertical="center"/>
    </xf>
    <xf numFmtId="9" fontId="65" fillId="0" borderId="2" xfId="2" applyNumberFormat="1" applyFont="1" applyFill="1" applyBorder="1" applyAlignment="1">
      <alignment horizontal="center" vertical="center"/>
    </xf>
    <xf numFmtId="0" fontId="52" fillId="8" borderId="0" xfId="0" applyFont="1" applyFill="1" applyBorder="1" applyAlignment="1">
      <alignment horizontal="fill" vertical="center"/>
    </xf>
    <xf numFmtId="0" fontId="69" fillId="8" borderId="0" xfId="0" applyFont="1" applyFill="1" applyBorder="1" applyAlignment="1">
      <alignment horizontal="fill" vertical="center"/>
    </xf>
    <xf numFmtId="0" fontId="35" fillId="8" borderId="0" xfId="0" applyFont="1" applyFill="1" applyAlignment="1">
      <alignment vertical="center"/>
    </xf>
    <xf numFmtId="9" fontId="33" fillId="0" borderId="2" xfId="2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64" fillId="12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52" fillId="16" borderId="0" xfId="0" applyFont="1" applyFill="1" applyBorder="1" applyAlignment="1">
      <alignment horizontal="fill" vertical="center"/>
    </xf>
    <xf numFmtId="0" fontId="63" fillId="12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43" fontId="33" fillId="0" borderId="0" xfId="0" applyNumberFormat="1" applyFont="1" applyFill="1" applyAlignment="1">
      <alignment vertical="center"/>
    </xf>
    <xf numFmtId="0" fontId="65" fillId="4" borderId="0" xfId="0" applyFont="1" applyFill="1" applyAlignment="1">
      <alignment vertical="center"/>
    </xf>
    <xf numFmtId="0" fontId="52" fillId="5" borderId="0" xfId="0" applyFont="1" applyFill="1" applyBorder="1" applyAlignment="1">
      <alignment horizontal="fill" vertical="center"/>
    </xf>
    <xf numFmtId="0" fontId="52" fillId="10" borderId="0" xfId="0" applyFont="1" applyFill="1" applyBorder="1" applyAlignment="1">
      <alignment horizontal="fill" vertical="center"/>
    </xf>
    <xf numFmtId="0" fontId="72" fillId="10" borderId="0" xfId="0" applyFont="1" applyFill="1" applyBorder="1" applyAlignment="1">
      <alignment horizontal="fill" vertical="center"/>
    </xf>
    <xf numFmtId="9" fontId="36" fillId="10" borderId="2" xfId="2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fill" vertical="center"/>
    </xf>
    <xf numFmtId="9" fontId="75" fillId="0" borderId="2" xfId="2" applyFont="1" applyFill="1" applyBorder="1" applyAlignment="1">
      <alignment horizontal="center" vertical="center"/>
    </xf>
    <xf numFmtId="0" fontId="74" fillId="0" borderId="0" xfId="0" applyFont="1" applyFill="1" applyAlignment="1">
      <alignment vertical="center"/>
    </xf>
    <xf numFmtId="0" fontId="75" fillId="0" borderId="0" xfId="0" applyFont="1" applyFill="1" applyAlignment="1">
      <alignment vertical="center"/>
    </xf>
    <xf numFmtId="0" fontId="35" fillId="5" borderId="0" xfId="0" applyFont="1" applyFill="1" applyAlignment="1">
      <alignment vertical="center"/>
    </xf>
    <xf numFmtId="0" fontId="43" fillId="5" borderId="0" xfId="0" applyFont="1" applyFill="1" applyAlignment="1">
      <alignment vertical="center"/>
    </xf>
    <xf numFmtId="9" fontId="42" fillId="0" borderId="2" xfId="2" applyFont="1" applyFill="1" applyBorder="1" applyAlignment="1">
      <alignment horizontal="center" vertical="center"/>
    </xf>
    <xf numFmtId="0" fontId="33" fillId="5" borderId="0" xfId="0" applyFont="1" applyFill="1" applyAlignment="1">
      <alignment vertical="center"/>
    </xf>
    <xf numFmtId="0" fontId="42" fillId="5" borderId="0" xfId="0" applyFont="1" applyFill="1" applyAlignment="1">
      <alignment vertical="center"/>
    </xf>
    <xf numFmtId="0" fontId="36" fillId="0" borderId="0" xfId="0" applyFont="1" applyFill="1" applyBorder="1" applyAlignment="1">
      <alignment horizontal="fill" vertical="center"/>
    </xf>
    <xf numFmtId="0" fontId="36" fillId="8" borderId="0" xfId="0" applyFont="1" applyFill="1" applyBorder="1" applyAlignment="1">
      <alignment horizontal="fill" vertical="center"/>
    </xf>
    <xf numFmtId="9" fontId="73" fillId="0" borderId="2" xfId="2" applyFont="1" applyFill="1" applyBorder="1" applyAlignment="1">
      <alignment horizontal="center" vertical="center"/>
    </xf>
    <xf numFmtId="0" fontId="76" fillId="0" borderId="0" xfId="0" applyFont="1" applyFill="1" applyAlignment="1">
      <alignment vertical="center"/>
    </xf>
    <xf numFmtId="9" fontId="36" fillId="17" borderId="2" xfId="2" applyNumberFormat="1" applyFont="1" applyFill="1" applyBorder="1" applyAlignment="1">
      <alignment horizontal="center" vertical="center"/>
    </xf>
    <xf numFmtId="0" fontId="40" fillId="17" borderId="0" xfId="0" applyFont="1" applyFill="1" applyAlignment="1">
      <alignment vertical="center"/>
    </xf>
    <xf numFmtId="9" fontId="65" fillId="0" borderId="2" xfId="2" applyFont="1" applyFill="1" applyBorder="1" applyAlignment="1">
      <alignment horizontal="center" vertical="center"/>
    </xf>
    <xf numFmtId="9" fontId="36" fillId="5" borderId="2" xfId="2" applyFont="1" applyFill="1" applyBorder="1" applyAlignment="1">
      <alignment horizontal="center" vertical="center"/>
    </xf>
    <xf numFmtId="9" fontId="36" fillId="17" borderId="2" xfId="2" applyFont="1" applyFill="1" applyBorder="1" applyAlignment="1">
      <alignment horizontal="center" vertical="center"/>
    </xf>
    <xf numFmtId="9" fontId="33" fillId="11" borderId="2" xfId="2" applyFont="1" applyFill="1" applyBorder="1" applyAlignment="1">
      <alignment horizontal="center" vertical="center"/>
    </xf>
    <xf numFmtId="0" fontId="35" fillId="11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2" fillId="10" borderId="0" xfId="0" applyFont="1" applyFill="1" applyAlignment="1">
      <alignment vertical="center"/>
    </xf>
    <xf numFmtId="0" fontId="77" fillId="10" borderId="0" xfId="0" applyFont="1" applyFill="1" applyAlignment="1">
      <alignment vertical="center"/>
    </xf>
    <xf numFmtId="9" fontId="79" fillId="0" borderId="2" xfId="2" applyFont="1" applyFill="1" applyBorder="1" applyAlignment="1">
      <alignment horizontal="center" vertical="center"/>
    </xf>
    <xf numFmtId="0" fontId="78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fill" vertical="center"/>
    </xf>
    <xf numFmtId="9" fontId="44" fillId="0" borderId="2" xfId="2" applyNumberFormat="1" applyFont="1" applyFill="1" applyBorder="1" applyAlignment="1">
      <alignment horizontal="center" vertical="center"/>
    </xf>
    <xf numFmtId="9" fontId="44" fillId="0" borderId="2" xfId="2" applyFont="1" applyFill="1" applyBorder="1" applyAlignment="1">
      <alignment horizontal="center" vertical="center"/>
    </xf>
    <xf numFmtId="0" fontId="44" fillId="0" borderId="0" xfId="0" applyFont="1" applyFill="1" applyAlignment="1">
      <alignment vertical="center"/>
    </xf>
    <xf numFmtId="43" fontId="35" fillId="8" borderId="0" xfId="0" applyNumberFormat="1" applyFont="1" applyFill="1" applyAlignment="1">
      <alignment vertical="center"/>
    </xf>
    <xf numFmtId="0" fontId="36" fillId="5" borderId="0" xfId="0" applyFont="1" applyFill="1" applyBorder="1" applyAlignment="1">
      <alignment horizontal="fill" vertical="center"/>
    </xf>
    <xf numFmtId="0" fontId="40" fillId="5" borderId="0" xfId="0" applyFont="1" applyFill="1" applyBorder="1" applyAlignment="1">
      <alignment horizontal="fill" vertical="center"/>
    </xf>
    <xf numFmtId="0" fontId="64" fillId="5" borderId="0" xfId="0" applyFont="1" applyFill="1" applyAlignment="1">
      <alignment vertical="center"/>
    </xf>
    <xf numFmtId="0" fontId="33" fillId="0" borderId="0" xfId="0" applyFont="1" applyFill="1" applyBorder="1" applyAlignment="1">
      <alignment horizontal="fill" vertical="center"/>
    </xf>
    <xf numFmtId="0" fontId="52" fillId="0" borderId="0" xfId="0" applyFont="1" applyFill="1" applyAlignment="1">
      <alignment vertical="center"/>
    </xf>
    <xf numFmtId="43" fontId="52" fillId="0" borderId="0" xfId="0" applyNumberFormat="1" applyFont="1" applyFill="1" applyBorder="1" applyAlignment="1">
      <alignment vertical="center"/>
    </xf>
    <xf numFmtId="9" fontId="77" fillId="0" borderId="0" xfId="2" applyNumberFormat="1" applyFont="1" applyFill="1" applyBorder="1" applyAlignment="1">
      <alignment horizontal="center" vertical="center"/>
    </xf>
    <xf numFmtId="0" fontId="52" fillId="12" borderId="0" xfId="0" applyFont="1" applyFill="1" applyBorder="1" applyAlignment="1">
      <alignment vertical="center"/>
    </xf>
    <xf numFmtId="0" fontId="52" fillId="12" borderId="0" xfId="0" applyFont="1" applyFill="1" applyAlignment="1">
      <alignment vertical="center"/>
    </xf>
    <xf numFmtId="0" fontId="52" fillId="4" borderId="0" xfId="0" applyFont="1" applyFill="1" applyAlignment="1">
      <alignment vertical="center"/>
    </xf>
    <xf numFmtId="0" fontId="33" fillId="0" borderId="0" xfId="0" applyNumberFormat="1" applyFont="1" applyFill="1" applyAlignment="1">
      <alignment horizontal="left" vertical="center" indent="11"/>
    </xf>
    <xf numFmtId="0" fontId="80" fillId="2" borderId="0" xfId="0" applyFont="1" applyFill="1" applyAlignment="1">
      <alignment vertical="center"/>
    </xf>
    <xf numFmtId="0" fontId="40" fillId="2" borderId="0" xfId="0" applyNumberFormat="1" applyFont="1" applyFill="1" applyAlignment="1">
      <alignment vertical="center"/>
    </xf>
    <xf numFmtId="0" fontId="40" fillId="2" borderId="0" xfId="0" applyFont="1" applyFill="1" applyAlignment="1">
      <alignment vertical="center"/>
    </xf>
    <xf numFmtId="0" fontId="40" fillId="12" borderId="0" xfId="0" applyFont="1" applyFill="1" applyAlignment="1">
      <alignment vertical="center"/>
    </xf>
    <xf numFmtId="43" fontId="35" fillId="18" borderId="0" xfId="1" applyFont="1" applyFill="1" applyAlignment="1">
      <alignment vertical="center"/>
    </xf>
    <xf numFmtId="9" fontId="35" fillId="18" borderId="0" xfId="2" applyFont="1" applyFill="1" applyAlignment="1">
      <alignment vertical="center"/>
    </xf>
    <xf numFmtId="0" fontId="42" fillId="0" borderId="2" xfId="0" applyFont="1" applyFill="1" applyBorder="1" applyAlignment="1">
      <alignment vertical="center"/>
    </xf>
    <xf numFmtId="0" fontId="36" fillId="0" borderId="2" xfId="0" applyFont="1" applyFill="1" applyBorder="1" applyAlignment="1">
      <alignment vertical="center"/>
    </xf>
    <xf numFmtId="0" fontId="70" fillId="0" borderId="0" xfId="0" applyFont="1" applyFill="1" applyAlignment="1">
      <alignment vertical="center"/>
    </xf>
    <xf numFmtId="0" fontId="80" fillId="0" borderId="0" xfId="0" applyFont="1" applyFill="1" applyBorder="1" applyAlignment="1">
      <alignment vertical="center"/>
    </xf>
    <xf numFmtId="0" fontId="33" fillId="14" borderId="0" xfId="0" applyFont="1" applyFill="1" applyBorder="1" applyAlignment="1">
      <alignment horizontal="center" vertical="center" wrapText="1"/>
    </xf>
    <xf numFmtId="9" fontId="49" fillId="0" borderId="2" xfId="2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fill" vertical="center"/>
    </xf>
    <xf numFmtId="0" fontId="33" fillId="15" borderId="2" xfId="0" applyFont="1" applyFill="1" applyBorder="1" applyAlignment="1">
      <alignment vertical="center"/>
    </xf>
    <xf numFmtId="0" fontId="44" fillId="0" borderId="2" xfId="0" applyFont="1" applyFill="1" applyBorder="1" applyAlignment="1">
      <alignment vertical="center"/>
    </xf>
    <xf numFmtId="0" fontId="62" fillId="0" borderId="2" xfId="0" applyFont="1" applyFill="1" applyBorder="1" applyAlignment="1">
      <alignment vertical="center"/>
    </xf>
    <xf numFmtId="0" fontId="65" fillId="0" borderId="2" xfId="0" applyFont="1" applyFill="1" applyBorder="1" applyAlignment="1">
      <alignment vertical="center"/>
    </xf>
    <xf numFmtId="0" fontId="77" fillId="0" borderId="0" xfId="0" applyFont="1" applyFill="1" applyBorder="1" applyAlignment="1">
      <alignment horizontal="fill" vertical="center"/>
    </xf>
    <xf numFmtId="0" fontId="44" fillId="15" borderId="2" xfId="0" applyFont="1" applyFill="1" applyBorder="1" applyAlignment="1">
      <alignment vertical="center"/>
    </xf>
    <xf numFmtId="0" fontId="67" fillId="15" borderId="0" xfId="0" applyFont="1" applyFill="1" applyAlignment="1">
      <alignment vertical="center"/>
    </xf>
    <xf numFmtId="0" fontId="44" fillId="8" borderId="2" xfId="0" applyFont="1" applyFill="1" applyBorder="1" applyAlignment="1">
      <alignment vertical="center"/>
    </xf>
    <xf numFmtId="9" fontId="36" fillId="15" borderId="2" xfId="2" applyNumberFormat="1" applyFont="1" applyFill="1" applyBorder="1" applyAlignment="1">
      <alignment horizontal="center" vertical="center"/>
    </xf>
    <xf numFmtId="9" fontId="36" fillId="8" borderId="2" xfId="2" applyNumberFormat="1" applyFont="1" applyFill="1" applyBorder="1" applyAlignment="1">
      <alignment horizontal="center" vertical="center"/>
    </xf>
    <xf numFmtId="9" fontId="84" fillId="0" borderId="2" xfId="2" applyNumberFormat="1" applyFont="1" applyFill="1" applyBorder="1" applyAlignment="1">
      <alignment horizontal="center" vertical="center"/>
    </xf>
    <xf numFmtId="9" fontId="71" fillId="0" borderId="2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fill" vertical="center"/>
    </xf>
    <xf numFmtId="9" fontId="6" fillId="0" borderId="2" xfId="2" applyNumberFormat="1" applyFont="1" applyFill="1" applyBorder="1" applyAlignment="1">
      <alignment horizontal="center" vertical="center"/>
    </xf>
    <xf numFmtId="9" fontId="85" fillId="0" borderId="2" xfId="2" applyNumberFormat="1" applyFont="1" applyFill="1" applyBorder="1" applyAlignment="1">
      <alignment horizontal="center" vertical="center"/>
    </xf>
    <xf numFmtId="0" fontId="61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9" fontId="86" fillId="0" borderId="2" xfId="2" applyNumberFormat="1" applyFont="1" applyFill="1" applyBorder="1" applyAlignment="1">
      <alignment horizontal="center" vertical="center"/>
    </xf>
    <xf numFmtId="0" fontId="81" fillId="0" borderId="0" xfId="0" applyFont="1" applyFill="1" applyAlignment="1">
      <alignment vertical="center"/>
    </xf>
    <xf numFmtId="9" fontId="13" fillId="15" borderId="2" xfId="2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fill" vertical="center"/>
    </xf>
    <xf numFmtId="0" fontId="42" fillId="0" borderId="0" xfId="0" applyFont="1" applyFill="1" applyBorder="1" applyAlignment="1">
      <alignment vertical="center"/>
    </xf>
    <xf numFmtId="9" fontId="42" fillId="0" borderId="2" xfId="2" applyNumberFormat="1" applyFont="1" applyFill="1" applyBorder="1" applyAlignment="1">
      <alignment horizontal="center" vertical="center"/>
    </xf>
    <xf numFmtId="0" fontId="33" fillId="16" borderId="2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0" fontId="36" fillId="5" borderId="2" xfId="0" applyFont="1" applyFill="1" applyBorder="1" applyAlignment="1">
      <alignment vertical="center"/>
    </xf>
    <xf numFmtId="0" fontId="36" fillId="0" borderId="25" xfId="0" applyFont="1" applyFill="1" applyBorder="1" applyAlignment="1">
      <alignment horizontal="fill" vertical="center"/>
    </xf>
    <xf numFmtId="0" fontId="33" fillId="5" borderId="0" xfId="0" applyFont="1" applyFill="1" applyBorder="1" applyAlignment="1">
      <alignment horizontal="fill" vertical="center"/>
    </xf>
    <xf numFmtId="9" fontId="65" fillId="5" borderId="2" xfId="2" applyNumberFormat="1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horizontal="fill" vertical="center"/>
    </xf>
    <xf numFmtId="0" fontId="75" fillId="0" borderId="0" xfId="0" applyFont="1" applyFill="1" applyBorder="1" applyAlignment="1">
      <alignment horizontal="fill" vertical="center"/>
    </xf>
    <xf numFmtId="0" fontId="87" fillId="0" borderId="0" xfId="0" applyFont="1" applyFill="1" applyBorder="1" applyAlignment="1">
      <alignment horizontal="fill" vertical="center"/>
    </xf>
    <xf numFmtId="0" fontId="33" fillId="8" borderId="2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fill" vertical="center"/>
    </xf>
    <xf numFmtId="0" fontId="88" fillId="0" borderId="0" xfId="0" applyFont="1" applyFill="1" applyAlignment="1">
      <alignment vertical="center"/>
    </xf>
    <xf numFmtId="0" fontId="83" fillId="0" borderId="0" xfId="0" applyFont="1" applyFill="1" applyAlignment="1">
      <alignment vertical="center"/>
    </xf>
    <xf numFmtId="9" fontId="80" fillId="0" borderId="0" xfId="0" applyNumberFormat="1" applyFont="1" applyFill="1" applyBorder="1" applyAlignment="1">
      <alignment vertical="center"/>
    </xf>
    <xf numFmtId="43" fontId="33" fillId="18" borderId="2" xfId="1" applyFont="1" applyFill="1" applyBorder="1" applyAlignment="1">
      <alignment vertical="center"/>
    </xf>
    <xf numFmtId="43" fontId="33" fillId="18" borderId="0" xfId="1" applyFont="1" applyFill="1" applyBorder="1" applyAlignment="1">
      <alignment vertical="center"/>
    </xf>
    <xf numFmtId="9" fontId="33" fillId="0" borderId="0" xfId="2" applyFont="1" applyFill="1" applyAlignment="1">
      <alignment vertical="center"/>
    </xf>
    <xf numFmtId="0" fontId="89" fillId="0" borderId="0" xfId="0" applyFont="1" applyFill="1" applyBorder="1" applyAlignment="1">
      <alignment horizontal="left" vertical="center"/>
    </xf>
    <xf numFmtId="0" fontId="55" fillId="0" borderId="0" xfId="0" applyNumberFormat="1" applyFont="1" applyFill="1" applyBorder="1" applyAlignment="1">
      <alignment horizontal="left" vertical="center"/>
    </xf>
    <xf numFmtId="0" fontId="90" fillId="0" borderId="0" xfId="0" applyNumberFormat="1" applyFont="1" applyFill="1" applyBorder="1" applyAlignment="1">
      <alignment horizontal="left" vertical="center"/>
    </xf>
    <xf numFmtId="9" fontId="91" fillId="0" borderId="0" xfId="2" applyNumberFormat="1" applyFont="1" applyFill="1" applyBorder="1" applyAlignment="1">
      <alignment horizontal="center" vertical="center"/>
    </xf>
    <xf numFmtId="0" fontId="90" fillId="0" borderId="0" xfId="0" applyFont="1" applyFill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91" fillId="0" borderId="0" xfId="0" applyNumberFormat="1" applyFont="1" applyFill="1" applyBorder="1" applyAlignment="1">
      <alignment horizontal="left" vertical="center"/>
    </xf>
    <xf numFmtId="0" fontId="91" fillId="0" borderId="0" xfId="0" applyFont="1" applyFill="1" applyAlignment="1">
      <alignment horizontal="left" vertical="center"/>
    </xf>
    <xf numFmtId="0" fontId="36" fillId="0" borderId="2" xfId="0" applyNumberFormat="1" applyFont="1" applyFill="1" applyBorder="1" applyAlignment="1">
      <alignment vertical="center"/>
    </xf>
    <xf numFmtId="0" fontId="61" fillId="0" borderId="3" xfId="0" applyNumberFormat="1" applyFont="1" applyFill="1" applyBorder="1" applyAlignment="1">
      <alignment vertical="center" wrapText="1"/>
    </xf>
    <xf numFmtId="43" fontId="62" fillId="0" borderId="2" xfId="1" applyFont="1" applyFill="1" applyBorder="1" applyAlignment="1">
      <alignment horizontal="center" vertical="center"/>
    </xf>
    <xf numFmtId="0" fontId="64" fillId="0" borderId="2" xfId="0" applyNumberFormat="1" applyFont="1" applyFill="1" applyBorder="1" applyAlignment="1">
      <alignment vertical="center"/>
    </xf>
    <xf numFmtId="0" fontId="64" fillId="0" borderId="2" xfId="0" applyNumberFormat="1" applyFont="1" applyFill="1" applyBorder="1" applyAlignment="1">
      <alignment horizontal="left" vertical="center"/>
    </xf>
    <xf numFmtId="43" fontId="64" fillId="0" borderId="2" xfId="1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vertical="center"/>
    </xf>
    <xf numFmtId="43" fontId="64" fillId="0" borderId="2" xfId="0" applyNumberFormat="1" applyFont="1" applyFill="1" applyBorder="1" applyAlignment="1">
      <alignment vertical="center"/>
    </xf>
    <xf numFmtId="0" fontId="36" fillId="0" borderId="2" xfId="1" applyNumberFormat="1" applyFont="1" applyFill="1" applyBorder="1" applyAlignment="1">
      <alignment horizontal="left" vertical="center"/>
    </xf>
    <xf numFmtId="43" fontId="42" fillId="0" borderId="2" xfId="1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vertical="center"/>
    </xf>
    <xf numFmtId="43" fontId="40" fillId="0" borderId="2" xfId="1" applyFont="1" applyFill="1" applyBorder="1" applyAlignment="1">
      <alignment horizontal="center" vertical="center"/>
    </xf>
    <xf numFmtId="0" fontId="66" fillId="0" borderId="2" xfId="1" applyNumberFormat="1" applyFont="1" applyFill="1" applyBorder="1" applyAlignment="1">
      <alignment horizontal="left" vertical="center" indent="1"/>
    </xf>
    <xf numFmtId="43" fontId="35" fillId="15" borderId="13" xfId="0" applyNumberFormat="1" applyFont="1" applyFill="1" applyBorder="1" applyAlignment="1">
      <alignment vertical="center"/>
    </xf>
    <xf numFmtId="0" fontId="67" fillId="0" borderId="1" xfId="0" applyNumberFormat="1" applyFont="1" applyFill="1" applyBorder="1" applyAlignment="1">
      <alignment horizontal="left" vertical="center" wrapText="1"/>
    </xf>
    <xf numFmtId="43" fontId="67" fillId="0" borderId="1" xfId="0" applyNumberFormat="1" applyFont="1" applyFill="1" applyBorder="1" applyAlignment="1">
      <alignment vertical="center"/>
    </xf>
    <xf numFmtId="0" fontId="63" fillId="0" borderId="3" xfId="0" applyNumberFormat="1" applyFont="1" applyFill="1" applyBorder="1" applyAlignment="1">
      <alignment vertical="center" wrapText="1"/>
    </xf>
    <xf numFmtId="43" fontId="35" fillId="8" borderId="13" xfId="0" applyNumberFormat="1" applyFont="1" applyFill="1" applyBorder="1" applyAlignment="1">
      <alignment vertical="center"/>
    </xf>
    <xf numFmtId="43" fontId="33" fillId="0" borderId="2" xfId="0" applyNumberFormat="1" applyFont="1" applyFill="1" applyBorder="1" applyAlignment="1">
      <alignment vertical="center"/>
    </xf>
    <xf numFmtId="43" fontId="49" fillId="0" borderId="2" xfId="1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left" vertical="center" wrapText="1" indent="2"/>
    </xf>
    <xf numFmtId="0" fontId="63" fillId="0" borderId="2" xfId="0" applyNumberFormat="1" applyFont="1" applyFill="1" applyBorder="1" applyAlignment="1">
      <alignment vertical="center"/>
    </xf>
    <xf numFmtId="0" fontId="63" fillId="0" borderId="2" xfId="0" applyNumberFormat="1" applyFont="1" applyFill="1" applyBorder="1" applyAlignment="1">
      <alignment horizontal="left" vertical="center"/>
    </xf>
    <xf numFmtId="43" fontId="63" fillId="0" borderId="2" xfId="1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vertical="center"/>
    </xf>
    <xf numFmtId="0" fontId="33" fillId="0" borderId="2" xfId="0" applyNumberFormat="1" applyFont="1" applyFill="1" applyBorder="1" applyAlignment="1">
      <alignment vertical="center"/>
    </xf>
    <xf numFmtId="0" fontId="36" fillId="10" borderId="2" xfId="0" applyNumberFormat="1" applyFont="1" applyFill="1" applyBorder="1" applyAlignment="1">
      <alignment vertical="center"/>
    </xf>
    <xf numFmtId="43" fontId="74" fillId="0" borderId="2" xfId="1" applyFont="1" applyFill="1" applyBorder="1" applyAlignment="1">
      <alignment horizontal="center" vertical="center"/>
    </xf>
    <xf numFmtId="0" fontId="94" fillId="0" borderId="3" xfId="0" applyNumberFormat="1" applyFont="1" applyFill="1" applyBorder="1" applyAlignment="1">
      <alignment vertical="center"/>
    </xf>
    <xf numFmtId="0" fontId="94" fillId="0" borderId="6" xfId="0" applyNumberFormat="1" applyFont="1" applyFill="1" applyBorder="1" applyAlignment="1">
      <alignment vertical="center"/>
    </xf>
    <xf numFmtId="0" fontId="95" fillId="0" borderId="7" xfId="0" applyNumberFormat="1" applyFont="1" applyFill="1" applyBorder="1" applyAlignment="1">
      <alignment vertical="center"/>
    </xf>
    <xf numFmtId="43" fontId="35" fillId="5" borderId="2" xfId="0" applyNumberFormat="1" applyFont="1" applyFill="1" applyBorder="1" applyAlignment="1">
      <alignment vertical="center"/>
    </xf>
    <xf numFmtId="43" fontId="67" fillId="0" borderId="2" xfId="0" applyNumberFormat="1" applyFont="1" applyFill="1" applyBorder="1" applyAlignment="1">
      <alignment vertical="center"/>
    </xf>
    <xf numFmtId="43" fontId="44" fillId="0" borderId="2" xfId="1" applyFont="1" applyFill="1" applyBorder="1" applyAlignment="1">
      <alignment horizontal="center" vertical="center"/>
    </xf>
    <xf numFmtId="43" fontId="35" fillId="5" borderId="2" xfId="1" applyFont="1" applyFill="1" applyBorder="1" applyAlignment="1">
      <alignment horizontal="center" vertical="center"/>
    </xf>
    <xf numFmtId="43" fontId="35" fillId="8" borderId="2" xfId="0" applyNumberFormat="1" applyFont="1" applyFill="1" applyBorder="1" applyAlignment="1">
      <alignment vertical="center"/>
    </xf>
    <xf numFmtId="0" fontId="96" fillId="0" borderId="2" xfId="0" applyNumberFormat="1" applyFont="1" applyFill="1" applyBorder="1" applyAlignment="1">
      <alignment horizontal="left" vertical="center" wrapText="1"/>
    </xf>
    <xf numFmtId="0" fontId="96" fillId="0" borderId="6" xfId="0" applyNumberFormat="1" applyFont="1" applyFill="1" applyBorder="1" applyAlignment="1">
      <alignment vertical="center"/>
    </xf>
    <xf numFmtId="0" fontId="96" fillId="0" borderId="7" xfId="0" applyNumberFormat="1" applyFont="1" applyFill="1" applyBorder="1" applyAlignment="1">
      <alignment vertical="center"/>
    </xf>
    <xf numFmtId="43" fontId="97" fillId="0" borderId="2" xfId="1" applyFont="1" applyFill="1" applyBorder="1" applyAlignment="1">
      <alignment horizontal="center" vertical="center"/>
    </xf>
    <xf numFmtId="0" fontId="65" fillId="0" borderId="2" xfId="0" applyNumberFormat="1" applyFont="1" applyFill="1" applyBorder="1" applyAlignment="1">
      <alignment vertical="center"/>
    </xf>
    <xf numFmtId="0" fontId="98" fillId="0" borderId="2" xfId="0" applyNumberFormat="1" applyFont="1" applyFill="1" applyBorder="1" applyAlignment="1">
      <alignment horizontal="left" vertical="center" indent="1"/>
    </xf>
    <xf numFmtId="43" fontId="65" fillId="0" borderId="2" xfId="1" applyFont="1" applyFill="1" applyBorder="1" applyAlignment="1">
      <alignment horizontal="center" vertical="center"/>
    </xf>
    <xf numFmtId="0" fontId="35" fillId="11" borderId="2" xfId="0" applyNumberFormat="1" applyFont="1" applyFill="1" applyBorder="1" applyAlignment="1">
      <alignment vertical="center"/>
    </xf>
    <xf numFmtId="0" fontId="35" fillId="11" borderId="2" xfId="0" applyNumberFormat="1" applyFont="1" applyFill="1" applyBorder="1" applyAlignment="1">
      <alignment horizontal="left" vertical="center"/>
    </xf>
    <xf numFmtId="43" fontId="35" fillId="11" borderId="2" xfId="1" applyFont="1" applyFill="1" applyBorder="1" applyAlignment="1">
      <alignment vertical="center"/>
    </xf>
    <xf numFmtId="0" fontId="5" fillId="0" borderId="3" xfId="0" applyNumberFormat="1" applyFont="1" applyFill="1" applyBorder="1" applyAlignment="1">
      <alignment vertical="center"/>
    </xf>
    <xf numFmtId="0" fontId="5" fillId="0" borderId="6" xfId="0" applyNumberFormat="1" applyFont="1" applyFill="1" applyBorder="1" applyAlignment="1">
      <alignment vertical="center"/>
    </xf>
    <xf numFmtId="0" fontId="5" fillId="0" borderId="7" xfId="0" applyNumberFormat="1" applyFont="1" applyFill="1" applyBorder="1" applyAlignment="1">
      <alignment horizontal="left" vertical="center"/>
    </xf>
    <xf numFmtId="43" fontId="5" fillId="0" borderId="2" xfId="1" applyFont="1" applyFill="1" applyBorder="1" applyAlignment="1">
      <alignment vertical="center"/>
    </xf>
    <xf numFmtId="0" fontId="36" fillId="10" borderId="6" xfId="0" applyNumberFormat="1" applyFont="1" applyFill="1" applyBorder="1" applyAlignment="1">
      <alignment vertical="center"/>
    </xf>
    <xf numFmtId="0" fontId="99" fillId="0" borderId="6" xfId="0" applyNumberFormat="1" applyFont="1" applyFill="1" applyBorder="1" applyAlignment="1">
      <alignment vertical="center"/>
    </xf>
    <xf numFmtId="43" fontId="78" fillId="0" borderId="2" xfId="1" applyFont="1" applyFill="1" applyBorder="1" applyAlignment="1">
      <alignment vertical="center"/>
    </xf>
    <xf numFmtId="43" fontId="78" fillId="0" borderId="2" xfId="1" applyFont="1" applyFill="1" applyBorder="1" applyAlignment="1">
      <alignment horizontal="center" vertical="center"/>
    </xf>
    <xf numFmtId="0" fontId="100" fillId="0" borderId="3" xfId="0" applyNumberFormat="1" applyFont="1" applyFill="1" applyBorder="1" applyAlignment="1">
      <alignment vertical="center"/>
    </xf>
    <xf numFmtId="0" fontId="44" fillId="0" borderId="2" xfId="0" applyNumberFormat="1" applyFont="1" applyFill="1" applyBorder="1" applyAlignment="1">
      <alignment vertical="center"/>
    </xf>
    <xf numFmtId="0" fontId="66" fillId="0" borderId="2" xfId="0" applyNumberFormat="1" applyFont="1" applyFill="1" applyBorder="1" applyAlignment="1">
      <alignment horizontal="left" vertical="center"/>
    </xf>
    <xf numFmtId="43" fontId="64" fillId="0" borderId="2" xfId="1" applyFont="1" applyFill="1" applyBorder="1" applyAlignment="1">
      <alignment vertical="center"/>
    </xf>
    <xf numFmtId="0" fontId="64" fillId="5" borderId="2" xfId="0" applyNumberFormat="1" applyFont="1" applyFill="1" applyBorder="1" applyAlignment="1">
      <alignment vertical="center"/>
    </xf>
    <xf numFmtId="0" fontId="64" fillId="5" borderId="2" xfId="0" applyNumberFormat="1" applyFont="1" applyFill="1" applyBorder="1" applyAlignment="1">
      <alignment horizontal="left" vertical="center"/>
    </xf>
    <xf numFmtId="43" fontId="64" fillId="5" borderId="2" xfId="1" applyFont="1" applyFill="1" applyBorder="1" applyAlignment="1">
      <alignment vertical="center"/>
    </xf>
    <xf numFmtId="0" fontId="33" fillId="0" borderId="2" xfId="0" applyNumberFormat="1" applyFont="1" applyFill="1" applyBorder="1" applyAlignment="1">
      <alignment horizontal="left" vertical="center" indent="1"/>
    </xf>
    <xf numFmtId="0" fontId="35" fillId="14" borderId="27" xfId="0" applyFont="1" applyFill="1" applyBorder="1" applyAlignment="1">
      <alignment vertical="center"/>
    </xf>
    <xf numFmtId="0" fontId="35" fillId="14" borderId="12" xfId="0" applyFont="1" applyFill="1" applyBorder="1" applyAlignment="1">
      <alignment vertical="center"/>
    </xf>
    <xf numFmtId="0" fontId="35" fillId="14" borderId="28" xfId="0" applyNumberFormat="1" applyFont="1" applyFill="1" applyBorder="1" applyAlignment="1">
      <alignment vertical="center"/>
    </xf>
    <xf numFmtId="43" fontId="35" fillId="14" borderId="14" xfId="1" applyFont="1" applyFill="1" applyBorder="1" applyAlignment="1">
      <alignment horizontal="center" vertical="center" wrapText="1"/>
    </xf>
    <xf numFmtId="0" fontId="49" fillId="0" borderId="2" xfId="0" applyNumberFormat="1" applyFont="1" applyFill="1" applyBorder="1" applyAlignment="1">
      <alignment vertical="center"/>
    </xf>
    <xf numFmtId="0" fontId="49" fillId="0" borderId="2" xfId="0" applyNumberFormat="1" applyFont="1" applyFill="1" applyBorder="1" applyAlignment="1">
      <alignment horizontal="left" vertical="center" indent="1"/>
    </xf>
    <xf numFmtId="0" fontId="64" fillId="0" borderId="2" xfId="1" applyNumberFormat="1" applyFont="1" applyFill="1" applyBorder="1" applyAlignment="1">
      <alignment horizontal="left" vertical="center"/>
    </xf>
    <xf numFmtId="43" fontId="67" fillId="15" borderId="13" xfId="0" applyNumberFormat="1" applyFont="1" applyFill="1" applyBorder="1" applyAlignment="1">
      <alignment vertical="center"/>
    </xf>
    <xf numFmtId="0" fontId="33" fillId="0" borderId="2" xfId="0" applyFont="1" applyFill="1" applyBorder="1" applyAlignment="1">
      <alignment vertical="center"/>
    </xf>
    <xf numFmtId="0" fontId="33" fillId="0" borderId="2" xfId="0" applyFont="1" applyFill="1" applyBorder="1" applyAlignment="1">
      <alignment horizontal="left" vertical="center" wrapText="1" indent="2"/>
    </xf>
    <xf numFmtId="0" fontId="33" fillId="0" borderId="2" xfId="0" applyFont="1" applyFill="1" applyBorder="1" applyAlignment="1">
      <alignment horizontal="left" vertical="center" indent="1"/>
    </xf>
    <xf numFmtId="0" fontId="33" fillId="0" borderId="2" xfId="0" applyNumberFormat="1" applyFont="1" applyFill="1" applyBorder="1" applyAlignment="1">
      <alignment horizontal="left" vertical="center" indent="2"/>
    </xf>
    <xf numFmtId="0" fontId="64" fillId="0" borderId="2" xfId="0" applyFont="1" applyFill="1" applyBorder="1" applyAlignment="1">
      <alignment vertical="center"/>
    </xf>
    <xf numFmtId="0" fontId="33" fillId="0" borderId="2" xfId="0" applyNumberFormat="1" applyFont="1" applyFill="1" applyBorder="1" applyAlignment="1">
      <alignment horizontal="left" vertical="center"/>
    </xf>
    <xf numFmtId="0" fontId="33" fillId="0" borderId="2" xfId="0" applyNumberFormat="1" applyFont="1" applyFill="1" applyBorder="1" applyAlignment="1">
      <alignment horizontal="left" vertical="center" wrapText="1" indent="1"/>
    </xf>
    <xf numFmtId="0" fontId="33" fillId="0" borderId="2" xfId="0" applyNumberFormat="1" applyFont="1" applyFill="1" applyBorder="1" applyAlignment="1">
      <alignment vertical="center" wrapText="1"/>
    </xf>
    <xf numFmtId="0" fontId="63" fillId="0" borderId="2" xfId="0" applyFont="1" applyFill="1" applyBorder="1" applyAlignment="1">
      <alignment vertical="center"/>
    </xf>
    <xf numFmtId="0" fontId="63" fillId="0" borderId="2" xfId="0" quotePrefix="1" applyFont="1" applyFill="1" applyBorder="1" applyAlignment="1">
      <alignment horizontal="right" vertical="center"/>
    </xf>
    <xf numFmtId="0" fontId="101" fillId="0" borderId="2" xfId="0" applyFont="1" applyFill="1" applyBorder="1" applyAlignment="1">
      <alignment vertical="center"/>
    </xf>
    <xf numFmtId="0" fontId="70" fillId="0" borderId="2" xfId="0" applyFont="1" applyFill="1" applyBorder="1" applyAlignment="1">
      <alignment vertical="center"/>
    </xf>
    <xf numFmtId="43" fontId="63" fillId="0" borderId="2" xfId="1" applyFont="1" applyFill="1" applyBorder="1" applyAlignment="1">
      <alignment vertical="center"/>
    </xf>
    <xf numFmtId="0" fontId="33" fillId="0" borderId="2" xfId="0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left" vertical="center" wrapText="1"/>
    </xf>
    <xf numFmtId="0" fontId="33" fillId="0" borderId="2" xfId="0" applyNumberFormat="1" applyFont="1" applyFill="1" applyBorder="1" applyAlignment="1">
      <alignment horizontal="left" vertical="center" wrapText="1"/>
    </xf>
    <xf numFmtId="0" fontId="63" fillId="0" borderId="2" xfId="0" applyNumberFormat="1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right" vertical="center"/>
    </xf>
    <xf numFmtId="0" fontId="33" fillId="0" borderId="2" xfId="0" quotePrefix="1" applyFont="1" applyFill="1" applyBorder="1" applyAlignment="1">
      <alignment horizontal="right" vertical="center"/>
    </xf>
    <xf numFmtId="0" fontId="70" fillId="0" borderId="2" xfId="0" applyFont="1" applyFill="1" applyBorder="1" applyAlignment="1">
      <alignment horizontal="left" vertical="center"/>
    </xf>
    <xf numFmtId="0" fontId="70" fillId="0" borderId="2" xfId="0" applyNumberFormat="1" applyFont="1" applyFill="1" applyBorder="1" applyAlignment="1">
      <alignment vertical="center" wrapText="1"/>
    </xf>
    <xf numFmtId="43" fontId="70" fillId="0" borderId="2" xfId="1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vertical="center"/>
    </xf>
    <xf numFmtId="0" fontId="61" fillId="0" borderId="2" xfId="0" quotePrefix="1" applyFont="1" applyFill="1" applyBorder="1" applyAlignment="1">
      <alignment horizontal="right" vertical="center"/>
    </xf>
    <xf numFmtId="43" fontId="61" fillId="0" borderId="2" xfId="1" applyFont="1" applyFill="1" applyBorder="1" applyAlignment="1">
      <alignment vertical="center"/>
    </xf>
    <xf numFmtId="43" fontId="61" fillId="0" borderId="2" xfId="1" applyFont="1" applyFill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right" vertical="center"/>
    </xf>
    <xf numFmtId="43" fontId="6" fillId="0" borderId="2" xfId="1" applyFont="1" applyFill="1" applyBorder="1" applyAlignment="1">
      <alignment vertical="center"/>
    </xf>
    <xf numFmtId="43" fontId="6" fillId="0" borderId="2" xfId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81" fillId="0" borderId="2" xfId="0" applyFont="1" applyFill="1" applyBorder="1" applyAlignment="1">
      <alignment vertical="center"/>
    </xf>
    <xf numFmtId="43" fontId="81" fillId="0" borderId="2" xfId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left" vertical="center"/>
    </xf>
    <xf numFmtId="0" fontId="81" fillId="0" borderId="2" xfId="0" applyNumberFormat="1" applyFont="1" applyFill="1" applyBorder="1" applyAlignment="1">
      <alignment horizontal="left" vertical="center"/>
    </xf>
    <xf numFmtId="0" fontId="102" fillId="0" borderId="2" xfId="0" applyFont="1" applyFill="1" applyBorder="1" applyAlignment="1">
      <alignment vertical="center"/>
    </xf>
    <xf numFmtId="0" fontId="6" fillId="0" borderId="2" xfId="0" applyNumberFormat="1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left" vertical="center" wrapText="1"/>
    </xf>
    <xf numFmtId="0" fontId="67" fillId="0" borderId="6" xfId="0" applyFont="1" applyFill="1" applyBorder="1" applyAlignment="1">
      <alignment horizontal="left" vertical="center" wrapText="1"/>
    </xf>
    <xf numFmtId="0" fontId="67" fillId="0" borderId="7" xfId="0" applyNumberFormat="1" applyFont="1" applyFill="1" applyBorder="1" applyAlignment="1">
      <alignment horizontal="left" vertical="center" wrapText="1"/>
    </xf>
    <xf numFmtId="43" fontId="67" fillId="0" borderId="2" xfId="1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vertical="center"/>
    </xf>
    <xf numFmtId="0" fontId="64" fillId="0" borderId="6" xfId="0" applyFont="1" applyFill="1" applyBorder="1" applyAlignment="1">
      <alignment vertical="center"/>
    </xf>
    <xf numFmtId="0" fontId="64" fillId="0" borderId="7" xfId="0" applyNumberFormat="1" applyFont="1" applyFill="1" applyBorder="1" applyAlignment="1">
      <alignment horizontal="left" vertical="center"/>
    </xf>
    <xf numFmtId="43" fontId="35" fillId="0" borderId="2" xfId="0" applyNumberFormat="1" applyFont="1" applyFill="1" applyBorder="1" applyAlignment="1">
      <alignment vertical="center"/>
    </xf>
    <xf numFmtId="0" fontId="64" fillId="5" borderId="2" xfId="0" applyNumberFormat="1" applyFont="1" applyFill="1" applyBorder="1" applyAlignment="1">
      <alignment horizontal="left" vertical="center" indent="1"/>
    </xf>
    <xf numFmtId="43" fontId="64" fillId="5" borderId="2" xfId="0" applyNumberFormat="1" applyFont="1" applyFill="1" applyBorder="1" applyAlignment="1">
      <alignment vertical="center"/>
    </xf>
    <xf numFmtId="0" fontId="64" fillId="5" borderId="2" xfId="0" applyFont="1" applyFill="1" applyBorder="1" applyAlignment="1">
      <alignment vertical="center"/>
    </xf>
    <xf numFmtId="0" fontId="64" fillId="0" borderId="2" xfId="0" applyFont="1" applyFill="1" applyBorder="1" applyAlignment="1">
      <alignment horizontal="left" vertical="center"/>
    </xf>
    <xf numFmtId="0" fontId="100" fillId="0" borderId="3" xfId="0" applyFont="1" applyFill="1" applyBorder="1" applyAlignment="1">
      <alignment vertical="center"/>
    </xf>
    <xf numFmtId="0" fontId="94" fillId="0" borderId="6" xfId="0" applyFont="1" applyFill="1" applyBorder="1" applyAlignment="1">
      <alignment vertical="center"/>
    </xf>
    <xf numFmtId="0" fontId="94" fillId="0" borderId="7" xfId="0" applyNumberFormat="1" applyFont="1" applyFill="1" applyBorder="1" applyAlignment="1">
      <alignment vertical="center"/>
    </xf>
    <xf numFmtId="43" fontId="75" fillId="0" borderId="2" xfId="1" applyFont="1" applyFill="1" applyBorder="1" applyAlignment="1">
      <alignment horizontal="center" vertical="center"/>
    </xf>
    <xf numFmtId="0" fontId="83" fillId="0" borderId="2" xfId="0" applyFont="1" applyFill="1" applyBorder="1" applyAlignment="1">
      <alignment vertical="center"/>
    </xf>
    <xf numFmtId="0" fontId="33" fillId="0" borderId="2" xfId="0" applyFont="1" applyFill="1" applyBorder="1" applyAlignment="1">
      <alignment horizontal="left" vertical="center"/>
    </xf>
    <xf numFmtId="43" fontId="50" fillId="0" borderId="0" xfId="1" applyFont="1" applyFill="1" applyBorder="1" applyAlignment="1">
      <alignment vertical="center" wrapText="1"/>
    </xf>
    <xf numFmtId="43" fontId="33" fillId="0" borderId="0" xfId="1" applyFont="1" applyFill="1" applyAlignment="1">
      <alignment horizontal="left" vertical="center" indent="1"/>
    </xf>
    <xf numFmtId="43" fontId="46" fillId="0" borderId="0" xfId="1" applyFont="1" applyFill="1" applyBorder="1" applyAlignment="1">
      <alignment horizontal="left" vertical="center" indent="1"/>
    </xf>
    <xf numFmtId="43" fontId="34" fillId="0" borderId="0" xfId="1" applyFont="1" applyFill="1" applyBorder="1" applyAlignment="1">
      <alignment horizontal="left" vertical="center" indent="1"/>
    </xf>
    <xf numFmtId="0" fontId="35" fillId="0" borderId="0" xfId="0" applyNumberFormat="1" applyFont="1" applyFill="1" applyAlignment="1">
      <alignment vertical="center"/>
    </xf>
    <xf numFmtId="0" fontId="33" fillId="0" borderId="0" xfId="0" applyNumberFormat="1" applyFont="1" applyFill="1" applyAlignment="1">
      <alignment vertical="center"/>
    </xf>
    <xf numFmtId="0" fontId="35" fillId="0" borderId="0" xfId="1" applyNumberFormat="1" applyFont="1" applyFill="1" applyAlignment="1">
      <alignment horizontal="left" vertical="center" indent="2"/>
    </xf>
    <xf numFmtId="0" fontId="35" fillId="0" borderId="0" xfId="0" applyFont="1" applyFill="1" applyAlignment="1">
      <alignment horizontal="left" vertical="center" indent="2"/>
    </xf>
    <xf numFmtId="0" fontId="35" fillId="12" borderId="0" xfId="0" applyFont="1" applyFill="1" applyAlignment="1">
      <alignment vertical="center"/>
    </xf>
    <xf numFmtId="9" fontId="36" fillId="0" borderId="2" xfId="2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/>
    </xf>
    <xf numFmtId="9" fontId="66" fillId="0" borderId="2" xfId="2" applyNumberFormat="1" applyFont="1" applyFill="1" applyBorder="1" applyAlignment="1">
      <alignment horizontal="center" vertical="center"/>
    </xf>
    <xf numFmtId="9" fontId="33" fillId="15" borderId="2" xfId="2" applyNumberFormat="1" applyFont="1" applyFill="1" applyBorder="1" applyAlignment="1">
      <alignment horizontal="center" vertical="center"/>
    </xf>
    <xf numFmtId="9" fontId="33" fillId="8" borderId="2" xfId="2" applyNumberFormat="1" applyFont="1" applyFill="1" applyBorder="1" applyAlignment="1">
      <alignment horizontal="center" vertical="center"/>
    </xf>
    <xf numFmtId="9" fontId="49" fillId="0" borderId="2" xfId="2" applyNumberFormat="1" applyFont="1" applyFill="1" applyBorder="1" applyAlignment="1">
      <alignment horizontal="center" vertical="center"/>
    </xf>
    <xf numFmtId="0" fontId="65" fillId="12" borderId="0" xfId="0" applyFont="1" applyFill="1" applyAlignment="1">
      <alignment vertical="center"/>
    </xf>
    <xf numFmtId="0" fontId="52" fillId="4" borderId="0" xfId="0" applyFont="1" applyFill="1" applyBorder="1" applyAlignment="1">
      <alignment horizontal="fill" vertical="center"/>
    </xf>
    <xf numFmtId="0" fontId="33" fillId="4" borderId="2" xfId="0" applyNumberFormat="1" applyFont="1" applyFill="1" applyBorder="1" applyAlignment="1">
      <alignment vertical="center"/>
    </xf>
    <xf numFmtId="9" fontId="33" fillId="4" borderId="2" xfId="2" applyNumberFormat="1" applyFont="1" applyFill="1" applyBorder="1" applyAlignment="1">
      <alignment horizontal="center" vertical="center"/>
    </xf>
    <xf numFmtId="9" fontId="36" fillId="4" borderId="2" xfId="2" applyFont="1" applyFill="1" applyBorder="1" applyAlignment="1">
      <alignment horizontal="center" vertical="center"/>
    </xf>
    <xf numFmtId="9" fontId="65" fillId="4" borderId="2" xfId="2" applyNumberFormat="1" applyFont="1" applyFill="1" applyBorder="1" applyAlignment="1">
      <alignment horizontal="center" vertical="center"/>
    </xf>
    <xf numFmtId="9" fontId="36" fillId="5" borderId="2" xfId="2" applyNumberFormat="1" applyFont="1" applyFill="1" applyBorder="1" applyAlignment="1">
      <alignment horizontal="center" vertical="center"/>
    </xf>
    <xf numFmtId="9" fontId="74" fillId="0" borderId="2" xfId="2" applyNumberFormat="1" applyFont="1" applyFill="1" applyBorder="1" applyAlignment="1">
      <alignment horizontal="center" vertical="center"/>
    </xf>
    <xf numFmtId="9" fontId="33" fillId="5" borderId="2" xfId="2" applyNumberFormat="1" applyFont="1" applyFill="1" applyBorder="1" applyAlignment="1">
      <alignment horizontal="center" vertical="center"/>
    </xf>
    <xf numFmtId="9" fontId="73" fillId="0" borderId="2" xfId="2" applyNumberFormat="1" applyFont="1" applyFill="1" applyBorder="1" applyAlignment="1">
      <alignment horizontal="center" vertical="center"/>
    </xf>
    <xf numFmtId="9" fontId="33" fillId="11" borderId="2" xfId="2" applyNumberFormat="1" applyFont="1" applyFill="1" applyBorder="1" applyAlignment="1">
      <alignment horizontal="center" vertical="center"/>
    </xf>
    <xf numFmtId="0" fontId="5" fillId="12" borderId="0" xfId="0" applyFont="1" applyFill="1" applyAlignment="1">
      <alignment vertical="center"/>
    </xf>
    <xf numFmtId="9" fontId="78" fillId="0" borderId="2" xfId="2" applyNumberFormat="1" applyFont="1" applyFill="1" applyBorder="1" applyAlignment="1">
      <alignment horizontal="center" vertical="center"/>
    </xf>
    <xf numFmtId="9" fontId="66" fillId="5" borderId="2" xfId="2" applyNumberFormat="1" applyFont="1" applyFill="1" applyBorder="1" applyAlignment="1">
      <alignment horizontal="center" vertical="center"/>
    </xf>
    <xf numFmtId="43" fontId="90" fillId="0" borderId="0" xfId="4" applyFont="1" applyFill="1" applyBorder="1" applyAlignment="1">
      <alignment horizontal="left" vertical="center"/>
    </xf>
    <xf numFmtId="43" fontId="91" fillId="0" borderId="0" xfId="4" applyFont="1" applyFill="1" applyBorder="1" applyAlignment="1">
      <alignment horizontal="left" vertical="center"/>
    </xf>
    <xf numFmtId="0" fontId="36" fillId="0" borderId="0" xfId="0" applyNumberFormat="1" applyFont="1" applyFill="1" applyBorder="1" applyAlignment="1">
      <alignment horizontal="left" vertical="center" indent="1"/>
    </xf>
    <xf numFmtId="43" fontId="52" fillId="0" borderId="0" xfId="0" applyNumberFormat="1" applyFont="1" applyFill="1" applyAlignment="1">
      <alignment vertical="center"/>
    </xf>
    <xf numFmtId="0" fontId="33" fillId="0" borderId="0" xfId="0" applyNumberFormat="1" applyFont="1" applyFill="1" applyAlignment="1">
      <alignment horizontal="left" vertical="center" indent="2"/>
    </xf>
    <xf numFmtId="0" fontId="36" fillId="0" borderId="8" xfId="0" applyFont="1" applyFill="1" applyBorder="1" applyAlignment="1">
      <alignment vertical="center"/>
    </xf>
    <xf numFmtId="9" fontId="44" fillId="15" borderId="2" xfId="2" applyNumberFormat="1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fill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left" vertical="center" indent="1"/>
    </xf>
    <xf numFmtId="0" fontId="64" fillId="4" borderId="2" xfId="0" applyFont="1" applyFill="1" applyBorder="1" applyAlignment="1">
      <alignment vertical="center"/>
    </xf>
    <xf numFmtId="0" fontId="63" fillId="4" borderId="2" xfId="0" quotePrefix="1" applyFont="1" applyFill="1" applyBorder="1" applyAlignment="1">
      <alignment horizontal="right" vertical="center"/>
    </xf>
    <xf numFmtId="9" fontId="62" fillId="4" borderId="2" xfId="2" applyNumberFormat="1" applyFont="1" applyFill="1" applyBorder="1" applyAlignment="1">
      <alignment horizontal="center" vertical="center"/>
    </xf>
    <xf numFmtId="43" fontId="39" fillId="0" borderId="0" xfId="1" applyFont="1" applyFill="1" applyAlignment="1">
      <alignment horizontal="left" vertical="center" indent="1"/>
    </xf>
    <xf numFmtId="0" fontId="39" fillId="0" borderId="0" xfId="1" applyNumberFormat="1" applyFont="1" applyFill="1" applyAlignment="1">
      <alignment horizontal="left" vertical="center" indent="1"/>
    </xf>
    <xf numFmtId="43" fontId="103" fillId="0" borderId="0" xfId="1" applyFont="1" applyFill="1" applyAlignment="1">
      <alignment vertical="center"/>
    </xf>
    <xf numFmtId="0" fontId="33" fillId="0" borderId="0" xfId="0" quotePrefix="1" applyFont="1" applyFill="1" applyBorder="1" applyAlignment="1">
      <alignment vertical="center"/>
    </xf>
    <xf numFmtId="0" fontId="33" fillId="0" borderId="0" xfId="1" applyNumberFormat="1" applyFont="1" applyFill="1" applyAlignment="1">
      <alignment horizontal="left" vertical="center" indent="1"/>
    </xf>
    <xf numFmtId="0" fontId="52" fillId="0" borderId="0" xfId="0" applyFont="1" applyFill="1" applyAlignment="1">
      <alignment horizontal="left" vertical="center"/>
    </xf>
    <xf numFmtId="0" fontId="104" fillId="0" borderId="0" xfId="0" applyFont="1" applyFill="1" applyBorder="1" applyAlignment="1">
      <alignment vertical="center"/>
    </xf>
    <xf numFmtId="0" fontId="80" fillId="0" borderId="0" xfId="0" applyFont="1" applyFill="1" applyAlignment="1">
      <alignment horizontal="left" vertical="center"/>
    </xf>
    <xf numFmtId="0" fontId="59" fillId="0" borderId="0" xfId="0" applyNumberFormat="1" applyFont="1" applyFill="1" applyAlignment="1">
      <alignment horizontal="left" vertical="center" indent="11"/>
    </xf>
    <xf numFmtId="43" fontId="59" fillId="0" borderId="0" xfId="0" applyNumberFormat="1" applyFont="1" applyFill="1" applyAlignment="1">
      <alignment vertical="center"/>
    </xf>
    <xf numFmtId="10" fontId="105" fillId="0" borderId="2" xfId="2" applyNumberFormat="1" applyFont="1" applyBorder="1" applyAlignment="1">
      <alignment horizontal="center" vertical="center"/>
    </xf>
    <xf numFmtId="9" fontId="4" fillId="0" borderId="0" xfId="2" applyFont="1"/>
    <xf numFmtId="43" fontId="2" fillId="0" borderId="2" xfId="1" applyFont="1" applyBorder="1" applyAlignment="1" applyProtection="1">
      <alignment horizontal="left"/>
    </xf>
    <xf numFmtId="43" fontId="2" fillId="0" borderId="3" xfId="1" applyFont="1" applyBorder="1" applyAlignment="1" applyProtection="1">
      <alignment horizontal="left"/>
    </xf>
    <xf numFmtId="43" fontId="2" fillId="0" borderId="13" xfId="1" applyFont="1" applyBorder="1"/>
    <xf numFmtId="43" fontId="3" fillId="0" borderId="20" xfId="1" applyFont="1" applyBorder="1"/>
    <xf numFmtId="43" fontId="3" fillId="0" borderId="22" xfId="1" applyFont="1" applyBorder="1"/>
    <xf numFmtId="0" fontId="0" fillId="0" borderId="0" xfId="0" applyBorder="1"/>
    <xf numFmtId="43" fontId="2" fillId="0" borderId="0" xfId="1" applyFont="1" applyBorder="1"/>
    <xf numFmtId="43" fontId="30" fillId="0" borderId="0" xfId="1" applyFont="1" applyBorder="1"/>
    <xf numFmtId="43" fontId="30" fillId="0" borderId="0" xfId="1" applyFont="1"/>
    <xf numFmtId="0" fontId="20" fillId="0" borderId="2" xfId="0" applyFont="1" applyFill="1" applyBorder="1"/>
    <xf numFmtId="0" fontId="20" fillId="0" borderId="2" xfId="0" applyFont="1" applyFill="1" applyBorder="1" applyAlignment="1">
      <alignment vertical="center"/>
    </xf>
    <xf numFmtId="0" fontId="10" fillId="0" borderId="2" xfId="0" applyFont="1" applyFill="1" applyBorder="1"/>
    <xf numFmtId="0" fontId="107" fillId="0" borderId="0" xfId="0" applyFont="1" applyAlignment="1">
      <alignment vertical="center"/>
    </xf>
    <xf numFmtId="43" fontId="109" fillId="0" borderId="2" xfId="0" applyNumberFormat="1" applyFont="1" applyBorder="1" applyAlignment="1">
      <alignment vertical="center"/>
    </xf>
    <xf numFmtId="0" fontId="22" fillId="0" borderId="2" xfId="0" applyFont="1" applyFill="1" applyBorder="1" applyAlignment="1">
      <alignment horizontal="left" vertical="center" indent="1"/>
    </xf>
    <xf numFmtId="43" fontId="108" fillId="0" borderId="2" xfId="1" applyFont="1" applyBorder="1" applyAlignment="1">
      <alignment horizontal="left" vertical="center" wrapText="1" indent="2"/>
    </xf>
    <xf numFmtId="0" fontId="18" fillId="0" borderId="2" xfId="0" applyFont="1" applyFill="1" applyBorder="1" applyAlignment="1">
      <alignment horizontal="left" indent="1"/>
    </xf>
    <xf numFmtId="0" fontId="0" fillId="0" borderId="0" xfId="0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14" fillId="0" borderId="0" xfId="0" applyFont="1" applyAlignment="1">
      <alignment horizontal="right" vertical="center"/>
    </xf>
    <xf numFmtId="43" fontId="50" fillId="0" borderId="2" xfId="1" applyFont="1" applyFill="1" applyBorder="1" applyAlignment="1">
      <alignment vertical="center" wrapText="1"/>
    </xf>
    <xf numFmtId="0" fontId="22" fillId="0" borderId="2" xfId="0" applyFont="1" applyFill="1" applyBorder="1" applyAlignment="1">
      <alignment horizontal="left" vertical="center" indent="2"/>
    </xf>
    <xf numFmtId="0" fontId="26" fillId="0" borderId="2" xfId="0" applyFont="1" applyFill="1" applyBorder="1" applyAlignment="1">
      <alignment horizontal="left" vertical="center" indent="2"/>
    </xf>
    <xf numFmtId="0" fontId="26" fillId="0" borderId="2" xfId="0" applyFont="1" applyFill="1" applyBorder="1" applyAlignment="1">
      <alignment horizontal="left" indent="2"/>
    </xf>
    <xf numFmtId="0" fontId="20" fillId="0" borderId="2" xfId="0" applyFont="1" applyBorder="1"/>
    <xf numFmtId="0" fontId="22" fillId="0" borderId="2" xfId="0" applyFont="1" applyBorder="1" applyAlignment="1">
      <alignment horizontal="left" vertical="center" indent="1"/>
    </xf>
    <xf numFmtId="0" fontId="26" fillId="0" borderId="2" xfId="0" applyFont="1" applyBorder="1" applyAlignment="1">
      <alignment horizontal="left" vertical="center" indent="1"/>
    </xf>
    <xf numFmtId="9" fontId="23" fillId="0" borderId="2" xfId="2" applyFont="1" applyBorder="1" applyAlignment="1">
      <alignment vertical="center"/>
    </xf>
    <xf numFmtId="9" fontId="15" fillId="3" borderId="2" xfId="2" applyFont="1" applyFill="1" applyBorder="1" applyAlignment="1">
      <alignment horizontal="center" vertical="center"/>
    </xf>
    <xf numFmtId="9" fontId="15" fillId="0" borderId="2" xfId="2" applyFont="1" applyBorder="1" applyAlignment="1">
      <alignment horizontal="center" vertical="center"/>
    </xf>
    <xf numFmtId="9" fontId="105" fillId="3" borderId="2" xfId="2" applyFont="1" applyFill="1" applyBorder="1" applyAlignment="1">
      <alignment horizontal="center" vertical="center"/>
    </xf>
    <xf numFmtId="9" fontId="21" fillId="3" borderId="2" xfId="2" applyFont="1" applyFill="1" applyBorder="1" applyAlignment="1">
      <alignment horizontal="center" vertical="center"/>
    </xf>
    <xf numFmtId="9" fontId="23" fillId="0" borderId="2" xfId="2" applyFont="1" applyBorder="1" applyAlignment="1">
      <alignment horizontal="center" vertical="center"/>
    </xf>
    <xf numFmtId="9" fontId="109" fillId="0" borderId="2" xfId="2" applyFont="1" applyBorder="1" applyAlignment="1">
      <alignment horizontal="center" vertical="center"/>
    </xf>
    <xf numFmtId="9" fontId="19" fillId="0" borderId="2" xfId="2" applyFont="1" applyBorder="1" applyAlignment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9" fontId="110" fillId="3" borderId="2" xfId="2" applyFont="1" applyFill="1" applyBorder="1" applyAlignment="1">
      <alignment horizontal="center" vertical="center"/>
    </xf>
    <xf numFmtId="0" fontId="111" fillId="0" borderId="0" xfId="0" applyFont="1" applyAlignment="1">
      <alignment vertical="center"/>
    </xf>
    <xf numFmtId="9" fontId="112" fillId="3" borderId="2" xfId="2" applyFont="1" applyFill="1" applyBorder="1" applyAlignment="1">
      <alignment horizontal="center" vertical="center"/>
    </xf>
    <xf numFmtId="0" fontId="113" fillId="0" borderId="0" xfId="0" applyFont="1" applyAlignment="1">
      <alignment vertical="center"/>
    </xf>
    <xf numFmtId="0" fontId="33" fillId="13" borderId="0" xfId="0" applyFont="1" applyFill="1" applyAlignment="1">
      <alignment vertical="center"/>
    </xf>
    <xf numFmtId="12" fontId="33" fillId="0" borderId="0" xfId="1" applyNumberFormat="1" applyFont="1" applyFill="1" applyAlignment="1">
      <alignment vertical="center"/>
    </xf>
    <xf numFmtId="0" fontId="35" fillId="13" borderId="0" xfId="0" applyFont="1" applyFill="1" applyAlignment="1">
      <alignment vertical="center"/>
    </xf>
    <xf numFmtId="0" fontId="35" fillId="0" borderId="0" xfId="0" applyNumberFormat="1" applyFont="1" applyFill="1" applyBorder="1" applyAlignment="1">
      <alignment vertical="center"/>
    </xf>
    <xf numFmtId="0" fontId="33" fillId="0" borderId="0" xfId="0" applyNumberFormat="1" applyFont="1" applyFill="1" applyBorder="1" applyAlignment="1">
      <alignment vertical="center"/>
    </xf>
    <xf numFmtId="0" fontId="35" fillId="0" borderId="0" xfId="1" applyNumberFormat="1" applyFont="1" applyFill="1" applyBorder="1" applyAlignment="1">
      <alignment horizontal="left" vertical="center" indent="2"/>
    </xf>
    <xf numFmtId="0" fontId="33" fillId="0" borderId="8" xfId="0" applyFont="1" applyFill="1" applyBorder="1" applyAlignment="1">
      <alignment vertical="center"/>
    </xf>
    <xf numFmtId="0" fontId="35" fillId="14" borderId="9" xfId="0" applyNumberFormat="1" applyFont="1" applyFill="1" applyBorder="1" applyAlignment="1">
      <alignment vertical="center"/>
    </xf>
    <xf numFmtId="0" fontId="35" fillId="14" borderId="10" xfId="0" applyNumberFormat="1" applyFont="1" applyFill="1" applyBorder="1" applyAlignment="1">
      <alignment vertical="center"/>
    </xf>
    <xf numFmtId="0" fontId="35" fillId="14" borderId="11" xfId="0" applyNumberFormat="1" applyFont="1" applyFill="1" applyBorder="1" applyAlignment="1">
      <alignment horizontal="left" vertical="center" indent="2"/>
    </xf>
    <xf numFmtId="43" fontId="35" fillId="14" borderId="0" xfId="1" applyFont="1" applyFill="1" applyBorder="1" applyAlignment="1">
      <alignment vertical="center"/>
    </xf>
    <xf numFmtId="0" fontId="35" fillId="14" borderId="27" xfId="0" applyNumberFormat="1" applyFont="1" applyFill="1" applyBorder="1" applyAlignment="1">
      <alignment vertical="center"/>
    </xf>
    <xf numFmtId="0" fontId="35" fillId="14" borderId="12" xfId="0" applyNumberFormat="1" applyFont="1" applyFill="1" applyBorder="1" applyAlignment="1">
      <alignment vertical="center"/>
    </xf>
    <xf numFmtId="0" fontId="35" fillId="14" borderId="28" xfId="0" applyNumberFormat="1" applyFont="1" applyFill="1" applyBorder="1" applyAlignment="1">
      <alignment horizontal="left" vertical="center" indent="2"/>
    </xf>
    <xf numFmtId="43" fontId="35" fillId="14" borderId="13" xfId="1" applyFont="1" applyFill="1" applyBorder="1" applyAlignment="1">
      <alignment horizontal="center" vertical="center" wrapText="1"/>
    </xf>
    <xf numFmtId="43" fontId="35" fillId="14" borderId="12" xfId="1" applyFont="1" applyFill="1" applyBorder="1" applyAlignment="1">
      <alignment horizontal="center" vertical="center"/>
    </xf>
    <xf numFmtId="0" fontId="36" fillId="13" borderId="0" xfId="0" applyFont="1" applyFill="1" applyAlignment="1">
      <alignment vertical="center"/>
    </xf>
    <xf numFmtId="43" fontId="62" fillId="0" borderId="0" xfId="1" applyFont="1" applyFill="1" applyAlignment="1">
      <alignment vertical="center"/>
    </xf>
    <xf numFmtId="0" fontId="64" fillId="13" borderId="0" xfId="0" applyFont="1" applyFill="1" applyAlignment="1">
      <alignment vertical="center"/>
    </xf>
    <xf numFmtId="0" fontId="65" fillId="13" borderId="0" xfId="0" applyFont="1" applyFill="1" applyAlignment="1">
      <alignment vertical="center"/>
    </xf>
    <xf numFmtId="0" fontId="114" fillId="0" borderId="0" xfId="0" applyFont="1" applyFill="1" applyBorder="1" applyAlignment="1">
      <alignment horizontal="fill" vertical="center"/>
    </xf>
    <xf numFmtId="0" fontId="66" fillId="0" borderId="2" xfId="0" applyNumberFormat="1" applyFont="1" applyFill="1" applyBorder="1" applyAlignment="1">
      <alignment vertical="center"/>
    </xf>
    <xf numFmtId="0" fontId="66" fillId="0" borderId="2" xfId="0" applyNumberFormat="1" applyFont="1" applyFill="1" applyBorder="1" applyAlignment="1">
      <alignment horizontal="left" vertical="center" indent="1"/>
    </xf>
    <xf numFmtId="43" fontId="66" fillId="0" borderId="2" xfId="1" applyFont="1" applyFill="1" applyBorder="1" applyAlignment="1">
      <alignment horizontal="center" vertical="center"/>
    </xf>
    <xf numFmtId="43" fontId="66" fillId="0" borderId="0" xfId="1" applyFont="1" applyFill="1" applyAlignment="1">
      <alignment vertical="center"/>
    </xf>
    <xf numFmtId="0" fontId="66" fillId="13" borderId="0" xfId="0" applyFont="1" applyFill="1" applyAlignment="1">
      <alignment vertical="center"/>
    </xf>
    <xf numFmtId="0" fontId="66" fillId="4" borderId="0" xfId="0" applyFont="1" applyFill="1" applyAlignment="1">
      <alignment vertical="center"/>
    </xf>
    <xf numFmtId="0" fontId="6" fillId="13" borderId="0" xfId="0" applyFont="1" applyFill="1" applyAlignment="1">
      <alignment vertical="center"/>
    </xf>
    <xf numFmtId="43" fontId="35" fillId="15" borderId="0" xfId="1" applyFont="1" applyFill="1" applyBorder="1" applyAlignment="1">
      <alignment vertical="center"/>
    </xf>
    <xf numFmtId="43" fontId="40" fillId="0" borderId="0" xfId="1" applyFont="1" applyFill="1" applyBorder="1" applyAlignment="1">
      <alignment vertical="center"/>
    </xf>
    <xf numFmtId="43" fontId="64" fillId="0" borderId="0" xfId="1" applyFont="1" applyFill="1" applyAlignment="1">
      <alignment vertical="center"/>
    </xf>
    <xf numFmtId="43" fontId="35" fillId="8" borderId="0" xfId="1" applyFont="1" applyFill="1" applyBorder="1" applyAlignment="1">
      <alignment vertical="center"/>
    </xf>
    <xf numFmtId="0" fontId="67" fillId="8" borderId="0" xfId="0" applyFont="1" applyFill="1" applyAlignment="1">
      <alignment vertical="center"/>
    </xf>
    <xf numFmtId="0" fontId="33" fillId="4" borderId="1" xfId="0" applyNumberFormat="1" applyFont="1" applyFill="1" applyBorder="1" applyAlignment="1">
      <alignment vertical="center"/>
    </xf>
    <xf numFmtId="43" fontId="36" fillId="4" borderId="2" xfId="1" applyFont="1" applyFill="1" applyBorder="1" applyAlignment="1">
      <alignment horizontal="center" vertical="center"/>
    </xf>
    <xf numFmtId="0" fontId="49" fillId="4" borderId="2" xfId="0" applyNumberFormat="1" applyFont="1" applyFill="1" applyBorder="1" applyAlignment="1">
      <alignment horizontal="left" vertical="center"/>
    </xf>
    <xf numFmtId="9" fontId="40" fillId="4" borderId="2" xfId="2" applyFont="1" applyFill="1" applyBorder="1" applyAlignment="1">
      <alignment horizontal="center" vertical="center"/>
    </xf>
    <xf numFmtId="0" fontId="36" fillId="4" borderId="2" xfId="0" applyNumberFormat="1" applyFont="1" applyFill="1" applyBorder="1" applyAlignment="1">
      <alignment vertical="center"/>
    </xf>
    <xf numFmtId="0" fontId="36" fillId="4" borderId="2" xfId="0" applyFont="1" applyFill="1" applyBorder="1" applyAlignment="1">
      <alignment vertical="center" wrapText="1"/>
    </xf>
    <xf numFmtId="0" fontId="36" fillId="4" borderId="2" xfId="1" applyNumberFormat="1" applyFont="1" applyFill="1" applyBorder="1" applyAlignment="1">
      <alignment horizontal="left" vertical="center"/>
    </xf>
    <xf numFmtId="0" fontId="64" fillId="4" borderId="2" xfId="0" applyNumberFormat="1" applyFont="1" applyFill="1" applyBorder="1" applyAlignment="1">
      <alignment vertical="center"/>
    </xf>
    <xf numFmtId="0" fontId="40" fillId="4" borderId="2" xfId="0" applyNumberFormat="1" applyFont="1" applyFill="1" applyBorder="1" applyAlignment="1">
      <alignment vertical="center"/>
    </xf>
    <xf numFmtId="43" fontId="35" fillId="15" borderId="2" xfId="1" applyFont="1" applyFill="1" applyBorder="1" applyAlignment="1">
      <alignment horizontal="center" vertical="center"/>
    </xf>
    <xf numFmtId="43" fontId="35" fillId="15" borderId="0" xfId="1" applyFont="1" applyFill="1" applyAlignment="1">
      <alignment vertical="center"/>
    </xf>
    <xf numFmtId="9" fontId="40" fillId="0" borderId="2" xfId="2" applyFont="1" applyFill="1" applyBorder="1" applyAlignment="1">
      <alignment horizontal="center" vertical="center"/>
    </xf>
    <xf numFmtId="0" fontId="63" fillId="4" borderId="2" xfId="0" quotePrefix="1" applyNumberFormat="1" applyFont="1" applyFill="1" applyBorder="1" applyAlignment="1">
      <alignment vertical="center"/>
    </xf>
    <xf numFmtId="0" fontId="35" fillId="15" borderId="2" xfId="0" applyNumberFormat="1" applyFont="1" applyFill="1" applyBorder="1" applyAlignment="1">
      <alignment vertical="center"/>
    </xf>
    <xf numFmtId="0" fontId="35" fillId="15" borderId="2" xfId="0" applyNumberFormat="1" applyFont="1" applyFill="1" applyBorder="1" applyAlignment="1">
      <alignment horizontal="left" vertical="center"/>
    </xf>
    <xf numFmtId="9" fontId="36" fillId="4" borderId="2" xfId="2" applyFont="1" applyFill="1" applyBorder="1" applyAlignment="1">
      <alignment horizontal="left" vertical="center"/>
    </xf>
    <xf numFmtId="43" fontId="35" fillId="17" borderId="2" xfId="1" applyFont="1" applyFill="1" applyBorder="1" applyAlignment="1">
      <alignment horizontal="center" vertical="center"/>
    </xf>
    <xf numFmtId="0" fontId="35" fillId="17" borderId="0" xfId="0" applyFont="1" applyFill="1" applyAlignment="1">
      <alignment vertical="center"/>
    </xf>
    <xf numFmtId="9" fontId="33" fillId="17" borderId="2" xfId="2" applyNumberFormat="1" applyFont="1" applyFill="1" applyBorder="1" applyAlignment="1">
      <alignment horizontal="center" vertical="center"/>
    </xf>
    <xf numFmtId="9" fontId="40" fillId="16" borderId="2" xfId="2" applyFont="1" applyFill="1" applyBorder="1" applyAlignment="1">
      <alignment horizontal="center" vertical="center"/>
    </xf>
    <xf numFmtId="0" fontId="63" fillId="13" borderId="0" xfId="0" applyFont="1" applyFill="1" applyAlignment="1">
      <alignment vertical="center"/>
    </xf>
    <xf numFmtId="0" fontId="49" fillId="0" borderId="2" xfId="0" applyNumberFormat="1" applyFont="1" applyFill="1" applyBorder="1" applyAlignment="1">
      <alignment horizontal="left" vertical="center"/>
    </xf>
    <xf numFmtId="43" fontId="40" fillId="0" borderId="0" xfId="0" applyNumberFormat="1" applyFont="1" applyFill="1" applyAlignment="1">
      <alignment vertical="center"/>
    </xf>
    <xf numFmtId="43" fontId="35" fillId="8" borderId="2" xfId="1" applyFont="1" applyFill="1" applyBorder="1" applyAlignment="1">
      <alignment horizontal="center" vertical="center"/>
    </xf>
    <xf numFmtId="43" fontId="35" fillId="8" borderId="0" xfId="1" applyFont="1" applyFill="1" applyAlignment="1">
      <alignment vertical="center"/>
    </xf>
    <xf numFmtId="9" fontId="36" fillId="16" borderId="2" xfId="2" applyFont="1" applyFill="1" applyBorder="1" applyAlignment="1">
      <alignment horizontal="center" vertical="center"/>
    </xf>
    <xf numFmtId="0" fontId="35" fillId="4" borderId="2" xfId="0" applyNumberFormat="1" applyFont="1" applyFill="1" applyBorder="1" applyAlignment="1">
      <alignment vertical="center"/>
    </xf>
    <xf numFmtId="43" fontId="33" fillId="15" borderId="0" xfId="1" applyFont="1" applyFill="1" applyAlignment="1">
      <alignment vertical="center"/>
    </xf>
    <xf numFmtId="0" fontId="33" fillId="15" borderId="0" xfId="0" applyFont="1" applyFill="1" applyAlignment="1">
      <alignment vertical="center"/>
    </xf>
    <xf numFmtId="0" fontId="63" fillId="0" borderId="2" xfId="0" quotePrefix="1" applyNumberFormat="1" applyFont="1" applyFill="1" applyBorder="1" applyAlignment="1">
      <alignment vertical="center"/>
    </xf>
    <xf numFmtId="43" fontId="45" fillId="0" borderId="2" xfId="1" applyFont="1" applyFill="1" applyBorder="1" applyAlignment="1">
      <alignment vertical="center"/>
    </xf>
    <xf numFmtId="43" fontId="45" fillId="0" borderId="2" xfId="1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52" fillId="15" borderId="0" xfId="0" applyFont="1" applyFill="1" applyBorder="1" applyAlignment="1">
      <alignment horizontal="fill" vertical="center"/>
    </xf>
    <xf numFmtId="9" fontId="36" fillId="15" borderId="2" xfId="2" applyFont="1" applyFill="1" applyBorder="1" applyAlignment="1">
      <alignment horizontal="center" vertical="center"/>
    </xf>
    <xf numFmtId="43" fontId="35" fillId="17" borderId="0" xfId="0" applyNumberFormat="1" applyFont="1" applyFill="1" applyAlignment="1">
      <alignment vertical="center"/>
    </xf>
    <xf numFmtId="43" fontId="40" fillId="5" borderId="0" xfId="1" applyFont="1" applyFill="1" applyAlignment="1">
      <alignment vertical="center"/>
    </xf>
    <xf numFmtId="43" fontId="36" fillId="5" borderId="0" xfId="1" applyFont="1" applyFill="1" applyAlignment="1">
      <alignment vertical="center"/>
    </xf>
    <xf numFmtId="0" fontId="36" fillId="0" borderId="2" xfId="0" quotePrefix="1" applyNumberFormat="1" applyFont="1" applyFill="1" applyBorder="1" applyAlignment="1">
      <alignment vertical="center"/>
    </xf>
    <xf numFmtId="0" fontId="33" fillId="4" borderId="2" xfId="0" quotePrefix="1" applyNumberFormat="1" applyFont="1" applyFill="1" applyBorder="1" applyAlignment="1">
      <alignment vertical="center"/>
    </xf>
    <xf numFmtId="43" fontId="35" fillId="17" borderId="0" xfId="1" applyFont="1" applyFill="1" applyAlignment="1">
      <alignment vertical="center"/>
    </xf>
    <xf numFmtId="0" fontId="70" fillId="0" borderId="2" xfId="0" applyNumberFormat="1" applyFont="1" applyFill="1" applyBorder="1" applyAlignment="1">
      <alignment horizontal="left" vertical="center"/>
    </xf>
    <xf numFmtId="0" fontId="71" fillId="0" borderId="2" xfId="0" applyNumberFormat="1" applyFont="1" applyFill="1" applyBorder="1" applyAlignment="1">
      <alignment vertical="center"/>
    </xf>
    <xf numFmtId="0" fontId="71" fillId="0" borderId="2" xfId="0" applyNumberFormat="1" applyFont="1" applyFill="1" applyBorder="1" applyAlignment="1">
      <alignment horizontal="left" vertical="center"/>
    </xf>
    <xf numFmtId="43" fontId="71" fillId="0" borderId="2" xfId="1" applyFont="1" applyFill="1" applyBorder="1" applyAlignment="1">
      <alignment horizontal="center" vertical="center"/>
    </xf>
    <xf numFmtId="9" fontId="71" fillId="0" borderId="2" xfId="2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9" fontId="115" fillId="8" borderId="2" xfId="2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43" fontId="74" fillId="0" borderId="0" xfId="1" applyFont="1" applyFill="1" applyAlignment="1">
      <alignment vertical="center"/>
    </xf>
    <xf numFmtId="9" fontId="75" fillId="0" borderId="0" xfId="2" applyFont="1" applyFill="1" applyBorder="1" applyAlignment="1">
      <alignment horizontal="center" vertical="center"/>
    </xf>
    <xf numFmtId="0" fontId="64" fillId="0" borderId="2" xfId="0" applyNumberFormat="1" applyFont="1" applyFill="1" applyBorder="1" applyAlignment="1">
      <alignment horizontal="left" vertical="center" indent="1"/>
    </xf>
    <xf numFmtId="9" fontId="36" fillId="0" borderId="0" xfId="2" applyFont="1" applyFill="1" applyBorder="1" applyAlignment="1">
      <alignment horizontal="center" vertical="center"/>
    </xf>
    <xf numFmtId="0" fontId="67" fillId="0" borderId="2" xfId="0" applyNumberFormat="1" applyFont="1" applyFill="1" applyBorder="1" applyAlignment="1">
      <alignment horizontal="left" vertical="center" wrapText="1" indent="1"/>
    </xf>
    <xf numFmtId="0" fontId="116" fillId="0" borderId="0" xfId="0" applyFont="1" applyFill="1" applyBorder="1" applyAlignment="1">
      <alignment horizontal="fill" vertical="center"/>
    </xf>
    <xf numFmtId="9" fontId="117" fillId="0" borderId="2" xfId="2" applyFont="1" applyFill="1" applyBorder="1" applyAlignment="1">
      <alignment horizontal="center" vertical="center"/>
    </xf>
    <xf numFmtId="0" fontId="35" fillId="16" borderId="0" xfId="0" applyFont="1" applyFill="1" applyAlignment="1">
      <alignment vertical="center"/>
    </xf>
    <xf numFmtId="43" fontId="73" fillId="0" borderId="0" xfId="1" applyFont="1" applyFill="1" applyAlignment="1">
      <alignment vertical="center"/>
    </xf>
    <xf numFmtId="0" fontId="52" fillId="17" borderId="0" xfId="0" applyFont="1" applyFill="1" applyBorder="1" applyAlignment="1">
      <alignment horizontal="fill" vertical="center"/>
    </xf>
    <xf numFmtId="0" fontId="64" fillId="17" borderId="2" xfId="0" applyNumberFormat="1" applyFont="1" applyFill="1" applyBorder="1" applyAlignment="1">
      <alignment horizontal="left" vertical="center" indent="1"/>
    </xf>
    <xf numFmtId="0" fontId="64" fillId="17" borderId="2" xfId="0" applyNumberFormat="1" applyFont="1" applyFill="1" applyBorder="1" applyAlignment="1">
      <alignment horizontal="left" vertical="center"/>
    </xf>
    <xf numFmtId="43" fontId="64" fillId="17" borderId="2" xfId="0" applyNumberFormat="1" applyFont="1" applyFill="1" applyBorder="1" applyAlignment="1">
      <alignment vertical="center"/>
    </xf>
    <xf numFmtId="43" fontId="40" fillId="17" borderId="0" xfId="1" applyFont="1" applyFill="1" applyAlignment="1">
      <alignment vertical="center"/>
    </xf>
    <xf numFmtId="0" fontId="64" fillId="17" borderId="0" xfId="0" applyFont="1" applyFill="1" applyAlignment="1">
      <alignment vertical="center"/>
    </xf>
    <xf numFmtId="0" fontId="65" fillId="0" borderId="2" xfId="1" applyNumberFormat="1" applyFont="1" applyFill="1" applyBorder="1" applyAlignment="1">
      <alignment horizontal="left" vertical="center" indent="1"/>
    </xf>
    <xf numFmtId="0" fontId="43" fillId="0" borderId="2" xfId="0" applyNumberFormat="1" applyFont="1" applyFill="1" applyBorder="1" applyAlignment="1">
      <alignment horizontal="left" vertical="center" wrapText="1" indent="1"/>
    </xf>
    <xf numFmtId="0" fontId="35" fillId="0" borderId="2" xfId="0" applyNumberFormat="1" applyFont="1" applyFill="1" applyBorder="1" applyAlignment="1">
      <alignment horizontal="left" vertical="center" wrapText="1" indent="1"/>
    </xf>
    <xf numFmtId="43" fontId="40" fillId="5" borderId="2" xfId="1" applyFont="1" applyFill="1" applyBorder="1" applyAlignment="1">
      <alignment horizontal="center" vertical="center"/>
    </xf>
    <xf numFmtId="43" fontId="64" fillId="17" borderId="2" xfId="1" applyFont="1" applyFill="1" applyBorder="1" applyAlignment="1">
      <alignment horizontal="center" vertical="center"/>
    </xf>
    <xf numFmtId="43" fontId="36" fillId="17" borderId="0" xfId="1" applyFont="1" applyFill="1" applyAlignment="1">
      <alignment vertical="center"/>
    </xf>
    <xf numFmtId="0" fontId="65" fillId="17" borderId="0" xfId="0" applyFont="1" applyFill="1" applyAlignment="1">
      <alignment vertical="center"/>
    </xf>
    <xf numFmtId="0" fontId="40" fillId="0" borderId="2" xfId="0" applyNumberFormat="1" applyFont="1" applyFill="1" applyBorder="1" applyAlignment="1">
      <alignment horizontal="left" vertical="center" indent="1"/>
    </xf>
    <xf numFmtId="0" fontId="65" fillId="0" borderId="2" xfId="1" applyNumberFormat="1" applyFont="1" applyFill="1" applyBorder="1" applyAlignment="1">
      <alignment horizontal="left" vertical="center"/>
    </xf>
    <xf numFmtId="43" fontId="67" fillId="0" borderId="2" xfId="1" applyFont="1" applyFill="1" applyBorder="1" applyAlignment="1">
      <alignment vertical="center"/>
    </xf>
    <xf numFmtId="9" fontId="67" fillId="0" borderId="2" xfId="2" applyFont="1" applyFill="1" applyBorder="1" applyAlignment="1">
      <alignment horizontal="center" vertical="center"/>
    </xf>
    <xf numFmtId="9" fontId="0" fillId="0" borderId="2" xfId="2" applyFont="1" applyFill="1" applyBorder="1" applyAlignment="1">
      <alignment horizontal="center" vertical="center"/>
    </xf>
    <xf numFmtId="0" fontId="0" fillId="13" borderId="0" xfId="0" applyFont="1" applyFill="1" applyAlignment="1">
      <alignment vertical="center"/>
    </xf>
    <xf numFmtId="43" fontId="78" fillId="0" borderId="0" xfId="1" applyFont="1" applyFill="1" applyAlignment="1">
      <alignment vertical="center"/>
    </xf>
    <xf numFmtId="0" fontId="44" fillId="0" borderId="2" xfId="0" applyNumberFormat="1" applyFont="1" applyFill="1" applyBorder="1" applyAlignment="1">
      <alignment horizontal="left" vertical="center" indent="1"/>
    </xf>
    <xf numFmtId="43" fontId="44" fillId="0" borderId="0" xfId="1" applyFont="1" applyFill="1" applyAlignment="1">
      <alignment vertical="center"/>
    </xf>
    <xf numFmtId="43" fontId="66" fillId="0" borderId="2" xfId="1" applyFont="1" applyFill="1" applyBorder="1" applyAlignment="1">
      <alignment vertical="center"/>
    </xf>
    <xf numFmtId="0" fontId="64" fillId="0" borderId="2" xfId="1" applyNumberFormat="1" applyFont="1" applyFill="1" applyBorder="1" applyAlignment="1">
      <alignment vertical="center"/>
    </xf>
    <xf numFmtId="9" fontId="64" fillId="0" borderId="2" xfId="2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left" vertical="center" indent="1"/>
    </xf>
    <xf numFmtId="43" fontId="35" fillId="0" borderId="2" xfId="1" applyFont="1" applyFill="1" applyBorder="1" applyAlignment="1">
      <alignment vertical="center"/>
    </xf>
    <xf numFmtId="0" fontId="33" fillId="0" borderId="2" xfId="1" applyNumberFormat="1" applyFont="1" applyFill="1" applyBorder="1" applyAlignment="1">
      <alignment horizontal="left" vertical="center"/>
    </xf>
    <xf numFmtId="0" fontId="33" fillId="0" borderId="2" xfId="1" applyNumberFormat="1" applyFont="1" applyFill="1" applyBorder="1" applyAlignment="1">
      <alignment horizontal="left" vertical="center" indent="1"/>
    </xf>
    <xf numFmtId="9" fontId="33" fillId="0" borderId="2" xfId="2" applyFont="1" applyFill="1" applyBorder="1" applyAlignment="1">
      <alignment horizontal="center" vertical="center"/>
    </xf>
    <xf numFmtId="43" fontId="35" fillId="8" borderId="2" xfId="1" applyFont="1" applyFill="1" applyBorder="1" applyAlignment="1">
      <alignment vertical="center"/>
    </xf>
    <xf numFmtId="43" fontId="90" fillId="0" borderId="0" xfId="4" applyFont="1" applyFill="1" applyAlignment="1">
      <alignment horizontal="left" vertical="center"/>
    </xf>
    <xf numFmtId="43" fontId="91" fillId="0" borderId="0" xfId="4" applyFont="1" applyFill="1" applyAlignment="1">
      <alignment horizontal="left" vertical="center"/>
    </xf>
    <xf numFmtId="0" fontId="36" fillId="0" borderId="0" xfId="0" applyNumberFormat="1" applyFont="1" applyFill="1" applyBorder="1" applyAlignment="1">
      <alignment vertical="center"/>
    </xf>
    <xf numFmtId="0" fontId="36" fillId="0" borderId="0" xfId="0" applyNumberFormat="1" applyFont="1" applyFill="1" applyAlignment="1">
      <alignment vertical="center"/>
    </xf>
    <xf numFmtId="0" fontId="36" fillId="0" borderId="0" xfId="0" applyNumberFormat="1" applyFont="1" applyFill="1" applyAlignment="1">
      <alignment horizontal="left" vertical="center"/>
    </xf>
    <xf numFmtId="0" fontId="52" fillId="13" borderId="0" xfId="0" applyFont="1" applyFill="1" applyBorder="1" applyAlignment="1">
      <alignment vertical="center"/>
    </xf>
    <xf numFmtId="0" fontId="52" fillId="4" borderId="0" xfId="0" applyFont="1" applyFill="1" applyBorder="1" applyAlignment="1">
      <alignment vertical="center"/>
    </xf>
    <xf numFmtId="0" fontId="60" fillId="0" borderId="0" xfId="0" applyNumberFormat="1" applyFont="1" applyFill="1" applyBorder="1" applyAlignment="1">
      <alignment vertical="center"/>
    </xf>
    <xf numFmtId="0" fontId="68" fillId="0" borderId="0" xfId="0" applyNumberFormat="1" applyFont="1" applyFill="1" applyBorder="1" applyAlignment="1">
      <alignment horizontal="left" vertical="center" indent="2"/>
    </xf>
    <xf numFmtId="0" fontId="52" fillId="0" borderId="0" xfId="0" applyNumberFormat="1" applyFont="1" applyFill="1" applyAlignment="1">
      <alignment horizontal="left" vertical="center"/>
    </xf>
    <xf numFmtId="0" fontId="52" fillId="13" borderId="0" xfId="0" applyFont="1" applyFill="1" applyAlignment="1">
      <alignment vertical="center"/>
    </xf>
    <xf numFmtId="0" fontId="52" fillId="0" borderId="0" xfId="0" applyNumberFormat="1" applyFont="1" applyFill="1" applyBorder="1" applyAlignment="1">
      <alignment vertical="center"/>
    </xf>
    <xf numFmtId="0" fontId="60" fillId="0" borderId="0" xfId="0" applyNumberFormat="1" applyFont="1" applyFill="1" applyAlignment="1">
      <alignment vertical="center"/>
    </xf>
    <xf numFmtId="0" fontId="60" fillId="0" borderId="0" xfId="1" applyNumberFormat="1" applyFont="1" applyFill="1" applyAlignment="1">
      <alignment horizontal="left" vertical="center" wrapText="1" indent="1"/>
    </xf>
    <xf numFmtId="43" fontId="52" fillId="0" borderId="0" xfId="1" applyFont="1" applyFill="1" applyAlignment="1">
      <alignment vertical="center"/>
    </xf>
    <xf numFmtId="9" fontId="52" fillId="0" borderId="0" xfId="2" applyFont="1" applyFill="1" applyAlignment="1">
      <alignment horizontal="center" vertical="center"/>
    </xf>
    <xf numFmtId="43" fontId="52" fillId="0" borderId="0" xfId="1" applyFont="1" applyFill="1" applyBorder="1" applyAlignment="1">
      <alignment horizontal="fill" vertical="center"/>
    </xf>
    <xf numFmtId="43" fontId="62" fillId="0" borderId="0" xfId="1" applyFont="1" applyFill="1" applyAlignment="1">
      <alignment horizontal="left" vertical="center" indent="2"/>
    </xf>
    <xf numFmtId="43" fontId="36" fillId="12" borderId="0" xfId="1" applyFont="1" applyFill="1" applyBorder="1" applyAlignment="1">
      <alignment vertical="center"/>
    </xf>
    <xf numFmtId="43" fontId="36" fillId="13" borderId="0" xfId="1" applyFont="1" applyFill="1" applyBorder="1" applyAlignment="1">
      <alignment vertical="center"/>
    </xf>
    <xf numFmtId="43" fontId="36" fillId="4" borderId="0" xfId="1" applyFont="1" applyFill="1" applyBorder="1" applyAlignment="1">
      <alignment vertical="center"/>
    </xf>
    <xf numFmtId="43" fontId="52" fillId="0" borderId="0" xfId="1" applyFont="1" applyFill="1" applyBorder="1" applyAlignment="1">
      <alignment vertical="center"/>
    </xf>
    <xf numFmtId="43" fontId="62" fillId="0" borderId="0" xfId="1" applyFont="1" applyFill="1" applyAlignment="1">
      <alignment horizontal="left" vertical="center" indent="1"/>
    </xf>
    <xf numFmtId="0" fontId="62" fillId="0" borderId="0" xfId="0" applyNumberFormat="1" applyFont="1" applyFill="1" applyAlignment="1">
      <alignment vertical="center"/>
    </xf>
    <xf numFmtId="0" fontId="62" fillId="0" borderId="0" xfId="1" applyNumberFormat="1" applyFont="1" applyFill="1" applyAlignment="1">
      <alignment horizontal="left" vertical="center"/>
    </xf>
    <xf numFmtId="0" fontId="63" fillId="0" borderId="0" xfId="0" applyNumberFormat="1" applyFont="1" applyFill="1" applyAlignment="1">
      <alignment vertical="center"/>
    </xf>
    <xf numFmtId="0" fontId="63" fillId="0" borderId="0" xfId="1" applyNumberFormat="1" applyFont="1" applyFill="1" applyAlignment="1">
      <alignment horizontal="left" vertical="center"/>
    </xf>
    <xf numFmtId="0" fontId="40" fillId="13" borderId="0" xfId="0" applyFont="1" applyFill="1" applyAlignment="1">
      <alignment vertical="center"/>
    </xf>
    <xf numFmtId="43" fontId="118" fillId="0" borderId="0" xfId="1" applyFont="1" applyFill="1" applyAlignment="1">
      <alignment vertical="center"/>
    </xf>
    <xf numFmtId="43" fontId="119" fillId="0" borderId="0" xfId="1" applyFont="1" applyFill="1" applyAlignment="1">
      <alignment vertical="center"/>
    </xf>
    <xf numFmtId="43" fontId="118" fillId="14" borderId="0" xfId="1" applyFont="1" applyFill="1" applyAlignment="1">
      <alignment vertical="center"/>
    </xf>
    <xf numFmtId="43" fontId="120" fillId="0" borderId="0" xfId="1" applyFont="1" applyFill="1" applyAlignment="1">
      <alignment vertical="center"/>
    </xf>
    <xf numFmtId="43" fontId="121" fillId="0" borderId="0" xfId="1" applyFont="1" applyFill="1" applyAlignment="1">
      <alignment vertical="center"/>
    </xf>
    <xf numFmtId="43" fontId="122" fillId="0" borderId="0" xfId="1" applyFont="1" applyFill="1" applyAlignment="1">
      <alignment vertical="center"/>
    </xf>
    <xf numFmtId="43" fontId="123" fillId="0" borderId="0" xfId="1" applyFont="1" applyFill="1" applyAlignment="1">
      <alignment vertical="center"/>
    </xf>
    <xf numFmtId="43" fontId="119" fillId="15" borderId="0" xfId="1" applyFont="1" applyFill="1" applyBorder="1" applyAlignment="1">
      <alignment vertical="center"/>
    </xf>
    <xf numFmtId="43" fontId="123" fillId="0" borderId="0" xfId="1" applyFont="1" applyFill="1" applyBorder="1" applyAlignment="1">
      <alignment vertical="center"/>
    </xf>
    <xf numFmtId="43" fontId="124" fillId="0" borderId="0" xfId="1" applyFont="1" applyFill="1" applyAlignment="1">
      <alignment vertical="center"/>
    </xf>
    <xf numFmtId="43" fontId="125" fillId="15" borderId="0" xfId="1" applyFont="1" applyFill="1" applyBorder="1" applyAlignment="1">
      <alignment vertical="center"/>
    </xf>
    <xf numFmtId="43" fontId="119" fillId="8" borderId="0" xfId="1" applyFont="1" applyFill="1" applyBorder="1" applyAlignment="1">
      <alignment vertical="center"/>
    </xf>
    <xf numFmtId="0" fontId="33" fillId="4" borderId="2" xfId="0" applyFont="1" applyFill="1" applyBorder="1" applyAlignment="1">
      <alignment horizontal="right" vertical="center"/>
    </xf>
    <xf numFmtId="0" fontId="33" fillId="15" borderId="0" xfId="0" applyFont="1" applyFill="1" applyBorder="1" applyAlignment="1">
      <alignment horizontal="fill" vertical="center"/>
    </xf>
    <xf numFmtId="0" fontId="101" fillId="15" borderId="2" xfId="0" applyFont="1" applyFill="1" applyBorder="1" applyAlignment="1">
      <alignment vertical="center"/>
    </xf>
    <xf numFmtId="0" fontId="33" fillId="4" borderId="2" xfId="0" quotePrefix="1" applyFont="1" applyFill="1" applyBorder="1" applyAlignment="1">
      <alignment horizontal="right" vertical="center"/>
    </xf>
    <xf numFmtId="9" fontId="62" fillId="4" borderId="2" xfId="2" applyNumberFormat="1" applyFont="1" applyFill="1" applyBorder="1" applyAlignment="1">
      <alignment horizontal="center" vertical="center" wrapText="1"/>
    </xf>
    <xf numFmtId="9" fontId="59" fillId="4" borderId="2" xfId="2" applyNumberFormat="1" applyFont="1" applyFill="1" applyBorder="1" applyAlignment="1">
      <alignment vertical="center" wrapText="1"/>
    </xf>
    <xf numFmtId="0" fontId="6" fillId="4" borderId="0" xfId="0" applyFont="1" applyFill="1" applyBorder="1" applyAlignment="1">
      <alignment horizontal="fill" vertical="center"/>
    </xf>
    <xf numFmtId="0" fontId="61" fillId="4" borderId="2" xfId="0" quotePrefix="1" applyFont="1" applyFill="1" applyBorder="1" applyAlignment="1">
      <alignment horizontal="right" vertical="center"/>
    </xf>
    <xf numFmtId="9" fontId="6" fillId="4" borderId="2" xfId="2" applyNumberFormat="1" applyFont="1" applyFill="1" applyBorder="1" applyAlignment="1">
      <alignment horizontal="center" vertical="center"/>
    </xf>
    <xf numFmtId="9" fontId="85" fillId="4" borderId="2" xfId="2" applyNumberFormat="1" applyFont="1" applyFill="1" applyBorder="1" applyAlignment="1">
      <alignment horizontal="center" vertical="center"/>
    </xf>
    <xf numFmtId="0" fontId="6" fillId="4" borderId="2" xfId="0" quotePrefix="1" applyFont="1" applyFill="1" applyBorder="1" applyAlignment="1">
      <alignment horizontal="right" vertical="center"/>
    </xf>
    <xf numFmtId="0" fontId="6" fillId="4" borderId="2" xfId="0" applyFont="1" applyFill="1" applyBorder="1" applyAlignment="1">
      <alignment vertical="center"/>
    </xf>
    <xf numFmtId="0" fontId="81" fillId="4" borderId="2" xfId="0" applyFont="1" applyFill="1" applyBorder="1" applyAlignment="1">
      <alignment vertical="center"/>
    </xf>
    <xf numFmtId="9" fontId="86" fillId="4" borderId="2" xfId="2" applyNumberFormat="1" applyFont="1" applyFill="1" applyBorder="1" applyAlignment="1">
      <alignment horizontal="center" vertical="center"/>
    </xf>
    <xf numFmtId="9" fontId="85" fillId="4" borderId="2" xfId="2" applyNumberFormat="1" applyFont="1" applyFill="1" applyBorder="1" applyAlignment="1">
      <alignment horizontal="center" vertical="center" wrapText="1"/>
    </xf>
    <xf numFmtId="43" fontId="126" fillId="0" borderId="0" xfId="1" applyFont="1" applyFill="1" applyAlignment="1">
      <alignment vertical="center"/>
    </xf>
    <xf numFmtId="0" fontId="63" fillId="4" borderId="2" xfId="0" quotePrefix="1" applyFont="1" applyFill="1" applyBorder="1" applyAlignment="1">
      <alignment vertical="center"/>
    </xf>
    <xf numFmtId="9" fontId="71" fillId="4" borderId="2" xfId="2" applyNumberFormat="1" applyFont="1" applyFill="1" applyBorder="1" applyAlignment="1">
      <alignment horizontal="center" vertical="center"/>
    </xf>
    <xf numFmtId="0" fontId="82" fillId="4" borderId="0" xfId="0" applyFont="1" applyFill="1" applyBorder="1" applyAlignment="1">
      <alignment horizontal="fill" vertical="center"/>
    </xf>
    <xf numFmtId="0" fontId="82" fillId="4" borderId="2" xfId="0" applyFont="1" applyFill="1" applyBorder="1" applyAlignment="1">
      <alignment vertical="center"/>
    </xf>
    <xf numFmtId="9" fontId="82" fillId="4" borderId="2" xfId="2" applyNumberFormat="1" applyFont="1" applyFill="1" applyBorder="1" applyAlignment="1">
      <alignment horizontal="center" vertical="center"/>
    </xf>
    <xf numFmtId="43" fontId="119" fillId="5" borderId="0" xfId="1" applyFont="1" applyFill="1" applyAlignment="1">
      <alignment vertical="center"/>
    </xf>
    <xf numFmtId="43" fontId="118" fillId="5" borderId="0" xfId="1" applyFont="1" applyFill="1" applyAlignment="1">
      <alignment vertical="center"/>
    </xf>
    <xf numFmtId="43" fontId="123" fillId="5" borderId="0" xfId="1" applyFont="1" applyFill="1" applyAlignment="1">
      <alignment vertical="center"/>
    </xf>
    <xf numFmtId="43" fontId="118" fillId="0" borderId="0" xfId="1" applyFont="1" applyFill="1" applyBorder="1" applyAlignment="1">
      <alignment vertical="center"/>
    </xf>
    <xf numFmtId="43" fontId="128" fillId="0" borderId="0" xfId="1" applyFont="1" applyFill="1" applyAlignment="1">
      <alignment vertical="center"/>
    </xf>
    <xf numFmtId="43" fontId="119" fillId="8" borderId="2" xfId="1" applyFont="1" applyFill="1" applyBorder="1" applyAlignment="1">
      <alignment vertical="center"/>
    </xf>
    <xf numFmtId="43" fontId="129" fillId="0" borderId="0" xfId="1" applyFont="1" applyFill="1" applyAlignment="1">
      <alignment horizontal="left" vertical="center"/>
    </xf>
    <xf numFmtId="43" fontId="127" fillId="0" borderId="0" xfId="1" applyFont="1" applyFill="1" applyAlignment="1">
      <alignment horizontal="left" vertical="center"/>
    </xf>
    <xf numFmtId="43" fontId="33" fillId="0" borderId="0" xfId="4" applyFont="1" applyFill="1" applyAlignment="1">
      <alignment vertical="center"/>
    </xf>
    <xf numFmtId="43" fontId="119" fillId="0" borderId="0" xfId="1" applyFont="1" applyFill="1" applyBorder="1" applyAlignment="1">
      <alignment vertical="center"/>
    </xf>
    <xf numFmtId="0" fontId="63" fillId="0" borderId="1" xfId="0" applyNumberFormat="1" applyFont="1" applyFill="1" applyBorder="1" applyAlignment="1">
      <alignment horizontal="left" vertical="center"/>
    </xf>
    <xf numFmtId="43" fontId="33" fillId="0" borderId="1" xfId="1" applyFont="1" applyFill="1" applyBorder="1" applyAlignment="1">
      <alignment horizontal="center" vertical="center"/>
    </xf>
    <xf numFmtId="43" fontId="45" fillId="0" borderId="2" xfId="0" applyNumberFormat="1" applyFont="1" applyFill="1" applyBorder="1" applyAlignment="1">
      <alignment vertical="center"/>
    </xf>
    <xf numFmtId="0" fontId="35" fillId="0" borderId="2" xfId="0" applyNumberFormat="1" applyFont="1" applyFill="1" applyBorder="1" applyAlignment="1">
      <alignment horizontal="left" vertical="center"/>
    </xf>
    <xf numFmtId="43" fontId="35" fillId="0" borderId="2" xfId="1" applyFont="1" applyFill="1" applyBorder="1" applyAlignment="1">
      <alignment horizontal="center" vertical="center"/>
    </xf>
    <xf numFmtId="43" fontId="63" fillId="0" borderId="2" xfId="0" applyNumberFormat="1" applyFont="1" applyFill="1" applyBorder="1" applyAlignment="1">
      <alignment vertical="center"/>
    </xf>
    <xf numFmtId="43" fontId="63" fillId="0" borderId="2" xfId="1" applyFont="1" applyFill="1" applyBorder="1" applyAlignment="1">
      <alignment vertical="center" wrapText="1"/>
    </xf>
    <xf numFmtId="43" fontId="63" fillId="0" borderId="2" xfId="1" applyFont="1" applyFill="1" applyBorder="1" applyAlignment="1">
      <alignment horizontal="center" vertical="center" wrapText="1"/>
    </xf>
    <xf numFmtId="43" fontId="119" fillId="0" borderId="0" xfId="1" applyFont="1" applyFill="1" applyAlignment="1">
      <alignment vertical="center" wrapText="1"/>
    </xf>
    <xf numFmtId="9" fontId="33" fillId="0" borderId="2" xfId="2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43" fontId="61" fillId="0" borderId="2" xfId="1" applyFont="1" applyFill="1" applyBorder="1" applyAlignment="1">
      <alignment vertical="center" wrapText="1"/>
    </xf>
    <xf numFmtId="43" fontId="61" fillId="0" borderId="2" xfId="1" applyFont="1" applyFill="1" applyBorder="1" applyAlignment="1">
      <alignment horizontal="center" vertical="center" wrapText="1"/>
    </xf>
    <xf numFmtId="9" fontId="6" fillId="0" borderId="2" xfId="2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>
      <alignment vertical="center" wrapText="1"/>
    </xf>
    <xf numFmtId="0" fontId="44" fillId="0" borderId="2" xfId="1" applyNumberFormat="1" applyFont="1" applyFill="1" applyBorder="1" applyAlignment="1">
      <alignment horizontal="left" vertical="center" wrapText="1" indent="1"/>
    </xf>
    <xf numFmtId="43" fontId="44" fillId="0" borderId="2" xfId="0" applyNumberFormat="1" applyFont="1" applyFill="1" applyBorder="1" applyAlignment="1">
      <alignment vertical="center"/>
    </xf>
    <xf numFmtId="43" fontId="44" fillId="0" borderId="0" xfId="1" applyFont="1" applyFill="1" applyBorder="1" applyAlignment="1">
      <alignment vertical="center"/>
    </xf>
    <xf numFmtId="43" fontId="130" fillId="0" borderId="0" xfId="1" applyFont="1" applyAlignment="1">
      <alignment horizontal="center" wrapText="1"/>
    </xf>
    <xf numFmtId="0" fontId="131" fillId="0" borderId="0" xfId="0" applyFont="1" applyAlignment="1">
      <alignment horizontal="center"/>
    </xf>
    <xf numFmtId="43" fontId="19" fillId="0" borderId="0" xfId="0" applyNumberFormat="1" applyFont="1" applyAlignment="1">
      <alignment vertical="center"/>
    </xf>
    <xf numFmtId="43" fontId="16" fillId="0" borderId="0" xfId="0" applyNumberFormat="1" applyFont="1" applyAlignment="1">
      <alignment vertical="center"/>
    </xf>
    <xf numFmtId="43" fontId="8" fillId="7" borderId="0" xfId="0" applyNumberFormat="1" applyFont="1" applyFill="1" applyAlignment="1">
      <alignment vertical="center"/>
    </xf>
    <xf numFmtId="43" fontId="111" fillId="0" borderId="0" xfId="0" applyNumberFormat="1" applyFont="1" applyAlignment="1">
      <alignment vertical="center"/>
    </xf>
    <xf numFmtId="43" fontId="5" fillId="7" borderId="0" xfId="0" applyNumberFormat="1" applyFont="1" applyFill="1" applyAlignment="1">
      <alignment vertical="center"/>
    </xf>
    <xf numFmtId="43" fontId="33" fillId="0" borderId="0" xfId="2" applyNumberFormat="1" applyFont="1" applyAlignment="1">
      <alignment horizontal="center"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0" fontId="35" fillId="19" borderId="0" xfId="0" applyFont="1" applyFill="1" applyAlignment="1">
      <alignment vertical="center"/>
    </xf>
    <xf numFmtId="0" fontId="35" fillId="14" borderId="9" xfId="0" applyFont="1" applyFill="1" applyBorder="1" applyAlignment="1">
      <alignment vertical="center"/>
    </xf>
    <xf numFmtId="0" fontId="35" fillId="14" borderId="10" xfId="0" applyFont="1" applyFill="1" applyBorder="1" applyAlignment="1">
      <alignment vertical="center"/>
    </xf>
    <xf numFmtId="0" fontId="35" fillId="14" borderId="11" xfId="0" applyNumberFormat="1" applyFont="1" applyFill="1" applyBorder="1" applyAlignment="1">
      <alignment vertical="center"/>
    </xf>
    <xf numFmtId="0" fontId="33" fillId="19" borderId="0" xfId="0" applyFont="1" applyFill="1" applyAlignment="1">
      <alignment vertical="center"/>
    </xf>
    <xf numFmtId="0" fontId="65" fillId="19" borderId="0" xfId="0" applyFont="1" applyFill="1" applyAlignment="1">
      <alignment vertical="center"/>
    </xf>
    <xf numFmtId="0" fontId="63" fillId="19" borderId="0" xfId="0" applyFont="1" applyFill="1" applyAlignment="1">
      <alignment vertical="center"/>
    </xf>
    <xf numFmtId="0" fontId="64" fillId="19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0" fontId="6" fillId="19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42" fillId="12" borderId="0" xfId="0" applyFont="1" applyFill="1" applyAlignment="1">
      <alignment vertical="center"/>
    </xf>
    <xf numFmtId="0" fontId="42" fillId="19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33" fillId="0" borderId="0" xfId="4" applyNumberFormat="1" applyFont="1" applyFill="1" applyAlignment="1">
      <alignment horizontal="left" vertical="center" indent="1"/>
    </xf>
    <xf numFmtId="0" fontId="59" fillId="12" borderId="0" xfId="0" applyFont="1" applyFill="1" applyAlignment="1">
      <alignment vertical="center"/>
    </xf>
    <xf numFmtId="0" fontId="59" fillId="4" borderId="0" xfId="0" applyFont="1" applyFill="1" applyAlignment="1">
      <alignment vertical="center"/>
    </xf>
    <xf numFmtId="9" fontId="71" fillId="4" borderId="2" xfId="2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/>
    </xf>
    <xf numFmtId="43" fontId="0" fillId="0" borderId="0" xfId="1" applyFont="1" applyAlignment="1">
      <alignment vertical="center"/>
    </xf>
    <xf numFmtId="43" fontId="1" fillId="2" borderId="10" xfId="1" applyFont="1" applyFill="1" applyBorder="1" applyAlignment="1" applyProtection="1">
      <alignment horizontal="center" vertical="center"/>
    </xf>
    <xf numFmtId="43" fontId="1" fillId="2" borderId="11" xfId="1" applyFont="1" applyFill="1" applyBorder="1" applyAlignment="1" applyProtection="1">
      <alignment horizontal="center" vertical="center"/>
    </xf>
    <xf numFmtId="43" fontId="19" fillId="0" borderId="2" xfId="1" applyFont="1" applyBorder="1" applyAlignment="1">
      <alignment vertical="center"/>
    </xf>
    <xf numFmtId="43" fontId="19" fillId="0" borderId="2" xfId="1" applyFont="1" applyBorder="1" applyAlignment="1">
      <alignment horizontal="center" vertical="center"/>
    </xf>
    <xf numFmtId="43" fontId="15" fillId="0" borderId="2" xfId="1" applyFont="1" applyBorder="1" applyAlignment="1">
      <alignment horizontal="center" vertical="center"/>
    </xf>
    <xf numFmtId="43" fontId="23" fillId="0" borderId="2" xfId="1" applyFont="1" applyBorder="1" applyAlignment="1">
      <alignment vertical="center"/>
    </xf>
    <xf numFmtId="43" fontId="6" fillId="0" borderId="2" xfId="1" applyFont="1" applyBorder="1" applyAlignment="1">
      <alignment vertical="center"/>
    </xf>
    <xf numFmtId="43" fontId="27" fillId="0" borderId="2" xfId="1" applyFont="1" applyBorder="1" applyAlignment="1">
      <alignment vertical="center"/>
    </xf>
    <xf numFmtId="43" fontId="27" fillId="0" borderId="2" xfId="1" applyFont="1" applyFill="1" applyBorder="1" applyAlignment="1">
      <alignment vertical="center"/>
    </xf>
    <xf numFmtId="43" fontId="0" fillId="0" borderId="2" xfId="1" applyFont="1" applyBorder="1" applyAlignment="1">
      <alignment vertical="center"/>
    </xf>
    <xf numFmtId="43" fontId="8" fillId="0" borderId="2" xfId="1" applyFont="1" applyBorder="1" applyAlignment="1">
      <alignment vertical="center"/>
    </xf>
    <xf numFmtId="43" fontId="8" fillId="7" borderId="2" xfId="1" applyFont="1" applyFill="1" applyBorder="1" applyAlignment="1">
      <alignment vertical="center"/>
    </xf>
    <xf numFmtId="43" fontId="14" fillId="0" borderId="0" xfId="1" applyFont="1" applyAlignment="1">
      <alignment vertical="center"/>
    </xf>
    <xf numFmtId="43" fontId="110" fillId="3" borderId="2" xfId="1" applyFont="1" applyFill="1" applyBorder="1" applyAlignment="1">
      <alignment horizontal="center" vertical="center"/>
    </xf>
    <xf numFmtId="43" fontId="110" fillId="0" borderId="2" xfId="1" applyFont="1" applyBorder="1" applyAlignment="1">
      <alignment horizontal="center" vertical="center"/>
    </xf>
    <xf numFmtId="43" fontId="55" fillId="0" borderId="2" xfId="1" applyFont="1" applyBorder="1" applyAlignment="1">
      <alignment vertical="center"/>
    </xf>
    <xf numFmtId="43" fontId="16" fillId="0" borderId="2" xfId="1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9" fontId="19" fillId="0" borderId="2" xfId="2" applyFont="1" applyBorder="1" applyAlignment="1">
      <alignment vertical="center"/>
    </xf>
    <xf numFmtId="9" fontId="110" fillId="0" borderId="2" xfId="2" applyFont="1" applyBorder="1" applyAlignment="1">
      <alignment horizontal="center" vertical="center"/>
    </xf>
    <xf numFmtId="9" fontId="105" fillId="18" borderId="2" xfId="2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164" fontId="132" fillId="0" borderId="34" xfId="1" applyNumberFormat="1" applyFont="1" applyBorder="1" applyAlignment="1">
      <alignment horizontal="right" vertical="center" wrapText="1" readingOrder="1"/>
    </xf>
    <xf numFmtId="164" fontId="133" fillId="0" borderId="0" xfId="1" applyNumberFormat="1" applyFont="1" applyAlignment="1">
      <alignment vertical="center"/>
    </xf>
    <xf numFmtId="164" fontId="132" fillId="0" borderId="35" xfId="1" applyNumberFormat="1" applyFont="1" applyBorder="1" applyAlignment="1">
      <alignment horizontal="right" vertical="center" wrapText="1" readingOrder="1"/>
    </xf>
    <xf numFmtId="167" fontId="134" fillId="0" borderId="0" xfId="2" applyNumberFormat="1" applyFont="1" applyAlignment="1">
      <alignment vertical="center"/>
    </xf>
    <xf numFmtId="9" fontId="0" fillId="0" borderId="0" xfId="2" applyFont="1" applyAlignment="1">
      <alignment horizontal="center" vertical="center"/>
    </xf>
    <xf numFmtId="9" fontId="1" fillId="2" borderId="9" xfId="2" applyFont="1" applyFill="1" applyBorder="1" applyAlignment="1" applyProtection="1">
      <alignment horizontal="center" vertical="center"/>
    </xf>
    <xf numFmtId="9" fontId="1" fillId="2" borderId="10" xfId="2" applyFont="1" applyFill="1" applyBorder="1" applyAlignment="1" applyProtection="1">
      <alignment horizontal="center" vertical="center"/>
    </xf>
    <xf numFmtId="9" fontId="1" fillId="2" borderId="11" xfId="2" applyFont="1" applyFill="1" applyBorder="1" applyAlignment="1" applyProtection="1">
      <alignment horizontal="center" vertical="center"/>
    </xf>
    <xf numFmtId="9" fontId="1" fillId="2" borderId="13" xfId="2" applyFont="1" applyFill="1" applyBorder="1" applyAlignment="1" applyProtection="1">
      <alignment horizontal="center" vertical="center"/>
    </xf>
    <xf numFmtId="9" fontId="2" fillId="0" borderId="1" xfId="2" applyFont="1" applyBorder="1" applyAlignment="1">
      <alignment horizontal="center" vertical="center"/>
    </xf>
    <xf numFmtId="9" fontId="105" fillId="0" borderId="2" xfId="2" applyFont="1" applyBorder="1" applyAlignment="1">
      <alignment horizontal="center" vertical="center"/>
    </xf>
    <xf numFmtId="9" fontId="2" fillId="0" borderId="2" xfId="2" applyFont="1" applyBorder="1" applyAlignment="1">
      <alignment horizontal="center" vertical="center"/>
    </xf>
    <xf numFmtId="9" fontId="6" fillId="0" borderId="0" xfId="2" applyFont="1" applyAlignment="1">
      <alignment vertical="center"/>
    </xf>
    <xf numFmtId="9" fontId="21" fillId="7" borderId="2" xfId="2" applyFont="1" applyFill="1" applyBorder="1" applyAlignment="1">
      <alignment horizontal="center" vertical="center"/>
    </xf>
    <xf numFmtId="9" fontId="0" fillId="0" borderId="0" xfId="2" applyFont="1" applyAlignment="1">
      <alignment vertical="center"/>
    </xf>
    <xf numFmtId="169" fontId="14" fillId="0" borderId="0" xfId="0" applyNumberFormat="1" applyFont="1" applyAlignment="1">
      <alignment vertical="center"/>
    </xf>
    <xf numFmtId="0" fontId="66" fillId="0" borderId="2" xfId="1" applyNumberFormat="1" applyFont="1" applyFill="1" applyBorder="1" applyAlignment="1">
      <alignment horizontal="left" vertical="center" wrapText="1" indent="1"/>
    </xf>
    <xf numFmtId="0" fontId="82" fillId="0" borderId="2" xfId="0" applyFont="1" applyFill="1" applyBorder="1" applyAlignment="1">
      <alignment vertical="center"/>
    </xf>
    <xf numFmtId="0" fontId="82" fillId="0" borderId="2" xfId="0" applyNumberFormat="1" applyFont="1" applyFill="1" applyBorder="1" applyAlignment="1">
      <alignment horizontal="left" vertical="center" indent="1"/>
    </xf>
    <xf numFmtId="43" fontId="82" fillId="0" borderId="2" xfId="1" applyFont="1" applyFill="1" applyBorder="1" applyAlignment="1">
      <alignment vertical="center"/>
    </xf>
    <xf numFmtId="43" fontId="82" fillId="0" borderId="2" xfId="1" applyFont="1" applyFill="1" applyBorder="1" applyAlignment="1">
      <alignment horizontal="center" vertical="center"/>
    </xf>
    <xf numFmtId="43" fontId="127" fillId="0" borderId="0" xfId="1" applyFont="1" applyFill="1" applyAlignment="1">
      <alignment vertical="center"/>
    </xf>
    <xf numFmtId="9" fontId="82" fillId="0" borderId="2" xfId="2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vertical="center"/>
    </xf>
    <xf numFmtId="0" fontId="26" fillId="0" borderId="2" xfId="0" applyFont="1" applyFill="1" applyBorder="1" applyAlignment="1">
      <alignment horizontal="left" vertical="center" indent="3"/>
    </xf>
    <xf numFmtId="43" fontId="46" fillId="0" borderId="2" xfId="1" applyFont="1" applyBorder="1" applyAlignment="1" applyProtection="1">
      <alignment horizontal="left" vertical="center" indent="2"/>
    </xf>
    <xf numFmtId="0" fontId="135" fillId="0" borderId="2" xfId="0" applyFont="1" applyFill="1" applyBorder="1" applyAlignment="1">
      <alignment horizontal="left" vertical="center" indent="2"/>
    </xf>
    <xf numFmtId="9" fontId="1" fillId="0" borderId="2" xfId="2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26" fillId="0" borderId="2" xfId="0" applyFont="1" applyFill="1" applyBorder="1" applyAlignment="1">
      <alignment horizontal="left" vertical="center" wrapText="1" indent="3"/>
    </xf>
    <xf numFmtId="0" fontId="26" fillId="0" borderId="2" xfId="0" applyFont="1" applyFill="1" applyBorder="1" applyAlignment="1">
      <alignment horizontal="left" vertical="center" indent="4"/>
    </xf>
    <xf numFmtId="0" fontId="135" fillId="0" borderId="2" xfId="0" applyFont="1" applyFill="1" applyBorder="1" applyAlignment="1">
      <alignment horizontal="left" indent="2"/>
    </xf>
    <xf numFmtId="0" fontId="26" fillId="0" borderId="2" xfId="0" applyFont="1" applyFill="1" applyBorder="1" applyAlignment="1">
      <alignment horizontal="left" indent="4"/>
    </xf>
    <xf numFmtId="0" fontId="136" fillId="0" borderId="0" xfId="0" applyFont="1"/>
    <xf numFmtId="0" fontId="58" fillId="0" borderId="0" xfId="5" applyAlignment="1" applyProtection="1"/>
    <xf numFmtId="13" fontId="6" fillId="0" borderId="0" xfId="1" applyNumberFormat="1" applyFont="1" applyAlignment="1">
      <alignment vertical="center"/>
    </xf>
    <xf numFmtId="9" fontId="21" fillId="0" borderId="2" xfId="2" applyFont="1" applyBorder="1" applyAlignment="1">
      <alignment horizontal="center" vertical="center"/>
    </xf>
    <xf numFmtId="43" fontId="55" fillId="0" borderId="2" xfId="0" applyNumberFormat="1" applyFont="1" applyBorder="1" applyAlignment="1">
      <alignment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0" fontId="137" fillId="12" borderId="2" xfId="0" applyFont="1" applyFill="1" applyBorder="1" applyAlignment="1">
      <alignment horizontal="left" vertical="center" indent="2"/>
    </xf>
    <xf numFmtId="43" fontId="27" fillId="12" borderId="2" xfId="1" applyFont="1" applyFill="1" applyBorder="1" applyAlignment="1">
      <alignment vertical="center"/>
    </xf>
    <xf numFmtId="0" fontId="137" fillId="12" borderId="2" xfId="0" applyFont="1" applyFill="1" applyBorder="1" applyAlignment="1">
      <alignment horizontal="left" vertical="center" indent="1"/>
    </xf>
    <xf numFmtId="9" fontId="21" fillId="12" borderId="2" xfId="2" applyFont="1" applyFill="1" applyBorder="1" applyAlignment="1">
      <alignment horizontal="center" vertical="center"/>
    </xf>
    <xf numFmtId="0" fontId="55" fillId="12" borderId="0" xfId="0" applyFont="1" applyFill="1" applyAlignment="1">
      <alignment vertical="center"/>
    </xf>
    <xf numFmtId="43" fontId="8" fillId="12" borderId="2" xfId="0" applyNumberFormat="1" applyFont="1" applyFill="1" applyBorder="1" applyAlignment="1">
      <alignment vertical="center"/>
    </xf>
    <xf numFmtId="0" fontId="137" fillId="20" borderId="2" xfId="0" applyFont="1" applyFill="1" applyBorder="1" applyAlignment="1">
      <alignment horizontal="left" vertical="center" indent="1"/>
    </xf>
    <xf numFmtId="43" fontId="27" fillId="20" borderId="2" xfId="0" applyNumberFormat="1" applyFont="1" applyFill="1" applyBorder="1" applyAlignment="1">
      <alignment vertical="center"/>
    </xf>
    <xf numFmtId="9" fontId="27" fillId="20" borderId="2" xfId="2" applyFont="1" applyFill="1" applyBorder="1" applyAlignment="1">
      <alignment vertical="center"/>
    </xf>
    <xf numFmtId="9" fontId="21" fillId="20" borderId="2" xfId="2" applyFont="1" applyFill="1" applyBorder="1" applyAlignment="1">
      <alignment horizontal="center" vertical="center"/>
    </xf>
    <xf numFmtId="0" fontId="5" fillId="20" borderId="0" xfId="0" applyFont="1" applyFill="1" applyAlignment="1">
      <alignment vertical="center"/>
    </xf>
    <xf numFmtId="0" fontId="55" fillId="20" borderId="0" xfId="0" applyFont="1" applyFill="1" applyAlignment="1">
      <alignment vertical="center"/>
    </xf>
    <xf numFmtId="0" fontId="137" fillId="20" borderId="2" xfId="0" applyFont="1" applyFill="1" applyBorder="1" applyAlignment="1">
      <alignment horizontal="left" vertical="center" indent="2"/>
    </xf>
    <xf numFmtId="9" fontId="105" fillId="0" borderId="2" xfId="2" applyFont="1" applyFill="1" applyBorder="1" applyAlignment="1">
      <alignment horizontal="center" vertical="center"/>
    </xf>
    <xf numFmtId="9" fontId="21" fillId="0" borderId="2" xfId="2" applyFont="1" applyFill="1" applyBorder="1" applyAlignment="1">
      <alignment horizontal="center" vertical="center"/>
    </xf>
    <xf numFmtId="43" fontId="36" fillId="0" borderId="0" xfId="1" applyFont="1" applyFill="1" applyAlignment="1">
      <alignment horizontal="center"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0" fontId="138" fillId="0" borderId="0" xfId="1" applyNumberFormat="1" applyFont="1" applyFill="1" applyAlignment="1">
      <alignment vertical="center"/>
    </xf>
    <xf numFmtId="43" fontId="139" fillId="0" borderId="0" xfId="1" applyFont="1" applyFill="1" applyAlignment="1">
      <alignment horizontal="right" vertical="center"/>
    </xf>
    <xf numFmtId="43" fontId="140" fillId="0" borderId="0" xfId="1" applyFont="1" applyFill="1" applyAlignment="1">
      <alignment horizontal="center" vertical="center"/>
    </xf>
    <xf numFmtId="0" fontId="140" fillId="0" borderId="0" xfId="0" applyFont="1" applyFill="1" applyAlignment="1">
      <alignment horizontal="center" vertical="center"/>
    </xf>
    <xf numFmtId="0" fontId="139" fillId="0" borderId="0" xfId="0" applyFont="1" applyFill="1" applyAlignment="1">
      <alignment vertical="center"/>
    </xf>
    <xf numFmtId="0" fontId="139" fillId="0" borderId="0" xfId="1" applyNumberFormat="1" applyFont="1" applyFill="1" applyAlignment="1">
      <alignment vertical="center"/>
    </xf>
    <xf numFmtId="0" fontId="139" fillId="0" borderId="0" xfId="1" applyNumberFormat="1" applyFont="1" applyFill="1" applyBorder="1" applyAlignment="1">
      <alignment vertical="center" wrapText="1"/>
    </xf>
    <xf numFmtId="43" fontId="139" fillId="0" borderId="8" xfId="1" applyFont="1" applyFill="1" applyBorder="1" applyAlignment="1">
      <alignment horizontal="right" vertical="center"/>
    </xf>
    <xf numFmtId="0" fontId="140" fillId="0" borderId="8" xfId="0" applyFont="1" applyFill="1" applyBorder="1" applyAlignment="1">
      <alignment horizontal="center" vertical="center"/>
    </xf>
    <xf numFmtId="0" fontId="21" fillId="21" borderId="0" xfId="0" applyFont="1" applyFill="1" applyAlignment="1">
      <alignment horizontal="center" vertical="center"/>
    </xf>
    <xf numFmtId="43" fontId="21" fillId="21" borderId="13" xfId="1" applyFont="1" applyFill="1" applyBorder="1" applyAlignment="1">
      <alignment horizontal="center" vertical="center" wrapText="1"/>
    </xf>
    <xf numFmtId="9" fontId="56" fillId="21" borderId="13" xfId="2" applyFont="1" applyFill="1" applyBorder="1" applyAlignment="1">
      <alignment horizontal="center" vertical="center" wrapText="1"/>
    </xf>
    <xf numFmtId="0" fontId="141" fillId="4" borderId="17" xfId="1" applyNumberFormat="1" applyFont="1" applyFill="1" applyBorder="1" applyAlignment="1">
      <alignment horizontal="left" vertical="center"/>
    </xf>
    <xf numFmtId="43" fontId="141" fillId="4" borderId="36" xfId="1" applyFont="1" applyFill="1" applyBorder="1" applyAlignment="1">
      <alignment horizontal="right" vertical="center"/>
    </xf>
    <xf numFmtId="9" fontId="141" fillId="4" borderId="14" xfId="2" applyNumberFormat="1" applyFont="1" applyFill="1" applyBorder="1" applyAlignment="1">
      <alignment horizontal="center" vertical="center"/>
    </xf>
    <xf numFmtId="43" fontId="141" fillId="4" borderId="0" xfId="0" applyNumberFormat="1" applyFont="1" applyFill="1" applyAlignment="1">
      <alignment vertical="center"/>
    </xf>
    <xf numFmtId="0" fontId="141" fillId="4" borderId="0" xfId="0" applyFont="1" applyFill="1" applyAlignment="1">
      <alignment vertical="center"/>
    </xf>
    <xf numFmtId="0" fontId="142" fillId="18" borderId="2" xfId="1" applyNumberFormat="1" applyFont="1" applyFill="1" applyBorder="1" applyAlignment="1">
      <alignment horizontal="left" vertical="center" wrapText="1" indent="1"/>
    </xf>
    <xf numFmtId="43" fontId="142" fillId="18" borderId="2" xfId="1" applyFont="1" applyFill="1" applyBorder="1" applyAlignment="1">
      <alignment horizontal="right" vertical="center"/>
    </xf>
    <xf numFmtId="9" fontId="142" fillId="18" borderId="1" xfId="2" applyNumberFormat="1" applyFont="1" applyFill="1" applyBorder="1" applyAlignment="1">
      <alignment horizontal="center" vertical="center"/>
    </xf>
    <xf numFmtId="0" fontId="142" fillId="18" borderId="0" xfId="0" applyFont="1" applyFill="1" applyAlignment="1">
      <alignment vertical="center"/>
    </xf>
    <xf numFmtId="0" fontId="142" fillId="0" borderId="2" xfId="1" applyNumberFormat="1" applyFont="1" applyFill="1" applyBorder="1" applyAlignment="1">
      <alignment horizontal="left" vertical="center" wrapText="1" indent="1"/>
    </xf>
    <xf numFmtId="43" fontId="142" fillId="0" borderId="2" xfId="1" applyFont="1" applyFill="1" applyBorder="1" applyAlignment="1">
      <alignment horizontal="right" vertical="center"/>
    </xf>
    <xf numFmtId="9" fontId="142" fillId="0" borderId="2" xfId="2" applyNumberFormat="1" applyFont="1" applyFill="1" applyBorder="1" applyAlignment="1">
      <alignment horizontal="center" vertical="center"/>
    </xf>
    <xf numFmtId="0" fontId="142" fillId="0" borderId="0" xfId="0" applyFont="1" applyFill="1" applyAlignment="1">
      <alignment vertical="center"/>
    </xf>
    <xf numFmtId="9" fontId="142" fillId="18" borderId="2" xfId="2" applyNumberFormat="1" applyFont="1" applyFill="1" applyBorder="1" applyAlignment="1">
      <alignment horizontal="center" vertical="center"/>
    </xf>
    <xf numFmtId="0" fontId="142" fillId="0" borderId="2" xfId="1" applyNumberFormat="1" applyFont="1" applyFill="1" applyBorder="1" applyAlignment="1">
      <alignment horizontal="left" vertical="center" wrapText="1" indent="2"/>
    </xf>
    <xf numFmtId="43" fontId="143" fillId="0" borderId="2" xfId="1" applyFont="1" applyFill="1" applyBorder="1" applyAlignment="1">
      <alignment horizontal="right" vertical="center"/>
    </xf>
    <xf numFmtId="0" fontId="142" fillId="0" borderId="2" xfId="1" applyNumberFormat="1" applyFont="1" applyFill="1" applyBorder="1" applyAlignment="1">
      <alignment horizontal="left" vertical="center" wrapText="1" indent="3"/>
    </xf>
    <xf numFmtId="0" fontId="142" fillId="0" borderId="2" xfId="1" applyNumberFormat="1" applyFont="1" applyFill="1" applyBorder="1" applyAlignment="1">
      <alignment horizontal="left" vertical="center" wrapText="1"/>
    </xf>
    <xf numFmtId="0" fontId="141" fillId="4" borderId="2" xfId="1" applyNumberFormat="1" applyFont="1" applyFill="1" applyBorder="1" applyAlignment="1">
      <alignment horizontal="left" vertical="center"/>
    </xf>
    <xf numFmtId="43" fontId="141" fillId="4" borderId="14" xfId="1" applyFont="1" applyFill="1" applyBorder="1" applyAlignment="1">
      <alignment horizontal="right" vertical="center"/>
    </xf>
    <xf numFmtId="9" fontId="141" fillId="4" borderId="13" xfId="2" applyNumberFormat="1" applyFont="1" applyFill="1" applyBorder="1" applyAlignment="1">
      <alignment horizontal="center" vertical="center"/>
    </xf>
    <xf numFmtId="0" fontId="142" fillId="18" borderId="4" xfId="0" applyFont="1" applyFill="1" applyBorder="1" applyAlignment="1">
      <alignment horizontal="left" vertical="center" indent="1"/>
    </xf>
    <xf numFmtId="0" fontId="142" fillId="0" borderId="2" xfId="1" applyNumberFormat="1" applyFont="1" applyFill="1" applyBorder="1" applyAlignment="1">
      <alignment horizontal="left" vertical="center" indent="3"/>
    </xf>
    <xf numFmtId="0" fontId="141" fillId="21" borderId="37" xfId="1" applyNumberFormat="1" applyFont="1" applyFill="1" applyBorder="1" applyAlignment="1">
      <alignment horizontal="left" vertical="center" wrapText="1" indent="1"/>
    </xf>
    <xf numFmtId="43" fontId="141" fillId="21" borderId="37" xfId="1" applyFont="1" applyFill="1" applyBorder="1" applyAlignment="1">
      <alignment horizontal="right" vertical="center"/>
    </xf>
    <xf numFmtId="9" fontId="141" fillId="21" borderId="37" xfId="2" applyNumberFormat="1" applyFont="1" applyFill="1" applyBorder="1" applyAlignment="1">
      <alignment horizontal="center" vertical="center"/>
    </xf>
    <xf numFmtId="43" fontId="141" fillId="21" borderId="0" xfId="0" applyNumberFormat="1" applyFont="1" applyFill="1" applyAlignment="1">
      <alignment vertical="center"/>
    </xf>
    <xf numFmtId="0" fontId="141" fillId="21" borderId="0" xfId="0" applyFont="1" applyFill="1" applyAlignment="1">
      <alignment vertical="center"/>
    </xf>
    <xf numFmtId="0" fontId="139" fillId="0" borderId="0" xfId="1" applyNumberFormat="1" applyFont="1" applyFill="1" applyAlignment="1">
      <alignment horizontal="left" vertical="center" wrapText="1"/>
    </xf>
    <xf numFmtId="43" fontId="139" fillId="0" borderId="0" xfId="1" applyFont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9" fillId="0" borderId="0" xfId="0" applyFont="1" applyFill="1" applyBorder="1" applyAlignment="1">
      <alignment vertical="center"/>
    </xf>
    <xf numFmtId="43" fontId="139" fillId="0" borderId="0" xfId="1" applyFont="1" applyFill="1" applyBorder="1" applyAlignment="1">
      <alignment horizontal="center" vertical="center"/>
    </xf>
    <xf numFmtId="43" fontId="139" fillId="0" borderId="0" xfId="1" applyFont="1" applyFill="1" applyBorder="1" applyAlignment="1">
      <alignment horizontal="right" vertical="center"/>
    </xf>
    <xf numFmtId="43" fontId="140" fillId="0" borderId="0" xfId="0" applyNumberFormat="1" applyFont="1" applyFill="1" applyBorder="1" applyAlignment="1">
      <alignment horizontal="center" vertical="center"/>
    </xf>
    <xf numFmtId="0" fontId="140" fillId="0" borderId="0" xfId="0" applyFont="1" applyFill="1" applyBorder="1" applyAlignment="1">
      <alignment horizontal="center" vertical="center"/>
    </xf>
    <xf numFmtId="0" fontId="139" fillId="0" borderId="0" xfId="1" applyNumberFormat="1" applyFont="1" applyFill="1" applyAlignment="1">
      <alignment vertical="center" wrapText="1"/>
    </xf>
    <xf numFmtId="0" fontId="144" fillId="0" borderId="0" xfId="1" applyNumberFormat="1" applyFont="1" applyFill="1" applyAlignment="1">
      <alignment vertical="center" wrapText="1"/>
    </xf>
    <xf numFmtId="0" fontId="138" fillId="0" borderId="0" xfId="0" applyFont="1" applyFill="1" applyAlignment="1">
      <alignment vertical="center"/>
    </xf>
    <xf numFmtId="43" fontId="144" fillId="0" borderId="0" xfId="1" applyFont="1" applyBorder="1" applyAlignment="1">
      <alignment horizontal="center" vertical="center"/>
    </xf>
    <xf numFmtId="43" fontId="138" fillId="0" borderId="0" xfId="1" applyFont="1" applyFill="1" applyAlignment="1">
      <alignment horizontal="right" vertical="center"/>
    </xf>
    <xf numFmtId="43" fontId="144" fillId="0" borderId="0" xfId="1" applyFont="1" applyFill="1" applyAlignment="1">
      <alignment horizontal="center" vertical="center"/>
    </xf>
    <xf numFmtId="0" fontId="145" fillId="0" borderId="0" xfId="0" applyFont="1" applyFill="1" applyAlignment="1">
      <alignment horizontal="center" vertical="center"/>
    </xf>
    <xf numFmtId="43" fontId="139" fillId="0" borderId="0" xfId="1" applyFont="1" applyBorder="1" applyAlignment="1">
      <alignment horizontal="center" vertical="center"/>
    </xf>
    <xf numFmtId="43" fontId="139" fillId="0" borderId="0" xfId="1" applyFont="1" applyFill="1" applyAlignment="1">
      <alignment horizontal="center" vertical="center"/>
    </xf>
    <xf numFmtId="0" fontId="139" fillId="0" borderId="0" xfId="1" applyNumberFormat="1" applyFont="1" applyAlignment="1">
      <alignment vertical="center" wrapText="1"/>
    </xf>
    <xf numFmtId="9" fontId="33" fillId="0" borderId="8" xfId="2" applyFont="1" applyFill="1" applyBorder="1" applyAlignment="1">
      <alignment vertical="center"/>
    </xf>
    <xf numFmtId="9" fontId="35" fillId="14" borderId="13" xfId="2" applyFont="1" applyFill="1" applyBorder="1" applyAlignment="1">
      <alignment horizontal="center" vertical="center" wrapText="1"/>
    </xf>
    <xf numFmtId="9" fontId="62" fillId="0" borderId="2" xfId="2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vertical="center"/>
    </xf>
    <xf numFmtId="0" fontId="35" fillId="0" borderId="1" xfId="0" applyNumberFormat="1" applyFont="1" applyFill="1" applyBorder="1" applyAlignment="1">
      <alignment horizontal="left" vertical="center"/>
    </xf>
    <xf numFmtId="43" fontId="35" fillId="0" borderId="1" xfId="1" applyFont="1" applyFill="1" applyBorder="1" applyAlignment="1">
      <alignment horizontal="center" vertical="center"/>
    </xf>
    <xf numFmtId="0" fontId="33" fillId="0" borderId="2" xfId="1" applyNumberFormat="1" applyFont="1" applyFill="1" applyBorder="1" applyAlignment="1">
      <alignment horizontal="left" vertical="center" wrapText="1" indent="1"/>
    </xf>
    <xf numFmtId="43" fontId="33" fillId="0" borderId="0" xfId="0" applyNumberFormat="1" applyFont="1" applyFill="1" applyBorder="1" applyAlignment="1">
      <alignment vertical="center"/>
    </xf>
    <xf numFmtId="9" fontId="33" fillId="15" borderId="2" xfId="2" applyFont="1" applyFill="1" applyBorder="1" applyAlignment="1">
      <alignment horizontal="center" vertical="center"/>
    </xf>
    <xf numFmtId="0" fontId="59" fillId="8" borderId="0" xfId="0" applyFont="1" applyFill="1" applyBorder="1" applyAlignment="1">
      <alignment horizontal="fill" vertical="center"/>
    </xf>
    <xf numFmtId="9" fontId="33" fillId="8" borderId="2" xfId="2" applyFont="1" applyFill="1" applyBorder="1" applyAlignment="1">
      <alignment horizontal="center" vertical="center"/>
    </xf>
    <xf numFmtId="9" fontId="36" fillId="0" borderId="1" xfId="2" applyFont="1" applyFill="1" applyBorder="1" applyAlignment="1">
      <alignment horizontal="center" vertical="center"/>
    </xf>
    <xf numFmtId="9" fontId="33" fillId="0" borderId="1" xfId="2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fill" vertical="center"/>
    </xf>
    <xf numFmtId="0" fontId="33" fillId="0" borderId="2" xfId="1" applyNumberFormat="1" applyFont="1" applyFill="1" applyBorder="1" applyAlignment="1">
      <alignment vertical="center"/>
    </xf>
    <xf numFmtId="9" fontId="33" fillId="17" borderId="2" xfId="2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vertical="center" wrapText="1"/>
    </xf>
    <xf numFmtId="43" fontId="33" fillId="0" borderId="2" xfId="3" applyFont="1" applyFill="1" applyBorder="1" applyAlignment="1">
      <alignment vertical="center"/>
    </xf>
    <xf numFmtId="0" fontId="59" fillId="15" borderId="0" xfId="0" applyFont="1" applyFill="1" applyBorder="1" applyAlignment="1">
      <alignment horizontal="fill" vertical="center"/>
    </xf>
    <xf numFmtId="0" fontId="59" fillId="5" borderId="0" xfId="0" applyFont="1" applyFill="1" applyBorder="1" applyAlignment="1">
      <alignment horizontal="fill" vertical="center"/>
    </xf>
    <xf numFmtId="9" fontId="33" fillId="5" borderId="2" xfId="2" applyFont="1" applyFill="1" applyBorder="1" applyAlignment="1">
      <alignment horizontal="center" vertical="center"/>
    </xf>
    <xf numFmtId="0" fontId="59" fillId="10" borderId="0" xfId="0" applyFont="1" applyFill="1" applyBorder="1" applyAlignment="1">
      <alignment horizontal="fill" vertical="center"/>
    </xf>
    <xf numFmtId="0" fontId="33" fillId="10" borderId="2" xfId="0" applyNumberFormat="1" applyFont="1" applyFill="1" applyBorder="1" applyAlignment="1">
      <alignment vertical="center"/>
    </xf>
    <xf numFmtId="0" fontId="33" fillId="10" borderId="2" xfId="0" applyNumberFormat="1" applyFont="1" applyFill="1" applyBorder="1" applyAlignment="1">
      <alignment horizontal="left" vertical="center"/>
    </xf>
    <xf numFmtId="43" fontId="33" fillId="10" borderId="2" xfId="0" applyNumberFormat="1" applyFont="1" applyFill="1" applyBorder="1" applyAlignment="1">
      <alignment vertical="center"/>
    </xf>
    <xf numFmtId="43" fontId="33" fillId="10" borderId="2" xfId="1" applyFont="1" applyFill="1" applyBorder="1" applyAlignment="1">
      <alignment horizontal="center" vertical="center"/>
    </xf>
    <xf numFmtId="43" fontId="33" fillId="10" borderId="0" xfId="1" applyFont="1" applyFill="1" applyAlignment="1">
      <alignment vertical="center"/>
    </xf>
    <xf numFmtId="9" fontId="33" fillId="10" borderId="2" xfId="2" applyFont="1" applyFill="1" applyBorder="1" applyAlignment="1">
      <alignment horizontal="center" vertical="center"/>
    </xf>
    <xf numFmtId="9" fontId="74" fillId="0" borderId="2" xfId="2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fill" vertical="center"/>
    </xf>
    <xf numFmtId="0" fontId="95" fillId="0" borderId="3" xfId="0" applyNumberFormat="1" applyFont="1" applyFill="1" applyBorder="1" applyAlignment="1">
      <alignment vertical="center"/>
    </xf>
    <xf numFmtId="0" fontId="33" fillId="8" borderId="0" xfId="0" applyFont="1" applyFill="1" applyBorder="1" applyAlignment="1">
      <alignment horizontal="fill" vertical="center"/>
    </xf>
    <xf numFmtId="0" fontId="33" fillId="0" borderId="2" xfId="1" applyNumberFormat="1" applyFont="1" applyFill="1" applyBorder="1" applyAlignment="1">
      <alignment horizontal="left" vertical="center" wrapText="1" indent="2"/>
    </xf>
    <xf numFmtId="43" fontId="35" fillId="11" borderId="0" xfId="1" applyFont="1" applyFill="1" applyAlignment="1">
      <alignment vertical="center"/>
    </xf>
    <xf numFmtId="43" fontId="5" fillId="0" borderId="0" xfId="0" applyNumberFormat="1" applyFont="1" applyFill="1" applyAlignment="1">
      <alignment vertical="center"/>
    </xf>
    <xf numFmtId="0" fontId="59" fillId="10" borderId="0" xfId="0" applyFont="1" applyFill="1" applyAlignment="1">
      <alignment vertical="center"/>
    </xf>
    <xf numFmtId="0" fontId="33" fillId="10" borderId="3" xfId="0" applyNumberFormat="1" applyFont="1" applyFill="1" applyBorder="1" applyAlignment="1">
      <alignment vertical="center"/>
    </xf>
    <xf numFmtId="0" fontId="33" fillId="10" borderId="7" xfId="0" applyNumberFormat="1" applyFont="1" applyFill="1" applyBorder="1" applyAlignment="1">
      <alignment horizontal="left" vertical="center"/>
    </xf>
    <xf numFmtId="0" fontId="33" fillId="10" borderId="0" xfId="0" applyFont="1" applyFill="1" applyAlignment="1">
      <alignment vertical="center"/>
    </xf>
    <xf numFmtId="0" fontId="146" fillId="0" borderId="3" xfId="0" applyNumberFormat="1" applyFont="1" applyFill="1" applyBorder="1" applyAlignment="1">
      <alignment vertical="center"/>
    </xf>
    <xf numFmtId="9" fontId="78" fillId="0" borderId="2" xfId="2" applyFont="1" applyFill="1" applyBorder="1" applyAlignment="1">
      <alignment horizontal="center" vertical="center"/>
    </xf>
    <xf numFmtId="9" fontId="66" fillId="5" borderId="2" xfId="2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fill" vertical="center"/>
    </xf>
    <xf numFmtId="9" fontId="35" fillId="0" borderId="2" xfId="2" applyFont="1" applyFill="1" applyBorder="1" applyAlignment="1">
      <alignment horizontal="center" vertical="center"/>
    </xf>
    <xf numFmtId="9" fontId="91" fillId="0" borderId="0" xfId="2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left" vertical="center"/>
    </xf>
    <xf numFmtId="9" fontId="33" fillId="0" borderId="0" xfId="2" applyFont="1" applyFill="1" applyBorder="1" applyAlignment="1">
      <alignment vertical="center"/>
    </xf>
    <xf numFmtId="0" fontId="33" fillId="4" borderId="0" xfId="0" applyFont="1" applyFill="1" applyBorder="1" applyAlignment="1">
      <alignment vertical="center"/>
    </xf>
    <xf numFmtId="0" fontId="33" fillId="0" borderId="0" xfId="0" applyNumberFormat="1" applyFont="1" applyFill="1" applyAlignment="1">
      <alignment horizontal="left" vertical="center"/>
    </xf>
    <xf numFmtId="0" fontId="147" fillId="0" borderId="0" xfId="0" applyNumberFormat="1" applyFont="1" applyFill="1" applyAlignment="1">
      <alignment vertical="center"/>
    </xf>
    <xf numFmtId="39" fontId="147" fillId="0" borderId="0" xfId="0" applyNumberFormat="1" applyFont="1" applyFill="1" applyBorder="1" applyAlignment="1">
      <alignment vertical="center"/>
    </xf>
    <xf numFmtId="0" fontId="147" fillId="0" borderId="0" xfId="0" applyFont="1" applyFill="1" applyAlignment="1">
      <alignment vertical="center"/>
    </xf>
    <xf numFmtId="39" fontId="33" fillId="0" borderId="0" xfId="0" applyNumberFormat="1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33" fillId="0" borderId="0" xfId="0" applyNumberFormat="1" applyFont="1" applyFill="1" applyBorder="1" applyAlignment="1">
      <alignment horizontal="left" vertical="center" indent="1"/>
    </xf>
    <xf numFmtId="0" fontId="33" fillId="0" borderId="0" xfId="0" applyNumberFormat="1" applyFont="1" applyFill="1" applyBorder="1" applyAlignment="1">
      <alignment horizontal="left" vertical="center" indent="2"/>
    </xf>
    <xf numFmtId="43" fontId="59" fillId="0" borderId="0" xfId="0" applyNumberFormat="1" applyFont="1" applyFill="1" applyBorder="1" applyAlignment="1">
      <alignment vertical="center"/>
    </xf>
    <xf numFmtId="9" fontId="59" fillId="0" borderId="0" xfId="2" applyFont="1" applyFill="1" applyBorder="1" applyAlignment="1">
      <alignment horizontal="center" vertical="center"/>
    </xf>
    <xf numFmtId="0" fontId="59" fillId="12" borderId="0" xfId="0" applyFont="1" applyFill="1" applyBorder="1" applyAlignment="1">
      <alignment vertical="center"/>
    </xf>
    <xf numFmtId="0" fontId="59" fillId="13" borderId="0" xfId="0" applyFont="1" applyFill="1" applyBorder="1" applyAlignment="1">
      <alignment vertical="center"/>
    </xf>
    <xf numFmtId="0" fontId="59" fillId="4" borderId="0" xfId="0" applyFont="1" applyFill="1" applyBorder="1" applyAlignment="1">
      <alignment vertical="center"/>
    </xf>
    <xf numFmtId="9" fontId="77" fillId="0" borderId="0" xfId="2" applyFont="1" applyFill="1" applyBorder="1" applyAlignment="1">
      <alignment horizontal="center" vertical="center"/>
    </xf>
    <xf numFmtId="0" fontId="59" fillId="0" borderId="0" xfId="0" applyNumberFormat="1" applyFont="1" applyFill="1" applyAlignment="1">
      <alignment vertical="center"/>
    </xf>
    <xf numFmtId="0" fontId="59" fillId="0" borderId="0" xfId="0" applyNumberFormat="1" applyFont="1" applyFill="1" applyAlignment="1">
      <alignment horizontal="left" vertical="center" indent="1"/>
    </xf>
    <xf numFmtId="43" fontId="59" fillId="0" borderId="24" xfId="0" applyNumberFormat="1" applyFont="1" applyFill="1" applyBorder="1" applyAlignment="1">
      <alignment vertical="center"/>
    </xf>
    <xf numFmtId="9" fontId="59" fillId="0" borderId="24" xfId="2" applyFont="1" applyFill="1" applyBorder="1" applyAlignment="1">
      <alignment horizontal="center" vertical="center"/>
    </xf>
    <xf numFmtId="0" fontId="59" fillId="13" borderId="0" xfId="0" applyFont="1" applyFill="1" applyAlignment="1">
      <alignment vertical="center"/>
    </xf>
    <xf numFmtId="0" fontId="59" fillId="0" borderId="0" xfId="0" applyNumberFormat="1" applyFont="1" applyFill="1" applyBorder="1" applyAlignment="1">
      <alignment vertical="center"/>
    </xf>
    <xf numFmtId="0" fontId="59" fillId="0" borderId="0" xfId="1" applyNumberFormat="1" applyFont="1" applyFill="1" applyBorder="1" applyAlignment="1">
      <alignment horizontal="left" vertical="center" indent="1"/>
    </xf>
    <xf numFmtId="9" fontId="59" fillId="0" borderId="0" xfId="2" applyFont="1" applyFill="1" applyBorder="1" applyAlignment="1">
      <alignment vertical="center"/>
    </xf>
    <xf numFmtId="9" fontId="52" fillId="0" borderId="0" xfId="2" applyFont="1" applyFill="1" applyAlignment="1">
      <alignment vertical="center"/>
    </xf>
    <xf numFmtId="9" fontId="52" fillId="0" borderId="0" xfId="2" applyFont="1" applyFill="1" applyBorder="1" applyAlignment="1">
      <alignment vertical="center"/>
    </xf>
    <xf numFmtId="9" fontId="36" fillId="0" borderId="0" xfId="2" applyFont="1" applyFill="1" applyBorder="1" applyAlignment="1">
      <alignment vertical="center"/>
    </xf>
    <xf numFmtId="0" fontId="59" fillId="0" borderId="0" xfId="0" applyNumberFormat="1" applyFont="1" applyFill="1" applyBorder="1" applyAlignment="1">
      <alignment horizontal="left" vertical="center" indent="1"/>
    </xf>
    <xf numFmtId="0" fontId="148" fillId="2" borderId="0" xfId="0" applyFont="1" applyFill="1" applyAlignment="1">
      <alignment vertical="center"/>
    </xf>
    <xf numFmtId="0" fontId="35" fillId="2" borderId="0" xfId="0" applyNumberFormat="1" applyFont="1" applyFill="1" applyAlignment="1">
      <alignment vertical="center"/>
    </xf>
    <xf numFmtId="0" fontId="35" fillId="2" borderId="0" xfId="1" applyNumberFormat="1" applyFont="1" applyFill="1" applyAlignment="1">
      <alignment horizontal="left" vertical="center"/>
    </xf>
    <xf numFmtId="43" fontId="35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vertical="center"/>
    </xf>
    <xf numFmtId="9" fontId="35" fillId="2" borderId="0" xfId="2" applyFont="1" applyFill="1" applyAlignment="1">
      <alignment vertical="center"/>
    </xf>
    <xf numFmtId="43" fontId="119" fillId="0" borderId="0" xfId="3" applyFont="1" applyFill="1" applyAlignment="1">
      <alignment vertical="center"/>
    </xf>
    <xf numFmtId="43" fontId="118" fillId="0" borderId="0" xfId="3" applyFont="1" applyFill="1" applyAlignment="1">
      <alignment vertical="center"/>
    </xf>
    <xf numFmtId="43" fontId="33" fillId="0" borderId="0" xfId="3" applyFont="1" applyFill="1" applyAlignment="1">
      <alignment vertical="center"/>
    </xf>
    <xf numFmtId="0" fontId="35" fillId="4" borderId="0" xfId="0" applyNumberFormat="1" applyFont="1" applyFill="1" applyAlignment="1">
      <alignment vertical="center"/>
    </xf>
    <xf numFmtId="43" fontId="35" fillId="4" borderId="0" xfId="0" applyNumberFormat="1" applyFont="1" applyFill="1" applyAlignment="1">
      <alignment vertical="center"/>
    </xf>
    <xf numFmtId="43" fontId="119" fillId="4" borderId="0" xfId="3" applyFont="1" applyFill="1" applyAlignment="1">
      <alignment vertical="center"/>
    </xf>
    <xf numFmtId="9" fontId="35" fillId="4" borderId="0" xfId="2" applyFont="1" applyFill="1" applyAlignment="1">
      <alignment vertical="center"/>
    </xf>
    <xf numFmtId="0" fontId="55" fillId="0" borderId="0" xfId="0" applyFont="1" applyFill="1" applyAlignment="1">
      <alignment horizontal="left" vertical="center"/>
    </xf>
    <xf numFmtId="43" fontId="33" fillId="0" borderId="0" xfId="1" applyFont="1" applyFill="1" applyAlignment="1">
      <alignment horizontal="right" vertical="center"/>
    </xf>
    <xf numFmtId="9" fontId="33" fillId="0" borderId="0" xfId="2" applyFont="1" applyFill="1" applyAlignment="1">
      <alignment horizontal="center" vertical="center"/>
    </xf>
    <xf numFmtId="168" fontId="33" fillId="0" borderId="0" xfId="1" applyNumberFormat="1" applyFont="1" applyFill="1" applyAlignment="1">
      <alignment vertical="center"/>
    </xf>
    <xf numFmtId="0" fontId="33" fillId="0" borderId="0" xfId="0" applyFont="1" applyFill="1"/>
    <xf numFmtId="0" fontId="35" fillId="0" borderId="8" xfId="0" applyFont="1" applyFill="1" applyBorder="1" applyAlignment="1">
      <alignment vertical="center"/>
    </xf>
    <xf numFmtId="0" fontId="33" fillId="0" borderId="8" xfId="0" applyNumberFormat="1" applyFont="1" applyFill="1" applyBorder="1" applyAlignment="1">
      <alignment horizontal="left" vertical="center" indent="11"/>
    </xf>
    <xf numFmtId="43" fontId="33" fillId="0" borderId="8" xfId="1" applyFont="1" applyFill="1" applyBorder="1" applyAlignment="1">
      <alignment vertical="center"/>
    </xf>
    <xf numFmtId="43" fontId="119" fillId="15" borderId="0" xfId="1" applyFont="1" applyFill="1" applyAlignment="1">
      <alignment vertical="center"/>
    </xf>
    <xf numFmtId="0" fontId="35" fillId="15" borderId="2" xfId="0" applyFont="1" applyFill="1" applyBorder="1" applyAlignment="1">
      <alignment vertical="center"/>
    </xf>
    <xf numFmtId="0" fontId="35" fillId="15" borderId="2" xfId="0" applyNumberFormat="1" applyFont="1" applyFill="1" applyBorder="1" applyAlignment="1">
      <alignment vertical="center" wrapText="1"/>
    </xf>
    <xf numFmtId="43" fontId="119" fillId="17" borderId="0" xfId="1" applyFont="1" applyFill="1" applyAlignment="1">
      <alignment vertical="center"/>
    </xf>
    <xf numFmtId="43" fontId="119" fillId="8" borderId="0" xfId="1" applyFont="1" applyFill="1" applyAlignment="1">
      <alignment vertical="center"/>
    </xf>
    <xf numFmtId="0" fontId="35" fillId="0" borderId="2" xfId="0" applyFont="1" applyFill="1" applyBorder="1" applyAlignment="1">
      <alignment vertical="center"/>
    </xf>
    <xf numFmtId="0" fontId="55" fillId="15" borderId="2" xfId="0" applyFont="1" applyFill="1" applyBorder="1" applyAlignment="1">
      <alignment vertical="center"/>
    </xf>
    <xf numFmtId="0" fontId="55" fillId="15" borderId="2" xfId="0" applyNumberFormat="1" applyFont="1" applyFill="1" applyBorder="1" applyAlignment="1">
      <alignment vertical="center" wrapText="1"/>
    </xf>
    <xf numFmtId="43" fontId="55" fillId="15" borderId="2" xfId="1" applyFont="1" applyFill="1" applyBorder="1" applyAlignment="1">
      <alignment horizontal="center" vertical="center"/>
    </xf>
    <xf numFmtId="9" fontId="6" fillId="15" borderId="2" xfId="2" applyNumberFormat="1" applyFont="1" applyFill="1" applyBorder="1" applyAlignment="1">
      <alignment horizontal="center" vertical="center"/>
    </xf>
    <xf numFmtId="43" fontId="118" fillId="10" borderId="0" xfId="1" applyFont="1" applyFill="1" applyAlignment="1">
      <alignment vertical="center"/>
    </xf>
    <xf numFmtId="9" fontId="33" fillId="10" borderId="2" xfId="2" applyNumberFormat="1" applyFont="1" applyFill="1" applyBorder="1" applyAlignment="1">
      <alignment horizontal="center" vertical="center"/>
    </xf>
    <xf numFmtId="0" fontId="33" fillId="0" borderId="2" xfId="1" applyNumberFormat="1" applyFont="1" applyFill="1" applyBorder="1" applyAlignment="1">
      <alignment horizontal="left" vertical="center" indent="2"/>
    </xf>
    <xf numFmtId="43" fontId="119" fillId="11" borderId="0" xfId="1" applyFont="1" applyFill="1" applyAlignment="1">
      <alignment vertical="center"/>
    </xf>
    <xf numFmtId="9" fontId="0" fillId="0" borderId="2" xfId="2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vertical="center"/>
    </xf>
    <xf numFmtId="0" fontId="59" fillId="0" borderId="0" xfId="0" applyNumberFormat="1" applyFont="1" applyFill="1" applyAlignment="1">
      <alignment horizontal="left" vertical="center" indent="2"/>
    </xf>
    <xf numFmtId="9" fontId="59" fillId="0" borderId="0" xfId="2" applyNumberFormat="1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vertical="center"/>
    </xf>
    <xf numFmtId="0" fontId="148" fillId="0" borderId="0" xfId="0" applyNumberFormat="1" applyFont="1" applyFill="1" applyBorder="1" applyAlignment="1">
      <alignment horizontal="left" vertical="center"/>
    </xf>
    <xf numFmtId="43" fontId="148" fillId="0" borderId="0" xfId="0" applyNumberFormat="1" applyFont="1" applyFill="1" applyBorder="1" applyAlignment="1">
      <alignment vertical="center"/>
    </xf>
    <xf numFmtId="0" fontId="148" fillId="12" borderId="0" xfId="0" applyFont="1" applyFill="1" applyBorder="1" applyAlignment="1">
      <alignment vertical="center"/>
    </xf>
    <xf numFmtId="0" fontId="148" fillId="19" borderId="0" xfId="0" applyFont="1" applyFill="1" applyBorder="1" applyAlignment="1">
      <alignment vertical="center"/>
    </xf>
    <xf numFmtId="0" fontId="148" fillId="4" borderId="0" xfId="0" applyFont="1" applyFill="1" applyBorder="1" applyAlignment="1">
      <alignment vertical="center"/>
    </xf>
    <xf numFmtId="0" fontId="148" fillId="0" borderId="0" xfId="0" applyFont="1" applyFill="1" applyAlignment="1">
      <alignment vertical="center"/>
    </xf>
    <xf numFmtId="0" fontId="148" fillId="0" borderId="0" xfId="0" applyNumberFormat="1" applyFont="1" applyFill="1" applyBorder="1" applyAlignment="1">
      <alignment horizontal="left" vertical="center" indent="2"/>
    </xf>
    <xf numFmtId="43" fontId="148" fillId="0" borderId="24" xfId="0" applyNumberFormat="1" applyFont="1" applyFill="1" applyBorder="1" applyAlignment="1">
      <alignment vertical="center"/>
    </xf>
    <xf numFmtId="9" fontId="59" fillId="0" borderId="24" xfId="2" applyNumberFormat="1" applyFont="1" applyFill="1" applyBorder="1" applyAlignment="1">
      <alignment horizontal="center" vertical="center"/>
    </xf>
    <xf numFmtId="0" fontId="148" fillId="12" borderId="0" xfId="0" applyFont="1" applyFill="1" applyAlignment="1">
      <alignment vertical="center"/>
    </xf>
    <xf numFmtId="0" fontId="148" fillId="4" borderId="0" xfId="0" applyFont="1" applyFill="1" applyAlignment="1">
      <alignment vertical="center"/>
    </xf>
    <xf numFmtId="0" fontId="148" fillId="0" borderId="0" xfId="1" applyNumberFormat="1" applyFont="1" applyFill="1" applyBorder="1" applyAlignment="1">
      <alignment horizontal="left" vertical="center" indent="2"/>
    </xf>
    <xf numFmtId="9" fontId="148" fillId="0" borderId="0" xfId="0" applyNumberFormat="1" applyFont="1" applyFill="1" applyBorder="1" applyAlignment="1">
      <alignment vertical="center"/>
    </xf>
    <xf numFmtId="43" fontId="59" fillId="12" borderId="0" xfId="0" applyNumberFormat="1" applyFont="1" applyFill="1" applyBorder="1" applyAlignment="1">
      <alignment vertical="center"/>
    </xf>
    <xf numFmtId="0" fontId="148" fillId="0" borderId="0" xfId="0" applyNumberFormat="1" applyFont="1" applyFill="1" applyAlignment="1">
      <alignment horizontal="left" vertical="center" indent="2"/>
    </xf>
    <xf numFmtId="43" fontId="119" fillId="2" borderId="0" xfId="1" applyFont="1" applyFill="1" applyAlignment="1">
      <alignment vertical="center"/>
    </xf>
    <xf numFmtId="0" fontId="33" fillId="0" borderId="0" xfId="1" applyNumberFormat="1" applyFont="1" applyFill="1" applyAlignment="1">
      <alignment horizontal="left" vertical="center"/>
    </xf>
    <xf numFmtId="43" fontId="142" fillId="18" borderId="0" xfId="0" applyNumberFormat="1" applyFont="1" applyFill="1" applyAlignment="1">
      <alignment vertical="center"/>
    </xf>
    <xf numFmtId="43" fontId="113" fillId="0" borderId="0" xfId="0" applyNumberFormat="1" applyFont="1" applyAlignment="1">
      <alignment vertical="center"/>
    </xf>
    <xf numFmtId="9" fontId="0" fillId="0" borderId="0" xfId="2" applyNumberFormat="1" applyFont="1" applyAlignment="1">
      <alignment horizontal="center" vertical="center"/>
    </xf>
    <xf numFmtId="9" fontId="1" fillId="2" borderId="9" xfId="2" applyNumberFormat="1" applyFont="1" applyFill="1" applyBorder="1" applyAlignment="1" applyProtection="1">
      <alignment horizontal="center" vertical="center"/>
    </xf>
    <xf numFmtId="9" fontId="1" fillId="2" borderId="10" xfId="2" applyNumberFormat="1" applyFont="1" applyFill="1" applyBorder="1" applyAlignment="1" applyProtection="1">
      <alignment horizontal="center" vertical="center"/>
    </xf>
    <xf numFmtId="9" fontId="1" fillId="2" borderId="11" xfId="2" applyNumberFormat="1" applyFont="1" applyFill="1" applyBorder="1" applyAlignment="1" applyProtection="1">
      <alignment horizontal="center" vertical="center"/>
    </xf>
    <xf numFmtId="9" fontId="1" fillId="2" borderId="13" xfId="2" applyNumberFormat="1" applyFont="1" applyFill="1" applyBorder="1" applyAlignment="1" applyProtection="1">
      <alignment horizontal="center" vertical="center"/>
    </xf>
    <xf numFmtId="9" fontId="2" fillId="0" borderId="1" xfId="2" applyNumberFormat="1" applyFont="1" applyBorder="1" applyAlignment="1">
      <alignment horizontal="center" vertical="center"/>
    </xf>
    <xf numFmtId="9" fontId="110" fillId="0" borderId="2" xfId="2" applyNumberFormat="1" applyFont="1" applyBorder="1" applyAlignment="1">
      <alignment horizontal="center" vertical="center"/>
    </xf>
    <xf numFmtId="9" fontId="16" fillId="0" borderId="2" xfId="2" applyNumberFormat="1" applyFont="1" applyBorder="1" applyAlignment="1">
      <alignment vertical="center"/>
    </xf>
    <xf numFmtId="9" fontId="38" fillId="0" borderId="2" xfId="2" applyNumberFormat="1" applyFont="1" applyBorder="1" applyAlignment="1">
      <alignment horizontal="center" vertical="center"/>
    </xf>
    <xf numFmtId="9" fontId="105" fillId="0" borderId="2" xfId="2" applyNumberFormat="1" applyFont="1" applyBorder="1" applyAlignment="1">
      <alignment horizontal="center" vertical="center"/>
    </xf>
    <xf numFmtId="9" fontId="2" fillId="0" borderId="2" xfId="2" applyNumberFormat="1" applyFont="1" applyBorder="1" applyAlignment="1">
      <alignment horizontal="center" vertical="center"/>
    </xf>
    <xf numFmtId="9" fontId="14" fillId="0" borderId="0" xfId="2" applyNumberFormat="1" applyFont="1" applyAlignment="1">
      <alignment horizontal="center" vertical="center"/>
    </xf>
    <xf numFmtId="9" fontId="14" fillId="0" borderId="0" xfId="2" applyNumberFormat="1" applyFont="1" applyAlignment="1">
      <alignment vertical="center"/>
    </xf>
    <xf numFmtId="0" fontId="149" fillId="0" borderId="2" xfId="0" applyFont="1" applyFill="1" applyBorder="1" applyAlignment="1">
      <alignment horizontal="left" vertical="center" indent="1"/>
    </xf>
    <xf numFmtId="43" fontId="150" fillId="0" borderId="2" xfId="1" applyFont="1" applyBorder="1" applyAlignment="1">
      <alignment vertical="center"/>
    </xf>
    <xf numFmtId="43" fontId="152" fillId="0" borderId="2" xfId="0" applyNumberFormat="1" applyFont="1" applyBorder="1" applyAlignment="1">
      <alignment vertical="center"/>
    </xf>
    <xf numFmtId="0" fontId="153" fillId="0" borderId="0" xfId="0" applyFont="1" applyAlignment="1">
      <alignment vertical="center"/>
    </xf>
    <xf numFmtId="0" fontId="154" fillId="0" borderId="2" xfId="0" applyFont="1" applyFill="1" applyBorder="1" applyAlignment="1">
      <alignment horizontal="left" indent="2"/>
    </xf>
    <xf numFmtId="43" fontId="113" fillId="0" borderId="2" xfId="1" applyFont="1" applyBorder="1" applyAlignment="1">
      <alignment vertical="center"/>
    </xf>
    <xf numFmtId="43" fontId="155" fillId="0" borderId="2" xfId="0" applyNumberFormat="1" applyFont="1" applyBorder="1" applyAlignment="1">
      <alignment vertical="center"/>
    </xf>
    <xf numFmtId="0" fontId="154" fillId="0" borderId="2" xfId="0" applyFont="1" applyFill="1" applyBorder="1" applyAlignment="1">
      <alignment horizontal="left" vertical="center" indent="2"/>
    </xf>
    <xf numFmtId="0" fontId="149" fillId="0" borderId="2" xfId="0" applyFont="1" applyBorder="1" applyAlignment="1">
      <alignment horizontal="left" vertical="center" indent="1"/>
    </xf>
    <xf numFmtId="43" fontId="150" fillId="0" borderId="2" xfId="0" applyNumberFormat="1" applyFont="1" applyBorder="1" applyAlignment="1">
      <alignment vertical="center"/>
    </xf>
    <xf numFmtId="9" fontId="150" fillId="0" borderId="2" xfId="2" applyFont="1" applyBorder="1" applyAlignment="1">
      <alignment vertical="center"/>
    </xf>
    <xf numFmtId="9" fontId="156" fillId="3" borderId="2" xfId="2" applyFont="1" applyFill="1" applyBorder="1" applyAlignment="1">
      <alignment horizontal="center" vertical="center"/>
    </xf>
    <xf numFmtId="0" fontId="157" fillId="0" borderId="0" xfId="0" applyFont="1" applyAlignment="1">
      <alignment vertical="center"/>
    </xf>
    <xf numFmtId="0" fontId="158" fillId="0" borderId="0" xfId="0" applyFont="1" applyAlignment="1">
      <alignment vertical="center"/>
    </xf>
    <xf numFmtId="0" fontId="149" fillId="0" borderId="2" xfId="0" applyFont="1" applyBorder="1" applyAlignment="1">
      <alignment horizontal="left" vertical="center"/>
    </xf>
    <xf numFmtId="43" fontId="113" fillId="0" borderId="2" xfId="0" applyNumberFormat="1" applyFont="1" applyBorder="1" applyAlignment="1">
      <alignment vertical="center"/>
    </xf>
    <xf numFmtId="0" fontId="159" fillId="0" borderId="0" xfId="0" applyFont="1" applyAlignment="1">
      <alignment vertical="center"/>
    </xf>
    <xf numFmtId="9" fontId="112" fillId="0" borderId="2" xfId="2" applyFont="1" applyFill="1" applyBorder="1" applyAlignment="1">
      <alignment horizontal="center" vertical="center"/>
    </xf>
    <xf numFmtId="9" fontId="151" fillId="0" borderId="2" xfId="2" applyNumberFormat="1" applyFont="1" applyBorder="1" applyAlignment="1">
      <alignment horizontal="center" vertical="center"/>
    </xf>
    <xf numFmtId="9" fontId="112" fillId="0" borderId="2" xfId="2" applyNumberFormat="1" applyFont="1" applyBorder="1" applyAlignment="1">
      <alignment horizontal="center" vertical="center"/>
    </xf>
    <xf numFmtId="9" fontId="1" fillId="0" borderId="2" xfId="2" applyNumberFormat="1" applyFont="1" applyBorder="1" applyAlignment="1">
      <alignment horizontal="center" vertical="center"/>
    </xf>
    <xf numFmtId="9" fontId="1" fillId="7" borderId="2" xfId="2" applyNumberFormat="1" applyFont="1" applyFill="1" applyBorder="1" applyAlignment="1">
      <alignment horizontal="center" vertical="center"/>
    </xf>
    <xf numFmtId="43" fontId="5" fillId="0" borderId="0" xfId="1" applyFont="1" applyAlignment="1">
      <alignment vertical="center"/>
    </xf>
    <xf numFmtId="43" fontId="157" fillId="0" borderId="0" xfId="1" applyFont="1" applyAlignment="1">
      <alignment vertical="center"/>
    </xf>
    <xf numFmtId="43" fontId="159" fillId="0" borderId="0" xfId="1" applyFont="1" applyAlignment="1">
      <alignment vertical="center"/>
    </xf>
    <xf numFmtId="43" fontId="113" fillId="0" borderId="0" xfId="1" applyFont="1" applyAlignment="1">
      <alignment vertical="center"/>
    </xf>
    <xf numFmtId="43" fontId="158" fillId="0" borderId="0" xfId="1" applyFont="1" applyAlignment="1">
      <alignment vertical="center"/>
    </xf>
    <xf numFmtId="43" fontId="5" fillId="7" borderId="0" xfId="1" applyFont="1" applyFill="1" applyAlignment="1">
      <alignment vertical="center"/>
    </xf>
    <xf numFmtId="165" fontId="3" fillId="8" borderId="2" xfId="0" applyNumberFormat="1" applyFont="1" applyFill="1" applyBorder="1" applyAlignment="1" applyProtection="1">
      <alignment horizontal="left"/>
    </xf>
    <xf numFmtId="0" fontId="3" fillId="8" borderId="2" xfId="0" applyFont="1" applyFill="1" applyBorder="1" applyAlignment="1">
      <alignment vertical="top" wrapText="1"/>
    </xf>
    <xf numFmtId="0" fontId="3" fillId="8" borderId="2" xfId="0" applyFont="1" applyFill="1" applyBorder="1"/>
    <xf numFmtId="165" fontId="3" fillId="8" borderId="2" xfId="0" applyNumberFormat="1" applyFont="1" applyFill="1" applyBorder="1" applyAlignment="1" applyProtection="1">
      <alignment horizontal="left" wrapText="1"/>
    </xf>
    <xf numFmtId="0" fontId="3" fillId="8" borderId="2" xfId="0" applyFont="1" applyFill="1" applyBorder="1" applyAlignment="1">
      <alignment vertical="top"/>
    </xf>
    <xf numFmtId="43" fontId="3" fillId="8" borderId="2" xfId="1" applyFont="1" applyFill="1" applyBorder="1"/>
    <xf numFmtId="165" fontId="3" fillId="8" borderId="2" xfId="0" applyNumberFormat="1" applyFont="1" applyFill="1" applyBorder="1" applyAlignment="1" applyProtection="1">
      <alignment vertical="top" wrapText="1"/>
    </xf>
    <xf numFmtId="0" fontId="0" fillId="8" borderId="2" xfId="0" applyFill="1" applyBorder="1"/>
    <xf numFmtId="0" fontId="106" fillId="8" borderId="4" xfId="0" applyFont="1" applyFill="1" applyBorder="1" applyAlignment="1">
      <alignment wrapText="1"/>
    </xf>
    <xf numFmtId="0" fontId="55" fillId="15" borderId="0" xfId="0" applyFont="1" applyFill="1" applyAlignment="1">
      <alignment vertical="center"/>
    </xf>
    <xf numFmtId="43" fontId="160" fillId="0" borderId="0" xfId="4" applyFont="1" applyFill="1" applyBorder="1" applyAlignment="1">
      <alignment horizontal="left" vertical="center"/>
    </xf>
    <xf numFmtId="43" fontId="35" fillId="0" borderId="0" xfId="1" applyFont="1" applyBorder="1" applyAlignment="1">
      <alignment vertical="center"/>
    </xf>
    <xf numFmtId="43" fontId="35" fillId="18" borderId="0" xfId="1" applyFont="1" applyFill="1" applyBorder="1" applyAlignment="1">
      <alignment vertical="center"/>
    </xf>
    <xf numFmtId="43" fontId="35" fillId="9" borderId="0" xfId="1" applyFont="1" applyFill="1" applyBorder="1" applyAlignment="1">
      <alignment vertical="center"/>
    </xf>
    <xf numFmtId="43" fontId="33" fillId="3" borderId="0" xfId="1" applyFont="1" applyFill="1" applyBorder="1" applyAlignment="1">
      <alignment vertical="center"/>
    </xf>
    <xf numFmtId="43" fontId="46" fillId="0" borderId="0" xfId="1" applyFont="1" applyFill="1" applyBorder="1" applyAlignment="1">
      <alignment vertical="center"/>
    </xf>
    <xf numFmtId="43" fontId="9" fillId="7" borderId="2" xfId="1" applyFont="1" applyFill="1" applyBorder="1"/>
    <xf numFmtId="43" fontId="8" fillId="7" borderId="0" xfId="1" applyFont="1" applyFill="1" applyAlignment="1">
      <alignment vertical="center"/>
    </xf>
    <xf numFmtId="43" fontId="0" fillId="7" borderId="0" xfId="1" applyFont="1" applyFill="1" applyAlignment="1">
      <alignment vertical="center"/>
    </xf>
    <xf numFmtId="43" fontId="55" fillId="2" borderId="5" xfId="1" applyFont="1" applyFill="1" applyBorder="1" applyAlignment="1" applyProtection="1">
      <alignment horizontal="center" vertical="center"/>
    </xf>
    <xf numFmtId="9" fontId="55" fillId="2" borderId="5" xfId="2" applyNumberFormat="1" applyFont="1" applyFill="1" applyBorder="1" applyAlignment="1" applyProtection="1">
      <alignment horizontal="center" vertical="center"/>
    </xf>
    <xf numFmtId="43" fontId="55" fillId="2" borderId="14" xfId="1" applyFont="1" applyFill="1" applyBorder="1" applyAlignment="1">
      <alignment vertical="center"/>
    </xf>
    <xf numFmtId="9" fontId="55" fillId="2" borderId="14" xfId="2" applyNumberFormat="1" applyFont="1" applyFill="1" applyBorder="1" applyAlignment="1">
      <alignment horizontal="center" vertical="center"/>
    </xf>
    <xf numFmtId="43" fontId="6" fillId="3" borderId="1" xfId="1" applyFont="1" applyFill="1" applyBorder="1" applyAlignment="1">
      <alignment horizontal="left" vertical="center"/>
    </xf>
    <xf numFmtId="43" fontId="6" fillId="3" borderId="1" xfId="1" applyFont="1" applyFill="1" applyBorder="1" applyAlignment="1">
      <alignment vertical="center"/>
    </xf>
    <xf numFmtId="9" fontId="6" fillId="3" borderId="1" xfId="2" applyNumberFormat="1" applyFont="1" applyFill="1" applyBorder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 wrapText="1"/>
    </xf>
    <xf numFmtId="10" fontId="55" fillId="2" borderId="2" xfId="2" applyNumberFormat="1" applyFont="1" applyFill="1" applyBorder="1" applyAlignment="1">
      <alignment horizontal="center" vertical="center" wrapText="1"/>
    </xf>
    <xf numFmtId="43" fontId="55" fillId="0" borderId="2" xfId="1" applyFont="1" applyBorder="1" applyAlignment="1" applyProtection="1">
      <alignment horizontal="left" vertical="center" indent="1"/>
    </xf>
    <xf numFmtId="43" fontId="6" fillId="3" borderId="2" xfId="1" applyFont="1" applyFill="1" applyBorder="1" applyAlignment="1">
      <alignment vertical="center"/>
    </xf>
    <xf numFmtId="9" fontId="6" fillId="3" borderId="2" xfId="2" applyNumberFormat="1" applyFont="1" applyFill="1" applyBorder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 wrapText="1"/>
    </xf>
    <xf numFmtId="43" fontId="6" fillId="0" borderId="2" xfId="1" applyFont="1" applyBorder="1" applyAlignment="1" applyProtection="1">
      <alignment horizontal="left" vertical="center" wrapText="1" indent="1"/>
    </xf>
    <xf numFmtId="43" fontId="6" fillId="0" borderId="2" xfId="1" applyFont="1" applyBorder="1" applyAlignment="1">
      <alignment horizontal="left" vertical="center" indent="1"/>
    </xf>
    <xf numFmtId="43" fontId="6" fillId="0" borderId="2" xfId="1" applyFont="1" applyBorder="1" applyAlignment="1">
      <alignment horizontal="left" vertical="center" wrapText="1" indent="1"/>
    </xf>
    <xf numFmtId="43" fontId="6" fillId="0" borderId="2" xfId="1" applyFont="1" applyBorder="1" applyAlignment="1">
      <alignment horizontal="left" vertical="center"/>
    </xf>
    <xf numFmtId="43" fontId="55" fillId="0" borderId="2" xfId="1" applyFont="1" applyBorder="1" applyAlignment="1">
      <alignment horizontal="left" vertical="center"/>
    </xf>
    <xf numFmtId="43" fontId="6" fillId="0" borderId="2" xfId="1" applyFont="1" applyFill="1" applyBorder="1" applyAlignment="1">
      <alignment horizontal="left" vertical="center" indent="1"/>
    </xf>
    <xf numFmtId="10" fontId="6" fillId="0" borderId="2" xfId="2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 applyProtection="1">
      <alignment horizontal="left" vertical="center" wrapText="1" indent="1"/>
    </xf>
    <xf numFmtId="0" fontId="6" fillId="0" borderId="2" xfId="1" applyNumberFormat="1" applyFont="1" applyBorder="1" applyAlignment="1" applyProtection="1">
      <alignment horizontal="left" vertical="center" wrapText="1" indent="1"/>
    </xf>
    <xf numFmtId="43" fontId="6" fillId="0" borderId="1" xfId="1" applyFont="1" applyBorder="1" applyAlignment="1">
      <alignment horizontal="left" vertical="center" wrapText="1"/>
    </xf>
    <xf numFmtId="43" fontId="56" fillId="0" borderId="2" xfId="1" applyFont="1" applyFill="1" applyBorder="1" applyAlignment="1">
      <alignment horizontal="left" vertical="center"/>
    </xf>
    <xf numFmtId="43" fontId="56" fillId="0" borderId="2" xfId="1" applyFont="1" applyBorder="1" applyAlignment="1">
      <alignment vertical="center"/>
    </xf>
    <xf numFmtId="43" fontId="108" fillId="0" borderId="2" xfId="1" applyFont="1" applyBorder="1" applyAlignment="1">
      <alignment vertical="center"/>
    </xf>
    <xf numFmtId="9" fontId="108" fillId="0" borderId="2" xfId="2" applyFont="1" applyBorder="1" applyAlignment="1">
      <alignment horizontal="center" vertical="center"/>
    </xf>
    <xf numFmtId="43" fontId="108" fillId="0" borderId="2" xfId="1" applyFont="1" applyBorder="1" applyAlignment="1">
      <alignment horizontal="left" vertical="center" indent="1"/>
    </xf>
    <xf numFmtId="9" fontId="33" fillId="3" borderId="2" xfId="2" applyNumberFormat="1" applyFont="1" applyFill="1" applyBorder="1" applyAlignment="1">
      <alignment horizontal="center" vertical="center"/>
    </xf>
    <xf numFmtId="43" fontId="33" fillId="0" borderId="1" xfId="1" applyFont="1" applyBorder="1" applyAlignment="1">
      <alignment horizontal="left" vertical="center" wrapText="1"/>
    </xf>
    <xf numFmtId="10" fontId="50" fillId="3" borderId="2" xfId="2" applyNumberFormat="1" applyFont="1" applyFill="1" applyBorder="1" applyAlignment="1">
      <alignment horizontal="center" vertical="center" wrapText="1"/>
    </xf>
    <xf numFmtId="43" fontId="35" fillId="0" borderId="1" xfId="1" applyFont="1" applyBorder="1" applyAlignment="1">
      <alignment horizontal="left" vertical="center" wrapText="1"/>
    </xf>
    <xf numFmtId="43" fontId="33" fillId="0" borderId="1" xfId="1" applyFont="1" applyBorder="1" applyAlignment="1">
      <alignment horizontal="left" vertical="center" wrapText="1" indent="1"/>
    </xf>
    <xf numFmtId="43" fontId="33" fillId="0" borderId="1" xfId="1" applyFont="1" applyBorder="1" applyAlignment="1">
      <alignment horizontal="left" vertical="center" wrapText="1" indent="2"/>
    </xf>
    <xf numFmtId="10" fontId="51" fillId="6" borderId="2" xfId="2" applyNumberFormat="1" applyFont="1" applyFill="1" applyBorder="1" applyAlignment="1">
      <alignment horizontal="center" vertical="center" wrapText="1"/>
    </xf>
    <xf numFmtId="10" fontId="51" fillId="2" borderId="2" xfId="2" applyNumberFormat="1" applyFont="1" applyFill="1" applyBorder="1" applyAlignment="1">
      <alignment horizontal="center" vertical="center" wrapText="1"/>
    </xf>
    <xf numFmtId="43" fontId="33" fillId="0" borderId="1" xfId="1" applyFont="1" applyBorder="1" applyAlignment="1">
      <alignment horizontal="left" vertical="center" indent="1"/>
    </xf>
    <xf numFmtId="43" fontId="33" fillId="0" borderId="2" xfId="1" applyFont="1" applyBorder="1" applyAlignment="1">
      <alignment horizontal="left" vertical="center" wrapText="1" indent="2"/>
    </xf>
    <xf numFmtId="43" fontId="33" fillId="0" borderId="2" xfId="1" applyFont="1" applyBorder="1" applyAlignment="1">
      <alignment horizontal="left" vertical="center" indent="2"/>
    </xf>
    <xf numFmtId="43" fontId="33" fillId="0" borderId="2" xfId="1" applyFont="1" applyBorder="1" applyAlignment="1">
      <alignment horizontal="left" vertical="center" indent="1"/>
    </xf>
    <xf numFmtId="43" fontId="33" fillId="0" borderId="3" xfId="1" applyFont="1" applyFill="1" applyBorder="1" applyAlignment="1">
      <alignment horizontal="left" vertical="center"/>
    </xf>
    <xf numFmtId="43" fontId="33" fillId="0" borderId="2" xfId="1" applyFont="1" applyBorder="1" applyAlignment="1" applyProtection="1">
      <alignment horizontal="left" vertical="center" indent="2"/>
    </xf>
    <xf numFmtId="43" fontId="35" fillId="0" borderId="2" xfId="1" applyFont="1" applyBorder="1" applyAlignment="1">
      <alignment horizontal="left" vertical="center" indent="1"/>
    </xf>
    <xf numFmtId="43" fontId="33" fillId="0" borderId="3" xfId="1" applyFont="1" applyBorder="1" applyAlignment="1" applyProtection="1">
      <alignment horizontal="left" vertical="center" wrapText="1" indent="2"/>
    </xf>
    <xf numFmtId="43" fontId="33" fillId="0" borderId="2" xfId="1" applyFont="1" applyBorder="1" applyAlignment="1" applyProtection="1">
      <alignment horizontal="left" vertical="center" wrapText="1" indent="2"/>
    </xf>
    <xf numFmtId="43" fontId="33" fillId="0" borderId="2" xfId="1" applyFont="1" applyFill="1" applyBorder="1" applyAlignment="1">
      <alignment horizontal="left" vertical="center" indent="1"/>
    </xf>
    <xf numFmtId="43" fontId="33" fillId="0" borderId="3" xfId="1" applyFont="1" applyFill="1" applyBorder="1" applyAlignment="1" applyProtection="1">
      <alignment horizontal="left" vertical="center" wrapText="1" indent="2"/>
    </xf>
    <xf numFmtId="10" fontId="50" fillId="0" borderId="2" xfId="2" applyNumberFormat="1" applyFont="1" applyFill="1" applyBorder="1" applyAlignment="1">
      <alignment horizontal="center" vertical="center" wrapText="1"/>
    </xf>
    <xf numFmtId="43" fontId="33" fillId="0" borderId="3" xfId="1" applyFont="1" applyBorder="1" applyAlignment="1">
      <alignment horizontal="left" vertical="center" wrapText="1" indent="2"/>
    </xf>
    <xf numFmtId="10" fontId="51" fillId="0" borderId="0" xfId="2" applyNumberFormat="1" applyFont="1" applyFill="1" applyBorder="1" applyAlignment="1">
      <alignment horizontal="center" vertical="center" wrapText="1"/>
    </xf>
    <xf numFmtId="43" fontId="33" fillId="4" borderId="0" xfId="0" applyNumberFormat="1" applyFont="1" applyFill="1" applyBorder="1" applyAlignment="1">
      <alignment vertical="center"/>
    </xf>
    <xf numFmtId="43" fontId="33" fillId="4" borderId="0" xfId="0" applyNumberFormat="1" applyFont="1" applyFill="1" applyBorder="1" applyAlignment="1">
      <alignment horizontal="left" vertical="center"/>
    </xf>
    <xf numFmtId="9" fontId="33" fillId="4" borderId="0" xfId="0" applyNumberFormat="1" applyFont="1" applyFill="1" applyBorder="1" applyAlignment="1">
      <alignment vertical="center"/>
    </xf>
    <xf numFmtId="0" fontId="50" fillId="4" borderId="0" xfId="0" applyFont="1" applyFill="1" applyBorder="1" applyAlignment="1">
      <alignment vertical="center" wrapText="1"/>
    </xf>
    <xf numFmtId="43" fontId="50" fillId="18" borderId="0" xfId="1" applyFont="1" applyFill="1" applyBorder="1" applyAlignment="1">
      <alignment vertical="center" wrapText="1"/>
    </xf>
    <xf numFmtId="43" fontId="33" fillId="0" borderId="0" xfId="0" applyNumberFormat="1" applyFont="1" applyFill="1" applyBorder="1" applyAlignment="1">
      <alignment horizontal="left" vertical="center"/>
    </xf>
    <xf numFmtId="9" fontId="33" fillId="0" borderId="0" xfId="0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vertical="center" wrapText="1"/>
    </xf>
    <xf numFmtId="0" fontId="33" fillId="5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43" fontId="33" fillId="0" borderId="0" xfId="0" applyNumberFormat="1" applyFont="1" applyFill="1" applyBorder="1" applyAlignment="1">
      <alignment vertical="center" wrapText="1"/>
    </xf>
    <xf numFmtId="43" fontId="35" fillId="0" borderId="0" xfId="0" applyNumberFormat="1" applyFont="1" applyFill="1" applyBorder="1" applyAlignment="1">
      <alignment horizontal="center" vertical="center"/>
    </xf>
    <xf numFmtId="9" fontId="33" fillId="0" borderId="0" xfId="1" applyNumberFormat="1" applyFont="1" applyFill="1" applyBorder="1" applyAlignment="1">
      <alignment vertical="center"/>
    </xf>
    <xf numFmtId="9" fontId="108" fillId="0" borderId="0" xfId="1" applyNumberFormat="1" applyFont="1" applyFill="1" applyBorder="1" applyAlignment="1">
      <alignment horizontal="center" vertical="center"/>
    </xf>
    <xf numFmtId="9" fontId="33" fillId="0" borderId="0" xfId="1" applyNumberFormat="1" applyFont="1" applyFill="1" applyAlignment="1">
      <alignment vertical="center"/>
    </xf>
    <xf numFmtId="43" fontId="147" fillId="0" borderId="0" xfId="1" applyFont="1" applyBorder="1" applyAlignment="1">
      <alignment vertical="center"/>
    </xf>
    <xf numFmtId="9" fontId="147" fillId="0" borderId="0" xfId="1" applyNumberFormat="1" applyFont="1" applyFill="1" applyAlignment="1">
      <alignment vertical="center"/>
    </xf>
    <xf numFmtId="0" fontId="33" fillId="0" borderId="0" xfId="0" applyFont="1" applyFill="1" applyAlignment="1">
      <alignment horizontal="left" vertical="center"/>
    </xf>
    <xf numFmtId="9" fontId="33" fillId="0" borderId="0" xfId="0" applyNumberFormat="1" applyFont="1" applyFill="1" applyAlignment="1">
      <alignment vertical="center"/>
    </xf>
    <xf numFmtId="0" fontId="50" fillId="0" borderId="0" xfId="0" applyFont="1" applyFill="1" applyAlignment="1">
      <alignment vertical="center" wrapText="1"/>
    </xf>
    <xf numFmtId="9" fontId="33" fillId="3" borderId="0" xfId="2" applyNumberFormat="1" applyFont="1" applyFill="1" applyBorder="1" applyAlignment="1">
      <alignment horizontal="center" vertical="center"/>
    </xf>
    <xf numFmtId="43" fontId="56" fillId="0" borderId="0" xfId="1" applyFont="1" applyAlignment="1">
      <alignment vertical="center"/>
    </xf>
    <xf numFmtId="43" fontId="56" fillId="2" borderId="5" xfId="1" applyFont="1" applyFill="1" applyBorder="1" applyAlignment="1" applyProtection="1">
      <alignment horizontal="center" vertical="center"/>
    </xf>
    <xf numFmtId="43" fontId="56" fillId="2" borderId="5" xfId="1" applyFont="1" applyFill="1" applyBorder="1" applyAlignment="1" applyProtection="1">
      <alignment vertical="center"/>
    </xf>
    <xf numFmtId="9" fontId="56" fillId="2" borderId="5" xfId="2" applyFont="1" applyFill="1" applyBorder="1" applyAlignment="1" applyProtection="1">
      <alignment horizontal="center" vertical="center"/>
    </xf>
    <xf numFmtId="43" fontId="56" fillId="2" borderId="14" xfId="1" applyFont="1" applyFill="1" applyBorder="1" applyAlignment="1">
      <alignment vertical="center"/>
    </xf>
    <xf numFmtId="9" fontId="56" fillId="2" borderId="14" xfId="2" applyFont="1" applyFill="1" applyBorder="1" applyAlignment="1">
      <alignment horizontal="center" vertical="center"/>
    </xf>
    <xf numFmtId="43" fontId="108" fillId="0" borderId="1" xfId="1" applyFont="1" applyBorder="1" applyAlignment="1">
      <alignment vertical="center"/>
    </xf>
    <xf numFmtId="9" fontId="108" fillId="0" borderId="1" xfId="2" applyFont="1" applyBorder="1" applyAlignment="1">
      <alignment horizontal="center" vertical="center"/>
    </xf>
    <xf numFmtId="43" fontId="56" fillId="0" borderId="1" xfId="1" applyFont="1" applyBorder="1" applyAlignment="1">
      <alignment vertical="center"/>
    </xf>
    <xf numFmtId="9" fontId="56" fillId="0" borderId="2" xfId="2" applyFont="1" applyBorder="1" applyAlignment="1">
      <alignment horizontal="center" vertical="center"/>
    </xf>
    <xf numFmtId="43" fontId="56" fillId="0" borderId="1" xfId="1" applyFont="1" applyBorder="1" applyAlignment="1">
      <alignment horizontal="left" vertical="center"/>
    </xf>
    <xf numFmtId="43" fontId="108" fillId="0" borderId="1" xfId="1" applyFont="1" applyBorder="1" applyAlignment="1">
      <alignment horizontal="left" vertical="center" indent="1"/>
    </xf>
    <xf numFmtId="43" fontId="108" fillId="0" borderId="1" xfId="1" applyFont="1" applyBorder="1" applyAlignment="1">
      <alignment horizontal="left" vertical="center" indent="2"/>
    </xf>
    <xf numFmtId="43" fontId="108" fillId="0" borderId="2" xfId="1" applyFont="1" applyFill="1" applyBorder="1" applyAlignment="1">
      <alignment horizontal="left" vertical="center" wrapText="1" indent="1"/>
    </xf>
    <xf numFmtId="43" fontId="108" fillId="0" borderId="2" xfId="1" applyFont="1" applyFill="1" applyBorder="1" applyAlignment="1">
      <alignment vertical="center"/>
    </xf>
    <xf numFmtId="9" fontId="108" fillId="0" borderId="2" xfId="2" applyFont="1" applyFill="1" applyBorder="1" applyAlignment="1">
      <alignment horizontal="center" vertical="center"/>
    </xf>
    <xf numFmtId="43" fontId="108" fillId="0" borderId="1" xfId="1" applyFont="1" applyFill="1" applyBorder="1" applyAlignment="1">
      <alignment horizontal="left" vertical="center" indent="1"/>
    </xf>
    <xf numFmtId="43" fontId="108" fillId="0" borderId="2" xfId="1" applyFont="1" applyFill="1" applyBorder="1" applyAlignment="1">
      <alignment horizontal="left" vertical="center" wrapText="1" indent="2"/>
    </xf>
    <xf numFmtId="43" fontId="108" fillId="0" borderId="1" xfId="1" applyFont="1" applyFill="1" applyBorder="1" applyAlignment="1">
      <alignment horizontal="left" vertical="center" indent="2"/>
    </xf>
    <xf numFmtId="43" fontId="108" fillId="0" borderId="1" xfId="1" applyFont="1" applyFill="1" applyBorder="1" applyAlignment="1">
      <alignment horizontal="left" vertical="center" wrapText="1" indent="2"/>
    </xf>
    <xf numFmtId="43" fontId="108" fillId="0" borderId="2" xfId="1" applyFont="1" applyFill="1" applyBorder="1"/>
    <xf numFmtId="43" fontId="108" fillId="0" borderId="1" xfId="1" applyFont="1" applyBorder="1" applyAlignment="1">
      <alignment horizontal="left" vertical="center"/>
    </xf>
    <xf numFmtId="43" fontId="108" fillId="0" borderId="2" xfId="1" applyFont="1" applyFill="1" applyBorder="1" applyAlignment="1">
      <alignment horizontal="left" vertical="center" wrapText="1" indent="3"/>
    </xf>
    <xf numFmtId="43" fontId="108" fillId="0" borderId="2" xfId="1" applyFont="1" applyFill="1" applyBorder="1" applyAlignment="1">
      <alignment horizontal="left" vertical="center" indent="3"/>
    </xf>
    <xf numFmtId="43" fontId="108" fillId="0" borderId="2" xfId="1" applyFont="1" applyFill="1" applyBorder="1" applyAlignment="1">
      <alignment horizontal="left" vertical="center" indent="2"/>
    </xf>
    <xf numFmtId="43" fontId="108" fillId="0" borderId="3" xfId="1" applyFont="1" applyFill="1" applyBorder="1" applyAlignment="1">
      <alignment horizontal="left" vertical="center" wrapText="1" indent="2"/>
    </xf>
    <xf numFmtId="43" fontId="108" fillId="0" borderId="3" xfId="1" applyFont="1" applyFill="1" applyBorder="1" applyAlignment="1">
      <alignment horizontal="left" vertical="center" wrapText="1" indent="3"/>
    </xf>
    <xf numFmtId="43" fontId="108" fillId="0" borderId="3" xfId="1" applyFont="1" applyFill="1" applyBorder="1" applyAlignment="1">
      <alignment horizontal="left" vertical="center" wrapText="1" indent="4"/>
    </xf>
    <xf numFmtId="43" fontId="108" fillId="0" borderId="2" xfId="1" applyFont="1" applyFill="1" applyBorder="1" applyAlignment="1">
      <alignment horizontal="left" vertical="center" indent="4"/>
    </xf>
    <xf numFmtId="43" fontId="108" fillId="0" borderId="2" xfId="1" applyFont="1" applyFill="1" applyBorder="1" applyAlignment="1">
      <alignment horizontal="left" vertical="center" indent="5"/>
    </xf>
    <xf numFmtId="43" fontId="108" fillId="0" borderId="2" xfId="1" applyFont="1" applyFill="1" applyBorder="1" applyAlignment="1">
      <alignment horizontal="left" vertical="center" indent="6"/>
    </xf>
    <xf numFmtId="43" fontId="108" fillId="0" borderId="2" xfId="1" applyFont="1" applyFill="1" applyBorder="1" applyAlignment="1">
      <alignment horizontal="left" vertical="center" indent="7"/>
    </xf>
    <xf numFmtId="43" fontId="108" fillId="0" borderId="3" xfId="1" applyFont="1" applyFill="1" applyBorder="1" applyAlignment="1">
      <alignment horizontal="left" vertical="center" wrapText="1" indent="7"/>
    </xf>
    <xf numFmtId="43" fontId="108" fillId="0" borderId="3" xfId="1" applyFont="1" applyBorder="1" applyAlignment="1">
      <alignment horizontal="left" vertical="center" wrapText="1" indent="2"/>
    </xf>
    <xf numFmtId="43" fontId="162" fillId="0" borderId="2" xfId="1" applyFont="1" applyBorder="1" applyAlignment="1" applyProtection="1">
      <alignment horizontal="right" vertical="center"/>
    </xf>
    <xf numFmtId="43" fontId="108" fillId="0" borderId="2" xfId="1" applyFont="1" applyBorder="1" applyAlignment="1" applyProtection="1">
      <alignment horizontal="left" vertical="center" indent="3"/>
    </xf>
    <xf numFmtId="43" fontId="108" fillId="0" borderId="2" xfId="1" applyFont="1" applyBorder="1" applyAlignment="1">
      <alignment horizontal="left" vertical="center" indent="2"/>
    </xf>
    <xf numFmtId="0" fontId="108" fillId="0" borderId="3" xfId="1" applyNumberFormat="1" applyFont="1" applyFill="1" applyBorder="1" applyAlignment="1" applyProtection="1">
      <alignment horizontal="left" vertical="center" wrapText="1" indent="3"/>
    </xf>
    <xf numFmtId="43" fontId="108" fillId="0" borderId="1" xfId="1" applyFont="1" applyFill="1" applyBorder="1" applyAlignment="1">
      <alignment vertical="center"/>
    </xf>
    <xf numFmtId="43" fontId="108" fillId="0" borderId="2" xfId="1" applyFont="1" applyBorder="1" applyAlignment="1" applyProtection="1">
      <alignment horizontal="right" vertical="center"/>
    </xf>
    <xf numFmtId="43" fontId="56" fillId="0" borderId="2" xfId="1" applyFont="1" applyBorder="1" applyAlignment="1">
      <alignment horizontal="left" vertical="center" indent="2"/>
    </xf>
    <xf numFmtId="43" fontId="108" fillId="0" borderId="3" xfId="1" applyFont="1" applyBorder="1" applyAlignment="1">
      <alignment horizontal="left" vertical="center" wrapText="1" indent="3"/>
    </xf>
    <xf numFmtId="43" fontId="108" fillId="0" borderId="2" xfId="1" applyFont="1" applyBorder="1" applyAlignment="1">
      <alignment horizontal="left" vertical="center" indent="3"/>
    </xf>
    <xf numFmtId="43" fontId="108" fillId="0" borderId="3" xfId="1" applyFont="1" applyBorder="1" applyAlignment="1" applyProtection="1">
      <alignment horizontal="left" vertical="center" wrapText="1" indent="4"/>
    </xf>
    <xf numFmtId="43" fontId="108" fillId="0" borderId="2" xfId="1" applyFont="1" applyBorder="1" applyAlignment="1" applyProtection="1">
      <alignment horizontal="left" vertical="center" wrapText="1" indent="4"/>
    </xf>
    <xf numFmtId="43" fontId="108" fillId="0" borderId="2" xfId="1" applyFont="1" applyFill="1" applyBorder="1" applyAlignment="1">
      <alignment horizontal="left" vertical="center"/>
    </xf>
    <xf numFmtId="43" fontId="108" fillId="0" borderId="2" xfId="1" applyFont="1" applyBorder="1" applyAlignment="1" applyProtection="1">
      <alignment horizontal="left" vertical="center" indent="4"/>
    </xf>
    <xf numFmtId="43" fontId="108" fillId="0" borderId="0" xfId="1" applyFont="1" applyBorder="1" applyAlignment="1" applyProtection="1">
      <alignment horizontal="right" vertical="center"/>
    </xf>
    <xf numFmtId="43" fontId="108" fillId="0" borderId="0" xfId="1" applyFont="1" applyBorder="1" applyAlignment="1">
      <alignment vertical="center"/>
    </xf>
    <xf numFmtId="43" fontId="6" fillId="0" borderId="2" xfId="3" applyFont="1" applyFill="1" applyBorder="1" applyAlignment="1">
      <alignment vertical="center"/>
    </xf>
    <xf numFmtId="9" fontId="108" fillId="0" borderId="2" xfId="2" applyFont="1" applyBorder="1" applyAlignment="1">
      <alignment vertical="center"/>
    </xf>
    <xf numFmtId="43" fontId="108" fillId="0" borderId="0" xfId="1" applyFont="1" applyFill="1" applyBorder="1" applyAlignment="1">
      <alignment vertical="center"/>
    </xf>
    <xf numFmtId="9" fontId="108" fillId="0" borderId="0" xfId="2" applyFont="1" applyFill="1" applyBorder="1" applyAlignment="1">
      <alignment horizontal="center" vertical="center"/>
    </xf>
    <xf numFmtId="43" fontId="56" fillId="18" borderId="0" xfId="1" applyFont="1" applyFill="1" applyBorder="1" applyAlignment="1">
      <alignment vertical="center"/>
    </xf>
    <xf numFmtId="43" fontId="108" fillId="18" borderId="0" xfId="1" applyFont="1" applyFill="1" applyBorder="1" applyAlignment="1">
      <alignment vertical="center"/>
    </xf>
    <xf numFmtId="43" fontId="163" fillId="0" borderId="0" xfId="1" applyFont="1" applyFill="1" applyBorder="1" applyAlignment="1">
      <alignment vertical="center" wrapText="1"/>
    </xf>
    <xf numFmtId="43" fontId="108" fillId="0" borderId="0" xfId="1" applyFont="1" applyFill="1" applyBorder="1" applyAlignment="1">
      <alignment horizontal="left" vertical="center" indent="1"/>
    </xf>
    <xf numFmtId="43" fontId="56" fillId="0" borderId="0" xfId="1" applyFont="1" applyFill="1" applyBorder="1" applyAlignment="1">
      <alignment horizontal="left" vertical="center" indent="1"/>
    </xf>
    <xf numFmtId="43" fontId="56" fillId="0" borderId="26" xfId="1" applyFont="1" applyFill="1" applyBorder="1" applyAlignment="1">
      <alignment vertical="center"/>
    </xf>
    <xf numFmtId="0" fontId="164" fillId="0" borderId="0" xfId="0" applyFont="1" applyAlignment="1">
      <alignment wrapText="1"/>
    </xf>
    <xf numFmtId="0" fontId="163" fillId="0" borderId="0" xfId="0" applyFont="1" applyAlignment="1">
      <alignment wrapText="1"/>
    </xf>
    <xf numFmtId="43" fontId="165" fillId="0" borderId="0" xfId="1" applyFont="1" applyAlignment="1">
      <alignment vertical="center"/>
    </xf>
    <xf numFmtId="9" fontId="147" fillId="0" borderId="0" xfId="2" applyFont="1" applyFill="1" applyAlignment="1">
      <alignment vertical="center"/>
    </xf>
    <xf numFmtId="9" fontId="163" fillId="0" borderId="0" xfId="2" applyFont="1" applyBorder="1" applyAlignment="1">
      <alignment horizontal="center" vertical="center"/>
    </xf>
    <xf numFmtId="9" fontId="16" fillId="0" borderId="2" xfId="2" applyFont="1" applyBorder="1" applyAlignment="1">
      <alignment vertical="center"/>
    </xf>
    <xf numFmtId="9" fontId="38" fillId="0" borderId="2" xfId="2" applyFont="1" applyBorder="1" applyAlignment="1">
      <alignment horizontal="center" vertical="center"/>
    </xf>
    <xf numFmtId="9" fontId="24" fillId="0" borderId="2" xfId="2" applyFont="1" applyBorder="1" applyAlignment="1">
      <alignment horizontal="center" vertical="center"/>
    </xf>
    <xf numFmtId="9" fontId="2" fillId="7" borderId="2" xfId="2" applyFont="1" applyFill="1" applyBorder="1" applyAlignment="1">
      <alignment horizontal="center" vertical="center"/>
    </xf>
    <xf numFmtId="9" fontId="14" fillId="0" borderId="0" xfId="2" applyFont="1" applyAlignment="1">
      <alignment vertical="center"/>
    </xf>
    <xf numFmtId="9" fontId="14" fillId="0" borderId="0" xfId="2" applyFont="1" applyAlignment="1">
      <alignment horizontal="center" vertical="center"/>
    </xf>
    <xf numFmtId="0" fontId="17" fillId="0" borderId="23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0" xfId="0" applyFont="1" applyFill="1"/>
    <xf numFmtId="0" fontId="3" fillId="0" borderId="0" xfId="0" applyFont="1" applyFill="1"/>
    <xf numFmtId="0" fontId="17" fillId="0" borderId="5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165" fontId="3" fillId="0" borderId="2" xfId="0" applyNumberFormat="1" applyFont="1" applyFill="1" applyBorder="1" applyAlignment="1" applyProtection="1">
      <alignment horizontal="left"/>
    </xf>
    <xf numFmtId="43" fontId="3" fillId="0" borderId="2" xfId="1" applyFont="1" applyFill="1" applyBorder="1" applyAlignment="1" applyProtection="1">
      <alignment horizontal="left"/>
    </xf>
    <xf numFmtId="0" fontId="57" fillId="8" borderId="2" xfId="0" applyFont="1" applyFill="1" applyBorder="1" applyAlignment="1">
      <alignment vertical="center"/>
    </xf>
    <xf numFmtId="43" fontId="3" fillId="0" borderId="2" xfId="1" applyFont="1" applyFill="1" applyBorder="1"/>
    <xf numFmtId="43" fontId="3" fillId="0" borderId="2" xfId="1" applyFont="1" applyFill="1" applyBorder="1" applyAlignment="1">
      <alignment wrapText="1"/>
    </xf>
    <xf numFmtId="43" fontId="3" fillId="0" borderId="5" xfId="1" applyFont="1" applyFill="1" applyBorder="1"/>
    <xf numFmtId="43" fontId="3" fillId="0" borderId="17" xfId="1" applyFont="1" applyFill="1" applyBorder="1"/>
    <xf numFmtId="0" fontId="0" fillId="0" borderId="2" xfId="0" applyFill="1" applyBorder="1"/>
    <xf numFmtId="165" fontId="3" fillId="0" borderId="2" xfId="1" applyNumberFormat="1" applyFont="1" applyFill="1" applyBorder="1"/>
    <xf numFmtId="0" fontId="0" fillId="0" borderId="0" xfId="0" applyFill="1"/>
    <xf numFmtId="0" fontId="53" fillId="0" borderId="0" xfId="0" applyFont="1" applyFill="1"/>
    <xf numFmtId="0" fontId="2" fillId="0" borderId="0" xfId="0" applyFont="1" applyAlignment="1">
      <alignment horizontal="center" vertical="center"/>
    </xf>
    <xf numFmtId="0" fontId="166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3" fontId="2" fillId="0" borderId="2" xfId="1" applyFont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3" fillId="0" borderId="2" xfId="0" applyFont="1" applyFill="1" applyBorder="1"/>
    <xf numFmtId="0" fontId="2" fillId="0" borderId="2" xfId="0" applyFont="1" applyFill="1" applyBorder="1" applyAlignment="1">
      <alignment vertical="top" wrapText="1"/>
    </xf>
    <xf numFmtId="165" fontId="3" fillId="0" borderId="2" xfId="0" applyNumberFormat="1" applyFont="1" applyFill="1" applyBorder="1" applyAlignment="1" applyProtection="1">
      <alignment horizontal="left" wrapText="1"/>
    </xf>
    <xf numFmtId="165" fontId="3" fillId="0" borderId="2" xfId="0" applyNumberFormat="1" applyFont="1" applyFill="1" applyBorder="1" applyAlignment="1" applyProtection="1">
      <alignment vertical="top" wrapText="1"/>
    </xf>
    <xf numFmtId="0" fontId="0" fillId="0" borderId="2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6" fillId="0" borderId="4" xfId="0" applyFont="1" applyFill="1" applyBorder="1" applyAlignment="1">
      <alignment wrapText="1"/>
    </xf>
    <xf numFmtId="43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9" fontId="36" fillId="0" borderId="0" xfId="2" applyFont="1" applyFill="1" applyAlignment="1">
      <alignment horizontal="center" vertical="center"/>
    </xf>
    <xf numFmtId="0" fontId="17" fillId="0" borderId="15" xfId="0" applyFont="1" applyBorder="1" applyAlignment="1">
      <alignment horizontal="center" wrapText="1"/>
    </xf>
    <xf numFmtId="0" fontId="17" fillId="0" borderId="11" xfId="0" applyFont="1" applyBorder="1" applyAlignment="1">
      <alignment horizontal="center"/>
    </xf>
    <xf numFmtId="43" fontId="5" fillId="0" borderId="0" xfId="0" applyNumberFormat="1" applyFont="1" applyAlignment="1">
      <alignment vertical="center"/>
    </xf>
    <xf numFmtId="0" fontId="35" fillId="12" borderId="0" xfId="0" applyFont="1" applyFill="1" applyAlignment="1">
      <alignment horizontal="center" vertical="center"/>
    </xf>
    <xf numFmtId="0" fontId="35" fillId="13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0" fontId="62" fillId="13" borderId="0" xfId="0" applyFont="1" applyFill="1" applyAlignment="1">
      <alignment vertical="center"/>
    </xf>
    <xf numFmtId="0" fontId="71" fillId="12" borderId="0" xfId="0" applyFont="1" applyFill="1" applyAlignment="1">
      <alignment vertical="center"/>
    </xf>
    <xf numFmtId="0" fontId="74" fillId="12" borderId="0" xfId="0" applyFont="1" applyFill="1" applyAlignment="1">
      <alignment vertical="center"/>
    </xf>
    <xf numFmtId="0" fontId="74" fillId="13" borderId="0" xfId="0" applyFont="1" applyFill="1" applyAlignment="1">
      <alignment vertical="center"/>
    </xf>
    <xf numFmtId="0" fontId="167" fillId="4" borderId="0" xfId="0" applyFont="1" applyFill="1" applyAlignment="1">
      <alignment vertical="center"/>
    </xf>
    <xf numFmtId="0" fontId="168" fillId="4" borderId="0" xfId="0" applyFont="1" applyFill="1" applyAlignment="1">
      <alignment vertical="center"/>
    </xf>
    <xf numFmtId="0" fontId="67" fillId="12" borderId="0" xfId="0" applyFont="1" applyFill="1" applyAlignment="1">
      <alignment vertical="center"/>
    </xf>
    <xf numFmtId="0" fontId="76" fillId="12" borderId="0" xfId="0" applyFont="1" applyFill="1" applyAlignment="1">
      <alignment vertical="center"/>
    </xf>
    <xf numFmtId="0" fontId="76" fillId="13" borderId="0" xfId="0" applyFont="1" applyFill="1" applyAlignment="1">
      <alignment vertical="center"/>
    </xf>
    <xf numFmtId="0" fontId="44" fillId="12" borderId="0" xfId="0" applyFont="1" applyFill="1" applyAlignment="1">
      <alignment vertical="center"/>
    </xf>
    <xf numFmtId="0" fontId="169" fillId="13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66" fillId="12" borderId="0" xfId="0" applyFont="1" applyFill="1" applyAlignment="1">
      <alignment vertical="center"/>
    </xf>
    <xf numFmtId="0" fontId="170" fillId="13" borderId="0" xfId="0" applyFont="1" applyFill="1" applyAlignment="1">
      <alignment vertical="center"/>
    </xf>
    <xf numFmtId="0" fontId="44" fillId="13" borderId="0" xfId="0" applyFont="1" applyFill="1" applyAlignment="1">
      <alignment vertical="center"/>
    </xf>
    <xf numFmtId="0" fontId="171" fillId="12" borderId="0" xfId="0" applyFont="1" applyFill="1" applyAlignment="1">
      <alignment horizontal="left" vertical="center"/>
    </xf>
    <xf numFmtId="0" fontId="172" fillId="13" borderId="0" xfId="0" applyFont="1" applyFill="1" applyAlignment="1">
      <alignment horizontal="left" vertical="center"/>
    </xf>
    <xf numFmtId="0" fontId="171" fillId="4" borderId="0" xfId="0" applyFont="1" applyFill="1" applyAlignment="1">
      <alignment horizontal="left" vertical="center"/>
    </xf>
    <xf numFmtId="0" fontId="172" fillId="12" borderId="0" xfId="0" applyFont="1" applyFill="1" applyAlignment="1">
      <alignment horizontal="left" vertical="center"/>
    </xf>
    <xf numFmtId="0" fontId="172" fillId="4" borderId="0" xfId="0" applyFont="1" applyFill="1" applyAlignment="1">
      <alignment horizontal="left" vertical="center"/>
    </xf>
    <xf numFmtId="0" fontId="33" fillId="12" borderId="0" xfId="0" applyFont="1" applyFill="1" applyBorder="1" applyAlignment="1">
      <alignment vertical="center"/>
    </xf>
    <xf numFmtId="9" fontId="40" fillId="0" borderId="0" xfId="2" applyFont="1" applyFill="1" applyAlignment="1">
      <alignment vertical="center"/>
    </xf>
    <xf numFmtId="43" fontId="33" fillId="12" borderId="0" xfId="1" applyFont="1" applyFill="1" applyAlignment="1">
      <alignment vertical="center"/>
    </xf>
    <xf numFmtId="0" fontId="33" fillId="0" borderId="0" xfId="0" applyFont="1" applyFill="1" applyAlignment="1">
      <alignment vertical="center" wrapText="1"/>
    </xf>
    <xf numFmtId="0" fontId="70" fillId="12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0" fontId="61" fillId="12" borderId="0" xfId="0" applyFont="1" applyFill="1" applyAlignment="1">
      <alignment vertical="center"/>
    </xf>
    <xf numFmtId="0" fontId="81" fillId="12" borderId="0" xfId="0" applyFont="1" applyFill="1" applyAlignment="1">
      <alignment vertical="center"/>
    </xf>
    <xf numFmtId="0" fontId="74" fillId="19" borderId="0" xfId="0" applyFont="1" applyFill="1" applyAlignment="1">
      <alignment vertical="center"/>
    </xf>
    <xf numFmtId="0" fontId="76" fillId="19" borderId="0" xfId="0" applyFont="1" applyFill="1" applyAlignment="1">
      <alignment vertical="center"/>
    </xf>
    <xf numFmtId="0" fontId="66" fillId="19" borderId="0" xfId="0" applyFont="1" applyFill="1" applyAlignment="1">
      <alignment vertical="center"/>
    </xf>
    <xf numFmtId="43" fontId="35" fillId="14" borderId="2" xfId="1" applyFont="1" applyFill="1" applyBorder="1" applyAlignment="1">
      <alignment horizontal="center" vertical="center" wrapText="1"/>
    </xf>
    <xf numFmtId="0" fontId="21" fillId="21" borderId="5" xfId="1" applyNumberFormat="1" applyFont="1" applyFill="1" applyBorder="1" applyAlignment="1">
      <alignment horizontal="center" vertical="center" wrapText="1"/>
    </xf>
    <xf numFmtId="0" fontId="21" fillId="21" borderId="14" xfId="1" applyNumberFormat="1" applyFont="1" applyFill="1" applyBorder="1" applyAlignment="1">
      <alignment horizontal="center" vertical="center" wrapText="1"/>
    </xf>
    <xf numFmtId="43" fontId="21" fillId="21" borderId="2" xfId="1" applyFont="1" applyFill="1" applyBorder="1" applyAlignment="1">
      <alignment horizontal="center" vertical="center" wrapText="1"/>
    </xf>
    <xf numFmtId="9" fontId="56" fillId="21" borderId="2" xfId="2" applyFont="1" applyFill="1" applyBorder="1" applyAlignment="1">
      <alignment horizontal="center" vertical="center" wrapText="1"/>
    </xf>
    <xf numFmtId="0" fontId="35" fillId="8" borderId="3" xfId="0" applyNumberFormat="1" applyFont="1" applyFill="1" applyBorder="1" applyAlignment="1">
      <alignment horizontal="left" vertical="center" wrapText="1"/>
    </xf>
    <xf numFmtId="0" fontId="35" fillId="8" borderId="6" xfId="0" applyNumberFormat="1" applyFont="1" applyFill="1" applyBorder="1" applyAlignment="1">
      <alignment horizontal="left" vertical="center" wrapText="1"/>
    </xf>
    <xf numFmtId="0" fontId="35" fillId="8" borderId="7" xfId="0" applyNumberFormat="1" applyFont="1" applyFill="1" applyBorder="1" applyAlignment="1">
      <alignment horizontal="left" vertical="center" wrapText="1"/>
    </xf>
    <xf numFmtId="0" fontId="43" fillId="5" borderId="3" xfId="0" applyNumberFormat="1" applyFont="1" applyFill="1" applyBorder="1" applyAlignment="1">
      <alignment horizontal="left" vertical="center" wrapText="1" indent="1"/>
    </xf>
    <xf numFmtId="0" fontId="43" fillId="5" borderId="6" xfId="0" applyNumberFormat="1" applyFont="1" applyFill="1" applyBorder="1" applyAlignment="1">
      <alignment horizontal="left" vertical="center" wrapText="1" indent="1"/>
    </xf>
    <xf numFmtId="0" fontId="43" fillId="5" borderId="7" xfId="0" applyNumberFormat="1" applyFont="1" applyFill="1" applyBorder="1" applyAlignment="1">
      <alignment horizontal="left" vertical="center" wrapText="1" indent="1"/>
    </xf>
    <xf numFmtId="0" fontId="35" fillId="8" borderId="3" xfId="0" applyNumberFormat="1" applyFont="1" applyFill="1" applyBorder="1" applyAlignment="1">
      <alignment horizontal="left" vertical="center"/>
    </xf>
    <xf numFmtId="0" fontId="35" fillId="8" borderId="6" xfId="0" applyNumberFormat="1" applyFont="1" applyFill="1" applyBorder="1" applyAlignment="1">
      <alignment horizontal="left" vertical="center"/>
    </xf>
    <xf numFmtId="0" fontId="35" fillId="8" borderId="7" xfId="0" applyNumberFormat="1" applyFont="1" applyFill="1" applyBorder="1" applyAlignment="1">
      <alignment horizontal="left" vertical="center"/>
    </xf>
    <xf numFmtId="0" fontId="35" fillId="15" borderId="3" xfId="0" applyNumberFormat="1" applyFont="1" applyFill="1" applyBorder="1" applyAlignment="1">
      <alignment horizontal="left" vertical="center" wrapText="1"/>
    </xf>
    <xf numFmtId="0" fontId="35" fillId="15" borderId="6" xfId="0" applyNumberFormat="1" applyFont="1" applyFill="1" applyBorder="1" applyAlignment="1">
      <alignment horizontal="left" vertical="center" wrapText="1"/>
    </xf>
    <xf numFmtId="0" fontId="35" fillId="15" borderId="7" xfId="0" applyNumberFormat="1" applyFont="1" applyFill="1" applyBorder="1" applyAlignment="1">
      <alignment horizontal="left" vertical="center" wrapText="1"/>
    </xf>
    <xf numFmtId="0" fontId="35" fillId="17" borderId="3" xfId="0" applyNumberFormat="1" applyFont="1" applyFill="1" applyBorder="1" applyAlignment="1">
      <alignment vertical="center" wrapText="1"/>
    </xf>
    <xf numFmtId="0" fontId="35" fillId="17" borderId="6" xfId="0" applyNumberFormat="1" applyFont="1" applyFill="1" applyBorder="1" applyAlignment="1">
      <alignment vertical="center" wrapText="1"/>
    </xf>
    <xf numFmtId="0" fontId="35" fillId="17" borderId="7" xfId="0" applyNumberFormat="1" applyFont="1" applyFill="1" applyBorder="1" applyAlignment="1">
      <alignment vertical="center" wrapText="1"/>
    </xf>
    <xf numFmtId="0" fontId="35" fillId="8" borderId="3" xfId="0" applyNumberFormat="1" applyFont="1" applyFill="1" applyBorder="1" applyAlignment="1">
      <alignment vertical="center" wrapText="1"/>
    </xf>
    <xf numFmtId="0" fontId="35" fillId="8" borderId="6" xfId="0" applyNumberFormat="1" applyFont="1" applyFill="1" applyBorder="1" applyAlignment="1">
      <alignment vertical="center" wrapText="1"/>
    </xf>
    <xf numFmtId="0" fontId="35" fillId="8" borderId="7" xfId="0" applyNumberFormat="1" applyFont="1" applyFill="1" applyBorder="1" applyAlignment="1">
      <alignment vertical="center" wrapText="1"/>
    </xf>
    <xf numFmtId="0" fontId="35" fillId="5" borderId="3" xfId="0" applyNumberFormat="1" applyFont="1" applyFill="1" applyBorder="1" applyAlignment="1">
      <alignment horizontal="left" vertical="center" wrapText="1"/>
    </xf>
    <xf numFmtId="0" fontId="35" fillId="5" borderId="6" xfId="0" applyNumberFormat="1" applyFont="1" applyFill="1" applyBorder="1" applyAlignment="1">
      <alignment horizontal="left" vertical="center" wrapText="1"/>
    </xf>
    <xf numFmtId="0" fontId="35" fillId="5" borderId="7" xfId="0" applyNumberFormat="1" applyFont="1" applyFill="1" applyBorder="1" applyAlignment="1">
      <alignment horizontal="left" vertical="center" wrapText="1"/>
    </xf>
    <xf numFmtId="43" fontId="35" fillId="14" borderId="3" xfId="1" applyFont="1" applyFill="1" applyBorder="1" applyAlignment="1">
      <alignment horizontal="center" vertical="center" wrapText="1"/>
    </xf>
    <xf numFmtId="43" fontId="35" fillId="14" borderId="6" xfId="1" applyFont="1" applyFill="1" applyBorder="1" applyAlignment="1">
      <alignment horizontal="center" vertical="center" wrapText="1"/>
    </xf>
    <xf numFmtId="43" fontId="35" fillId="14" borderId="7" xfId="1" applyFont="1" applyFill="1" applyBorder="1" applyAlignment="1">
      <alignment horizontal="center" vertical="center" wrapText="1"/>
    </xf>
    <xf numFmtId="9" fontId="35" fillId="14" borderId="3" xfId="2" applyFont="1" applyFill="1" applyBorder="1" applyAlignment="1">
      <alignment horizontal="center" vertical="center" wrapText="1"/>
    </xf>
    <xf numFmtId="9" fontId="35" fillId="14" borderId="6" xfId="2" applyFont="1" applyFill="1" applyBorder="1" applyAlignment="1">
      <alignment horizontal="center" vertical="center" wrapText="1"/>
    </xf>
    <xf numFmtId="9" fontId="35" fillId="14" borderId="7" xfId="2" applyFont="1" applyFill="1" applyBorder="1" applyAlignment="1">
      <alignment horizontal="center" vertical="center" wrapText="1"/>
    </xf>
    <xf numFmtId="9" fontId="36" fillId="0" borderId="0" xfId="2" applyFont="1" applyFill="1" applyAlignment="1">
      <alignment horizontal="center" vertical="center"/>
    </xf>
    <xf numFmtId="0" fontId="93" fillId="0" borderId="3" xfId="0" applyNumberFormat="1" applyFont="1" applyFill="1" applyBorder="1" applyAlignment="1">
      <alignment horizontal="left" vertical="center" wrapText="1"/>
    </xf>
    <xf numFmtId="0" fontId="93" fillId="0" borderId="6" xfId="0" applyNumberFormat="1" applyFont="1" applyFill="1" applyBorder="1" applyAlignment="1">
      <alignment horizontal="left" vertical="center" wrapText="1"/>
    </xf>
    <xf numFmtId="0" fontId="93" fillId="0" borderId="7" xfId="0" applyNumberFormat="1" applyFont="1" applyFill="1" applyBorder="1" applyAlignment="1">
      <alignment horizontal="left" vertical="center" wrapText="1"/>
    </xf>
    <xf numFmtId="0" fontId="35" fillId="0" borderId="3" xfId="0" applyNumberFormat="1" applyFont="1" applyFill="1" applyBorder="1" applyAlignment="1">
      <alignment horizontal="left" vertical="center" wrapText="1"/>
    </xf>
    <xf numFmtId="0" fontId="35" fillId="0" borderId="6" xfId="0" applyNumberFormat="1" applyFont="1" applyFill="1" applyBorder="1" applyAlignment="1">
      <alignment horizontal="left" vertical="center" wrapText="1"/>
    </xf>
    <xf numFmtId="0" fontId="35" fillId="0" borderId="7" xfId="0" applyNumberFormat="1" applyFont="1" applyFill="1" applyBorder="1" applyAlignment="1">
      <alignment horizontal="left" vertical="center" wrapText="1"/>
    </xf>
    <xf numFmtId="0" fontId="92" fillId="0" borderId="31" xfId="0" applyNumberFormat="1" applyFont="1" applyFill="1" applyBorder="1" applyAlignment="1">
      <alignment horizontal="left" vertical="center" wrapText="1"/>
    </xf>
    <xf numFmtId="0" fontId="92" fillId="0" borderId="32" xfId="0" applyNumberFormat="1" applyFont="1" applyFill="1" applyBorder="1" applyAlignment="1">
      <alignment horizontal="left" vertical="center" wrapText="1"/>
    </xf>
    <xf numFmtId="0" fontId="92" fillId="0" borderId="33" xfId="0" applyNumberFormat="1" applyFont="1" applyFill="1" applyBorder="1" applyAlignment="1">
      <alignment horizontal="left" vertical="center" wrapText="1"/>
    </xf>
    <xf numFmtId="0" fontId="35" fillId="15" borderId="29" xfId="0" applyNumberFormat="1" applyFont="1" applyFill="1" applyBorder="1" applyAlignment="1">
      <alignment horizontal="left" vertical="center" wrapText="1"/>
    </xf>
    <xf numFmtId="0" fontId="35" fillId="15" borderId="24" xfId="0" applyNumberFormat="1" applyFont="1" applyFill="1" applyBorder="1" applyAlignment="1">
      <alignment horizontal="left" vertical="center" wrapText="1"/>
    </xf>
    <xf numFmtId="0" fontId="35" fillId="15" borderId="30" xfId="0" applyNumberFormat="1" applyFont="1" applyFill="1" applyBorder="1" applyAlignment="1">
      <alignment horizontal="left" vertical="center" wrapText="1"/>
    </xf>
    <xf numFmtId="0" fontId="35" fillId="8" borderId="38" xfId="0" applyNumberFormat="1" applyFont="1" applyFill="1" applyBorder="1" applyAlignment="1">
      <alignment horizontal="left" vertical="center" wrapText="1"/>
    </xf>
    <xf numFmtId="0" fontId="35" fillId="8" borderId="39" xfId="0" applyNumberFormat="1" applyFont="1" applyFill="1" applyBorder="1" applyAlignment="1">
      <alignment horizontal="left" vertical="center" wrapText="1"/>
    </xf>
    <xf numFmtId="0" fontId="35" fillId="8" borderId="40" xfId="0" applyNumberFormat="1" applyFont="1" applyFill="1" applyBorder="1" applyAlignment="1">
      <alignment horizontal="left" vertical="center" wrapText="1"/>
    </xf>
    <xf numFmtId="0" fontId="92" fillId="0" borderId="3" xfId="0" applyNumberFormat="1" applyFont="1" applyFill="1" applyBorder="1" applyAlignment="1">
      <alignment horizontal="left" vertical="center" wrapText="1"/>
    </xf>
    <xf numFmtId="0" fontId="92" fillId="0" borderId="6" xfId="0" applyNumberFormat="1" applyFont="1" applyFill="1" applyBorder="1" applyAlignment="1">
      <alignment horizontal="left" vertical="center" wrapText="1"/>
    </xf>
    <xf numFmtId="0" fontId="92" fillId="0" borderId="7" xfId="0" applyNumberFormat="1" applyFont="1" applyFill="1" applyBorder="1" applyAlignment="1">
      <alignment horizontal="left" vertical="center" wrapText="1"/>
    </xf>
    <xf numFmtId="9" fontId="35" fillId="14" borderId="5" xfId="2" applyFont="1" applyFill="1" applyBorder="1" applyAlignment="1">
      <alignment horizontal="center" vertical="center" wrapText="1"/>
    </xf>
    <xf numFmtId="9" fontId="35" fillId="14" borderId="14" xfId="2" applyFont="1" applyFill="1" applyBorder="1" applyAlignment="1">
      <alignment horizontal="center" vertical="center" wrapText="1"/>
    </xf>
    <xf numFmtId="0" fontId="70" fillId="0" borderId="3" xfId="0" applyFont="1" applyFill="1" applyBorder="1" applyAlignment="1">
      <alignment horizontal="left" vertical="center" wrapText="1"/>
    </xf>
    <xf numFmtId="0" fontId="70" fillId="4" borderId="6" xfId="0" applyFont="1" applyFill="1" applyBorder="1" applyAlignment="1">
      <alignment horizontal="left" vertical="center" wrapText="1"/>
    </xf>
    <xf numFmtId="0" fontId="70" fillId="0" borderId="7" xfId="0" applyFont="1" applyFill="1" applyBorder="1" applyAlignment="1">
      <alignment horizontal="left" vertical="center" wrapText="1"/>
    </xf>
    <xf numFmtId="0" fontId="35" fillId="17" borderId="3" xfId="0" applyFont="1" applyFill="1" applyBorder="1" applyAlignment="1">
      <alignment vertical="center" wrapText="1"/>
    </xf>
    <xf numFmtId="0" fontId="63" fillId="0" borderId="6" xfId="0" applyFont="1" applyFill="1" applyBorder="1" applyAlignment="1">
      <alignment vertical="center" wrapText="1"/>
    </xf>
    <xf numFmtId="0" fontId="35" fillId="17" borderId="7" xfId="0" applyFont="1" applyFill="1" applyBorder="1" applyAlignment="1">
      <alignment vertical="center" wrapText="1"/>
    </xf>
    <xf numFmtId="0" fontId="35" fillId="8" borderId="3" xfId="0" applyFont="1" applyFill="1" applyBorder="1" applyAlignment="1">
      <alignment vertical="center" wrapText="1"/>
    </xf>
    <xf numFmtId="0" fontId="67" fillId="0" borderId="6" xfId="0" applyFont="1" applyFill="1" applyBorder="1" applyAlignment="1">
      <alignment vertical="center" wrapText="1"/>
    </xf>
    <xf numFmtId="0" fontId="35" fillId="8" borderId="7" xfId="0" applyFont="1" applyFill="1" applyBorder="1" applyAlignment="1">
      <alignment vertical="center" wrapText="1"/>
    </xf>
    <xf numFmtId="0" fontId="115" fillId="0" borderId="6" xfId="0" applyFont="1" applyFill="1" applyBorder="1" applyAlignment="1">
      <alignment vertical="center" wrapText="1"/>
    </xf>
    <xf numFmtId="0" fontId="43" fillId="0" borderId="3" xfId="0" applyNumberFormat="1" applyFont="1" applyFill="1" applyBorder="1" applyAlignment="1">
      <alignment horizontal="left" vertical="center" wrapText="1" indent="1"/>
    </xf>
    <xf numFmtId="0" fontId="43" fillId="0" borderId="6" xfId="0" applyNumberFormat="1" applyFont="1" applyFill="1" applyBorder="1" applyAlignment="1">
      <alignment horizontal="left" vertical="center" wrapText="1" indent="1"/>
    </xf>
    <xf numFmtId="0" fontId="43" fillId="0" borderId="7" xfId="0" applyNumberFormat="1" applyFont="1" applyFill="1" applyBorder="1" applyAlignment="1">
      <alignment horizontal="left" vertical="center" wrapText="1" indent="1"/>
    </xf>
    <xf numFmtId="0" fontId="35" fillId="15" borderId="3" xfId="0" applyFont="1" applyFill="1" applyBorder="1" applyAlignment="1">
      <alignment horizontal="left" vertical="center" wrapText="1"/>
    </xf>
    <xf numFmtId="0" fontId="63" fillId="0" borderId="6" xfId="0" applyFont="1" applyFill="1" applyBorder="1" applyAlignment="1">
      <alignment horizontal="left" vertical="center" wrapText="1"/>
    </xf>
    <xf numFmtId="0" fontId="35" fillId="15" borderId="7" xfId="0" applyFont="1" applyFill="1" applyBorder="1" applyAlignment="1">
      <alignment horizontal="left" vertical="center" wrapText="1"/>
    </xf>
    <xf numFmtId="0" fontId="0" fillId="0" borderId="6" xfId="0" applyFont="1" applyBorder="1"/>
    <xf numFmtId="0" fontId="0" fillId="17" borderId="7" xfId="0" applyFont="1" applyFill="1" applyBorder="1"/>
    <xf numFmtId="0" fontId="40" fillId="0" borderId="6" xfId="0" applyFont="1" applyFill="1" applyBorder="1" applyAlignment="1">
      <alignment vertical="center" wrapText="1"/>
    </xf>
    <xf numFmtId="0" fontId="63" fillId="15" borderId="6" xfId="0" applyFont="1" applyFill="1" applyBorder="1" applyAlignment="1">
      <alignment horizontal="left" vertical="center" wrapText="1"/>
    </xf>
    <xf numFmtId="9" fontId="59" fillId="4" borderId="2" xfId="2" applyNumberFormat="1" applyFont="1" applyFill="1" applyBorder="1" applyAlignment="1">
      <alignment horizontal="center" vertical="center" wrapText="1"/>
    </xf>
    <xf numFmtId="0" fontId="92" fillId="0" borderId="2" xfId="0" applyNumberFormat="1" applyFont="1" applyFill="1" applyBorder="1" applyAlignment="1">
      <alignment horizontal="left" vertical="center" wrapText="1"/>
    </xf>
    <xf numFmtId="0" fontId="55" fillId="0" borderId="2" xfId="0" applyNumberFormat="1" applyFont="1" applyFill="1" applyBorder="1" applyAlignment="1">
      <alignment horizontal="left" vertical="center" wrapText="1"/>
    </xf>
    <xf numFmtId="0" fontId="67" fillId="15" borderId="13" xfId="0" applyNumberFormat="1" applyFont="1" applyFill="1" applyBorder="1" applyAlignment="1">
      <alignment horizontal="left" vertical="center" wrapText="1"/>
    </xf>
    <xf numFmtId="0" fontId="35" fillId="8" borderId="13" xfId="0" applyNumberFormat="1" applyFont="1" applyFill="1" applyBorder="1" applyAlignment="1">
      <alignment horizontal="left" vertical="center" wrapText="1"/>
    </xf>
    <xf numFmtId="0" fontId="0" fillId="0" borderId="7" xfId="0" applyFont="1" applyBorder="1"/>
    <xf numFmtId="43" fontId="1" fillId="2" borderId="3" xfId="1" applyFont="1" applyFill="1" applyBorder="1" applyAlignment="1" applyProtection="1">
      <alignment horizontal="center" vertical="center"/>
    </xf>
    <xf numFmtId="43" fontId="1" fillId="2" borderId="6" xfId="1" applyFont="1" applyFill="1" applyBorder="1" applyAlignment="1" applyProtection="1">
      <alignment horizontal="center" vertical="center"/>
    </xf>
    <xf numFmtId="43" fontId="1" fillId="2" borderId="7" xfId="1" applyFont="1" applyFill="1" applyBorder="1" applyAlignment="1" applyProtection="1">
      <alignment horizontal="center" vertical="center"/>
    </xf>
    <xf numFmtId="37" fontId="1" fillId="2" borderId="5" xfId="0" applyNumberFormat="1" applyFont="1" applyFill="1" applyBorder="1" applyAlignment="1" applyProtection="1">
      <alignment horizontal="center" vertical="center"/>
    </xf>
    <xf numFmtId="37" fontId="1" fillId="2" borderId="4" xfId="0" applyNumberFormat="1" applyFont="1" applyFill="1" applyBorder="1" applyAlignment="1" applyProtection="1">
      <alignment horizontal="center" vertical="center"/>
    </xf>
    <xf numFmtId="37" fontId="1" fillId="2" borderId="14" xfId="0" applyNumberFormat="1" applyFont="1" applyFill="1" applyBorder="1" applyAlignment="1" applyProtection="1">
      <alignment horizontal="center" vertical="center"/>
    </xf>
    <xf numFmtId="9" fontId="1" fillId="2" borderId="3" xfId="2" applyNumberFormat="1" applyFont="1" applyFill="1" applyBorder="1" applyAlignment="1" applyProtection="1">
      <alignment horizontal="center" vertical="center"/>
    </xf>
    <xf numFmtId="9" fontId="1" fillId="2" borderId="6" xfId="2" applyNumberFormat="1" applyFont="1" applyFill="1" applyBorder="1" applyAlignment="1" applyProtection="1">
      <alignment horizontal="center" vertical="center"/>
    </xf>
    <xf numFmtId="9" fontId="1" fillId="2" borderId="7" xfId="2" applyNumberFormat="1" applyFont="1" applyFill="1" applyBorder="1" applyAlignment="1" applyProtection="1">
      <alignment horizontal="center" vertical="center"/>
    </xf>
    <xf numFmtId="37" fontId="1" fillId="2" borderId="3" xfId="0" applyNumberFormat="1" applyFont="1" applyFill="1" applyBorder="1" applyAlignment="1" applyProtection="1">
      <alignment horizontal="center" vertical="center"/>
    </xf>
    <xf numFmtId="37" fontId="1" fillId="2" borderId="6" xfId="0" applyNumberFormat="1" applyFont="1" applyFill="1" applyBorder="1" applyAlignment="1" applyProtection="1">
      <alignment horizontal="center" vertical="center"/>
    </xf>
    <xf numFmtId="37" fontId="1" fillId="2" borderId="7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37" fontId="1" fillId="2" borderId="9" xfId="0" applyNumberFormat="1" applyFont="1" applyFill="1" applyBorder="1" applyAlignment="1" applyProtection="1">
      <alignment horizontal="center" vertical="center"/>
    </xf>
    <xf numFmtId="37" fontId="1" fillId="2" borderId="10" xfId="0" applyNumberFormat="1" applyFont="1" applyFill="1" applyBorder="1" applyAlignment="1" applyProtection="1">
      <alignment horizontal="center" vertical="center"/>
    </xf>
    <xf numFmtId="37" fontId="1" fillId="2" borderId="11" xfId="0" applyNumberFormat="1" applyFont="1" applyFill="1" applyBorder="1" applyAlignment="1" applyProtection="1">
      <alignment horizontal="center" vertical="center"/>
    </xf>
    <xf numFmtId="37" fontId="1" fillId="2" borderId="2" xfId="0" applyNumberFormat="1" applyFont="1" applyFill="1" applyBorder="1" applyAlignment="1" applyProtection="1">
      <alignment horizontal="center" vertical="center"/>
    </xf>
    <xf numFmtId="10" fontId="1" fillId="2" borderId="3" xfId="2" applyNumberFormat="1" applyFont="1" applyFill="1" applyBorder="1" applyAlignment="1" applyProtection="1">
      <alignment horizontal="center" vertical="center"/>
    </xf>
    <xf numFmtId="10" fontId="1" fillId="2" borderId="6" xfId="2" applyNumberFormat="1" applyFont="1" applyFill="1" applyBorder="1" applyAlignment="1" applyProtection="1">
      <alignment horizontal="center" vertical="center"/>
    </xf>
    <xf numFmtId="10" fontId="1" fillId="2" borderId="7" xfId="2" applyNumberFormat="1" applyFont="1" applyFill="1" applyBorder="1" applyAlignment="1" applyProtection="1">
      <alignment horizontal="center" vertical="center"/>
    </xf>
    <xf numFmtId="43" fontId="161" fillId="2" borderId="2" xfId="1" applyFont="1" applyFill="1" applyBorder="1" applyAlignment="1" applyProtection="1">
      <alignment horizontal="center" vertical="center" wrapText="1"/>
    </xf>
    <xf numFmtId="43" fontId="56" fillId="2" borderId="5" xfId="1" applyFont="1" applyFill="1" applyBorder="1" applyAlignment="1" applyProtection="1">
      <alignment horizontal="center" vertical="center"/>
    </xf>
    <xf numFmtId="43" fontId="33" fillId="0" borderId="4" xfId="1" applyFont="1" applyBorder="1"/>
    <xf numFmtId="43" fontId="56" fillId="2" borderId="3" xfId="1" applyFont="1" applyFill="1" applyBorder="1" applyAlignment="1" applyProtection="1">
      <alignment horizontal="center" vertical="center"/>
    </xf>
    <xf numFmtId="43" fontId="56" fillId="2" borderId="6" xfId="1" applyFont="1" applyFill="1" applyBorder="1" applyAlignment="1" applyProtection="1">
      <alignment horizontal="center" vertical="center"/>
    </xf>
    <xf numFmtId="43" fontId="56" fillId="2" borderId="7" xfId="1" applyFont="1" applyFill="1" applyBorder="1" applyAlignment="1" applyProtection="1">
      <alignment horizontal="center" vertical="center"/>
    </xf>
    <xf numFmtId="9" fontId="56" fillId="2" borderId="3" xfId="2" applyFont="1" applyFill="1" applyBorder="1" applyAlignment="1" applyProtection="1">
      <alignment horizontal="center" vertical="center"/>
    </xf>
    <xf numFmtId="9" fontId="56" fillId="2" borderId="6" xfId="2" applyFont="1" applyFill="1" applyBorder="1" applyAlignment="1" applyProtection="1">
      <alignment horizontal="center" vertical="center"/>
    </xf>
    <xf numFmtId="9" fontId="56" fillId="2" borderId="7" xfId="2" applyFont="1" applyFill="1" applyBorder="1" applyAlignment="1" applyProtection="1">
      <alignment horizontal="center" vertical="center"/>
    </xf>
    <xf numFmtId="43" fontId="50" fillId="0" borderId="5" xfId="1" applyFont="1" applyBorder="1" applyAlignment="1">
      <alignment horizontal="center" vertical="center" wrapText="1"/>
    </xf>
    <xf numFmtId="43" fontId="50" fillId="0" borderId="1" xfId="1" applyFont="1" applyBorder="1" applyAlignment="1">
      <alignment horizontal="center" vertical="center" wrapText="1"/>
    </xf>
    <xf numFmtId="43" fontId="50" fillId="0" borderId="4" xfId="1" applyFont="1" applyBorder="1" applyAlignment="1">
      <alignment horizontal="center" vertical="center" wrapText="1"/>
    </xf>
    <xf numFmtId="10" fontId="55" fillId="2" borderId="5" xfId="2" applyNumberFormat="1" applyFont="1" applyFill="1" applyBorder="1" applyAlignment="1" applyProtection="1">
      <alignment horizontal="center" vertical="center" wrapText="1"/>
    </xf>
    <xf numFmtId="10" fontId="55" fillId="2" borderId="4" xfId="2" applyNumberFormat="1" applyFont="1" applyFill="1" applyBorder="1" applyAlignment="1" applyProtection="1">
      <alignment horizontal="center" vertical="center" wrapText="1"/>
    </xf>
    <xf numFmtId="10" fontId="55" fillId="2" borderId="14" xfId="2" applyNumberFormat="1" applyFont="1" applyFill="1" applyBorder="1" applyAlignment="1" applyProtection="1">
      <alignment horizontal="center" vertical="center" wrapText="1"/>
    </xf>
    <xf numFmtId="43" fontId="55" fillId="2" borderId="5" xfId="1" applyFont="1" applyFill="1" applyBorder="1" applyAlignment="1" applyProtection="1">
      <alignment horizontal="center" vertical="center"/>
    </xf>
    <xf numFmtId="43" fontId="55" fillId="2" borderId="4" xfId="1" applyFont="1" applyFill="1" applyBorder="1" applyAlignment="1" applyProtection="1">
      <alignment horizontal="center" vertical="center"/>
    </xf>
    <xf numFmtId="43" fontId="55" fillId="2" borderId="14" xfId="1" applyFont="1" applyFill="1" applyBorder="1" applyAlignment="1" applyProtection="1">
      <alignment horizontal="center" vertical="center"/>
    </xf>
    <xf numFmtId="43" fontId="55" fillId="2" borderId="3" xfId="1" applyFont="1" applyFill="1" applyBorder="1" applyAlignment="1" applyProtection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9" fontId="55" fillId="2" borderId="3" xfId="2" applyNumberFormat="1" applyFont="1" applyFill="1" applyBorder="1" applyAlignment="1" applyProtection="1">
      <alignment horizontal="center" vertical="center" wrapText="1"/>
    </xf>
    <xf numFmtId="9" fontId="6" fillId="0" borderId="6" xfId="0" applyNumberFormat="1" applyFont="1" applyBorder="1" applyAlignment="1">
      <alignment vertical="center" wrapText="1"/>
    </xf>
    <xf numFmtId="9" fontId="6" fillId="0" borderId="7" xfId="0" applyNumberFormat="1" applyFont="1" applyBorder="1" applyAlignment="1">
      <alignment vertical="center" wrapText="1"/>
    </xf>
    <xf numFmtId="9" fontId="1" fillId="2" borderId="3" xfId="2" applyFont="1" applyFill="1" applyBorder="1" applyAlignment="1" applyProtection="1">
      <alignment horizontal="center" vertical="center"/>
    </xf>
    <xf numFmtId="9" fontId="1" fillId="2" borderId="6" xfId="2" applyFont="1" applyFill="1" applyBorder="1" applyAlignment="1" applyProtection="1">
      <alignment horizontal="center" vertical="center"/>
    </xf>
    <xf numFmtId="9" fontId="1" fillId="2" borderId="7" xfId="2" applyFont="1" applyFill="1" applyBorder="1" applyAlignment="1" applyProtection="1">
      <alignment horizontal="center" vertical="center"/>
    </xf>
    <xf numFmtId="0" fontId="17" fillId="0" borderId="9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0" fontId="17" fillId="0" borderId="23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</cellXfs>
  <cellStyles count="6">
    <cellStyle name="Comma" xfId="1" builtinId="3"/>
    <cellStyle name="Comma 2" xfId="3"/>
    <cellStyle name="Comma 3" xfId="4"/>
    <cellStyle name="Hyperlink" xfId="5" builtinId="8"/>
    <cellStyle name="Normal" xfId="0" builtinId="0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esktop/Working%20Paper/tin/SAOB%20RLIP-%20NOVEMBER%20201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gnes/backup/BUDGET%202005/coa%20reports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esktop/Working%20Paper/tin/SAOB%20AS%20OF%20NOVEMBER%20CURRENT,%20%2020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ll%20User/Desktop/CY%202011/2011%20SAOB%20NOVEMBER-CURR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esktop/Working%20Paper/tin/SAOB%20FAPS-NOVEMBER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ll%20Funds%20-%20As%20of%20November%2030,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esktop/Working%20Paper/tin/SAOB%20AS%20OF%20NOVEMBER%20CONAP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3/Consolidated%20SAOB/June%2030,%202013%20-%20Report%20%20(Old%20Format)/Presentation%20as%20per%20Ms.%20Agnes/CY2013%20FUR%20(SAOB%20as%20of%20June%2030)%20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3/Consolidated%20SAOB/April%2030,%202013%20-%20Report/CY2013%20FUR%20(SAOB%20as%20of%20April%2030)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3/Consolidated%20SAOB/June%2030,%202013%20-%20Report/OSEC%20(as%20of%20June%2030)/OSEC%20SAOB%20AS%20OF%20JUNE%20CONAP%20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3/Consolidated%20SAOB/June%2030,%202013%20-%20Report/Revised%20FUR%20for%20June/CY2013%20FUR%20(SAOB%20as%20of%20June%2030)-Revise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Y2013%20FUR%20(SAOB%20as%20of%20September%2030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LIP SUM"/>
      <sheetName val="saob"/>
      <sheetName val="Sheet3"/>
    </sheetNames>
    <sheetDataSet>
      <sheetData sheetId="0" refreshError="1"/>
      <sheetData sheetId="1" refreshError="1">
        <row r="27">
          <cell r="T27">
            <v>3425608.9800000004</v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OBLG"/>
      <sheetName val="dec"/>
      <sheetName val="CUMM"/>
      <sheetName val="SARO"/>
      <sheetName val="REA SEPT"/>
      <sheetName val="REA"/>
      <sheetName val="SAOBRLIP"/>
      <sheetName val="cum1"/>
      <sheetName val="RLIP SEPT"/>
      <sheetName val="fro rlip"/>
    </sheetNames>
    <sheetDataSet>
      <sheetData sheetId="0" refreshError="1"/>
      <sheetData sheetId="1" refreshError="1">
        <row r="13">
          <cell r="A13" t="str">
            <v xml:space="preserve">A.I.a.1.a </v>
          </cell>
          <cell r="B13" t="str">
            <v xml:space="preserve"> General  Management and Supervision</v>
          </cell>
        </row>
        <row r="14">
          <cell r="C14">
            <v>100</v>
          </cell>
        </row>
        <row r="15">
          <cell r="C15">
            <v>200</v>
          </cell>
        </row>
        <row r="16">
          <cell r="C16">
            <v>300</v>
          </cell>
        </row>
        <row r="17">
          <cell r="C17" t="str">
            <v>FE</v>
          </cell>
        </row>
        <row r="18">
          <cell r="C18" t="str">
            <v>TOTAL</v>
          </cell>
        </row>
        <row r="20">
          <cell r="C20">
            <v>100</v>
          </cell>
        </row>
        <row r="21">
          <cell r="C21">
            <v>200</v>
          </cell>
        </row>
        <row r="22">
          <cell r="C22">
            <v>300</v>
          </cell>
        </row>
        <row r="23">
          <cell r="C23" t="str">
            <v>FE</v>
          </cell>
        </row>
        <row r="24">
          <cell r="C24" t="str">
            <v>TOTAL</v>
          </cell>
        </row>
        <row r="26">
          <cell r="C26">
            <v>100</v>
          </cell>
        </row>
        <row r="27">
          <cell r="C27">
            <v>200</v>
          </cell>
        </row>
        <row r="28">
          <cell r="C28">
            <v>300</v>
          </cell>
        </row>
        <row r="29">
          <cell r="C29" t="str">
            <v>FE</v>
          </cell>
        </row>
        <row r="30">
          <cell r="C30" t="str">
            <v>TOTAL</v>
          </cell>
        </row>
        <row r="32">
          <cell r="C32">
            <v>100</v>
          </cell>
        </row>
        <row r="33">
          <cell r="C33">
            <v>200</v>
          </cell>
        </row>
        <row r="34">
          <cell r="C34">
            <v>300</v>
          </cell>
        </row>
        <row r="35">
          <cell r="C35" t="str">
            <v>FE</v>
          </cell>
        </row>
        <row r="36">
          <cell r="C36" t="str">
            <v>TOTAL</v>
          </cell>
        </row>
        <row r="38">
          <cell r="C38">
            <v>100</v>
          </cell>
        </row>
        <row r="39">
          <cell r="C39">
            <v>200</v>
          </cell>
        </row>
        <row r="40">
          <cell r="C40">
            <v>300</v>
          </cell>
        </row>
        <row r="41">
          <cell r="C41" t="str">
            <v>FE</v>
          </cell>
        </row>
        <row r="42">
          <cell r="C42" t="str">
            <v>TOTAL</v>
          </cell>
        </row>
        <row r="44">
          <cell r="C44">
            <v>100</v>
          </cell>
        </row>
        <row r="45">
          <cell r="C45">
            <v>200</v>
          </cell>
        </row>
        <row r="46">
          <cell r="C46">
            <v>300</v>
          </cell>
        </row>
        <row r="47">
          <cell r="C47" t="str">
            <v>FE</v>
          </cell>
        </row>
        <row r="48">
          <cell r="C48" t="str">
            <v>TOTAL</v>
          </cell>
        </row>
        <row r="50">
          <cell r="C50">
            <v>100</v>
          </cell>
        </row>
        <row r="51">
          <cell r="C51">
            <v>200</v>
          </cell>
        </row>
        <row r="52">
          <cell r="C52">
            <v>300</v>
          </cell>
        </row>
        <row r="53">
          <cell r="C53" t="str">
            <v>FE</v>
          </cell>
        </row>
        <row r="54">
          <cell r="C54" t="str">
            <v>TOTAL</v>
          </cell>
        </row>
        <row r="55">
          <cell r="B55" t="str">
            <v xml:space="preserve"> Regulation of Health Facilities and Services</v>
          </cell>
        </row>
        <row r="56">
          <cell r="C56">
            <v>100</v>
          </cell>
        </row>
        <row r="57">
          <cell r="C57">
            <v>200</v>
          </cell>
        </row>
        <row r="58">
          <cell r="C58">
            <v>300</v>
          </cell>
        </row>
        <row r="59">
          <cell r="C59" t="str">
            <v>FE</v>
          </cell>
        </row>
        <row r="60">
          <cell r="C60" t="str">
            <v>TOTAL</v>
          </cell>
        </row>
        <row r="61">
          <cell r="A61" t="str">
            <v>A.III.a.3</v>
          </cell>
          <cell r="B61" t="str">
            <v xml:space="preserve"> Regulation of Health Devices and Technology</v>
          </cell>
        </row>
        <row r="62">
          <cell r="C62">
            <v>100</v>
          </cell>
        </row>
        <row r="63">
          <cell r="C63">
            <v>200</v>
          </cell>
        </row>
        <row r="64">
          <cell r="C64">
            <v>300</v>
          </cell>
        </row>
        <row r="65">
          <cell r="C65" t="str">
            <v>FE</v>
          </cell>
        </row>
        <row r="66">
          <cell r="C66" t="str">
            <v>TOTAL</v>
          </cell>
        </row>
        <row r="68">
          <cell r="C68">
            <v>100</v>
          </cell>
        </row>
        <row r="69">
          <cell r="C69">
            <v>200</v>
          </cell>
        </row>
        <row r="70">
          <cell r="C70">
            <v>300</v>
          </cell>
        </row>
        <row r="71">
          <cell r="C71" t="str">
            <v>FE</v>
          </cell>
        </row>
        <row r="72">
          <cell r="C72" t="str">
            <v>TOTAL</v>
          </cell>
        </row>
        <row r="74">
          <cell r="C74">
            <v>100</v>
          </cell>
        </row>
        <row r="75">
          <cell r="C75">
            <v>200</v>
          </cell>
        </row>
        <row r="76">
          <cell r="C76">
            <v>300</v>
          </cell>
        </row>
        <row r="77">
          <cell r="C77" t="str">
            <v>FE</v>
          </cell>
        </row>
        <row r="78">
          <cell r="C78" t="str">
            <v>TOTAL</v>
          </cell>
        </row>
        <row r="80">
          <cell r="C80">
            <v>100</v>
          </cell>
        </row>
        <row r="81">
          <cell r="C81">
            <v>200</v>
          </cell>
        </row>
        <row r="82">
          <cell r="C82">
            <v>300</v>
          </cell>
        </row>
        <row r="83">
          <cell r="C83" t="str">
            <v>FE</v>
          </cell>
        </row>
        <row r="84">
          <cell r="C84" t="str">
            <v>TOTAL</v>
          </cell>
        </row>
        <row r="86">
          <cell r="C86">
            <v>100</v>
          </cell>
        </row>
        <row r="87">
          <cell r="C87">
            <v>200</v>
          </cell>
        </row>
        <row r="88">
          <cell r="C88">
            <v>300</v>
          </cell>
        </row>
        <row r="89">
          <cell r="C89" t="str">
            <v>FE</v>
          </cell>
        </row>
        <row r="90">
          <cell r="C90" t="str">
            <v>TOTAL</v>
          </cell>
        </row>
        <row r="92">
          <cell r="C92">
            <v>100</v>
          </cell>
        </row>
        <row r="93">
          <cell r="C93">
            <v>200</v>
          </cell>
        </row>
        <row r="94">
          <cell r="C94">
            <v>300</v>
          </cell>
        </row>
        <row r="95">
          <cell r="C95" t="str">
            <v>FE</v>
          </cell>
        </row>
        <row r="96">
          <cell r="C96" t="str">
            <v>TOTAL</v>
          </cell>
        </row>
        <row r="98">
          <cell r="C98">
            <v>100</v>
          </cell>
        </row>
        <row r="99">
          <cell r="C99">
            <v>200</v>
          </cell>
        </row>
        <row r="100">
          <cell r="C100">
            <v>300</v>
          </cell>
        </row>
        <row r="101">
          <cell r="C101" t="str">
            <v>FE</v>
          </cell>
        </row>
        <row r="102">
          <cell r="C102" t="str">
            <v>TOTAL</v>
          </cell>
        </row>
        <row r="110">
          <cell r="C110">
            <v>100</v>
          </cell>
        </row>
        <row r="111">
          <cell r="C111">
            <v>200</v>
          </cell>
        </row>
        <row r="112">
          <cell r="C112">
            <v>300</v>
          </cell>
        </row>
        <row r="113">
          <cell r="C113" t="str">
            <v>FE</v>
          </cell>
        </row>
        <row r="114">
          <cell r="C114" t="str">
            <v>TOTAL</v>
          </cell>
        </row>
        <row r="116">
          <cell r="C116">
            <v>100</v>
          </cell>
        </row>
        <row r="117">
          <cell r="C117">
            <v>200</v>
          </cell>
        </row>
        <row r="118">
          <cell r="C118">
            <v>300</v>
          </cell>
        </row>
        <row r="119">
          <cell r="C119" t="str">
            <v>FE</v>
          </cell>
        </row>
        <row r="120">
          <cell r="C120" t="str">
            <v>TOTAL</v>
          </cell>
        </row>
        <row r="122">
          <cell r="C122">
            <v>100</v>
          </cell>
        </row>
        <row r="123">
          <cell r="C123">
            <v>200</v>
          </cell>
        </row>
        <row r="124">
          <cell r="C124">
            <v>300</v>
          </cell>
        </row>
        <row r="125">
          <cell r="C125" t="str">
            <v>FE</v>
          </cell>
        </row>
        <row r="126">
          <cell r="C126" t="str">
            <v>TOTAL</v>
          </cell>
        </row>
        <row r="128">
          <cell r="C128">
            <v>100</v>
          </cell>
        </row>
        <row r="129">
          <cell r="C129">
            <v>200</v>
          </cell>
        </row>
        <row r="130">
          <cell r="C130">
            <v>300</v>
          </cell>
        </row>
        <row r="131">
          <cell r="C131" t="str">
            <v>FE</v>
          </cell>
        </row>
        <row r="132">
          <cell r="C132" t="str">
            <v>TOTAL</v>
          </cell>
        </row>
        <row r="134">
          <cell r="C134">
            <v>100</v>
          </cell>
        </row>
        <row r="135">
          <cell r="C135">
            <v>200</v>
          </cell>
        </row>
        <row r="136">
          <cell r="C136">
            <v>300</v>
          </cell>
        </row>
        <row r="137">
          <cell r="C137" t="str">
            <v>FE</v>
          </cell>
        </row>
        <row r="138">
          <cell r="C138" t="str">
            <v>TOTAL</v>
          </cell>
        </row>
        <row r="140">
          <cell r="C140">
            <v>100</v>
          </cell>
        </row>
        <row r="141">
          <cell r="C141">
            <v>200</v>
          </cell>
        </row>
        <row r="142">
          <cell r="C142">
            <v>300</v>
          </cell>
        </row>
        <row r="143">
          <cell r="C143" t="str">
            <v>FE</v>
          </cell>
        </row>
        <row r="144">
          <cell r="C144" t="str">
            <v>TOTAL</v>
          </cell>
        </row>
        <row r="146">
          <cell r="C146">
            <v>100</v>
          </cell>
        </row>
        <row r="147">
          <cell r="C147">
            <v>200</v>
          </cell>
        </row>
        <row r="148">
          <cell r="C148">
            <v>300</v>
          </cell>
        </row>
        <row r="149">
          <cell r="C149" t="str">
            <v>FE</v>
          </cell>
        </row>
        <row r="150">
          <cell r="C150" t="str">
            <v>TOTAL</v>
          </cell>
        </row>
        <row r="152">
          <cell r="C152">
            <v>100</v>
          </cell>
        </row>
        <row r="153">
          <cell r="C153">
            <v>200</v>
          </cell>
        </row>
        <row r="154">
          <cell r="C154">
            <v>300</v>
          </cell>
        </row>
        <row r="155">
          <cell r="C155" t="str">
            <v>FE</v>
          </cell>
        </row>
        <row r="156">
          <cell r="C156" t="str">
            <v>TOTAL</v>
          </cell>
        </row>
        <row r="158">
          <cell r="C158">
            <v>100</v>
          </cell>
        </row>
        <row r="159">
          <cell r="C159">
            <v>200</v>
          </cell>
        </row>
        <row r="160">
          <cell r="C160">
            <v>300</v>
          </cell>
        </row>
        <row r="161">
          <cell r="C161" t="str">
            <v>FE</v>
          </cell>
        </row>
        <row r="162">
          <cell r="C162" t="str">
            <v>TOTAL</v>
          </cell>
        </row>
        <row r="164">
          <cell r="C164">
            <v>100</v>
          </cell>
        </row>
        <row r="165">
          <cell r="C165">
            <v>200</v>
          </cell>
        </row>
        <row r="166">
          <cell r="C166">
            <v>300</v>
          </cell>
        </row>
        <row r="167">
          <cell r="C167" t="str">
            <v>FE</v>
          </cell>
        </row>
        <row r="168">
          <cell r="C168" t="str">
            <v>TOTAL</v>
          </cell>
        </row>
        <row r="170">
          <cell r="C170">
            <v>100</v>
          </cell>
        </row>
        <row r="171">
          <cell r="C171">
            <v>200</v>
          </cell>
        </row>
        <row r="172">
          <cell r="C172">
            <v>300</v>
          </cell>
        </row>
        <row r="173">
          <cell r="C173" t="str">
            <v>FE</v>
          </cell>
        </row>
        <row r="174">
          <cell r="C174" t="str">
            <v>TOTAL</v>
          </cell>
        </row>
        <row r="176">
          <cell r="C176">
            <v>100</v>
          </cell>
        </row>
        <row r="177">
          <cell r="C177">
            <v>200</v>
          </cell>
        </row>
        <row r="178">
          <cell r="C178">
            <v>300</v>
          </cell>
        </row>
        <row r="179">
          <cell r="C179" t="str">
            <v>FE</v>
          </cell>
        </row>
        <row r="180">
          <cell r="C180" t="str">
            <v>TOTAL</v>
          </cell>
        </row>
        <row r="182">
          <cell r="C182">
            <v>100</v>
          </cell>
        </row>
        <row r="183">
          <cell r="C183">
            <v>200</v>
          </cell>
        </row>
        <row r="184">
          <cell r="C184">
            <v>300</v>
          </cell>
        </row>
        <row r="185">
          <cell r="C185" t="str">
            <v>FE</v>
          </cell>
        </row>
        <row r="186">
          <cell r="C186" t="str">
            <v>TOTAL</v>
          </cell>
        </row>
        <row r="188">
          <cell r="C188">
            <v>100</v>
          </cell>
        </row>
        <row r="189">
          <cell r="C189">
            <v>200</v>
          </cell>
        </row>
        <row r="190">
          <cell r="C190">
            <v>300</v>
          </cell>
        </row>
        <row r="191">
          <cell r="C191" t="str">
            <v>FE</v>
          </cell>
        </row>
        <row r="192">
          <cell r="C192" t="str">
            <v>TOTAL</v>
          </cell>
        </row>
        <row r="194">
          <cell r="C194">
            <v>100</v>
          </cell>
        </row>
        <row r="195">
          <cell r="C195">
            <v>200</v>
          </cell>
        </row>
        <row r="196">
          <cell r="C196">
            <v>300</v>
          </cell>
        </row>
        <row r="197">
          <cell r="C197" t="str">
            <v>FE</v>
          </cell>
        </row>
        <row r="198">
          <cell r="C198" t="str">
            <v>TOTAL</v>
          </cell>
        </row>
        <row r="206">
          <cell r="C206">
            <v>100</v>
          </cell>
        </row>
        <row r="207">
          <cell r="C207">
            <v>200</v>
          </cell>
        </row>
        <row r="208">
          <cell r="C208">
            <v>300</v>
          </cell>
        </row>
        <row r="209">
          <cell r="C209" t="str">
            <v>FE</v>
          </cell>
        </row>
        <row r="210">
          <cell r="C210" t="str">
            <v>TOTAL</v>
          </cell>
        </row>
        <row r="212">
          <cell r="C212">
            <v>100</v>
          </cell>
        </row>
        <row r="213">
          <cell r="C213">
            <v>200</v>
          </cell>
        </row>
        <row r="214">
          <cell r="C214">
            <v>300</v>
          </cell>
        </row>
        <row r="215">
          <cell r="C215" t="str">
            <v>FE</v>
          </cell>
        </row>
        <row r="216">
          <cell r="C216" t="str">
            <v>TOTAL</v>
          </cell>
        </row>
        <row r="218">
          <cell r="C218">
            <v>100</v>
          </cell>
        </row>
        <row r="219">
          <cell r="C219">
            <v>200</v>
          </cell>
        </row>
        <row r="220">
          <cell r="C220">
            <v>300</v>
          </cell>
        </row>
        <row r="221">
          <cell r="C221" t="str">
            <v>FE</v>
          </cell>
        </row>
        <row r="222">
          <cell r="C222" t="str">
            <v>TOTAL</v>
          </cell>
        </row>
        <row r="230">
          <cell r="C230">
            <v>100</v>
          </cell>
        </row>
        <row r="231">
          <cell r="C231">
            <v>200</v>
          </cell>
        </row>
        <row r="232">
          <cell r="C232">
            <v>300</v>
          </cell>
        </row>
        <row r="233">
          <cell r="C233" t="str">
            <v>FE</v>
          </cell>
        </row>
        <row r="234">
          <cell r="C234" t="str">
            <v>TOTAL</v>
          </cell>
        </row>
        <row r="236">
          <cell r="C236">
            <v>100</v>
          </cell>
        </row>
        <row r="237">
          <cell r="C237">
            <v>200</v>
          </cell>
        </row>
        <row r="238">
          <cell r="C238">
            <v>300</v>
          </cell>
        </row>
        <row r="239">
          <cell r="C239" t="str">
            <v>FE</v>
          </cell>
        </row>
        <row r="240">
          <cell r="C240" t="str">
            <v>TOTAL</v>
          </cell>
        </row>
        <row r="284">
          <cell r="B284" t="str">
            <v>TOTAL OFFICE OF THE SECRETARY</v>
          </cell>
        </row>
        <row r="285">
          <cell r="C285">
            <v>100</v>
          </cell>
        </row>
        <row r="286">
          <cell r="C286">
            <v>200</v>
          </cell>
        </row>
        <row r="287">
          <cell r="C287">
            <v>300</v>
          </cell>
        </row>
        <row r="288">
          <cell r="C288" t="str">
            <v>FE</v>
          </cell>
        </row>
        <row r="289">
          <cell r="C289" t="str">
            <v>TOTAL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UMMARY"/>
      <sheetName val="CO"/>
      <sheetName val="TOTAL OSEC -CUR"/>
      <sheetName val="MAJOR PROG"/>
    </sheetNames>
    <sheetDataSet>
      <sheetData sheetId="0" refreshError="1">
        <row r="6">
          <cell r="O6">
            <v>96631371</v>
          </cell>
          <cell r="P6">
            <v>220125629</v>
          </cell>
        </row>
        <row r="8">
          <cell r="O8">
            <v>15411000</v>
          </cell>
          <cell r="P8">
            <v>32146000</v>
          </cell>
          <cell r="BS8">
            <v>13146657.119999999</v>
          </cell>
          <cell r="BT8">
            <v>26449471.27</v>
          </cell>
        </row>
        <row r="9">
          <cell r="O9">
            <v>15754000</v>
          </cell>
          <cell r="P9">
            <v>26327000</v>
          </cell>
          <cell r="BS9">
            <v>15242805.48</v>
          </cell>
          <cell r="BT9">
            <v>16448373.539999999</v>
          </cell>
          <cell r="BU9">
            <v>62213737.180000007</v>
          </cell>
        </row>
        <row r="10">
          <cell r="O10">
            <v>11386000</v>
          </cell>
          <cell r="P10">
            <v>60557000</v>
          </cell>
          <cell r="BS10">
            <v>9301132.1899999995</v>
          </cell>
          <cell r="BT10">
            <v>27519529.009999998</v>
          </cell>
        </row>
        <row r="11">
          <cell r="O11">
            <v>32521000</v>
          </cell>
          <cell r="BS11">
            <v>24956848.390000001</v>
          </cell>
        </row>
        <row r="12">
          <cell r="BS12">
            <v>35409649.340000004</v>
          </cell>
        </row>
        <row r="13">
          <cell r="O13">
            <v>102120000</v>
          </cell>
          <cell r="P13">
            <v>2697263000</v>
          </cell>
          <cell r="BS13">
            <v>57201322.129999995</v>
          </cell>
          <cell r="BT13">
            <v>2663521501.4399996</v>
          </cell>
        </row>
        <row r="33">
          <cell r="O33">
            <v>17615000</v>
          </cell>
          <cell r="P33">
            <v>15371000</v>
          </cell>
          <cell r="BS33">
            <v>13724706.930000002</v>
          </cell>
          <cell r="BT33">
            <v>10930037.849999998</v>
          </cell>
        </row>
        <row r="34">
          <cell r="O34">
            <v>10569000</v>
          </cell>
          <cell r="P34">
            <v>17035000</v>
          </cell>
          <cell r="BS34">
            <v>10516328.43</v>
          </cell>
          <cell r="BT34">
            <v>10323134.460000001</v>
          </cell>
        </row>
        <row r="35">
          <cell r="P35">
            <v>24500000</v>
          </cell>
          <cell r="BT35">
            <v>23216035.359999999</v>
          </cell>
        </row>
        <row r="37">
          <cell r="P37">
            <v>12805000</v>
          </cell>
          <cell r="BT37">
            <v>12805000</v>
          </cell>
        </row>
        <row r="38">
          <cell r="P38">
            <v>11957000</v>
          </cell>
          <cell r="BT38">
            <v>11957000</v>
          </cell>
        </row>
        <row r="42">
          <cell r="O42">
            <v>28195000</v>
          </cell>
          <cell r="P42">
            <v>23255000</v>
          </cell>
          <cell r="BS42">
            <v>23752356.670000002</v>
          </cell>
          <cell r="BT42">
            <v>16130769.859999999</v>
          </cell>
        </row>
        <row r="43">
          <cell r="O43">
            <v>26812000</v>
          </cell>
          <cell r="P43">
            <v>17552000</v>
          </cell>
          <cell r="BS43">
            <v>22409109.059999999</v>
          </cell>
          <cell r="BT43">
            <v>8351656.3800000018</v>
          </cell>
        </row>
        <row r="44">
          <cell r="P44">
            <v>1038116000</v>
          </cell>
          <cell r="BT44">
            <v>800950134.60000014</v>
          </cell>
        </row>
        <row r="48">
          <cell r="O48">
            <v>15088000</v>
          </cell>
          <cell r="P48">
            <v>126829000</v>
          </cell>
          <cell r="BS48">
            <v>12297654.220000001</v>
          </cell>
          <cell r="BT48">
            <v>107129936.92</v>
          </cell>
        </row>
        <row r="49">
          <cell r="O49">
            <v>43309000</v>
          </cell>
          <cell r="P49">
            <v>48825000</v>
          </cell>
          <cell r="BS49">
            <v>42694344.540000007</v>
          </cell>
          <cell r="BT49">
            <v>40704944.379999995</v>
          </cell>
        </row>
        <row r="50">
          <cell r="P50">
            <v>570443000</v>
          </cell>
          <cell r="BT50">
            <v>500213758.36000001</v>
          </cell>
        </row>
        <row r="51">
          <cell r="P51">
            <v>118740000</v>
          </cell>
          <cell r="BT51">
            <v>98386319.530000001</v>
          </cell>
        </row>
        <row r="52">
          <cell r="P52">
            <v>1949783000</v>
          </cell>
          <cell r="BT52">
            <v>1273116222.4000001</v>
          </cell>
        </row>
        <row r="53">
          <cell r="P53">
            <v>1021023000</v>
          </cell>
          <cell r="BT53">
            <v>589982503.09000003</v>
          </cell>
        </row>
        <row r="54">
          <cell r="P54">
            <v>321951000</v>
          </cell>
          <cell r="BT54">
            <v>287969809.59000003</v>
          </cell>
        </row>
        <row r="55">
          <cell r="P55">
            <v>70764000</v>
          </cell>
          <cell r="BT55">
            <v>45080269.630000003</v>
          </cell>
        </row>
        <row r="56">
          <cell r="P56">
            <v>2539420000</v>
          </cell>
          <cell r="BT56">
            <v>2147659743.8300004</v>
          </cell>
        </row>
        <row r="57">
          <cell r="P57">
            <v>51866000</v>
          </cell>
          <cell r="BT57">
            <v>27404061.300000004</v>
          </cell>
        </row>
        <row r="58">
          <cell r="O58">
            <v>2183000</v>
          </cell>
          <cell r="P58">
            <v>8281000</v>
          </cell>
          <cell r="BT58">
            <v>6870770.6999999993</v>
          </cell>
        </row>
        <row r="59">
          <cell r="O59">
            <v>17952000</v>
          </cell>
          <cell r="P59">
            <v>137527000</v>
          </cell>
          <cell r="BS59">
            <v>14840343.440000001</v>
          </cell>
          <cell r="BT59">
            <v>119360827.45000002</v>
          </cell>
        </row>
        <row r="60">
          <cell r="O60">
            <v>5956000</v>
          </cell>
          <cell r="P60">
            <v>164907000</v>
          </cell>
          <cell r="BS60">
            <v>5918927.8699999992</v>
          </cell>
          <cell r="BT60">
            <v>126917354.67</v>
          </cell>
        </row>
        <row r="61">
          <cell r="O61">
            <v>22910000</v>
          </cell>
          <cell r="P61">
            <v>125200000</v>
          </cell>
          <cell r="BS61">
            <v>22740551.5</v>
          </cell>
          <cell r="BT61">
            <v>38223720.229999997</v>
          </cell>
        </row>
        <row r="62">
          <cell r="O62">
            <v>8198000</v>
          </cell>
          <cell r="P62">
            <v>112594000</v>
          </cell>
          <cell r="BS62">
            <v>7109104.0300000003</v>
          </cell>
          <cell r="BT62">
            <v>101164029.81999998</v>
          </cell>
        </row>
        <row r="63">
          <cell r="Q63">
            <v>10772495000</v>
          </cell>
          <cell r="BU63">
            <v>6798604140.3099995</v>
          </cell>
        </row>
        <row r="85">
          <cell r="O85">
            <v>9811000</v>
          </cell>
          <cell r="P85">
            <v>19726000</v>
          </cell>
          <cell r="BS85">
            <v>9804362.5</v>
          </cell>
          <cell r="BT85">
            <v>17874000</v>
          </cell>
        </row>
        <row r="86">
          <cell r="O86">
            <v>3391000</v>
          </cell>
          <cell r="P86">
            <v>12969000</v>
          </cell>
          <cell r="BS86">
            <v>3385287.5</v>
          </cell>
        </row>
        <row r="87">
          <cell r="O87">
            <v>3486000</v>
          </cell>
          <cell r="P87">
            <v>5959000</v>
          </cell>
          <cell r="BS87">
            <v>3480312.5</v>
          </cell>
          <cell r="BT87">
            <v>5281000</v>
          </cell>
        </row>
        <row r="88">
          <cell r="P88">
            <v>5643000</v>
          </cell>
          <cell r="BT88">
            <v>5643000</v>
          </cell>
        </row>
        <row r="89">
          <cell r="P89">
            <v>9910000</v>
          </cell>
        </row>
        <row r="90">
          <cell r="P90">
            <v>5743000</v>
          </cell>
          <cell r="BT90">
            <v>5743000</v>
          </cell>
        </row>
        <row r="91">
          <cell r="P91">
            <v>10398000</v>
          </cell>
          <cell r="BT91">
            <v>10398000</v>
          </cell>
        </row>
        <row r="92">
          <cell r="O92">
            <v>1008000</v>
          </cell>
          <cell r="P92">
            <v>54806000</v>
          </cell>
          <cell r="BS92">
            <v>1008000</v>
          </cell>
          <cell r="BT92">
            <v>54639000</v>
          </cell>
        </row>
        <row r="93">
          <cell r="P93">
            <v>4720000</v>
          </cell>
          <cell r="BT93">
            <v>4720000</v>
          </cell>
        </row>
        <row r="94">
          <cell r="P94">
            <v>15221000</v>
          </cell>
          <cell r="BT94">
            <v>15221000</v>
          </cell>
        </row>
        <row r="95">
          <cell r="P95">
            <v>2725000</v>
          </cell>
          <cell r="BT95">
            <v>2725000</v>
          </cell>
        </row>
        <row r="96">
          <cell r="P96">
            <v>8896000</v>
          </cell>
          <cell r="BT96">
            <v>8896000</v>
          </cell>
        </row>
        <row r="97">
          <cell r="P97">
            <v>22933000</v>
          </cell>
          <cell r="BT97">
            <v>17920666.599999998</v>
          </cell>
        </row>
        <row r="103">
          <cell r="P103">
            <v>77064000</v>
          </cell>
          <cell r="Q103">
            <v>95397000</v>
          </cell>
          <cell r="BT103">
            <v>52072000</v>
          </cell>
          <cell r="BU103">
            <v>95397000</v>
          </cell>
        </row>
        <row r="106">
          <cell r="O106">
            <v>95016097</v>
          </cell>
          <cell r="BS106">
            <v>21652897.670000002</v>
          </cell>
        </row>
        <row r="107">
          <cell r="O107">
            <v>234339625</v>
          </cell>
          <cell r="BS107">
            <v>227302178.87</v>
          </cell>
        </row>
        <row r="108">
          <cell r="P108">
            <v>6073530.1100000003</v>
          </cell>
          <cell r="BT108">
            <v>4038276.77</v>
          </cell>
        </row>
        <row r="109">
          <cell r="P109">
            <v>277833775.23000002</v>
          </cell>
          <cell r="BT109">
            <v>67643765.260000005</v>
          </cell>
        </row>
        <row r="110">
          <cell r="P110">
            <v>95007690</v>
          </cell>
          <cell r="BV110">
            <v>95007690</v>
          </cell>
        </row>
        <row r="112">
          <cell r="P112">
            <v>7190000</v>
          </cell>
          <cell r="BV112">
            <v>0</v>
          </cell>
        </row>
      </sheetData>
      <sheetData sheetId="1" refreshError="1">
        <row r="255">
          <cell r="H255">
            <v>54606000</v>
          </cell>
        </row>
        <row r="359">
          <cell r="J359">
            <v>6733000462.0100002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AOB FORM"/>
      <sheetName val="SAOBSUM"/>
      <sheetName val="SAOBJAN"/>
      <sheetName val="SAOBSAA"/>
      <sheetName val="OCT 21"/>
      <sheetName val="Nov 4"/>
      <sheetName val="Sheet1"/>
      <sheetName val="nov.22"/>
      <sheetName val="DEC.12"/>
      <sheetName val="DEC 27"/>
    </sheetNames>
    <sheetDataSet>
      <sheetData sheetId="0" refreshError="1"/>
      <sheetData sheetId="1" refreshError="1">
        <row r="36">
          <cell r="Q36">
            <v>0</v>
          </cell>
        </row>
        <row r="46">
          <cell r="P46">
            <v>0</v>
          </cell>
        </row>
        <row r="55">
          <cell r="Q5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faps conap"/>
      <sheetName val="faps conap bar"/>
      <sheetName val="FAPS CURRENT"/>
      <sheetName val="FAPS BAR CURRENT"/>
    </sheetNames>
    <sheetDataSet>
      <sheetData sheetId="0" refreshError="1">
        <row r="11">
          <cell r="BP11">
            <v>0</v>
          </cell>
        </row>
      </sheetData>
      <sheetData sheetId="1" refreshError="1"/>
      <sheetData sheetId="2" refreshError="1">
        <row r="7">
          <cell r="P7">
            <v>7803808.3200000003</v>
          </cell>
          <cell r="BP7">
            <v>106114.98</v>
          </cell>
        </row>
        <row r="8">
          <cell r="P8">
            <v>71994083.159999996</v>
          </cell>
          <cell r="BP8">
            <v>52854808.719999999</v>
          </cell>
        </row>
        <row r="12">
          <cell r="P12">
            <v>8194000</v>
          </cell>
          <cell r="BP12">
            <v>8096279.7699999996</v>
          </cell>
        </row>
      </sheetData>
      <sheetData sheetId="3" refreshError="1">
        <row r="27">
          <cell r="K27">
            <v>7697693.3399999999</v>
          </cell>
          <cell r="L27">
            <v>19236994.669999998</v>
          </cell>
          <cell r="O27">
            <v>26934688.009999998</v>
          </cell>
        </row>
      </sheetData>
      <sheetData sheetId="4" refreshError="1">
        <row r="7">
          <cell r="P7">
            <v>37553000</v>
          </cell>
          <cell r="Q7">
            <v>6887000</v>
          </cell>
          <cell r="BP7">
            <v>15285290.899999999</v>
          </cell>
          <cell r="BQ7">
            <v>0</v>
          </cell>
        </row>
        <row r="8">
          <cell r="P8">
            <v>186131000</v>
          </cell>
          <cell r="Q8">
            <v>39289000</v>
          </cell>
          <cell r="BP8">
            <v>17052481.880000003</v>
          </cell>
          <cell r="BQ8">
            <v>0</v>
          </cell>
        </row>
        <row r="15">
          <cell r="BT15">
            <v>22267709.100000001</v>
          </cell>
          <cell r="BU15">
            <v>6887000</v>
          </cell>
        </row>
        <row r="16">
          <cell r="BT16">
            <v>169078518.12</v>
          </cell>
          <cell r="BU16">
            <v>39289000</v>
          </cell>
        </row>
      </sheetData>
      <sheetData sheetId="5" refreshError="1">
        <row r="22">
          <cell r="K22">
            <v>29154709.100000001</v>
          </cell>
          <cell r="L22">
            <v>208367518.12</v>
          </cell>
          <cell r="M22">
            <v>237522227.22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URRENT"/>
      <sheetName val="CONAP"/>
      <sheetName val="CONAP - W INC"/>
      <sheetName val="FS MATRIX SUMM"/>
      <sheetName val="Utilization-Income"/>
      <sheetName val="Utilization-Reg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/>
      <sheetData sheetId="1"/>
      <sheetData sheetId="2"/>
      <sheetData sheetId="3">
        <row r="1850">
          <cell r="Q1850">
            <v>11983282647.439999</v>
          </cell>
        </row>
      </sheetData>
      <sheetData sheetId="4">
        <row r="1363">
          <cell r="Q1363">
            <v>2831407882.0099998</v>
          </cell>
        </row>
      </sheetData>
      <sheetData sheetId="5">
        <row r="14">
          <cell r="F14">
            <v>0</v>
          </cell>
          <cell r="G14">
            <v>-3551774.76</v>
          </cell>
          <cell r="H14">
            <v>770000</v>
          </cell>
          <cell r="J14">
            <v>0</v>
          </cell>
          <cell r="K14">
            <v>0</v>
          </cell>
          <cell r="L14">
            <v>0</v>
          </cell>
        </row>
        <row r="15">
          <cell r="G15">
            <v>28878746.399999999</v>
          </cell>
          <cell r="H15">
            <v>3375016.33</v>
          </cell>
          <cell r="K15">
            <v>17627958.810000002</v>
          </cell>
          <cell r="L15">
            <v>189808</v>
          </cell>
        </row>
        <row r="23">
          <cell r="F23">
            <v>0</v>
          </cell>
          <cell r="G23">
            <v>220650</v>
          </cell>
          <cell r="H23">
            <v>0</v>
          </cell>
          <cell r="J23">
            <v>0</v>
          </cell>
          <cell r="K23">
            <v>25000</v>
          </cell>
          <cell r="L23">
            <v>0</v>
          </cell>
        </row>
        <row r="24">
          <cell r="G24">
            <v>3774.42</v>
          </cell>
          <cell r="H24">
            <v>0</v>
          </cell>
          <cell r="K24">
            <v>3774.42</v>
          </cell>
          <cell r="L24">
            <v>0</v>
          </cell>
        </row>
        <row r="31">
          <cell r="F31">
            <v>0</v>
          </cell>
          <cell r="G31">
            <v>1230514.76</v>
          </cell>
          <cell r="H31">
            <v>0</v>
          </cell>
          <cell r="J31">
            <v>0</v>
          </cell>
          <cell r="K31">
            <v>5951965.6999999993</v>
          </cell>
          <cell r="L31">
            <v>0</v>
          </cell>
        </row>
        <row r="32">
          <cell r="G32">
            <v>5727717.2700000005</v>
          </cell>
          <cell r="H32">
            <v>0</v>
          </cell>
          <cell r="K32">
            <v>967232.03</v>
          </cell>
          <cell r="L32">
            <v>0</v>
          </cell>
        </row>
        <row r="39">
          <cell r="F39">
            <v>0</v>
          </cell>
          <cell r="G39">
            <v>763335.96</v>
          </cell>
          <cell r="H39">
            <v>0</v>
          </cell>
          <cell r="J39">
            <v>0</v>
          </cell>
          <cell r="K39">
            <v>541108.05999999994</v>
          </cell>
          <cell r="L39">
            <v>0</v>
          </cell>
        </row>
        <row r="40">
          <cell r="G40">
            <v>1252448.48</v>
          </cell>
          <cell r="H40">
            <v>0</v>
          </cell>
          <cell r="K40">
            <v>883398.15999999992</v>
          </cell>
          <cell r="L40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K48">
            <v>0</v>
          </cell>
          <cell r="L48">
            <v>0</v>
          </cell>
        </row>
        <row r="68">
          <cell r="F68">
            <v>0</v>
          </cell>
          <cell r="G68">
            <v>-1586949.1200000001</v>
          </cell>
          <cell r="H68">
            <v>11498400</v>
          </cell>
          <cell r="J68">
            <v>0</v>
          </cell>
          <cell r="K68">
            <v>3000000</v>
          </cell>
          <cell r="L68">
            <v>9105870</v>
          </cell>
        </row>
        <row r="69">
          <cell r="G69">
            <v>9391056.0399999991</v>
          </cell>
          <cell r="H69">
            <v>140564542.78</v>
          </cell>
          <cell r="K69">
            <v>4556806.37</v>
          </cell>
          <cell r="L69">
            <v>114438167.11</v>
          </cell>
        </row>
        <row r="77"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K78">
            <v>0</v>
          </cell>
          <cell r="L78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K86">
            <v>0</v>
          </cell>
          <cell r="L86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K94">
            <v>0</v>
          </cell>
          <cell r="L94">
            <v>0</v>
          </cell>
        </row>
        <row r="122">
          <cell r="F122">
            <v>0</v>
          </cell>
          <cell r="G122">
            <v>-406414.93</v>
          </cell>
          <cell r="H122">
            <v>8133000</v>
          </cell>
          <cell r="J122">
            <v>0</v>
          </cell>
          <cell r="K122">
            <v>0</v>
          </cell>
          <cell r="L122">
            <v>4608000</v>
          </cell>
        </row>
        <row r="123">
          <cell r="G123">
            <v>8221812.9799999893</v>
          </cell>
          <cell r="H123">
            <v>78473191.560000002</v>
          </cell>
          <cell r="K123">
            <v>6651585.3099999996</v>
          </cell>
          <cell r="L123">
            <v>75689091.36999999</v>
          </cell>
        </row>
        <row r="131">
          <cell r="F131">
            <v>0</v>
          </cell>
          <cell r="G131">
            <v>-2723934.42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>
            <v>2863482.4299999997</v>
          </cell>
          <cell r="H132">
            <v>0</v>
          </cell>
          <cell r="K132">
            <v>139548.01</v>
          </cell>
          <cell r="L132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G140">
            <v>0</v>
          </cell>
          <cell r="H140">
            <v>0</v>
          </cell>
          <cell r="K140">
            <v>0</v>
          </cell>
          <cell r="L140">
            <v>0</v>
          </cell>
        </row>
        <row r="147">
          <cell r="F147">
            <v>0</v>
          </cell>
          <cell r="G147">
            <v>-1040257.05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G148">
            <v>1619112.3800000008</v>
          </cell>
          <cell r="H148">
            <v>0</v>
          </cell>
          <cell r="K148">
            <v>577165.86</v>
          </cell>
          <cell r="L148">
            <v>0</v>
          </cell>
        </row>
        <row r="168">
          <cell r="F168">
            <v>0</v>
          </cell>
          <cell r="G168">
            <v>-3000000</v>
          </cell>
          <cell r="H168">
            <v>12615500</v>
          </cell>
          <cell r="J168">
            <v>0</v>
          </cell>
          <cell r="K168">
            <v>0</v>
          </cell>
          <cell r="L168">
            <v>6078280</v>
          </cell>
        </row>
        <row r="169">
          <cell r="G169">
            <v>30625215.920000002</v>
          </cell>
          <cell r="H169">
            <v>7284803.5800000001</v>
          </cell>
          <cell r="K169">
            <v>28747224.509999998</v>
          </cell>
          <cell r="L169">
            <v>4863423.1100000003</v>
          </cell>
        </row>
        <row r="177">
          <cell r="F177">
            <v>0</v>
          </cell>
          <cell r="G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G178">
            <v>490614.1</v>
          </cell>
          <cell r="H178">
            <v>0</v>
          </cell>
          <cell r="K178">
            <v>395409.19999999995</v>
          </cell>
          <cell r="L178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G186">
            <v>145088.27000000002</v>
          </cell>
          <cell r="H186">
            <v>0</v>
          </cell>
          <cell r="K186">
            <v>145088.27000000002</v>
          </cell>
          <cell r="L186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G194">
            <v>0</v>
          </cell>
          <cell r="H194">
            <v>0</v>
          </cell>
          <cell r="K194">
            <v>0</v>
          </cell>
          <cell r="L194">
            <v>0</v>
          </cell>
        </row>
        <row r="201">
          <cell r="F201">
            <v>0</v>
          </cell>
          <cell r="G201">
            <v>-648864.24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G202">
            <v>1028864.24</v>
          </cell>
          <cell r="H202">
            <v>0</v>
          </cell>
          <cell r="K202">
            <v>375694.5</v>
          </cell>
          <cell r="L202">
            <v>0</v>
          </cell>
        </row>
        <row r="222">
          <cell r="F222">
            <v>0</v>
          </cell>
          <cell r="G222">
            <v>-800000</v>
          </cell>
          <cell r="H222">
            <v>6913000</v>
          </cell>
          <cell r="J222">
            <v>0</v>
          </cell>
          <cell r="K222">
            <v>0</v>
          </cell>
          <cell r="L222">
            <v>0</v>
          </cell>
        </row>
        <row r="223">
          <cell r="G223">
            <v>50705095.57</v>
          </cell>
          <cell r="H223">
            <v>21871993.719999999</v>
          </cell>
          <cell r="K223">
            <v>23708217.900000002</v>
          </cell>
          <cell r="L223">
            <v>11021183.379999999</v>
          </cell>
        </row>
        <row r="231">
          <cell r="F231">
            <v>0</v>
          </cell>
          <cell r="G231">
            <v>-2724466.02</v>
          </cell>
          <cell r="H231">
            <v>0</v>
          </cell>
          <cell r="J231">
            <v>0</v>
          </cell>
          <cell r="K231">
            <v>17852.400000000001</v>
          </cell>
          <cell r="L231">
            <v>0</v>
          </cell>
        </row>
        <row r="232">
          <cell r="G232">
            <v>3018415.92</v>
          </cell>
          <cell r="H232">
            <v>0</v>
          </cell>
          <cell r="K232">
            <v>93949.9</v>
          </cell>
          <cell r="L232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G240">
            <v>2155124</v>
          </cell>
          <cell r="H240">
            <v>0</v>
          </cell>
          <cell r="K240">
            <v>1673295.78</v>
          </cell>
          <cell r="L240">
            <v>0</v>
          </cell>
        </row>
        <row r="247">
          <cell r="F247">
            <v>0</v>
          </cell>
          <cell r="G247">
            <v>-3272578.66</v>
          </cell>
          <cell r="H247">
            <v>0</v>
          </cell>
          <cell r="J247">
            <v>0</v>
          </cell>
          <cell r="K247">
            <v>323550</v>
          </cell>
          <cell r="L247">
            <v>0</v>
          </cell>
        </row>
        <row r="248">
          <cell r="G248">
            <v>3688110.86</v>
          </cell>
          <cell r="H248">
            <v>0</v>
          </cell>
          <cell r="K248">
            <v>14952.780000000093</v>
          </cell>
          <cell r="L248">
            <v>0</v>
          </cell>
        </row>
        <row r="255">
          <cell r="F255">
            <v>0</v>
          </cell>
          <cell r="G255">
            <v>-3987389.48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G256">
            <v>4367389.4800000004</v>
          </cell>
          <cell r="H256">
            <v>0</v>
          </cell>
          <cell r="K256">
            <v>164924.63999999998</v>
          </cell>
          <cell r="L256">
            <v>0</v>
          </cell>
        </row>
        <row r="263">
          <cell r="F263">
            <v>0</v>
          </cell>
          <cell r="G263">
            <v>-2633144.66</v>
          </cell>
          <cell r="H263">
            <v>0</v>
          </cell>
          <cell r="J263">
            <v>0</v>
          </cell>
          <cell r="K263">
            <v>195709.52</v>
          </cell>
          <cell r="L263">
            <v>0</v>
          </cell>
        </row>
        <row r="264">
          <cell r="G264">
            <v>3069529.71</v>
          </cell>
          <cell r="H264">
            <v>0</v>
          </cell>
          <cell r="K264">
            <v>219395.5</v>
          </cell>
          <cell r="L264">
            <v>0</v>
          </cell>
        </row>
        <row r="284">
          <cell r="F284">
            <v>0</v>
          </cell>
          <cell r="G284">
            <v>-2191140</v>
          </cell>
          <cell r="H284">
            <v>28030900</v>
          </cell>
          <cell r="J284">
            <v>0</v>
          </cell>
          <cell r="K284">
            <v>0</v>
          </cell>
          <cell r="L284">
            <v>21798585</v>
          </cell>
        </row>
        <row r="285">
          <cell r="G285">
            <v>48502206.030000001</v>
          </cell>
          <cell r="H285">
            <v>21078999.710000001</v>
          </cell>
          <cell r="K285">
            <v>42003865.189999998</v>
          </cell>
          <cell r="L285">
            <v>2325865.65</v>
          </cell>
        </row>
        <row r="293">
          <cell r="F293">
            <v>0</v>
          </cell>
          <cell r="G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G294">
            <v>4276266.33</v>
          </cell>
          <cell r="H294">
            <v>0</v>
          </cell>
          <cell r="K294">
            <v>3122715.61</v>
          </cell>
          <cell r="L294">
            <v>0</v>
          </cell>
        </row>
        <row r="312">
          <cell r="F312">
            <v>0</v>
          </cell>
          <cell r="G312">
            <v>-4434157.71</v>
          </cell>
          <cell r="H312">
            <v>8901800</v>
          </cell>
          <cell r="J312">
            <v>0</v>
          </cell>
          <cell r="K312">
            <v>0</v>
          </cell>
          <cell r="L312">
            <v>595000</v>
          </cell>
        </row>
        <row r="313">
          <cell r="G313">
            <v>17982186.509999998</v>
          </cell>
          <cell r="H313">
            <v>4152665.33</v>
          </cell>
          <cell r="K313">
            <v>10425199.559999999</v>
          </cell>
          <cell r="L313">
            <v>1066630</v>
          </cell>
        </row>
        <row r="321">
          <cell r="F321">
            <v>0</v>
          </cell>
          <cell r="G321">
            <v>1300000</v>
          </cell>
          <cell r="H321">
            <v>0</v>
          </cell>
          <cell r="J321">
            <v>0</v>
          </cell>
          <cell r="K321">
            <v>748337.7</v>
          </cell>
          <cell r="L321">
            <v>0</v>
          </cell>
        </row>
        <row r="322">
          <cell r="G322">
            <v>450.74</v>
          </cell>
          <cell r="H322">
            <v>0</v>
          </cell>
          <cell r="K322">
            <v>0</v>
          </cell>
          <cell r="L322">
            <v>0</v>
          </cell>
        </row>
        <row r="329">
          <cell r="F329">
            <v>0</v>
          </cell>
          <cell r="G329">
            <v>1483317</v>
          </cell>
          <cell r="H329">
            <v>0</v>
          </cell>
          <cell r="J329">
            <v>0</v>
          </cell>
          <cell r="K329">
            <v>782020.35</v>
          </cell>
          <cell r="L329">
            <v>0</v>
          </cell>
        </row>
        <row r="330">
          <cell r="G330">
            <v>1205850.48</v>
          </cell>
          <cell r="H330">
            <v>0</v>
          </cell>
          <cell r="K330">
            <v>1078944.52</v>
          </cell>
          <cell r="L330">
            <v>0</v>
          </cell>
        </row>
        <row r="350">
          <cell r="K350">
            <v>0</v>
          </cell>
          <cell r="L350">
            <v>3715905.2</v>
          </cell>
        </row>
        <row r="351">
          <cell r="G351">
            <v>41485876.359999999</v>
          </cell>
          <cell r="H351">
            <v>6724503.6600000001</v>
          </cell>
          <cell r="K351">
            <v>39042313.920000002</v>
          </cell>
          <cell r="L351">
            <v>4717907.59</v>
          </cell>
        </row>
        <row r="359">
          <cell r="G359">
            <v>-2971035.76</v>
          </cell>
          <cell r="H359">
            <v>15000000</v>
          </cell>
          <cell r="K359">
            <v>0</v>
          </cell>
          <cell r="L359">
            <v>12980000</v>
          </cell>
        </row>
        <row r="360">
          <cell r="G360">
            <v>11990816.380000001</v>
          </cell>
          <cell r="H360">
            <v>0</v>
          </cell>
          <cell r="K360">
            <v>9019780.6199999992</v>
          </cell>
          <cell r="L360">
            <v>0</v>
          </cell>
        </row>
        <row r="367">
          <cell r="F367">
            <v>0</v>
          </cell>
          <cell r="G367">
            <v>-157500</v>
          </cell>
          <cell r="H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G368">
            <v>1868989.73</v>
          </cell>
          <cell r="H368">
            <v>0</v>
          </cell>
          <cell r="K368">
            <v>980991.14000000013</v>
          </cell>
          <cell r="L368">
            <v>0</v>
          </cell>
        </row>
        <row r="375">
          <cell r="F375">
            <v>0</v>
          </cell>
          <cell r="G375">
            <v>-266034.99</v>
          </cell>
          <cell r="H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G376">
            <v>3708004</v>
          </cell>
          <cell r="H376">
            <v>0</v>
          </cell>
          <cell r="K376">
            <v>3441969.01</v>
          </cell>
          <cell r="L376">
            <v>0</v>
          </cell>
        </row>
        <row r="396">
          <cell r="F396">
            <v>0</v>
          </cell>
          <cell r="G396">
            <v>-2059866.99</v>
          </cell>
          <cell r="H396">
            <v>4959400</v>
          </cell>
          <cell r="K396">
            <v>1500000</v>
          </cell>
          <cell r="L396">
            <v>62910</v>
          </cell>
        </row>
        <row r="397">
          <cell r="G397">
            <v>38965067.010000005</v>
          </cell>
          <cell r="H397">
            <v>360682.56</v>
          </cell>
          <cell r="K397">
            <v>18563604.439999998</v>
          </cell>
          <cell r="L397">
            <v>217300</v>
          </cell>
        </row>
        <row r="405">
          <cell r="F405">
            <v>0</v>
          </cell>
          <cell r="G405">
            <v>1631324.54</v>
          </cell>
          <cell r="H405">
            <v>0</v>
          </cell>
          <cell r="J405">
            <v>0</v>
          </cell>
          <cell r="K405">
            <v>480762.62</v>
          </cell>
          <cell r="L405">
            <v>0</v>
          </cell>
        </row>
        <row r="406">
          <cell r="G406">
            <v>8860190.4699999988</v>
          </cell>
          <cell r="H406">
            <v>0</v>
          </cell>
          <cell r="K406">
            <v>2146779.02</v>
          </cell>
          <cell r="L406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G422">
            <v>1783.52</v>
          </cell>
          <cell r="H422">
            <v>0</v>
          </cell>
          <cell r="K422">
            <v>0</v>
          </cell>
          <cell r="L422">
            <v>0</v>
          </cell>
        </row>
        <row r="429">
          <cell r="F429">
            <v>0</v>
          </cell>
          <cell r="G429">
            <v>189028.89</v>
          </cell>
          <cell r="H429">
            <v>0</v>
          </cell>
          <cell r="J429">
            <v>0</v>
          </cell>
          <cell r="K429">
            <v>195245</v>
          </cell>
          <cell r="L429">
            <v>0</v>
          </cell>
        </row>
        <row r="430">
          <cell r="G430">
            <v>326544.89</v>
          </cell>
          <cell r="H430">
            <v>0</v>
          </cell>
          <cell r="K430">
            <v>311636.78000000003</v>
          </cell>
          <cell r="L430">
            <v>0</v>
          </cell>
        </row>
        <row r="437">
          <cell r="F437">
            <v>0</v>
          </cell>
          <cell r="G437">
            <v>-177731.34000000008</v>
          </cell>
          <cell r="H437">
            <v>0</v>
          </cell>
          <cell r="J437">
            <v>0</v>
          </cell>
          <cell r="K437">
            <v>240000</v>
          </cell>
          <cell r="L437">
            <v>0</v>
          </cell>
        </row>
        <row r="438">
          <cell r="G438">
            <v>2398625.98</v>
          </cell>
          <cell r="H438">
            <v>0</v>
          </cell>
          <cell r="K438">
            <v>711650</v>
          </cell>
          <cell r="L438">
            <v>0</v>
          </cell>
        </row>
        <row r="458">
          <cell r="F458">
            <v>0</v>
          </cell>
          <cell r="G458">
            <v>-9041006.0599999987</v>
          </cell>
          <cell r="H458">
            <v>-97107238</v>
          </cell>
          <cell r="J458">
            <v>0</v>
          </cell>
          <cell r="K458">
            <v>0</v>
          </cell>
          <cell r="L458">
            <v>0</v>
          </cell>
        </row>
        <row r="459">
          <cell r="G459">
            <v>47385665.319999993</v>
          </cell>
          <cell r="H459">
            <v>114839306.45</v>
          </cell>
          <cell r="K459">
            <v>33749840.410000004</v>
          </cell>
          <cell r="L459">
            <v>12775953</v>
          </cell>
        </row>
        <row r="467">
          <cell r="F467">
            <v>0</v>
          </cell>
          <cell r="G467">
            <v>0</v>
          </cell>
          <cell r="H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G468">
            <v>13181742.42</v>
          </cell>
          <cell r="H468">
            <v>0</v>
          </cell>
          <cell r="K468">
            <v>2527002.1599999997</v>
          </cell>
          <cell r="L468">
            <v>0</v>
          </cell>
        </row>
        <row r="475">
          <cell r="F475">
            <v>0</v>
          </cell>
          <cell r="G475">
            <v>-2806843.85</v>
          </cell>
          <cell r="H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G476">
            <v>2810618.38</v>
          </cell>
          <cell r="H476">
            <v>0</v>
          </cell>
          <cell r="K476">
            <v>0</v>
          </cell>
          <cell r="L476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G484">
            <v>141452.59</v>
          </cell>
          <cell r="H484">
            <v>0</v>
          </cell>
          <cell r="K484">
            <v>140946.68</v>
          </cell>
          <cell r="L484">
            <v>0</v>
          </cell>
        </row>
        <row r="491">
          <cell r="F491">
            <v>0</v>
          </cell>
          <cell r="G491">
            <v>-223610.37</v>
          </cell>
          <cell r="H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G492">
            <v>759266.15</v>
          </cell>
          <cell r="H492">
            <v>0</v>
          </cell>
          <cell r="K492">
            <v>535454</v>
          </cell>
          <cell r="L492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G500">
            <v>890</v>
          </cell>
          <cell r="H500">
            <v>0</v>
          </cell>
          <cell r="K500">
            <v>0</v>
          </cell>
          <cell r="L500">
            <v>0</v>
          </cell>
        </row>
        <row r="507">
          <cell r="F507">
            <v>0</v>
          </cell>
          <cell r="G507">
            <v>-12925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G508">
            <v>191155.22</v>
          </cell>
          <cell r="H508">
            <v>0</v>
          </cell>
          <cell r="K508">
            <v>178230.22</v>
          </cell>
          <cell r="L508">
            <v>0</v>
          </cell>
        </row>
        <row r="528">
          <cell r="F528">
            <v>0</v>
          </cell>
          <cell r="G528">
            <v>3000000</v>
          </cell>
          <cell r="H528">
            <v>40364000</v>
          </cell>
          <cell r="J528">
            <v>0</v>
          </cell>
          <cell r="K528">
            <v>2996200</v>
          </cell>
          <cell r="L528">
            <v>0</v>
          </cell>
        </row>
        <row r="529">
          <cell r="G529">
            <v>39279044.130000003</v>
          </cell>
          <cell r="H529">
            <v>16269341.17</v>
          </cell>
          <cell r="K529">
            <v>13468201.840000004</v>
          </cell>
          <cell r="L529">
            <v>7548272.8499999996</v>
          </cell>
        </row>
        <row r="537">
          <cell r="F537">
            <v>0</v>
          </cell>
          <cell r="G537">
            <v>0</v>
          </cell>
          <cell r="H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G538">
            <v>0</v>
          </cell>
          <cell r="H538">
            <v>0</v>
          </cell>
          <cell r="K538">
            <v>0</v>
          </cell>
          <cell r="L538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G546">
            <v>0</v>
          </cell>
          <cell r="H546">
            <v>0</v>
          </cell>
          <cell r="K546">
            <v>0</v>
          </cell>
          <cell r="L546">
            <v>0</v>
          </cell>
        </row>
        <row r="566">
          <cell r="F566">
            <v>0</v>
          </cell>
          <cell r="G566">
            <v>-2715517.2</v>
          </cell>
          <cell r="H566">
            <v>2630900</v>
          </cell>
          <cell r="J566">
            <v>0</v>
          </cell>
          <cell r="K566">
            <v>0</v>
          </cell>
          <cell r="L566">
            <v>0</v>
          </cell>
        </row>
        <row r="567">
          <cell r="G567">
            <v>35735771.129999995</v>
          </cell>
          <cell r="H567">
            <v>83588396.060000002</v>
          </cell>
          <cell r="K567">
            <v>24782703.369999997</v>
          </cell>
          <cell r="L567">
            <v>38548009.080000006</v>
          </cell>
        </row>
        <row r="575">
          <cell r="F575">
            <v>0</v>
          </cell>
          <cell r="G575">
            <v>-2163146.4</v>
          </cell>
          <cell r="H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G576">
            <v>2707859.9000000004</v>
          </cell>
          <cell r="H576">
            <v>0</v>
          </cell>
          <cell r="K576">
            <v>251542.26</v>
          </cell>
          <cell r="L576">
            <v>0</v>
          </cell>
        </row>
        <row r="583">
          <cell r="F583">
            <v>0</v>
          </cell>
          <cell r="G583">
            <v>-158662.85999999999</v>
          </cell>
          <cell r="H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G584">
            <v>415071.06</v>
          </cell>
          <cell r="H584">
            <v>0</v>
          </cell>
          <cell r="K584">
            <v>180823.5</v>
          </cell>
          <cell r="L584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G592">
            <v>23897.47</v>
          </cell>
          <cell r="H592">
            <v>0</v>
          </cell>
          <cell r="K592">
            <v>8450</v>
          </cell>
          <cell r="L592">
            <v>0</v>
          </cell>
        </row>
        <row r="599">
          <cell r="F599">
            <v>0</v>
          </cell>
          <cell r="G599">
            <v>-363.7</v>
          </cell>
          <cell r="H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G600">
            <v>60363.700000000012</v>
          </cell>
          <cell r="H600">
            <v>0</v>
          </cell>
          <cell r="K600">
            <v>0</v>
          </cell>
          <cell r="L600">
            <v>0</v>
          </cell>
        </row>
        <row r="607">
          <cell r="F607">
            <v>0</v>
          </cell>
          <cell r="G607">
            <v>0</v>
          </cell>
          <cell r="H607">
            <v>10808000</v>
          </cell>
          <cell r="J607">
            <v>0</v>
          </cell>
          <cell r="K607">
            <v>0</v>
          </cell>
          <cell r="L607">
            <v>0</v>
          </cell>
        </row>
        <row r="608">
          <cell r="G608">
            <v>226206.31</v>
          </cell>
          <cell r="H608">
            <v>0</v>
          </cell>
          <cell r="K608">
            <v>166206.30999999997</v>
          </cell>
          <cell r="L608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G616">
            <v>658710.06999999995</v>
          </cell>
          <cell r="H616">
            <v>0</v>
          </cell>
          <cell r="K616">
            <v>162804.47</v>
          </cell>
          <cell r="L616">
            <v>0</v>
          </cell>
        </row>
        <row r="623">
          <cell r="F623">
            <v>0</v>
          </cell>
          <cell r="G623">
            <v>-560987</v>
          </cell>
          <cell r="H623">
            <v>3184900</v>
          </cell>
          <cell r="J623">
            <v>0</v>
          </cell>
          <cell r="K623">
            <v>0</v>
          </cell>
          <cell r="L623">
            <v>3044200</v>
          </cell>
        </row>
        <row r="624">
          <cell r="G624">
            <v>677514.31</v>
          </cell>
          <cell r="H624">
            <v>10000000</v>
          </cell>
          <cell r="K624">
            <v>78059</v>
          </cell>
          <cell r="L624">
            <v>9956072</v>
          </cell>
        </row>
        <row r="631">
          <cell r="F631">
            <v>0</v>
          </cell>
          <cell r="G631">
            <v>0</v>
          </cell>
          <cell r="H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G632">
            <v>0</v>
          </cell>
          <cell r="H632">
            <v>0</v>
          </cell>
          <cell r="K632">
            <v>0</v>
          </cell>
          <cell r="L632">
            <v>0</v>
          </cell>
        </row>
        <row r="652">
          <cell r="F652">
            <v>0</v>
          </cell>
          <cell r="G652">
            <v>-9630848.7899999991</v>
          </cell>
          <cell r="H652">
            <v>2386500</v>
          </cell>
          <cell r="J652">
            <v>0</v>
          </cell>
          <cell r="K652">
            <v>0</v>
          </cell>
          <cell r="L652">
            <v>0</v>
          </cell>
        </row>
        <row r="653">
          <cell r="G653">
            <v>42917456.929999992</v>
          </cell>
          <cell r="H653">
            <v>5069905.3000000119</v>
          </cell>
          <cell r="K653">
            <v>33103455.420000002</v>
          </cell>
          <cell r="L653">
            <v>0</v>
          </cell>
        </row>
        <row r="661">
          <cell r="F661">
            <v>0</v>
          </cell>
          <cell r="G661">
            <v>10000000</v>
          </cell>
          <cell r="H661">
            <v>0</v>
          </cell>
          <cell r="J661">
            <v>0</v>
          </cell>
          <cell r="K661">
            <v>6140321.0099999998</v>
          </cell>
          <cell r="L661">
            <v>0</v>
          </cell>
        </row>
        <row r="662">
          <cell r="G662">
            <v>3960685.78</v>
          </cell>
          <cell r="H662">
            <v>0</v>
          </cell>
          <cell r="K662">
            <v>3599493.0799999996</v>
          </cell>
          <cell r="L662">
            <v>0</v>
          </cell>
        </row>
        <row r="669">
          <cell r="F669">
            <v>0</v>
          </cell>
          <cell r="G669">
            <v>-1304814.1599999999</v>
          </cell>
          <cell r="H669">
            <v>80000</v>
          </cell>
          <cell r="J669">
            <v>0</v>
          </cell>
          <cell r="K669">
            <v>0</v>
          </cell>
          <cell r="L669">
            <v>0</v>
          </cell>
        </row>
        <row r="670">
          <cell r="G670">
            <v>1310396.92</v>
          </cell>
          <cell r="H670">
            <v>0</v>
          </cell>
          <cell r="K670">
            <v>0</v>
          </cell>
          <cell r="L670">
            <v>0</v>
          </cell>
        </row>
        <row r="677">
          <cell r="F677">
            <v>0</v>
          </cell>
          <cell r="G677">
            <v>-207760.08</v>
          </cell>
          <cell r="H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G678">
            <v>744027.84000000008</v>
          </cell>
          <cell r="H678">
            <v>0</v>
          </cell>
          <cell r="K678">
            <v>335560.47</v>
          </cell>
          <cell r="L678">
            <v>0</v>
          </cell>
        </row>
        <row r="698">
          <cell r="F698">
            <v>0</v>
          </cell>
          <cell r="G698">
            <v>-3210433.82</v>
          </cell>
          <cell r="H698">
            <v>1701000</v>
          </cell>
          <cell r="J698">
            <v>0</v>
          </cell>
          <cell r="K698">
            <v>0</v>
          </cell>
          <cell r="L698">
            <v>1546196</v>
          </cell>
        </row>
        <row r="699">
          <cell r="G699">
            <v>40267064.139999993</v>
          </cell>
          <cell r="H699">
            <v>109604126.20999999</v>
          </cell>
          <cell r="K699">
            <v>38664403.859999999</v>
          </cell>
          <cell r="L699">
            <v>100151226</v>
          </cell>
        </row>
        <row r="707">
          <cell r="F707">
            <v>0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G708">
            <v>1001351.02</v>
          </cell>
          <cell r="H708">
            <v>0</v>
          </cell>
          <cell r="K708">
            <v>697535.52</v>
          </cell>
          <cell r="L708">
            <v>0</v>
          </cell>
        </row>
        <row r="715">
          <cell r="F715">
            <v>0</v>
          </cell>
          <cell r="G715">
            <v>6213434.9900000002</v>
          </cell>
          <cell r="H715">
            <v>0</v>
          </cell>
          <cell r="J715">
            <v>0</v>
          </cell>
          <cell r="K715">
            <v>5937305.8300000001</v>
          </cell>
          <cell r="L715">
            <v>0</v>
          </cell>
        </row>
        <row r="716">
          <cell r="G716">
            <v>7138324.8300000001</v>
          </cell>
          <cell r="H716">
            <v>0</v>
          </cell>
          <cell r="K716">
            <v>6588516.3800000008</v>
          </cell>
          <cell r="L716">
            <v>0</v>
          </cell>
        </row>
        <row r="736">
          <cell r="F736">
            <v>0</v>
          </cell>
          <cell r="G736">
            <v>-4809202.29</v>
          </cell>
          <cell r="H736">
            <v>0</v>
          </cell>
          <cell r="J736">
            <v>0</v>
          </cell>
          <cell r="K736">
            <v>415577.25</v>
          </cell>
          <cell r="L736">
            <v>0</v>
          </cell>
        </row>
        <row r="737">
          <cell r="G737">
            <v>28420040.609999999</v>
          </cell>
          <cell r="H737">
            <v>188462</v>
          </cell>
          <cell r="K737">
            <v>22586710.100000001</v>
          </cell>
          <cell r="L737">
            <v>187980</v>
          </cell>
        </row>
        <row r="745">
          <cell r="F745">
            <v>0</v>
          </cell>
          <cell r="G745">
            <v>481100</v>
          </cell>
          <cell r="H745">
            <v>0</v>
          </cell>
          <cell r="J745">
            <v>0</v>
          </cell>
          <cell r="K745">
            <v>500000</v>
          </cell>
          <cell r="L745">
            <v>0</v>
          </cell>
        </row>
        <row r="746">
          <cell r="G746">
            <v>18900</v>
          </cell>
          <cell r="H746">
            <v>0</v>
          </cell>
          <cell r="K746">
            <v>0</v>
          </cell>
          <cell r="L746">
            <v>0</v>
          </cell>
        </row>
        <row r="753">
          <cell r="F753">
            <v>0</v>
          </cell>
          <cell r="G753">
            <v>-24505.56</v>
          </cell>
          <cell r="H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G754">
            <v>24505.56</v>
          </cell>
          <cell r="H754">
            <v>0</v>
          </cell>
          <cell r="K754">
            <v>0</v>
          </cell>
          <cell r="L754">
            <v>0</v>
          </cell>
        </row>
        <row r="774">
          <cell r="F774">
            <v>0</v>
          </cell>
          <cell r="G774">
            <v>-6085707.5099999998</v>
          </cell>
          <cell r="H774">
            <v>12600100</v>
          </cell>
          <cell r="J774">
            <v>0</v>
          </cell>
          <cell r="K774">
            <v>0</v>
          </cell>
          <cell r="L774">
            <v>12600100</v>
          </cell>
        </row>
        <row r="775">
          <cell r="G775">
            <v>39580503.469999999</v>
          </cell>
          <cell r="H775">
            <v>63807114.149999999</v>
          </cell>
          <cell r="K775">
            <v>32302925.059999999</v>
          </cell>
          <cell r="L775">
            <v>24865158.5</v>
          </cell>
        </row>
        <row r="783">
          <cell r="F783">
            <v>0</v>
          </cell>
          <cell r="G783">
            <v>80000</v>
          </cell>
          <cell r="H783">
            <v>0</v>
          </cell>
          <cell r="J783">
            <v>0</v>
          </cell>
          <cell r="K783">
            <v>80000</v>
          </cell>
          <cell r="L783">
            <v>0</v>
          </cell>
        </row>
        <row r="784">
          <cell r="G784">
            <v>3197393.39</v>
          </cell>
          <cell r="H784">
            <v>0</v>
          </cell>
          <cell r="K784">
            <v>3197393.39</v>
          </cell>
          <cell r="L784">
            <v>0</v>
          </cell>
        </row>
        <row r="791">
          <cell r="F791">
            <v>0</v>
          </cell>
          <cell r="G791">
            <v>-461263.77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G792">
            <v>2026814.58</v>
          </cell>
          <cell r="H792">
            <v>0</v>
          </cell>
          <cell r="K792">
            <v>959200.42</v>
          </cell>
          <cell r="L792">
            <v>0</v>
          </cell>
        </row>
        <row r="810">
          <cell r="F810">
            <v>0</v>
          </cell>
          <cell r="G810">
            <v>1744908.9500000002</v>
          </cell>
          <cell r="H810">
            <v>0</v>
          </cell>
          <cell r="J810">
            <v>0</v>
          </cell>
          <cell r="K810">
            <v>3899877.77</v>
          </cell>
          <cell r="L810">
            <v>0</v>
          </cell>
        </row>
        <row r="811">
          <cell r="G811">
            <v>12419867.17</v>
          </cell>
          <cell r="H811">
            <v>0</v>
          </cell>
          <cell r="K811">
            <v>8881128.7100000009</v>
          </cell>
          <cell r="L811">
            <v>0</v>
          </cell>
        </row>
        <row r="818">
          <cell r="F818">
            <v>0</v>
          </cell>
          <cell r="G818">
            <v>-284281.81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G819">
            <v>2772662.5300000003</v>
          </cell>
          <cell r="H819">
            <v>0</v>
          </cell>
          <cell r="K819">
            <v>2115708.52</v>
          </cell>
          <cell r="L819">
            <v>0</v>
          </cell>
        </row>
        <row r="826">
          <cell r="F826">
            <v>0</v>
          </cell>
          <cell r="G826">
            <v>10000000</v>
          </cell>
          <cell r="H826">
            <v>656000</v>
          </cell>
          <cell r="J826">
            <v>0</v>
          </cell>
          <cell r="K826">
            <v>9999148.4000000004</v>
          </cell>
          <cell r="L826">
            <v>645400</v>
          </cell>
        </row>
        <row r="827">
          <cell r="G827">
            <v>18043995.640000001</v>
          </cell>
          <cell r="H827">
            <v>0</v>
          </cell>
          <cell r="K827">
            <v>17151096.189999998</v>
          </cell>
          <cell r="L827">
            <v>0</v>
          </cell>
        </row>
        <row r="834">
          <cell r="F834">
            <v>0</v>
          </cell>
          <cell r="G834">
            <v>-283181.32</v>
          </cell>
          <cell r="H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G835">
            <v>283181.32</v>
          </cell>
          <cell r="H835">
            <v>0</v>
          </cell>
          <cell r="K835">
            <v>0</v>
          </cell>
          <cell r="L835">
            <v>0</v>
          </cell>
        </row>
        <row r="842">
          <cell r="G842">
            <v>-3742287.98</v>
          </cell>
          <cell r="H842">
            <v>0</v>
          </cell>
          <cell r="K842">
            <v>0</v>
          </cell>
          <cell r="L842">
            <v>0</v>
          </cell>
        </row>
        <row r="843">
          <cell r="G843">
            <v>4534815.0199999996</v>
          </cell>
          <cell r="H843">
            <v>0</v>
          </cell>
          <cell r="K843">
            <v>640618.14</v>
          </cell>
          <cell r="L843">
            <v>0</v>
          </cell>
        </row>
        <row r="850">
          <cell r="F850">
            <v>0</v>
          </cell>
          <cell r="G850">
            <v>-4265891.51</v>
          </cell>
          <cell r="H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G851">
            <v>4306389.04</v>
          </cell>
          <cell r="H851">
            <v>0</v>
          </cell>
          <cell r="K851">
            <v>0</v>
          </cell>
          <cell r="L851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G859">
            <v>0</v>
          </cell>
          <cell r="H859">
            <v>0</v>
          </cell>
          <cell r="K859">
            <v>-7665</v>
          </cell>
          <cell r="L859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G867">
            <v>2263524.19</v>
          </cell>
          <cell r="H867">
            <v>0</v>
          </cell>
          <cell r="K867">
            <v>1887604.07</v>
          </cell>
          <cell r="L867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G875">
            <v>8504508.1300000008</v>
          </cell>
          <cell r="H875">
            <v>0</v>
          </cell>
          <cell r="K875">
            <v>8410425.9000000004</v>
          </cell>
          <cell r="L875">
            <v>0</v>
          </cell>
        </row>
        <row r="882">
          <cell r="F882">
            <v>0</v>
          </cell>
          <cell r="G882">
            <v>-1086619.47</v>
          </cell>
          <cell r="H882">
            <v>12306675</v>
          </cell>
          <cell r="J882">
            <v>0</v>
          </cell>
          <cell r="K882">
            <v>157500</v>
          </cell>
          <cell r="L882">
            <v>12306675</v>
          </cell>
        </row>
        <row r="883">
          <cell r="G883">
            <v>13318829.520000001</v>
          </cell>
          <cell r="H883">
            <v>0</v>
          </cell>
          <cell r="K883">
            <v>9951708.9700000007</v>
          </cell>
          <cell r="L883">
            <v>0</v>
          </cell>
        </row>
        <row r="890">
          <cell r="F890">
            <v>0</v>
          </cell>
          <cell r="G890">
            <v>7362026.1299999999</v>
          </cell>
          <cell r="H890">
            <v>0</v>
          </cell>
          <cell r="J890">
            <v>0</v>
          </cell>
          <cell r="K890">
            <v>6668455.1899999995</v>
          </cell>
          <cell r="L890">
            <v>0</v>
          </cell>
        </row>
        <row r="891">
          <cell r="G891">
            <v>35522835.490000002</v>
          </cell>
          <cell r="H891">
            <v>0</v>
          </cell>
          <cell r="K891">
            <v>29204307.950000007</v>
          </cell>
          <cell r="L891">
            <v>0</v>
          </cell>
        </row>
        <row r="898">
          <cell r="F898">
            <v>0</v>
          </cell>
          <cell r="G898">
            <v>-2695102.42</v>
          </cell>
          <cell r="H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G899">
            <v>3695102.42</v>
          </cell>
          <cell r="H899">
            <v>0</v>
          </cell>
          <cell r="K899">
            <v>0</v>
          </cell>
          <cell r="L899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K915">
            <v>0</v>
          </cell>
        </row>
        <row r="916">
          <cell r="G916">
            <v>0</v>
          </cell>
          <cell r="H916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G924">
            <v>0</v>
          </cell>
          <cell r="H924">
            <v>0</v>
          </cell>
          <cell r="K924">
            <v>0</v>
          </cell>
          <cell r="L924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G932">
            <v>0</v>
          </cell>
          <cell r="H932">
            <v>0</v>
          </cell>
          <cell r="K932">
            <v>0</v>
          </cell>
          <cell r="L932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G949">
            <v>2621061.09</v>
          </cell>
          <cell r="H949">
            <v>0</v>
          </cell>
          <cell r="K949">
            <v>2619570.0599999996</v>
          </cell>
          <cell r="L949">
            <v>0</v>
          </cell>
        </row>
      </sheetData>
      <sheetData sheetId="6"/>
      <sheetData sheetId="7"/>
      <sheetData sheetId="8"/>
      <sheetData sheetId="9">
        <row r="14">
          <cell r="Q14">
            <v>37640000</v>
          </cell>
          <cell r="R14">
            <v>16819000</v>
          </cell>
          <cell r="S14">
            <v>10092000</v>
          </cell>
          <cell r="T14">
            <v>21119000</v>
          </cell>
          <cell r="U14">
            <v>13244000</v>
          </cell>
          <cell r="V14">
            <v>33194000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9729426</v>
          </cell>
          <cell r="AF14">
            <v>8022256</v>
          </cell>
          <cell r="AG14">
            <v>2916886</v>
          </cell>
          <cell r="AH14">
            <v>8763591</v>
          </cell>
          <cell r="AI14">
            <v>4043085</v>
          </cell>
          <cell r="AJ14">
            <v>9131536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Q15">
            <v>34378379.079999998</v>
          </cell>
          <cell r="R15">
            <v>15536614.24</v>
          </cell>
          <cell r="S15">
            <v>8818526.5</v>
          </cell>
          <cell r="T15">
            <v>19384075.960000001</v>
          </cell>
          <cell r="U15">
            <v>11705948.119999999</v>
          </cell>
          <cell r="V15">
            <v>30443687.129999999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9021537.9499999993</v>
          </cell>
          <cell r="AF15">
            <v>8022253.6900000004</v>
          </cell>
          <cell r="AG15">
            <v>2761586.79</v>
          </cell>
          <cell r="AH15">
            <v>8763591</v>
          </cell>
          <cell r="AI15">
            <v>4043083.38</v>
          </cell>
          <cell r="AJ15">
            <v>8942719.2100000009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44">
          <cell r="O44">
            <v>7275000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200000</v>
          </cell>
          <cell r="AM50">
            <v>4850000</v>
          </cell>
          <cell r="AN50">
            <v>13958215</v>
          </cell>
          <cell r="AO50">
            <v>5430000</v>
          </cell>
          <cell r="AP50">
            <v>2400000</v>
          </cell>
          <cell r="AQ50">
            <v>8800000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200000</v>
          </cell>
          <cell r="AM51">
            <v>4669925.95</v>
          </cell>
          <cell r="AN51">
            <v>0</v>
          </cell>
          <cell r="AO51">
            <v>2648810.34</v>
          </cell>
          <cell r="AP51">
            <v>2196465.6</v>
          </cell>
          <cell r="AQ51">
            <v>8788608.8300000001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</row>
        <row r="179">
          <cell r="BR179">
            <v>51702137.910000056</v>
          </cell>
          <cell r="BS179">
            <v>24525497.520000018</v>
          </cell>
          <cell r="BT179">
            <v>38316898.149999999</v>
          </cell>
          <cell r="BU179">
            <v>88668533.419999957</v>
          </cell>
          <cell r="BV179">
            <v>545172673.79999995</v>
          </cell>
          <cell r="BW179">
            <v>49333724.750000007</v>
          </cell>
          <cell r="BX179">
            <v>797719465.54999995</v>
          </cell>
        </row>
        <row r="222">
          <cell r="AL222">
            <v>200000</v>
          </cell>
          <cell r="AM222">
            <v>4510048</v>
          </cell>
          <cell r="AN222">
            <v>18549305.32</v>
          </cell>
          <cell r="AO222">
            <v>7866781.8799999999</v>
          </cell>
          <cell r="AP222">
            <v>606917.17000000004</v>
          </cell>
          <cell r="AQ222">
            <v>7351037.7199999997</v>
          </cell>
        </row>
        <row r="223">
          <cell r="AL223">
            <v>0</v>
          </cell>
          <cell r="AM223">
            <v>4413647.5</v>
          </cell>
          <cell r="AN223">
            <v>16962677.399999999</v>
          </cell>
          <cell r="AO223">
            <v>7866781.8799999999</v>
          </cell>
          <cell r="AP223">
            <v>604004.5</v>
          </cell>
          <cell r="AQ223">
            <v>7334218.9499999993</v>
          </cell>
        </row>
        <row r="314"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</row>
        <row r="315"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51">
          <cell r="BR351">
            <v>575920.11999999988</v>
          </cell>
          <cell r="BS351">
            <v>469878.26000000024</v>
          </cell>
          <cell r="BT351">
            <v>2586627.9200000018</v>
          </cell>
          <cell r="BU351">
            <v>2123001.08</v>
          </cell>
          <cell r="BV351">
            <v>12643898.149999995</v>
          </cell>
          <cell r="BW351">
            <v>922731.37000000314</v>
          </cell>
          <cell r="BX351">
            <v>19322056.900000002</v>
          </cell>
        </row>
        <row r="380">
          <cell r="B380">
            <v>441778363</v>
          </cell>
          <cell r="C380">
            <v>207418637</v>
          </cell>
          <cell r="D380">
            <v>0</v>
          </cell>
          <cell r="F380">
            <v>414116356.85999995</v>
          </cell>
          <cell r="G380">
            <v>197757300.81999999</v>
          </cell>
          <cell r="H380">
            <v>0</v>
          </cell>
        </row>
        <row r="382">
          <cell r="B382">
            <v>23990000</v>
          </cell>
          <cell r="C382">
            <v>49358660</v>
          </cell>
          <cell r="D382">
            <v>30750000</v>
          </cell>
          <cell r="F382">
            <v>22590000</v>
          </cell>
          <cell r="G382">
            <v>42580770.739999995</v>
          </cell>
          <cell r="H382">
            <v>28518602.640000001</v>
          </cell>
        </row>
        <row r="387">
          <cell r="B387">
            <v>182139000</v>
          </cell>
          <cell r="C387">
            <v>68763000</v>
          </cell>
          <cell r="D387">
            <v>0</v>
          </cell>
          <cell r="F387">
            <v>172186343.55999997</v>
          </cell>
          <cell r="G387">
            <v>67395842.020000011</v>
          </cell>
          <cell r="H387">
            <v>0</v>
          </cell>
        </row>
        <row r="389">
          <cell r="B389">
            <v>3970000</v>
          </cell>
          <cell r="C389">
            <v>91242000</v>
          </cell>
          <cell r="D389">
            <v>55000000</v>
          </cell>
          <cell r="F389">
            <v>3660000</v>
          </cell>
          <cell r="G389">
            <v>84259854.929999992</v>
          </cell>
          <cell r="H389">
            <v>50548924.090000004</v>
          </cell>
        </row>
        <row r="394">
          <cell r="B394">
            <v>109683000</v>
          </cell>
          <cell r="C394">
            <v>38781000</v>
          </cell>
          <cell r="D394">
            <v>0</v>
          </cell>
          <cell r="F394">
            <v>101335636</v>
          </cell>
          <cell r="G394">
            <v>29267091.990000002</v>
          </cell>
          <cell r="H394">
            <v>0</v>
          </cell>
        </row>
        <row r="396">
          <cell r="B396">
            <v>2240000</v>
          </cell>
          <cell r="C396">
            <v>15848000</v>
          </cell>
          <cell r="D396">
            <v>18000000</v>
          </cell>
          <cell r="F396">
            <v>2047500</v>
          </cell>
          <cell r="G396">
            <v>10972608.619999999</v>
          </cell>
          <cell r="H396">
            <v>17999252.949999999</v>
          </cell>
        </row>
        <row r="401">
          <cell r="B401">
            <v>233701000</v>
          </cell>
          <cell r="C401">
            <v>165112000</v>
          </cell>
          <cell r="D401">
            <v>0</v>
          </cell>
          <cell r="F401">
            <v>217281268.67000002</v>
          </cell>
          <cell r="G401">
            <v>117388907.45</v>
          </cell>
          <cell r="H401">
            <v>0</v>
          </cell>
        </row>
        <row r="403">
          <cell r="B403">
            <v>5685000</v>
          </cell>
          <cell r="C403">
            <v>59020000</v>
          </cell>
          <cell r="D403">
            <v>54326113.100000001</v>
          </cell>
          <cell r="F403">
            <v>4745000</v>
          </cell>
          <cell r="G403">
            <v>48208446.509999998</v>
          </cell>
          <cell r="H403">
            <v>46068070.750000007</v>
          </cell>
        </row>
        <row r="407">
          <cell r="B407">
            <v>143539000</v>
          </cell>
          <cell r="C407">
            <v>97120000</v>
          </cell>
          <cell r="D407">
            <v>0</v>
          </cell>
          <cell r="F407">
            <v>132906356.50999999</v>
          </cell>
          <cell r="G407">
            <v>91446356.310000002</v>
          </cell>
          <cell r="H407">
            <v>0</v>
          </cell>
        </row>
        <row r="409">
          <cell r="B409">
            <v>2990000</v>
          </cell>
          <cell r="C409">
            <v>153982750</v>
          </cell>
          <cell r="D409">
            <v>470975000</v>
          </cell>
          <cell r="F409">
            <v>2989928</v>
          </cell>
          <cell r="G409">
            <v>93990625.400000021</v>
          </cell>
          <cell r="H409">
            <v>3842397.88</v>
          </cell>
        </row>
        <row r="413">
          <cell r="B413">
            <v>353528000</v>
          </cell>
          <cell r="C413">
            <v>137890000</v>
          </cell>
          <cell r="D413">
            <v>0</v>
          </cell>
          <cell r="F413">
            <v>343726463.06</v>
          </cell>
          <cell r="G413">
            <v>129557540.55</v>
          </cell>
          <cell r="H413">
            <v>0</v>
          </cell>
        </row>
        <row r="415">
          <cell r="B415">
            <v>7275000</v>
          </cell>
          <cell r="C415">
            <v>104428458</v>
          </cell>
          <cell r="D415">
            <v>231448322</v>
          </cell>
          <cell r="G415">
            <v>79877802.289999992</v>
          </cell>
          <cell r="H415">
            <v>227749770.18000001</v>
          </cell>
        </row>
        <row r="444">
          <cell r="B444">
            <v>0</v>
          </cell>
          <cell r="C444">
            <v>0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</row>
        <row r="451">
          <cell r="B451">
            <v>0</v>
          </cell>
          <cell r="C451">
            <v>156497.71</v>
          </cell>
          <cell r="D451">
            <v>0</v>
          </cell>
          <cell r="F451">
            <v>0</v>
          </cell>
          <cell r="G451">
            <v>155692.15</v>
          </cell>
          <cell r="H451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</row>
        <row r="465">
          <cell r="B465">
            <v>0</v>
          </cell>
          <cell r="C465">
            <v>5453574.2800000003</v>
          </cell>
          <cell r="D465">
            <v>0</v>
          </cell>
          <cell r="F465">
            <v>0</v>
          </cell>
          <cell r="G465">
            <v>5453574.2800000003</v>
          </cell>
          <cell r="H465">
            <v>0</v>
          </cell>
        </row>
        <row r="471">
          <cell r="B471">
            <v>0</v>
          </cell>
          <cell r="C471">
            <v>0</v>
          </cell>
          <cell r="D471">
            <v>45305000</v>
          </cell>
          <cell r="F471">
            <v>0</v>
          </cell>
          <cell r="G471">
            <v>0</v>
          </cell>
          <cell r="H471">
            <v>39676113</v>
          </cell>
        </row>
        <row r="477">
          <cell r="B477">
            <v>0</v>
          </cell>
          <cell r="C477">
            <v>117921.94</v>
          </cell>
          <cell r="D477">
            <v>0</v>
          </cell>
          <cell r="F477">
            <v>0</v>
          </cell>
          <cell r="G477">
            <v>116360.38999999998</v>
          </cell>
          <cell r="H477">
            <v>0</v>
          </cell>
        </row>
      </sheetData>
      <sheetData sheetId="10">
        <row r="14">
          <cell r="M14">
            <v>2750000</v>
          </cell>
          <cell r="Q14">
            <v>27652000</v>
          </cell>
          <cell r="R14">
            <v>33342000</v>
          </cell>
          <cell r="S14">
            <v>16765000</v>
          </cell>
          <cell r="T14">
            <v>12114000</v>
          </cell>
          <cell r="U14">
            <v>13385000</v>
          </cell>
          <cell r="V14">
            <v>28999000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10423010</v>
          </cell>
          <cell r="AF14">
            <v>6718357</v>
          </cell>
          <cell r="AG14">
            <v>3345007</v>
          </cell>
          <cell r="AH14">
            <v>2938394</v>
          </cell>
          <cell r="AI14">
            <v>2243916</v>
          </cell>
          <cell r="AJ14">
            <v>2563371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T14">
            <v>0</v>
          </cell>
        </row>
        <row r="15">
          <cell r="M15">
            <v>2465000</v>
          </cell>
          <cell r="Q15">
            <v>24740152.530000001</v>
          </cell>
          <cell r="R15">
            <v>29301538.100000001</v>
          </cell>
          <cell r="S15">
            <v>14560535.609999999</v>
          </cell>
          <cell r="T15">
            <v>10697427.16</v>
          </cell>
          <cell r="U15">
            <v>11490554.710000001</v>
          </cell>
          <cell r="V15">
            <v>26813726.41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10423000.65</v>
          </cell>
          <cell r="AF15">
            <v>6718247.8300000001</v>
          </cell>
          <cell r="AG15">
            <v>3345005.07</v>
          </cell>
          <cell r="AH15">
            <v>2938390.25</v>
          </cell>
          <cell r="AI15">
            <v>2243282.71</v>
          </cell>
          <cell r="AJ15">
            <v>2563366.2999999998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T15">
            <v>0</v>
          </cell>
        </row>
        <row r="44">
          <cell r="O44">
            <v>9013750</v>
          </cell>
        </row>
        <row r="50">
          <cell r="M50">
            <v>20040000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4365000</v>
          </cell>
          <cell r="AM50">
            <v>6850000</v>
          </cell>
          <cell r="AN50">
            <v>12358685</v>
          </cell>
          <cell r="AO50">
            <v>2500000</v>
          </cell>
          <cell r="AP50">
            <v>4600000</v>
          </cell>
          <cell r="AQ50">
            <v>1250000</v>
          </cell>
        </row>
        <row r="51">
          <cell r="M51">
            <v>14897194.180000002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4093139.99</v>
          </cell>
          <cell r="AM51">
            <v>6843900.8100000005</v>
          </cell>
          <cell r="AN51">
            <v>12212969.359999999</v>
          </cell>
          <cell r="AO51">
            <v>121707.65</v>
          </cell>
          <cell r="AP51">
            <v>4589620</v>
          </cell>
          <cell r="AQ51">
            <v>726016.57</v>
          </cell>
        </row>
        <row r="142">
          <cell r="M142">
            <v>26170000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T142">
            <v>0</v>
          </cell>
        </row>
        <row r="143">
          <cell r="M143">
            <v>12951802.83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T143">
            <v>0</v>
          </cell>
        </row>
        <row r="175">
          <cell r="CQ175">
            <v>243593394</v>
          </cell>
        </row>
        <row r="179">
          <cell r="CN179">
            <v>54407078.849999987</v>
          </cell>
          <cell r="CO179">
            <v>118562144.46999998</v>
          </cell>
          <cell r="CP179">
            <v>78558620.720000029</v>
          </cell>
          <cell r="CQ179">
            <v>29732432.490000017</v>
          </cell>
          <cell r="CR179">
            <v>16105385.079999998</v>
          </cell>
          <cell r="CS179">
            <v>780519110.17000008</v>
          </cell>
          <cell r="CT179">
            <v>1077884771.7800002</v>
          </cell>
        </row>
        <row r="220">
          <cell r="R220">
            <v>12901149</v>
          </cell>
          <cell r="AM220">
            <v>3203485.6799999997</v>
          </cell>
        </row>
        <row r="222">
          <cell r="AL222">
            <v>19514947.16</v>
          </cell>
          <cell r="AN222">
            <v>3050000</v>
          </cell>
          <cell r="AO222">
            <v>3264988.48</v>
          </cell>
          <cell r="AP222">
            <v>1389526.06</v>
          </cell>
          <cell r="AQ222">
            <v>3318081.18</v>
          </cell>
        </row>
        <row r="223">
          <cell r="R223">
            <v>11705006.57</v>
          </cell>
          <cell r="AL223">
            <v>19514947.16</v>
          </cell>
          <cell r="AM223">
            <v>3203261.3899999997</v>
          </cell>
          <cell r="AN223">
            <v>3050000</v>
          </cell>
          <cell r="AO223">
            <v>2246120.5</v>
          </cell>
          <cell r="AP223">
            <v>1389526.06</v>
          </cell>
          <cell r="AQ223">
            <v>3317993.18</v>
          </cell>
        </row>
        <row r="314">
          <cell r="AL314">
            <v>0</v>
          </cell>
          <cell r="AM314">
            <v>0</v>
          </cell>
          <cell r="AN314">
            <v>24500000</v>
          </cell>
          <cell r="AO314">
            <v>0</v>
          </cell>
          <cell r="AP314">
            <v>0</v>
          </cell>
          <cell r="AQ314">
            <v>0</v>
          </cell>
        </row>
        <row r="315"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51">
          <cell r="CN351">
            <v>94082.230000000447</v>
          </cell>
          <cell r="CO351">
            <v>2580136.3599999989</v>
          </cell>
          <cell r="CP351">
            <v>24500000</v>
          </cell>
          <cell r="CQ351">
            <v>1170776.8799999994</v>
          </cell>
          <cell r="CR351">
            <v>7665</v>
          </cell>
          <cell r="CS351">
            <v>44566075.530000001</v>
          </cell>
          <cell r="CT351">
            <v>72918736</v>
          </cell>
        </row>
        <row r="380">
          <cell r="B380">
            <v>302047000</v>
          </cell>
          <cell r="C380">
            <v>111603000</v>
          </cell>
          <cell r="D380">
            <v>0</v>
          </cell>
          <cell r="F380">
            <v>278013800.74000001</v>
          </cell>
          <cell r="G380">
            <v>99599547.560000002</v>
          </cell>
          <cell r="H380">
            <v>0</v>
          </cell>
        </row>
        <row r="382">
          <cell r="B382">
            <v>9799500</v>
          </cell>
          <cell r="C382">
            <v>29700000</v>
          </cell>
          <cell r="D382">
            <v>18000000</v>
          </cell>
          <cell r="F382">
            <v>9294000</v>
          </cell>
          <cell r="G382">
            <v>20018789.68</v>
          </cell>
          <cell r="H382">
            <v>13000000</v>
          </cell>
        </row>
        <row r="387">
          <cell r="B387">
            <v>372046555</v>
          </cell>
          <cell r="C387">
            <v>93219445</v>
          </cell>
          <cell r="D387">
            <v>0</v>
          </cell>
          <cell r="F387">
            <v>338318736.92000002</v>
          </cell>
          <cell r="G387">
            <v>69571794.229999989</v>
          </cell>
          <cell r="H387">
            <v>0</v>
          </cell>
        </row>
        <row r="389">
          <cell r="B389">
            <v>7420000</v>
          </cell>
          <cell r="C389">
            <v>42600000</v>
          </cell>
          <cell r="D389">
            <v>115000000</v>
          </cell>
          <cell r="F389">
            <v>6992500</v>
          </cell>
          <cell r="G389">
            <v>25919506.360000003</v>
          </cell>
          <cell r="H389">
            <v>74967988.280000001</v>
          </cell>
        </row>
        <row r="394">
          <cell r="B394">
            <v>181120000</v>
          </cell>
          <cell r="C394">
            <v>69544000</v>
          </cell>
          <cell r="D394">
            <v>0</v>
          </cell>
          <cell r="F394">
            <v>168580900.63</v>
          </cell>
          <cell r="G394">
            <v>41887765.219999999</v>
          </cell>
          <cell r="H394">
            <v>0</v>
          </cell>
        </row>
        <row r="396">
          <cell r="B396">
            <v>5018750</v>
          </cell>
          <cell r="C396">
            <v>26836000</v>
          </cell>
          <cell r="D396">
            <v>140000000</v>
          </cell>
          <cell r="F396">
            <v>5018750</v>
          </cell>
          <cell r="G396">
            <v>20098682.649999999</v>
          </cell>
          <cell r="H396">
            <v>110724212.73999999</v>
          </cell>
        </row>
        <row r="401">
          <cell r="B401">
            <v>130115000</v>
          </cell>
          <cell r="C401">
            <v>46966000</v>
          </cell>
          <cell r="D401">
            <v>0</v>
          </cell>
          <cell r="F401">
            <v>124033581.09999998</v>
          </cell>
          <cell r="G401">
            <v>45755858.340000004</v>
          </cell>
          <cell r="H401">
            <v>0</v>
          </cell>
        </row>
        <row r="407">
          <cell r="B407">
            <v>143649000</v>
          </cell>
          <cell r="C407">
            <v>59733000</v>
          </cell>
          <cell r="D407">
            <v>0</v>
          </cell>
          <cell r="F407">
            <v>132623644.61999999</v>
          </cell>
          <cell r="G407">
            <v>56585842.620000005</v>
          </cell>
          <cell r="H407">
            <v>0</v>
          </cell>
        </row>
        <row r="409">
          <cell r="B409">
            <v>2835000</v>
          </cell>
          <cell r="C409">
            <v>20312000</v>
          </cell>
          <cell r="D409">
            <v>82000000</v>
          </cell>
          <cell r="F409">
            <v>2835000</v>
          </cell>
          <cell r="G409">
            <v>20312000</v>
          </cell>
          <cell r="H409">
            <v>81972586.260000005</v>
          </cell>
        </row>
        <row r="413">
          <cell r="B413">
            <v>337240753</v>
          </cell>
          <cell r="C413">
            <v>52939247</v>
          </cell>
          <cell r="D413">
            <v>0</v>
          </cell>
          <cell r="F413">
            <v>320185684.16999996</v>
          </cell>
          <cell r="G413">
            <v>44774450.359999999</v>
          </cell>
          <cell r="H413">
            <v>0</v>
          </cell>
        </row>
        <row r="415">
          <cell r="B415">
            <v>9316000</v>
          </cell>
          <cell r="C415">
            <v>42912000</v>
          </cell>
          <cell r="D415">
            <v>750000000</v>
          </cell>
          <cell r="G415">
            <v>40624267.020000003</v>
          </cell>
          <cell r="H415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</row>
        <row r="465">
          <cell r="B465">
            <v>0</v>
          </cell>
          <cell r="C465">
            <v>395859.21</v>
          </cell>
          <cell r="D465">
            <v>0</v>
          </cell>
          <cell r="F465">
            <v>0</v>
          </cell>
          <cell r="G465">
            <v>395859.21</v>
          </cell>
          <cell r="H465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</row>
        <row r="477">
          <cell r="B477">
            <v>0</v>
          </cell>
          <cell r="C477">
            <v>0</v>
          </cell>
          <cell r="D477">
            <v>50000000</v>
          </cell>
          <cell r="F477">
            <v>0</v>
          </cell>
          <cell r="G477">
            <v>0</v>
          </cell>
          <cell r="H477">
            <v>5474510</v>
          </cell>
        </row>
      </sheetData>
      <sheetData sheetId="11">
        <row r="14">
          <cell r="M14">
            <v>10864000</v>
          </cell>
          <cell r="N14">
            <v>577000</v>
          </cell>
          <cell r="O14">
            <v>0</v>
          </cell>
          <cell r="P14">
            <v>7309961</v>
          </cell>
          <cell r="R14">
            <v>0</v>
          </cell>
          <cell r="S14">
            <v>0</v>
          </cell>
          <cell r="T14">
            <v>0</v>
          </cell>
          <cell r="U14">
            <v>8632598</v>
          </cell>
          <cell r="W14">
            <v>3813677</v>
          </cell>
          <cell r="X14">
            <v>0</v>
          </cell>
          <cell r="Y14">
            <v>0</v>
          </cell>
          <cell r="Z14">
            <v>12225663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M15">
            <v>9845651.9800000004</v>
          </cell>
          <cell r="N15">
            <v>495981.36</v>
          </cell>
          <cell r="O15">
            <v>0</v>
          </cell>
          <cell r="P15">
            <v>6302937.4100000001</v>
          </cell>
          <cell r="R15">
            <v>0</v>
          </cell>
          <cell r="S15">
            <v>0</v>
          </cell>
          <cell r="T15">
            <v>0</v>
          </cell>
          <cell r="U15">
            <v>8632598</v>
          </cell>
          <cell r="W15">
            <v>3458891.75</v>
          </cell>
          <cell r="X15">
            <v>0</v>
          </cell>
          <cell r="Y15">
            <v>0</v>
          </cell>
          <cell r="Z15">
            <v>3168459.49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P16">
            <v>1007023.5899999999</v>
          </cell>
        </row>
        <row r="50">
          <cell r="F50">
            <v>42500000</v>
          </cell>
          <cell r="M50">
            <v>0</v>
          </cell>
          <cell r="N50">
            <v>0</v>
          </cell>
          <cell r="O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F51">
            <v>35715646.200000003</v>
          </cell>
          <cell r="M51">
            <v>0</v>
          </cell>
          <cell r="N51">
            <v>0</v>
          </cell>
          <cell r="O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</row>
        <row r="179">
          <cell r="C179">
            <v>26450097.989999995</v>
          </cell>
          <cell r="D179">
            <v>4078657.6800000016</v>
          </cell>
          <cell r="E179">
            <v>915240.29</v>
          </cell>
          <cell r="I179">
            <v>0</v>
          </cell>
          <cell r="J179">
            <v>0</v>
          </cell>
          <cell r="N179">
            <v>81018.640000000014</v>
          </cell>
          <cell r="O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354785.25</v>
          </cell>
          <cell r="X179">
            <v>0</v>
          </cell>
          <cell r="Y179">
            <v>0</v>
          </cell>
          <cell r="Z179">
            <v>9057203.5099999998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Z179">
            <v>27924389.259999994</v>
          </cell>
          <cell r="BA179">
            <v>4159676.3200000017</v>
          </cell>
          <cell r="BB179">
            <v>915240.29</v>
          </cell>
          <cell r="BC179">
            <v>34169033.730000004</v>
          </cell>
          <cell r="BD179">
            <v>67168339.599999949</v>
          </cell>
        </row>
        <row r="223">
          <cell r="F223">
            <v>23959.56</v>
          </cell>
          <cell r="AB223">
            <v>0</v>
          </cell>
          <cell r="AC223">
            <v>0</v>
          </cell>
          <cell r="AD223">
            <v>0</v>
          </cell>
        </row>
        <row r="224">
          <cell r="F224">
            <v>20000</v>
          </cell>
          <cell r="AB224">
            <v>0</v>
          </cell>
          <cell r="AC224">
            <v>0</v>
          </cell>
          <cell r="AD224">
            <v>0</v>
          </cell>
        </row>
        <row r="316">
          <cell r="AB316">
            <v>0</v>
          </cell>
          <cell r="AC316">
            <v>0</v>
          </cell>
          <cell r="AD316">
            <v>0</v>
          </cell>
        </row>
        <row r="317">
          <cell r="AB317">
            <v>0</v>
          </cell>
          <cell r="AC317">
            <v>0</v>
          </cell>
          <cell r="AD317">
            <v>0</v>
          </cell>
        </row>
        <row r="353">
          <cell r="AZ353">
            <v>10501781.140000001</v>
          </cell>
          <cell r="BA353">
            <v>1718606.04</v>
          </cell>
          <cell r="BB353">
            <v>306620</v>
          </cell>
          <cell r="BC353">
            <v>5450.5900000002621</v>
          </cell>
        </row>
        <row r="382">
          <cell r="C382">
            <v>117488000</v>
          </cell>
          <cell r="D382">
            <v>104629000</v>
          </cell>
          <cell r="E382">
            <v>0</v>
          </cell>
          <cell r="G382">
            <v>117282980.09</v>
          </cell>
          <cell r="H382">
            <v>78383921.920000002</v>
          </cell>
          <cell r="I382">
            <v>0</v>
          </cell>
        </row>
        <row r="384">
          <cell r="C384">
            <v>3517000</v>
          </cell>
          <cell r="D384">
            <v>0</v>
          </cell>
          <cell r="E384">
            <v>0</v>
          </cell>
          <cell r="G384">
            <v>3415842</v>
          </cell>
          <cell r="H384">
            <v>0</v>
          </cell>
          <cell r="I384">
            <v>0</v>
          </cell>
        </row>
        <row r="389">
          <cell r="C389">
            <v>6619000</v>
          </cell>
          <cell r="D389">
            <v>8415000</v>
          </cell>
          <cell r="E389">
            <v>0</v>
          </cell>
          <cell r="G389">
            <v>5651582.1199999992</v>
          </cell>
          <cell r="H389">
            <v>5303760.1999999993</v>
          </cell>
          <cell r="I389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G391">
            <v>0</v>
          </cell>
          <cell r="H391">
            <v>0</v>
          </cell>
          <cell r="I391">
            <v>0</v>
          </cell>
        </row>
        <row r="396">
          <cell r="C396">
            <v>5603000</v>
          </cell>
          <cell r="D396">
            <v>8868000</v>
          </cell>
          <cell r="E396">
            <v>0</v>
          </cell>
          <cell r="G396">
            <v>5401225.2199999997</v>
          </cell>
          <cell r="H396">
            <v>8154534.4900000002</v>
          </cell>
          <cell r="I396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G398">
            <v>0</v>
          </cell>
          <cell r="H398">
            <v>0</v>
          </cell>
          <cell r="I398">
            <v>0</v>
          </cell>
        </row>
        <row r="402">
          <cell r="C402">
            <v>71193000</v>
          </cell>
          <cell r="E402">
            <v>22000000</v>
          </cell>
          <cell r="G402">
            <v>67758248.069999993</v>
          </cell>
          <cell r="I402">
            <v>8121591.8600000003</v>
          </cell>
        </row>
        <row r="404">
          <cell r="C404">
            <v>1655000</v>
          </cell>
          <cell r="D404">
            <v>0</v>
          </cell>
          <cell r="E404">
            <v>0</v>
          </cell>
          <cell r="G404">
            <v>1647707.24</v>
          </cell>
          <cell r="H404">
            <v>0</v>
          </cell>
          <cell r="I404">
            <v>0</v>
          </cell>
        </row>
        <row r="433">
          <cell r="C433">
            <v>0</v>
          </cell>
          <cell r="D433">
            <v>14634206.220000001</v>
          </cell>
          <cell r="E433">
            <v>0</v>
          </cell>
          <cell r="G433">
            <v>0</v>
          </cell>
          <cell r="H433">
            <v>4132425.0799999996</v>
          </cell>
          <cell r="I433">
            <v>0</v>
          </cell>
        </row>
        <row r="440">
          <cell r="C440">
            <v>0</v>
          </cell>
          <cell r="D440">
            <v>1027334.04</v>
          </cell>
          <cell r="E440">
            <v>1154652</v>
          </cell>
          <cell r="G440">
            <v>0</v>
          </cell>
          <cell r="H440">
            <v>463380</v>
          </cell>
          <cell r="I440">
            <v>0</v>
          </cell>
        </row>
        <row r="447">
          <cell r="C447">
            <v>0</v>
          </cell>
          <cell r="D447">
            <v>1836534</v>
          </cell>
          <cell r="E447">
            <v>0</v>
          </cell>
          <cell r="G447">
            <v>0</v>
          </cell>
          <cell r="H447">
            <v>1529914</v>
          </cell>
          <cell r="I447">
            <v>0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</row>
      </sheetData>
      <sheetData sheetId="12">
        <row r="14">
          <cell r="C14">
            <v>23232457</v>
          </cell>
          <cell r="D14">
            <v>1504000</v>
          </cell>
          <cell r="E14">
            <v>47550000</v>
          </cell>
          <cell r="V14">
            <v>5887000</v>
          </cell>
          <cell r="W14">
            <v>3085000</v>
          </cell>
          <cell r="X14">
            <v>7103000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1748127</v>
          </cell>
          <cell r="AJ14">
            <v>0</v>
          </cell>
        </row>
        <row r="15">
          <cell r="C15">
            <v>21460831.979999997</v>
          </cell>
          <cell r="D15">
            <v>1494208.54</v>
          </cell>
          <cell r="E15">
            <v>40820702.539999992</v>
          </cell>
          <cell r="V15">
            <v>5025786.5</v>
          </cell>
          <cell r="W15">
            <v>2458855.09</v>
          </cell>
          <cell r="X15">
            <v>5881178.0099999998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1748127</v>
          </cell>
          <cell r="AH15">
            <v>0</v>
          </cell>
          <cell r="AI15">
            <v>0</v>
          </cell>
          <cell r="AJ15">
            <v>0</v>
          </cell>
        </row>
        <row r="50">
          <cell r="C50">
            <v>6323000</v>
          </cell>
          <cell r="D50">
            <v>8310839</v>
          </cell>
          <cell r="E50">
            <v>128247704</v>
          </cell>
          <cell r="AB50">
            <v>0</v>
          </cell>
          <cell r="AI50">
            <v>1500000</v>
          </cell>
          <cell r="AJ50">
            <v>3100000</v>
          </cell>
        </row>
        <row r="51">
          <cell r="C51">
            <v>6116233.9199999999</v>
          </cell>
          <cell r="D51">
            <v>6406855.1899999976</v>
          </cell>
          <cell r="E51">
            <v>115901033.06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131800</v>
          </cell>
          <cell r="AJ51">
            <v>1500000</v>
          </cell>
        </row>
        <row r="142">
          <cell r="C142">
            <v>0</v>
          </cell>
          <cell r="D142">
            <v>0</v>
          </cell>
          <cell r="E142">
            <v>0</v>
          </cell>
          <cell r="AI142">
            <v>0</v>
          </cell>
          <cell r="AJ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BB179">
            <v>55823866.570000008</v>
          </cell>
          <cell r="BC179">
            <v>30545954.829999998</v>
          </cell>
          <cell r="BD179">
            <v>17260824.999999985</v>
          </cell>
          <cell r="BE179">
            <v>103630646.39999998</v>
          </cell>
        </row>
        <row r="186">
          <cell r="C186">
            <v>0</v>
          </cell>
          <cell r="D186">
            <v>0</v>
          </cell>
          <cell r="E186">
            <v>0</v>
          </cell>
          <cell r="AN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AN187">
            <v>0</v>
          </cell>
        </row>
        <row r="221">
          <cell r="C221">
            <v>729496.35000000056</v>
          </cell>
          <cell r="D221">
            <v>671973.26000000071</v>
          </cell>
          <cell r="E221">
            <v>8502571.2300000042</v>
          </cell>
          <cell r="AI221">
            <v>3300000</v>
          </cell>
          <cell r="AJ221">
            <v>0</v>
          </cell>
        </row>
        <row r="222">
          <cell r="C222">
            <v>729496.35</v>
          </cell>
          <cell r="D222">
            <v>671973.26</v>
          </cell>
          <cell r="E222">
            <v>8502539.4299999997</v>
          </cell>
          <cell r="AH222">
            <v>0</v>
          </cell>
          <cell r="AI222">
            <v>2200473.7000000002</v>
          </cell>
          <cell r="AJ22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AI313">
            <v>0</v>
          </cell>
          <cell r="AJ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H314">
            <v>0</v>
          </cell>
          <cell r="AI314">
            <v>0</v>
          </cell>
          <cell r="AJ314">
            <v>0</v>
          </cell>
        </row>
        <row r="350">
          <cell r="BB350">
            <v>40133858.350000009</v>
          </cell>
          <cell r="BC350">
            <v>2283995.46</v>
          </cell>
          <cell r="BD350">
            <v>0</v>
          </cell>
          <cell r="BE350">
            <v>42417853.810000002</v>
          </cell>
        </row>
        <row r="381">
          <cell r="C381">
            <v>1330000</v>
          </cell>
          <cell r="D381">
            <v>131752069</v>
          </cell>
          <cell r="E381">
            <v>8543000</v>
          </cell>
          <cell r="G381">
            <v>1330000</v>
          </cell>
          <cell r="H381">
            <v>99760848.890000001</v>
          </cell>
          <cell r="I381">
            <v>8539701.8100000005</v>
          </cell>
        </row>
        <row r="386">
          <cell r="C386">
            <v>34004000</v>
          </cell>
          <cell r="D386">
            <v>16895000</v>
          </cell>
          <cell r="E386">
            <v>0</v>
          </cell>
          <cell r="G386">
            <v>30247789.190000005</v>
          </cell>
          <cell r="H386">
            <v>13554507.93</v>
          </cell>
          <cell r="I386">
            <v>0</v>
          </cell>
        </row>
        <row r="388">
          <cell r="C388">
            <v>1070000</v>
          </cell>
          <cell r="D388">
            <v>4340000</v>
          </cell>
          <cell r="E388">
            <v>27230000</v>
          </cell>
          <cell r="G388">
            <v>1035500</v>
          </cell>
          <cell r="H388">
            <v>3469623.56</v>
          </cell>
          <cell r="I388">
            <v>6679969.4000000004</v>
          </cell>
        </row>
        <row r="393">
          <cell r="C393">
            <v>78144000</v>
          </cell>
          <cell r="D393">
            <v>37869000</v>
          </cell>
          <cell r="E393">
            <v>0</v>
          </cell>
          <cell r="G393">
            <v>74250528.850000009</v>
          </cell>
          <cell r="H393">
            <v>31369782.43</v>
          </cell>
          <cell r="I393">
            <v>0</v>
          </cell>
        </row>
        <row r="395">
          <cell r="C395">
            <v>1765000</v>
          </cell>
          <cell r="D395">
            <v>14999000</v>
          </cell>
          <cell r="E395">
            <v>80000000</v>
          </cell>
          <cell r="G395">
            <v>1765000</v>
          </cell>
          <cell r="H395">
            <v>11013196.09</v>
          </cell>
          <cell r="I395">
            <v>79939489.620000005</v>
          </cell>
        </row>
        <row r="431">
          <cell r="C431">
            <v>0</v>
          </cell>
          <cell r="D431">
            <v>578118.77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G438">
            <v>0</v>
          </cell>
          <cell r="H438">
            <v>0</v>
          </cell>
          <cell r="I438">
            <v>0</v>
          </cell>
        </row>
      </sheetData>
      <sheetData sheetId="13">
        <row r="14">
          <cell r="C14">
            <v>26632000</v>
          </cell>
          <cell r="D14">
            <v>1563000</v>
          </cell>
          <cell r="E14">
            <v>38827000</v>
          </cell>
          <cell r="V14">
            <v>5835000</v>
          </cell>
          <cell r="W14">
            <v>11016000</v>
          </cell>
          <cell r="X14">
            <v>813000</v>
          </cell>
          <cell r="Z14">
            <v>0</v>
          </cell>
          <cell r="AA14">
            <v>0</v>
          </cell>
          <cell r="AB14">
            <v>515000</v>
          </cell>
          <cell r="AD14">
            <v>0</v>
          </cell>
          <cell r="AE14">
            <v>3878248</v>
          </cell>
          <cell r="AF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C15">
            <v>21767331.18</v>
          </cell>
          <cell r="D15">
            <v>1415652.1400000001</v>
          </cell>
          <cell r="E15">
            <v>33709606.850000001</v>
          </cell>
          <cell r="V15">
            <v>4788354.96</v>
          </cell>
          <cell r="W15">
            <v>9901696.8200000003</v>
          </cell>
          <cell r="X15">
            <v>751507.42999999993</v>
          </cell>
          <cell r="Z15">
            <v>0</v>
          </cell>
          <cell r="AA15">
            <v>0</v>
          </cell>
          <cell r="AB15">
            <v>478147</v>
          </cell>
          <cell r="AD15">
            <v>0</v>
          </cell>
          <cell r="AE15">
            <v>3878245.83</v>
          </cell>
          <cell r="AF15">
            <v>0</v>
          </cell>
          <cell r="AH15">
            <v>0</v>
          </cell>
          <cell r="AI15">
            <v>0</v>
          </cell>
          <cell r="AJ15">
            <v>0</v>
          </cell>
        </row>
        <row r="50">
          <cell r="C50">
            <v>8940000</v>
          </cell>
          <cell r="D50">
            <v>6326000</v>
          </cell>
          <cell r="E50">
            <v>145001000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2500000</v>
          </cell>
          <cell r="AJ50">
            <v>0</v>
          </cell>
        </row>
        <row r="51">
          <cell r="C51">
            <v>6663316.2400000012</v>
          </cell>
          <cell r="D51">
            <v>2201236.17</v>
          </cell>
          <cell r="E51">
            <v>96773639.390000001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2500000</v>
          </cell>
          <cell r="AJ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BB179">
            <v>141370420.75</v>
          </cell>
          <cell r="BC179">
            <v>14475189.269999987</v>
          </cell>
          <cell r="BD179">
            <v>2516394.1499999994</v>
          </cell>
          <cell r="BE179">
            <v>158362004.16999999</v>
          </cell>
        </row>
        <row r="187">
          <cell r="C187">
            <v>0</v>
          </cell>
          <cell r="D187">
            <v>0</v>
          </cell>
          <cell r="E187">
            <v>0</v>
          </cell>
        </row>
        <row r="222">
          <cell r="C222">
            <v>1080483.8</v>
          </cell>
          <cell r="D222">
            <v>747016.26</v>
          </cell>
          <cell r="E222">
            <v>4821043.8099999996</v>
          </cell>
          <cell r="AH222">
            <v>0</v>
          </cell>
          <cell r="AI222">
            <v>0</v>
          </cell>
          <cell r="AJ222">
            <v>0</v>
          </cell>
        </row>
        <row r="223">
          <cell r="C223">
            <v>1076808.32</v>
          </cell>
          <cell r="D223">
            <v>747016.26</v>
          </cell>
          <cell r="E223">
            <v>4036685.84</v>
          </cell>
          <cell r="AH223">
            <v>0</v>
          </cell>
          <cell r="AI223">
            <v>0</v>
          </cell>
          <cell r="AJ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H314">
            <v>0</v>
          </cell>
          <cell r="AI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H315">
            <v>0</v>
          </cell>
          <cell r="AI315">
            <v>0</v>
          </cell>
          <cell r="AJ315">
            <v>0</v>
          </cell>
        </row>
        <row r="351">
          <cell r="BB351">
            <v>1397066.4199999971</v>
          </cell>
          <cell r="BC351">
            <v>50129.550000000047</v>
          </cell>
          <cell r="BD351">
            <v>0</v>
          </cell>
          <cell r="BE351">
            <v>1447195.9699999972</v>
          </cell>
        </row>
        <row r="382">
          <cell r="C382">
            <v>2575000</v>
          </cell>
          <cell r="D382">
            <v>115654297.58</v>
          </cell>
          <cell r="E382">
            <v>104357980</v>
          </cell>
          <cell r="G382">
            <v>2575000</v>
          </cell>
          <cell r="H382">
            <v>59874194.969999999</v>
          </cell>
          <cell r="I382">
            <v>84572524.929999992</v>
          </cell>
        </row>
        <row r="387">
          <cell r="C387">
            <v>117947000</v>
          </cell>
          <cell r="D387">
            <v>41998000</v>
          </cell>
          <cell r="E387">
            <v>0</v>
          </cell>
          <cell r="G387">
            <v>111642052.28000002</v>
          </cell>
          <cell r="H387">
            <v>36490804.649999999</v>
          </cell>
          <cell r="I387">
            <v>0</v>
          </cell>
        </row>
        <row r="389">
          <cell r="C389">
            <v>4860000</v>
          </cell>
          <cell r="D389">
            <v>20084000</v>
          </cell>
          <cell r="E389">
            <v>0</v>
          </cell>
          <cell r="G389">
            <v>4825000</v>
          </cell>
          <cell r="H389">
            <v>18570259.149999999</v>
          </cell>
          <cell r="I389">
            <v>0</v>
          </cell>
        </row>
        <row r="394">
          <cell r="C394">
            <v>8559000</v>
          </cell>
          <cell r="D394">
            <v>7009000</v>
          </cell>
          <cell r="E394">
            <v>0</v>
          </cell>
          <cell r="G394">
            <v>7995249.5499999998</v>
          </cell>
          <cell r="H394">
            <v>6032443.2800000003</v>
          </cell>
          <cell r="I394">
            <v>0</v>
          </cell>
        </row>
        <row r="396">
          <cell r="C396">
            <v>295500</v>
          </cell>
          <cell r="D396">
            <v>2118000</v>
          </cell>
          <cell r="E396">
            <v>23900000</v>
          </cell>
          <cell r="G396">
            <v>295500</v>
          </cell>
          <cell r="H396">
            <v>1241172.79</v>
          </cell>
          <cell r="I396">
            <v>23899085.800000001</v>
          </cell>
        </row>
        <row r="432">
          <cell r="C432">
            <v>0</v>
          </cell>
          <cell r="D432">
            <v>738534.55</v>
          </cell>
          <cell r="E432">
            <v>0</v>
          </cell>
          <cell r="G432">
            <v>0</v>
          </cell>
          <cell r="H432">
            <v>688405</v>
          </cell>
          <cell r="I432">
            <v>0</v>
          </cell>
        </row>
        <row r="439">
          <cell r="C439">
            <v>0</v>
          </cell>
          <cell r="D439">
            <v>37515.24</v>
          </cell>
          <cell r="E439">
            <v>0</v>
          </cell>
          <cell r="G439">
            <v>0</v>
          </cell>
          <cell r="H439">
            <v>37515.24</v>
          </cell>
          <cell r="I439">
            <v>0</v>
          </cell>
        </row>
      </sheetData>
      <sheetData sheetId="14">
        <row r="14">
          <cell r="C14">
            <v>35482000</v>
          </cell>
          <cell r="D14">
            <v>388000</v>
          </cell>
          <cell r="E14">
            <v>41385000</v>
          </cell>
          <cell r="V14">
            <v>6559000</v>
          </cell>
          <cell r="W14">
            <v>22507999</v>
          </cell>
          <cell r="X14">
            <v>10510000</v>
          </cell>
          <cell r="Z14">
            <v>0</v>
          </cell>
          <cell r="AA14">
            <v>8185999</v>
          </cell>
          <cell r="AB14">
            <v>0</v>
          </cell>
          <cell r="AD14">
            <v>1429421</v>
          </cell>
          <cell r="AE14">
            <v>4458568</v>
          </cell>
          <cell r="AF14">
            <v>3072468</v>
          </cell>
          <cell r="AH14">
            <v>0</v>
          </cell>
          <cell r="AI14">
            <v>0</v>
          </cell>
          <cell r="AJ14">
            <v>0</v>
          </cell>
        </row>
        <row r="15">
          <cell r="C15">
            <v>15620479.029999997</v>
          </cell>
          <cell r="D15">
            <v>4291474</v>
          </cell>
          <cell r="E15">
            <v>42293116.649999999</v>
          </cell>
          <cell r="V15">
            <v>5465222.7599999998</v>
          </cell>
          <cell r="W15">
            <v>18286699.16</v>
          </cell>
          <cell r="X15">
            <v>9347549.4800000004</v>
          </cell>
          <cell r="Z15">
            <v>0</v>
          </cell>
          <cell r="AA15">
            <v>8185999</v>
          </cell>
          <cell r="AB15">
            <v>0</v>
          </cell>
          <cell r="AD15">
            <v>1429417.42</v>
          </cell>
          <cell r="AE15">
            <v>4458562.99</v>
          </cell>
          <cell r="AF15">
            <v>3072447.21</v>
          </cell>
          <cell r="AH15">
            <v>0</v>
          </cell>
          <cell r="AI15">
            <v>0</v>
          </cell>
          <cell r="AJ15">
            <v>0</v>
          </cell>
        </row>
        <row r="50">
          <cell r="C50">
            <v>13077000</v>
          </cell>
          <cell r="D50">
            <v>6937000</v>
          </cell>
          <cell r="E50">
            <v>153257000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14750000</v>
          </cell>
          <cell r="AJ50">
            <v>3600000</v>
          </cell>
        </row>
        <row r="51">
          <cell r="C51">
            <v>12995014.970000001</v>
          </cell>
          <cell r="D51">
            <v>4177476.6999999997</v>
          </cell>
          <cell r="E51">
            <v>100794321.66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9385673.1500000004</v>
          </cell>
          <cell r="AJ51">
            <v>2084663</v>
          </cell>
        </row>
        <row r="142">
          <cell r="C142">
            <v>0</v>
          </cell>
          <cell r="D142">
            <v>0</v>
          </cell>
          <cell r="E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BB179">
            <v>126715863.39999999</v>
          </cell>
          <cell r="BC179">
            <v>57552288.85999997</v>
          </cell>
          <cell r="BD179">
            <v>26781328.820000004</v>
          </cell>
          <cell r="BE179">
            <v>211049481.07999995</v>
          </cell>
        </row>
        <row r="186">
          <cell r="C186">
            <v>0</v>
          </cell>
          <cell r="D186">
            <v>0</v>
          </cell>
          <cell r="E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</row>
        <row r="222">
          <cell r="C222">
            <v>2103808.37</v>
          </cell>
          <cell r="D222">
            <v>613729.56000000006</v>
          </cell>
          <cell r="E222">
            <v>1006966.23</v>
          </cell>
          <cell r="AH222">
            <v>0</v>
          </cell>
          <cell r="AI222">
            <v>44486736.670000002</v>
          </cell>
          <cell r="AJ222">
            <v>3137443.79</v>
          </cell>
        </row>
        <row r="223">
          <cell r="C223">
            <v>697804.72</v>
          </cell>
          <cell r="D223">
            <v>0</v>
          </cell>
          <cell r="E223">
            <v>810000</v>
          </cell>
          <cell r="AH223">
            <v>0</v>
          </cell>
          <cell r="AI223">
            <v>34127628.469999999</v>
          </cell>
          <cell r="AJ223">
            <v>3018088</v>
          </cell>
        </row>
        <row r="314">
          <cell r="C314">
            <v>0</v>
          </cell>
          <cell r="D314">
            <v>0</v>
          </cell>
          <cell r="E314">
            <v>0</v>
          </cell>
          <cell r="AH314">
            <v>0</v>
          </cell>
          <cell r="AI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H315">
            <v>0</v>
          </cell>
          <cell r="AI315">
            <v>0</v>
          </cell>
          <cell r="AJ315">
            <v>0</v>
          </cell>
        </row>
        <row r="351">
          <cell r="BB351">
            <v>10216630.109999988</v>
          </cell>
          <cell r="BC351">
            <v>11628147.320000002</v>
          </cell>
          <cell r="BD351">
            <v>957159.68999999948</v>
          </cell>
          <cell r="BE351">
            <v>22801937.11999999</v>
          </cell>
        </row>
        <row r="382">
          <cell r="C382">
            <v>1420000</v>
          </cell>
          <cell r="D382">
            <v>107856391.77</v>
          </cell>
          <cell r="E382">
            <v>72100000</v>
          </cell>
          <cell r="G382">
            <v>1419990.6</v>
          </cell>
          <cell r="H382">
            <v>65139989.75999999</v>
          </cell>
          <cell r="I382">
            <v>59548445.82</v>
          </cell>
        </row>
        <row r="387">
          <cell r="C387">
            <v>233325000</v>
          </cell>
          <cell r="D387">
            <v>63208000</v>
          </cell>
          <cell r="E387">
            <v>0</v>
          </cell>
          <cell r="G387">
            <v>214702095.16000003</v>
          </cell>
          <cell r="H387">
            <v>47845949.980000004</v>
          </cell>
          <cell r="I387">
            <v>0</v>
          </cell>
        </row>
        <row r="389">
          <cell r="C389">
            <v>5770000</v>
          </cell>
          <cell r="D389">
            <v>44993830</v>
          </cell>
          <cell r="E389">
            <v>52000000</v>
          </cell>
          <cell r="G389">
            <v>5745000</v>
          </cell>
          <cell r="H389">
            <v>32979333.119999997</v>
          </cell>
          <cell r="I389">
            <v>50057794.579999998</v>
          </cell>
        </row>
        <row r="394">
          <cell r="C394">
            <v>113626000</v>
          </cell>
          <cell r="D394">
            <v>36765000</v>
          </cell>
          <cell r="E394">
            <v>0</v>
          </cell>
          <cell r="G394">
            <v>105351339.83</v>
          </cell>
          <cell r="H394">
            <v>31229232.949999999</v>
          </cell>
          <cell r="I394">
            <v>0</v>
          </cell>
        </row>
        <row r="396">
          <cell r="C396">
            <v>5275000</v>
          </cell>
          <cell r="D396">
            <v>38703765</v>
          </cell>
          <cell r="E396">
            <v>104000000</v>
          </cell>
          <cell r="G396">
            <v>5273250</v>
          </cell>
          <cell r="H396">
            <v>28412421.709999997</v>
          </cell>
          <cell r="I396">
            <v>104000000</v>
          </cell>
        </row>
        <row r="432">
          <cell r="C432">
            <v>0</v>
          </cell>
          <cell r="D432">
            <v>965223.62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310239.78999999998</v>
          </cell>
          <cell r="E439">
            <v>0</v>
          </cell>
          <cell r="G439">
            <v>0</v>
          </cell>
          <cell r="H439">
            <v>298373.5</v>
          </cell>
          <cell r="I439">
            <v>0</v>
          </cell>
        </row>
      </sheetData>
      <sheetData sheetId="15">
        <row r="13">
          <cell r="C13">
            <v>28640000</v>
          </cell>
          <cell r="D13">
            <v>1936000</v>
          </cell>
          <cell r="E13">
            <v>60861000</v>
          </cell>
          <cell r="Z13">
            <v>8267000</v>
          </cell>
          <cell r="AA13">
            <v>7170000</v>
          </cell>
          <cell r="AB13">
            <v>14504000</v>
          </cell>
          <cell r="AC13">
            <v>4361042</v>
          </cell>
          <cell r="AE13">
            <v>0</v>
          </cell>
          <cell r="AF13">
            <v>39609.599999999999</v>
          </cell>
          <cell r="AG13">
            <v>0</v>
          </cell>
          <cell r="AH13">
            <v>1286292</v>
          </cell>
          <cell r="AJ13">
            <v>0</v>
          </cell>
          <cell r="AK13">
            <v>90207</v>
          </cell>
          <cell r="AL13">
            <v>2699396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</row>
        <row r="14">
          <cell r="C14">
            <v>27423959.040000003</v>
          </cell>
          <cell r="D14">
            <v>747037.5</v>
          </cell>
          <cell r="E14">
            <v>54833301.830000006</v>
          </cell>
          <cell r="Z14">
            <v>6489530.75</v>
          </cell>
          <cell r="AA14">
            <v>6461673.4799999995</v>
          </cell>
          <cell r="AB14">
            <v>13184357.01</v>
          </cell>
          <cell r="AC14">
            <v>3891545.5799999996</v>
          </cell>
          <cell r="AE14">
            <v>0</v>
          </cell>
          <cell r="AF14">
            <v>39609.599999999999</v>
          </cell>
          <cell r="AG14">
            <v>0</v>
          </cell>
          <cell r="AH14">
            <v>509282.9</v>
          </cell>
          <cell r="AJ14">
            <v>0</v>
          </cell>
          <cell r="AK14">
            <v>90207</v>
          </cell>
          <cell r="AL14">
            <v>2699392.81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49">
          <cell r="C49">
            <v>5136000</v>
          </cell>
          <cell r="D49">
            <v>10659000</v>
          </cell>
          <cell r="E49">
            <v>152454000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100000</v>
          </cell>
          <cell r="AQ49">
            <v>5350000</v>
          </cell>
          <cell r="AR49">
            <v>0</v>
          </cell>
        </row>
        <row r="50">
          <cell r="C50">
            <v>3120285.3699999996</v>
          </cell>
          <cell r="D50">
            <v>5478112.6200000001</v>
          </cell>
          <cell r="E50">
            <v>109380789.28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54952.42</v>
          </cell>
          <cell r="AQ50">
            <v>3719739.8</v>
          </cell>
          <cell r="AR5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78">
          <cell r="BM178">
            <v>122255647.25999999</v>
          </cell>
          <cell r="BN178">
            <v>13154289.200000001</v>
          </cell>
          <cell r="BO178">
            <v>169495099.43999994</v>
          </cell>
          <cell r="BP178">
            <v>12299861.899999999</v>
          </cell>
          <cell r="BQ178">
            <v>317204897.79999989</v>
          </cell>
        </row>
        <row r="221">
          <cell r="C221">
            <v>144.52000000048429</v>
          </cell>
          <cell r="D221">
            <v>20.269999995827675</v>
          </cell>
          <cell r="E221">
            <v>275139.38999999687</v>
          </cell>
          <cell r="AO221">
            <v>0</v>
          </cell>
          <cell r="AP221">
            <v>733111.27</v>
          </cell>
          <cell r="AQ221">
            <v>23457662.52</v>
          </cell>
          <cell r="AR221">
            <v>1822.5</v>
          </cell>
        </row>
        <row r="222">
          <cell r="C222">
            <v>0</v>
          </cell>
          <cell r="D222">
            <v>0</v>
          </cell>
          <cell r="E222">
            <v>273519.86</v>
          </cell>
          <cell r="AO222">
            <v>0</v>
          </cell>
          <cell r="AP222">
            <v>86042.84</v>
          </cell>
          <cell r="AQ222">
            <v>17053368</v>
          </cell>
          <cell r="AR22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</row>
        <row r="350">
          <cell r="BM350">
            <v>7641342.3399999961</v>
          </cell>
          <cell r="BN350">
            <v>732651.19000000006</v>
          </cell>
          <cell r="BO350">
            <v>10625166.210000001</v>
          </cell>
          <cell r="BP350">
            <v>202529.79000000012</v>
          </cell>
          <cell r="BQ350">
            <v>19201689.529999997</v>
          </cell>
        </row>
        <row r="381">
          <cell r="C381">
            <v>2460500</v>
          </cell>
          <cell r="D381">
            <v>167546681.66</v>
          </cell>
          <cell r="E381">
            <v>56285968</v>
          </cell>
          <cell r="G381">
            <v>2439500</v>
          </cell>
          <cell r="H381">
            <v>110065596.33999999</v>
          </cell>
          <cell r="I381">
            <v>52012389.670000002</v>
          </cell>
        </row>
        <row r="386">
          <cell r="C386">
            <v>78777000</v>
          </cell>
          <cell r="D386">
            <v>26520000</v>
          </cell>
          <cell r="E386">
            <v>0</v>
          </cell>
          <cell r="G386">
            <v>71400655.399999991</v>
          </cell>
          <cell r="H386">
            <v>24484625.690000005</v>
          </cell>
          <cell r="I386">
            <v>0</v>
          </cell>
        </row>
        <row r="388">
          <cell r="C388">
            <v>3560000</v>
          </cell>
          <cell r="D388">
            <v>12212000</v>
          </cell>
          <cell r="E388">
            <v>100000000</v>
          </cell>
          <cell r="G388">
            <v>3560000</v>
          </cell>
          <cell r="H388">
            <v>9431586.75</v>
          </cell>
          <cell r="I388">
            <v>99791217.060000002</v>
          </cell>
        </row>
        <row r="393">
          <cell r="C393">
            <v>154484000</v>
          </cell>
          <cell r="D393">
            <v>85131000</v>
          </cell>
          <cell r="E393">
            <v>0</v>
          </cell>
          <cell r="G393">
            <v>145994854.17000005</v>
          </cell>
          <cell r="H393">
            <v>72613813.499999985</v>
          </cell>
          <cell r="I393">
            <v>0</v>
          </cell>
        </row>
        <row r="395">
          <cell r="C395">
            <v>4573000</v>
          </cell>
          <cell r="D395">
            <v>28031000</v>
          </cell>
          <cell r="E395">
            <v>185000000</v>
          </cell>
          <cell r="G395">
            <v>4198000</v>
          </cell>
          <cell r="H395">
            <v>24615393.029999994</v>
          </cell>
          <cell r="I395">
            <v>43251746.239999995</v>
          </cell>
        </row>
        <row r="400">
          <cell r="C400">
            <v>45583000</v>
          </cell>
          <cell r="D400">
            <v>24345000</v>
          </cell>
          <cell r="E400">
            <v>0</v>
          </cell>
          <cell r="G400">
            <v>42064623.460000001</v>
          </cell>
          <cell r="H400">
            <v>21745342.280000001</v>
          </cell>
          <cell r="I400">
            <v>0</v>
          </cell>
        </row>
        <row r="402">
          <cell r="C402">
            <v>1372500</v>
          </cell>
          <cell r="D402">
            <v>6452000</v>
          </cell>
          <cell r="E402">
            <v>26480000</v>
          </cell>
          <cell r="G402">
            <v>1372500</v>
          </cell>
          <cell r="H402">
            <v>6025773.1200000001</v>
          </cell>
          <cell r="I402">
            <v>21970904.759999998</v>
          </cell>
        </row>
        <row r="431">
          <cell r="C431">
            <v>0</v>
          </cell>
          <cell r="D431">
            <v>275304.17999999318</v>
          </cell>
          <cell r="E431">
            <v>0</v>
          </cell>
          <cell r="G431">
            <v>0</v>
          </cell>
          <cell r="H431">
            <v>273519.86</v>
          </cell>
          <cell r="I431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G438">
            <v>0</v>
          </cell>
          <cell r="H438">
            <v>0</v>
          </cell>
          <cell r="I438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  <cell r="I445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G452">
            <v>0</v>
          </cell>
          <cell r="H452">
            <v>0</v>
          </cell>
          <cell r="I452">
            <v>0</v>
          </cell>
        </row>
      </sheetData>
      <sheetData sheetId="16">
        <row r="14">
          <cell r="C14">
            <v>31959000</v>
          </cell>
          <cell r="D14">
            <v>2305000</v>
          </cell>
          <cell r="E14">
            <v>59066260</v>
          </cell>
          <cell r="AT14">
            <v>7233000</v>
          </cell>
          <cell r="AU14">
            <v>14178000</v>
          </cell>
          <cell r="AV14">
            <v>1366000</v>
          </cell>
          <cell r="AW14">
            <v>769000</v>
          </cell>
          <cell r="AX14">
            <v>605000</v>
          </cell>
          <cell r="AY14">
            <v>1742000</v>
          </cell>
          <cell r="AZ14">
            <v>3594729</v>
          </cell>
          <cell r="BA14">
            <v>1643761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998917</v>
          </cell>
          <cell r="BK14">
            <v>490807</v>
          </cell>
          <cell r="BL14">
            <v>0</v>
          </cell>
          <cell r="BN14">
            <v>886469</v>
          </cell>
          <cell r="BO14">
            <v>2343045</v>
          </cell>
          <cell r="BP14">
            <v>334707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</row>
        <row r="15">
          <cell r="C15">
            <v>28017000.969999999</v>
          </cell>
          <cell r="D15">
            <v>2244888.9300000002</v>
          </cell>
          <cell r="E15">
            <v>53670272.390000015</v>
          </cell>
          <cell r="AT15">
            <v>5969699.040000001</v>
          </cell>
          <cell r="AU15">
            <v>12718883.629999999</v>
          </cell>
          <cell r="AV15">
            <v>1090752.1300000001</v>
          </cell>
          <cell r="AW15">
            <v>697510.32</v>
          </cell>
          <cell r="AX15">
            <v>511203.56</v>
          </cell>
          <cell r="AY15">
            <v>1543768.1500000001</v>
          </cell>
          <cell r="AZ15">
            <v>3148882.47</v>
          </cell>
          <cell r="BA15">
            <v>1506950.1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270150</v>
          </cell>
          <cell r="BL15">
            <v>0</v>
          </cell>
          <cell r="BN15">
            <v>886468.4</v>
          </cell>
          <cell r="BO15">
            <v>2343042.98</v>
          </cell>
          <cell r="BP15">
            <v>334707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</row>
        <row r="50">
          <cell r="C50">
            <v>10929000</v>
          </cell>
          <cell r="D50">
            <v>5465000</v>
          </cell>
          <cell r="E50">
            <v>145328740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X50">
            <v>0</v>
          </cell>
          <cell r="BY50">
            <v>10125000</v>
          </cell>
          <cell r="BZ50">
            <v>0</v>
          </cell>
          <cell r="CA50">
            <v>0</v>
          </cell>
          <cell r="CB50">
            <v>0</v>
          </cell>
          <cell r="CC50">
            <v>1200000</v>
          </cell>
          <cell r="CD50">
            <v>0</v>
          </cell>
          <cell r="CE50">
            <v>0</v>
          </cell>
          <cell r="CF50">
            <v>0</v>
          </cell>
        </row>
        <row r="51">
          <cell r="C51">
            <v>7006664.0800000001</v>
          </cell>
          <cell r="D51">
            <v>2278831.5700000003</v>
          </cell>
          <cell r="E51">
            <v>61629370.43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X51">
            <v>0</v>
          </cell>
          <cell r="BY51">
            <v>4863210.55</v>
          </cell>
          <cell r="BZ51">
            <v>0</v>
          </cell>
          <cell r="CA51">
            <v>0</v>
          </cell>
          <cell r="CB51">
            <v>0</v>
          </cell>
          <cell r="CC51">
            <v>1000000</v>
          </cell>
          <cell r="CD51">
            <v>0</v>
          </cell>
          <cell r="CE51">
            <v>0</v>
          </cell>
          <cell r="CF51">
            <v>0</v>
          </cell>
        </row>
        <row r="142">
          <cell r="C142">
            <v>0</v>
          </cell>
          <cell r="D142">
            <v>0</v>
          </cell>
          <cell r="E142">
            <v>1350000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X142">
            <v>0</v>
          </cell>
          <cell r="BY142">
            <v>4500000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</row>
        <row r="179">
          <cell r="DP179">
            <v>180696238.72999996</v>
          </cell>
          <cell r="DQ179">
            <v>40916683.289999977</v>
          </cell>
          <cell r="DR179">
            <v>8497296.6600000001</v>
          </cell>
          <cell r="DS179">
            <v>2264508.5299999998</v>
          </cell>
          <cell r="DT179">
            <v>1013677.3200000001</v>
          </cell>
          <cell r="DU179">
            <v>15951963.799999999</v>
          </cell>
          <cell r="DV179">
            <v>11525470.849999998</v>
          </cell>
          <cell r="DW179">
            <v>8194129.2400000002</v>
          </cell>
          <cell r="DX179">
            <v>691000</v>
          </cell>
          <cell r="DY179">
            <v>269750968.4199999</v>
          </cell>
        </row>
        <row r="222">
          <cell r="C222">
            <v>472673.95</v>
          </cell>
          <cell r="D222">
            <v>87922.99</v>
          </cell>
          <cell r="E222">
            <v>497975.94</v>
          </cell>
          <cell r="BX222">
            <v>0</v>
          </cell>
          <cell r="BY222">
            <v>22645802.329999998</v>
          </cell>
          <cell r="BZ222">
            <v>0</v>
          </cell>
          <cell r="CA222">
            <v>0</v>
          </cell>
          <cell r="CB222">
            <v>0</v>
          </cell>
          <cell r="CC222">
            <v>736000</v>
          </cell>
          <cell r="CD222">
            <v>3004579</v>
          </cell>
          <cell r="CE222">
            <v>0</v>
          </cell>
          <cell r="CF222">
            <v>0</v>
          </cell>
        </row>
        <row r="223">
          <cell r="C223">
            <v>472666.66999999993</v>
          </cell>
          <cell r="D223">
            <v>87900</v>
          </cell>
          <cell r="E223">
            <v>484818.16000000003</v>
          </cell>
          <cell r="BX223">
            <v>0</v>
          </cell>
          <cell r="BY223">
            <v>19030149.310000002</v>
          </cell>
          <cell r="BZ223">
            <v>0</v>
          </cell>
          <cell r="CA223">
            <v>0</v>
          </cell>
          <cell r="CB223">
            <v>0</v>
          </cell>
          <cell r="CC223">
            <v>643287</v>
          </cell>
          <cell r="CD223">
            <v>3004579</v>
          </cell>
          <cell r="CE223">
            <v>0</v>
          </cell>
          <cell r="CF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BX314">
            <v>0</v>
          </cell>
          <cell r="BY314">
            <v>2000000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BX315">
            <v>0</v>
          </cell>
          <cell r="BY315">
            <v>1594000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</row>
        <row r="351">
          <cell r="DP351">
            <v>55922025.589999996</v>
          </cell>
          <cell r="DQ351">
            <v>4314824.2599999923</v>
          </cell>
          <cell r="DR351">
            <v>75687.360000002023</v>
          </cell>
          <cell r="DS351">
            <v>15447.470000000001</v>
          </cell>
          <cell r="DT351">
            <v>60000.000000000015</v>
          </cell>
          <cell r="DU351">
            <v>10960713</v>
          </cell>
          <cell r="DV351">
            <v>495905.6</v>
          </cell>
          <cell r="DW351">
            <v>225569.47999999952</v>
          </cell>
          <cell r="DX351">
            <v>691000</v>
          </cell>
          <cell r="DY351">
            <v>72761172.759999976</v>
          </cell>
        </row>
        <row r="382">
          <cell r="C382">
            <v>1945000</v>
          </cell>
          <cell r="D382">
            <v>142357671</v>
          </cell>
          <cell r="E382">
            <v>15745000</v>
          </cell>
          <cell r="G382">
            <v>1810000</v>
          </cell>
          <cell r="H382">
            <v>76478187.140000015</v>
          </cell>
          <cell r="I382">
            <v>3882518.3200000003</v>
          </cell>
        </row>
        <row r="387">
          <cell r="C387">
            <v>150073000</v>
          </cell>
          <cell r="D387">
            <v>54463000</v>
          </cell>
          <cell r="E387">
            <v>0</v>
          </cell>
          <cell r="G387">
            <v>138689701.17000005</v>
          </cell>
          <cell r="H387">
            <v>44679390.319999993</v>
          </cell>
          <cell r="I387">
            <v>0</v>
          </cell>
        </row>
        <row r="389">
          <cell r="C389">
            <v>2845000</v>
          </cell>
          <cell r="D389">
            <v>25253800</v>
          </cell>
          <cell r="E389">
            <v>150000000</v>
          </cell>
          <cell r="G389">
            <v>2777500</v>
          </cell>
          <cell r="H389">
            <v>18441368.519999996</v>
          </cell>
          <cell r="I389">
            <v>148351064.53999999</v>
          </cell>
        </row>
        <row r="394">
          <cell r="C394">
            <v>14833000</v>
          </cell>
          <cell r="D394">
            <v>15799000</v>
          </cell>
          <cell r="E394">
            <v>0</v>
          </cell>
          <cell r="G394">
            <v>12313003.390000001</v>
          </cell>
          <cell r="H394">
            <v>14479651.529999999</v>
          </cell>
          <cell r="I394">
            <v>0</v>
          </cell>
        </row>
        <row r="396">
          <cell r="C396">
            <v>345000</v>
          </cell>
          <cell r="D396">
            <v>5460000</v>
          </cell>
          <cell r="E396">
            <v>20000000</v>
          </cell>
          <cell r="G396">
            <v>345000</v>
          </cell>
          <cell r="H396">
            <v>1086888.93</v>
          </cell>
          <cell r="I396">
            <v>19990407.359999999</v>
          </cell>
        </row>
        <row r="401">
          <cell r="C401">
            <v>8318000</v>
          </cell>
          <cell r="D401">
            <v>5667000</v>
          </cell>
          <cell r="E401">
            <v>0</v>
          </cell>
          <cell r="G401">
            <v>7658109.0000000009</v>
          </cell>
          <cell r="H401">
            <v>4671423.0299999993</v>
          </cell>
          <cell r="I401">
            <v>0</v>
          </cell>
        </row>
        <row r="403">
          <cell r="C403">
            <v>220000</v>
          </cell>
          <cell r="D403">
            <v>2363743</v>
          </cell>
          <cell r="E403">
            <v>0</v>
          </cell>
          <cell r="G403">
            <v>205000</v>
          </cell>
          <cell r="H403">
            <v>1841192.1199999999</v>
          </cell>
          <cell r="I403">
            <v>0</v>
          </cell>
        </row>
        <row r="407">
          <cell r="C407">
            <v>6539000</v>
          </cell>
          <cell r="D407">
            <v>3643000</v>
          </cell>
          <cell r="E407">
            <v>0</v>
          </cell>
          <cell r="G407">
            <v>5991011.46</v>
          </cell>
          <cell r="H407">
            <v>3501579.61</v>
          </cell>
          <cell r="I407">
            <v>0</v>
          </cell>
        </row>
        <row r="409">
          <cell r="C409">
            <v>150000</v>
          </cell>
          <cell r="D409">
            <v>1652000</v>
          </cell>
          <cell r="E409">
            <v>0</v>
          </cell>
          <cell r="G409">
            <v>149999.85</v>
          </cell>
          <cell r="H409">
            <v>1421528.2000000002</v>
          </cell>
          <cell r="I409">
            <v>0</v>
          </cell>
        </row>
        <row r="413">
          <cell r="C413">
            <v>18361000</v>
          </cell>
          <cell r="D413">
            <v>11473000</v>
          </cell>
          <cell r="E413">
            <v>0</v>
          </cell>
          <cell r="G413">
            <v>16379073.210000001</v>
          </cell>
          <cell r="H413">
            <v>9387248.8000000007</v>
          </cell>
          <cell r="I413">
            <v>0</v>
          </cell>
        </row>
        <row r="415">
          <cell r="C415">
            <v>785000</v>
          </cell>
          <cell r="D415">
            <v>2420000</v>
          </cell>
          <cell r="E415">
            <v>11000000</v>
          </cell>
          <cell r="G415">
            <v>785000</v>
          </cell>
          <cell r="H415">
            <v>1758946.04</v>
          </cell>
          <cell r="I415">
            <v>175000</v>
          </cell>
        </row>
        <row r="419">
          <cell r="C419">
            <v>38814853</v>
          </cell>
          <cell r="D419">
            <v>28004147</v>
          </cell>
          <cell r="E419">
            <v>0</v>
          </cell>
          <cell r="G419">
            <v>36411638</v>
          </cell>
          <cell r="H419">
            <v>22376889.650000002</v>
          </cell>
          <cell r="I419">
            <v>0</v>
          </cell>
        </row>
        <row r="421">
          <cell r="C421">
            <v>880000</v>
          </cell>
          <cell r="D421">
            <v>7220000</v>
          </cell>
          <cell r="E421">
            <v>20500000</v>
          </cell>
          <cell r="G421">
            <v>862500</v>
          </cell>
          <cell r="H421">
            <v>5948855.8100000005</v>
          </cell>
          <cell r="I421">
            <v>19738409.219999999</v>
          </cell>
        </row>
        <row r="425">
          <cell r="C425">
            <v>17682000</v>
          </cell>
          <cell r="D425">
            <v>24897000</v>
          </cell>
          <cell r="E425">
            <v>0</v>
          </cell>
          <cell r="G425">
            <v>16510142.9</v>
          </cell>
          <cell r="H425">
            <v>18791169.77</v>
          </cell>
          <cell r="I425">
            <v>0</v>
          </cell>
        </row>
        <row r="427">
          <cell r="C427">
            <v>625500</v>
          </cell>
          <cell r="D427">
            <v>2420000</v>
          </cell>
          <cell r="E427">
            <v>0</v>
          </cell>
          <cell r="G427">
            <v>625500</v>
          </cell>
          <cell r="H427">
            <v>1861025.99</v>
          </cell>
          <cell r="I427">
            <v>0</v>
          </cell>
        </row>
        <row r="431">
          <cell r="C431">
            <v>0</v>
          </cell>
          <cell r="D431">
            <v>691000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G433">
            <v>0</v>
          </cell>
          <cell r="H433">
            <v>0</v>
          </cell>
          <cell r="I433">
            <v>0</v>
          </cell>
        </row>
        <row r="462">
          <cell r="C462">
            <v>0</v>
          </cell>
          <cell r="D462">
            <v>1058572.8800000001</v>
          </cell>
          <cell r="E462">
            <v>0</v>
          </cell>
          <cell r="G462">
            <v>0</v>
          </cell>
          <cell r="H462">
            <v>1045384.83</v>
          </cell>
          <cell r="I462">
            <v>0</v>
          </cell>
        </row>
        <row r="469">
          <cell r="C469">
            <v>0</v>
          </cell>
          <cell r="D469">
            <v>340.51999999582767</v>
          </cell>
          <cell r="E469">
            <v>0</v>
          </cell>
          <cell r="G469">
            <v>0</v>
          </cell>
          <cell r="H469">
            <v>340.52</v>
          </cell>
          <cell r="I469">
            <v>0</v>
          </cell>
        </row>
        <row r="476">
          <cell r="C476">
            <v>0</v>
          </cell>
          <cell r="D476">
            <v>102.66000000201166</v>
          </cell>
          <cell r="E476">
            <v>0</v>
          </cell>
          <cell r="G476">
            <v>0</v>
          </cell>
          <cell r="H476">
            <v>0</v>
          </cell>
          <cell r="I476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  <cell r="I489">
            <v>0</v>
          </cell>
        </row>
        <row r="495">
          <cell r="C495">
            <v>0</v>
          </cell>
          <cell r="D495">
            <v>48677.38</v>
          </cell>
          <cell r="E495">
            <v>0</v>
          </cell>
          <cell r="G495">
            <v>0</v>
          </cell>
          <cell r="H495">
            <v>48677.38</v>
          </cell>
          <cell r="I495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G501">
            <v>0</v>
          </cell>
          <cell r="H501">
            <v>0</v>
          </cell>
          <cell r="I501">
            <v>0</v>
          </cell>
        </row>
        <row r="507">
          <cell r="C507">
            <v>0</v>
          </cell>
          <cell r="D507">
            <v>654605.95999999903</v>
          </cell>
          <cell r="E507">
            <v>0</v>
          </cell>
          <cell r="G507">
            <v>0</v>
          </cell>
          <cell r="H507">
            <v>652132.79</v>
          </cell>
          <cell r="I507">
            <v>0</v>
          </cell>
        </row>
        <row r="513">
          <cell r="C513">
            <v>0</v>
          </cell>
          <cell r="D513">
            <v>691000</v>
          </cell>
          <cell r="E513">
            <v>0</v>
          </cell>
          <cell r="G513">
            <v>0</v>
          </cell>
          <cell r="H513">
            <v>0</v>
          </cell>
          <cell r="I513">
            <v>0</v>
          </cell>
        </row>
      </sheetData>
      <sheetData sheetId="17">
        <row r="14">
          <cell r="C14">
            <v>34453000</v>
          </cell>
          <cell r="D14">
            <v>2304000</v>
          </cell>
          <cell r="E14">
            <v>74334000</v>
          </cell>
          <cell r="V14">
            <v>10165000</v>
          </cell>
          <cell r="W14">
            <v>13896000</v>
          </cell>
          <cell r="X14">
            <v>1025000</v>
          </cell>
          <cell r="Z14">
            <v>0</v>
          </cell>
          <cell r="AA14">
            <v>0</v>
          </cell>
          <cell r="AB14">
            <v>0</v>
          </cell>
          <cell r="AD14">
            <v>6052363</v>
          </cell>
          <cell r="AE14">
            <v>1062621</v>
          </cell>
          <cell r="AF14">
            <v>319534</v>
          </cell>
          <cell r="AH14">
            <v>0</v>
          </cell>
          <cell r="AI14">
            <v>0</v>
          </cell>
          <cell r="AJ14">
            <v>0</v>
          </cell>
        </row>
        <row r="15">
          <cell r="C15">
            <v>26466772.659999996</v>
          </cell>
          <cell r="D15">
            <v>1813112</v>
          </cell>
          <cell r="E15">
            <v>56842599.980000004</v>
          </cell>
          <cell r="V15">
            <v>7005828.71</v>
          </cell>
          <cell r="W15">
            <v>10818955.460000001</v>
          </cell>
          <cell r="X15">
            <v>877777.72</v>
          </cell>
          <cell r="Z15">
            <v>0</v>
          </cell>
          <cell r="AA15">
            <v>0</v>
          </cell>
          <cell r="AB15">
            <v>0</v>
          </cell>
          <cell r="AD15">
            <v>6052359.71</v>
          </cell>
          <cell r="AE15">
            <v>1062618.28</v>
          </cell>
          <cell r="AF15">
            <v>319534</v>
          </cell>
          <cell r="AH15">
            <v>0</v>
          </cell>
          <cell r="AI15">
            <v>0</v>
          </cell>
          <cell r="AJ15">
            <v>0</v>
          </cell>
        </row>
        <row r="50">
          <cell r="C50">
            <v>10492000</v>
          </cell>
          <cell r="D50">
            <v>3926000</v>
          </cell>
          <cell r="E50">
            <v>157460000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15500000</v>
          </cell>
          <cell r="AJ50">
            <v>300000</v>
          </cell>
        </row>
        <row r="51">
          <cell r="C51">
            <v>7713097.2300000014</v>
          </cell>
          <cell r="D51">
            <v>1663184.8600000003</v>
          </cell>
          <cell r="E51">
            <v>114491604.88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10702400.75</v>
          </cell>
          <cell r="AJ51">
            <v>300000</v>
          </cell>
        </row>
        <row r="142">
          <cell r="C142">
            <v>0</v>
          </cell>
          <cell r="D142">
            <v>0</v>
          </cell>
          <cell r="E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BB179">
            <v>171030292.90999997</v>
          </cell>
          <cell r="BC179">
            <v>50092697.509999998</v>
          </cell>
          <cell r="BD179">
            <v>1939092.6100000006</v>
          </cell>
          <cell r="BE179">
            <v>223062083.02999997</v>
          </cell>
        </row>
        <row r="222">
          <cell r="C222">
            <v>30186.5</v>
          </cell>
          <cell r="D222">
            <v>281582.84999999998</v>
          </cell>
          <cell r="E222">
            <v>245015.93</v>
          </cell>
          <cell r="AH222">
            <v>0</v>
          </cell>
          <cell r="AI222">
            <v>18959573.59</v>
          </cell>
          <cell r="AJ222">
            <v>0</v>
          </cell>
        </row>
        <row r="223">
          <cell r="C223">
            <v>29198.66</v>
          </cell>
          <cell r="D223">
            <v>281582.84999999998</v>
          </cell>
          <cell r="E223">
            <v>245015.93</v>
          </cell>
          <cell r="AH223">
            <v>0</v>
          </cell>
          <cell r="AI223">
            <v>17140973.450000003</v>
          </cell>
          <cell r="AJ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H314">
            <v>0</v>
          </cell>
          <cell r="AI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H315">
            <v>0</v>
          </cell>
          <cell r="AI315">
            <v>0</v>
          </cell>
          <cell r="AJ315">
            <v>0</v>
          </cell>
        </row>
        <row r="351">
          <cell r="BB351">
            <v>74900698.450000003</v>
          </cell>
          <cell r="BC351">
            <v>1818600.1399999969</v>
          </cell>
          <cell r="BD351">
            <v>0</v>
          </cell>
          <cell r="BE351">
            <v>76719298.590000004</v>
          </cell>
        </row>
        <row r="382">
          <cell r="C382">
            <v>2055000</v>
          </cell>
          <cell r="D382">
            <v>243811389</v>
          </cell>
          <cell r="E382">
            <v>27885000</v>
          </cell>
          <cell r="G382">
            <v>2040000</v>
          </cell>
          <cell r="H382">
            <v>158640354.88999999</v>
          </cell>
          <cell r="I382">
            <v>19178544.170000002</v>
          </cell>
        </row>
        <row r="387">
          <cell r="C387">
            <v>147651000</v>
          </cell>
          <cell r="D387">
            <v>51037000</v>
          </cell>
          <cell r="E387">
            <v>0</v>
          </cell>
          <cell r="G387">
            <v>115892799.78</v>
          </cell>
          <cell r="H387">
            <v>40800973.879999995</v>
          </cell>
          <cell r="I387">
            <v>0</v>
          </cell>
        </row>
        <row r="389">
          <cell r="C389">
            <v>2780000</v>
          </cell>
          <cell r="D389">
            <v>17995000</v>
          </cell>
          <cell r="E389">
            <v>12000000</v>
          </cell>
          <cell r="G389">
            <v>2757000</v>
          </cell>
          <cell r="H389">
            <v>17794175.34</v>
          </cell>
          <cell r="I389">
            <v>12000000</v>
          </cell>
        </row>
        <row r="394">
          <cell r="C394">
            <v>11411000</v>
          </cell>
          <cell r="D394">
            <v>6320000</v>
          </cell>
          <cell r="E394">
            <v>0</v>
          </cell>
          <cell r="G394">
            <v>10551249.15</v>
          </cell>
          <cell r="H394">
            <v>5761862.71</v>
          </cell>
          <cell r="I394">
            <v>0</v>
          </cell>
        </row>
        <row r="396">
          <cell r="C396">
            <v>540000</v>
          </cell>
          <cell r="D396">
            <v>1402000</v>
          </cell>
          <cell r="E396">
            <v>0</v>
          </cell>
          <cell r="G396">
            <v>540000</v>
          </cell>
          <cell r="H396">
            <v>1028017.81</v>
          </cell>
          <cell r="I396">
            <v>0</v>
          </cell>
        </row>
        <row r="425">
          <cell r="C425">
            <v>0</v>
          </cell>
          <cell r="D425">
            <v>556785.28</v>
          </cell>
          <cell r="E425">
            <v>0</v>
          </cell>
          <cell r="G425">
            <v>0</v>
          </cell>
          <cell r="H425">
            <v>555797.43999999994</v>
          </cell>
          <cell r="I425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H439">
            <v>0</v>
          </cell>
          <cell r="I439">
            <v>0</v>
          </cell>
        </row>
      </sheetData>
      <sheetData sheetId="18">
        <row r="14">
          <cell r="C14">
            <v>27460000</v>
          </cell>
          <cell r="D14">
            <v>2287000</v>
          </cell>
          <cell r="E14">
            <v>44118000</v>
          </cell>
          <cell r="AL14">
            <v>6796411</v>
          </cell>
          <cell r="AM14">
            <v>22360000</v>
          </cell>
          <cell r="AN14">
            <v>11584000</v>
          </cell>
          <cell r="AO14">
            <v>1766500</v>
          </cell>
          <cell r="AP14">
            <v>1498000</v>
          </cell>
          <cell r="AQ14">
            <v>1071000</v>
          </cell>
          <cell r="AR14">
            <v>1384270</v>
          </cell>
          <cell r="AT14">
            <v>1515598</v>
          </cell>
          <cell r="AU14">
            <v>0</v>
          </cell>
          <cell r="AV14">
            <v>1652000</v>
          </cell>
          <cell r="AW14">
            <v>841075</v>
          </cell>
          <cell r="AX14">
            <v>0</v>
          </cell>
          <cell r="AY14">
            <v>0</v>
          </cell>
          <cell r="AZ14">
            <v>934011</v>
          </cell>
          <cell r="BB14">
            <v>0</v>
          </cell>
          <cell r="BC14">
            <v>2330342</v>
          </cell>
          <cell r="BD14">
            <v>755862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</row>
        <row r="15">
          <cell r="C15">
            <v>24354953.07</v>
          </cell>
          <cell r="D15">
            <v>2106309.35</v>
          </cell>
          <cell r="E15">
            <v>39094728.140000001</v>
          </cell>
          <cell r="AL15">
            <v>5581294.4699999997</v>
          </cell>
          <cell r="AM15">
            <v>19367107.800000001</v>
          </cell>
          <cell r="AN15">
            <v>10648232.720000001</v>
          </cell>
          <cell r="AO15">
            <v>1609628.04</v>
          </cell>
          <cell r="AP15">
            <v>1390985.64</v>
          </cell>
          <cell r="AQ15">
            <v>973734.31</v>
          </cell>
          <cell r="AR15">
            <v>1172644.2500000002</v>
          </cell>
          <cell r="AT15">
            <v>1302948.53</v>
          </cell>
          <cell r="AU15">
            <v>0</v>
          </cell>
          <cell r="AV15">
            <v>1646250</v>
          </cell>
          <cell r="AW15">
            <v>841075</v>
          </cell>
          <cell r="AX15">
            <v>0</v>
          </cell>
          <cell r="AY15">
            <v>0</v>
          </cell>
          <cell r="AZ15">
            <v>858898.5</v>
          </cell>
          <cell r="BB15">
            <v>0</v>
          </cell>
          <cell r="BC15">
            <v>2330342</v>
          </cell>
          <cell r="BD15">
            <v>755859.96000000008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</row>
        <row r="50">
          <cell r="C50">
            <v>14345000</v>
          </cell>
          <cell r="D50">
            <v>5508000</v>
          </cell>
          <cell r="E50">
            <v>152168000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J50">
            <v>0</v>
          </cell>
          <cell r="BK50">
            <v>38200000</v>
          </cell>
          <cell r="BL50">
            <v>6200000</v>
          </cell>
          <cell r="BM50">
            <v>0</v>
          </cell>
          <cell r="BN50">
            <v>5000000</v>
          </cell>
          <cell r="BO50">
            <v>0</v>
          </cell>
          <cell r="BP50">
            <v>200000</v>
          </cell>
        </row>
        <row r="51">
          <cell r="C51">
            <v>12140630.660000002</v>
          </cell>
          <cell r="D51">
            <v>4322253.9300000006</v>
          </cell>
          <cell r="E51">
            <v>107482105.55000001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J51">
            <v>0</v>
          </cell>
          <cell r="BK51">
            <v>37982121.309999995</v>
          </cell>
          <cell r="BL51">
            <v>6196151.1200000001</v>
          </cell>
          <cell r="BM51">
            <v>0</v>
          </cell>
          <cell r="BN51">
            <v>1527621.8</v>
          </cell>
          <cell r="BO51">
            <v>0</v>
          </cell>
          <cell r="BP51">
            <v>199992</v>
          </cell>
        </row>
        <row r="142">
          <cell r="C142">
            <v>0</v>
          </cell>
          <cell r="D142">
            <v>0</v>
          </cell>
          <cell r="E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79">
          <cell r="CT179">
            <v>162677790.42000005</v>
          </cell>
          <cell r="CU179">
            <v>42574949.460000001</v>
          </cell>
          <cell r="CV179">
            <v>13237113.339999996</v>
          </cell>
          <cell r="CW179">
            <v>1843990.1400000025</v>
          </cell>
          <cell r="CX179">
            <v>12022567.409999996</v>
          </cell>
          <cell r="CY179">
            <v>2244694.4599999976</v>
          </cell>
          <cell r="CZ179">
            <v>2458290.9700000016</v>
          </cell>
          <cell r="DA179">
            <v>237059396.20000008</v>
          </cell>
        </row>
        <row r="223">
          <cell r="C223">
            <v>344643.13</v>
          </cell>
          <cell r="D223">
            <v>218703.87999999989</v>
          </cell>
          <cell r="E223">
            <v>1419811.9200000018</v>
          </cell>
          <cell r="BJ223">
            <v>0</v>
          </cell>
          <cell r="BK223">
            <v>41221222.609999999</v>
          </cell>
          <cell r="BL223">
            <v>1765272.89</v>
          </cell>
          <cell r="BM223">
            <v>198.49</v>
          </cell>
          <cell r="BN223">
            <v>5838375.4299999997</v>
          </cell>
          <cell r="BO223">
            <v>0</v>
          </cell>
          <cell r="BP223">
            <v>300396</v>
          </cell>
        </row>
        <row r="224">
          <cell r="C224">
            <v>18573.87</v>
          </cell>
          <cell r="D224">
            <v>218703.88</v>
          </cell>
          <cell r="E224">
            <v>1157968.03</v>
          </cell>
          <cell r="BJ224">
            <v>0</v>
          </cell>
          <cell r="BK224">
            <v>41161785.660000011</v>
          </cell>
          <cell r="BL224">
            <v>1756394</v>
          </cell>
          <cell r="BM224">
            <v>0</v>
          </cell>
          <cell r="BN224">
            <v>5838156.1399999997</v>
          </cell>
          <cell r="BO224">
            <v>0</v>
          </cell>
          <cell r="BP224">
            <v>300396</v>
          </cell>
        </row>
        <row r="315">
          <cell r="C315">
            <v>0</v>
          </cell>
          <cell r="D315">
            <v>0</v>
          </cell>
          <cell r="E315">
            <v>0</v>
          </cell>
          <cell r="BJ315">
            <v>0</v>
          </cell>
          <cell r="BK315">
            <v>1150000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50000</v>
          </cell>
        </row>
        <row r="316">
          <cell r="C316">
            <v>0</v>
          </cell>
          <cell r="D316">
            <v>0</v>
          </cell>
          <cell r="E316">
            <v>0</v>
          </cell>
          <cell r="BJ316">
            <v>0</v>
          </cell>
          <cell r="BK316">
            <v>72000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</row>
        <row r="352">
          <cell r="CT352">
            <v>10138847.449999988</v>
          </cell>
          <cell r="CU352">
            <v>11792177.210000005</v>
          </cell>
          <cell r="CV352">
            <v>42038.609999997541</v>
          </cell>
          <cell r="CW352">
            <v>704.4000000000035</v>
          </cell>
          <cell r="CX352">
            <v>568.01000000024214</v>
          </cell>
          <cell r="CY352">
            <v>1008.73</v>
          </cell>
          <cell r="CZ352">
            <v>50115.479999999996</v>
          </cell>
          <cell r="DA352">
            <v>22025459.889999989</v>
          </cell>
        </row>
        <row r="385">
          <cell r="C385">
            <v>1862500</v>
          </cell>
          <cell r="D385">
            <v>216991143.59999999</v>
          </cell>
          <cell r="E385">
            <v>64842000</v>
          </cell>
          <cell r="G385">
            <v>1862499.14</v>
          </cell>
          <cell r="H385">
            <v>133799923.88</v>
          </cell>
          <cell r="I385">
            <v>43168215.460000001</v>
          </cell>
        </row>
        <row r="390">
          <cell r="C390">
            <v>245011674</v>
          </cell>
          <cell r="D390">
            <v>165943326</v>
          </cell>
          <cell r="E390">
            <v>0</v>
          </cell>
          <cell r="G390">
            <v>224542877.30000001</v>
          </cell>
          <cell r="H390">
            <v>154296478.00999999</v>
          </cell>
          <cell r="I390">
            <v>0</v>
          </cell>
        </row>
        <row r="392">
          <cell r="C392">
            <v>4650000</v>
          </cell>
          <cell r="D392">
            <v>57467420</v>
          </cell>
          <cell r="E392">
            <v>10032017</v>
          </cell>
          <cell r="G392">
            <v>4650000</v>
          </cell>
          <cell r="H392">
            <v>51171530.170000009</v>
          </cell>
          <cell r="I392">
            <v>9079372.9499999993</v>
          </cell>
        </row>
        <row r="397">
          <cell r="C397">
            <v>128425366</v>
          </cell>
          <cell r="D397">
            <v>38557634</v>
          </cell>
          <cell r="E397">
            <v>0</v>
          </cell>
          <cell r="G397">
            <v>123925345.52</v>
          </cell>
          <cell r="H397">
            <v>33446304.32</v>
          </cell>
          <cell r="I397">
            <v>0</v>
          </cell>
        </row>
        <row r="399">
          <cell r="C399">
            <v>2440000</v>
          </cell>
          <cell r="D399">
            <v>17540780</v>
          </cell>
          <cell r="E399">
            <v>0</v>
          </cell>
          <cell r="G399">
            <v>2405000</v>
          </cell>
          <cell r="H399">
            <v>14895385.02</v>
          </cell>
          <cell r="I399">
            <v>0</v>
          </cell>
        </row>
        <row r="404">
          <cell r="C404">
            <v>18773970</v>
          </cell>
          <cell r="D404">
            <v>5930030</v>
          </cell>
          <cell r="E404">
            <v>0</v>
          </cell>
          <cell r="G404">
            <v>18054635.969999999</v>
          </cell>
          <cell r="H404">
            <v>5176228.2200000007</v>
          </cell>
          <cell r="I404">
            <v>0</v>
          </cell>
        </row>
        <row r="406">
          <cell r="C406">
            <v>370000</v>
          </cell>
          <cell r="D406">
            <v>2362000</v>
          </cell>
          <cell r="E406">
            <v>0</v>
          </cell>
          <cell r="G406">
            <v>370000</v>
          </cell>
          <cell r="H406">
            <v>2148017.63</v>
          </cell>
          <cell r="I406">
            <v>0</v>
          </cell>
        </row>
        <row r="410">
          <cell r="C410">
            <v>16878000</v>
          </cell>
          <cell r="D410">
            <v>15507000</v>
          </cell>
          <cell r="E410">
            <v>0</v>
          </cell>
          <cell r="G410">
            <v>15623903.439999999</v>
          </cell>
          <cell r="H410">
            <v>10110953.370000001</v>
          </cell>
          <cell r="I410">
            <v>0</v>
          </cell>
        </row>
        <row r="412">
          <cell r="C412">
            <v>435000</v>
          </cell>
          <cell r="D412">
            <v>8813000</v>
          </cell>
          <cell r="E412">
            <v>0</v>
          </cell>
          <cell r="G412">
            <v>435000</v>
          </cell>
          <cell r="H412">
            <v>7019968.3399999999</v>
          </cell>
          <cell r="I412">
            <v>0</v>
          </cell>
        </row>
        <row r="416">
          <cell r="C416">
            <v>11698000</v>
          </cell>
          <cell r="D416">
            <v>4629000</v>
          </cell>
          <cell r="E416">
            <v>0</v>
          </cell>
          <cell r="G416">
            <v>10864929.470000003</v>
          </cell>
          <cell r="H416">
            <v>3535313.0999999996</v>
          </cell>
          <cell r="I416">
            <v>0</v>
          </cell>
        </row>
        <row r="418">
          <cell r="C418">
            <v>389500</v>
          </cell>
          <cell r="D418">
            <v>1310000</v>
          </cell>
          <cell r="E418">
            <v>0</v>
          </cell>
          <cell r="G418">
            <v>389500</v>
          </cell>
          <cell r="H418">
            <v>1089328.6600000001</v>
          </cell>
          <cell r="I418">
            <v>0</v>
          </cell>
        </row>
        <row r="422">
          <cell r="C422">
            <v>14546146</v>
          </cell>
          <cell r="D422">
            <v>7349854</v>
          </cell>
          <cell r="E422">
            <v>0</v>
          </cell>
          <cell r="G422">
            <v>13395467.75</v>
          </cell>
          <cell r="H422">
            <v>6864631.5800000001</v>
          </cell>
          <cell r="I422">
            <v>0</v>
          </cell>
        </row>
        <row r="424">
          <cell r="C424">
            <v>355000</v>
          </cell>
          <cell r="D424">
            <v>2846000</v>
          </cell>
          <cell r="E424">
            <v>3000000</v>
          </cell>
          <cell r="G424">
            <v>350000</v>
          </cell>
          <cell r="H424">
            <v>2359700.37</v>
          </cell>
          <cell r="I424">
            <v>2955655.58</v>
          </cell>
        </row>
        <row r="453">
          <cell r="C453">
            <v>0</v>
          </cell>
          <cell r="D453">
            <v>1983158.9300000016</v>
          </cell>
          <cell r="E453">
            <v>0</v>
          </cell>
          <cell r="G453">
            <v>0</v>
          </cell>
          <cell r="H453">
            <v>1395245.7799999998</v>
          </cell>
          <cell r="I453">
            <v>0</v>
          </cell>
        </row>
        <row r="460">
          <cell r="C460">
            <v>0</v>
          </cell>
          <cell r="D460">
            <v>2974859.6700000167</v>
          </cell>
          <cell r="E460">
            <v>0</v>
          </cell>
          <cell r="G460">
            <v>0</v>
          </cell>
          <cell r="H460">
            <v>2974859.67</v>
          </cell>
          <cell r="I460">
            <v>0</v>
          </cell>
        </row>
        <row r="467">
          <cell r="C467">
            <v>0</v>
          </cell>
          <cell r="D467">
            <v>29385.189999997616</v>
          </cell>
          <cell r="E467">
            <v>0</v>
          </cell>
          <cell r="G467">
            <v>0</v>
          </cell>
          <cell r="H467">
            <v>0</v>
          </cell>
          <cell r="I467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  <cell r="I474">
            <v>0</v>
          </cell>
        </row>
        <row r="480">
          <cell r="C480">
            <v>0</v>
          </cell>
          <cell r="D480">
            <v>723709.8200000003</v>
          </cell>
          <cell r="E480">
            <v>0</v>
          </cell>
          <cell r="G480">
            <v>0</v>
          </cell>
          <cell r="H480">
            <v>723562.88000000012</v>
          </cell>
          <cell r="I480">
            <v>0</v>
          </cell>
        </row>
        <row r="486">
          <cell r="C486">
            <v>0</v>
          </cell>
          <cell r="D486">
            <v>118.73</v>
          </cell>
          <cell r="E486">
            <v>0</v>
          </cell>
          <cell r="G486">
            <v>0</v>
          </cell>
          <cell r="H486">
            <v>0</v>
          </cell>
          <cell r="I486">
            <v>0</v>
          </cell>
        </row>
        <row r="492">
          <cell r="C492">
            <v>0</v>
          </cell>
          <cell r="D492">
            <v>2059.36</v>
          </cell>
          <cell r="E492">
            <v>0</v>
          </cell>
          <cell r="G492">
            <v>0</v>
          </cell>
          <cell r="H492">
            <v>1943.88</v>
          </cell>
          <cell r="I492">
            <v>0</v>
          </cell>
        </row>
      </sheetData>
      <sheetData sheetId="19">
        <row r="14">
          <cell r="C14">
            <v>26290000</v>
          </cell>
          <cell r="D14">
            <v>0</v>
          </cell>
          <cell r="E14">
            <v>55862000</v>
          </cell>
          <cell r="AD14">
            <v>7721000</v>
          </cell>
          <cell r="AE14">
            <v>16056000</v>
          </cell>
          <cell r="AF14">
            <v>12342000</v>
          </cell>
          <cell r="AG14">
            <v>1401000</v>
          </cell>
          <cell r="AH14">
            <v>758000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2595877</v>
          </cell>
          <cell r="AQ14">
            <v>9037906</v>
          </cell>
          <cell r="AR14">
            <v>2288085</v>
          </cell>
          <cell r="AS14">
            <v>470302</v>
          </cell>
          <cell r="AT14">
            <v>34636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23098877.680000003</v>
          </cell>
          <cell r="D15">
            <v>0</v>
          </cell>
          <cell r="E15">
            <v>50972225.480000004</v>
          </cell>
          <cell r="AD15">
            <v>6170695.7199999997</v>
          </cell>
          <cell r="AE15">
            <v>14941816.560000001</v>
          </cell>
          <cell r="AF15">
            <v>11305465.539999999</v>
          </cell>
          <cell r="AG15">
            <v>1248022.96</v>
          </cell>
          <cell r="AH15">
            <v>657724.46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2595874.5100000002</v>
          </cell>
          <cell r="AQ15">
            <v>9037899.9299999997</v>
          </cell>
          <cell r="AR15">
            <v>2288085</v>
          </cell>
          <cell r="AS15">
            <v>470301.19</v>
          </cell>
          <cell r="AT15">
            <v>34635.4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50">
          <cell r="C50">
            <v>17959000</v>
          </cell>
          <cell r="D50">
            <v>5323000</v>
          </cell>
          <cell r="E50">
            <v>180215000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6475000</v>
          </cell>
          <cell r="AX50">
            <v>15944000</v>
          </cell>
          <cell r="AY50">
            <v>150000</v>
          </cell>
          <cell r="AZ50">
            <v>0</v>
          </cell>
        </row>
        <row r="51">
          <cell r="C51">
            <v>10027500.510000002</v>
          </cell>
          <cell r="D51">
            <v>2668414.62</v>
          </cell>
          <cell r="E51">
            <v>102168852.95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3395771</v>
          </cell>
          <cell r="AX51">
            <v>15938305.67</v>
          </cell>
          <cell r="AY51">
            <v>150000</v>
          </cell>
          <cell r="AZ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80">
          <cell r="BX180">
            <v>159446917.78999999</v>
          </cell>
          <cell r="BY180">
            <v>40685730.470000021</v>
          </cell>
          <cell r="BZ180">
            <v>128277347.19000001</v>
          </cell>
          <cell r="CA180">
            <v>7500001.2600000007</v>
          </cell>
          <cell r="CB180">
            <v>1863500.0100000016</v>
          </cell>
          <cell r="CC180">
            <v>337773496.72000003</v>
          </cell>
        </row>
        <row r="224">
          <cell r="C224">
            <v>1026280.0999999959</v>
          </cell>
          <cell r="D224">
            <v>1258128.27</v>
          </cell>
          <cell r="E224">
            <v>14674452.68</v>
          </cell>
          <cell r="AV224">
            <v>0</v>
          </cell>
          <cell r="AW224">
            <v>3530000</v>
          </cell>
          <cell r="AX224">
            <v>6346936.1699999999</v>
          </cell>
          <cell r="AY224">
            <v>0</v>
          </cell>
          <cell r="AZ224">
            <v>0</v>
          </cell>
        </row>
        <row r="225">
          <cell r="C225">
            <v>866023.9</v>
          </cell>
          <cell r="D225">
            <v>18958.669999999998</v>
          </cell>
          <cell r="E225">
            <v>1514988.2899999998</v>
          </cell>
          <cell r="AV225">
            <v>0</v>
          </cell>
          <cell r="AW225">
            <v>2412043</v>
          </cell>
          <cell r="AX225">
            <v>6342927.9399999995</v>
          </cell>
          <cell r="AY225">
            <v>0</v>
          </cell>
          <cell r="AZ22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53">
          <cell r="BX353">
            <v>36440358.330000006</v>
          </cell>
          <cell r="BY353">
            <v>9969087.7399999984</v>
          </cell>
          <cell r="BZ353">
            <v>69984400.960000008</v>
          </cell>
          <cell r="CA353">
            <v>1868.44</v>
          </cell>
          <cell r="CB353">
            <v>8692</v>
          </cell>
          <cell r="CC353">
            <v>116404407.47000001</v>
          </cell>
        </row>
        <row r="386">
          <cell r="C386">
            <v>1956500</v>
          </cell>
          <cell r="D386">
            <v>179750925</v>
          </cell>
          <cell r="E386">
            <v>81800000</v>
          </cell>
          <cell r="G386">
            <v>1956500</v>
          </cell>
          <cell r="H386">
            <v>118567442.73999999</v>
          </cell>
          <cell r="I386">
            <v>81800000</v>
          </cell>
        </row>
        <row r="391">
          <cell r="C391">
            <v>188491681</v>
          </cell>
          <cell r="D391">
            <v>47828319</v>
          </cell>
          <cell r="E391">
            <v>0</v>
          </cell>
          <cell r="G391">
            <v>175442649.88999999</v>
          </cell>
          <cell r="H391">
            <v>41704696.619999997</v>
          </cell>
          <cell r="I391">
            <v>0</v>
          </cell>
        </row>
        <row r="393">
          <cell r="C393">
            <v>3650000</v>
          </cell>
          <cell r="D393">
            <v>39525975.060000002</v>
          </cell>
          <cell r="E393">
            <v>97780932</v>
          </cell>
          <cell r="G393">
            <v>3650000</v>
          </cell>
          <cell r="H393">
            <v>34784359.710000001</v>
          </cell>
          <cell r="I393">
            <v>85202888.879999995</v>
          </cell>
        </row>
        <row r="398">
          <cell r="C398">
            <v>135645000</v>
          </cell>
          <cell r="D398">
            <v>48725000</v>
          </cell>
          <cell r="E398">
            <v>0</v>
          </cell>
          <cell r="G398">
            <v>125042101.80000001</v>
          </cell>
          <cell r="H398">
            <v>34922774.079999998</v>
          </cell>
          <cell r="I398">
            <v>0</v>
          </cell>
        </row>
        <row r="400">
          <cell r="C400">
            <v>3070000</v>
          </cell>
          <cell r="D400">
            <v>30082000</v>
          </cell>
          <cell r="E400">
            <v>120000000</v>
          </cell>
          <cell r="G400">
            <v>2907500</v>
          </cell>
          <cell r="H400">
            <v>23627885.059999999</v>
          </cell>
          <cell r="I400">
            <v>23786620.66</v>
          </cell>
        </row>
        <row r="405">
          <cell r="C405">
            <v>15606000</v>
          </cell>
          <cell r="D405">
            <v>13105000</v>
          </cell>
          <cell r="E405">
            <v>0</v>
          </cell>
          <cell r="G405">
            <v>14462098.92</v>
          </cell>
          <cell r="H405">
            <v>11411954.800000001</v>
          </cell>
          <cell r="I405">
            <v>0</v>
          </cell>
        </row>
        <row r="407">
          <cell r="C407">
            <v>497000</v>
          </cell>
          <cell r="D407">
            <v>6896000</v>
          </cell>
          <cell r="E407">
            <v>4250000</v>
          </cell>
          <cell r="G407">
            <v>497000</v>
          </cell>
          <cell r="H407">
            <v>2645719.75</v>
          </cell>
          <cell r="I407">
            <v>3990203.12</v>
          </cell>
        </row>
        <row r="411">
          <cell r="C411">
            <v>8313000</v>
          </cell>
          <cell r="D411">
            <v>12025000</v>
          </cell>
          <cell r="E411">
            <v>0</v>
          </cell>
          <cell r="G411">
            <v>7533659.3600000003</v>
          </cell>
          <cell r="H411">
            <v>11325971.879999999</v>
          </cell>
          <cell r="I411">
            <v>0</v>
          </cell>
        </row>
        <row r="413">
          <cell r="C413">
            <v>302500</v>
          </cell>
          <cell r="D413">
            <v>1268000</v>
          </cell>
          <cell r="E413">
            <v>0</v>
          </cell>
          <cell r="G413">
            <v>302500</v>
          </cell>
          <cell r="H413">
            <v>983144.89</v>
          </cell>
          <cell r="I413">
            <v>0</v>
          </cell>
        </row>
        <row r="442">
          <cell r="C442">
            <v>0</v>
          </cell>
          <cell r="D442">
            <v>16958861.049999997</v>
          </cell>
          <cell r="E442">
            <v>0</v>
          </cell>
          <cell r="H442">
            <v>2399970.8599999994</v>
          </cell>
          <cell r="I442">
            <v>0</v>
          </cell>
        </row>
        <row r="449">
          <cell r="C449">
            <v>0</v>
          </cell>
          <cell r="D449">
            <v>2470437.36</v>
          </cell>
          <cell r="E449">
            <v>0</v>
          </cell>
          <cell r="H449">
            <v>1483279.99</v>
          </cell>
          <cell r="I449">
            <v>0</v>
          </cell>
        </row>
        <row r="456">
          <cell r="C456">
            <v>0</v>
          </cell>
          <cell r="D456">
            <v>483713.05</v>
          </cell>
          <cell r="E456">
            <v>100000000</v>
          </cell>
          <cell r="G456">
            <v>0</v>
          </cell>
          <cell r="H456">
            <v>416164.96</v>
          </cell>
          <cell r="I456">
            <v>31356400</v>
          </cell>
        </row>
        <row r="463">
          <cell r="C463">
            <v>0</v>
          </cell>
          <cell r="D463">
            <v>84.92</v>
          </cell>
          <cell r="E463">
            <v>0</v>
          </cell>
          <cell r="H463">
            <v>0</v>
          </cell>
          <cell r="I463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H469">
            <v>0</v>
          </cell>
          <cell r="I469">
            <v>0</v>
          </cell>
        </row>
      </sheetData>
      <sheetData sheetId="20">
        <row r="14">
          <cell r="C14">
            <v>30665000</v>
          </cell>
          <cell r="D14">
            <v>2543215</v>
          </cell>
          <cell r="E14">
            <v>59611610</v>
          </cell>
          <cell r="Z14">
            <v>8446000</v>
          </cell>
          <cell r="AA14">
            <v>17986437</v>
          </cell>
          <cell r="AB14">
            <v>10539000</v>
          </cell>
          <cell r="AC14">
            <v>2001000</v>
          </cell>
          <cell r="AE14">
            <v>0</v>
          </cell>
          <cell r="AF14">
            <v>2835304</v>
          </cell>
          <cell r="AG14">
            <v>0</v>
          </cell>
          <cell r="AH14">
            <v>0</v>
          </cell>
          <cell r="AJ14">
            <v>3555998</v>
          </cell>
          <cell r="AK14">
            <v>2895393</v>
          </cell>
          <cell r="AL14">
            <v>2847041</v>
          </cell>
          <cell r="AM14">
            <v>478011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15">
          <cell r="C15">
            <v>22368925.929999996</v>
          </cell>
          <cell r="D15">
            <v>2533355.9800000004</v>
          </cell>
          <cell r="E15">
            <v>55479375.519999996</v>
          </cell>
          <cell r="Z15">
            <v>6584925.0800000001</v>
          </cell>
          <cell r="AA15">
            <v>16354851.32</v>
          </cell>
          <cell r="AB15">
            <v>9330601.25</v>
          </cell>
          <cell r="AC15">
            <v>1771141.9000000001</v>
          </cell>
          <cell r="AE15">
            <v>0</v>
          </cell>
          <cell r="AF15">
            <v>2427267.3899999997</v>
          </cell>
          <cell r="AG15">
            <v>0</v>
          </cell>
          <cell r="AH15">
            <v>0</v>
          </cell>
          <cell r="AJ15">
            <v>3555995.71</v>
          </cell>
          <cell r="AK15">
            <v>2895393</v>
          </cell>
          <cell r="AL15">
            <v>2847041</v>
          </cell>
          <cell r="AM15">
            <v>478010.68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50">
          <cell r="C50">
            <v>13969000</v>
          </cell>
          <cell r="D50">
            <v>6647785</v>
          </cell>
          <cell r="E50">
            <v>183289390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6950000</v>
          </cell>
          <cell r="AQ50">
            <v>14006835</v>
          </cell>
          <cell r="AR50">
            <v>1400000</v>
          </cell>
        </row>
        <row r="51">
          <cell r="C51">
            <v>13968516.989999998</v>
          </cell>
          <cell r="D51">
            <v>4914770.03</v>
          </cell>
          <cell r="E51">
            <v>124896513.45000002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6950000</v>
          </cell>
          <cell r="AQ51">
            <v>10855465.76</v>
          </cell>
          <cell r="AR51">
            <v>1079135.08</v>
          </cell>
        </row>
        <row r="143">
          <cell r="C143">
            <v>0</v>
          </cell>
          <cell r="D143">
            <v>0</v>
          </cell>
          <cell r="E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P143">
            <v>0</v>
          </cell>
          <cell r="AQ143">
            <v>1000000</v>
          </cell>
          <cell r="AR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</row>
        <row r="180">
          <cell r="BM180">
            <v>93736453.969999999</v>
          </cell>
          <cell r="BN180">
            <v>45464088.920000046</v>
          </cell>
          <cell r="BO180">
            <v>37287292.979999982</v>
          </cell>
          <cell r="BP180">
            <v>7664325.3899999997</v>
          </cell>
          <cell r="BQ180">
            <v>184152161.26000002</v>
          </cell>
        </row>
        <row r="223">
          <cell r="C223">
            <v>0</v>
          </cell>
          <cell r="D223">
            <v>0</v>
          </cell>
          <cell r="E223">
            <v>0</v>
          </cell>
          <cell r="U223">
            <v>0</v>
          </cell>
          <cell r="AO223">
            <v>0</v>
          </cell>
          <cell r="AP223">
            <v>18943635.129999999</v>
          </cell>
          <cell r="AQ223">
            <v>7566948.8499999996</v>
          </cell>
          <cell r="AR223">
            <v>1548534.43</v>
          </cell>
        </row>
        <row r="224">
          <cell r="C224">
            <v>0</v>
          </cell>
          <cell r="D224">
            <v>0</v>
          </cell>
          <cell r="E224">
            <v>0</v>
          </cell>
          <cell r="AO224">
            <v>0</v>
          </cell>
          <cell r="AP224">
            <v>18943635.129999999</v>
          </cell>
          <cell r="AQ224">
            <v>6852284.7999999998</v>
          </cell>
          <cell r="AR224">
            <v>1548534.4300000002</v>
          </cell>
        </row>
        <row r="316">
          <cell r="C316">
            <v>0</v>
          </cell>
          <cell r="D316">
            <v>0</v>
          </cell>
          <cell r="E316">
            <v>0</v>
          </cell>
          <cell r="U316">
            <v>10022000</v>
          </cell>
          <cell r="AO316">
            <v>0</v>
          </cell>
          <cell r="AP316">
            <v>10000000</v>
          </cell>
          <cell r="AQ316">
            <v>2000000</v>
          </cell>
          <cell r="AR316">
            <v>0</v>
          </cell>
        </row>
        <row r="317">
          <cell r="C317">
            <v>0</v>
          </cell>
          <cell r="AO317">
            <v>0</v>
          </cell>
          <cell r="AP317">
            <v>10000000</v>
          </cell>
          <cell r="AQ317">
            <v>1920000</v>
          </cell>
          <cell r="AR317">
            <v>0</v>
          </cell>
        </row>
        <row r="353">
          <cell r="BM353">
            <v>10756253.309999991</v>
          </cell>
          <cell r="BN353">
            <v>2020000.0000000019</v>
          </cell>
          <cell r="BO353">
            <v>1525162.6399999987</v>
          </cell>
          <cell r="BP353">
            <v>0</v>
          </cell>
          <cell r="BQ353">
            <v>14301415.949999992</v>
          </cell>
        </row>
        <row r="388">
          <cell r="C388">
            <v>1810000</v>
          </cell>
          <cell r="D388">
            <v>220641643</v>
          </cell>
          <cell r="E388">
            <v>68107051</v>
          </cell>
          <cell r="G388">
            <v>1795000</v>
          </cell>
          <cell r="H388">
            <v>206363901.97999999</v>
          </cell>
          <cell r="I388">
            <v>63088957.359999999</v>
          </cell>
        </row>
        <row r="393">
          <cell r="C393">
            <v>193074000</v>
          </cell>
          <cell r="D393">
            <v>82464000</v>
          </cell>
          <cell r="E393">
            <v>0</v>
          </cell>
          <cell r="G393">
            <v>180282388.15999997</v>
          </cell>
          <cell r="H393">
            <v>70939207.879999995</v>
          </cell>
          <cell r="I393">
            <v>0</v>
          </cell>
        </row>
        <row r="395">
          <cell r="C395">
            <v>3825000</v>
          </cell>
          <cell r="D395">
            <v>46083477</v>
          </cell>
          <cell r="E395">
            <v>200000000</v>
          </cell>
          <cell r="G395">
            <v>3750000</v>
          </cell>
          <cell r="H395">
            <v>35641249.130000003</v>
          </cell>
          <cell r="I395">
            <v>191409165.19999999</v>
          </cell>
        </row>
        <row r="400">
          <cell r="C400">
            <v>113914000</v>
          </cell>
          <cell r="D400">
            <v>46432000</v>
          </cell>
          <cell r="E400">
            <v>0</v>
          </cell>
          <cell r="G400">
            <v>105558631.65000002</v>
          </cell>
          <cell r="H400">
            <v>29751912.93</v>
          </cell>
          <cell r="I400">
            <v>0</v>
          </cell>
        </row>
        <row r="402">
          <cell r="C402">
            <v>2660000</v>
          </cell>
          <cell r="D402">
            <v>25980978</v>
          </cell>
          <cell r="E402">
            <v>20000000</v>
          </cell>
          <cell r="G402">
            <v>2660000</v>
          </cell>
          <cell r="H402">
            <v>19093113.43</v>
          </cell>
          <cell r="I402">
            <v>19995795</v>
          </cell>
        </row>
        <row r="407">
          <cell r="C407">
            <v>23085000</v>
          </cell>
          <cell r="D407">
            <v>12547000</v>
          </cell>
          <cell r="E407">
            <v>0</v>
          </cell>
          <cell r="G407">
            <v>20948260.780000001</v>
          </cell>
          <cell r="H407">
            <v>10712171.359999999</v>
          </cell>
          <cell r="I407">
            <v>0</v>
          </cell>
        </row>
        <row r="409">
          <cell r="C409">
            <v>827000</v>
          </cell>
          <cell r="D409">
            <v>6258300</v>
          </cell>
          <cell r="E409">
            <v>5000000</v>
          </cell>
          <cell r="G409">
            <v>827000</v>
          </cell>
          <cell r="H409">
            <v>3225480.5900000003</v>
          </cell>
          <cell r="I409">
            <v>4890785.22</v>
          </cell>
        </row>
        <row r="445">
          <cell r="C445">
            <v>0</v>
          </cell>
          <cell r="D445">
            <v>0</v>
          </cell>
          <cell r="E445">
            <v>0</v>
          </cell>
          <cell r="H445">
            <v>0</v>
          </cell>
          <cell r="I445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H452">
            <v>0</v>
          </cell>
          <cell r="I452">
            <v>0</v>
          </cell>
        </row>
        <row r="459">
          <cell r="C459">
            <v>0</v>
          </cell>
          <cell r="D459">
            <v>250000</v>
          </cell>
          <cell r="E459">
            <v>0</v>
          </cell>
          <cell r="H459">
            <v>250000</v>
          </cell>
          <cell r="I459">
            <v>0</v>
          </cell>
        </row>
      </sheetData>
      <sheetData sheetId="21">
        <row r="14">
          <cell r="C14">
            <v>17962000</v>
          </cell>
          <cell r="D14">
            <v>776000</v>
          </cell>
          <cell r="E14">
            <v>38311000</v>
          </cell>
          <cell r="V14">
            <v>4915000</v>
          </cell>
          <cell r="W14">
            <v>3998694</v>
          </cell>
          <cell r="X14">
            <v>2272000</v>
          </cell>
          <cell r="Z14">
            <v>0</v>
          </cell>
          <cell r="AA14">
            <v>1895002</v>
          </cell>
          <cell r="AB14">
            <v>0</v>
          </cell>
          <cell r="AD14">
            <v>928979</v>
          </cell>
          <cell r="AE14">
            <v>337308</v>
          </cell>
          <cell r="AF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C15">
            <v>16482438.110000001</v>
          </cell>
          <cell r="D15">
            <v>743846.2</v>
          </cell>
          <cell r="E15">
            <v>34521291.310000002</v>
          </cell>
          <cell r="V15">
            <v>4225045.1900000004</v>
          </cell>
          <cell r="W15">
            <v>3486033.67</v>
          </cell>
          <cell r="X15">
            <v>1811865.24</v>
          </cell>
          <cell r="Z15">
            <v>0</v>
          </cell>
          <cell r="AA15">
            <v>1458148.85</v>
          </cell>
          <cell r="AB15">
            <v>0</v>
          </cell>
          <cell r="AD15">
            <v>928979</v>
          </cell>
          <cell r="AE15">
            <v>337308</v>
          </cell>
          <cell r="AF15">
            <v>0</v>
          </cell>
          <cell r="AH15">
            <v>0</v>
          </cell>
          <cell r="AI15">
            <v>0</v>
          </cell>
          <cell r="AJ15">
            <v>0</v>
          </cell>
        </row>
        <row r="50">
          <cell r="C50">
            <v>10339000</v>
          </cell>
          <cell r="D50">
            <v>5176000</v>
          </cell>
          <cell r="E50">
            <v>146336000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10263933.640000001</v>
          </cell>
          <cell r="D51">
            <v>3111765.73</v>
          </cell>
          <cell r="E51">
            <v>119582493.75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V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</row>
        <row r="180">
          <cell r="BB180">
            <v>68659411.189999998</v>
          </cell>
          <cell r="BC180">
            <v>6556616.9199999962</v>
          </cell>
          <cell r="BD180">
            <v>9874781.6199999992</v>
          </cell>
          <cell r="BE180">
            <v>85090809.730000004</v>
          </cell>
        </row>
        <row r="223">
          <cell r="C223">
            <v>150158.23000000001</v>
          </cell>
          <cell r="D223">
            <v>32073</v>
          </cell>
          <cell r="E223">
            <v>430188.4</v>
          </cell>
          <cell r="AH223">
            <v>0</v>
          </cell>
          <cell r="AI223">
            <v>0</v>
          </cell>
          <cell r="AJ223">
            <v>0</v>
          </cell>
        </row>
        <row r="224">
          <cell r="C224">
            <v>150158.23000000001</v>
          </cell>
          <cell r="D224">
            <v>32073</v>
          </cell>
          <cell r="E224">
            <v>430188.4</v>
          </cell>
          <cell r="AH224">
            <v>0</v>
          </cell>
          <cell r="AI224">
            <v>0</v>
          </cell>
          <cell r="AJ22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H316">
            <v>0</v>
          </cell>
          <cell r="AI316">
            <v>0</v>
          </cell>
          <cell r="AJ316">
            <v>0</v>
          </cell>
        </row>
        <row r="352">
          <cell r="BB352">
            <v>14515664.569999997</v>
          </cell>
          <cell r="BC352">
            <v>552296.5</v>
          </cell>
          <cell r="BD352">
            <v>828202.61</v>
          </cell>
          <cell r="BE352">
            <v>15896163.679999996</v>
          </cell>
        </row>
        <row r="387">
          <cell r="C387">
            <v>1110000</v>
          </cell>
          <cell r="D387">
            <v>124048717</v>
          </cell>
          <cell r="E387">
            <v>22000000</v>
          </cell>
          <cell r="G387">
            <v>1080000</v>
          </cell>
          <cell r="H387">
            <v>96803491.879999995</v>
          </cell>
          <cell r="I387">
            <v>15500000</v>
          </cell>
        </row>
        <row r="392">
          <cell r="C392">
            <v>44111000</v>
          </cell>
          <cell r="D392">
            <v>16327000</v>
          </cell>
          <cell r="E392">
            <v>0</v>
          </cell>
          <cell r="G392">
            <v>40870108.800000004</v>
          </cell>
          <cell r="H392">
            <v>15238096.57</v>
          </cell>
          <cell r="I392">
            <v>0</v>
          </cell>
        </row>
        <row r="394">
          <cell r="C394">
            <v>2390000</v>
          </cell>
          <cell r="D394">
            <v>4898000</v>
          </cell>
          <cell r="E394">
            <v>0</v>
          </cell>
          <cell r="G394">
            <v>2390000</v>
          </cell>
          <cell r="H394">
            <v>3620691.19</v>
          </cell>
          <cell r="I394">
            <v>0</v>
          </cell>
        </row>
        <row r="399">
          <cell r="C399">
            <v>25299000</v>
          </cell>
          <cell r="D399">
            <v>20568000</v>
          </cell>
          <cell r="E399">
            <v>0</v>
          </cell>
          <cell r="G399">
            <v>22592665.43</v>
          </cell>
          <cell r="H399">
            <v>14946383.320000002</v>
          </cell>
          <cell r="I399">
            <v>0</v>
          </cell>
        </row>
        <row r="401">
          <cell r="C401">
            <v>550000</v>
          </cell>
          <cell r="D401">
            <v>6648000</v>
          </cell>
          <cell r="E401">
            <v>30000000</v>
          </cell>
          <cell r="G401">
            <v>545000</v>
          </cell>
          <cell r="H401">
            <v>5651304.3900000006</v>
          </cell>
          <cell r="I401">
            <v>29915000</v>
          </cell>
        </row>
        <row r="430">
          <cell r="C430">
            <v>0</v>
          </cell>
          <cell r="D430">
            <v>612419.63</v>
          </cell>
          <cell r="E430">
            <v>0</v>
          </cell>
          <cell r="H430">
            <v>612419.63</v>
          </cell>
          <cell r="I430">
            <v>0</v>
          </cell>
        </row>
        <row r="437">
          <cell r="C437">
            <v>0</v>
          </cell>
          <cell r="D437">
            <v>183.46</v>
          </cell>
          <cell r="E437">
            <v>0</v>
          </cell>
          <cell r="H437">
            <v>0</v>
          </cell>
          <cell r="I437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H444">
            <v>0</v>
          </cell>
          <cell r="I444">
            <v>0</v>
          </cell>
        </row>
      </sheetData>
      <sheetData sheetId="22">
        <row r="13">
          <cell r="C13">
            <v>22712000</v>
          </cell>
          <cell r="D13">
            <v>1943000</v>
          </cell>
          <cell r="E13">
            <v>55694000</v>
          </cell>
          <cell r="R13">
            <v>7233000</v>
          </cell>
          <cell r="S13">
            <v>12039000</v>
          </cell>
          <cell r="U13">
            <v>0</v>
          </cell>
          <cell r="V13">
            <v>1627141</v>
          </cell>
          <cell r="X13">
            <v>1584217</v>
          </cell>
          <cell r="Y13">
            <v>3227522</v>
          </cell>
          <cell r="AA13">
            <v>0</v>
          </cell>
          <cell r="AB13">
            <v>0</v>
          </cell>
        </row>
        <row r="14">
          <cell r="C14">
            <v>18993930.82</v>
          </cell>
          <cell r="D14">
            <v>1936424</v>
          </cell>
          <cell r="E14">
            <v>53071846.560000002</v>
          </cell>
          <cell r="R14">
            <v>5883853.1299999999</v>
          </cell>
          <cell r="S14">
            <v>10074441.42</v>
          </cell>
          <cell r="U14">
            <v>0</v>
          </cell>
          <cell r="V14">
            <v>0</v>
          </cell>
          <cell r="X14">
            <v>1584216.79</v>
          </cell>
          <cell r="Y14">
            <v>3227518.56</v>
          </cell>
          <cell r="AA14">
            <v>0</v>
          </cell>
          <cell r="AB14">
            <v>0</v>
          </cell>
        </row>
        <row r="49">
          <cell r="C49">
            <v>11770000</v>
          </cell>
          <cell r="D49">
            <v>6268000</v>
          </cell>
          <cell r="E49">
            <v>159877000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AA49">
            <v>0</v>
          </cell>
          <cell r="AB49">
            <v>5180000</v>
          </cell>
        </row>
        <row r="50">
          <cell r="C50">
            <v>8990731.629999999</v>
          </cell>
          <cell r="D50">
            <v>3973093.4800000004</v>
          </cell>
          <cell r="E50">
            <v>146921672.97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5177986.01</v>
          </cell>
        </row>
        <row r="141">
          <cell r="C141">
            <v>0</v>
          </cell>
          <cell r="D141">
            <v>0</v>
          </cell>
          <cell r="E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</row>
        <row r="178">
          <cell r="AQ178">
            <v>74600302.819999963</v>
          </cell>
          <cell r="AR178">
            <v>28392682.380000014</v>
          </cell>
          <cell r="AS178">
            <v>102992985.19999999</v>
          </cell>
        </row>
        <row r="221">
          <cell r="C221">
            <v>90923.199999999997</v>
          </cell>
          <cell r="D221">
            <v>548209.76</v>
          </cell>
          <cell r="E221">
            <v>1742192.26</v>
          </cell>
          <cell r="AA221">
            <v>0</v>
          </cell>
          <cell r="AB221">
            <v>2448438.44</v>
          </cell>
        </row>
        <row r="222">
          <cell r="C222">
            <v>90923.199999999997</v>
          </cell>
          <cell r="D222">
            <v>0</v>
          </cell>
          <cell r="E222">
            <v>1707769.74</v>
          </cell>
          <cell r="AA222">
            <v>0</v>
          </cell>
          <cell r="AB222">
            <v>2398438.44</v>
          </cell>
        </row>
        <row r="313">
          <cell r="C313">
            <v>0</v>
          </cell>
          <cell r="D313">
            <v>0</v>
          </cell>
          <cell r="E313">
            <v>0</v>
          </cell>
          <cell r="AA313">
            <v>0</v>
          </cell>
          <cell r="AB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A314">
            <v>0</v>
          </cell>
          <cell r="AB314">
            <v>0</v>
          </cell>
        </row>
        <row r="350">
          <cell r="AQ350">
            <v>29875282.180000007</v>
          </cell>
          <cell r="AR350">
            <v>1203550.7200000002</v>
          </cell>
          <cell r="AS350">
            <v>31078832.900000006</v>
          </cell>
        </row>
        <row r="383">
          <cell r="C383">
            <v>1110000</v>
          </cell>
          <cell r="D383">
            <v>194791768.78999999</v>
          </cell>
          <cell r="E383">
            <v>309065592</v>
          </cell>
          <cell r="G383">
            <v>1110000</v>
          </cell>
          <cell r="H383">
            <v>166558129.52000004</v>
          </cell>
          <cell r="I383">
            <v>288424376.06999999</v>
          </cell>
        </row>
        <row r="388">
          <cell r="C388">
            <v>127889000</v>
          </cell>
          <cell r="D388">
            <v>46846000</v>
          </cell>
          <cell r="E388">
            <v>0</v>
          </cell>
          <cell r="G388">
            <v>117648675.23999998</v>
          </cell>
          <cell r="H388">
            <v>40509185.180000007</v>
          </cell>
          <cell r="I388">
            <v>0</v>
          </cell>
        </row>
        <row r="390">
          <cell r="C390">
            <v>2370000</v>
          </cell>
          <cell r="D390">
            <v>23885000</v>
          </cell>
          <cell r="E390">
            <v>45000000</v>
          </cell>
          <cell r="G390">
            <v>2217500</v>
          </cell>
          <cell r="H390">
            <v>15829869.209999999</v>
          </cell>
          <cell r="I390">
            <v>44985805</v>
          </cell>
        </row>
        <row r="419">
          <cell r="C419">
            <v>0</v>
          </cell>
          <cell r="D419">
            <v>2381325.2199999997</v>
          </cell>
          <cell r="E419">
            <v>0</v>
          </cell>
          <cell r="H419">
            <v>1798692.94</v>
          </cell>
          <cell r="I419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H426">
            <v>0</v>
          </cell>
          <cell r="I426">
            <v>0</v>
          </cell>
        </row>
      </sheetData>
      <sheetData sheetId="23">
        <row r="11">
          <cell r="AA11">
            <v>3290000</v>
          </cell>
          <cell r="AB11">
            <v>4128500</v>
          </cell>
          <cell r="AC11">
            <v>300000</v>
          </cell>
          <cell r="AD11">
            <v>3148000</v>
          </cell>
          <cell r="AE11">
            <v>792500</v>
          </cell>
        </row>
        <row r="13">
          <cell r="C13">
            <v>27137000</v>
          </cell>
          <cell r="D13">
            <v>2308000</v>
          </cell>
          <cell r="E13">
            <v>58177000</v>
          </cell>
          <cell r="AH13">
            <v>7976000</v>
          </cell>
          <cell r="AI13">
            <v>13808000</v>
          </cell>
          <cell r="AJ13">
            <v>1199000</v>
          </cell>
          <cell r="AK13">
            <v>10825000</v>
          </cell>
          <cell r="AL13">
            <v>1889000</v>
          </cell>
          <cell r="AM13">
            <v>5183000</v>
          </cell>
          <cell r="AO13">
            <v>46934471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1857554</v>
          </cell>
          <cell r="AW13">
            <v>3194375</v>
          </cell>
          <cell r="AX13">
            <v>1839480</v>
          </cell>
          <cell r="AY13">
            <v>3456713</v>
          </cell>
          <cell r="AZ13">
            <v>617663</v>
          </cell>
          <cell r="BA13">
            <v>2121873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C14">
            <v>21441874.870000001</v>
          </cell>
          <cell r="D14">
            <v>2235685.61</v>
          </cell>
          <cell r="E14">
            <v>48072536.659999996</v>
          </cell>
          <cell r="AB14">
            <v>3827250</v>
          </cell>
          <cell r="AC14">
            <v>290000</v>
          </cell>
          <cell r="AE14">
            <v>785500</v>
          </cell>
          <cell r="AF14">
            <v>2038530.6099999999</v>
          </cell>
          <cell r="AH14">
            <v>5909189.4800000004</v>
          </cell>
          <cell r="AI14">
            <v>12157016.140000001</v>
          </cell>
          <cell r="AJ14">
            <v>1044254.04</v>
          </cell>
          <cell r="AK14">
            <v>9229473.0500000007</v>
          </cell>
          <cell r="AL14">
            <v>1686710.5</v>
          </cell>
          <cell r="AM14">
            <v>4585050.91</v>
          </cell>
          <cell r="AO14">
            <v>46899470.979999997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V14">
            <v>1857553.37</v>
          </cell>
          <cell r="AW14">
            <v>3194375</v>
          </cell>
          <cell r="AX14">
            <v>1839478.05</v>
          </cell>
          <cell r="AY14">
            <v>3456475.42</v>
          </cell>
          <cell r="AZ14">
            <v>617660.74</v>
          </cell>
          <cell r="BA14">
            <v>2121872.27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36">
          <cell r="AF36">
            <v>78291.839999999997</v>
          </cell>
        </row>
        <row r="43">
          <cell r="AA43">
            <v>3215000</v>
          </cell>
          <cell r="AD43">
            <v>3027500</v>
          </cell>
          <cell r="AF43">
            <v>1196350</v>
          </cell>
        </row>
        <row r="49">
          <cell r="C49">
            <v>20701000</v>
          </cell>
          <cell r="D49">
            <v>8783000</v>
          </cell>
          <cell r="E49">
            <v>151098000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C49">
            <v>0</v>
          </cell>
          <cell r="BD49">
            <v>3060000</v>
          </cell>
          <cell r="BE49">
            <v>0</v>
          </cell>
          <cell r="BF49">
            <v>7100000</v>
          </cell>
          <cell r="BG49">
            <v>80000</v>
          </cell>
          <cell r="BH49">
            <v>4150000</v>
          </cell>
        </row>
        <row r="50">
          <cell r="C50">
            <v>18205651.82</v>
          </cell>
          <cell r="D50">
            <v>4839846.97</v>
          </cell>
          <cell r="E50">
            <v>73437348.609999999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C50">
            <v>0</v>
          </cell>
          <cell r="BD50">
            <v>1433197.89</v>
          </cell>
          <cell r="BE50">
            <v>0</v>
          </cell>
          <cell r="BF50">
            <v>5969850.8799999999</v>
          </cell>
          <cell r="BG50">
            <v>80000</v>
          </cell>
          <cell r="BH50">
            <v>3300000</v>
          </cell>
        </row>
        <row r="142">
          <cell r="C142">
            <v>0</v>
          </cell>
          <cell r="D142">
            <v>0</v>
          </cell>
          <cell r="E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</row>
        <row r="179">
          <cell r="CI179">
            <v>162973896.95000002</v>
          </cell>
          <cell r="CJ179">
            <v>40875717.219999999</v>
          </cell>
          <cell r="CK179">
            <v>3311539.5799999991</v>
          </cell>
          <cell r="CL179">
            <v>39219862.550000004</v>
          </cell>
          <cell r="CM179">
            <v>15769693.780000007</v>
          </cell>
          <cell r="CN179">
            <v>13219822.390000006</v>
          </cell>
          <cell r="CO179">
            <v>275370532.47000003</v>
          </cell>
        </row>
        <row r="222">
          <cell r="C222">
            <v>997435.33999999985</v>
          </cell>
          <cell r="D222">
            <v>0</v>
          </cell>
          <cell r="E222">
            <v>2894061.6400000006</v>
          </cell>
          <cell r="BC222">
            <v>0</v>
          </cell>
          <cell r="BD222">
            <v>1896691.41</v>
          </cell>
          <cell r="BE222">
            <v>0</v>
          </cell>
          <cell r="BF222">
            <v>7908990.8099999996</v>
          </cell>
          <cell r="BG222">
            <v>100000</v>
          </cell>
          <cell r="BH222">
            <v>1550000</v>
          </cell>
        </row>
        <row r="223">
          <cell r="C223">
            <v>902467.88</v>
          </cell>
          <cell r="D223">
            <v>0</v>
          </cell>
          <cell r="E223">
            <v>2694775.39</v>
          </cell>
          <cell r="BC223">
            <v>0</v>
          </cell>
          <cell r="BD223">
            <v>1666040.4100000001</v>
          </cell>
          <cell r="BE223">
            <v>0</v>
          </cell>
          <cell r="BF223">
            <v>7906594.9000000004</v>
          </cell>
          <cell r="BG223">
            <v>100000</v>
          </cell>
          <cell r="BH223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52">
          <cell r="CI352">
            <v>44254941.719999991</v>
          </cell>
          <cell r="CJ352">
            <v>412798.60000000009</v>
          </cell>
          <cell r="CK352">
            <v>481828.22</v>
          </cell>
          <cell r="CL352">
            <v>79624.009999998845</v>
          </cell>
          <cell r="CM352">
            <v>215075.3600000008</v>
          </cell>
          <cell r="CN352">
            <v>1571280.0299999998</v>
          </cell>
          <cell r="CO352">
            <v>47015547.93999999</v>
          </cell>
        </row>
        <row r="386">
          <cell r="C386">
            <v>191506950</v>
          </cell>
          <cell r="D386">
            <v>3000000</v>
          </cell>
          <cell r="G386">
            <v>132681824.97</v>
          </cell>
          <cell r="H386">
            <v>999094.71</v>
          </cell>
        </row>
        <row r="391">
          <cell r="B391">
            <v>146749000</v>
          </cell>
          <cell r="C391">
            <v>65891000</v>
          </cell>
          <cell r="D391">
            <v>0</v>
          </cell>
          <cell r="F391">
            <v>128935466.89</v>
          </cell>
          <cell r="G391">
            <v>51088599.540000007</v>
          </cell>
          <cell r="H391">
            <v>0</v>
          </cell>
        </row>
        <row r="393">
          <cell r="C393">
            <v>23095000</v>
          </cell>
          <cell r="D393">
            <v>54292000</v>
          </cell>
          <cell r="G393">
            <v>19249475.559999999</v>
          </cell>
          <cell r="H393">
            <v>53456776.759999998</v>
          </cell>
        </row>
        <row r="398">
          <cell r="B398">
            <v>13165000</v>
          </cell>
          <cell r="C398">
            <v>3633000</v>
          </cell>
          <cell r="D398">
            <v>0</v>
          </cell>
          <cell r="F398">
            <v>11900577.4</v>
          </cell>
          <cell r="G398">
            <v>2176244.88</v>
          </cell>
          <cell r="H398">
            <v>0</v>
          </cell>
        </row>
        <row r="400">
          <cell r="C400">
            <v>1786000</v>
          </cell>
          <cell r="D400">
            <v>0</v>
          </cell>
          <cell r="G400">
            <v>1360386.05</v>
          </cell>
          <cell r="H400">
            <v>0</v>
          </cell>
        </row>
        <row r="405">
          <cell r="B405">
            <v>116247000</v>
          </cell>
          <cell r="C405">
            <v>42240000</v>
          </cell>
          <cell r="D405">
            <v>0</v>
          </cell>
          <cell r="F405">
            <v>105172288.81</v>
          </cell>
          <cell r="G405">
            <v>25785276.439999998</v>
          </cell>
          <cell r="H405">
            <v>0</v>
          </cell>
        </row>
        <row r="407">
          <cell r="C407">
            <v>18972000</v>
          </cell>
          <cell r="D407">
            <v>250000000</v>
          </cell>
          <cell r="G407">
            <v>15312851.430000002</v>
          </cell>
          <cell r="H407">
            <v>244815134.41999999</v>
          </cell>
        </row>
        <row r="411">
          <cell r="B411">
            <v>21038000</v>
          </cell>
          <cell r="C411">
            <v>39648000</v>
          </cell>
          <cell r="D411">
            <v>0</v>
          </cell>
          <cell r="F411">
            <v>19154232.379999999</v>
          </cell>
          <cell r="G411">
            <v>30090472.549999997</v>
          </cell>
          <cell r="H411">
            <v>0</v>
          </cell>
        </row>
        <row r="413">
          <cell r="C413">
            <v>6970000</v>
          </cell>
          <cell r="D413">
            <v>20000000</v>
          </cell>
          <cell r="G413">
            <v>5324104.37</v>
          </cell>
          <cell r="H413">
            <v>17526788.68</v>
          </cell>
        </row>
        <row r="417">
          <cell r="B417">
            <v>56602000</v>
          </cell>
          <cell r="C417">
            <v>17387000</v>
          </cell>
          <cell r="D417">
            <v>0</v>
          </cell>
          <cell r="F417">
            <v>49974049.61999999</v>
          </cell>
          <cell r="G417">
            <v>13166312.760000002</v>
          </cell>
          <cell r="H417">
            <v>0</v>
          </cell>
        </row>
        <row r="419">
          <cell r="B419">
            <v>2122416</v>
          </cell>
          <cell r="C419">
            <v>13460000</v>
          </cell>
          <cell r="D419">
            <v>0</v>
          </cell>
          <cell r="G419">
            <v>12620650.439999999</v>
          </cell>
          <cell r="H419">
            <v>0</v>
          </cell>
        </row>
        <row r="428">
          <cell r="C428">
            <v>0</v>
          </cell>
          <cell r="D428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G455">
            <v>0</v>
          </cell>
          <cell r="H455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G462">
            <v>0</v>
          </cell>
          <cell r="H462">
            <v>0</v>
          </cell>
        </row>
        <row r="469">
          <cell r="B469">
            <v>0</v>
          </cell>
          <cell r="C469">
            <v>5049.78</v>
          </cell>
          <cell r="D469">
            <v>0</v>
          </cell>
          <cell r="G469">
            <v>4851.1000000000004</v>
          </cell>
          <cell r="H469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G475">
            <v>0</v>
          </cell>
          <cell r="H475">
            <v>0</v>
          </cell>
        </row>
        <row r="481">
          <cell r="B481">
            <v>0</v>
          </cell>
          <cell r="C481">
            <v>2774647.03</v>
          </cell>
          <cell r="D481">
            <v>0</v>
          </cell>
          <cell r="G481">
            <v>2774647.0300000003</v>
          </cell>
          <cell r="H481">
            <v>0</v>
          </cell>
        </row>
      </sheetData>
      <sheetData sheetId="24">
        <row r="14">
          <cell r="C14">
            <v>33436000</v>
          </cell>
          <cell r="D14">
            <v>1165000</v>
          </cell>
          <cell r="E14">
            <v>50495000</v>
          </cell>
          <cell r="AD14">
            <v>7101000</v>
          </cell>
          <cell r="AE14">
            <v>11578328</v>
          </cell>
          <cell r="AF14">
            <v>8047000</v>
          </cell>
          <cell r="AG14">
            <v>1591000</v>
          </cell>
          <cell r="AH14">
            <v>2360000</v>
          </cell>
          <cell r="AJ14">
            <v>0</v>
          </cell>
          <cell r="AK14">
            <v>546704</v>
          </cell>
          <cell r="AL14">
            <v>0</v>
          </cell>
          <cell r="AM14">
            <v>0</v>
          </cell>
          <cell r="AN14">
            <v>0</v>
          </cell>
          <cell r="AP14">
            <v>3762152</v>
          </cell>
          <cell r="AQ14">
            <v>5524265</v>
          </cell>
          <cell r="AR14">
            <v>1068967</v>
          </cell>
          <cell r="AS14">
            <v>408944</v>
          </cell>
          <cell r="AT14">
            <v>835587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28638815.879999999</v>
          </cell>
          <cell r="D15">
            <v>1072007.9700000002</v>
          </cell>
          <cell r="E15">
            <v>42991535.93</v>
          </cell>
          <cell r="AD15">
            <v>5955087.0900000008</v>
          </cell>
          <cell r="AE15">
            <v>10428831.450000001</v>
          </cell>
          <cell r="AF15">
            <v>7227185.9400000004</v>
          </cell>
          <cell r="AG15">
            <v>1409115.4</v>
          </cell>
          <cell r="AH15">
            <v>1820935.19</v>
          </cell>
          <cell r="AJ15">
            <v>0</v>
          </cell>
          <cell r="AK15">
            <v>489813.54</v>
          </cell>
          <cell r="AL15">
            <v>0</v>
          </cell>
          <cell r="AM15">
            <v>0</v>
          </cell>
          <cell r="AN15">
            <v>0</v>
          </cell>
          <cell r="AP15">
            <v>3762149.99</v>
          </cell>
          <cell r="AQ15">
            <v>5506407.8999999994</v>
          </cell>
          <cell r="AR15">
            <v>1068966.72</v>
          </cell>
          <cell r="AS15">
            <v>408944</v>
          </cell>
          <cell r="AT15">
            <v>835587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50">
          <cell r="C50">
            <v>7949000</v>
          </cell>
          <cell r="D50">
            <v>8132000</v>
          </cell>
          <cell r="E50">
            <v>99610000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4660000</v>
          </cell>
          <cell r="AX50">
            <v>2050000</v>
          </cell>
          <cell r="AY50">
            <v>500000</v>
          </cell>
          <cell r="AZ50">
            <v>0</v>
          </cell>
        </row>
        <row r="51">
          <cell r="C51">
            <v>6490642.4900000002</v>
          </cell>
          <cell r="D51">
            <v>3837560.2199999997</v>
          </cell>
          <cell r="E51">
            <v>68071075.419999987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3415627.86</v>
          </cell>
          <cell r="AX51">
            <v>2050000</v>
          </cell>
          <cell r="AY51">
            <v>500000</v>
          </cell>
          <cell r="AZ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79">
          <cell r="C179">
            <v>6255541.6300000008</v>
          </cell>
          <cell r="D179">
            <v>4387431.8100000005</v>
          </cell>
          <cell r="E179">
            <v>39042388.650000013</v>
          </cell>
          <cell r="F179">
            <v>49685362.090000018</v>
          </cell>
          <cell r="G179">
            <v>15711710.109999999</v>
          </cell>
          <cell r="K179">
            <v>88255062.50999999</v>
          </cell>
          <cell r="X179">
            <v>32547571.820000008</v>
          </cell>
          <cell r="AJ179">
            <v>0</v>
          </cell>
          <cell r="AP179">
            <v>2.0099999997764826</v>
          </cell>
          <cell r="AV179">
            <v>0</v>
          </cell>
          <cell r="BX179">
            <v>83378848.830000028</v>
          </cell>
          <cell r="BY179">
            <v>29752245.329999998</v>
          </cell>
          <cell r="BZ179">
            <v>21299428.600000001</v>
          </cell>
          <cell r="CA179">
            <v>3471531.52</v>
          </cell>
          <cell r="CB179">
            <v>6942304.909999989</v>
          </cell>
          <cell r="CC179">
            <v>144844359.19000003</v>
          </cell>
        </row>
        <row r="223">
          <cell r="C223">
            <v>773806.36</v>
          </cell>
          <cell r="D223">
            <v>33334.410000000149</v>
          </cell>
          <cell r="E223">
            <v>611595.68999999808</v>
          </cell>
          <cell r="AV223">
            <v>0</v>
          </cell>
          <cell r="AW223">
            <v>2296673.5099999998</v>
          </cell>
          <cell r="AX223">
            <v>1000000</v>
          </cell>
          <cell r="AY223">
            <v>300000</v>
          </cell>
          <cell r="AZ223">
            <v>945862</v>
          </cell>
        </row>
        <row r="224">
          <cell r="C224">
            <v>773806.36</v>
          </cell>
          <cell r="D224">
            <v>33334.409999999996</v>
          </cell>
          <cell r="E224">
            <v>611595.69000000006</v>
          </cell>
          <cell r="AV224">
            <v>0</v>
          </cell>
          <cell r="AW224">
            <v>1847972.46</v>
          </cell>
          <cell r="AX224">
            <v>1000000</v>
          </cell>
          <cell r="AY224">
            <v>0</v>
          </cell>
          <cell r="AZ224">
            <v>396067</v>
          </cell>
        </row>
        <row r="315">
          <cell r="C315">
            <v>0</v>
          </cell>
          <cell r="D315">
            <v>0</v>
          </cell>
          <cell r="E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52">
          <cell r="BX352">
            <v>7836591.8800000008</v>
          </cell>
          <cell r="BY352">
            <v>543905.94999999984</v>
          </cell>
          <cell r="BZ352">
            <v>0</v>
          </cell>
          <cell r="CA352">
            <v>300011</v>
          </cell>
          <cell r="CB352">
            <v>554100.5</v>
          </cell>
          <cell r="CC352">
            <v>9234609.3300000019</v>
          </cell>
        </row>
        <row r="386">
          <cell r="C386">
            <v>1740000</v>
          </cell>
          <cell r="D386">
            <v>122944284</v>
          </cell>
          <cell r="E386">
            <v>22358500</v>
          </cell>
          <cell r="G386">
            <v>1740000</v>
          </cell>
          <cell r="H386">
            <v>91068860.539999992</v>
          </cell>
          <cell r="I386">
            <v>21686351.640000001</v>
          </cell>
        </row>
        <row r="391">
          <cell r="C391">
            <v>124554000</v>
          </cell>
          <cell r="D391">
            <v>62413000</v>
          </cell>
          <cell r="E391">
            <v>0</v>
          </cell>
          <cell r="G391">
            <v>112718064.14</v>
          </cell>
          <cell r="H391">
            <v>58537225.75</v>
          </cell>
          <cell r="I391">
            <v>0</v>
          </cell>
        </row>
        <row r="393">
          <cell r="C393">
            <v>2730000</v>
          </cell>
          <cell r="D393">
            <v>23384000</v>
          </cell>
          <cell r="E393">
            <v>44130000</v>
          </cell>
          <cell r="G393">
            <v>2730000</v>
          </cell>
          <cell r="H393">
            <v>18378141.779999997</v>
          </cell>
          <cell r="I393">
            <v>37563939.250000007</v>
          </cell>
        </row>
        <row r="398">
          <cell r="C398">
            <v>86436000</v>
          </cell>
          <cell r="D398">
            <v>28587000</v>
          </cell>
          <cell r="E398">
            <v>0</v>
          </cell>
          <cell r="G398">
            <v>79120486.75</v>
          </cell>
          <cell r="H398">
            <v>20143649.919999998</v>
          </cell>
          <cell r="I398">
            <v>0</v>
          </cell>
        </row>
        <row r="400">
          <cell r="C400">
            <v>1830000</v>
          </cell>
          <cell r="D400">
            <v>13933400</v>
          </cell>
          <cell r="E400">
            <v>100000000</v>
          </cell>
          <cell r="G400">
            <v>1712500</v>
          </cell>
          <cell r="H400">
            <v>12615063.07</v>
          </cell>
          <cell r="I400">
            <v>96715086</v>
          </cell>
        </row>
        <row r="405">
          <cell r="C405">
            <v>17591000</v>
          </cell>
          <cell r="D405">
            <v>7003000</v>
          </cell>
          <cell r="E405">
            <v>0</v>
          </cell>
          <cell r="G405">
            <v>15901788.83</v>
          </cell>
          <cell r="H405">
            <v>5830192.04</v>
          </cell>
          <cell r="I405">
            <v>0</v>
          </cell>
        </row>
        <row r="407">
          <cell r="C407">
            <v>415000</v>
          </cell>
          <cell r="D407">
            <v>3572000</v>
          </cell>
          <cell r="E407">
            <v>95000000</v>
          </cell>
          <cell r="G407">
            <v>415000</v>
          </cell>
          <cell r="H407">
            <v>3144372.21</v>
          </cell>
          <cell r="I407">
            <v>95000000</v>
          </cell>
        </row>
        <row r="411">
          <cell r="C411">
            <v>26147000</v>
          </cell>
          <cell r="D411">
            <v>9776000</v>
          </cell>
          <cell r="E411">
            <v>0</v>
          </cell>
          <cell r="G411">
            <v>23387609.050000001</v>
          </cell>
          <cell r="H411">
            <v>8298283.1000000006</v>
          </cell>
          <cell r="I411">
            <v>0</v>
          </cell>
        </row>
        <row r="413">
          <cell r="C413">
            <v>575000</v>
          </cell>
          <cell r="D413">
            <v>3806000</v>
          </cell>
          <cell r="E413">
            <v>151000000</v>
          </cell>
          <cell r="G413">
            <v>575000</v>
          </cell>
          <cell r="H413">
            <v>2002599.98</v>
          </cell>
          <cell r="I413">
            <v>150637267.77000001</v>
          </cell>
        </row>
        <row r="449">
          <cell r="C449">
            <v>0</v>
          </cell>
          <cell r="D449">
            <v>1334000</v>
          </cell>
          <cell r="E449">
            <v>0</v>
          </cell>
          <cell r="H449">
            <v>1334000</v>
          </cell>
          <cell r="I449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H456">
            <v>0</v>
          </cell>
          <cell r="I456">
            <v>0</v>
          </cell>
        </row>
        <row r="463">
          <cell r="C463">
            <v>0</v>
          </cell>
          <cell r="D463">
            <v>11</v>
          </cell>
          <cell r="E463">
            <v>0</v>
          </cell>
          <cell r="H463">
            <v>0</v>
          </cell>
          <cell r="I463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H469">
            <v>0</v>
          </cell>
          <cell r="I469">
            <v>0</v>
          </cell>
        </row>
      </sheetData>
      <sheetData sheetId="25">
        <row r="14">
          <cell r="C14">
            <v>23244000</v>
          </cell>
          <cell r="D14">
            <v>1902000</v>
          </cell>
          <cell r="E14">
            <v>66325000</v>
          </cell>
          <cell r="I14">
            <v>116252000</v>
          </cell>
          <cell r="Z14">
            <v>8415000</v>
          </cell>
          <cell r="AA14">
            <v>11180000</v>
          </cell>
          <cell r="AB14">
            <v>7474000</v>
          </cell>
          <cell r="AC14">
            <v>10963000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4832938</v>
          </cell>
          <cell r="AK14">
            <v>3417880</v>
          </cell>
          <cell r="AL14">
            <v>2226201</v>
          </cell>
          <cell r="AM14">
            <v>1685305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15">
          <cell r="C15">
            <v>22083788.240000002</v>
          </cell>
          <cell r="D15">
            <v>1549230.56</v>
          </cell>
          <cell r="E15">
            <v>56301715.130000003</v>
          </cell>
          <cell r="Z15">
            <v>7138354.3699999992</v>
          </cell>
          <cell r="AA15">
            <v>10009426.460000001</v>
          </cell>
          <cell r="AB15">
            <v>6648538.6600000001</v>
          </cell>
          <cell r="AC15">
            <v>9555946.7100000009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4832933.8499999996</v>
          </cell>
          <cell r="AK15">
            <v>3417875.64</v>
          </cell>
          <cell r="AL15">
            <v>2226199.4699999997</v>
          </cell>
          <cell r="AM15">
            <v>1685298.8599999999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50">
          <cell r="C50">
            <v>6180000</v>
          </cell>
          <cell r="D50">
            <v>9104000</v>
          </cell>
          <cell r="E50">
            <v>126572000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3110000</v>
          </cell>
          <cell r="AQ50">
            <v>1700000</v>
          </cell>
          <cell r="AR50">
            <v>4000000</v>
          </cell>
        </row>
        <row r="51">
          <cell r="C51">
            <v>6142009.7200000007</v>
          </cell>
          <cell r="D51">
            <v>5910291.7100000009</v>
          </cell>
          <cell r="E51">
            <v>96486784.640000001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1780111</v>
          </cell>
          <cell r="AQ51">
            <v>1622037.3800000004</v>
          </cell>
          <cell r="AR51">
            <v>3925576.1999999997</v>
          </cell>
        </row>
        <row r="142">
          <cell r="C142">
            <v>0</v>
          </cell>
          <cell r="D142">
            <v>0</v>
          </cell>
          <cell r="E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</row>
        <row r="179">
          <cell r="C179">
            <v>1198202.0399999972</v>
          </cell>
          <cell r="D179">
            <v>3546477.7299999991</v>
          </cell>
          <cell r="E179">
            <v>40108500.229999997</v>
          </cell>
          <cell r="F179">
            <v>44853179.999999993</v>
          </cell>
          <cell r="G179">
            <v>13156880.209999964</v>
          </cell>
          <cell r="H179">
            <v>12834188.110000007</v>
          </cell>
          <cell r="I179">
            <v>8922859.2900000215</v>
          </cell>
          <cell r="J179">
            <v>79767107.610000104</v>
          </cell>
          <cell r="U179">
            <v>26147336.530000001</v>
          </cell>
          <cell r="V179">
            <v>8459262.8299999982</v>
          </cell>
          <cell r="W179">
            <v>2233851.9399999836</v>
          </cell>
          <cell r="X179">
            <v>3183081.0000000005</v>
          </cell>
          <cell r="Y179">
            <v>40023532.299999982</v>
          </cell>
          <cell r="AA179">
            <v>1170573.5399999991</v>
          </cell>
          <cell r="AB179">
            <v>825461.33999999985</v>
          </cell>
          <cell r="AE179">
            <v>0</v>
          </cell>
          <cell r="AF179">
            <v>0</v>
          </cell>
          <cell r="AG179">
            <v>0</v>
          </cell>
          <cell r="AI179">
            <v>0</v>
          </cell>
          <cell r="AJ179">
            <v>4.150000000372529</v>
          </cell>
          <cell r="AK179">
            <v>4.3599999998696148</v>
          </cell>
          <cell r="AL179">
            <v>1.5300000002607703</v>
          </cell>
          <cell r="AM179">
            <v>6.1400000001303852</v>
          </cell>
          <cell r="AN179">
            <v>16.179999999701977</v>
          </cell>
          <cell r="AO179">
            <v>0</v>
          </cell>
          <cell r="AP179">
            <v>1329889</v>
          </cell>
          <cell r="AQ179">
            <v>77962.619999999646</v>
          </cell>
          <cell r="AR179">
            <v>74423.800000000279</v>
          </cell>
          <cell r="AS179">
            <v>1482275.42</v>
          </cell>
          <cell r="BM179">
            <v>72277166.310000002</v>
          </cell>
          <cell r="BN179">
            <v>24116609.93999996</v>
          </cell>
          <cell r="BO179">
            <v>15971465.53999999</v>
          </cell>
          <cell r="BP179">
            <v>13587423.520000022</v>
          </cell>
          <cell r="BQ179">
            <v>125952665.30999999</v>
          </cell>
        </row>
        <row r="222">
          <cell r="C222">
            <v>546703.25</v>
          </cell>
          <cell r="D222">
            <v>406877.80999999959</v>
          </cell>
          <cell r="E222">
            <v>1592253.620000001</v>
          </cell>
          <cell r="AO222">
            <v>0</v>
          </cell>
          <cell r="AP222">
            <v>34631175.939999998</v>
          </cell>
          <cell r="AQ222">
            <v>2645000</v>
          </cell>
          <cell r="AR222">
            <v>8042733.3899999997</v>
          </cell>
        </row>
        <row r="223">
          <cell r="C223">
            <v>546453.64</v>
          </cell>
          <cell r="D223">
            <v>406753.36</v>
          </cell>
          <cell r="E223">
            <v>1592170.8699999999</v>
          </cell>
          <cell r="AO223">
            <v>0</v>
          </cell>
          <cell r="AP223">
            <v>18641170.899999999</v>
          </cell>
          <cell r="AQ223">
            <v>2588324.89</v>
          </cell>
          <cell r="AR223">
            <v>8039407.8900000006</v>
          </cell>
        </row>
        <row r="314">
          <cell r="C314">
            <v>0</v>
          </cell>
          <cell r="D314">
            <v>0</v>
          </cell>
          <cell r="E314">
            <v>0</v>
          </cell>
          <cell r="AO314">
            <v>0</v>
          </cell>
          <cell r="AP314">
            <v>2900</v>
          </cell>
          <cell r="AQ314">
            <v>0</v>
          </cell>
          <cell r="AR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</row>
        <row r="351">
          <cell r="BM351">
            <v>7473369.740000003</v>
          </cell>
          <cell r="BN351">
            <v>15995204.83</v>
          </cell>
          <cell r="BO351">
            <v>56675.10999999987</v>
          </cell>
          <cell r="BP351">
            <v>5495.6400000016438</v>
          </cell>
          <cell r="BQ351">
            <v>23530745.320000004</v>
          </cell>
        </row>
        <row r="386">
          <cell r="C386">
            <v>1660000</v>
          </cell>
          <cell r="D386">
            <v>145265571</v>
          </cell>
          <cell r="E386">
            <v>15600000</v>
          </cell>
          <cell r="G386">
            <v>1660000</v>
          </cell>
          <cell r="H386">
            <v>119511632.09999999</v>
          </cell>
          <cell r="I386">
            <v>15206602.370000001</v>
          </cell>
        </row>
        <row r="391">
          <cell r="C391">
            <v>120480000</v>
          </cell>
          <cell r="D391">
            <v>45549000</v>
          </cell>
          <cell r="E391">
            <v>0</v>
          </cell>
          <cell r="G391">
            <v>111141874.48000003</v>
          </cell>
          <cell r="H391">
            <v>41730245.310000002</v>
          </cell>
          <cell r="I391">
            <v>0</v>
          </cell>
        </row>
        <row r="393">
          <cell r="C393">
            <v>3611000</v>
          </cell>
          <cell r="D393">
            <v>36206180</v>
          </cell>
          <cell r="E393">
            <v>129820000</v>
          </cell>
          <cell r="G393">
            <v>3611000</v>
          </cell>
          <cell r="H393">
            <v>31294444.890000001</v>
          </cell>
          <cell r="I393">
            <v>126272472.28</v>
          </cell>
        </row>
        <row r="398">
          <cell r="C398">
            <v>80499000</v>
          </cell>
          <cell r="D398">
            <v>32754000</v>
          </cell>
          <cell r="E398">
            <v>0</v>
          </cell>
          <cell r="G398">
            <v>72316478.269999996</v>
          </cell>
          <cell r="H398">
            <v>28102333.619999997</v>
          </cell>
          <cell r="I398">
            <v>0</v>
          </cell>
        </row>
        <row r="400">
          <cell r="C400">
            <v>1552500</v>
          </cell>
          <cell r="D400">
            <v>17161820</v>
          </cell>
          <cell r="E400">
            <v>152810229</v>
          </cell>
          <cell r="G400">
            <v>1552500</v>
          </cell>
          <cell r="H400">
            <v>15147136.390000001</v>
          </cell>
          <cell r="I400">
            <v>152591060.67000002</v>
          </cell>
        </row>
        <row r="405">
          <cell r="D405">
            <v>28460000</v>
          </cell>
          <cell r="E405">
            <v>0</v>
          </cell>
          <cell r="G405">
            <v>107911742.70999998</v>
          </cell>
          <cell r="H405">
            <v>27877398</v>
          </cell>
          <cell r="I405">
            <v>0</v>
          </cell>
        </row>
        <row r="407">
          <cell r="C407">
            <v>2300000</v>
          </cell>
          <cell r="D407">
            <v>19041870</v>
          </cell>
          <cell r="E407">
            <v>0</v>
          </cell>
          <cell r="G407">
            <v>2125000</v>
          </cell>
          <cell r="H407">
            <v>16033789</v>
          </cell>
          <cell r="I407">
            <v>0</v>
          </cell>
        </row>
        <row r="443">
          <cell r="C443">
            <v>0</v>
          </cell>
          <cell r="D443">
            <v>2299.79</v>
          </cell>
          <cell r="E443">
            <v>0</v>
          </cell>
          <cell r="H443">
            <v>0</v>
          </cell>
          <cell r="I443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H450">
            <v>0</v>
          </cell>
          <cell r="I450">
            <v>0</v>
          </cell>
        </row>
        <row r="457">
          <cell r="C457">
            <v>0</v>
          </cell>
          <cell r="D457">
            <v>480.67000000178814</v>
          </cell>
          <cell r="E457">
            <v>0</v>
          </cell>
          <cell r="H457">
            <v>0</v>
          </cell>
          <cell r="I457">
            <v>0</v>
          </cell>
        </row>
      </sheetData>
      <sheetData sheetId="26">
        <row r="14">
          <cell r="C14">
            <v>21588000</v>
          </cell>
          <cell r="D14">
            <v>0</v>
          </cell>
          <cell r="E14">
            <v>30335000</v>
          </cell>
          <cell r="AD14">
            <v>4604000</v>
          </cell>
          <cell r="AE14">
            <v>21446000</v>
          </cell>
          <cell r="AF14">
            <v>2470217</v>
          </cell>
          <cell r="AG14">
            <v>1074000</v>
          </cell>
          <cell r="AH14">
            <v>1497000</v>
          </cell>
          <cell r="AJ14">
            <v>0</v>
          </cell>
          <cell r="AK14">
            <v>0</v>
          </cell>
          <cell r="AL14">
            <v>757225</v>
          </cell>
          <cell r="AM14">
            <v>0</v>
          </cell>
          <cell r="AN14">
            <v>0</v>
          </cell>
          <cell r="AP14">
            <v>13737305</v>
          </cell>
          <cell r="AQ14">
            <v>8576529</v>
          </cell>
          <cell r="AR14">
            <v>3463290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18671427.720000003</v>
          </cell>
          <cell r="D15">
            <v>0</v>
          </cell>
          <cell r="E15">
            <v>29011154.879999999</v>
          </cell>
          <cell r="AD15">
            <v>3958796.9699999997</v>
          </cell>
          <cell r="AE15">
            <v>19248775.91</v>
          </cell>
          <cell r="AF15">
            <v>2216462.5699999998</v>
          </cell>
          <cell r="AG15">
            <v>936358.13</v>
          </cell>
          <cell r="AH15">
            <v>1343280.7899999998</v>
          </cell>
          <cell r="AJ15">
            <v>0</v>
          </cell>
          <cell r="AK15">
            <v>0</v>
          </cell>
          <cell r="AL15">
            <v>63246.9</v>
          </cell>
          <cell r="AM15">
            <v>0</v>
          </cell>
          <cell r="AN15">
            <v>0</v>
          </cell>
          <cell r="AP15">
            <v>13727418.029999999</v>
          </cell>
          <cell r="AQ15">
            <v>8568909.4000000004</v>
          </cell>
          <cell r="AR15">
            <v>3463290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50">
          <cell r="C50">
            <v>5842000</v>
          </cell>
          <cell r="D50">
            <v>5197000</v>
          </cell>
          <cell r="E50">
            <v>106910000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4810000</v>
          </cell>
          <cell r="AX50">
            <v>0</v>
          </cell>
          <cell r="AY50">
            <v>150000</v>
          </cell>
          <cell r="AZ50">
            <v>250000</v>
          </cell>
        </row>
        <row r="51">
          <cell r="C51">
            <v>5232933.4800000014</v>
          </cell>
          <cell r="D51">
            <v>4530362.66</v>
          </cell>
          <cell r="E51">
            <v>94318835.150000021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3810000</v>
          </cell>
          <cell r="AX51">
            <v>0</v>
          </cell>
          <cell r="AY51">
            <v>150000</v>
          </cell>
          <cell r="AZ51">
            <v>250000</v>
          </cell>
        </row>
        <row r="142">
          <cell r="C142">
            <v>0</v>
          </cell>
          <cell r="D142">
            <v>0</v>
          </cell>
          <cell r="E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79">
          <cell r="C179">
            <v>3525638.799999997</v>
          </cell>
          <cell r="D179">
            <v>666637.33999999985</v>
          </cell>
          <cell r="E179">
            <v>13915009.969999984</v>
          </cell>
          <cell r="F179">
            <v>18107286.109999981</v>
          </cell>
          <cell r="G179">
            <v>21796435.399999976</v>
          </cell>
          <cell r="H179">
            <v>2454895.8999999985</v>
          </cell>
          <cell r="I179">
            <v>1478332.6400000025</v>
          </cell>
          <cell r="J179">
            <v>3414563.2900000028</v>
          </cell>
          <cell r="K179">
            <v>47251513.340000033</v>
          </cell>
          <cell r="X179">
            <v>15809754.020000011</v>
          </cell>
          <cell r="Y179">
            <v>4497727.0799999982</v>
          </cell>
          <cell r="Z179">
            <v>797182.04999999981</v>
          </cell>
          <cell r="AA179">
            <v>72000</v>
          </cell>
          <cell r="AC179">
            <v>21832538.15000001</v>
          </cell>
          <cell r="AE179">
            <v>2197224.09</v>
          </cell>
          <cell r="AF179">
            <v>253754.43000000017</v>
          </cell>
          <cell r="AG179">
            <v>137641.87</v>
          </cell>
          <cell r="AJ179">
            <v>0</v>
          </cell>
          <cell r="AK179">
            <v>0</v>
          </cell>
          <cell r="AL179">
            <v>693978.1</v>
          </cell>
          <cell r="AM179">
            <v>0</v>
          </cell>
          <cell r="AN179">
            <v>0</v>
          </cell>
          <cell r="AO179">
            <v>693978.1</v>
          </cell>
          <cell r="AP179">
            <v>9886.9700000006706</v>
          </cell>
          <cell r="AQ179">
            <v>7619.5999999996275</v>
          </cell>
          <cell r="AR179">
            <v>0</v>
          </cell>
          <cell r="AS179">
            <v>0</v>
          </cell>
          <cell r="AT179">
            <v>0</v>
          </cell>
          <cell r="AU179">
            <v>17506.570000000298</v>
          </cell>
          <cell r="AV179">
            <v>0</v>
          </cell>
          <cell r="AW179">
            <v>1000000</v>
          </cell>
          <cell r="AX179">
            <v>0</v>
          </cell>
          <cell r="AY179">
            <v>0</v>
          </cell>
          <cell r="AZ179">
            <v>0</v>
          </cell>
          <cell r="BA179">
            <v>1000000</v>
          </cell>
          <cell r="BX179">
            <v>34572130.129999995</v>
          </cell>
          <cell r="BY179">
            <v>29499006.169999972</v>
          </cell>
          <cell r="BZ179">
            <v>4199810.4799999986</v>
          </cell>
          <cell r="CA179">
            <v>1687974.5100000026</v>
          </cell>
          <cell r="CB179">
            <v>4224157.5000000028</v>
          </cell>
          <cell r="CC179">
            <v>74183078.789999977</v>
          </cell>
        </row>
        <row r="223">
          <cell r="C223">
            <v>55388.33</v>
          </cell>
          <cell r="D223">
            <v>70439.399999999994</v>
          </cell>
          <cell r="E223">
            <v>101081.1</v>
          </cell>
          <cell r="AB223">
            <v>-587518.53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F223">
            <v>587518.53</v>
          </cell>
        </row>
        <row r="224">
          <cell r="C224">
            <v>55388.33</v>
          </cell>
          <cell r="D224">
            <v>70439.399999999994</v>
          </cell>
          <cell r="E224">
            <v>101081.1</v>
          </cell>
          <cell r="AB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F224">
            <v>0</v>
          </cell>
        </row>
        <row r="229">
          <cell r="AB229">
            <v>0</v>
          </cell>
        </row>
        <row r="315">
          <cell r="C315">
            <v>1237960</v>
          </cell>
          <cell r="D315">
            <v>0</v>
          </cell>
          <cell r="E315">
            <v>0</v>
          </cell>
          <cell r="AB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F315">
            <v>0</v>
          </cell>
        </row>
        <row r="316">
          <cell r="C316">
            <v>1188000.03</v>
          </cell>
          <cell r="D316">
            <v>0</v>
          </cell>
          <cell r="E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F316">
            <v>0</v>
          </cell>
        </row>
        <row r="352">
          <cell r="C352">
            <v>49959.969999999972</v>
          </cell>
          <cell r="D352">
            <v>0</v>
          </cell>
          <cell r="F352">
            <v>49959.969999999972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49959.969999999739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H352">
            <v>28816166.189999998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X352">
            <v>28816166.189999986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</row>
        <row r="386">
          <cell r="C386">
            <v>895000</v>
          </cell>
          <cell r="D386">
            <v>109923232</v>
          </cell>
          <cell r="E386">
            <v>35750000</v>
          </cell>
          <cell r="G386">
            <v>885000</v>
          </cell>
          <cell r="H386">
            <v>97804242.659999996</v>
          </cell>
          <cell r="I386">
            <v>32069235.32</v>
          </cell>
        </row>
        <row r="391">
          <cell r="C391">
            <v>229323000</v>
          </cell>
          <cell r="D391">
            <v>97777000</v>
          </cell>
          <cell r="E391">
            <v>0</v>
          </cell>
          <cell r="G391">
            <v>213359977.38</v>
          </cell>
          <cell r="H391">
            <v>91943587.220000014</v>
          </cell>
          <cell r="I391">
            <v>0</v>
          </cell>
        </row>
        <row r="393">
          <cell r="C393">
            <v>6248000</v>
          </cell>
          <cell r="D393">
            <v>35560000</v>
          </cell>
          <cell r="E393">
            <v>28800000</v>
          </cell>
          <cell r="G393">
            <v>6212250</v>
          </cell>
          <cell r="H393">
            <v>32227452.66</v>
          </cell>
          <cell r="I393">
            <v>27670570.260000002</v>
          </cell>
        </row>
        <row r="398">
          <cell r="C398">
            <v>26754000</v>
          </cell>
          <cell r="D398">
            <v>16686000</v>
          </cell>
          <cell r="E398">
            <v>0</v>
          </cell>
          <cell r="G398">
            <v>25239304.550000001</v>
          </cell>
          <cell r="H398">
            <v>15745799.550000001</v>
          </cell>
          <cell r="I398">
            <v>0</v>
          </cell>
        </row>
        <row r="400">
          <cell r="C400">
            <v>630000</v>
          </cell>
          <cell r="D400">
            <v>4190000</v>
          </cell>
          <cell r="E400">
            <v>0</v>
          </cell>
          <cell r="G400">
            <v>609000</v>
          </cell>
          <cell r="H400">
            <v>3413817.95</v>
          </cell>
          <cell r="I400">
            <v>0</v>
          </cell>
        </row>
        <row r="405">
          <cell r="C405">
            <v>11833000</v>
          </cell>
          <cell r="D405">
            <v>4695000</v>
          </cell>
          <cell r="E405">
            <v>0</v>
          </cell>
          <cell r="G405">
            <v>10355513.009999998</v>
          </cell>
          <cell r="H405">
            <v>4694154.3499999996</v>
          </cell>
          <cell r="I405">
            <v>0</v>
          </cell>
        </row>
        <row r="407">
          <cell r="C407">
            <v>265000</v>
          </cell>
          <cell r="D407">
            <v>826000</v>
          </cell>
          <cell r="E407">
            <v>0</v>
          </cell>
          <cell r="G407">
            <v>265000</v>
          </cell>
          <cell r="H407">
            <v>754000</v>
          </cell>
          <cell r="I407">
            <v>0</v>
          </cell>
        </row>
        <row r="411">
          <cell r="C411">
            <v>16312000</v>
          </cell>
          <cell r="D411">
            <v>10462000</v>
          </cell>
          <cell r="E411">
            <v>0</v>
          </cell>
          <cell r="G411">
            <v>14386155.559999999</v>
          </cell>
          <cell r="H411">
            <v>8973281.1499999985</v>
          </cell>
          <cell r="I411">
            <v>0</v>
          </cell>
        </row>
        <row r="413">
          <cell r="C413">
            <v>315000</v>
          </cell>
          <cell r="D413">
            <v>2170000</v>
          </cell>
          <cell r="E413">
            <v>0</v>
          </cell>
          <cell r="G413">
            <v>315000</v>
          </cell>
          <cell r="H413">
            <v>1514125</v>
          </cell>
          <cell r="I413">
            <v>0</v>
          </cell>
        </row>
        <row r="442">
          <cell r="C442">
            <v>0</v>
          </cell>
          <cell r="D442">
            <v>226908.83000000002</v>
          </cell>
          <cell r="E442">
            <v>1237960</v>
          </cell>
          <cell r="H442">
            <v>226908.83000000002</v>
          </cell>
          <cell r="I442">
            <v>1188000.03</v>
          </cell>
        </row>
        <row r="449">
          <cell r="C449">
            <v>0</v>
          </cell>
          <cell r="D449">
            <v>0</v>
          </cell>
          <cell r="E449">
            <v>0</v>
          </cell>
          <cell r="H449">
            <v>0</v>
          </cell>
          <cell r="I449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H456">
            <v>0</v>
          </cell>
          <cell r="I456">
            <v>0</v>
          </cell>
        </row>
        <row r="463">
          <cell r="C463">
            <v>0</v>
          </cell>
          <cell r="D463">
            <v>2982.57</v>
          </cell>
          <cell r="E463">
            <v>0</v>
          </cell>
          <cell r="H463">
            <v>2982.57</v>
          </cell>
          <cell r="I463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H469">
            <v>0</v>
          </cell>
          <cell r="I469">
            <v>0</v>
          </cell>
        </row>
      </sheetData>
      <sheetData sheetId="27">
        <row r="14">
          <cell r="C14">
            <v>50651000</v>
          </cell>
          <cell r="D14">
            <v>0</v>
          </cell>
          <cell r="E14">
            <v>18439000</v>
          </cell>
          <cell r="AD14">
            <v>6136000</v>
          </cell>
          <cell r="AE14">
            <v>4391000</v>
          </cell>
          <cell r="AF14">
            <v>5435614</v>
          </cell>
          <cell r="AG14">
            <v>822000</v>
          </cell>
          <cell r="AH14">
            <v>8755000</v>
          </cell>
          <cell r="AJ14">
            <v>0</v>
          </cell>
          <cell r="AK14">
            <v>0</v>
          </cell>
          <cell r="AL14">
            <v>81625</v>
          </cell>
          <cell r="AM14">
            <v>0</v>
          </cell>
          <cell r="AN14">
            <v>1635000</v>
          </cell>
          <cell r="AP14">
            <v>964929</v>
          </cell>
          <cell r="AQ14">
            <v>0</v>
          </cell>
          <cell r="AR14">
            <v>0</v>
          </cell>
          <cell r="AS14">
            <v>0</v>
          </cell>
          <cell r="AT14">
            <v>1226537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C15">
            <v>45454578.409999996</v>
          </cell>
          <cell r="D15">
            <v>0</v>
          </cell>
          <cell r="E15">
            <v>17031427.32</v>
          </cell>
          <cell r="AD15">
            <v>5174820</v>
          </cell>
          <cell r="AE15">
            <v>3998969.1</v>
          </cell>
          <cell r="AF15">
            <v>4845712.6399999997</v>
          </cell>
          <cell r="AG15">
            <v>742066.56</v>
          </cell>
          <cell r="AH15">
            <v>7952869.8099999996</v>
          </cell>
          <cell r="AJ15">
            <v>0</v>
          </cell>
          <cell r="AK15">
            <v>0</v>
          </cell>
          <cell r="AL15">
            <v>81625</v>
          </cell>
          <cell r="AM15">
            <v>0</v>
          </cell>
          <cell r="AN15">
            <v>1499500</v>
          </cell>
          <cell r="AP15">
            <v>964928.26</v>
          </cell>
          <cell r="AQ15">
            <v>0</v>
          </cell>
          <cell r="AR15">
            <v>0</v>
          </cell>
          <cell r="AS15">
            <v>0</v>
          </cell>
          <cell r="AT15">
            <v>1226535.32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50">
          <cell r="C50">
            <v>10324000</v>
          </cell>
          <cell r="D50">
            <v>7375000</v>
          </cell>
          <cell r="E50">
            <v>195675000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7500000</v>
          </cell>
          <cell r="AX50">
            <v>7450000</v>
          </cell>
          <cell r="AY50">
            <v>0</v>
          </cell>
          <cell r="AZ50">
            <v>1530000</v>
          </cell>
        </row>
        <row r="51">
          <cell r="C51">
            <v>10320622.889999999</v>
          </cell>
          <cell r="D51">
            <v>4772290.49</v>
          </cell>
          <cell r="E51">
            <v>153801639.99999997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7491120.21</v>
          </cell>
          <cell r="AX51">
            <v>7439032.3300000001</v>
          </cell>
          <cell r="AY51">
            <v>0</v>
          </cell>
          <cell r="AZ51">
            <v>1530000</v>
          </cell>
        </row>
        <row r="142">
          <cell r="C142">
            <v>0</v>
          </cell>
          <cell r="D142">
            <v>0</v>
          </cell>
          <cell r="E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79">
          <cell r="C179">
            <v>5199798.700000003</v>
          </cell>
          <cell r="D179">
            <v>2602709.5099999998</v>
          </cell>
          <cell r="E179">
            <v>43280932.680000037</v>
          </cell>
          <cell r="F179">
            <v>51083440.890000015</v>
          </cell>
          <cell r="G179">
            <v>6808117.9400000051</v>
          </cell>
          <cell r="H179">
            <v>8789409</v>
          </cell>
          <cell r="I179">
            <v>2364459.91</v>
          </cell>
          <cell r="J179">
            <v>7666063.0199999958</v>
          </cell>
          <cell r="X179">
            <v>124527376.83</v>
          </cell>
          <cell r="Y179">
            <v>7368278.1399999969</v>
          </cell>
          <cell r="Z179">
            <v>719125.7000000003</v>
          </cell>
          <cell r="AA179">
            <v>1279978.4300000002</v>
          </cell>
          <cell r="AF179">
            <v>589901.36000000034</v>
          </cell>
          <cell r="AG179">
            <v>79933.439999999944</v>
          </cell>
          <cell r="AH179">
            <v>802130.19000000041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135500</v>
          </cell>
          <cell r="AO179">
            <v>135500</v>
          </cell>
          <cell r="AP179">
            <v>0.73999999999068677</v>
          </cell>
          <cell r="AR179">
            <v>0</v>
          </cell>
          <cell r="AS179">
            <v>0</v>
          </cell>
          <cell r="AT179">
            <v>1.6799999999348074</v>
          </cell>
          <cell r="AU179">
            <v>2.4199999999254942</v>
          </cell>
          <cell r="AV179">
            <v>0</v>
          </cell>
          <cell r="AW179">
            <v>8879.7900000000373</v>
          </cell>
          <cell r="AX179">
            <v>10967.669999999925</v>
          </cell>
          <cell r="AY179">
            <v>0</v>
          </cell>
          <cell r="AZ179">
            <v>0</v>
          </cell>
          <cell r="BA179">
            <v>19847.459999997169</v>
          </cell>
          <cell r="BX179">
            <v>176571998.46000004</v>
          </cell>
          <cell r="BY179">
            <v>14577306.770000003</v>
          </cell>
          <cell r="BZ179">
            <v>10109403.730000002</v>
          </cell>
          <cell r="CA179">
            <v>3724371.7800000003</v>
          </cell>
          <cell r="CB179">
            <v>8719300.850000035</v>
          </cell>
          <cell r="CC179">
            <v>213702381.59000006</v>
          </cell>
        </row>
        <row r="223">
          <cell r="C223">
            <v>242070.08999999985</v>
          </cell>
          <cell r="D223">
            <v>954146.40000000037</v>
          </cell>
          <cell r="E223">
            <v>1166974.799999997</v>
          </cell>
          <cell r="AV223">
            <v>0</v>
          </cell>
          <cell r="AW223">
            <v>7376285.2700000005</v>
          </cell>
          <cell r="AX223">
            <v>4589835</v>
          </cell>
          <cell r="AY223">
            <v>900000</v>
          </cell>
          <cell r="AZ223">
            <v>504481.74</v>
          </cell>
        </row>
        <row r="224">
          <cell r="C224">
            <v>242070.09</v>
          </cell>
          <cell r="D224">
            <v>954131.40000000014</v>
          </cell>
          <cell r="E224">
            <v>1166941.46</v>
          </cell>
          <cell r="AV224">
            <v>0</v>
          </cell>
          <cell r="AW224">
            <v>7376285.2700000014</v>
          </cell>
          <cell r="AX224">
            <v>4366785</v>
          </cell>
          <cell r="AY224">
            <v>866374.5</v>
          </cell>
          <cell r="AZ224">
            <v>504481.74</v>
          </cell>
        </row>
        <row r="315">
          <cell r="C315">
            <v>0</v>
          </cell>
          <cell r="D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52">
          <cell r="C352">
            <v>0</v>
          </cell>
          <cell r="D352">
            <v>15.000000000232831</v>
          </cell>
          <cell r="E352">
            <v>33.339999997057021</v>
          </cell>
          <cell r="F352">
            <v>48.339999997057021</v>
          </cell>
          <cell r="G352">
            <v>0</v>
          </cell>
          <cell r="H352">
            <v>0</v>
          </cell>
          <cell r="I352">
            <v>2445.61</v>
          </cell>
          <cell r="J352">
            <v>0</v>
          </cell>
          <cell r="K352">
            <v>2493.9499999973923</v>
          </cell>
          <cell r="AV352">
            <v>0</v>
          </cell>
          <cell r="AW352">
            <v>0</v>
          </cell>
          <cell r="AX352">
            <v>223050</v>
          </cell>
          <cell r="AY352">
            <v>33625.5</v>
          </cell>
          <cell r="AZ352">
            <v>0</v>
          </cell>
          <cell r="BH352">
            <v>12739353.129999988</v>
          </cell>
          <cell r="BQ352">
            <v>0</v>
          </cell>
          <cell r="BR352">
            <v>0</v>
          </cell>
          <cell r="BS352">
            <v>223050</v>
          </cell>
          <cell r="BT352">
            <v>33625.5</v>
          </cell>
          <cell r="BU352">
            <v>0</v>
          </cell>
          <cell r="BX352">
            <v>11654269.499999993</v>
          </cell>
          <cell r="BY352">
            <v>39034.300000000745</v>
          </cell>
          <cell r="BZ352">
            <v>418700</v>
          </cell>
          <cell r="CA352">
            <v>627349.33000000007</v>
          </cell>
          <cell r="CB352">
            <v>0</v>
          </cell>
        </row>
        <row r="387">
          <cell r="C387">
            <v>1105000</v>
          </cell>
          <cell r="D387">
            <v>82281414</v>
          </cell>
          <cell r="E387">
            <v>146598000</v>
          </cell>
          <cell r="G387">
            <v>1105000</v>
          </cell>
          <cell r="H387">
            <v>58364371.490000002</v>
          </cell>
          <cell r="I387">
            <v>45987665.68</v>
          </cell>
        </row>
        <row r="392">
          <cell r="C392">
            <v>47596000</v>
          </cell>
          <cell r="D392">
            <v>18954000</v>
          </cell>
          <cell r="E392">
            <v>0</v>
          </cell>
          <cell r="G392">
            <v>44594024.159999996</v>
          </cell>
          <cell r="H392">
            <v>15147857.899999999</v>
          </cell>
          <cell r="I392">
            <v>0</v>
          </cell>
        </row>
        <row r="394">
          <cell r="C394">
            <v>1095000</v>
          </cell>
          <cell r="D394">
            <v>15936000</v>
          </cell>
          <cell r="E394">
            <v>18000000</v>
          </cell>
          <cell r="G394">
            <v>1095000</v>
          </cell>
          <cell r="H394">
            <v>10581541.210000001</v>
          </cell>
          <cell r="I394">
            <v>15986180.65</v>
          </cell>
        </row>
        <row r="399">
          <cell r="C399">
            <v>59182000</v>
          </cell>
          <cell r="D399">
            <v>21837000</v>
          </cell>
          <cell r="E399">
            <v>0</v>
          </cell>
          <cell r="G399">
            <v>53852853.309999995</v>
          </cell>
          <cell r="H399">
            <v>18376737.690000001</v>
          </cell>
          <cell r="I399">
            <v>0</v>
          </cell>
        </row>
        <row r="401">
          <cell r="C401">
            <v>1280000</v>
          </cell>
          <cell r="D401">
            <v>21600000</v>
          </cell>
          <cell r="E401">
            <v>11000000</v>
          </cell>
          <cell r="G401">
            <v>1275000</v>
          </cell>
          <cell r="H401">
            <v>20906344.82</v>
          </cell>
          <cell r="I401">
            <v>10979529.48</v>
          </cell>
        </row>
        <row r="406">
          <cell r="C406">
            <v>9103000</v>
          </cell>
          <cell r="D406">
            <v>9635000</v>
          </cell>
          <cell r="E406">
            <v>0</v>
          </cell>
          <cell r="G406">
            <v>8496555.0299999993</v>
          </cell>
          <cell r="H406">
            <v>7876985.0599999996</v>
          </cell>
          <cell r="I406">
            <v>0</v>
          </cell>
        </row>
        <row r="408">
          <cell r="C408">
            <v>240000</v>
          </cell>
          <cell r="D408">
            <v>3290000</v>
          </cell>
          <cell r="E408">
            <v>8000000</v>
          </cell>
          <cell r="G408">
            <v>240000</v>
          </cell>
          <cell r="H408">
            <v>2117920.2800000003</v>
          </cell>
          <cell r="I408">
            <v>7892101.29</v>
          </cell>
        </row>
        <row r="412">
          <cell r="C412">
            <v>97352000</v>
          </cell>
          <cell r="D412">
            <v>44373000</v>
          </cell>
          <cell r="E412">
            <v>0</v>
          </cell>
          <cell r="G412">
            <v>90871211.590000004</v>
          </cell>
          <cell r="H412">
            <v>43187725.390000001</v>
          </cell>
          <cell r="I412">
            <v>0</v>
          </cell>
        </row>
        <row r="414">
          <cell r="C414">
            <v>2235000</v>
          </cell>
          <cell r="D414">
            <v>21592000</v>
          </cell>
          <cell r="E414">
            <v>289873882</v>
          </cell>
          <cell r="G414">
            <v>2235000</v>
          </cell>
          <cell r="H414">
            <v>21519734.219999999</v>
          </cell>
          <cell r="I414">
            <v>289830541.81999999</v>
          </cell>
        </row>
        <row r="450">
          <cell r="C450">
            <v>0</v>
          </cell>
          <cell r="D450">
            <v>1164893.4000000004</v>
          </cell>
          <cell r="E450">
            <v>0</v>
          </cell>
          <cell r="H450">
            <v>1164893.4000000001</v>
          </cell>
          <cell r="I450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H457">
            <v>0</v>
          </cell>
          <cell r="I457">
            <v>0</v>
          </cell>
        </row>
        <row r="464">
          <cell r="C464">
            <v>0</v>
          </cell>
          <cell r="D464">
            <v>2445.61</v>
          </cell>
          <cell r="E464">
            <v>0</v>
          </cell>
          <cell r="H464">
            <v>0</v>
          </cell>
          <cell r="I464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H470">
            <v>0</v>
          </cell>
          <cell r="I47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AR"/>
      <sheetName val="SAOB"/>
      <sheetName val="saob conap 2012"/>
      <sheetName val="bar 2012"/>
      <sheetName val="CAF AS OF MARCH 13"/>
      <sheetName val="savings"/>
      <sheetName val="Sheet1"/>
      <sheetName val="SUMCONAP"/>
    </sheetNames>
    <sheetDataSet>
      <sheetData sheetId="0" refreshError="1"/>
      <sheetData sheetId="1" refreshError="1"/>
      <sheetData sheetId="2" refreshError="1">
        <row r="6">
          <cell r="P6">
            <v>11759648.139999956</v>
          </cell>
          <cell r="Q6">
            <v>883480</v>
          </cell>
          <cell r="BT6">
            <v>11759648.140000001</v>
          </cell>
          <cell r="BU6">
            <v>737309</v>
          </cell>
        </row>
        <row r="8">
          <cell r="P8">
            <v>1025959.4799999967</v>
          </cell>
          <cell r="BT8">
            <v>1023423.39</v>
          </cell>
        </row>
        <row r="9">
          <cell r="P9">
            <v>8353813.3500000015</v>
          </cell>
          <cell r="Q9">
            <v>22134427.200000003</v>
          </cell>
          <cell r="BT9">
            <v>8353813.3500000006</v>
          </cell>
          <cell r="BU9">
            <v>22134427.199999999</v>
          </cell>
        </row>
        <row r="10">
          <cell r="P10">
            <v>4407216.299999997</v>
          </cell>
          <cell r="BT10">
            <v>1777383.25</v>
          </cell>
        </row>
        <row r="13">
          <cell r="P13">
            <v>7238295.4399998188</v>
          </cell>
          <cell r="BT13">
            <v>97623.179999999702</v>
          </cell>
        </row>
        <row r="33">
          <cell r="P33">
            <v>784921.86000000127</v>
          </cell>
          <cell r="BT33">
            <v>719926.13000000012</v>
          </cell>
        </row>
        <row r="34">
          <cell r="P34">
            <v>202912.81000000052</v>
          </cell>
          <cell r="BT34">
            <v>199362.19</v>
          </cell>
        </row>
        <row r="35">
          <cell r="P35">
            <v>484549.81000000238</v>
          </cell>
          <cell r="BT35">
            <v>484549.81</v>
          </cell>
        </row>
        <row r="42">
          <cell r="P42">
            <v>90220.610000003129</v>
          </cell>
          <cell r="BT42">
            <v>89025.75</v>
          </cell>
        </row>
        <row r="43">
          <cell r="P43">
            <v>797435.58999999799</v>
          </cell>
          <cell r="Q43">
            <v>4800000</v>
          </cell>
          <cell r="BT43">
            <v>739443.84</v>
          </cell>
          <cell r="BU43">
            <v>4033400</v>
          </cell>
        </row>
        <row r="44">
          <cell r="P44">
            <v>31134126.220000029</v>
          </cell>
          <cell r="BT44">
            <v>31124929.969999999</v>
          </cell>
        </row>
        <row r="48">
          <cell r="P48">
            <v>300590.89999999106</v>
          </cell>
          <cell r="BT48">
            <v>296581.56</v>
          </cell>
        </row>
        <row r="49">
          <cell r="P49">
            <v>899704.30999998748</v>
          </cell>
          <cell r="BT49">
            <v>899704.30999999994</v>
          </cell>
        </row>
        <row r="50">
          <cell r="P50">
            <v>10914598.399999976</v>
          </cell>
          <cell r="BT50">
            <v>10906902.049999999</v>
          </cell>
        </row>
        <row r="51">
          <cell r="P51">
            <v>234994.62999999523</v>
          </cell>
          <cell r="BT51">
            <v>233698.62</v>
          </cell>
        </row>
        <row r="52">
          <cell r="P52">
            <v>19363373.019999743</v>
          </cell>
          <cell r="BT52">
            <v>12063372.059999999</v>
          </cell>
        </row>
        <row r="54">
          <cell r="P54">
            <v>2639892.869999975</v>
          </cell>
          <cell r="BT54">
            <v>339892.87</v>
          </cell>
        </row>
        <row r="55">
          <cell r="P55">
            <v>10166840.369999997</v>
          </cell>
          <cell r="BT55">
            <v>10116426.370000001</v>
          </cell>
        </row>
        <row r="56">
          <cell r="P56">
            <v>63959005.539999962</v>
          </cell>
          <cell r="BT56">
            <v>63875255.539999992</v>
          </cell>
        </row>
        <row r="57">
          <cell r="P57">
            <v>591635.95999999344</v>
          </cell>
          <cell r="BT57">
            <v>524251.84</v>
          </cell>
        </row>
        <row r="58">
          <cell r="P58">
            <v>861425.87000000104</v>
          </cell>
          <cell r="BT58">
            <v>709992.01</v>
          </cell>
        </row>
        <row r="59">
          <cell r="P59">
            <v>13285994.369999975</v>
          </cell>
          <cell r="BT59">
            <v>10216631.040000001</v>
          </cell>
        </row>
        <row r="60">
          <cell r="P60">
            <v>8646110.930000037</v>
          </cell>
          <cell r="Q60">
            <v>80000000</v>
          </cell>
          <cell r="BT60">
            <v>8346545.9800000004</v>
          </cell>
          <cell r="BU60">
            <v>79997680</v>
          </cell>
        </row>
        <row r="61">
          <cell r="P61">
            <v>2844109.3199999928</v>
          </cell>
          <cell r="BT61">
            <v>2843122.2</v>
          </cell>
        </row>
        <row r="62">
          <cell r="P62">
            <v>6145517.900000006</v>
          </cell>
          <cell r="BT62">
            <v>3556976.2500000005</v>
          </cell>
        </row>
        <row r="63">
          <cell r="Q63">
            <v>574873763.85000038</v>
          </cell>
          <cell r="BU63">
            <v>383187622</v>
          </cell>
        </row>
        <row r="67">
          <cell r="P67">
            <v>904357</v>
          </cell>
          <cell r="BT67">
            <v>904357</v>
          </cell>
        </row>
        <row r="68">
          <cell r="P68">
            <v>410268.90000000037</v>
          </cell>
          <cell r="BT68">
            <v>410268.9</v>
          </cell>
        </row>
        <row r="69">
          <cell r="P69">
            <v>331857.63999999966</v>
          </cell>
          <cell r="BT69">
            <v>331857.64</v>
          </cell>
        </row>
        <row r="76">
          <cell r="P76">
            <v>8135065.3799999952</v>
          </cell>
          <cell r="BT76">
            <v>8135065.2400000002</v>
          </cell>
        </row>
        <row r="83">
          <cell r="P83">
            <v>2755759.83</v>
          </cell>
          <cell r="BT83">
            <v>2755434.9199999995</v>
          </cell>
        </row>
        <row r="84">
          <cell r="P84">
            <v>521592.04</v>
          </cell>
        </row>
        <row r="87">
          <cell r="P87">
            <v>22739619</v>
          </cell>
          <cell r="Q87">
            <v>198603750</v>
          </cell>
          <cell r="BT87">
            <v>9761980.5</v>
          </cell>
          <cell r="BU87">
            <v>60983789.039999999</v>
          </cell>
        </row>
        <row r="89">
          <cell r="Q89">
            <v>2900000000</v>
          </cell>
          <cell r="BU89">
            <v>1226580452.04</v>
          </cell>
        </row>
        <row r="90">
          <cell r="P90">
            <v>333384.09000000003</v>
          </cell>
        </row>
      </sheetData>
      <sheetData sheetId="3" refreshError="1">
        <row r="289">
          <cell r="J289">
            <v>218435645.28999981</v>
          </cell>
        </row>
        <row r="297">
          <cell r="J297">
            <v>1773419547.96</v>
          </cell>
        </row>
        <row r="328">
          <cell r="J328">
            <v>2143308093.7499998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MMARY2"/>
      <sheetName val="SUMM (ALL FUNDS)"/>
      <sheetName val="CONAP (ALL FUNDS)"/>
      <sheetName val="CY (ALL FUNDS)"/>
      <sheetName val="SUMM BY CLUSTER-CONAP"/>
      <sheetName val="SUMM BY CLUSTER-CY2013"/>
      <sheetName val="CY-FUR (REG)- Detail"/>
      <sheetName val="CONAP-FUR (REG)-Detail"/>
      <sheetName val="OSEC-CY"/>
      <sheetName val="OSEC-CONAP"/>
      <sheetName val="FAPS-CONAP"/>
      <sheetName val="FAPS-CY"/>
      <sheetName val="HOSP"/>
      <sheetName val="CHD"/>
      <sheetName val="OS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3">
          <cell r="AS43">
            <v>22916406415.754005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2"/>
      <sheetName val="SUMM (ALL FUNDS)"/>
      <sheetName val="CY (ALL FUNDS)"/>
      <sheetName val="CONAP (ALL FUNDS)"/>
      <sheetName val="SUMM BY CLUSTER-CY2013"/>
      <sheetName val="SUMM BY CLUSTER-CONAP"/>
      <sheetName val="CY-FUR (REG)- Detail"/>
      <sheetName val="CONAP-FUR (REG)-Detail"/>
      <sheetName val="OSEC-CY"/>
      <sheetName val="OSEC-CONAP"/>
      <sheetName val="FAPS-CONAP"/>
      <sheetName val="FAPS-CY"/>
      <sheetName val="HOSP"/>
      <sheetName val="CHD"/>
      <sheetName val="OSEC"/>
    </sheetNames>
    <sheetDataSet>
      <sheetData sheetId="0"/>
      <sheetData sheetId="1"/>
      <sheetData sheetId="2">
        <row r="1701">
          <cell r="F1701">
            <v>531378994</v>
          </cell>
        </row>
      </sheetData>
      <sheetData sheetId="3">
        <row r="31">
          <cell r="J31">
            <v>0</v>
          </cell>
        </row>
      </sheetData>
      <sheetData sheetId="4">
        <row r="9">
          <cell r="AS9">
            <v>11475109079.060001</v>
          </cell>
        </row>
      </sheetData>
      <sheetData sheetId="5"/>
      <sheetData sheetId="6">
        <row r="37">
          <cell r="B37">
            <v>117488000</v>
          </cell>
        </row>
        <row r="235">
          <cell r="B235">
            <v>26632000</v>
          </cell>
          <cell r="C235">
            <v>8940000</v>
          </cell>
          <cell r="D235">
            <v>0</v>
          </cell>
          <cell r="E235">
            <v>35572000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26632000</v>
          </cell>
          <cell r="K235">
            <v>8940000</v>
          </cell>
          <cell r="L235">
            <v>0</v>
          </cell>
          <cell r="M235">
            <v>35572000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C235">
            <v>35572000</v>
          </cell>
          <cell r="AG235">
            <v>11137305.66</v>
          </cell>
          <cell r="AK235">
            <v>0</v>
          </cell>
          <cell r="AO235">
            <v>11137305.66</v>
          </cell>
        </row>
        <row r="236">
          <cell r="B236">
            <v>1563000</v>
          </cell>
          <cell r="C236">
            <v>6326000</v>
          </cell>
          <cell r="D236">
            <v>0</v>
          </cell>
          <cell r="E236">
            <v>7889000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1563000</v>
          </cell>
          <cell r="K236">
            <v>6326000</v>
          </cell>
          <cell r="L236">
            <v>0</v>
          </cell>
          <cell r="M236">
            <v>7889000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C236">
            <v>7889000</v>
          </cell>
          <cell r="AG236">
            <v>954625.52</v>
          </cell>
          <cell r="AK236">
            <v>0</v>
          </cell>
          <cell r="AO236">
            <v>954625.52</v>
          </cell>
        </row>
        <row r="237">
          <cell r="B237">
            <v>38827000</v>
          </cell>
          <cell r="C237">
            <v>145001000</v>
          </cell>
          <cell r="D237">
            <v>0</v>
          </cell>
          <cell r="E237">
            <v>183828000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38827000</v>
          </cell>
          <cell r="K237">
            <v>145001000</v>
          </cell>
          <cell r="L237">
            <v>0</v>
          </cell>
          <cell r="M237">
            <v>183828000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C237">
            <v>342170802</v>
          </cell>
          <cell r="AG237">
            <v>23709137.550000001</v>
          </cell>
          <cell r="AK237">
            <v>20555829.899999999</v>
          </cell>
          <cell r="AO237">
            <v>44264967.450000003</v>
          </cell>
        </row>
        <row r="243">
          <cell r="B243">
            <v>17694000</v>
          </cell>
          <cell r="C243">
            <v>6448000</v>
          </cell>
          <cell r="D243">
            <v>0</v>
          </cell>
          <cell r="E243">
            <v>24142000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17694000</v>
          </cell>
          <cell r="K243">
            <v>6448000</v>
          </cell>
          <cell r="L243">
            <v>0</v>
          </cell>
          <cell r="M243">
            <v>24142000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C243">
            <v>24142000</v>
          </cell>
          <cell r="AG243">
            <v>10976083.609999999</v>
          </cell>
          <cell r="AK243">
            <v>0</v>
          </cell>
          <cell r="AO243">
            <v>10976083.609999999</v>
          </cell>
        </row>
        <row r="244">
          <cell r="B244">
            <v>1504000</v>
          </cell>
          <cell r="C244">
            <v>9057000</v>
          </cell>
          <cell r="D244">
            <v>0</v>
          </cell>
          <cell r="E244">
            <v>10561000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1504000</v>
          </cell>
          <cell r="K244">
            <v>9057000</v>
          </cell>
          <cell r="L244">
            <v>0</v>
          </cell>
          <cell r="M244">
            <v>10561000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C244">
            <v>10561000</v>
          </cell>
          <cell r="AG244">
            <v>2887536.11</v>
          </cell>
          <cell r="AK244">
            <v>0</v>
          </cell>
          <cell r="AO244">
            <v>2887536.11</v>
          </cell>
        </row>
        <row r="245">
          <cell r="B245">
            <v>47550000</v>
          </cell>
          <cell r="C245">
            <v>132915000</v>
          </cell>
          <cell r="D245">
            <v>0</v>
          </cell>
          <cell r="E245">
            <v>180465000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47550000</v>
          </cell>
          <cell r="K245">
            <v>132915000</v>
          </cell>
          <cell r="L245">
            <v>0</v>
          </cell>
          <cell r="M245">
            <v>180465000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C245">
            <v>280107483</v>
          </cell>
          <cell r="AG245">
            <v>52975617.630000003</v>
          </cell>
          <cell r="AK245">
            <v>31771776.32</v>
          </cell>
          <cell r="AO245">
            <v>84747393.950000003</v>
          </cell>
        </row>
      </sheetData>
      <sheetData sheetId="7">
        <row r="65">
          <cell r="B65">
            <v>0</v>
          </cell>
        </row>
      </sheetData>
      <sheetData sheetId="8">
        <row r="300">
          <cell r="J300">
            <v>11475109079.060001</v>
          </cell>
        </row>
      </sheetData>
      <sheetData sheetId="9">
        <row r="15">
          <cell r="H15">
            <v>250000</v>
          </cell>
        </row>
      </sheetData>
      <sheetData sheetId="10">
        <row r="14">
          <cell r="I14">
            <v>37628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R"/>
      <sheetName val="SAOB"/>
      <sheetName val="saob conap 2012"/>
      <sheetName val="bar 2012"/>
      <sheetName val="CAF AS OF MARCH 13"/>
      <sheetName val="savings"/>
      <sheetName val="Sheet1"/>
      <sheetName val="SUMCONAP"/>
    </sheetNames>
    <sheetDataSet>
      <sheetData sheetId="0"/>
      <sheetData sheetId="1"/>
      <sheetData sheetId="2"/>
      <sheetData sheetId="3">
        <row r="285">
          <cell r="D285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2"/>
      <sheetName val="SUMM (ALL FUNDS)"/>
      <sheetName val="CY (ALL FUNDS)"/>
      <sheetName val="CONAP (ALL FUNDS)"/>
      <sheetName val="SUMM BY CLUSTER- CURRENT"/>
      <sheetName val="SUMM BY CLUSTER- CONAP"/>
      <sheetName val="CY-FUR (REG)- Detail"/>
      <sheetName val="CONAP-FUR (REG)-Detail"/>
      <sheetName val="SUMM BY CLUSTER-CY2013(osec BC)"/>
      <sheetName val="SUMM BY CLUSTER-CONAP(osec BC)"/>
      <sheetName val="OSEC-CY"/>
      <sheetName val="OSEC-CONAP"/>
      <sheetName val="FAPS-CONAP"/>
      <sheetName val="FAPS-CY"/>
      <sheetName val="HOSP"/>
      <sheetName val="CHD"/>
      <sheetName val="OSEC"/>
    </sheetNames>
    <sheetDataSet>
      <sheetData sheetId="0"/>
      <sheetData sheetId="1"/>
      <sheetData sheetId="2">
        <row r="1707">
          <cell r="Q1707">
            <v>244066689.86000001</v>
          </cell>
        </row>
      </sheetData>
      <sheetData sheetId="3">
        <row r="1313">
          <cell r="Q1313">
            <v>3557103171.7500005</v>
          </cell>
        </row>
      </sheetData>
      <sheetData sheetId="4"/>
      <sheetData sheetId="5"/>
      <sheetData sheetId="6">
        <row r="37">
          <cell r="C37">
            <v>117488000</v>
          </cell>
        </row>
      </sheetData>
      <sheetData sheetId="7">
        <row r="70">
          <cell r="C70">
            <v>0</v>
          </cell>
        </row>
        <row r="267">
          <cell r="C267">
            <v>0</v>
          </cell>
          <cell r="D267">
            <v>711364118.76999986</v>
          </cell>
          <cell r="E267">
            <v>2894657913.0500002</v>
          </cell>
          <cell r="K267">
            <v>0</v>
          </cell>
          <cell r="L267">
            <v>762893243.12</v>
          </cell>
          <cell r="M267">
            <v>686537336.57000005</v>
          </cell>
          <cell r="N267">
            <v>1449430579.6899998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UMMARY2"/>
      <sheetName val="SUMM (ALL FUNDS)"/>
      <sheetName val="CY (ALL FUNDS)"/>
      <sheetName val="CONAP (ALL FUNDS)"/>
      <sheetName val="SUMM BY CLUSTER- CURRENT"/>
      <sheetName val="SUMM BY CLUSTER- CONAP"/>
      <sheetName val="CY-FUR (REG)- Detail"/>
      <sheetName val="CONAP-FUR (REG)-Detail"/>
      <sheetName val="SUMM BY CLUSTER-CY2013(osec BC)"/>
      <sheetName val="SUMM BY CLUSTER-CONAP(osec BC)"/>
      <sheetName val="OSEC-CONAP"/>
      <sheetName val="OSEC-CY"/>
      <sheetName val="FAPS-CONAP"/>
      <sheetName val="FAPS-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117488000</v>
          </cell>
        </row>
        <row r="267">
          <cell r="C267">
            <v>8866448000</v>
          </cell>
          <cell r="D267">
            <v>17861900000</v>
          </cell>
          <cell r="E267">
            <v>11086068000</v>
          </cell>
          <cell r="F267">
            <v>37814416000</v>
          </cell>
          <cell r="G267">
            <v>0</v>
          </cell>
          <cell r="H267">
            <v>-1350000</v>
          </cell>
          <cell r="I267">
            <v>1350000</v>
          </cell>
          <cell r="J267">
            <v>0</v>
          </cell>
          <cell r="K267">
            <v>8866448000</v>
          </cell>
          <cell r="L267">
            <v>17860550000</v>
          </cell>
          <cell r="M267">
            <v>11087418000</v>
          </cell>
          <cell r="N267">
            <v>37814416000</v>
          </cell>
          <cell r="O267">
            <v>8866448000</v>
          </cell>
          <cell r="P267">
            <v>17860550000</v>
          </cell>
          <cell r="Q267">
            <v>11087418000</v>
          </cell>
          <cell r="R267">
            <v>37814416000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8866448000</v>
          </cell>
          <cell r="AB267">
            <v>17860550000</v>
          </cell>
          <cell r="AC267">
            <v>11087418000</v>
          </cell>
          <cell r="AD267">
            <v>37814416000</v>
          </cell>
          <cell r="AE267">
            <v>6443310970.5</v>
          </cell>
          <cell r="AF267">
            <v>9142691138.3200016</v>
          </cell>
          <cell r="AG267">
            <v>1197835688.2799997</v>
          </cell>
          <cell r="AH267">
            <v>16783837797.1</v>
          </cell>
          <cell r="AI267">
            <v>605783.77</v>
          </cell>
          <cell r="AJ267">
            <v>2340758368.5599999</v>
          </cell>
          <cell r="AK267">
            <v>3424952611.9299994</v>
          </cell>
          <cell r="AL267">
            <v>5766316764.2599993</v>
          </cell>
          <cell r="AM267">
            <v>6443916754.2699995</v>
          </cell>
          <cell r="AN267">
            <v>11483449506.880003</v>
          </cell>
          <cell r="AO267">
            <v>4622788300.2099991</v>
          </cell>
          <cell r="AP267">
            <v>22550154561.360001</v>
          </cell>
          <cell r="AQ267">
            <v>2422531245.7300005</v>
          </cell>
          <cell r="AR267">
            <v>6377100493.119997</v>
          </cell>
          <cell r="AS267">
            <v>6464629699.7900009</v>
          </cell>
          <cell r="AU267">
            <v>0.72677545216190287</v>
          </cell>
          <cell r="AV267">
            <v>0.64295049743037047</v>
          </cell>
          <cell r="AW267">
            <v>0.41694002158212118</v>
          </cell>
          <cell r="AX267">
            <v>0.59633750687462683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</row>
      </sheetData>
      <sheetData sheetId="7" refreshError="1">
        <row r="59">
          <cell r="C59">
            <v>0</v>
          </cell>
        </row>
        <row r="70">
          <cell r="O70">
            <v>0</v>
          </cell>
          <cell r="P70">
            <v>0</v>
          </cell>
          <cell r="Q70">
            <v>0</v>
          </cell>
        </row>
        <row r="78">
          <cell r="O78">
            <v>0</v>
          </cell>
          <cell r="P78">
            <v>0</v>
          </cell>
          <cell r="Q78">
            <v>0</v>
          </cell>
        </row>
        <row r="79">
          <cell r="O79">
            <v>0</v>
          </cell>
          <cell r="P79">
            <v>0</v>
          </cell>
          <cell r="Q79">
            <v>0</v>
          </cell>
        </row>
        <row r="80">
          <cell r="O80">
            <v>0</v>
          </cell>
          <cell r="P80">
            <v>0</v>
          </cell>
          <cell r="Q80">
            <v>0</v>
          </cell>
        </row>
        <row r="81">
          <cell r="O81">
            <v>0</v>
          </cell>
          <cell r="P81">
            <v>2621061.09</v>
          </cell>
          <cell r="Q81">
            <v>0</v>
          </cell>
        </row>
        <row r="291">
          <cell r="O291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R45"/>
  <sheetViews>
    <sheetView workbookViewId="0">
      <pane xSplit="1" ySplit="6" topLeftCell="G31" activePane="bottomRight" state="frozen"/>
      <selection pane="topRight" activeCell="B1" sqref="B1"/>
      <selection pane="bottomLeft" activeCell="A7" sqref="A7"/>
      <selection pane="bottomRight" activeCell="K49" sqref="K49"/>
    </sheetView>
  </sheetViews>
  <sheetFormatPr defaultRowHeight="15" customHeight="1"/>
  <cols>
    <col min="1" max="1" width="39.5703125" style="999" customWidth="1"/>
    <col min="2" max="2" width="15.85546875" style="982" customWidth="1"/>
    <col min="3" max="3" width="15.28515625" style="982" customWidth="1"/>
    <col min="4" max="4" width="15.5703125" style="982" customWidth="1"/>
    <col min="5" max="5" width="13.42578125" style="982" customWidth="1"/>
    <col min="6" max="6" width="13.7109375" style="982" customWidth="1"/>
    <col min="7" max="8" width="15.42578125" style="982" customWidth="1"/>
    <col min="9" max="9" width="16.28515625" style="982" customWidth="1"/>
    <col min="10" max="10" width="12.5703125" style="982" customWidth="1"/>
    <col min="11" max="11" width="15" style="982" customWidth="1"/>
    <col min="12" max="12" width="14.85546875" style="982" customWidth="1"/>
    <col min="13" max="13" width="14.42578125" style="982" customWidth="1"/>
    <col min="14" max="14" width="4.5703125" style="983" customWidth="1"/>
    <col min="15" max="15" width="5.7109375" style="983" customWidth="1"/>
    <col min="16" max="16" width="4.42578125" style="983" customWidth="1"/>
    <col min="17" max="17" width="4.28515625" style="983" customWidth="1"/>
    <col min="18" max="18" width="14.28515625" style="984" bestFit="1" customWidth="1"/>
    <col min="19" max="20" width="9.140625" style="984"/>
    <col min="21" max="21" width="3.5703125" style="984" bestFit="1" customWidth="1"/>
    <col min="22" max="16384" width="9.140625" style="984"/>
  </cols>
  <sheetData>
    <row r="1" spans="1:18" s="945" customFormat="1" ht="12.75">
      <c r="A1" s="941" t="s">
        <v>48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3"/>
      <c r="O1" s="943"/>
      <c r="P1" s="943"/>
      <c r="Q1" s="944"/>
    </row>
    <row r="2" spans="1:18" s="945" customFormat="1" ht="12.75">
      <c r="A2" s="946" t="s">
        <v>734</v>
      </c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3"/>
      <c r="O2" s="943"/>
      <c r="P2" s="943"/>
      <c r="Q2" s="944"/>
    </row>
    <row r="3" spans="1:18" s="945" customFormat="1" ht="12.75">
      <c r="A3" s="946" t="s">
        <v>1116</v>
      </c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3"/>
      <c r="O3" s="943"/>
      <c r="P3" s="943"/>
      <c r="Q3" s="944"/>
    </row>
    <row r="4" spans="1:18" s="945" customFormat="1" ht="12.75">
      <c r="A4" s="947"/>
      <c r="B4" s="948"/>
      <c r="C4" s="948"/>
      <c r="D4" s="948"/>
      <c r="E4" s="942"/>
      <c r="F4" s="948"/>
      <c r="G4" s="948"/>
      <c r="H4" s="948"/>
      <c r="I4" s="942"/>
      <c r="J4" s="948"/>
      <c r="K4" s="948"/>
      <c r="L4" s="948"/>
      <c r="M4" s="942"/>
      <c r="N4" s="949"/>
      <c r="O4" s="949"/>
      <c r="P4" s="949"/>
      <c r="Q4" s="944"/>
    </row>
    <row r="5" spans="1:18" s="950" customFormat="1" ht="12.75">
      <c r="A5" s="1412" t="s">
        <v>0</v>
      </c>
      <c r="B5" s="1414" t="s">
        <v>49</v>
      </c>
      <c r="C5" s="1414"/>
      <c r="D5" s="1414"/>
      <c r="E5" s="1414"/>
      <c r="F5" s="1414" t="s">
        <v>93</v>
      </c>
      <c r="G5" s="1414"/>
      <c r="H5" s="1414"/>
      <c r="I5" s="1414"/>
      <c r="J5" s="1414" t="s">
        <v>94</v>
      </c>
      <c r="K5" s="1414"/>
      <c r="L5" s="1414"/>
      <c r="M5" s="1414"/>
      <c r="N5" s="1415" t="s">
        <v>1059</v>
      </c>
      <c r="O5" s="1415"/>
      <c r="P5" s="1415"/>
      <c r="Q5" s="1415"/>
    </row>
    <row r="6" spans="1:18" s="950" customFormat="1" ht="24.75" thickBot="1">
      <c r="A6" s="1413"/>
      <c r="B6" s="951" t="s">
        <v>1</v>
      </c>
      <c r="C6" s="951" t="s">
        <v>2</v>
      </c>
      <c r="D6" s="951" t="s">
        <v>3</v>
      </c>
      <c r="E6" s="951" t="s">
        <v>4</v>
      </c>
      <c r="F6" s="951" t="s">
        <v>1</v>
      </c>
      <c r="G6" s="951" t="s">
        <v>2</v>
      </c>
      <c r="H6" s="951" t="s">
        <v>3</v>
      </c>
      <c r="I6" s="951" t="s">
        <v>4</v>
      </c>
      <c r="J6" s="951" t="s">
        <v>1</v>
      </c>
      <c r="K6" s="951" t="s">
        <v>2</v>
      </c>
      <c r="L6" s="951" t="s">
        <v>3</v>
      </c>
      <c r="M6" s="951" t="s">
        <v>4</v>
      </c>
      <c r="N6" s="952" t="s">
        <v>1</v>
      </c>
      <c r="O6" s="952" t="s">
        <v>2</v>
      </c>
      <c r="P6" s="952" t="s">
        <v>3</v>
      </c>
      <c r="Q6" s="952" t="s">
        <v>1060</v>
      </c>
    </row>
    <row r="7" spans="1:18" s="957" customFormat="1" ht="15.75" thickBot="1">
      <c r="A7" s="953" t="s">
        <v>1061</v>
      </c>
      <c r="B7" s="954">
        <f>+B8+B10+B18</f>
        <v>10391549984.6</v>
      </c>
      <c r="C7" s="954">
        <f>+C8+C10+C18</f>
        <v>18436679211.34</v>
      </c>
      <c r="D7" s="954">
        <f>+D8+D10+D18</f>
        <v>11115391109</v>
      </c>
      <c r="E7" s="954">
        <f>SUM(B7:D7)</f>
        <v>39943620304.940002</v>
      </c>
      <c r="F7" s="954">
        <f>+F8+F10+F18</f>
        <v>9402130579.3900013</v>
      </c>
      <c r="G7" s="954">
        <f>+G8+G10+G18</f>
        <v>13462475133.410002</v>
      </c>
      <c r="H7" s="954">
        <f>+H8+H10+H18</f>
        <v>5095731944.6999989</v>
      </c>
      <c r="I7" s="954">
        <f>SUM(F7:H7)</f>
        <v>27960337657.5</v>
      </c>
      <c r="J7" s="954">
        <f>+B7-F7</f>
        <v>989419405.20999908</v>
      </c>
      <c r="K7" s="954">
        <f>+C7-G7</f>
        <v>4974204077.9299984</v>
      </c>
      <c r="L7" s="954">
        <f>+D7-H7</f>
        <v>6019659164.3000011</v>
      </c>
      <c r="M7" s="954">
        <f>SUM(J7:L7)</f>
        <v>11983282647.439999</v>
      </c>
      <c r="N7" s="955">
        <f>IF(B7=0,"",F7/B7)</f>
        <v>0.90478615734165813</v>
      </c>
      <c r="O7" s="955">
        <f>IF(C7=0,"",G7/C7)</f>
        <v>0.73020064942766516</v>
      </c>
      <c r="P7" s="955">
        <f>IF(D7=0,"",H7/D7)</f>
        <v>0.45843928429779185</v>
      </c>
      <c r="Q7" s="955">
        <f>IF(E7=0,"",I7/E7)</f>
        <v>0.69999507916517079</v>
      </c>
      <c r="R7" s="956">
        <f>+M7-'CY (ALL FUNDS)'!Q1850</f>
        <v>0</v>
      </c>
    </row>
    <row r="8" spans="1:18" s="961" customFormat="1" ht="14.25">
      <c r="A8" s="958" t="s">
        <v>1062</v>
      </c>
      <c r="B8" s="959">
        <f>+'CY (ALL FUNDS)'!F1831</f>
        <v>8966747274</v>
      </c>
      <c r="C8" s="959">
        <f>+'CY (ALL FUNDS)'!G1831</f>
        <v>17760250726</v>
      </c>
      <c r="D8" s="959">
        <f>+'CY (ALL FUNDS)'!H1831</f>
        <v>11087418000</v>
      </c>
      <c r="E8" s="959">
        <f t="shared" ref="E8:E38" si="0">SUM(B8:D8)</f>
        <v>37814416000</v>
      </c>
      <c r="F8" s="959">
        <f>+'CY (ALL FUNDS)'!J1831</f>
        <v>8179176940.0900011</v>
      </c>
      <c r="G8" s="959">
        <f>+'CY (ALL FUNDS)'!K1831</f>
        <v>13065321938.560001</v>
      </c>
      <c r="H8" s="959">
        <f>+'CY (ALL FUNDS)'!L1831</f>
        <v>5095731944.6999989</v>
      </c>
      <c r="I8" s="959">
        <f t="shared" ref="I8:I38" si="1">SUM(F8:H8)</f>
        <v>26340230823.349998</v>
      </c>
      <c r="J8" s="959">
        <f t="shared" ref="J8:L38" si="2">+B8-F8</f>
        <v>787570333.90999889</v>
      </c>
      <c r="K8" s="959">
        <f t="shared" si="2"/>
        <v>4694928787.4399986</v>
      </c>
      <c r="L8" s="959">
        <f t="shared" si="2"/>
        <v>5991686055.3000011</v>
      </c>
      <c r="M8" s="959">
        <f t="shared" ref="M8:M38" si="3">SUM(J8:L8)</f>
        <v>11474185176.649998</v>
      </c>
      <c r="N8" s="960">
        <f t="shared" ref="N8:Q38" si="4">IF(B8=0,"",F8/B8)</f>
        <v>0.9121676668423967</v>
      </c>
      <c r="O8" s="960">
        <f t="shared" si="4"/>
        <v>0.73564963356249868</v>
      </c>
      <c r="P8" s="960">
        <f t="shared" si="4"/>
        <v>0.45959590814561141</v>
      </c>
      <c r="Q8" s="960">
        <f t="shared" si="4"/>
        <v>0.6965658500014914</v>
      </c>
      <c r="R8" s="1131">
        <f>+M8-'CY (ALL FUNDS)'!Q1831</f>
        <v>0</v>
      </c>
    </row>
    <row r="9" spans="1:18" s="965" customFormat="1" ht="14.25">
      <c r="A9" s="962"/>
      <c r="B9" s="963"/>
      <c r="C9" s="963"/>
      <c r="D9" s="963"/>
      <c r="E9" s="963">
        <f t="shared" si="0"/>
        <v>0</v>
      </c>
      <c r="F9" s="963"/>
      <c r="G9" s="963"/>
      <c r="H9" s="963"/>
      <c r="I9" s="963">
        <f t="shared" si="1"/>
        <v>0</v>
      </c>
      <c r="J9" s="963">
        <f t="shared" si="2"/>
        <v>0</v>
      </c>
      <c r="K9" s="963">
        <f t="shared" si="2"/>
        <v>0</v>
      </c>
      <c r="L9" s="963">
        <f t="shared" si="2"/>
        <v>0</v>
      </c>
      <c r="M9" s="963">
        <f t="shared" si="3"/>
        <v>0</v>
      </c>
      <c r="N9" s="964" t="str">
        <f t="shared" si="4"/>
        <v/>
      </c>
      <c r="O9" s="964" t="str">
        <f t="shared" si="4"/>
        <v/>
      </c>
      <c r="P9" s="964" t="str">
        <f t="shared" si="4"/>
        <v/>
      </c>
      <c r="Q9" s="964" t="str">
        <f t="shared" si="4"/>
        <v/>
      </c>
    </row>
    <row r="10" spans="1:18" s="961" customFormat="1" ht="14.25">
      <c r="A10" s="958" t="s">
        <v>1063</v>
      </c>
      <c r="B10" s="959">
        <f>SUM(B11:B16)</f>
        <v>800603295</v>
      </c>
      <c r="C10" s="959">
        <f t="shared" ref="C10:D10" si="5">SUM(C11:C16)</f>
        <v>391845750.34000003</v>
      </c>
      <c r="D10" s="959">
        <f t="shared" si="5"/>
        <v>0</v>
      </c>
      <c r="E10" s="959">
        <f t="shared" ref="E10:M10" si="6">SUM(E11:E16)</f>
        <v>1192449045.3400002</v>
      </c>
      <c r="F10" s="959">
        <f>SUM(F11:F16)</f>
        <v>701983848.01999998</v>
      </c>
      <c r="G10" s="959">
        <f t="shared" ref="G10" si="7">SUM(G11:G16)</f>
        <v>179620486.57999998</v>
      </c>
      <c r="H10" s="959">
        <f t="shared" ref="H10" si="8">SUM(H11:H16)</f>
        <v>0</v>
      </c>
      <c r="I10" s="959">
        <f t="shared" si="6"/>
        <v>881604334.5999999</v>
      </c>
      <c r="J10" s="959">
        <f t="shared" si="6"/>
        <v>98619446.980000019</v>
      </c>
      <c r="K10" s="959">
        <f t="shared" si="6"/>
        <v>212225263.76000002</v>
      </c>
      <c r="L10" s="959">
        <f t="shared" si="6"/>
        <v>0</v>
      </c>
      <c r="M10" s="959">
        <f t="shared" si="6"/>
        <v>310844710.74000007</v>
      </c>
      <c r="N10" s="966">
        <f t="shared" si="4"/>
        <v>0.87681858468993679</v>
      </c>
      <c r="O10" s="966">
        <f t="shared" si="4"/>
        <v>0.45839590304129968</v>
      </c>
      <c r="P10" s="966" t="str">
        <f t="shared" si="4"/>
        <v/>
      </c>
      <c r="Q10" s="966">
        <f t="shared" si="4"/>
        <v>0.73932243733620517</v>
      </c>
      <c r="R10" s="1131">
        <f>+M10-'CY (ALL FUNDS)'!Q1834</f>
        <v>0</v>
      </c>
    </row>
    <row r="11" spans="1:18" s="965" customFormat="1" ht="14.25">
      <c r="A11" s="967" t="s">
        <v>286</v>
      </c>
      <c r="B11" s="963">
        <f>+'CY (ALL FUNDS)'!F1835</f>
        <v>800603295</v>
      </c>
      <c r="C11" s="963">
        <f>+'CY (ALL FUNDS)'!G1835</f>
        <v>0</v>
      </c>
      <c r="D11" s="963">
        <f>+'CY (ALL FUNDS)'!H1835</f>
        <v>0</v>
      </c>
      <c r="E11" s="963">
        <f t="shared" si="0"/>
        <v>800603295</v>
      </c>
      <c r="F11" s="963">
        <f>+'CY (ALL FUNDS)'!J1835</f>
        <v>701983848.01999998</v>
      </c>
      <c r="G11" s="963">
        <f>+'CY (ALL FUNDS)'!K1835</f>
        <v>0</v>
      </c>
      <c r="H11" s="963">
        <f>+'CY (ALL FUNDS)'!L1835</f>
        <v>0</v>
      </c>
      <c r="I11" s="963">
        <f t="shared" si="1"/>
        <v>701983848.01999998</v>
      </c>
      <c r="J11" s="963">
        <f t="shared" si="2"/>
        <v>98619446.980000019</v>
      </c>
      <c r="K11" s="963">
        <f t="shared" si="2"/>
        <v>0</v>
      </c>
      <c r="L11" s="963">
        <f t="shared" si="2"/>
        <v>0</v>
      </c>
      <c r="M11" s="963">
        <f t="shared" si="3"/>
        <v>98619446.980000019</v>
      </c>
      <c r="N11" s="964">
        <f t="shared" si="4"/>
        <v>0.87681858468993679</v>
      </c>
      <c r="O11" s="964" t="str">
        <f t="shared" si="4"/>
        <v/>
      </c>
      <c r="P11" s="964" t="str">
        <f t="shared" si="4"/>
        <v/>
      </c>
      <c r="Q11" s="964">
        <f t="shared" si="4"/>
        <v>0.87681858468993679</v>
      </c>
    </row>
    <row r="12" spans="1:18" s="965" customFormat="1" ht="14.25">
      <c r="A12" s="967" t="s">
        <v>943</v>
      </c>
      <c r="B12" s="963">
        <f>+'CY (ALL FUNDS)'!F1836</f>
        <v>0</v>
      </c>
      <c r="C12" s="963">
        <f>+'CY (ALL FUNDS)'!G1836</f>
        <v>95007690</v>
      </c>
      <c r="D12" s="963">
        <f>+'CY (ALL FUNDS)'!H1836</f>
        <v>0</v>
      </c>
      <c r="E12" s="963">
        <f>SUM(B12:D12)</f>
        <v>95007690</v>
      </c>
      <c r="F12" s="963">
        <f>+'CY (ALL FUNDS)'!J1836</f>
        <v>0</v>
      </c>
      <c r="G12" s="963">
        <f>+'CY (ALL FUNDS)'!K1836</f>
        <v>95007690</v>
      </c>
      <c r="H12" s="963">
        <f>+'CY (ALL FUNDS)'!L1836</f>
        <v>0</v>
      </c>
      <c r="I12" s="963">
        <f>SUM(F12:H12)</f>
        <v>95007690</v>
      </c>
      <c r="J12" s="963">
        <f>+B12-F12</f>
        <v>0</v>
      </c>
      <c r="K12" s="963">
        <f>+C12-G12</f>
        <v>0</v>
      </c>
      <c r="L12" s="963">
        <f>+D12-H12</f>
        <v>0</v>
      </c>
      <c r="M12" s="963">
        <f>SUM(J12:L12)</f>
        <v>0</v>
      </c>
      <c r="N12" s="964" t="str">
        <f t="shared" si="4"/>
        <v/>
      </c>
      <c r="O12" s="964">
        <f t="shared" si="4"/>
        <v>1</v>
      </c>
      <c r="P12" s="964" t="str">
        <f t="shared" si="4"/>
        <v/>
      </c>
      <c r="Q12" s="964">
        <f t="shared" si="4"/>
        <v>1</v>
      </c>
    </row>
    <row r="13" spans="1:18" s="965" customFormat="1" ht="14.25">
      <c r="A13" s="967" t="s">
        <v>956</v>
      </c>
      <c r="B13" s="963">
        <f>+'CY (ALL FUNDS)'!F1837</f>
        <v>0</v>
      </c>
      <c r="C13" s="963">
        <f>+'CY (ALL FUNDS)'!G1837</f>
        <v>12930755</v>
      </c>
      <c r="D13" s="963">
        <f>+'CY (ALL FUNDS)'!H1837</f>
        <v>0</v>
      </c>
      <c r="E13" s="963">
        <f t="shared" ref="E13" si="9">SUM(B13:D13)</f>
        <v>12930755</v>
      </c>
      <c r="F13" s="963">
        <f>+'CY (ALL FUNDS)'!J1837</f>
        <v>0</v>
      </c>
      <c r="G13" s="963">
        <f>+'CY (ALL FUNDS)'!K1837</f>
        <v>12930754.550000001</v>
      </c>
      <c r="H13" s="963">
        <f>+'CY (ALL FUNDS)'!L1837</f>
        <v>0</v>
      </c>
      <c r="I13" s="963">
        <f t="shared" ref="I13" si="10">SUM(F13:H13)</f>
        <v>12930754.550000001</v>
      </c>
      <c r="J13" s="963">
        <f t="shared" ref="J13:L13" si="11">+B13-F13</f>
        <v>0</v>
      </c>
      <c r="K13" s="963">
        <f t="shared" si="11"/>
        <v>0.44999999925494194</v>
      </c>
      <c r="L13" s="963">
        <f t="shared" si="11"/>
        <v>0</v>
      </c>
      <c r="M13" s="963">
        <f t="shared" ref="M13" si="12">SUM(J13:L13)</f>
        <v>0.44999999925494194</v>
      </c>
      <c r="N13" s="964" t="str">
        <f t="shared" si="4"/>
        <v/>
      </c>
      <c r="O13" s="964">
        <f t="shared" si="4"/>
        <v>0.99999996519924794</v>
      </c>
      <c r="P13" s="964" t="str">
        <f t="shared" si="4"/>
        <v/>
      </c>
      <c r="Q13" s="964">
        <f t="shared" si="4"/>
        <v>0.99999996519924794</v>
      </c>
    </row>
    <row r="14" spans="1:18" s="965" customFormat="1" ht="14.25">
      <c r="A14" s="967" t="s">
        <v>1064</v>
      </c>
      <c r="B14" s="968"/>
      <c r="C14" s="968"/>
      <c r="D14" s="968"/>
      <c r="E14" s="963">
        <f t="shared" si="0"/>
        <v>0</v>
      </c>
      <c r="F14" s="968"/>
      <c r="G14" s="968"/>
      <c r="H14" s="968"/>
      <c r="I14" s="963">
        <f t="shared" si="1"/>
        <v>0</v>
      </c>
      <c r="J14" s="963">
        <f t="shared" si="2"/>
        <v>0</v>
      </c>
      <c r="K14" s="963">
        <f t="shared" si="2"/>
        <v>0</v>
      </c>
      <c r="L14" s="963">
        <f t="shared" si="2"/>
        <v>0</v>
      </c>
      <c r="M14" s="963">
        <f t="shared" si="3"/>
        <v>0</v>
      </c>
      <c r="N14" s="964" t="str">
        <f t="shared" si="4"/>
        <v/>
      </c>
      <c r="O14" s="964" t="str">
        <f t="shared" si="4"/>
        <v/>
      </c>
      <c r="P14" s="964" t="str">
        <f t="shared" si="4"/>
        <v/>
      </c>
      <c r="Q14" s="964" t="str">
        <f t="shared" si="4"/>
        <v/>
      </c>
    </row>
    <row r="15" spans="1:18" s="965" customFormat="1" ht="14.25">
      <c r="A15" s="969" t="s">
        <v>1065</v>
      </c>
      <c r="B15" s="963">
        <f>+'CY (ALL FUNDS)'!F1839</f>
        <v>0</v>
      </c>
      <c r="C15" s="963">
        <f>+'CY (ALL FUNDS)'!G1839</f>
        <v>6073530.1100000003</v>
      </c>
      <c r="D15" s="963">
        <f>+'CY (ALL FUNDS)'!H1839</f>
        <v>0</v>
      </c>
      <c r="E15" s="963">
        <f t="shared" si="0"/>
        <v>6073530.1100000003</v>
      </c>
      <c r="F15" s="963">
        <f>+'CY (ALL FUNDS)'!J1839</f>
        <v>0</v>
      </c>
      <c r="G15" s="963">
        <f>+'CY (ALL FUNDS)'!K1839</f>
        <v>4038276.77</v>
      </c>
      <c r="H15" s="963">
        <f>+'CY (ALL FUNDS)'!L1839</f>
        <v>0</v>
      </c>
      <c r="I15" s="963">
        <f t="shared" si="1"/>
        <v>4038276.77</v>
      </c>
      <c r="J15" s="963">
        <f t="shared" si="2"/>
        <v>0</v>
      </c>
      <c r="K15" s="963">
        <f t="shared" si="2"/>
        <v>2035253.3400000003</v>
      </c>
      <c r="L15" s="963">
        <f t="shared" si="2"/>
        <v>0</v>
      </c>
      <c r="M15" s="963">
        <f t="shared" si="3"/>
        <v>2035253.3400000003</v>
      </c>
      <c r="N15" s="964" t="str">
        <f t="shared" si="4"/>
        <v/>
      </c>
      <c r="O15" s="964">
        <f t="shared" si="4"/>
        <v>0.66489779368196789</v>
      </c>
      <c r="P15" s="964" t="str">
        <f t="shared" si="4"/>
        <v/>
      </c>
      <c r="Q15" s="964">
        <f t="shared" si="4"/>
        <v>0.66489779368196789</v>
      </c>
    </row>
    <row r="16" spans="1:18" s="965" customFormat="1" ht="14.25">
      <c r="A16" s="969" t="s">
        <v>1066</v>
      </c>
      <c r="B16" s="963">
        <f>+'CY (ALL FUNDS)'!F1840</f>
        <v>0</v>
      </c>
      <c r="C16" s="963">
        <f>+'CY (ALL FUNDS)'!G1840</f>
        <v>277833775.23000002</v>
      </c>
      <c r="D16" s="963">
        <f>+'CY (ALL FUNDS)'!H1840</f>
        <v>0</v>
      </c>
      <c r="E16" s="963">
        <f>SUM(B16:D16)</f>
        <v>277833775.23000002</v>
      </c>
      <c r="F16" s="963">
        <f>+'CY (ALL FUNDS)'!J1840</f>
        <v>0</v>
      </c>
      <c r="G16" s="963">
        <f>+'CY (ALL FUNDS)'!K1840</f>
        <v>67643765.260000005</v>
      </c>
      <c r="H16" s="963">
        <f>+'CY (ALL FUNDS)'!L1840</f>
        <v>0</v>
      </c>
      <c r="I16" s="963">
        <f>SUM(F16:H16)</f>
        <v>67643765.260000005</v>
      </c>
      <c r="J16" s="963">
        <f>+B16-F16</f>
        <v>0</v>
      </c>
      <c r="K16" s="963">
        <f>+C16-G16</f>
        <v>210190009.97000003</v>
      </c>
      <c r="L16" s="963">
        <f>+D16-H16</f>
        <v>0</v>
      </c>
      <c r="M16" s="963">
        <f>SUM(J16:L16)</f>
        <v>210190009.97000003</v>
      </c>
      <c r="N16" s="964" t="str">
        <f>IF(B16=0,"",F16/B16)</f>
        <v/>
      </c>
      <c r="O16" s="964">
        <f>IF(C16=0,"",G16/C16)</f>
        <v>0.24346847392474963</v>
      </c>
      <c r="P16" s="964" t="str">
        <f>IF(D16=0,"",H16/D16)</f>
        <v/>
      </c>
      <c r="Q16" s="964">
        <f>IF(E16=0,"",I16/E16)</f>
        <v>0.24346847392474963</v>
      </c>
    </row>
    <row r="17" spans="1:18" s="965" customFormat="1" ht="14.25">
      <c r="A17" s="967"/>
      <c r="B17" s="963"/>
      <c r="C17" s="963"/>
      <c r="D17" s="963"/>
      <c r="E17" s="963">
        <f t="shared" si="0"/>
        <v>0</v>
      </c>
      <c r="F17" s="963"/>
      <c r="G17" s="963"/>
      <c r="H17" s="963"/>
      <c r="I17" s="963">
        <f t="shared" si="1"/>
        <v>0</v>
      </c>
      <c r="J17" s="963">
        <f t="shared" si="2"/>
        <v>0</v>
      </c>
      <c r="K17" s="963">
        <f t="shared" si="2"/>
        <v>0</v>
      </c>
      <c r="L17" s="963">
        <f t="shared" si="2"/>
        <v>0</v>
      </c>
      <c r="M17" s="963">
        <f t="shared" si="3"/>
        <v>0</v>
      </c>
      <c r="N17" s="964" t="str">
        <f t="shared" si="4"/>
        <v/>
      </c>
      <c r="O17" s="964" t="str">
        <f t="shared" si="4"/>
        <v/>
      </c>
      <c r="P17" s="964" t="str">
        <f t="shared" si="4"/>
        <v/>
      </c>
      <c r="Q17" s="964" t="str">
        <f t="shared" si="4"/>
        <v/>
      </c>
    </row>
    <row r="18" spans="1:18" s="961" customFormat="1" ht="14.25">
      <c r="A18" s="958" t="s">
        <v>1067</v>
      </c>
      <c r="B18" s="959">
        <f>SUM(B19:B23)</f>
        <v>624199415.60000002</v>
      </c>
      <c r="C18" s="959">
        <f t="shared" ref="C18:D18" si="13">SUM(C19:C23)</f>
        <v>284582735</v>
      </c>
      <c r="D18" s="959">
        <f t="shared" si="13"/>
        <v>27973109</v>
      </c>
      <c r="E18" s="959">
        <f t="shared" ref="E18:M18" si="14">SUM(E19:E23)</f>
        <v>936755259.60000002</v>
      </c>
      <c r="F18" s="959">
        <f>SUM(F19:F23)</f>
        <v>520969791.28000003</v>
      </c>
      <c r="G18" s="959">
        <f t="shared" ref="G18" si="15">SUM(G19:G23)</f>
        <v>217532708.27000001</v>
      </c>
      <c r="H18" s="959">
        <f t="shared" ref="H18" si="16">SUM(H19:H23)</f>
        <v>0</v>
      </c>
      <c r="I18" s="959">
        <f t="shared" si="14"/>
        <v>738502499.55000007</v>
      </c>
      <c r="J18" s="959">
        <f t="shared" si="14"/>
        <v>103229624.31999999</v>
      </c>
      <c r="K18" s="959">
        <f t="shared" si="14"/>
        <v>67050026.729999989</v>
      </c>
      <c r="L18" s="959">
        <f t="shared" si="14"/>
        <v>27973109</v>
      </c>
      <c r="M18" s="959">
        <f t="shared" si="14"/>
        <v>198252760.04999998</v>
      </c>
      <c r="N18" s="966">
        <f t="shared" si="4"/>
        <v>0.83462076102590954</v>
      </c>
      <c r="O18" s="966">
        <f t="shared" si="4"/>
        <v>0.76439179723956208</v>
      </c>
      <c r="P18" s="966">
        <f t="shared" si="4"/>
        <v>0</v>
      </c>
      <c r="Q18" s="966">
        <f t="shared" si="4"/>
        <v>0.78836226643162377</v>
      </c>
      <c r="R18" s="1131">
        <f>+M18-'CY (ALL FUNDS)'!Q1842</f>
        <v>0</v>
      </c>
    </row>
    <row r="19" spans="1:18" s="965" customFormat="1" ht="14.25">
      <c r="A19" s="967" t="s">
        <v>288</v>
      </c>
      <c r="B19" s="963">
        <f>+'CY (ALL FUNDS)'!F1843</f>
        <v>315744003.60000002</v>
      </c>
      <c r="C19" s="963">
        <f>+'CY (ALL FUNDS)'!G1843</f>
        <v>0</v>
      </c>
      <c r="D19" s="963">
        <f>+'CY (ALL FUNDS)'!H1843</f>
        <v>0</v>
      </c>
      <c r="E19" s="963">
        <f t="shared" si="0"/>
        <v>315744003.60000002</v>
      </c>
      <c r="F19" s="963">
        <f>+'CY (ALL FUNDS)'!J1843</f>
        <v>296378026.88999999</v>
      </c>
      <c r="G19" s="963">
        <f>+'CY (ALL FUNDS)'!K1843</f>
        <v>0</v>
      </c>
      <c r="H19" s="963">
        <f>+'CY (ALL FUNDS)'!L1843</f>
        <v>0</v>
      </c>
      <c r="I19" s="963">
        <f t="shared" si="1"/>
        <v>296378026.88999999</v>
      </c>
      <c r="J19" s="963">
        <f t="shared" si="2"/>
        <v>19365976.710000038</v>
      </c>
      <c r="K19" s="963">
        <f t="shared" si="2"/>
        <v>0</v>
      </c>
      <c r="L19" s="963">
        <f t="shared" si="2"/>
        <v>0</v>
      </c>
      <c r="M19" s="963">
        <f t="shared" si="3"/>
        <v>19365976.710000038</v>
      </c>
      <c r="N19" s="964">
        <f t="shared" si="4"/>
        <v>0.93866557562710262</v>
      </c>
      <c r="O19" s="964" t="str">
        <f t="shared" si="4"/>
        <v/>
      </c>
      <c r="P19" s="964" t="str">
        <f t="shared" si="4"/>
        <v/>
      </c>
      <c r="Q19" s="964">
        <f t="shared" si="4"/>
        <v>0.93866557562710262</v>
      </c>
    </row>
    <row r="20" spans="1:18" s="965" customFormat="1" ht="14.25">
      <c r="A20" s="967" t="s">
        <v>289</v>
      </c>
      <c r="B20" s="963">
        <f>+'CY (ALL FUNDS)'!F1844</f>
        <v>308455412</v>
      </c>
      <c r="C20" s="963">
        <f>+'CY (ALL FUNDS)'!G1844</f>
        <v>0</v>
      </c>
      <c r="D20" s="963">
        <f>+'CY (ALL FUNDS)'!H1844</f>
        <v>0</v>
      </c>
      <c r="E20" s="963">
        <f t="shared" si="0"/>
        <v>308455412</v>
      </c>
      <c r="F20" s="963">
        <f>+'CY (ALL FUNDS)'!J1844</f>
        <v>224591764.39000005</v>
      </c>
      <c r="G20" s="963">
        <f>+'CY (ALL FUNDS)'!K1844</f>
        <v>0</v>
      </c>
      <c r="H20" s="963">
        <f>+'CY (ALL FUNDS)'!L1844</f>
        <v>0</v>
      </c>
      <c r="I20" s="963">
        <f t="shared" si="1"/>
        <v>224591764.39000005</v>
      </c>
      <c r="J20" s="963">
        <f t="shared" si="2"/>
        <v>83863647.609999955</v>
      </c>
      <c r="K20" s="963">
        <f t="shared" si="2"/>
        <v>0</v>
      </c>
      <c r="L20" s="963">
        <f t="shared" si="2"/>
        <v>0</v>
      </c>
      <c r="M20" s="963">
        <f t="shared" si="3"/>
        <v>83863647.609999955</v>
      </c>
      <c r="N20" s="964">
        <f t="shared" si="4"/>
        <v>0.7281174382182668</v>
      </c>
      <c r="O20" s="964" t="str">
        <f t="shared" si="4"/>
        <v/>
      </c>
      <c r="P20" s="964" t="str">
        <f t="shared" si="4"/>
        <v/>
      </c>
      <c r="Q20" s="964">
        <f t="shared" si="4"/>
        <v>0.7281174382182668</v>
      </c>
    </row>
    <row r="21" spans="1:18" s="965" customFormat="1" ht="14.25">
      <c r="A21" s="967" t="s">
        <v>1068</v>
      </c>
      <c r="B21" s="963">
        <f>+'CY (ALL FUNDS)'!F1845</f>
        <v>0</v>
      </c>
      <c r="C21" s="963">
        <f>+'CY (ALL FUNDS)'!G1845</f>
        <v>0</v>
      </c>
      <c r="D21" s="963">
        <f>+'CY (ALL FUNDS)'!H1845</f>
        <v>22473109</v>
      </c>
      <c r="E21" s="963">
        <f t="shared" ref="E21:E22" si="17">SUM(B21:D21)</f>
        <v>22473109</v>
      </c>
      <c r="F21" s="963">
        <f>+'CY (ALL FUNDS)'!J1845</f>
        <v>0</v>
      </c>
      <c r="G21" s="963">
        <f>+'CY (ALL FUNDS)'!K1845</f>
        <v>0</v>
      </c>
      <c r="H21" s="963">
        <f>+'CY (ALL FUNDS)'!L1845</f>
        <v>0</v>
      </c>
      <c r="I21" s="963">
        <f t="shared" ref="I21:I22" si="18">SUM(F21:H21)</f>
        <v>0</v>
      </c>
      <c r="J21" s="963">
        <f t="shared" si="2"/>
        <v>0</v>
      </c>
      <c r="K21" s="963">
        <f t="shared" si="2"/>
        <v>0</v>
      </c>
      <c r="L21" s="963">
        <f t="shared" si="2"/>
        <v>22473109</v>
      </c>
      <c r="M21" s="963">
        <f t="shared" ref="M21:M22" si="19">SUM(J21:L21)</f>
        <v>22473109</v>
      </c>
      <c r="N21" s="964" t="str">
        <f t="shared" si="4"/>
        <v/>
      </c>
      <c r="O21" s="964" t="str">
        <f t="shared" si="4"/>
        <v/>
      </c>
      <c r="P21" s="964">
        <f t="shared" si="4"/>
        <v>0</v>
      </c>
      <c r="Q21" s="964">
        <f t="shared" si="4"/>
        <v>0</v>
      </c>
    </row>
    <row r="22" spans="1:18" s="965" customFormat="1" ht="14.25">
      <c r="A22" s="967" t="s">
        <v>1069</v>
      </c>
      <c r="B22" s="963">
        <f>+'CY (ALL FUNDS)'!F1846</f>
        <v>0</v>
      </c>
      <c r="C22" s="963">
        <f>+'CY (ALL FUNDS)'!G1846</f>
        <v>7190000</v>
      </c>
      <c r="D22" s="963">
        <f>+'CY (ALL FUNDS)'!H1846</f>
        <v>0</v>
      </c>
      <c r="E22" s="963">
        <f t="shared" si="17"/>
        <v>7190000</v>
      </c>
      <c r="F22" s="963">
        <f>+'CY (ALL FUNDS)'!J1846</f>
        <v>0</v>
      </c>
      <c r="G22" s="963">
        <f>+'CY (ALL FUNDS)'!K1846</f>
        <v>0</v>
      </c>
      <c r="H22" s="963">
        <f>+'CY (ALL FUNDS)'!L1846</f>
        <v>0</v>
      </c>
      <c r="I22" s="963">
        <f t="shared" si="18"/>
        <v>0</v>
      </c>
      <c r="J22" s="963">
        <f t="shared" si="2"/>
        <v>0</v>
      </c>
      <c r="K22" s="963">
        <f t="shared" si="2"/>
        <v>7190000</v>
      </c>
      <c r="L22" s="963">
        <f t="shared" si="2"/>
        <v>0</v>
      </c>
      <c r="M22" s="963">
        <f t="shared" si="19"/>
        <v>7190000</v>
      </c>
      <c r="N22" s="964" t="str">
        <f t="shared" si="4"/>
        <v/>
      </c>
      <c r="O22" s="964">
        <f t="shared" si="4"/>
        <v>0</v>
      </c>
      <c r="P22" s="964" t="str">
        <f t="shared" si="4"/>
        <v/>
      </c>
      <c r="Q22" s="964">
        <f t="shared" si="4"/>
        <v>0</v>
      </c>
    </row>
    <row r="23" spans="1:18" s="965" customFormat="1" ht="14.25">
      <c r="A23" s="967" t="s">
        <v>290</v>
      </c>
      <c r="B23" s="963">
        <f>+'CY (ALL FUNDS)'!F1847</f>
        <v>0</v>
      </c>
      <c r="C23" s="963">
        <f>+'CY (ALL FUNDS)'!G1847</f>
        <v>277392735</v>
      </c>
      <c r="D23" s="963">
        <f>+'CY (ALL FUNDS)'!H1847</f>
        <v>5500000</v>
      </c>
      <c r="E23" s="963">
        <f t="shared" si="0"/>
        <v>282892735</v>
      </c>
      <c r="F23" s="963">
        <f>+'CY (ALL FUNDS)'!J1847</f>
        <v>0</v>
      </c>
      <c r="G23" s="963">
        <f>+'CY (ALL FUNDS)'!K1847</f>
        <v>217532708.27000001</v>
      </c>
      <c r="H23" s="963">
        <f>+'CY (ALL FUNDS)'!L1847</f>
        <v>0</v>
      </c>
      <c r="I23" s="963">
        <f t="shared" si="1"/>
        <v>217532708.27000001</v>
      </c>
      <c r="J23" s="963">
        <f t="shared" si="2"/>
        <v>0</v>
      </c>
      <c r="K23" s="963">
        <f t="shared" si="2"/>
        <v>59860026.729999989</v>
      </c>
      <c r="L23" s="963">
        <f t="shared" si="2"/>
        <v>5500000</v>
      </c>
      <c r="M23" s="963">
        <f t="shared" si="3"/>
        <v>65360026.729999989</v>
      </c>
      <c r="N23" s="964" t="str">
        <f t="shared" si="4"/>
        <v/>
      </c>
      <c r="O23" s="964">
        <f t="shared" si="4"/>
        <v>0.78420477836234614</v>
      </c>
      <c r="P23" s="964">
        <f t="shared" si="4"/>
        <v>0</v>
      </c>
      <c r="Q23" s="964">
        <f t="shared" si="4"/>
        <v>0.76895827059680411</v>
      </c>
    </row>
    <row r="24" spans="1:18" s="965" customFormat="1" ht="14.25">
      <c r="A24" s="970"/>
      <c r="B24" s="963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4"/>
      <c r="O24" s="964"/>
      <c r="P24" s="964"/>
      <c r="Q24" s="964"/>
    </row>
    <row r="25" spans="1:18" s="957" customFormat="1" ht="15.75" thickBot="1">
      <c r="A25" s="971" t="s">
        <v>1070</v>
      </c>
      <c r="B25" s="972">
        <f>+B26+B28+B35</f>
        <v>0</v>
      </c>
      <c r="C25" s="972">
        <f t="shared" ref="C25:D25" si="20">+C26+C28+C35</f>
        <v>1655646107.5499992</v>
      </c>
      <c r="D25" s="972">
        <f t="shared" si="20"/>
        <v>4708948983.6199999</v>
      </c>
      <c r="E25" s="972">
        <f t="shared" ref="E25:M25" si="21">+E26+E28+E35</f>
        <v>6364595091.1699991</v>
      </c>
      <c r="F25" s="972">
        <f>+F26+F28+F35</f>
        <v>0</v>
      </c>
      <c r="G25" s="972">
        <f t="shared" ref="G25" si="22">+G26+G28+G35</f>
        <v>1260057175.01</v>
      </c>
      <c r="H25" s="972">
        <f t="shared" ref="H25" si="23">+H26+H28+H35</f>
        <v>2273130034.1499996</v>
      </c>
      <c r="I25" s="972">
        <f t="shared" si="21"/>
        <v>3533187209.1599998</v>
      </c>
      <c r="J25" s="972">
        <f t="shared" si="21"/>
        <v>0</v>
      </c>
      <c r="K25" s="972">
        <f t="shared" si="21"/>
        <v>395588932.53999937</v>
      </c>
      <c r="L25" s="972">
        <f t="shared" si="21"/>
        <v>2435818949.4700003</v>
      </c>
      <c r="M25" s="972">
        <f t="shared" si="21"/>
        <v>2831407882.0099998</v>
      </c>
      <c r="N25" s="973" t="str">
        <f t="shared" si="4"/>
        <v/>
      </c>
      <c r="O25" s="973">
        <f t="shared" si="4"/>
        <v>0.76106673356337851</v>
      </c>
      <c r="P25" s="973">
        <f t="shared" si="4"/>
        <v>0.48272555979201398</v>
      </c>
      <c r="Q25" s="973">
        <f t="shared" si="4"/>
        <v>0.5551314983197928</v>
      </c>
      <c r="R25" s="956">
        <f>+M25-'CONAP (ALL FUNDS)'!Q1363</f>
        <v>0</v>
      </c>
    </row>
    <row r="26" spans="1:18" s="961" customFormat="1" ht="14.25">
      <c r="A26" s="974" t="s">
        <v>1071</v>
      </c>
      <c r="B26" s="959">
        <f>+'CONAP (ALL FUNDS)'!F1349</f>
        <v>0</v>
      </c>
      <c r="C26" s="959">
        <f>+'CONAP (ALL FUNDS)'!G1349</f>
        <v>1258909065.7599993</v>
      </c>
      <c r="D26" s="959">
        <f>+'CONAP (ALL FUNDS)'!H1349</f>
        <v>4470642333.6199999</v>
      </c>
      <c r="E26" s="959">
        <f t="shared" si="0"/>
        <v>5729551399.3799992</v>
      </c>
      <c r="F26" s="959">
        <f>+'CONAP (ALL FUNDS)'!J1349</f>
        <v>0</v>
      </c>
      <c r="G26" s="959">
        <f>+'CONAP (ALL FUNDS)'!K1349</f>
        <v>926772884.23000002</v>
      </c>
      <c r="H26" s="959">
        <f>+'CONAP (ALL FUNDS)'!L1349</f>
        <v>2198560245.1099997</v>
      </c>
      <c r="I26" s="959">
        <f t="shared" si="1"/>
        <v>3125333129.3399997</v>
      </c>
      <c r="J26" s="959">
        <f t="shared" si="2"/>
        <v>0</v>
      </c>
      <c r="K26" s="959">
        <f t="shared" si="2"/>
        <v>332136181.52999926</v>
      </c>
      <c r="L26" s="959">
        <f t="shared" si="2"/>
        <v>2272082088.5100002</v>
      </c>
      <c r="M26" s="959">
        <f t="shared" si="3"/>
        <v>2604218270.0399995</v>
      </c>
      <c r="N26" s="960" t="str">
        <f t="shared" si="4"/>
        <v/>
      </c>
      <c r="O26" s="960">
        <f t="shared" si="4"/>
        <v>0.73617142765630195</v>
      </c>
      <c r="P26" s="960">
        <f t="shared" si="4"/>
        <v>0.49177726175418868</v>
      </c>
      <c r="Q26" s="960">
        <f t="shared" si="4"/>
        <v>0.54547606112377234</v>
      </c>
    </row>
    <row r="27" spans="1:18" s="965" customFormat="1" ht="14.25">
      <c r="A27" s="962"/>
      <c r="B27" s="963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4"/>
      <c r="O27" s="964"/>
      <c r="P27" s="964"/>
      <c r="Q27" s="964"/>
    </row>
    <row r="28" spans="1:18" s="961" customFormat="1" ht="14.25">
      <c r="A28" s="958" t="s">
        <v>1063</v>
      </c>
      <c r="B28" s="959">
        <f>SUM(B30:B33)</f>
        <v>0</v>
      </c>
      <c r="C28" s="959">
        <f t="shared" ref="C28:D28" si="24">SUM(C30:C33)</f>
        <v>26350354.959999997</v>
      </c>
      <c r="D28" s="959">
        <f t="shared" si="24"/>
        <v>198603750</v>
      </c>
      <c r="E28" s="959">
        <f t="shared" si="0"/>
        <v>224954104.96000001</v>
      </c>
      <c r="F28" s="959">
        <f>SUM(F30:F33)</f>
        <v>0</v>
      </c>
      <c r="G28" s="959">
        <f t="shared" ref="G28:H28" si="25">SUM(G30:G33)</f>
        <v>12517415.42</v>
      </c>
      <c r="H28" s="959">
        <f t="shared" si="25"/>
        <v>60983789.039999999</v>
      </c>
      <c r="I28" s="959">
        <f t="shared" si="1"/>
        <v>73501204.459999993</v>
      </c>
      <c r="J28" s="959">
        <f t="shared" si="2"/>
        <v>0</v>
      </c>
      <c r="K28" s="959">
        <f t="shared" si="2"/>
        <v>13832939.539999997</v>
      </c>
      <c r="L28" s="959">
        <f t="shared" si="2"/>
        <v>137619960.96000001</v>
      </c>
      <c r="M28" s="959">
        <f t="shared" si="3"/>
        <v>151452900.5</v>
      </c>
      <c r="N28" s="966" t="str">
        <f t="shared" si="4"/>
        <v/>
      </c>
      <c r="O28" s="966">
        <f t="shared" si="4"/>
        <v>0.47503782924372423</v>
      </c>
      <c r="P28" s="966">
        <f t="shared" si="4"/>
        <v>0.30706262615887164</v>
      </c>
      <c r="Q28" s="966">
        <f t="shared" si="4"/>
        <v>0.32673866730758055</v>
      </c>
      <c r="R28" s="1131">
        <f>+M28-'CONAP (ALL FUNDS)'!Q1352</f>
        <v>0</v>
      </c>
    </row>
    <row r="29" spans="1:18" s="965" customFormat="1" ht="14.25">
      <c r="A29" s="967" t="s">
        <v>1064</v>
      </c>
      <c r="B29" s="968"/>
      <c r="C29" s="968"/>
      <c r="D29" s="968"/>
      <c r="E29" s="963">
        <f t="shared" si="0"/>
        <v>0</v>
      </c>
      <c r="F29" s="968"/>
      <c r="G29" s="968"/>
      <c r="H29" s="968"/>
      <c r="I29" s="963"/>
      <c r="J29" s="963"/>
      <c r="K29" s="963"/>
      <c r="L29" s="963"/>
      <c r="M29" s="963"/>
      <c r="N29" s="964" t="str">
        <f t="shared" si="4"/>
        <v/>
      </c>
      <c r="O29" s="964" t="str">
        <f t="shared" si="4"/>
        <v/>
      </c>
      <c r="P29" s="964" t="str">
        <f t="shared" si="4"/>
        <v/>
      </c>
      <c r="Q29" s="964" t="str">
        <f t="shared" si="4"/>
        <v/>
      </c>
    </row>
    <row r="30" spans="1:18" s="965" customFormat="1" ht="14.25">
      <c r="A30" s="969" t="s">
        <v>1072</v>
      </c>
      <c r="B30" s="963">
        <f>+'CONAP (ALL FUNDS)'!F1354</f>
        <v>0</v>
      </c>
      <c r="C30" s="963">
        <f>+'CONAP (ALL FUNDS)'!G1354</f>
        <v>22739619</v>
      </c>
      <c r="D30" s="963">
        <f>+'CONAP (ALL FUNDS)'!H1354</f>
        <v>198603750</v>
      </c>
      <c r="E30" s="963">
        <f t="shared" si="0"/>
        <v>221343369</v>
      </c>
      <c r="F30" s="963">
        <f>+'CONAP (ALL FUNDS)'!J1354</f>
        <v>0</v>
      </c>
      <c r="G30" s="963">
        <f>+'CONAP (ALL FUNDS)'!K1354</f>
        <v>9761980.5</v>
      </c>
      <c r="H30" s="963">
        <f>+'CONAP (ALL FUNDS)'!L1354</f>
        <v>60983789.039999999</v>
      </c>
      <c r="I30" s="963">
        <f t="shared" si="1"/>
        <v>70745769.539999992</v>
      </c>
      <c r="J30" s="963">
        <f t="shared" si="2"/>
        <v>0</v>
      </c>
      <c r="K30" s="963">
        <f t="shared" si="2"/>
        <v>12977638.5</v>
      </c>
      <c r="L30" s="963">
        <f t="shared" si="2"/>
        <v>137619960.96000001</v>
      </c>
      <c r="M30" s="963">
        <f t="shared" si="3"/>
        <v>150597599.46000001</v>
      </c>
      <c r="N30" s="964" t="str">
        <f t="shared" si="4"/>
        <v/>
      </c>
      <c r="O30" s="964">
        <f t="shared" si="4"/>
        <v>0.42929393408042588</v>
      </c>
      <c r="P30" s="964">
        <f t="shared" si="4"/>
        <v>0.30706262615887164</v>
      </c>
      <c r="Q30" s="964">
        <f t="shared" si="4"/>
        <v>0.31962000876565672</v>
      </c>
    </row>
    <row r="31" spans="1:18" s="965" customFormat="1" ht="28.5">
      <c r="A31" s="969" t="s">
        <v>1073</v>
      </c>
      <c r="B31" s="963">
        <f>+'CONAP (ALL FUNDS)'!F1355</f>
        <v>0</v>
      </c>
      <c r="C31" s="963">
        <f>+'CONAP (ALL FUNDS)'!G1355</f>
        <v>521592.04</v>
      </c>
      <c r="D31" s="963">
        <f>+'CONAP (ALL FUNDS)'!H1355</f>
        <v>0</v>
      </c>
      <c r="E31" s="963">
        <f t="shared" si="0"/>
        <v>521592.04</v>
      </c>
      <c r="F31" s="963">
        <f>+'CONAP (ALL FUNDS)'!J1355</f>
        <v>0</v>
      </c>
      <c r="G31" s="963">
        <f>+'CONAP (ALL FUNDS)'!K1355</f>
        <v>0</v>
      </c>
      <c r="H31" s="963">
        <f>+'CONAP (ALL FUNDS)'!L1355</f>
        <v>0</v>
      </c>
      <c r="I31" s="963">
        <f t="shared" si="1"/>
        <v>0</v>
      </c>
      <c r="J31" s="963">
        <f t="shared" si="2"/>
        <v>0</v>
      </c>
      <c r="K31" s="963">
        <f t="shared" si="2"/>
        <v>521592.04</v>
      </c>
      <c r="L31" s="963">
        <f t="shared" si="2"/>
        <v>0</v>
      </c>
      <c r="M31" s="963">
        <f t="shared" si="3"/>
        <v>521592.04</v>
      </c>
      <c r="N31" s="964" t="str">
        <f t="shared" si="4"/>
        <v/>
      </c>
      <c r="O31" s="964">
        <f t="shared" si="4"/>
        <v>0</v>
      </c>
      <c r="P31" s="964" t="str">
        <f t="shared" si="4"/>
        <v/>
      </c>
      <c r="Q31" s="964">
        <f t="shared" si="4"/>
        <v>0</v>
      </c>
    </row>
    <row r="32" spans="1:18" s="965" customFormat="1" ht="14.25">
      <c r="A32" s="969" t="s">
        <v>1065</v>
      </c>
      <c r="B32" s="963">
        <f>+'CONAP (ALL FUNDS)'!F1356</f>
        <v>0</v>
      </c>
      <c r="C32" s="963">
        <f>+'CONAP (ALL FUNDS)'!G1356</f>
        <v>2755759.83</v>
      </c>
      <c r="D32" s="963">
        <f>+'CONAP (ALL FUNDS)'!H1356</f>
        <v>0</v>
      </c>
      <c r="E32" s="963">
        <f t="shared" si="0"/>
        <v>2755759.83</v>
      </c>
      <c r="F32" s="963">
        <f>+'CONAP (ALL FUNDS)'!J1356</f>
        <v>0</v>
      </c>
      <c r="G32" s="963">
        <f>+'CONAP (ALL FUNDS)'!K1356</f>
        <v>2755434.9199999995</v>
      </c>
      <c r="H32" s="963">
        <f>+'CONAP (ALL FUNDS)'!L1356</f>
        <v>0</v>
      </c>
      <c r="I32" s="963">
        <f t="shared" si="1"/>
        <v>2755434.9199999995</v>
      </c>
      <c r="J32" s="963">
        <f t="shared" si="2"/>
        <v>0</v>
      </c>
      <c r="K32" s="963">
        <f t="shared" si="2"/>
        <v>324.91000000061467</v>
      </c>
      <c r="L32" s="963">
        <f t="shared" si="2"/>
        <v>0</v>
      </c>
      <c r="M32" s="963">
        <f t="shared" si="3"/>
        <v>324.91000000061467</v>
      </c>
      <c r="N32" s="964" t="str">
        <f t="shared" si="4"/>
        <v/>
      </c>
      <c r="O32" s="964">
        <f t="shared" si="4"/>
        <v>0.99988209785320781</v>
      </c>
      <c r="P32" s="964" t="str">
        <f t="shared" si="4"/>
        <v/>
      </c>
      <c r="Q32" s="964">
        <f t="shared" si="4"/>
        <v>0.99988209785320781</v>
      </c>
    </row>
    <row r="33" spans="1:18" s="965" customFormat="1" ht="14.25">
      <c r="A33" s="975" t="s">
        <v>1074</v>
      </c>
      <c r="B33" s="963">
        <f>+'CONAP (ALL FUNDS)'!F1357</f>
        <v>0</v>
      </c>
      <c r="C33" s="963">
        <f>+'CONAP (ALL FUNDS)'!G1357</f>
        <v>333384.09000000003</v>
      </c>
      <c r="D33" s="963">
        <f>+'CONAP (ALL FUNDS)'!H1357</f>
        <v>0</v>
      </c>
      <c r="E33" s="963">
        <f t="shared" si="0"/>
        <v>333384.09000000003</v>
      </c>
      <c r="F33" s="963">
        <f>+'CONAP (ALL FUNDS)'!J1357</f>
        <v>0</v>
      </c>
      <c r="G33" s="963">
        <f>+'CONAP (ALL FUNDS)'!K1357</f>
        <v>0</v>
      </c>
      <c r="H33" s="963">
        <f>+'CONAP (ALL FUNDS)'!L1357</f>
        <v>0</v>
      </c>
      <c r="I33" s="963">
        <f t="shared" si="1"/>
        <v>0</v>
      </c>
      <c r="J33" s="963">
        <f t="shared" si="2"/>
        <v>0</v>
      </c>
      <c r="K33" s="963">
        <f t="shared" si="2"/>
        <v>333384.09000000003</v>
      </c>
      <c r="L33" s="963">
        <f t="shared" si="2"/>
        <v>0</v>
      </c>
      <c r="M33" s="963">
        <f t="shared" si="3"/>
        <v>333384.09000000003</v>
      </c>
      <c r="N33" s="964" t="str">
        <f t="shared" si="4"/>
        <v/>
      </c>
      <c r="O33" s="964">
        <f t="shared" si="4"/>
        <v>0</v>
      </c>
      <c r="P33" s="964" t="str">
        <f t="shared" si="4"/>
        <v/>
      </c>
      <c r="Q33" s="964">
        <f t="shared" si="4"/>
        <v>0</v>
      </c>
    </row>
    <row r="34" spans="1:18" s="965" customFormat="1" ht="14.25">
      <c r="A34" s="967"/>
      <c r="B34" s="963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4"/>
      <c r="O34" s="964"/>
      <c r="P34" s="964"/>
      <c r="Q34" s="964"/>
    </row>
    <row r="35" spans="1:18" s="961" customFormat="1" ht="14.25">
      <c r="A35" s="958" t="s">
        <v>1067</v>
      </c>
      <c r="B35" s="959">
        <f t="shared" ref="B35" si="26">SUM(B36:B37)</f>
        <v>0</v>
      </c>
      <c r="C35" s="959">
        <f t="shared" ref="C35:D35" si="27">SUM(C36:C37)</f>
        <v>370386686.83000004</v>
      </c>
      <c r="D35" s="959">
        <f t="shared" si="27"/>
        <v>39702900</v>
      </c>
      <c r="E35" s="959">
        <f t="shared" si="0"/>
        <v>410089586.83000004</v>
      </c>
      <c r="F35" s="959">
        <f t="shared" ref="F35:H35" si="28">SUM(F36:F37)</f>
        <v>0</v>
      </c>
      <c r="G35" s="959">
        <f t="shared" si="28"/>
        <v>320766875.35999995</v>
      </c>
      <c r="H35" s="959">
        <f t="shared" si="28"/>
        <v>13586000</v>
      </c>
      <c r="I35" s="959">
        <f t="shared" si="1"/>
        <v>334352875.35999995</v>
      </c>
      <c r="J35" s="959">
        <f t="shared" si="2"/>
        <v>0</v>
      </c>
      <c r="K35" s="959">
        <f t="shared" si="2"/>
        <v>49619811.470000088</v>
      </c>
      <c r="L35" s="959">
        <f t="shared" si="2"/>
        <v>26116900</v>
      </c>
      <c r="M35" s="959">
        <f t="shared" si="3"/>
        <v>75736711.470000088</v>
      </c>
      <c r="N35" s="966" t="str">
        <f t="shared" si="4"/>
        <v/>
      </c>
      <c r="O35" s="966">
        <f t="shared" si="4"/>
        <v>0.86603241089824978</v>
      </c>
      <c r="P35" s="966">
        <f t="shared" si="4"/>
        <v>0.34219162831934191</v>
      </c>
      <c r="Q35" s="966">
        <f t="shared" si="4"/>
        <v>0.8153166676202479</v>
      </c>
      <c r="R35" s="1131">
        <f>+M35-'CONAP (ALL FUNDS)'!Q1359</f>
        <v>0</v>
      </c>
    </row>
    <row r="36" spans="1:18" s="965" customFormat="1" ht="14.25">
      <c r="A36" s="967" t="s">
        <v>290</v>
      </c>
      <c r="B36" s="963">
        <f>+'CONAP (ALL FUNDS)'!F1360</f>
        <v>0</v>
      </c>
      <c r="C36" s="963">
        <f>+'CONAP (ALL FUNDS)'!G1360</f>
        <v>357485537.83000004</v>
      </c>
      <c r="D36" s="963">
        <f>+'CONAP (ALL FUNDS)'!H1360</f>
        <v>39702900</v>
      </c>
      <c r="E36" s="963">
        <f t="shared" si="0"/>
        <v>397188437.83000004</v>
      </c>
      <c r="F36" s="963">
        <f>+'CONAP (ALL FUNDS)'!J1360</f>
        <v>0</v>
      </c>
      <c r="G36" s="963">
        <f>+'CONAP (ALL FUNDS)'!K1360</f>
        <v>309061868.78999996</v>
      </c>
      <c r="H36" s="963">
        <f>+'CONAP (ALL FUNDS)'!L1360</f>
        <v>13586000</v>
      </c>
      <c r="I36" s="963">
        <f t="shared" si="1"/>
        <v>322647868.78999996</v>
      </c>
      <c r="J36" s="963">
        <f t="shared" si="2"/>
        <v>0</v>
      </c>
      <c r="K36" s="963">
        <f t="shared" si="2"/>
        <v>48423669.040000081</v>
      </c>
      <c r="L36" s="963">
        <f t="shared" si="2"/>
        <v>26116900</v>
      </c>
      <c r="M36" s="963">
        <f t="shared" si="3"/>
        <v>74540569.040000081</v>
      </c>
      <c r="N36" s="964" t="str">
        <f t="shared" si="4"/>
        <v/>
      </c>
      <c r="O36" s="964">
        <f t="shared" si="4"/>
        <v>0.86454369781239193</v>
      </c>
      <c r="P36" s="964">
        <f t="shared" si="4"/>
        <v>0.34219162831934191</v>
      </c>
      <c r="Q36" s="964">
        <f t="shared" si="4"/>
        <v>0.81232945891565944</v>
      </c>
    </row>
    <row r="37" spans="1:18" s="965" customFormat="1" ht="14.25">
      <c r="A37" s="967" t="s">
        <v>1075</v>
      </c>
      <c r="B37" s="963">
        <f>+'CONAP (ALL FUNDS)'!F1361</f>
        <v>0</v>
      </c>
      <c r="C37" s="963">
        <f>+'CONAP (ALL FUNDS)'!G1361</f>
        <v>12901149</v>
      </c>
      <c r="D37" s="963">
        <f>+'CONAP (ALL FUNDS)'!H1361</f>
        <v>0</v>
      </c>
      <c r="E37" s="963">
        <f t="shared" si="0"/>
        <v>12901149</v>
      </c>
      <c r="F37" s="963">
        <f>+'CONAP (ALL FUNDS)'!J1361</f>
        <v>0</v>
      </c>
      <c r="G37" s="963">
        <f>+'CONAP (ALL FUNDS)'!K1361</f>
        <v>11705006.57</v>
      </c>
      <c r="H37" s="963">
        <f>+'CONAP (ALL FUNDS)'!L1361</f>
        <v>0</v>
      </c>
      <c r="I37" s="963">
        <f t="shared" si="1"/>
        <v>11705006.57</v>
      </c>
      <c r="J37" s="963">
        <f t="shared" si="2"/>
        <v>0</v>
      </c>
      <c r="K37" s="963">
        <f t="shared" si="2"/>
        <v>1196142.4299999997</v>
      </c>
      <c r="L37" s="963">
        <f t="shared" si="2"/>
        <v>0</v>
      </c>
      <c r="M37" s="963">
        <f t="shared" si="3"/>
        <v>1196142.4299999997</v>
      </c>
      <c r="N37" s="964" t="str">
        <f t="shared" si="4"/>
        <v/>
      </c>
      <c r="O37" s="964">
        <f t="shared" si="4"/>
        <v>0.90728403880925645</v>
      </c>
      <c r="P37" s="964" t="str">
        <f t="shared" si="4"/>
        <v/>
      </c>
      <c r="Q37" s="964">
        <f t="shared" si="4"/>
        <v>0.90728403880925645</v>
      </c>
    </row>
    <row r="38" spans="1:18" s="980" customFormat="1" ht="15.75" thickBot="1">
      <c r="A38" s="976" t="s">
        <v>454</v>
      </c>
      <c r="B38" s="977">
        <f>+B25+B7</f>
        <v>10391549984.6</v>
      </c>
      <c r="C38" s="977">
        <f t="shared" ref="C38:D38" si="29">+C25+C7</f>
        <v>20092325318.889999</v>
      </c>
      <c r="D38" s="977">
        <f t="shared" si="29"/>
        <v>15824340092.619999</v>
      </c>
      <c r="E38" s="977">
        <f t="shared" si="0"/>
        <v>46308215396.110001</v>
      </c>
      <c r="F38" s="977">
        <f>+F25+F7</f>
        <v>9402130579.3900013</v>
      </c>
      <c r="G38" s="977">
        <f t="shared" ref="G38:H38" si="30">+G25+G7</f>
        <v>14722532308.420002</v>
      </c>
      <c r="H38" s="977">
        <f t="shared" si="30"/>
        <v>7368861978.8499985</v>
      </c>
      <c r="I38" s="977">
        <f t="shared" si="1"/>
        <v>31493524866.660004</v>
      </c>
      <c r="J38" s="977">
        <f t="shared" si="2"/>
        <v>989419405.20999908</v>
      </c>
      <c r="K38" s="977">
        <f t="shared" si="2"/>
        <v>5369793010.4699974</v>
      </c>
      <c r="L38" s="977">
        <f t="shared" si="2"/>
        <v>8455478113.7700005</v>
      </c>
      <c r="M38" s="977">
        <f t="shared" si="3"/>
        <v>14814690529.449997</v>
      </c>
      <c r="N38" s="978">
        <f t="shared" si="4"/>
        <v>0.90478615734165813</v>
      </c>
      <c r="O38" s="978">
        <f t="shared" si="4"/>
        <v>0.73274407390659091</v>
      </c>
      <c r="P38" s="978">
        <f t="shared" si="4"/>
        <v>0.46566630492772437</v>
      </c>
      <c r="Q38" s="978">
        <f t="shared" si="4"/>
        <v>0.68008504748609977</v>
      </c>
      <c r="R38" s="979">
        <f>+M38-'CY (ALL FUNDS)'!Q1850-'CONAP (ALL FUNDS)'!Q1363</f>
        <v>0</v>
      </c>
    </row>
    <row r="39" spans="1:18" ht="13.5" thickTop="1">
      <c r="A39" s="981"/>
    </row>
    <row r="40" spans="1:18" ht="12.75">
      <c r="A40" s="981"/>
    </row>
    <row r="41" spans="1:18" ht="12.75">
      <c r="A41" s="981"/>
      <c r="M41" s="982">
        <f>+M38-'CY (ALL FUNDS)'!Q1850-'CONAP (ALL FUNDS)'!Q1363</f>
        <v>0</v>
      </c>
    </row>
    <row r="42" spans="1:18" s="985" customFormat="1" ht="12.75">
      <c r="A42" s="947"/>
      <c r="C42" s="986" t="s">
        <v>416</v>
      </c>
      <c r="D42" s="987"/>
      <c r="E42" s="987"/>
      <c r="F42" s="987"/>
      <c r="G42" s="987"/>
      <c r="H42" s="987"/>
      <c r="I42" s="987"/>
      <c r="J42" s="987"/>
      <c r="K42" s="986" t="s">
        <v>292</v>
      </c>
      <c r="L42" s="987"/>
      <c r="M42" s="987"/>
      <c r="N42" s="988"/>
      <c r="O42" s="988"/>
      <c r="P42" s="988"/>
      <c r="Q42" s="989"/>
    </row>
    <row r="43" spans="1:18" s="945" customFormat="1" ht="12.75">
      <c r="A43" s="990"/>
      <c r="C43" s="942"/>
      <c r="D43" s="987"/>
      <c r="E43" s="942"/>
      <c r="F43" s="942"/>
      <c r="G43" s="942"/>
      <c r="H43" s="987"/>
      <c r="I43" s="942"/>
      <c r="J43" s="942"/>
      <c r="K43" s="942"/>
      <c r="L43" s="942"/>
      <c r="M43" s="942"/>
      <c r="N43" s="944"/>
      <c r="O43" s="944"/>
      <c r="P43" s="944"/>
      <c r="Q43" s="944"/>
    </row>
    <row r="44" spans="1:18" s="992" customFormat="1" ht="12.75">
      <c r="A44" s="991" t="s">
        <v>202</v>
      </c>
      <c r="C44" s="993" t="s">
        <v>417</v>
      </c>
      <c r="D44" s="994"/>
      <c r="E44" s="994"/>
      <c r="F44" s="994"/>
      <c r="G44" s="994"/>
      <c r="H44" s="994"/>
      <c r="I44" s="994"/>
      <c r="J44" s="994"/>
      <c r="K44" s="995" t="s">
        <v>293</v>
      </c>
      <c r="L44" s="994"/>
      <c r="M44" s="994"/>
      <c r="N44" s="996"/>
      <c r="O44" s="996"/>
      <c r="P44" s="996"/>
      <c r="Q44" s="996"/>
    </row>
    <row r="45" spans="1:18" s="945" customFormat="1" ht="12.75">
      <c r="A45" s="990"/>
      <c r="C45" s="997" t="s">
        <v>418</v>
      </c>
      <c r="D45" s="942"/>
      <c r="E45" s="942"/>
      <c r="F45" s="942"/>
      <c r="G45" s="942"/>
      <c r="H45" s="942"/>
      <c r="I45" s="942"/>
      <c r="J45" s="942"/>
      <c r="K45" s="998" t="s">
        <v>294</v>
      </c>
      <c r="L45" s="942"/>
      <c r="M45" s="942"/>
      <c r="N45" s="944"/>
      <c r="O45" s="944"/>
      <c r="P45" s="944"/>
      <c r="Q45" s="944"/>
    </row>
  </sheetData>
  <protectedRanges>
    <protectedRange sqref="F1:H3 J1:L3 N1:P3 A1:D3" name="Range1_4"/>
  </protectedRanges>
  <mergeCells count="5">
    <mergeCell ref="A5:A6"/>
    <mergeCell ref="B5:E5"/>
    <mergeCell ref="F5:I5"/>
    <mergeCell ref="J5:M5"/>
    <mergeCell ref="N5:Q5"/>
  </mergeCells>
  <pageMargins left="1.1000000000000001" right="0.2" top="0.75" bottom="0.75" header="0.3" footer="0.3"/>
  <pageSetup paperSize="5" scale="68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7">
    <tabColor theme="5" tint="0.79998168889431442"/>
    <pageSetUpPr fitToPage="1"/>
  </sheetPr>
  <dimension ref="A1:P384"/>
  <sheetViews>
    <sheetView workbookViewId="0">
      <pane xSplit="3" ySplit="10" topLeftCell="F290" activePane="bottomRight" state="frozen"/>
      <selection pane="topRight" activeCell="D1" sqref="D1"/>
      <selection pane="bottomLeft" activeCell="A11" sqref="A11"/>
      <selection pane="bottomRight" activeCell="F306" sqref="F306"/>
    </sheetView>
  </sheetViews>
  <sheetFormatPr defaultRowHeight="15"/>
  <cols>
    <col min="1" max="1" width="11.42578125" customWidth="1"/>
    <col min="2" max="2" width="45.140625" style="1354" customWidth="1"/>
    <col min="4" max="4" width="14.5703125" hidden="1" customWidth="1"/>
    <col min="5" max="5" width="17.28515625" hidden="1" customWidth="1"/>
    <col min="6" max="6" width="19.140625" customWidth="1"/>
    <col min="7" max="7" width="18.42578125" hidden="1" customWidth="1"/>
    <col min="8" max="8" width="20.5703125" customWidth="1"/>
    <col min="9" max="9" width="20" customWidth="1"/>
    <col min="10" max="10" width="19" customWidth="1"/>
    <col min="11" max="11" width="11.42578125" customWidth="1"/>
    <col min="12" max="12" width="18.28515625" customWidth="1"/>
    <col min="13" max="13" width="16.85546875" bestFit="1" customWidth="1"/>
    <col min="14" max="14" width="18" customWidth="1"/>
  </cols>
  <sheetData>
    <row r="1" spans="1:16">
      <c r="A1" s="42"/>
      <c r="B1" s="1340"/>
      <c r="C1" s="43"/>
      <c r="D1" s="43"/>
      <c r="E1" s="43"/>
      <c r="F1" s="43"/>
      <c r="G1" s="43"/>
      <c r="H1" s="43"/>
      <c r="I1" s="43"/>
      <c r="J1" s="43"/>
      <c r="K1" s="43"/>
    </row>
    <row r="2" spans="1:16">
      <c r="A2" s="1544" t="s">
        <v>720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</row>
    <row r="3" spans="1:16">
      <c r="A3" s="1544" t="s">
        <v>1113</v>
      </c>
      <c r="B3" s="1544"/>
      <c r="C3" s="1544"/>
      <c r="D3" s="1544"/>
      <c r="E3" s="1544"/>
      <c r="F3" s="1544"/>
      <c r="G3" s="1544"/>
      <c r="H3" s="1544"/>
      <c r="I3" s="1544"/>
      <c r="J3" s="1544"/>
      <c r="K3" s="1544"/>
    </row>
    <row r="4" spans="1:16">
      <c r="A4" s="1544"/>
      <c r="B4" s="1544"/>
      <c r="C4" s="1544"/>
      <c r="D4" s="1544"/>
      <c r="E4" s="1544"/>
      <c r="F4" s="1544"/>
      <c r="G4" s="1544"/>
      <c r="H4" s="1544"/>
      <c r="I4" s="1544"/>
      <c r="J4" s="1544"/>
      <c r="K4" s="1544"/>
    </row>
    <row r="5" spans="1:16">
      <c r="A5" s="1544" t="s">
        <v>322</v>
      </c>
      <c r="B5" s="1544"/>
      <c r="C5" s="1544"/>
      <c r="D5" s="1544"/>
      <c r="E5" s="1544"/>
      <c r="F5" s="1544"/>
      <c r="G5" s="1544"/>
      <c r="H5" s="1544"/>
      <c r="I5" s="1544"/>
      <c r="J5" s="1544"/>
      <c r="K5" s="1544"/>
      <c r="M5" s="69"/>
      <c r="N5" s="69"/>
      <c r="O5" s="69"/>
      <c r="P5" s="69"/>
    </row>
    <row r="6" spans="1:16">
      <c r="A6" s="1544" t="s">
        <v>323</v>
      </c>
      <c r="B6" s="1544"/>
      <c r="C6" s="1544"/>
      <c r="D6" s="1544"/>
      <c r="E6" s="1544"/>
      <c r="F6" s="1544"/>
      <c r="G6" s="1544"/>
      <c r="H6" s="1544"/>
      <c r="I6" s="1544"/>
      <c r="J6" s="1544"/>
      <c r="K6" s="1544"/>
      <c r="M6" s="69"/>
      <c r="N6" s="69"/>
      <c r="O6" s="69"/>
      <c r="P6" s="69"/>
    </row>
    <row r="7" spans="1:16">
      <c r="A7" s="1544" t="s">
        <v>721</v>
      </c>
      <c r="B7" s="1544"/>
      <c r="C7" s="1544"/>
      <c r="D7" s="1544"/>
      <c r="E7" s="1544"/>
      <c r="F7" s="1544"/>
      <c r="G7" s="1544"/>
      <c r="H7" s="1544"/>
      <c r="I7" s="1544"/>
      <c r="J7" s="1544"/>
      <c r="K7" s="1544"/>
      <c r="M7" s="69"/>
      <c r="N7" s="69"/>
      <c r="O7" s="69"/>
      <c r="P7" s="69"/>
    </row>
    <row r="8" spans="1:16">
      <c r="A8" s="42"/>
      <c r="B8" s="1341"/>
      <c r="C8" s="42"/>
      <c r="D8" s="44"/>
      <c r="E8" s="44"/>
      <c r="F8" s="44"/>
      <c r="G8" s="42"/>
      <c r="H8" s="42"/>
      <c r="I8" s="42"/>
      <c r="J8" s="42"/>
      <c r="K8" s="42"/>
      <c r="M8" s="69"/>
      <c r="N8" s="69"/>
      <c r="O8" s="69"/>
      <c r="P8" s="69"/>
    </row>
    <row r="9" spans="1:16">
      <c r="A9" s="45" t="s">
        <v>324</v>
      </c>
      <c r="B9" s="1342" t="s">
        <v>325</v>
      </c>
      <c r="C9" s="1375" t="s">
        <v>326</v>
      </c>
      <c r="D9" s="1538" t="s">
        <v>49</v>
      </c>
      <c r="E9" s="1539"/>
      <c r="F9" s="1540"/>
      <c r="G9" s="1375" t="s">
        <v>328</v>
      </c>
      <c r="H9" s="1375"/>
      <c r="I9" s="1375" t="s">
        <v>329</v>
      </c>
      <c r="J9" s="1375" t="s">
        <v>330</v>
      </c>
      <c r="K9" s="1375" t="s">
        <v>95</v>
      </c>
      <c r="N9" s="69"/>
      <c r="O9" s="69"/>
      <c r="P9" s="69"/>
    </row>
    <row r="10" spans="1:16" ht="23.25">
      <c r="A10" s="46"/>
      <c r="B10" s="1343"/>
      <c r="C10" s="47" t="s">
        <v>331</v>
      </c>
      <c r="D10" s="1541"/>
      <c r="E10" s="1542"/>
      <c r="F10" s="1543"/>
      <c r="G10" s="47"/>
      <c r="H10" s="47" t="s">
        <v>50</v>
      </c>
      <c r="I10" s="1374" t="s">
        <v>751</v>
      </c>
      <c r="J10" s="1374" t="s">
        <v>333</v>
      </c>
      <c r="K10" s="1374"/>
      <c r="N10" s="69"/>
      <c r="O10" s="69"/>
      <c r="P10" s="69"/>
    </row>
    <row r="11" spans="1:16">
      <c r="A11" s="48"/>
      <c r="B11" s="1343"/>
      <c r="C11" s="47"/>
      <c r="D11" s="46"/>
      <c r="E11" s="47"/>
      <c r="F11" s="47"/>
      <c r="G11" s="47"/>
      <c r="H11" s="47"/>
      <c r="I11" s="47"/>
      <c r="J11" s="47"/>
      <c r="K11" s="47"/>
      <c r="N11" s="69"/>
      <c r="O11" s="69"/>
      <c r="P11" s="69"/>
    </row>
    <row r="12" spans="1:16">
      <c r="A12" s="49"/>
      <c r="B12" s="1344" t="s">
        <v>334</v>
      </c>
      <c r="C12" s="50"/>
      <c r="D12" s="51"/>
      <c r="E12" s="51"/>
      <c r="F12" s="51"/>
      <c r="G12" s="51"/>
      <c r="H12" s="51"/>
      <c r="I12" s="51"/>
      <c r="J12" s="51"/>
      <c r="K12" s="52"/>
      <c r="N12" s="69"/>
      <c r="O12" s="69"/>
      <c r="P12" s="69"/>
    </row>
    <row r="13" spans="1:16" ht="18">
      <c r="A13" s="49" t="str">
        <f>+[10]dec!A13</f>
        <v xml:space="preserve">A.I.a.1.a </v>
      </c>
      <c r="B13" s="1174" t="str">
        <f>+[10]dec!B13</f>
        <v xml:space="preserve"> General  Management and Supervision</v>
      </c>
      <c r="C13" s="53"/>
      <c r="D13" s="6"/>
      <c r="E13" s="6"/>
      <c r="F13" s="6"/>
      <c r="G13" s="6"/>
      <c r="H13" s="6"/>
      <c r="I13" s="6"/>
      <c r="J13" s="6"/>
      <c r="K13" s="54"/>
      <c r="N13" s="69"/>
      <c r="O13" s="69"/>
      <c r="P13" s="69"/>
    </row>
    <row r="14" spans="1:16" ht="18">
      <c r="A14" s="49"/>
      <c r="B14" s="1345"/>
      <c r="C14" s="53">
        <f>+[10]dec!C14</f>
        <v>100</v>
      </c>
      <c r="D14" s="6"/>
      <c r="E14" s="6">
        <v>73430000</v>
      </c>
      <c r="F14" s="6">
        <f>+[11]SAOB!O6</f>
        <v>96631371</v>
      </c>
      <c r="G14" s="6" t="e">
        <f>+[12]SAOBSUM!S6</f>
        <v>#REF!</v>
      </c>
      <c r="H14" s="6">
        <v>827006</v>
      </c>
      <c r="I14" s="6">
        <f>93943172.94-H14</f>
        <v>93116166.939999998</v>
      </c>
      <c r="J14" s="6">
        <f>+F14-H14-I14</f>
        <v>2688198.0600000024</v>
      </c>
      <c r="K14" s="54"/>
      <c r="L14" s="4">
        <f>+F14-H14</f>
        <v>95804365</v>
      </c>
      <c r="M14" s="565">
        <f>+I14/L14</f>
        <v>0.97194075593528539</v>
      </c>
      <c r="N14" s="69"/>
      <c r="O14" s="69"/>
      <c r="P14" s="69"/>
    </row>
    <row r="15" spans="1:16" ht="18">
      <c r="A15" s="49"/>
      <c r="B15" s="1345"/>
      <c r="C15" s="53">
        <f>+[10]dec!C15</f>
        <v>200</v>
      </c>
      <c r="D15" s="6"/>
      <c r="E15" s="6">
        <v>220211000</v>
      </c>
      <c r="F15" s="6">
        <f>+[11]SAOB!P6</f>
        <v>220125629</v>
      </c>
      <c r="G15" s="6" t="e">
        <f>+[12]SAOBSUM!T6</f>
        <v>#REF!</v>
      </c>
      <c r="H15" s="6">
        <v>11554094</v>
      </c>
      <c r="I15" s="6">
        <f>205046072.36-H15</f>
        <v>193491978.36000001</v>
      </c>
      <c r="J15" s="6">
        <f>+F15-H15-I15</f>
        <v>15079556.639999986</v>
      </c>
      <c r="K15" s="54"/>
      <c r="L15" s="4">
        <f>+F15-H15</f>
        <v>208571535</v>
      </c>
      <c r="M15" s="565">
        <f>+I15/L15</f>
        <v>0.9277007927280202</v>
      </c>
      <c r="N15" s="69"/>
      <c r="O15" s="69"/>
      <c r="P15" s="69"/>
    </row>
    <row r="16" spans="1:16" ht="18">
      <c r="A16" s="49"/>
      <c r="B16" s="1345"/>
      <c r="C16" s="53">
        <f>+[10]dec!C16</f>
        <v>300</v>
      </c>
      <c r="D16" s="6"/>
      <c r="E16" s="6">
        <v>0</v>
      </c>
      <c r="F16" s="6"/>
      <c r="G16" s="6"/>
      <c r="H16" s="6"/>
      <c r="I16" s="6"/>
      <c r="J16" s="6">
        <f>+F16-H16-I16</f>
        <v>0</v>
      </c>
      <c r="K16" s="54"/>
      <c r="N16" s="69"/>
      <c r="O16" s="69"/>
      <c r="P16" s="69"/>
    </row>
    <row r="17" spans="1:16" ht="18">
      <c r="A17" s="49"/>
      <c r="B17" s="1345"/>
      <c r="C17" s="53" t="str">
        <f>+[10]dec!C17</f>
        <v>FE</v>
      </c>
      <c r="D17" s="6"/>
      <c r="E17" s="6"/>
      <c r="F17" s="6">
        <f>+E17+D17</f>
        <v>0</v>
      </c>
      <c r="G17" s="6"/>
      <c r="H17" s="6"/>
      <c r="I17" s="6"/>
      <c r="J17" s="6">
        <f>+F17-H17-I17</f>
        <v>0</v>
      </c>
      <c r="K17" s="54"/>
      <c r="N17" s="69"/>
      <c r="O17" s="69"/>
      <c r="P17" s="69"/>
    </row>
    <row r="18" spans="1:16" ht="18">
      <c r="A18" s="49"/>
      <c r="B18" s="1345"/>
      <c r="C18" s="53" t="str">
        <f>+[10]dec!C18</f>
        <v>TOTAL</v>
      </c>
      <c r="D18" s="6">
        <f t="shared" ref="D18:I18" si="0">SUM(D14:D17)</f>
        <v>0</v>
      </c>
      <c r="E18" s="6">
        <f t="shared" si="0"/>
        <v>293641000</v>
      </c>
      <c r="F18" s="6">
        <f>SUM(F14:F17)</f>
        <v>316757000</v>
      </c>
      <c r="G18" s="6" t="e">
        <f t="shared" si="0"/>
        <v>#REF!</v>
      </c>
      <c r="H18" s="6">
        <f>SUM(H14:H17)</f>
        <v>12381100</v>
      </c>
      <c r="I18" s="6">
        <f t="shared" si="0"/>
        <v>286608145.30000001</v>
      </c>
      <c r="J18" s="6">
        <f>+F18-H18-I18</f>
        <v>17767754.699999988</v>
      </c>
      <c r="K18" s="54"/>
      <c r="L18" s="4">
        <f>+F18-H18</f>
        <v>304375900</v>
      </c>
      <c r="M18" s="565">
        <f>+I18/L18</f>
        <v>0.94162561917681398</v>
      </c>
      <c r="N18" s="69"/>
      <c r="O18" s="69"/>
      <c r="P18" s="69"/>
    </row>
    <row r="19" spans="1:16" ht="18">
      <c r="A19" s="49"/>
      <c r="B19" s="1345" t="s">
        <v>335</v>
      </c>
      <c r="C19" s="53"/>
      <c r="D19" s="6"/>
      <c r="E19" s="6"/>
      <c r="F19" s="6"/>
      <c r="G19" s="6"/>
      <c r="H19" s="6"/>
      <c r="I19" s="6"/>
      <c r="J19" s="6">
        <f>+F19+G19-H19-I19</f>
        <v>0</v>
      </c>
      <c r="K19" s="54"/>
      <c r="N19" s="69"/>
      <c r="O19" s="69"/>
      <c r="P19" s="69"/>
    </row>
    <row r="20" spans="1:16" ht="18">
      <c r="A20" s="49"/>
      <c r="B20" s="1345"/>
      <c r="C20" s="53">
        <f>+[10]dec!C20</f>
        <v>100</v>
      </c>
      <c r="D20" s="6">
        <f t="shared" ref="D20:J24" si="1">+D26+D32+D38+D44+D50+D56+D62+D68+D74+D80+D86</f>
        <v>0</v>
      </c>
      <c r="E20" s="6" t="e">
        <f t="shared" si="1"/>
        <v>#REF!</v>
      </c>
      <c r="F20" s="6">
        <f>+F26+F32+F38+F44+F50+F56+F62+F68+F74+F80+F86</f>
        <v>254361000</v>
      </c>
      <c r="G20" s="6" t="e">
        <f t="shared" si="1"/>
        <v>#REF!</v>
      </c>
      <c r="H20" s="6">
        <f>+H26+H32+H38+H44+H50+H56+H62+H68+H74+H80+H86</f>
        <v>0</v>
      </c>
      <c r="I20" s="6">
        <f t="shared" si="1"/>
        <v>179499450.01000002</v>
      </c>
      <c r="J20" s="6">
        <f t="shared" si="1"/>
        <v>74861549.98999998</v>
      </c>
      <c r="K20" s="54"/>
      <c r="L20" s="4">
        <f>+F20-H20</f>
        <v>254361000</v>
      </c>
      <c r="M20" s="565">
        <f>+I20/L20</f>
        <v>0.70568778236443486</v>
      </c>
      <c r="N20" s="69"/>
      <c r="O20" s="69"/>
      <c r="P20" s="69"/>
    </row>
    <row r="21" spans="1:16" ht="18">
      <c r="A21" s="49"/>
      <c r="B21" s="1345"/>
      <c r="C21" s="53">
        <f>+[10]dec!C21</f>
        <v>200</v>
      </c>
      <c r="D21" s="6">
        <f t="shared" si="1"/>
        <v>0</v>
      </c>
      <c r="E21" s="6" t="e">
        <f t="shared" si="1"/>
        <v>#REF!</v>
      </c>
      <c r="F21" s="6">
        <f t="shared" si="1"/>
        <v>2897961000</v>
      </c>
      <c r="G21" s="6" t="e">
        <f t="shared" si="1"/>
        <v>#REF!</v>
      </c>
      <c r="H21" s="6">
        <f>+H27+H33+H39+H45+H51+H57+H63+H69+H75+H81+H87</f>
        <v>2475990925.4000001</v>
      </c>
      <c r="I21" s="6">
        <f t="shared" si="1"/>
        <v>327179157.52999938</v>
      </c>
      <c r="J21" s="6">
        <f t="shared" si="1"/>
        <v>94790917.070000425</v>
      </c>
      <c r="K21" s="54"/>
      <c r="L21" s="4">
        <f>+F21-H21</f>
        <v>421970074.5999999</v>
      </c>
      <c r="M21" s="565">
        <f>+I21/L21</f>
        <v>0.77536104388479177</v>
      </c>
      <c r="N21" s="69"/>
      <c r="O21" s="69"/>
      <c r="P21" s="69"/>
    </row>
    <row r="22" spans="1:16" ht="18">
      <c r="A22" s="49"/>
      <c r="B22" s="1345"/>
      <c r="C22" s="53">
        <f>+[10]dec!C22</f>
        <v>300</v>
      </c>
      <c r="D22" s="6">
        <f t="shared" si="1"/>
        <v>0</v>
      </c>
      <c r="E22" s="6">
        <f t="shared" si="1"/>
        <v>150000000</v>
      </c>
      <c r="F22" s="6">
        <f t="shared" si="1"/>
        <v>150000000</v>
      </c>
      <c r="G22" s="6">
        <f t="shared" si="1"/>
        <v>0</v>
      </c>
      <c r="H22" s="6">
        <f t="shared" si="1"/>
        <v>0</v>
      </c>
      <c r="I22" s="6">
        <f t="shared" si="1"/>
        <v>62213737.180000007</v>
      </c>
      <c r="J22" s="6">
        <f t="shared" si="1"/>
        <v>87786262.819999993</v>
      </c>
      <c r="K22" s="54"/>
      <c r="L22" s="4">
        <f>+F22-H22</f>
        <v>150000000</v>
      </c>
      <c r="M22" s="565">
        <f>+I22/L22</f>
        <v>0.41475824786666671</v>
      </c>
      <c r="N22" s="69"/>
      <c r="O22" s="69"/>
      <c r="P22" s="69"/>
    </row>
    <row r="23" spans="1:16" ht="18">
      <c r="A23" s="49"/>
      <c r="B23" s="1345"/>
      <c r="C23" s="53" t="str">
        <f>+[10]dec!C23</f>
        <v>FE</v>
      </c>
      <c r="D23" s="6">
        <f t="shared" si="1"/>
        <v>0</v>
      </c>
      <c r="E23" s="6">
        <f t="shared" si="1"/>
        <v>0</v>
      </c>
      <c r="F23" s="6">
        <f t="shared" si="1"/>
        <v>0</v>
      </c>
      <c r="G23" s="6">
        <f t="shared" si="1"/>
        <v>0</v>
      </c>
      <c r="H23" s="6">
        <f t="shared" si="1"/>
        <v>0</v>
      </c>
      <c r="I23" s="6">
        <f t="shared" si="1"/>
        <v>0</v>
      </c>
      <c r="J23" s="6">
        <f t="shared" si="1"/>
        <v>0</v>
      </c>
      <c r="K23" s="54"/>
      <c r="P23" s="69"/>
    </row>
    <row r="24" spans="1:16" ht="18">
      <c r="A24" s="49"/>
      <c r="B24" s="1345"/>
      <c r="C24" s="53" t="str">
        <f>+[10]dec!C24</f>
        <v>TOTAL</v>
      </c>
      <c r="D24" s="6">
        <f t="shared" si="1"/>
        <v>0</v>
      </c>
      <c r="E24" s="6" t="e">
        <f t="shared" si="1"/>
        <v>#REF!</v>
      </c>
      <c r="F24" s="6">
        <f t="shared" si="1"/>
        <v>3302322000</v>
      </c>
      <c r="G24" s="6" t="e">
        <f t="shared" si="1"/>
        <v>#REF!</v>
      </c>
      <c r="H24" s="6">
        <f t="shared" si="1"/>
        <v>2475990925.4000001</v>
      </c>
      <c r="I24" s="6">
        <f t="shared" si="1"/>
        <v>568892344.71999931</v>
      </c>
      <c r="J24" s="6">
        <f t="shared" si="1"/>
        <v>257438729.88000041</v>
      </c>
      <c r="K24" s="54"/>
      <c r="L24" s="4">
        <f>+F24-H24</f>
        <v>826331074.5999999</v>
      </c>
      <c r="M24" s="565">
        <f>+I24/L24</f>
        <v>0.688455707653717</v>
      </c>
      <c r="N24" s="4"/>
      <c r="O24" s="4"/>
      <c r="P24" s="4"/>
    </row>
    <row r="25" spans="1:16" ht="37.5" customHeight="1">
      <c r="A25" s="49" t="s">
        <v>336</v>
      </c>
      <c r="B25" s="1175" t="s">
        <v>337</v>
      </c>
      <c r="C25" s="53"/>
      <c r="D25" s="6"/>
      <c r="E25" s="6"/>
      <c r="F25" s="6">
        <f>+E25+D25</f>
        <v>0</v>
      </c>
      <c r="G25" s="6"/>
      <c r="H25" s="6"/>
      <c r="I25" s="6"/>
      <c r="J25" s="6">
        <f>+F25+G25-H25-I25</f>
        <v>0</v>
      </c>
      <c r="K25" s="54"/>
      <c r="P25" s="4"/>
    </row>
    <row r="26" spans="1:16" ht="18">
      <c r="A26" s="49"/>
      <c r="B26" s="1345"/>
      <c r="C26" s="53">
        <f>+[10]dec!C20</f>
        <v>100</v>
      </c>
      <c r="D26" s="566"/>
      <c r="E26" s="6">
        <v>12504000</v>
      </c>
      <c r="F26" s="6">
        <f>+[11]SAOB!O8</f>
        <v>15411000</v>
      </c>
      <c r="G26" s="6"/>
      <c r="H26" s="6"/>
      <c r="I26" s="6">
        <f>+[11]SAOB!BS8</f>
        <v>13146657.119999999</v>
      </c>
      <c r="J26" s="6">
        <f>+F26-H26-I26</f>
        <v>2264342.8800000008</v>
      </c>
      <c r="K26" s="54"/>
      <c r="L26" s="4">
        <f>+F26-H26</f>
        <v>15411000</v>
      </c>
      <c r="M26" s="565">
        <f>+I26/L26</f>
        <v>0.85306969826747125</v>
      </c>
    </row>
    <row r="27" spans="1:16" ht="18">
      <c r="A27" s="49"/>
      <c r="B27" s="1345"/>
      <c r="C27" s="53">
        <f>+[10]dec!C21</f>
        <v>200</v>
      </c>
      <c r="D27" s="567"/>
      <c r="E27" s="6">
        <v>31017000</v>
      </c>
      <c r="F27" s="6">
        <f>+[11]SAOB!P8</f>
        <v>32146000</v>
      </c>
      <c r="G27" s="6"/>
      <c r="H27" s="6">
        <v>250000</v>
      </c>
      <c r="I27" s="6">
        <f>+[11]SAOB!BT8-H27</f>
        <v>26199471.27</v>
      </c>
      <c r="J27" s="6">
        <f>+F27-H27-I27</f>
        <v>5696528.7300000004</v>
      </c>
      <c r="K27" s="54"/>
      <c r="L27" s="4">
        <f>+F27-H27</f>
        <v>31896000</v>
      </c>
      <c r="M27" s="565">
        <f>+I27/L27</f>
        <v>0.82140303705793827</v>
      </c>
    </row>
    <row r="28" spans="1:16" ht="18">
      <c r="A28" s="49"/>
      <c r="B28" s="1345"/>
      <c r="C28" s="53">
        <f>+[10]dec!C22</f>
        <v>300</v>
      </c>
      <c r="D28" s="6"/>
      <c r="E28" s="6">
        <v>0</v>
      </c>
      <c r="F28" s="6">
        <f>+E28</f>
        <v>0</v>
      </c>
      <c r="G28" s="6"/>
      <c r="H28" s="6"/>
      <c r="I28" s="6"/>
      <c r="J28" s="6">
        <f>+F28-H28-I28</f>
        <v>0</v>
      </c>
      <c r="K28" s="54"/>
    </row>
    <row r="29" spans="1:16" ht="18">
      <c r="A29" s="49"/>
      <c r="B29" s="1345"/>
      <c r="C29" s="53" t="str">
        <f>+[10]dec!C23</f>
        <v>FE</v>
      </c>
      <c r="D29" s="6"/>
      <c r="E29" s="6"/>
      <c r="F29" s="6">
        <f>+E29</f>
        <v>0</v>
      </c>
      <c r="G29" s="6"/>
      <c r="H29" s="6"/>
      <c r="I29" s="6"/>
      <c r="J29" s="6">
        <f>+F29-H29-I29</f>
        <v>0</v>
      </c>
      <c r="K29" s="54"/>
    </row>
    <row r="30" spans="1:16" ht="18">
      <c r="A30" s="49"/>
      <c r="B30" s="1345"/>
      <c r="C30" s="53" t="str">
        <f>+[10]dec!C24</f>
        <v>TOTAL</v>
      </c>
      <c r="D30" s="6">
        <f t="shared" ref="D30:I30" si="2">SUM(D26:D29)</f>
        <v>0</v>
      </c>
      <c r="E30" s="6">
        <f t="shared" si="2"/>
        <v>43521000</v>
      </c>
      <c r="F30" s="6">
        <f t="shared" si="2"/>
        <v>47557000</v>
      </c>
      <c r="G30" s="6">
        <f t="shared" si="2"/>
        <v>0</v>
      </c>
      <c r="H30" s="6">
        <f t="shared" si="2"/>
        <v>250000</v>
      </c>
      <c r="I30" s="6">
        <f t="shared" si="2"/>
        <v>39346128.390000001</v>
      </c>
      <c r="J30" s="6">
        <f>+F30-H30-I30</f>
        <v>7960871.6099999994</v>
      </c>
      <c r="K30" s="54"/>
      <c r="L30" s="4">
        <f>+F30-H30</f>
        <v>47307000</v>
      </c>
      <c r="M30" s="565">
        <f>+I30/L30</f>
        <v>0.83171895047244593</v>
      </c>
    </row>
    <row r="31" spans="1:16" ht="18">
      <c r="A31" s="49" t="s">
        <v>338</v>
      </c>
      <c r="B31" s="1176" t="s">
        <v>71</v>
      </c>
      <c r="C31" s="53"/>
      <c r="D31" s="6">
        <v>0</v>
      </c>
      <c r="E31" s="6"/>
      <c r="F31" s="6"/>
      <c r="G31" s="6"/>
      <c r="H31" s="6"/>
      <c r="I31" s="6"/>
      <c r="J31" s="6"/>
      <c r="K31" s="54"/>
    </row>
    <row r="32" spans="1:16" ht="18">
      <c r="A32" s="49"/>
      <c r="B32" s="1345"/>
      <c r="C32" s="53">
        <f>+[10]dec!C26</f>
        <v>100</v>
      </c>
      <c r="D32" s="6"/>
      <c r="E32" s="6">
        <v>13516000</v>
      </c>
      <c r="F32" s="6">
        <f>+[11]SAOB!O9</f>
        <v>15754000</v>
      </c>
      <c r="G32" s="6"/>
      <c r="H32" s="6"/>
      <c r="I32" s="6">
        <f>+[11]SAOB!BS9</f>
        <v>15242805.48</v>
      </c>
      <c r="J32" s="6">
        <f>+F32-H32-I32</f>
        <v>511194.51999999955</v>
      </c>
      <c r="K32" s="54"/>
      <c r="L32" s="4">
        <f>+F32-H32</f>
        <v>15754000</v>
      </c>
      <c r="M32" s="565">
        <f>+I32/L32</f>
        <v>0.96755144598197285</v>
      </c>
    </row>
    <row r="33" spans="1:13" ht="18">
      <c r="A33" s="49"/>
      <c r="B33" s="1345"/>
      <c r="C33" s="53">
        <f>+[10]dec!C27</f>
        <v>200</v>
      </c>
      <c r="D33" s="6"/>
      <c r="E33" s="6">
        <v>25549000</v>
      </c>
      <c r="F33" s="6">
        <f>+[11]SAOB!P9</f>
        <v>26327000</v>
      </c>
      <c r="G33" s="6"/>
      <c r="H33" s="6">
        <v>360000</v>
      </c>
      <c r="I33" s="6">
        <f>+[11]SAOB!BT9-H33</f>
        <v>16088373.539999999</v>
      </c>
      <c r="J33" s="6">
        <f>+F33-H33-I33</f>
        <v>9878626.4600000009</v>
      </c>
      <c r="K33" s="54"/>
      <c r="L33" s="4">
        <f>+F33-H33</f>
        <v>25967000</v>
      </c>
      <c r="M33" s="565">
        <f>+I33/L33</f>
        <v>0.61956997496822885</v>
      </c>
    </row>
    <row r="34" spans="1:13" ht="18">
      <c r="A34" s="49"/>
      <c r="B34" s="1345"/>
      <c r="C34" s="53">
        <f>+[10]dec!C28</f>
        <v>300</v>
      </c>
      <c r="D34" s="6"/>
      <c r="E34" s="6">
        <v>150000000</v>
      </c>
      <c r="F34" s="6">
        <f>+E34</f>
        <v>150000000</v>
      </c>
      <c r="G34" s="6"/>
      <c r="H34" s="6"/>
      <c r="I34" s="6">
        <f>+[11]SAOB!BU9</f>
        <v>62213737.180000007</v>
      </c>
      <c r="J34" s="6">
        <f>+F34-H34-I34</f>
        <v>87786262.819999993</v>
      </c>
      <c r="K34" s="54"/>
      <c r="L34" s="4">
        <f>+F34-H34</f>
        <v>150000000</v>
      </c>
      <c r="M34" s="565">
        <f>+I34/L34</f>
        <v>0.41475824786666671</v>
      </c>
    </row>
    <row r="35" spans="1:13" ht="18">
      <c r="A35" s="49"/>
      <c r="B35" s="1345"/>
      <c r="C35" s="53" t="str">
        <f>+[10]dec!C29</f>
        <v>FE</v>
      </c>
      <c r="D35" s="6"/>
      <c r="E35" s="6"/>
      <c r="F35" s="6"/>
      <c r="G35" s="6"/>
      <c r="H35" s="6"/>
      <c r="I35" s="6"/>
      <c r="J35" s="6">
        <f>+F35-H35-I35</f>
        <v>0</v>
      </c>
      <c r="K35" s="54"/>
    </row>
    <row r="36" spans="1:13" ht="18">
      <c r="A36" s="49"/>
      <c r="B36" s="1345"/>
      <c r="C36" s="53" t="str">
        <f>+[10]dec!C30</f>
        <v>TOTAL</v>
      </c>
      <c r="D36" s="6">
        <f t="shared" ref="D36:I36" si="3">SUM(D32:D35)</f>
        <v>0</v>
      </c>
      <c r="E36" s="6">
        <f t="shared" si="3"/>
        <v>189065000</v>
      </c>
      <c r="F36" s="6">
        <f t="shared" si="3"/>
        <v>192081000</v>
      </c>
      <c r="G36" s="6">
        <f t="shared" si="3"/>
        <v>0</v>
      </c>
      <c r="H36" s="6">
        <f t="shared" si="3"/>
        <v>360000</v>
      </c>
      <c r="I36" s="6">
        <f t="shared" si="3"/>
        <v>93544916.200000003</v>
      </c>
      <c r="J36" s="6">
        <f>+F36-H36-I36</f>
        <v>98176083.799999997</v>
      </c>
      <c r="K36" s="54"/>
      <c r="L36" s="4">
        <f>+F36-H36</f>
        <v>191721000</v>
      </c>
      <c r="M36" s="565">
        <f>+I36/L36</f>
        <v>0.48792211703464933</v>
      </c>
    </row>
    <row r="37" spans="1:13" ht="18">
      <c r="A37" s="49" t="s">
        <v>339</v>
      </c>
      <c r="B37" s="1176" t="s">
        <v>340</v>
      </c>
      <c r="C37" s="53"/>
      <c r="D37" s="6">
        <v>0</v>
      </c>
      <c r="E37" s="6"/>
      <c r="F37" s="6"/>
      <c r="G37" s="6"/>
      <c r="H37" s="6"/>
      <c r="I37" s="6"/>
      <c r="J37" s="6"/>
      <c r="K37" s="54"/>
    </row>
    <row r="38" spans="1:13" ht="18">
      <c r="A38" s="49"/>
      <c r="B38" s="1345"/>
      <c r="C38" s="53">
        <f>+[10]dec!C32</f>
        <v>100</v>
      </c>
      <c r="D38" s="6"/>
      <c r="E38" s="6">
        <v>9912000</v>
      </c>
      <c r="F38" s="6">
        <f>+[11]SAOB!O10</f>
        <v>11386000</v>
      </c>
      <c r="G38" s="6"/>
      <c r="H38" s="6"/>
      <c r="I38" s="6">
        <f>+[11]SAOB!BS10</f>
        <v>9301132.1899999995</v>
      </c>
      <c r="J38" s="6">
        <f>+F38-H38-I38</f>
        <v>2084867.8100000005</v>
      </c>
      <c r="K38" s="54"/>
      <c r="L38" s="4">
        <f>+F38-H38</f>
        <v>11386000</v>
      </c>
      <c r="M38" s="565">
        <f>+I38/L38</f>
        <v>0.81689198928508688</v>
      </c>
    </row>
    <row r="39" spans="1:13" ht="18">
      <c r="A39" s="49"/>
      <c r="B39" s="1345"/>
      <c r="C39" s="53">
        <f>+[10]dec!C33</f>
        <v>200</v>
      </c>
      <c r="D39" s="6"/>
      <c r="E39" s="6">
        <v>71886000</v>
      </c>
      <c r="F39" s="6">
        <f>+[11]SAOB!P10</f>
        <v>60557000</v>
      </c>
      <c r="G39" s="6"/>
      <c r="H39" s="6">
        <v>224363.37</v>
      </c>
      <c r="I39" s="6">
        <f>+[11]SAOB!BT10-H39</f>
        <v>27295165.639999997</v>
      </c>
      <c r="J39" s="6">
        <f>+F39-H39-I39</f>
        <v>33037470.990000006</v>
      </c>
      <c r="K39" s="54"/>
      <c r="L39" s="4">
        <f>+F39-H39</f>
        <v>60332636.630000003</v>
      </c>
      <c r="M39" s="565">
        <f>+I39/L39</f>
        <v>0.45241128458204422</v>
      </c>
    </row>
    <row r="40" spans="1:13" ht="18">
      <c r="A40" s="49"/>
      <c r="B40" s="1345"/>
      <c r="C40" s="53">
        <f>+[10]dec!C34</f>
        <v>300</v>
      </c>
      <c r="D40" s="6"/>
      <c r="E40" s="6">
        <v>0</v>
      </c>
      <c r="F40" s="6">
        <f>+E40</f>
        <v>0</v>
      </c>
      <c r="G40" s="6"/>
      <c r="H40" s="6"/>
      <c r="I40" s="6"/>
      <c r="J40" s="6">
        <f>+F40-H40-I40</f>
        <v>0</v>
      </c>
      <c r="K40" s="54"/>
      <c r="L40" s="4"/>
      <c r="M40" s="565"/>
    </row>
    <row r="41" spans="1:13" ht="18">
      <c r="A41" s="49"/>
      <c r="B41" s="1345"/>
      <c r="C41" s="53" t="str">
        <f>+[10]dec!C35</f>
        <v>FE</v>
      </c>
      <c r="D41" s="6"/>
      <c r="E41" s="6"/>
      <c r="F41" s="6"/>
      <c r="G41" s="6"/>
      <c r="H41" s="6"/>
      <c r="I41" s="6"/>
      <c r="J41" s="6">
        <f>+F41-H41-I41</f>
        <v>0</v>
      </c>
      <c r="K41" s="54"/>
    </row>
    <row r="42" spans="1:13" ht="18">
      <c r="A42" s="49"/>
      <c r="B42" s="1345"/>
      <c r="C42" s="53" t="str">
        <f>+[10]dec!C36</f>
        <v>TOTAL</v>
      </c>
      <c r="D42" s="6">
        <f t="shared" ref="D42:I42" si="4">SUM(D38:D41)</f>
        <v>0</v>
      </c>
      <c r="E42" s="6">
        <f t="shared" si="4"/>
        <v>81798000</v>
      </c>
      <c r="F42" s="6">
        <f t="shared" si="4"/>
        <v>71943000</v>
      </c>
      <c r="G42" s="6">
        <f t="shared" si="4"/>
        <v>0</v>
      </c>
      <c r="H42" s="6">
        <f t="shared" si="4"/>
        <v>224363.37</v>
      </c>
      <c r="I42" s="6">
        <f t="shared" si="4"/>
        <v>36596297.829999998</v>
      </c>
      <c r="J42" s="6">
        <f>+F42-H42-I42</f>
        <v>35122338.799999997</v>
      </c>
      <c r="K42" s="54"/>
      <c r="L42" s="4">
        <f>+F42-H42</f>
        <v>71718636.629999995</v>
      </c>
      <c r="M42" s="565">
        <f>+I42/L42</f>
        <v>0.51027598333752655</v>
      </c>
    </row>
    <row r="43" spans="1:13" ht="18">
      <c r="A43" s="49" t="s">
        <v>341</v>
      </c>
      <c r="B43" s="1174" t="s">
        <v>342</v>
      </c>
      <c r="C43" s="53"/>
      <c r="D43" s="6">
        <v>0</v>
      </c>
      <c r="E43" s="6"/>
      <c r="F43" s="6"/>
      <c r="G43" s="6"/>
      <c r="H43" s="6"/>
      <c r="I43" s="6"/>
      <c r="J43" s="6"/>
      <c r="K43" s="54"/>
    </row>
    <row r="44" spans="1:13" ht="18">
      <c r="A44" s="49"/>
      <c r="B44" s="1345"/>
      <c r="C44" s="53">
        <f>+[10]dec!C38</f>
        <v>100</v>
      </c>
      <c r="D44" s="6"/>
      <c r="E44" s="6">
        <v>32521000</v>
      </c>
      <c r="F44" s="6">
        <f>+[11]SAOB!O11</f>
        <v>32521000</v>
      </c>
      <c r="G44" s="6"/>
      <c r="H44" s="6"/>
      <c r="I44" s="6">
        <f>+[11]SAOB!BS11</f>
        <v>24956848.390000001</v>
      </c>
      <c r="J44" s="6">
        <f>+F44-H44-I44</f>
        <v>7564151.6099999994</v>
      </c>
      <c r="K44" s="54"/>
      <c r="L44" s="4">
        <f>+F44-H44</f>
        <v>32521000</v>
      </c>
      <c r="M44" s="565">
        <f>+I44/L44</f>
        <v>0.76740716429384093</v>
      </c>
    </row>
    <row r="45" spans="1:13" ht="18">
      <c r="A45" s="49"/>
      <c r="B45" s="1345"/>
      <c r="C45" s="53">
        <f>+[10]dec!C39</f>
        <v>200</v>
      </c>
      <c r="D45" s="6"/>
      <c r="E45" s="6"/>
      <c r="F45" s="6">
        <f>+E45</f>
        <v>0</v>
      </c>
      <c r="G45" s="6"/>
      <c r="H45" s="6"/>
      <c r="I45" s="6"/>
      <c r="J45" s="6">
        <f>+F45-H45-I45</f>
        <v>0</v>
      </c>
      <c r="K45" s="54"/>
      <c r="L45" s="4"/>
      <c r="M45" s="565"/>
    </row>
    <row r="46" spans="1:13" ht="18">
      <c r="A46" s="49"/>
      <c r="B46" s="1345"/>
      <c r="C46" s="53">
        <f>+[10]dec!C40</f>
        <v>300</v>
      </c>
      <c r="D46" s="6"/>
      <c r="E46" s="6"/>
      <c r="F46" s="6">
        <f>+E46</f>
        <v>0</v>
      </c>
      <c r="G46" s="6"/>
      <c r="H46" s="6"/>
      <c r="I46" s="6"/>
      <c r="J46" s="6">
        <f>+F46-H46-I46</f>
        <v>0</v>
      </c>
      <c r="K46" s="54"/>
      <c r="L46" s="4"/>
      <c r="M46" s="565"/>
    </row>
    <row r="47" spans="1:13" ht="18">
      <c r="A47" s="49"/>
      <c r="B47" s="1345"/>
      <c r="C47" s="53" t="str">
        <f>+[10]dec!C41</f>
        <v>FE</v>
      </c>
      <c r="D47" s="6"/>
      <c r="E47" s="6"/>
      <c r="F47" s="6"/>
      <c r="G47" s="6"/>
      <c r="H47" s="6"/>
      <c r="I47" s="6"/>
      <c r="J47" s="6">
        <f>+F47-H47-I47</f>
        <v>0</v>
      </c>
      <c r="K47" s="54"/>
    </row>
    <row r="48" spans="1:13" ht="18">
      <c r="A48" s="49"/>
      <c r="B48" s="1345"/>
      <c r="C48" s="53" t="str">
        <f>+[10]dec!C42</f>
        <v>TOTAL</v>
      </c>
      <c r="D48" s="6">
        <f t="shared" ref="D48:I48" si="5">SUM(D44:D47)</f>
        <v>0</v>
      </c>
      <c r="E48" s="6">
        <f t="shared" si="5"/>
        <v>32521000</v>
      </c>
      <c r="F48" s="6">
        <f t="shared" si="5"/>
        <v>32521000</v>
      </c>
      <c r="G48" s="6">
        <f t="shared" si="5"/>
        <v>0</v>
      </c>
      <c r="H48" s="6">
        <f t="shared" si="5"/>
        <v>0</v>
      </c>
      <c r="I48" s="6">
        <f t="shared" si="5"/>
        <v>24956848.390000001</v>
      </c>
      <c r="J48" s="6">
        <f>+F48-H48-I48</f>
        <v>7564151.6099999994</v>
      </c>
      <c r="K48" s="54"/>
      <c r="L48" s="4">
        <f>+F48-H48</f>
        <v>32521000</v>
      </c>
      <c r="M48" s="565">
        <f>+I48/L48</f>
        <v>0.76740716429384093</v>
      </c>
    </row>
    <row r="49" spans="1:13" ht="18">
      <c r="A49" s="49" t="s">
        <v>343</v>
      </c>
      <c r="B49" s="1174" t="s">
        <v>344</v>
      </c>
      <c r="C49" s="53"/>
      <c r="D49" s="6">
        <v>0</v>
      </c>
      <c r="E49" s="6"/>
      <c r="F49" s="6"/>
      <c r="G49" s="6"/>
      <c r="H49" s="6"/>
      <c r="I49" s="6"/>
      <c r="J49" s="6"/>
      <c r="K49" s="54"/>
    </row>
    <row r="50" spans="1:13" ht="18">
      <c r="A50" s="49"/>
      <c r="B50" s="1345"/>
      <c r="C50" s="53">
        <f>+[10]dec!C44</f>
        <v>100</v>
      </c>
      <c r="D50" s="6"/>
      <c r="E50" s="6">
        <v>48985000</v>
      </c>
      <c r="F50" s="6">
        <f>+E50</f>
        <v>48985000</v>
      </c>
      <c r="G50" s="6"/>
      <c r="H50" s="6"/>
      <c r="I50" s="6">
        <f>+[11]SAOB!BS12</f>
        <v>35409649.340000004</v>
      </c>
      <c r="J50" s="6">
        <f>+F50-H50-I50</f>
        <v>13575350.659999996</v>
      </c>
      <c r="K50" s="54"/>
      <c r="L50" s="4">
        <f>+F50-H50</f>
        <v>48985000</v>
      </c>
      <c r="M50" s="565">
        <f>+I50/L50</f>
        <v>0.72286719077268557</v>
      </c>
    </row>
    <row r="51" spans="1:13" ht="18">
      <c r="A51" s="49"/>
      <c r="B51" s="1345"/>
      <c r="C51" s="53">
        <f>+[10]dec!C45</f>
        <v>200</v>
      </c>
      <c r="D51" s="6"/>
      <c r="E51" s="6"/>
      <c r="F51" s="6">
        <f>+E51</f>
        <v>0</v>
      </c>
      <c r="G51" s="6"/>
      <c r="H51" s="6"/>
      <c r="I51" s="6"/>
      <c r="J51" s="6">
        <f>+F51-H51-I51</f>
        <v>0</v>
      </c>
      <c r="K51" s="54"/>
      <c r="L51" s="4"/>
      <c r="M51" s="565"/>
    </row>
    <row r="52" spans="1:13" ht="18">
      <c r="A52" s="49"/>
      <c r="B52" s="1345"/>
      <c r="C52" s="53">
        <f>+[10]dec!C46</f>
        <v>300</v>
      </c>
      <c r="D52" s="6"/>
      <c r="E52" s="6"/>
      <c r="F52" s="6">
        <f>+E52</f>
        <v>0</v>
      </c>
      <c r="G52" s="6"/>
      <c r="H52" s="6"/>
      <c r="I52" s="6"/>
      <c r="J52" s="6">
        <f>+F52-H52-I52</f>
        <v>0</v>
      </c>
      <c r="K52" s="54"/>
      <c r="L52" s="4"/>
      <c r="M52" s="565"/>
    </row>
    <row r="53" spans="1:13" ht="18">
      <c r="A53" s="49"/>
      <c r="B53" s="1345"/>
      <c r="C53" s="53" t="str">
        <f>+[10]dec!C47</f>
        <v>FE</v>
      </c>
      <c r="D53" s="6"/>
      <c r="E53" s="6"/>
      <c r="F53" s="6"/>
      <c r="G53" s="6"/>
      <c r="H53" s="6"/>
      <c r="I53" s="6"/>
      <c r="J53" s="6">
        <f>+F53-H53-I53</f>
        <v>0</v>
      </c>
      <c r="K53" s="54"/>
    </row>
    <row r="54" spans="1:13" ht="18">
      <c r="A54" s="49"/>
      <c r="B54" s="1345"/>
      <c r="C54" s="53" t="str">
        <f>+[10]dec!C48</f>
        <v>TOTAL</v>
      </c>
      <c r="D54" s="6">
        <f t="shared" ref="D54:I54" si="6">SUM(D50:D53)</f>
        <v>0</v>
      </c>
      <c r="E54" s="6">
        <f t="shared" si="6"/>
        <v>48985000</v>
      </c>
      <c r="F54" s="6">
        <f t="shared" si="6"/>
        <v>48985000</v>
      </c>
      <c r="G54" s="6">
        <f t="shared" si="6"/>
        <v>0</v>
      </c>
      <c r="H54" s="6">
        <f t="shared" si="6"/>
        <v>0</v>
      </c>
      <c r="I54" s="6">
        <f t="shared" si="6"/>
        <v>35409649.340000004</v>
      </c>
      <c r="J54" s="6">
        <f>+F54-H54-I54</f>
        <v>13575350.659999996</v>
      </c>
      <c r="K54" s="54"/>
      <c r="L54" s="4">
        <f>+F54-H54</f>
        <v>48985000</v>
      </c>
      <c r="M54" s="565">
        <f>+I54/L54</f>
        <v>0.72286719077268557</v>
      </c>
    </row>
    <row r="55" spans="1:13" ht="18">
      <c r="A55" s="49" t="s">
        <v>345</v>
      </c>
      <c r="B55" s="1174" t="s">
        <v>346</v>
      </c>
      <c r="C55" s="53"/>
      <c r="D55" s="6">
        <v>0</v>
      </c>
      <c r="E55" s="6"/>
      <c r="F55" s="6"/>
      <c r="G55" s="6"/>
      <c r="H55" s="6"/>
      <c r="I55" s="6"/>
      <c r="J55" s="6"/>
      <c r="K55" s="54"/>
    </row>
    <row r="56" spans="1:13">
      <c r="A56" s="49"/>
      <c r="B56" s="1345"/>
      <c r="C56" s="53">
        <f>+[10]dec!C50</f>
        <v>100</v>
      </c>
      <c r="D56" s="6"/>
      <c r="E56" s="6" t="e">
        <f>+#REF!+#REF!+#REF!+#REF!+#REF!+#REF!+#REF!+#REF!+#REF!+#REF!+#REF!+#REF!+#REF!+#REF!+#REF!+#REF!+#REF!+#REF!</f>
        <v>#REF!</v>
      </c>
      <c r="F56" s="6">
        <f>+[11]SAOB!O13</f>
        <v>102120000</v>
      </c>
      <c r="G56" s="6" t="e">
        <f>+#REF!+#REF!+#REF!+#REF!+#REF!+#REF!+#REF!+#REF!+#REF!+#REF!+#REF!+#REF!+#REF!+#REF!+#REF!+#REF!+#REF!+#REF!</f>
        <v>#REF!</v>
      </c>
      <c r="H56" s="6"/>
      <c r="I56" s="6">
        <f>+[11]SAOB!BS13</f>
        <v>57201322.129999995</v>
      </c>
      <c r="J56" s="6">
        <f>+F56-I56</f>
        <v>44918677.870000005</v>
      </c>
      <c r="K56" s="55"/>
      <c r="L56" s="4">
        <f>+F56-H56</f>
        <v>102120000</v>
      </c>
      <c r="M56" s="565">
        <f>+I56/L56</f>
        <v>0.56013828956130041</v>
      </c>
    </row>
    <row r="57" spans="1:13">
      <c r="A57" s="49"/>
      <c r="B57" s="1345"/>
      <c r="C57" s="53">
        <f>+[10]dec!C51</f>
        <v>200</v>
      </c>
      <c r="D57" s="6"/>
      <c r="E57" s="6" t="e">
        <f>+#REF!+#REF!+#REF!+#REF!+#REF!+#REF!+#REF!+#REF!+#REF!+#REF!+#REF!+#REF!+#REF!+#REF!+#REF!+#REF!+#REF!+#REF!</f>
        <v>#REF!</v>
      </c>
      <c r="F57" s="6">
        <f>+[11]SAOB!P13</f>
        <v>2697263000</v>
      </c>
      <c r="G57" s="6" t="e">
        <f>+#REF!+#REF!+#REF!+#REF!+#REF!+#REF!+#REF!+#REF!+#REF!+#REF!+#REF!+#REF!+#REF!+#REF!+#REF!+#REF!+#REF!+#REF!</f>
        <v>#REF!</v>
      </c>
      <c r="H57" s="6">
        <v>2452233463.0300002</v>
      </c>
      <c r="I57" s="6">
        <f>+[11]SAOB!BT13-H57</f>
        <v>211288038.40999937</v>
      </c>
      <c r="J57" s="6">
        <f>+F57-H57-I57</f>
        <v>33741498.56000042</v>
      </c>
      <c r="K57" s="55"/>
      <c r="L57" s="4">
        <f>+F57-H57</f>
        <v>245029536.96999979</v>
      </c>
      <c r="M57" s="565">
        <f>+I57/L57</f>
        <v>0.86229619915524081</v>
      </c>
    </row>
    <row r="58" spans="1:13">
      <c r="A58" s="49"/>
      <c r="B58" s="1345"/>
      <c r="C58" s="53">
        <f>+[10]dec!C52</f>
        <v>300</v>
      </c>
      <c r="D58" s="6"/>
      <c r="E58" s="6">
        <v>0</v>
      </c>
      <c r="F58" s="6">
        <f>+E58</f>
        <v>0</v>
      </c>
      <c r="G58" s="6">
        <f>+F58</f>
        <v>0</v>
      </c>
      <c r="H58" s="6">
        <f>+G58</f>
        <v>0</v>
      </c>
      <c r="I58" s="6">
        <f>+H58</f>
        <v>0</v>
      </c>
      <c r="J58" s="6">
        <f>+I58</f>
        <v>0</v>
      </c>
      <c r="K58" s="55"/>
      <c r="L58" s="4"/>
      <c r="M58" s="565"/>
    </row>
    <row r="59" spans="1:13">
      <c r="A59" s="49"/>
      <c r="B59" s="1345"/>
      <c r="C59" s="53" t="str">
        <f>+[10]dec!C53</f>
        <v>FE</v>
      </c>
      <c r="D59" s="6"/>
      <c r="E59" s="6"/>
      <c r="F59" s="6"/>
      <c r="G59" s="6"/>
      <c r="H59" s="6"/>
      <c r="I59" s="6"/>
      <c r="J59" s="6"/>
      <c r="K59" s="55"/>
    </row>
    <row r="60" spans="1:13">
      <c r="A60" s="49"/>
      <c r="B60" s="1345"/>
      <c r="C60" s="53" t="str">
        <f>+[10]dec!C54</f>
        <v>TOTAL</v>
      </c>
      <c r="D60" s="6">
        <f t="shared" ref="D60:J60" si="7">SUM(D56:D59)</f>
        <v>0</v>
      </c>
      <c r="E60" s="6" t="e">
        <f t="shared" si="7"/>
        <v>#REF!</v>
      </c>
      <c r="F60" s="6">
        <f t="shared" si="7"/>
        <v>2799383000</v>
      </c>
      <c r="G60" s="6" t="e">
        <f t="shared" si="7"/>
        <v>#REF!</v>
      </c>
      <c r="H60" s="6">
        <f t="shared" si="7"/>
        <v>2452233463.0300002</v>
      </c>
      <c r="I60" s="6">
        <f t="shared" si="7"/>
        <v>268489360.53999937</v>
      </c>
      <c r="J60" s="6">
        <f t="shared" si="7"/>
        <v>78660176.430000424</v>
      </c>
      <c r="K60" s="55"/>
      <c r="L60" s="4">
        <f>+F60-H60</f>
        <v>347149536.96999979</v>
      </c>
      <c r="M60" s="565">
        <f>+I60/L60</f>
        <v>0.77341125926145726</v>
      </c>
    </row>
    <row r="61" spans="1:13" ht="22.5">
      <c r="A61" s="49" t="s">
        <v>347</v>
      </c>
      <c r="B61" s="1175" t="s">
        <v>348</v>
      </c>
      <c r="C61" s="53"/>
      <c r="D61" s="6"/>
      <c r="E61" s="6"/>
      <c r="F61" s="6"/>
      <c r="G61" s="6"/>
      <c r="H61" s="6"/>
      <c r="I61" s="6"/>
      <c r="J61" s="6"/>
      <c r="K61" s="55"/>
    </row>
    <row r="62" spans="1:13" ht="18">
      <c r="A62" s="49"/>
      <c r="B62" s="1345"/>
      <c r="C62" s="53">
        <f>+[10]dec!C56</f>
        <v>100</v>
      </c>
      <c r="D62" s="6"/>
      <c r="E62" s="6">
        <v>14410000</v>
      </c>
      <c r="F62" s="6">
        <f>+[11]SAOB!O33</f>
        <v>17615000</v>
      </c>
      <c r="G62" s="6"/>
      <c r="H62" s="6"/>
      <c r="I62" s="6">
        <f>+[11]SAOB!BS33</f>
        <v>13724706.930000002</v>
      </c>
      <c r="J62" s="6">
        <f>+F62-H62-I62</f>
        <v>3890293.0699999984</v>
      </c>
      <c r="K62" s="54"/>
      <c r="L62" s="4">
        <f>+F62-H62</f>
        <v>17615000</v>
      </c>
      <c r="M62" s="565">
        <f>+I62/L62</f>
        <v>0.77914884643769522</v>
      </c>
    </row>
    <row r="63" spans="1:13" ht="18">
      <c r="A63" s="49"/>
      <c r="B63" s="1345"/>
      <c r="C63" s="53">
        <f>+[10]dec!C57</f>
        <v>200</v>
      </c>
      <c r="D63" s="6"/>
      <c r="E63" s="6">
        <v>14845000</v>
      </c>
      <c r="F63" s="6">
        <f>+[11]SAOB!P33</f>
        <v>15371000</v>
      </c>
      <c r="G63" s="6"/>
      <c r="H63" s="6"/>
      <c r="I63" s="6">
        <f>+[11]SAOB!BT33</f>
        <v>10930037.849999998</v>
      </c>
      <c r="J63" s="6">
        <f>+F63-H63-I63</f>
        <v>4440962.1500000022</v>
      </c>
      <c r="K63" s="54"/>
      <c r="L63" s="4">
        <f>+F63-H63</f>
        <v>15371000</v>
      </c>
      <c r="M63" s="565">
        <f>+I63/L63</f>
        <v>0.7110817676143385</v>
      </c>
    </row>
    <row r="64" spans="1:13" ht="18">
      <c r="A64" s="49"/>
      <c r="B64" s="1345"/>
      <c r="C64" s="53">
        <f>+[10]dec!C58</f>
        <v>300</v>
      </c>
      <c r="D64" s="6"/>
      <c r="E64" s="6">
        <v>0</v>
      </c>
      <c r="F64" s="6">
        <f>+E64</f>
        <v>0</v>
      </c>
      <c r="G64" s="6"/>
      <c r="H64" s="6"/>
      <c r="I64" s="6"/>
      <c r="J64" s="6">
        <f>+F64-H64-I64</f>
        <v>0</v>
      </c>
      <c r="K64" s="54"/>
      <c r="L64" s="4"/>
      <c r="M64" s="565"/>
    </row>
    <row r="65" spans="1:13" ht="18">
      <c r="A65" s="49"/>
      <c r="B65" s="1345"/>
      <c r="C65" s="53" t="str">
        <f>+[10]dec!C59</f>
        <v>FE</v>
      </c>
      <c r="D65" s="6"/>
      <c r="E65" s="6"/>
      <c r="F65" s="6"/>
      <c r="G65" s="6"/>
      <c r="H65" s="6"/>
      <c r="I65" s="6"/>
      <c r="J65" s="6">
        <f>+F65-H65-I65</f>
        <v>0</v>
      </c>
      <c r="K65" s="54"/>
    </row>
    <row r="66" spans="1:13" ht="18">
      <c r="A66" s="49"/>
      <c r="B66" s="1345"/>
      <c r="C66" s="53" t="str">
        <f>+[10]dec!C60</f>
        <v>TOTAL</v>
      </c>
      <c r="D66" s="6">
        <f t="shared" ref="D66:I66" si="8">SUM(D62:D65)</f>
        <v>0</v>
      </c>
      <c r="E66" s="6">
        <f t="shared" si="8"/>
        <v>29255000</v>
      </c>
      <c r="F66" s="6">
        <f t="shared" si="8"/>
        <v>32986000</v>
      </c>
      <c r="G66" s="6">
        <f t="shared" si="8"/>
        <v>0</v>
      </c>
      <c r="H66" s="6">
        <f t="shared" si="8"/>
        <v>0</v>
      </c>
      <c r="I66" s="6">
        <f t="shared" si="8"/>
        <v>24654744.780000001</v>
      </c>
      <c r="J66" s="6">
        <f>+F66-H66-I66</f>
        <v>8331255.2199999988</v>
      </c>
      <c r="K66" s="54"/>
      <c r="L66" s="4">
        <f>+F66-H66</f>
        <v>32986000</v>
      </c>
      <c r="M66" s="565">
        <f>+I66/L66</f>
        <v>0.74743056993876189</v>
      </c>
    </row>
    <row r="67" spans="1:13" ht="18">
      <c r="A67" s="49" t="s">
        <v>349</v>
      </c>
      <c r="B67" s="1174" t="s">
        <v>350</v>
      </c>
      <c r="C67" s="53"/>
      <c r="D67" s="6"/>
      <c r="E67" s="6"/>
      <c r="F67" s="6"/>
      <c r="G67" s="6"/>
      <c r="H67" s="6"/>
      <c r="I67" s="6"/>
      <c r="J67" s="6"/>
      <c r="K67" s="54"/>
    </row>
    <row r="68" spans="1:13" ht="18">
      <c r="A68" s="49"/>
      <c r="B68" s="1345"/>
      <c r="C68" s="53">
        <f>+[10]dec!C56</f>
        <v>100</v>
      </c>
      <c r="D68" s="6"/>
      <c r="E68" s="6">
        <v>10042000</v>
      </c>
      <c r="F68" s="6">
        <f>+[11]SAOB!O34</f>
        <v>10569000</v>
      </c>
      <c r="G68" s="6"/>
      <c r="H68" s="6"/>
      <c r="I68" s="6">
        <f>+[11]SAOB!BS34</f>
        <v>10516328.43</v>
      </c>
      <c r="J68" s="6">
        <f>+F68-H68-I68</f>
        <v>52671.570000000298</v>
      </c>
      <c r="K68" s="54"/>
      <c r="L68" s="4">
        <f>+F68-H68</f>
        <v>10569000</v>
      </c>
      <c r="M68" s="565">
        <f>+I68/L68</f>
        <v>0.99501640931024693</v>
      </c>
    </row>
    <row r="69" spans="1:13" ht="18">
      <c r="A69" s="49"/>
      <c r="B69" s="1345"/>
      <c r="C69" s="53">
        <f>+[10]dec!C57</f>
        <v>200</v>
      </c>
      <c r="D69" s="6"/>
      <c r="E69" s="6">
        <v>16534000</v>
      </c>
      <c r="F69" s="6">
        <f>+[11]SAOB!P34</f>
        <v>17035000</v>
      </c>
      <c r="G69" s="6"/>
      <c r="H69" s="6">
        <v>2350000</v>
      </c>
      <c r="I69" s="6">
        <f>+[11]SAOB!BT34-H69</f>
        <v>7973134.4600000009</v>
      </c>
      <c r="J69" s="6">
        <f>+F69-H69-I69</f>
        <v>6711865.5399999991</v>
      </c>
      <c r="K69" s="54"/>
      <c r="L69" s="4">
        <f>+F69-H69</f>
        <v>14685000</v>
      </c>
      <c r="M69" s="565">
        <f>+I69/L69</f>
        <v>0.54294412393598912</v>
      </c>
    </row>
    <row r="70" spans="1:13" ht="18">
      <c r="A70" s="49"/>
      <c r="B70" s="1345"/>
      <c r="C70" s="53">
        <f>+[10]dec!C58</f>
        <v>300</v>
      </c>
      <c r="D70" s="6"/>
      <c r="E70" s="6"/>
      <c r="F70" s="6">
        <f>+E70</f>
        <v>0</v>
      </c>
      <c r="G70" s="6"/>
      <c r="H70" s="6"/>
      <c r="I70" s="6"/>
      <c r="J70" s="6">
        <f>+F70-H70-I70</f>
        <v>0</v>
      </c>
      <c r="K70" s="54"/>
      <c r="L70" s="4"/>
      <c r="M70" s="565"/>
    </row>
    <row r="71" spans="1:13" ht="18">
      <c r="A71" s="49"/>
      <c r="B71" s="1345"/>
      <c r="C71" s="53" t="str">
        <f>+[10]dec!C59</f>
        <v>FE</v>
      </c>
      <c r="D71" s="6"/>
      <c r="E71" s="6"/>
      <c r="F71" s="6"/>
      <c r="G71" s="6"/>
      <c r="H71" s="6"/>
      <c r="I71" s="6"/>
      <c r="J71" s="6">
        <f>+F71-H71-I71</f>
        <v>0</v>
      </c>
      <c r="K71" s="54"/>
    </row>
    <row r="72" spans="1:13" ht="18">
      <c r="A72" s="49"/>
      <c r="B72" s="1345"/>
      <c r="C72" s="53" t="str">
        <f>+[10]dec!C60</f>
        <v>TOTAL</v>
      </c>
      <c r="D72" s="6">
        <f t="shared" ref="D72:I72" si="9">SUM(D68:D71)</f>
        <v>0</v>
      </c>
      <c r="E72" s="6">
        <f t="shared" si="9"/>
        <v>26576000</v>
      </c>
      <c r="F72" s="6">
        <f t="shared" si="9"/>
        <v>27604000</v>
      </c>
      <c r="G72" s="6">
        <f t="shared" si="9"/>
        <v>0</v>
      </c>
      <c r="H72" s="6">
        <f t="shared" si="9"/>
        <v>2350000</v>
      </c>
      <c r="I72" s="6">
        <f t="shared" si="9"/>
        <v>18489462.890000001</v>
      </c>
      <c r="J72" s="6">
        <f>+F72-H72-I72</f>
        <v>6764537.1099999994</v>
      </c>
      <c r="K72" s="54"/>
      <c r="L72" s="4">
        <f>+F72-H72</f>
        <v>25254000</v>
      </c>
      <c r="M72" s="565">
        <f>+I72/L72</f>
        <v>0.7321399734695494</v>
      </c>
    </row>
    <row r="73" spans="1:13" ht="23.25">
      <c r="A73" s="49" t="s">
        <v>351</v>
      </c>
      <c r="B73" s="1177" t="s">
        <v>352</v>
      </c>
      <c r="C73" s="53"/>
      <c r="D73" s="6"/>
      <c r="E73" s="6"/>
      <c r="F73" s="6"/>
      <c r="G73" s="6"/>
      <c r="H73" s="6"/>
      <c r="I73" s="6"/>
      <c r="J73" s="6"/>
      <c r="K73" s="54"/>
    </row>
    <row r="74" spans="1:13" ht="18">
      <c r="A74" s="49"/>
      <c r="B74" s="1345"/>
      <c r="C74" s="53">
        <f>+[10]dec!C62</f>
        <v>100</v>
      </c>
      <c r="D74" s="6"/>
      <c r="E74" s="6"/>
      <c r="F74" s="6">
        <f>+E74</f>
        <v>0</v>
      </c>
      <c r="G74" s="6"/>
      <c r="H74" s="6"/>
      <c r="I74" s="6"/>
      <c r="J74" s="6">
        <f>+F74-H74-I74</f>
        <v>0</v>
      </c>
      <c r="K74" s="54"/>
      <c r="L74" s="4"/>
      <c r="M74" s="565"/>
    </row>
    <row r="75" spans="1:13" ht="18">
      <c r="A75" s="49"/>
      <c r="B75" s="1345"/>
      <c r="C75" s="53">
        <f>+[10]dec!C63</f>
        <v>200</v>
      </c>
      <c r="D75" s="6"/>
      <c r="E75" s="6">
        <v>328908000</v>
      </c>
      <c r="F75" s="6">
        <f>+[11]SAOB!P35</f>
        <v>24500000</v>
      </c>
      <c r="G75" s="6"/>
      <c r="H75" s="6">
        <v>20573099</v>
      </c>
      <c r="I75" s="6">
        <f>+[11]SAOB!BT35-H75</f>
        <v>2642936.3599999994</v>
      </c>
      <c r="J75" s="6">
        <f>+F75-H75-I75</f>
        <v>1283964.6400000006</v>
      </c>
      <c r="K75" s="54"/>
      <c r="L75" s="4">
        <f>+F75-H75</f>
        <v>3926901</v>
      </c>
      <c r="M75" s="565">
        <f>+I75/L75</f>
        <v>0.67303361098229864</v>
      </c>
    </row>
    <row r="76" spans="1:13" ht="18">
      <c r="A76" s="49"/>
      <c r="B76" s="1345"/>
      <c r="C76" s="53">
        <f>+[10]dec!C64</f>
        <v>300</v>
      </c>
      <c r="D76" s="6"/>
      <c r="E76" s="6"/>
      <c r="F76" s="6">
        <f>+E76</f>
        <v>0</v>
      </c>
      <c r="G76" s="6"/>
      <c r="H76" s="6"/>
      <c r="I76" s="6"/>
      <c r="J76" s="6">
        <f>+F76-H76-I76</f>
        <v>0</v>
      </c>
      <c r="K76" s="54"/>
      <c r="L76" s="4"/>
      <c r="M76" s="565"/>
    </row>
    <row r="77" spans="1:13" ht="18">
      <c r="A77" s="49"/>
      <c r="B77" s="1345"/>
      <c r="C77" s="53" t="str">
        <f>+[10]dec!C65</f>
        <v>FE</v>
      </c>
      <c r="D77" s="6"/>
      <c r="E77" s="6"/>
      <c r="F77" s="6"/>
      <c r="G77" s="6"/>
      <c r="H77" s="6"/>
      <c r="I77" s="6"/>
      <c r="J77" s="6">
        <f>+F77-H77-I77</f>
        <v>0</v>
      </c>
      <c r="K77" s="54"/>
    </row>
    <row r="78" spans="1:13" ht="18">
      <c r="A78" s="49"/>
      <c r="B78" s="1345"/>
      <c r="C78" s="53" t="str">
        <f>+[10]dec!C66</f>
        <v>TOTAL</v>
      </c>
      <c r="D78" s="6">
        <f t="shared" ref="D78:I78" si="10">SUM(D74:D77)</f>
        <v>0</v>
      </c>
      <c r="E78" s="6">
        <f t="shared" si="10"/>
        <v>328908000</v>
      </c>
      <c r="F78" s="6">
        <f t="shared" si="10"/>
        <v>24500000</v>
      </c>
      <c r="G78" s="6">
        <f t="shared" si="10"/>
        <v>0</v>
      </c>
      <c r="H78" s="6">
        <f t="shared" si="10"/>
        <v>20573099</v>
      </c>
      <c r="I78" s="6">
        <f t="shared" si="10"/>
        <v>2642936.3599999994</v>
      </c>
      <c r="J78" s="6">
        <f>+F78-H78-I78</f>
        <v>1283964.6400000006</v>
      </c>
      <c r="K78" s="54"/>
      <c r="L78" s="4">
        <f>+F78-H78</f>
        <v>3926901</v>
      </c>
      <c r="M78" s="565">
        <f>+I78/L78</f>
        <v>0.67303361098229864</v>
      </c>
    </row>
    <row r="79" spans="1:13" ht="18">
      <c r="A79" s="49" t="s">
        <v>353</v>
      </c>
      <c r="B79" s="1174" t="s">
        <v>354</v>
      </c>
      <c r="C79" s="53"/>
      <c r="D79" s="6"/>
      <c r="E79" s="6"/>
      <c r="F79" s="6"/>
      <c r="G79" s="6"/>
      <c r="H79" s="6"/>
      <c r="I79" s="6"/>
      <c r="J79" s="6"/>
      <c r="K79" s="54"/>
    </row>
    <row r="80" spans="1:13" ht="18">
      <c r="A80" s="49"/>
      <c r="B80" s="1345"/>
      <c r="C80" s="53">
        <f>+[10]dec!C80</f>
        <v>100</v>
      </c>
      <c r="D80" s="6">
        <v>0</v>
      </c>
      <c r="E80" s="6"/>
      <c r="F80" s="6">
        <f>+E80</f>
        <v>0</v>
      </c>
      <c r="G80" s="6"/>
      <c r="H80" s="6"/>
      <c r="I80" s="6"/>
      <c r="J80" s="6">
        <f>+F80-H80-I80</f>
        <v>0</v>
      </c>
      <c r="K80" s="54"/>
      <c r="L80" s="4"/>
      <c r="M80" s="565"/>
    </row>
    <row r="81" spans="1:14" ht="18">
      <c r="A81" s="49"/>
      <c r="B81" s="1345"/>
      <c r="C81" s="53">
        <f>+[10]dec!C81</f>
        <v>200</v>
      </c>
      <c r="D81" s="6"/>
      <c r="E81" s="6">
        <v>12312000</v>
      </c>
      <c r="F81" s="6">
        <f>+[11]SAOB!P37</f>
        <v>12805000</v>
      </c>
      <c r="G81" s="6"/>
      <c r="H81" s="6"/>
      <c r="I81" s="6">
        <f>+[11]SAOB!BT37</f>
        <v>12805000</v>
      </c>
      <c r="J81" s="6">
        <f>+F81-H81-I81</f>
        <v>0</v>
      </c>
      <c r="K81" s="54"/>
      <c r="L81" s="4">
        <f>+F81-H81</f>
        <v>12805000</v>
      </c>
      <c r="M81" s="565">
        <f>+I81/L81</f>
        <v>1</v>
      </c>
    </row>
    <row r="82" spans="1:14" ht="18">
      <c r="A82" s="49"/>
      <c r="B82" s="1345"/>
      <c r="C82" s="53">
        <f>+[10]dec!C82</f>
        <v>300</v>
      </c>
      <c r="D82" s="6"/>
      <c r="E82" s="6"/>
      <c r="F82" s="6">
        <f>+E82</f>
        <v>0</v>
      </c>
      <c r="G82" s="6"/>
      <c r="H82" s="6"/>
      <c r="I82" s="6"/>
      <c r="J82" s="6">
        <f>+F82-H82-I82</f>
        <v>0</v>
      </c>
      <c r="K82" s="54"/>
      <c r="L82" s="4"/>
      <c r="M82" s="565"/>
    </row>
    <row r="83" spans="1:14" ht="18">
      <c r="A83" s="49"/>
      <c r="B83" s="1345"/>
      <c r="C83" s="53" t="str">
        <f>+[10]dec!C83</f>
        <v>FE</v>
      </c>
      <c r="D83" s="6"/>
      <c r="E83" s="6"/>
      <c r="F83" s="6"/>
      <c r="G83" s="6"/>
      <c r="H83" s="6"/>
      <c r="I83" s="6"/>
      <c r="J83" s="6">
        <f>+F83-H83-I83</f>
        <v>0</v>
      </c>
      <c r="K83" s="54"/>
    </row>
    <row r="84" spans="1:14" ht="18">
      <c r="A84" s="49"/>
      <c r="B84" s="1345"/>
      <c r="C84" s="53" t="str">
        <f>+[10]dec!C84</f>
        <v>TOTAL</v>
      </c>
      <c r="D84" s="6">
        <f t="shared" ref="D84:I84" si="11">SUM(D80:D83)</f>
        <v>0</v>
      </c>
      <c r="E84" s="6">
        <f t="shared" si="11"/>
        <v>12312000</v>
      </c>
      <c r="F84" s="6">
        <f t="shared" si="11"/>
        <v>12805000</v>
      </c>
      <c r="G84" s="6">
        <f t="shared" si="11"/>
        <v>0</v>
      </c>
      <c r="H84" s="6">
        <f t="shared" si="11"/>
        <v>0</v>
      </c>
      <c r="I84" s="6">
        <f t="shared" si="11"/>
        <v>12805000</v>
      </c>
      <c r="J84" s="6">
        <f>+F84-H84-I84</f>
        <v>0</v>
      </c>
      <c r="K84" s="54"/>
      <c r="L84" s="4">
        <f>+F84-H84</f>
        <v>12805000</v>
      </c>
      <c r="M84" s="565">
        <f>+I84/L84</f>
        <v>1</v>
      </c>
    </row>
    <row r="85" spans="1:14" ht="18">
      <c r="A85" s="49" t="s">
        <v>355</v>
      </c>
      <c r="B85" s="1174" t="s">
        <v>356</v>
      </c>
      <c r="C85" s="53"/>
      <c r="D85" s="6"/>
      <c r="E85" s="6"/>
      <c r="F85" s="6"/>
      <c r="G85" s="6"/>
      <c r="H85" s="6"/>
      <c r="I85" s="6"/>
      <c r="J85" s="6"/>
      <c r="K85" s="54"/>
    </row>
    <row r="86" spans="1:14" ht="18">
      <c r="A86" s="49"/>
      <c r="B86" s="1345"/>
      <c r="C86" s="53">
        <f>+[10]dec!C86</f>
        <v>100</v>
      </c>
      <c r="D86" s="6">
        <v>0</v>
      </c>
      <c r="E86" s="6"/>
      <c r="F86" s="6">
        <f>+E86</f>
        <v>0</v>
      </c>
      <c r="G86" s="6"/>
      <c r="H86" s="6"/>
      <c r="I86" s="6"/>
      <c r="J86" s="6">
        <f>+F86-H86-I86</f>
        <v>0</v>
      </c>
      <c r="K86" s="54"/>
      <c r="L86" s="4"/>
      <c r="M86" s="565"/>
    </row>
    <row r="87" spans="1:14" ht="18">
      <c r="A87" s="49"/>
      <c r="B87" s="1345"/>
      <c r="C87" s="53">
        <f>+[10]dec!C87</f>
        <v>200</v>
      </c>
      <c r="D87" s="6"/>
      <c r="E87" s="6">
        <v>11497000</v>
      </c>
      <c r="F87" s="6">
        <f>+[11]SAOB!P38</f>
        <v>11957000</v>
      </c>
      <c r="G87" s="6"/>
      <c r="H87" s="6"/>
      <c r="I87" s="6">
        <f>+[11]SAOB!BT38</f>
        <v>11957000</v>
      </c>
      <c r="J87" s="6">
        <f>+F87-H87-I87</f>
        <v>0</v>
      </c>
      <c r="K87" s="54"/>
      <c r="L87" s="4">
        <f>+F87-H87</f>
        <v>11957000</v>
      </c>
      <c r="M87" s="565">
        <f>+I87/L87</f>
        <v>1</v>
      </c>
    </row>
    <row r="88" spans="1:14" ht="18">
      <c r="A88" s="49"/>
      <c r="B88" s="1345"/>
      <c r="C88" s="53">
        <f>+[10]dec!C88</f>
        <v>300</v>
      </c>
      <c r="D88" s="6"/>
      <c r="E88" s="6"/>
      <c r="F88" s="6">
        <f>+E88</f>
        <v>0</v>
      </c>
      <c r="G88" s="6"/>
      <c r="H88" s="6"/>
      <c r="I88" s="6"/>
      <c r="J88" s="6">
        <f>+F88-H88-I88</f>
        <v>0</v>
      </c>
      <c r="K88" s="54"/>
      <c r="L88" s="4"/>
      <c r="M88" s="565"/>
    </row>
    <row r="89" spans="1:14" ht="18">
      <c r="A89" s="49"/>
      <c r="B89" s="1345"/>
      <c r="C89" s="53" t="str">
        <f>+[10]dec!C89</f>
        <v>FE</v>
      </c>
      <c r="D89" s="6"/>
      <c r="E89" s="6"/>
      <c r="F89" s="6"/>
      <c r="G89" s="6"/>
      <c r="H89" s="6"/>
      <c r="I89" s="6"/>
      <c r="J89" s="6">
        <f>+F89-H89-I89</f>
        <v>0</v>
      </c>
      <c r="K89" s="54"/>
    </row>
    <row r="90" spans="1:14" ht="18">
      <c r="A90" s="49"/>
      <c r="B90" s="1345"/>
      <c r="C90" s="53" t="str">
        <f>+[10]dec!C90</f>
        <v>TOTAL</v>
      </c>
      <c r="D90" s="6">
        <f t="shared" ref="D90:I90" si="12">SUM(D86:D89)</f>
        <v>0</v>
      </c>
      <c r="E90" s="6">
        <f t="shared" si="12"/>
        <v>11497000</v>
      </c>
      <c r="F90" s="6">
        <f t="shared" si="12"/>
        <v>11957000</v>
      </c>
      <c r="G90" s="6">
        <f t="shared" si="12"/>
        <v>0</v>
      </c>
      <c r="H90" s="6">
        <f t="shared" si="12"/>
        <v>0</v>
      </c>
      <c r="I90" s="6">
        <f t="shared" si="12"/>
        <v>11957000</v>
      </c>
      <c r="J90" s="6">
        <f>+F90-H90-I90</f>
        <v>0</v>
      </c>
      <c r="K90" s="54"/>
      <c r="L90" s="4">
        <f>+F90-H90</f>
        <v>11957000</v>
      </c>
      <c r="M90" s="565">
        <f>+I90/L90</f>
        <v>1</v>
      </c>
    </row>
    <row r="91" spans="1:14" ht="18">
      <c r="A91" s="49"/>
      <c r="B91" s="1345" t="s">
        <v>357</v>
      </c>
      <c r="C91" s="53"/>
      <c r="D91" s="6"/>
      <c r="E91" s="6"/>
      <c r="F91" s="6"/>
      <c r="G91" s="6"/>
      <c r="H91" s="6"/>
      <c r="I91" s="6"/>
      <c r="J91" s="6">
        <f>+F91+G91-H91-I91</f>
        <v>0</v>
      </c>
      <c r="K91" s="54"/>
    </row>
    <row r="92" spans="1:14" ht="18">
      <c r="A92" s="49"/>
      <c r="B92" s="1345"/>
      <c r="C92" s="53">
        <f>+[10]dec!C56</f>
        <v>100</v>
      </c>
      <c r="D92" s="6">
        <f t="shared" ref="D92:J96" si="13">+D98+D104+D110+D116+D122+D128+D134+D140+D146+D152+D158+D164+D170+D176+D182+D188+D194+D200+D206+D212+D218+D224+D230+D236+D242+D248+D254+D260+D284+D290</f>
        <v>0</v>
      </c>
      <c r="E92" s="6">
        <f t="shared" si="13"/>
        <v>156603000</v>
      </c>
      <c r="F92" s="6">
        <f t="shared" si="13"/>
        <v>188299000</v>
      </c>
      <c r="G92" s="6">
        <f t="shared" si="13"/>
        <v>23255000</v>
      </c>
      <c r="H92" s="6">
        <f t="shared" si="13"/>
        <v>0</v>
      </c>
      <c r="I92" s="6">
        <f t="shared" si="13"/>
        <v>171523401.14000002</v>
      </c>
      <c r="J92" s="6">
        <f t="shared" si="13"/>
        <v>16775598.859999992</v>
      </c>
      <c r="K92" s="54"/>
      <c r="L92" s="4">
        <f>+F92-H92</f>
        <v>188299000</v>
      </c>
      <c r="M92" s="565">
        <f>+I92/L92</f>
        <v>0.91090978252672616</v>
      </c>
    </row>
    <row r="93" spans="1:14" ht="18">
      <c r="A93" s="49"/>
      <c r="B93" s="1345"/>
      <c r="C93" s="53">
        <f>+[10]dec!C57</f>
        <v>200</v>
      </c>
      <c r="D93" s="6">
        <f t="shared" si="13"/>
        <v>0</v>
      </c>
      <c r="E93" s="6">
        <f t="shared" si="13"/>
        <v>8117132000</v>
      </c>
      <c r="F93" s="6">
        <f>+F99+F105+F111+F117+F123+F129+F135+F141+F147+F153+F159+F165+F171+F177+F183+F189+F195+F201+F207+F213+F219+F225+F231+F237+F243+F249+F255+F261+F285+F291+F267+F273+F279</f>
        <v>8703789000</v>
      </c>
      <c r="G93" s="6">
        <f>+G99+G105+G111+G117+G123+G129+G135+G141+G147+G153+G159+G165+G171+G177+G183+G189+G195+G201+G207+G213+G219+G225+G231+G237+G243+G249+G255+G261+G285+G291</f>
        <v>0</v>
      </c>
      <c r="H93" s="6">
        <f>+H99+H105+H111+H117+H123+H129+H135+H141+H147+H153+H159+H165+H171+H177+H183+H189+H195+H201+H207+H213+H219+H225+H231+H237+H243+H249+H255+H261+H285+H291+H267+H273+H279</f>
        <v>1472396335.0599999</v>
      </c>
      <c r="I93" s="6">
        <f t="shared" ref="H93:J94" si="14">+I99+I105+I111+I117+I123+I129+I135+I141+I147+I153+I159+I165+I171+I177+I183+I189+I195+I201+I207+I213+I219+I225+I231+I237+I243+I249+I255+I261+I285+I291+I267+I273+I279</f>
        <v>5084174339.3400011</v>
      </c>
      <c r="J93" s="6">
        <f t="shared" si="14"/>
        <v>2147218325.599999</v>
      </c>
      <c r="K93" s="54"/>
      <c r="L93" s="4">
        <f>+F93-H93</f>
        <v>7231392664.9400005</v>
      </c>
      <c r="M93" s="565">
        <f>+I93/L93</f>
        <v>0.7030698753214758</v>
      </c>
      <c r="N93" s="69"/>
    </row>
    <row r="94" spans="1:14" ht="18">
      <c r="A94" s="49"/>
      <c r="B94" s="1345"/>
      <c r="C94" s="53">
        <f>+[10]dec!C58</f>
        <v>300</v>
      </c>
      <c r="D94" s="6">
        <f t="shared" si="13"/>
        <v>0</v>
      </c>
      <c r="E94" s="6">
        <f t="shared" si="13"/>
        <v>0</v>
      </c>
      <c r="F94" s="6">
        <f>+F100+F106+F112+F118+F124+F130+F136+F142+F148+F154+F160+F166+F172+F178+F184+F190+F196+F202+F208+F214+F220+F226+F232+F238+F244+F250+F256+F262+F286+F292+F268+F274+F280</f>
        <v>10867892000</v>
      </c>
      <c r="G94" s="6">
        <f>+G100+G106+G112+G118+G124+G130+G136+G142+G148+G154+G160+G166+G172+G178+G184+G190+G196+G202+G208+G214+G220+G226+G232+G238+G244+G250+G256+G262+G286+G292</f>
        <v>0</v>
      </c>
      <c r="H94" s="6">
        <f t="shared" si="14"/>
        <v>5745606586.1000004</v>
      </c>
      <c r="I94" s="6">
        <f t="shared" si="14"/>
        <v>1148394554.2099991</v>
      </c>
      <c r="J94" s="6">
        <f t="shared" si="14"/>
        <v>3973890859.6900005</v>
      </c>
      <c r="K94" s="54"/>
      <c r="L94" s="4"/>
      <c r="M94" s="565"/>
    </row>
    <row r="95" spans="1:14" ht="18">
      <c r="A95" s="49"/>
      <c r="B95" s="1345"/>
      <c r="C95" s="53" t="str">
        <f>+[10]dec!C59</f>
        <v>FE</v>
      </c>
      <c r="D95" s="6">
        <f t="shared" si="13"/>
        <v>0</v>
      </c>
      <c r="E95" s="6">
        <f t="shared" si="13"/>
        <v>0</v>
      </c>
      <c r="F95" s="6">
        <f t="shared" ref="F95:J96" si="15">+F101+F107+F113+F119+F125+F131+F137+F143+F149+F155+F161+F167+F173+F179+F185+F191+F197+F203+F209+F215+F221+F227+F233+F239+F245+F251+F257+F263+F287+F293+F269+F275+F281</f>
        <v>0</v>
      </c>
      <c r="G95" s="6">
        <f>+G101+G107+G113+G119+G125+G131+G137+G143+G149+G155+G161+G167+G173+G179+G185+G191+G197+G203+G209+G215+G221+G227+G233+G239+G245+G251+G257+G263+G287+G293</f>
        <v>0</v>
      </c>
      <c r="H95" s="6">
        <f>+H101+H107+H113+H119+H125+H131+H137+H143+H149+H155+H161+H167+H173+H179+H185+H191+H197+H203+H209+H215+H221+H227+H233+H239+H245+H251+H257+H263+H287+H293</f>
        <v>0</v>
      </c>
      <c r="I95" s="6">
        <f>+I101+I107+I113+I119+I125+I131+I137+I143+I149+I155+I161+I167+I173+I179+I185+I191+I197+I203+I209+I215+I221+I227+I233+I239+I245+I251+I257+I263+I287+I293</f>
        <v>0</v>
      </c>
      <c r="J95" s="6">
        <f>+J101+J107+J113+J119+J125+J131+J137+J143+J149+J155+J161+J167+J173+J179+J185+J191+J197+J203+J209+J215+J221+J227+J233+J239+J245+J251+J257+J263+J287+J293</f>
        <v>0</v>
      </c>
      <c r="K95" s="54"/>
    </row>
    <row r="96" spans="1:14" ht="18">
      <c r="A96" s="49"/>
      <c r="B96" s="1345"/>
      <c r="C96" s="53" t="str">
        <f>+[10]dec!C60</f>
        <v>TOTAL</v>
      </c>
      <c r="D96" s="6">
        <f t="shared" si="13"/>
        <v>0</v>
      </c>
      <c r="E96" s="6">
        <f t="shared" si="13"/>
        <v>8273735000</v>
      </c>
      <c r="F96" s="6">
        <f t="shared" si="15"/>
        <v>19759980000</v>
      </c>
      <c r="G96" s="6">
        <f>+G102+G108+G114+G120+G126+G132+G138+G144+G150+G156+G162+G168+G174+G180+G186+G192+G198+G204+G210+G216+G222+G228+G234+G240+G246+G252+G258+G264+G288+G294</f>
        <v>23255000</v>
      </c>
      <c r="H96" s="6">
        <f t="shared" si="15"/>
        <v>7218002921.1600008</v>
      </c>
      <c r="I96" s="6">
        <f t="shared" si="15"/>
        <v>6404092294.6900015</v>
      </c>
      <c r="J96" s="6">
        <f t="shared" si="15"/>
        <v>6137884784.1499987</v>
      </c>
      <c r="K96" s="54"/>
      <c r="L96" s="4">
        <f>+F96-H96</f>
        <v>12541977078.84</v>
      </c>
      <c r="M96" s="565">
        <f>+I96/L96</f>
        <v>0.51061266133985883</v>
      </c>
    </row>
    <row r="97" spans="1:14" ht="18">
      <c r="A97" s="49" t="s">
        <v>358</v>
      </c>
      <c r="B97" s="1174" t="str">
        <f>+[10]dec!B55</f>
        <v xml:space="preserve"> Regulation of Health Facilities and Services</v>
      </c>
      <c r="C97" s="53"/>
      <c r="D97" s="6"/>
      <c r="E97" s="6"/>
      <c r="F97" s="6">
        <f>+E97+D97</f>
        <v>0</v>
      </c>
      <c r="G97" s="6"/>
      <c r="H97" s="6"/>
      <c r="I97" s="6"/>
      <c r="J97" s="6">
        <f>+F97+G97-H97-I97</f>
        <v>0</v>
      </c>
      <c r="K97" s="54"/>
    </row>
    <row r="98" spans="1:14" ht="18">
      <c r="A98" s="49"/>
      <c r="B98" s="1345"/>
      <c r="C98" s="53">
        <f>+[10]dec!C56</f>
        <v>100</v>
      </c>
      <c r="D98" s="6"/>
      <c r="E98" s="6">
        <v>23027000</v>
      </c>
      <c r="F98" s="6">
        <f>+[11]SAOB!O42</f>
        <v>28195000</v>
      </c>
      <c r="G98" s="6">
        <v>23255000</v>
      </c>
      <c r="H98" s="6"/>
      <c r="I98" s="6">
        <f>+[11]SAOB!BS42</f>
        <v>23752356.670000002</v>
      </c>
      <c r="J98" s="6">
        <f>+F98-H98-I98</f>
        <v>4442643.3299999982</v>
      </c>
      <c r="K98" s="54"/>
      <c r="L98" s="4">
        <f>+F98-H98</f>
        <v>28195000</v>
      </c>
      <c r="M98" s="565">
        <f>+I98/L98</f>
        <v>0.84243151870899102</v>
      </c>
    </row>
    <row r="99" spans="1:14" ht="18">
      <c r="A99" s="49"/>
      <c r="B99" s="1345"/>
      <c r="C99" s="53">
        <f>+[10]dec!C57</f>
        <v>200</v>
      </c>
      <c r="D99" s="6"/>
      <c r="E99" s="6">
        <v>22622000</v>
      </c>
      <c r="F99" s="6">
        <f>+[11]SAOB!P42</f>
        <v>23255000</v>
      </c>
      <c r="G99" s="6"/>
      <c r="H99" s="6"/>
      <c r="I99" s="6">
        <f>+[11]SAOB!BT42</f>
        <v>16130769.859999999</v>
      </c>
      <c r="J99" s="6">
        <f>+F99-H99-I99</f>
        <v>7124230.1400000006</v>
      </c>
      <c r="K99" s="54"/>
      <c r="L99" s="4">
        <f>+F99-H99</f>
        <v>23255000</v>
      </c>
      <c r="M99" s="565">
        <f>+I99/L99</f>
        <v>0.69364738163835726</v>
      </c>
    </row>
    <row r="100" spans="1:14" ht="18">
      <c r="A100" s="49"/>
      <c r="B100" s="1345"/>
      <c r="C100" s="53">
        <f>+[10]dec!C58</f>
        <v>300</v>
      </c>
      <c r="D100" s="6"/>
      <c r="E100" s="6"/>
      <c r="F100" s="6">
        <f>+E100</f>
        <v>0</v>
      </c>
      <c r="G100" s="6"/>
      <c r="H100" s="6"/>
      <c r="I100" s="6"/>
      <c r="J100" s="6">
        <f>+F100-H100-I100</f>
        <v>0</v>
      </c>
      <c r="K100" s="54"/>
      <c r="L100" s="4"/>
      <c r="M100" s="565"/>
    </row>
    <row r="101" spans="1:14" ht="18">
      <c r="A101" s="49"/>
      <c r="B101" s="1345"/>
      <c r="C101" s="53" t="str">
        <f>+[10]dec!C59</f>
        <v>FE</v>
      </c>
      <c r="D101" s="6"/>
      <c r="E101" s="6"/>
      <c r="F101" s="6"/>
      <c r="G101" s="6"/>
      <c r="H101" s="6"/>
      <c r="I101" s="6"/>
      <c r="J101" s="6">
        <f>+F101-H101-I101</f>
        <v>0</v>
      </c>
      <c r="K101" s="54"/>
    </row>
    <row r="102" spans="1:14" ht="18">
      <c r="A102" s="49"/>
      <c r="B102" s="1345"/>
      <c r="C102" s="53" t="str">
        <f>+[10]dec!C60</f>
        <v>TOTAL</v>
      </c>
      <c r="D102" s="6">
        <f t="shared" ref="D102:I102" si="16">SUM(D98:D101)</f>
        <v>0</v>
      </c>
      <c r="E102" s="6">
        <f t="shared" si="16"/>
        <v>45649000</v>
      </c>
      <c r="F102" s="6">
        <f t="shared" si="16"/>
        <v>51450000</v>
      </c>
      <c r="G102" s="6">
        <f t="shared" si="16"/>
        <v>23255000</v>
      </c>
      <c r="H102" s="6">
        <f t="shared" si="16"/>
        <v>0</v>
      </c>
      <c r="I102" s="6">
        <f t="shared" si="16"/>
        <v>39883126.530000001</v>
      </c>
      <c r="J102" s="6">
        <f>+F102-H102-I102</f>
        <v>11566873.469999999</v>
      </c>
      <c r="K102" s="54"/>
      <c r="L102" s="4">
        <f>+F102-H102</f>
        <v>51450000</v>
      </c>
      <c r="M102" s="565">
        <f>+I102/L102</f>
        <v>0.77518224548104964</v>
      </c>
    </row>
    <row r="103" spans="1:14" ht="18">
      <c r="A103" s="49" t="str">
        <f>+[10]dec!A61</f>
        <v>A.III.a.3</v>
      </c>
      <c r="B103" s="1174" t="str">
        <f>+[10]dec!B61</f>
        <v xml:space="preserve"> Regulation of Health Devices and Technology</v>
      </c>
      <c r="C103" s="53"/>
      <c r="D103" s="6">
        <v>0</v>
      </c>
      <c r="E103" s="6"/>
      <c r="F103" s="6"/>
      <c r="G103" s="6"/>
      <c r="H103" s="6"/>
      <c r="I103" s="6"/>
      <c r="J103" s="6"/>
      <c r="K103" s="54"/>
    </row>
    <row r="104" spans="1:14" ht="18">
      <c r="A104" s="49"/>
      <c r="B104" s="1345"/>
      <c r="C104" s="53">
        <f>+[10]dec!C62</f>
        <v>100</v>
      </c>
      <c r="D104" s="6"/>
      <c r="E104" s="6">
        <v>22290000</v>
      </c>
      <c r="F104" s="6">
        <f>+[11]SAOB!O43</f>
        <v>26812000</v>
      </c>
      <c r="G104" s="6"/>
      <c r="H104" s="6"/>
      <c r="I104" s="6">
        <f>+[11]SAOB!BS43</f>
        <v>22409109.059999999</v>
      </c>
      <c r="J104" s="6">
        <f>+F104-H104-I104</f>
        <v>4402890.9400000013</v>
      </c>
      <c r="K104" s="54"/>
      <c r="L104" s="4">
        <f>+F104-H104</f>
        <v>26812000</v>
      </c>
      <c r="M104" s="565">
        <f>+I104/L104</f>
        <v>0.83578655303595395</v>
      </c>
    </row>
    <row r="105" spans="1:14" ht="18">
      <c r="A105" s="49"/>
      <c r="B105" s="1345"/>
      <c r="C105" s="53">
        <f>+[10]dec!C63</f>
        <v>200</v>
      </c>
      <c r="D105" s="6"/>
      <c r="E105" s="6">
        <v>17076000</v>
      </c>
      <c r="F105" s="6">
        <f>+[11]SAOB!P43</f>
        <v>17552000</v>
      </c>
      <c r="G105" s="6"/>
      <c r="H105" s="6"/>
      <c r="I105" s="6">
        <f>+[11]SAOB!BT43</f>
        <v>8351656.3800000018</v>
      </c>
      <c r="J105" s="6">
        <f>+F105-H105-I105</f>
        <v>9200343.6199999973</v>
      </c>
      <c r="K105" s="54"/>
      <c r="L105" s="4">
        <f>+F105-H105</f>
        <v>17552000</v>
      </c>
      <c r="M105" s="565">
        <f>+I105/L105</f>
        <v>0.47582363149498641</v>
      </c>
    </row>
    <row r="106" spans="1:14" ht="18">
      <c r="A106" s="49"/>
      <c r="B106" s="1345"/>
      <c r="C106" s="53">
        <f>+[10]dec!C64</f>
        <v>300</v>
      </c>
      <c r="D106" s="6"/>
      <c r="E106" s="6"/>
      <c r="F106" s="6">
        <f>+E106</f>
        <v>0</v>
      </c>
      <c r="G106" s="6"/>
      <c r="H106" s="6"/>
      <c r="I106" s="6"/>
      <c r="J106" s="6">
        <f>+F106-H106-I106</f>
        <v>0</v>
      </c>
      <c r="K106" s="54"/>
      <c r="L106" s="4"/>
      <c r="M106" s="565"/>
    </row>
    <row r="107" spans="1:14" ht="18">
      <c r="A107" s="49"/>
      <c r="B107" s="1345"/>
      <c r="C107" s="53" t="str">
        <f>+[10]dec!C65</f>
        <v>FE</v>
      </c>
      <c r="D107" s="6"/>
      <c r="E107" s="6"/>
      <c r="F107" s="6"/>
      <c r="G107" s="6"/>
      <c r="H107" s="6"/>
      <c r="I107" s="6"/>
      <c r="J107" s="6">
        <f>+F107-H107-I107</f>
        <v>0</v>
      </c>
      <c r="K107" s="54"/>
    </row>
    <row r="108" spans="1:14" ht="18">
      <c r="A108" s="49"/>
      <c r="B108" s="1345"/>
      <c r="C108" s="53" t="str">
        <f>+[10]dec!C66</f>
        <v>TOTAL</v>
      </c>
      <c r="D108" s="6">
        <f t="shared" ref="D108:I108" si="17">SUM(D104:D107)</f>
        <v>0</v>
      </c>
      <c r="E108" s="6">
        <f t="shared" si="17"/>
        <v>39366000</v>
      </c>
      <c r="F108" s="6">
        <f t="shared" si="17"/>
        <v>44364000</v>
      </c>
      <c r="G108" s="6">
        <f t="shared" si="17"/>
        <v>0</v>
      </c>
      <c r="H108" s="6">
        <f t="shared" si="17"/>
        <v>0</v>
      </c>
      <c r="I108" s="6">
        <f t="shared" si="17"/>
        <v>30760765.440000001</v>
      </c>
      <c r="J108" s="6">
        <f>+F108-H108-I108</f>
        <v>13603234.559999999</v>
      </c>
      <c r="K108" s="54"/>
      <c r="L108" s="4">
        <f>+F108-H108</f>
        <v>44364000</v>
      </c>
      <c r="M108" s="565">
        <f>+I108/L108</f>
        <v>0.69337222612929406</v>
      </c>
    </row>
    <row r="109" spans="1:14" ht="45">
      <c r="A109" s="49" t="s">
        <v>359</v>
      </c>
      <c r="B109" s="1175" t="s">
        <v>360</v>
      </c>
      <c r="C109" s="53"/>
      <c r="D109" s="6">
        <v>0</v>
      </c>
      <c r="E109" s="6"/>
      <c r="F109" s="6"/>
      <c r="G109" s="6"/>
      <c r="H109" s="6"/>
      <c r="I109" s="6"/>
      <c r="J109" s="6"/>
      <c r="K109" s="54"/>
    </row>
    <row r="110" spans="1:14" ht="18">
      <c r="A110" s="49"/>
      <c r="B110" s="1345"/>
      <c r="C110" s="53">
        <f>+[10]dec!C68</f>
        <v>100</v>
      </c>
      <c r="D110" s="6">
        <v>0</v>
      </c>
      <c r="E110" s="6"/>
      <c r="F110" s="6">
        <f>+E110</f>
        <v>0</v>
      </c>
      <c r="G110" s="6"/>
      <c r="H110" s="6"/>
      <c r="I110" s="6"/>
      <c r="J110" s="6">
        <f>+F110-H110-I110</f>
        <v>0</v>
      </c>
      <c r="K110" s="54"/>
      <c r="L110" s="4"/>
      <c r="M110" s="565"/>
    </row>
    <row r="111" spans="1:14" ht="18">
      <c r="A111" s="49"/>
      <c r="B111" s="1345"/>
      <c r="C111" s="53">
        <f>+[10]dec!C69</f>
        <v>200</v>
      </c>
      <c r="D111" s="6"/>
      <c r="E111" s="6">
        <v>1000000000</v>
      </c>
      <c r="F111" s="6">
        <f>+[11]SAOB!P44</f>
        <v>1038116000</v>
      </c>
      <c r="G111" s="6"/>
      <c r="H111" s="6">
        <v>67325400</v>
      </c>
      <c r="I111" s="6">
        <f>+[11]SAOB!BT44-H111</f>
        <v>733624734.60000014</v>
      </c>
      <c r="J111" s="6">
        <f>+F111-H111-I111</f>
        <v>237165865.39999986</v>
      </c>
      <c r="K111" s="54"/>
      <c r="L111" s="4">
        <f>+F111-H111</f>
        <v>970790600</v>
      </c>
      <c r="M111" s="565">
        <f>+I111/L111</f>
        <v>0.75569822637343231</v>
      </c>
      <c r="N111" s="4"/>
    </row>
    <row r="112" spans="1:14" ht="18">
      <c r="A112" s="49"/>
      <c r="B112" s="1345"/>
      <c r="C112" s="53">
        <f>+[10]dec!C70</f>
        <v>300</v>
      </c>
      <c r="D112" s="6"/>
      <c r="E112" s="6"/>
      <c r="F112" s="6">
        <f>+E112</f>
        <v>0</v>
      </c>
      <c r="G112" s="6"/>
      <c r="H112" s="6"/>
      <c r="I112" s="6"/>
      <c r="J112" s="6">
        <f>+F112-H112-I112</f>
        <v>0</v>
      </c>
      <c r="K112" s="54"/>
      <c r="L112" s="4"/>
      <c r="M112" s="565"/>
    </row>
    <row r="113" spans="1:14" ht="18">
      <c r="A113" s="49"/>
      <c r="B113" s="1345"/>
      <c r="C113" s="53" t="str">
        <f>+[10]dec!C71</f>
        <v>FE</v>
      </c>
      <c r="D113" s="6"/>
      <c r="E113" s="6"/>
      <c r="F113" s="6"/>
      <c r="G113" s="6"/>
      <c r="H113" s="6"/>
      <c r="I113" s="6"/>
      <c r="J113" s="6">
        <f>+F113-H113-I113</f>
        <v>0</v>
      </c>
      <c r="K113" s="54"/>
    </row>
    <row r="114" spans="1:14" ht="18">
      <c r="A114" s="49"/>
      <c r="B114" s="1345"/>
      <c r="C114" s="53" t="str">
        <f>+[10]dec!C72</f>
        <v>TOTAL</v>
      </c>
      <c r="D114" s="6">
        <f t="shared" ref="D114:I114" si="18">SUM(D110:D113)</f>
        <v>0</v>
      </c>
      <c r="E114" s="6">
        <f t="shared" si="18"/>
        <v>1000000000</v>
      </c>
      <c r="F114" s="6">
        <f t="shared" si="18"/>
        <v>1038116000</v>
      </c>
      <c r="G114" s="6">
        <f t="shared" si="18"/>
        <v>0</v>
      </c>
      <c r="H114" s="6">
        <f t="shared" si="18"/>
        <v>67325400</v>
      </c>
      <c r="I114" s="6">
        <f t="shared" si="18"/>
        <v>733624734.60000014</v>
      </c>
      <c r="J114" s="6">
        <f>+F114-H114-I114</f>
        <v>237165865.39999986</v>
      </c>
      <c r="K114" s="54"/>
      <c r="L114" s="4">
        <f>+F114-H114</f>
        <v>970790600</v>
      </c>
      <c r="M114" s="565">
        <f>+I114/L114</f>
        <v>0.75569822637343231</v>
      </c>
    </row>
    <row r="115" spans="1:14" ht="18">
      <c r="A115" s="49" t="s">
        <v>361</v>
      </c>
      <c r="B115" s="1174" t="s">
        <v>362</v>
      </c>
      <c r="C115" s="53"/>
      <c r="D115" s="6">
        <v>0</v>
      </c>
      <c r="E115" s="6"/>
      <c r="F115" s="6"/>
      <c r="G115" s="6"/>
      <c r="H115" s="6"/>
      <c r="I115" s="6"/>
      <c r="J115" s="6"/>
      <c r="K115" s="54"/>
    </row>
    <row r="116" spans="1:14" ht="18">
      <c r="A116" s="49"/>
      <c r="B116" s="1345"/>
      <c r="C116" s="53">
        <f>+[10]dec!C74</f>
        <v>100</v>
      </c>
      <c r="D116" s="6"/>
      <c r="E116" s="6">
        <v>12870000</v>
      </c>
      <c r="F116" s="6">
        <f>+[11]SAOB!O48</f>
        <v>15088000</v>
      </c>
      <c r="G116" s="6"/>
      <c r="H116" s="6"/>
      <c r="I116" s="6">
        <f>+[11]SAOB!BS48</f>
        <v>12297654.220000001</v>
      </c>
      <c r="J116" s="6">
        <f>+F116-H116-I116</f>
        <v>2790345.7799999993</v>
      </c>
      <c r="K116" s="54"/>
      <c r="L116" s="4">
        <f>+F116-H116</f>
        <v>15088000</v>
      </c>
      <c r="M116" s="565">
        <f>+I116/L116</f>
        <v>0.81506191808059392</v>
      </c>
    </row>
    <row r="117" spans="1:14" ht="18">
      <c r="A117" s="49"/>
      <c r="B117" s="1345"/>
      <c r="C117" s="53">
        <f>+[10]dec!C75</f>
        <v>200</v>
      </c>
      <c r="D117" s="6"/>
      <c r="E117" s="6">
        <v>124078000</v>
      </c>
      <c r="F117" s="6">
        <f>+[11]SAOB!P48</f>
        <v>126829000</v>
      </c>
      <c r="G117" s="6"/>
      <c r="H117" s="6">
        <v>71861065</v>
      </c>
      <c r="I117" s="6">
        <f>+[11]SAOB!BT48-H117</f>
        <v>35268871.920000002</v>
      </c>
      <c r="J117" s="6">
        <f>+F117-H117-I117</f>
        <v>19699063.079999998</v>
      </c>
      <c r="K117" s="54"/>
      <c r="L117" s="4">
        <f>+F117-H117</f>
        <v>54967935</v>
      </c>
      <c r="M117" s="565">
        <f>+I117/L117</f>
        <v>0.6416262848513411</v>
      </c>
      <c r="N117" s="4"/>
    </row>
    <row r="118" spans="1:14" ht="18">
      <c r="A118" s="49"/>
      <c r="B118" s="1345"/>
      <c r="C118" s="53">
        <f>+[10]dec!C76</f>
        <v>300</v>
      </c>
      <c r="D118" s="6"/>
      <c r="E118" s="6"/>
      <c r="F118" s="6">
        <f>+E118</f>
        <v>0</v>
      </c>
      <c r="G118" s="6"/>
      <c r="H118" s="6"/>
      <c r="I118" s="6"/>
      <c r="J118" s="6">
        <f>+F118-H118-I118</f>
        <v>0</v>
      </c>
      <c r="K118" s="54"/>
      <c r="L118" s="4"/>
      <c r="M118" s="565"/>
    </row>
    <row r="119" spans="1:14" ht="18">
      <c r="A119" s="49"/>
      <c r="B119" s="1345"/>
      <c r="C119" s="53" t="str">
        <f>+[10]dec!C77</f>
        <v>FE</v>
      </c>
      <c r="D119" s="6"/>
      <c r="E119" s="6"/>
      <c r="F119" s="6"/>
      <c r="G119" s="6"/>
      <c r="H119" s="6"/>
      <c r="I119" s="6"/>
      <c r="J119" s="6">
        <f>+F119-H119-I119</f>
        <v>0</v>
      </c>
      <c r="K119" s="54"/>
    </row>
    <row r="120" spans="1:14" ht="18">
      <c r="A120" s="49"/>
      <c r="B120" s="1345"/>
      <c r="C120" s="53" t="str">
        <f>+[10]dec!C78</f>
        <v>TOTAL</v>
      </c>
      <c r="D120" s="6">
        <f t="shared" ref="D120:I120" si="19">SUM(D116:D119)</f>
        <v>0</v>
      </c>
      <c r="E120" s="6">
        <f t="shared" si="19"/>
        <v>136948000</v>
      </c>
      <c r="F120" s="6">
        <f t="shared" si="19"/>
        <v>141917000</v>
      </c>
      <c r="G120" s="6">
        <f t="shared" si="19"/>
        <v>0</v>
      </c>
      <c r="H120" s="6">
        <f t="shared" si="19"/>
        <v>71861065</v>
      </c>
      <c r="I120" s="6">
        <f t="shared" si="19"/>
        <v>47566526.140000001</v>
      </c>
      <c r="J120" s="6">
        <f>+F120-H120-I120</f>
        <v>22489408.859999999</v>
      </c>
      <c r="K120" s="54"/>
      <c r="L120" s="4">
        <f>+F120-H120</f>
        <v>70055935</v>
      </c>
      <c r="M120" s="565">
        <f>+I120/L120</f>
        <v>0.67897924908146612</v>
      </c>
    </row>
    <row r="121" spans="1:14" ht="33.75">
      <c r="A121" s="49" t="s">
        <v>363</v>
      </c>
      <c r="B121" s="1175" t="s">
        <v>364</v>
      </c>
      <c r="C121" s="53"/>
      <c r="D121" s="6">
        <v>0</v>
      </c>
      <c r="E121" s="6"/>
      <c r="F121" s="6"/>
      <c r="G121" s="6"/>
      <c r="H121" s="6"/>
      <c r="I121" s="6"/>
      <c r="J121" s="6"/>
      <c r="K121" s="54"/>
    </row>
    <row r="122" spans="1:14" ht="18">
      <c r="A122" s="49"/>
      <c r="B122" s="1345"/>
      <c r="C122" s="53">
        <f>+[10]dec!C80</f>
        <v>100</v>
      </c>
      <c r="D122" s="6"/>
      <c r="E122" s="6">
        <v>35153000</v>
      </c>
      <c r="F122" s="6">
        <f>+[11]SAOB!O49</f>
        <v>43309000</v>
      </c>
      <c r="G122" s="6"/>
      <c r="H122" s="6"/>
      <c r="I122" s="6">
        <f>+[11]SAOB!BS49</f>
        <v>42694344.540000007</v>
      </c>
      <c r="J122" s="6">
        <f>+F122-H122-I122</f>
        <v>614655.45999999344</v>
      </c>
      <c r="K122" s="54"/>
      <c r="L122" s="4">
        <f>+F122-H122</f>
        <v>43309000</v>
      </c>
      <c r="M122" s="565">
        <f>+I122/L122</f>
        <v>0.98580767369368971</v>
      </c>
    </row>
    <row r="123" spans="1:14" ht="18">
      <c r="A123" s="49"/>
      <c r="B123" s="1345"/>
      <c r="C123" s="53">
        <f>+[10]dec!C81</f>
        <v>200</v>
      </c>
      <c r="D123" s="6"/>
      <c r="E123" s="6">
        <v>47036000</v>
      </c>
      <c r="F123" s="6">
        <f>+[11]SAOB!P49</f>
        <v>48825000</v>
      </c>
      <c r="G123" s="6"/>
      <c r="H123" s="6">
        <v>12300000</v>
      </c>
      <c r="I123" s="6">
        <f>+[11]SAOB!BT49-H123</f>
        <v>28404944.379999995</v>
      </c>
      <c r="J123" s="6">
        <f>+F123-H123-I123</f>
        <v>8120055.6200000048</v>
      </c>
      <c r="K123" s="54"/>
      <c r="L123" s="4">
        <f>+F123-H123</f>
        <v>36525000</v>
      </c>
      <c r="M123" s="565">
        <f>+I123/L123</f>
        <v>0.77768499329226548</v>
      </c>
    </row>
    <row r="124" spans="1:14" ht="18">
      <c r="A124" s="49"/>
      <c r="B124" s="1345"/>
      <c r="C124" s="53">
        <f>+[10]dec!C82</f>
        <v>300</v>
      </c>
      <c r="D124" s="6"/>
      <c r="E124" s="6"/>
      <c r="F124" s="6">
        <f>+E124</f>
        <v>0</v>
      </c>
      <c r="G124" s="6"/>
      <c r="H124" s="6"/>
      <c r="I124" s="6"/>
      <c r="J124" s="6">
        <f>+F124-H124-I124</f>
        <v>0</v>
      </c>
      <c r="K124" s="54"/>
      <c r="L124" s="4"/>
      <c r="M124" s="565"/>
    </row>
    <row r="125" spans="1:14" ht="18">
      <c r="A125" s="49"/>
      <c r="B125" s="1345"/>
      <c r="C125" s="53" t="str">
        <f>+[10]dec!C83</f>
        <v>FE</v>
      </c>
      <c r="D125" s="6"/>
      <c r="E125" s="6"/>
      <c r="F125" s="6"/>
      <c r="G125" s="6"/>
      <c r="H125" s="6"/>
      <c r="I125" s="6"/>
      <c r="J125" s="6">
        <f>+F125-H125-I125</f>
        <v>0</v>
      </c>
      <c r="K125" s="54"/>
    </row>
    <row r="126" spans="1:14" ht="18">
      <c r="A126" s="49"/>
      <c r="B126" s="1345"/>
      <c r="C126" s="53" t="str">
        <f>+[10]dec!C84</f>
        <v>TOTAL</v>
      </c>
      <c r="D126" s="6">
        <f t="shared" ref="D126:I126" si="20">SUM(D122:D125)</f>
        <v>0</v>
      </c>
      <c r="E126" s="6">
        <f t="shared" si="20"/>
        <v>82189000</v>
      </c>
      <c r="F126" s="6">
        <f t="shared" si="20"/>
        <v>92134000</v>
      </c>
      <c r="G126" s="6">
        <f t="shared" si="20"/>
        <v>0</v>
      </c>
      <c r="H126" s="6">
        <f t="shared" si="20"/>
        <v>12300000</v>
      </c>
      <c r="I126" s="6">
        <f t="shared" si="20"/>
        <v>71099288.920000002</v>
      </c>
      <c r="J126" s="6">
        <f>+F126-H126-I126</f>
        <v>8734711.0799999982</v>
      </c>
      <c r="K126" s="54"/>
      <c r="L126" s="4">
        <f>+F126-H126</f>
        <v>79834000</v>
      </c>
      <c r="M126" s="565">
        <f>+I126/L126</f>
        <v>0.89058908384898672</v>
      </c>
    </row>
    <row r="127" spans="1:14" ht="22.5">
      <c r="A127" s="49" t="s">
        <v>365</v>
      </c>
      <c r="B127" s="1175" t="s">
        <v>366</v>
      </c>
      <c r="C127" s="53"/>
      <c r="D127" s="6">
        <v>0</v>
      </c>
      <c r="E127" s="6"/>
      <c r="F127" s="6"/>
      <c r="G127" s="6"/>
      <c r="H127" s="6"/>
      <c r="I127" s="6"/>
      <c r="J127" s="6"/>
      <c r="K127" s="54"/>
    </row>
    <row r="128" spans="1:14" ht="18">
      <c r="A128" s="49"/>
      <c r="B128" s="1345"/>
      <c r="C128" s="53">
        <f>+[10]dec!C86</f>
        <v>100</v>
      </c>
      <c r="D128" s="6">
        <v>0</v>
      </c>
      <c r="E128" s="6"/>
      <c r="F128" s="6">
        <f>+E128</f>
        <v>0</v>
      </c>
      <c r="G128" s="6"/>
      <c r="H128" s="6"/>
      <c r="I128" s="6"/>
      <c r="J128" s="6">
        <f>+F128-H128-I128</f>
        <v>0</v>
      </c>
      <c r="K128" s="54"/>
      <c r="L128" s="4"/>
      <c r="M128" s="565"/>
    </row>
    <row r="129" spans="1:14" ht="18">
      <c r="A129" s="49"/>
      <c r="B129" s="1345"/>
      <c r="C129" s="53">
        <f>+[10]dec!C87</f>
        <v>200</v>
      </c>
      <c r="D129" s="6"/>
      <c r="E129" s="6">
        <v>594926000</v>
      </c>
      <c r="F129" s="6">
        <f>+[11]SAOB!P50</f>
        <v>570443000</v>
      </c>
      <c r="G129" s="6"/>
      <c r="H129" s="6">
        <v>108749000</v>
      </c>
      <c r="I129" s="6">
        <f>+[11]SAOB!BT50-H129</f>
        <v>391464758.36000001</v>
      </c>
      <c r="J129" s="6">
        <f>+F129-H129-I129</f>
        <v>70229241.639999986</v>
      </c>
      <c r="K129" s="54"/>
      <c r="L129" s="4">
        <f>+F129-H129</f>
        <v>461694000</v>
      </c>
      <c r="M129" s="565">
        <f>+I129/L129</f>
        <v>0.84788790488938559</v>
      </c>
      <c r="N129" s="4"/>
    </row>
    <row r="130" spans="1:14" ht="18">
      <c r="A130" s="49"/>
      <c r="B130" s="1345"/>
      <c r="C130" s="53">
        <f>+[10]dec!C88</f>
        <v>300</v>
      </c>
      <c r="D130" s="6"/>
      <c r="E130" s="6"/>
      <c r="F130" s="6">
        <f>+E130</f>
        <v>0</v>
      </c>
      <c r="G130" s="6"/>
      <c r="H130" s="6"/>
      <c r="I130" s="6"/>
      <c r="J130" s="6">
        <f>+F130-H130-I130</f>
        <v>0</v>
      </c>
      <c r="K130" s="54"/>
      <c r="L130" s="4"/>
      <c r="M130" s="565"/>
    </row>
    <row r="131" spans="1:14" ht="18">
      <c r="A131" s="49"/>
      <c r="B131" s="1345"/>
      <c r="C131" s="53" t="str">
        <f>+[10]dec!C89</f>
        <v>FE</v>
      </c>
      <c r="D131" s="6"/>
      <c r="E131" s="6"/>
      <c r="F131" s="6"/>
      <c r="G131" s="6"/>
      <c r="H131" s="6"/>
      <c r="I131" s="6"/>
      <c r="J131" s="6">
        <f>+F131-H131-I131</f>
        <v>0</v>
      </c>
      <c r="K131" s="54"/>
    </row>
    <row r="132" spans="1:14" ht="18">
      <c r="A132" s="49"/>
      <c r="B132" s="1345"/>
      <c r="C132" s="53" t="str">
        <f>+[10]dec!C90</f>
        <v>TOTAL</v>
      </c>
      <c r="D132" s="6">
        <f t="shared" ref="D132:I132" si="21">SUM(D128:D131)</f>
        <v>0</v>
      </c>
      <c r="E132" s="6">
        <f t="shared" si="21"/>
        <v>594926000</v>
      </c>
      <c r="F132" s="6">
        <f t="shared" si="21"/>
        <v>570443000</v>
      </c>
      <c r="G132" s="6">
        <f t="shared" si="21"/>
        <v>0</v>
      </c>
      <c r="H132" s="6">
        <f t="shared" si="21"/>
        <v>108749000</v>
      </c>
      <c r="I132" s="6">
        <f t="shared" si="21"/>
        <v>391464758.36000001</v>
      </c>
      <c r="J132" s="6">
        <f>+F132-H132-I132</f>
        <v>70229241.639999986</v>
      </c>
      <c r="K132" s="54"/>
      <c r="L132" s="4">
        <f>+F132-H132</f>
        <v>461694000</v>
      </c>
      <c r="M132" s="565">
        <f>+I132/L132</f>
        <v>0.84788790488938559</v>
      </c>
    </row>
    <row r="133" spans="1:14" ht="18">
      <c r="A133" s="49" t="s">
        <v>367</v>
      </c>
      <c r="B133" s="1174" t="s">
        <v>368</v>
      </c>
      <c r="C133" s="53"/>
      <c r="D133" s="6">
        <v>0</v>
      </c>
      <c r="E133" s="6"/>
      <c r="F133" s="6"/>
      <c r="G133" s="6"/>
      <c r="H133" s="6"/>
      <c r="I133" s="6"/>
      <c r="J133" s="6"/>
      <c r="K133" s="54"/>
    </row>
    <row r="134" spans="1:14" ht="18">
      <c r="A134" s="49"/>
      <c r="B134" s="1345"/>
      <c r="C134" s="53">
        <f>+[10]dec!C92</f>
        <v>100</v>
      </c>
      <c r="D134" s="6">
        <v>0</v>
      </c>
      <c r="E134" s="6"/>
      <c r="F134" s="6">
        <f>+E134</f>
        <v>0</v>
      </c>
      <c r="G134" s="6"/>
      <c r="H134" s="6"/>
      <c r="I134" s="6"/>
      <c r="J134" s="6">
        <f>+F134-H134-I134</f>
        <v>0</v>
      </c>
      <c r="K134" s="54"/>
      <c r="L134" s="4"/>
      <c r="M134" s="565"/>
    </row>
    <row r="135" spans="1:14" ht="18">
      <c r="A135" s="49"/>
      <c r="B135" s="1345"/>
      <c r="C135" s="53">
        <f>+[10]dec!C93</f>
        <v>200</v>
      </c>
      <c r="D135" s="6"/>
      <c r="E135" s="6">
        <v>72000000</v>
      </c>
      <c r="F135" s="6">
        <f>+[11]SAOB!P51</f>
        <v>118740000</v>
      </c>
      <c r="G135" s="6"/>
      <c r="H135" s="6">
        <v>5260000</v>
      </c>
      <c r="I135" s="6">
        <f>+[11]SAOB!BT51-H135</f>
        <v>93126319.530000001</v>
      </c>
      <c r="J135" s="6">
        <f>+F135-H135-I135</f>
        <v>20353680.469999999</v>
      </c>
      <c r="K135" s="54"/>
      <c r="L135" s="4">
        <f>+F135-H135</f>
        <v>113480000</v>
      </c>
      <c r="M135" s="565">
        <f>+I135/L135</f>
        <v>0.82064081362354602</v>
      </c>
      <c r="N135" s="4"/>
    </row>
    <row r="136" spans="1:14" ht="18">
      <c r="A136" s="49"/>
      <c r="B136" s="1345"/>
      <c r="C136" s="53">
        <f>+[10]dec!C94</f>
        <v>300</v>
      </c>
      <c r="D136" s="6"/>
      <c r="E136" s="6"/>
      <c r="F136" s="6">
        <f>+E136</f>
        <v>0</v>
      </c>
      <c r="G136" s="6"/>
      <c r="H136" s="6"/>
      <c r="I136" s="6"/>
      <c r="J136" s="6">
        <f>+F136-H136-I136</f>
        <v>0</v>
      </c>
      <c r="K136" s="54"/>
      <c r="L136" s="4"/>
      <c r="M136" s="565"/>
    </row>
    <row r="137" spans="1:14" ht="18">
      <c r="A137" s="49"/>
      <c r="B137" s="1345"/>
      <c r="C137" s="53" t="str">
        <f>+[10]dec!C95</f>
        <v>FE</v>
      </c>
      <c r="D137" s="6"/>
      <c r="E137" s="6"/>
      <c r="F137" s="6"/>
      <c r="G137" s="6"/>
      <c r="H137" s="6"/>
      <c r="I137" s="6"/>
      <c r="J137" s="6">
        <f>+F137-H137-I137</f>
        <v>0</v>
      </c>
      <c r="K137" s="54"/>
    </row>
    <row r="138" spans="1:14" ht="18">
      <c r="A138" s="49"/>
      <c r="B138" s="1345"/>
      <c r="C138" s="53" t="str">
        <f>+[10]dec!C96</f>
        <v>TOTAL</v>
      </c>
      <c r="D138" s="6">
        <f t="shared" ref="D138:I138" si="22">SUM(D134:D137)</f>
        <v>0</v>
      </c>
      <c r="E138" s="6">
        <f t="shared" si="22"/>
        <v>72000000</v>
      </c>
      <c r="F138" s="6">
        <f t="shared" si="22"/>
        <v>118740000</v>
      </c>
      <c r="G138" s="6">
        <f t="shared" si="22"/>
        <v>0</v>
      </c>
      <c r="H138" s="6">
        <f t="shared" si="22"/>
        <v>5260000</v>
      </c>
      <c r="I138" s="6">
        <f t="shared" si="22"/>
        <v>93126319.530000001</v>
      </c>
      <c r="J138" s="6">
        <f>+F138-H138-I138</f>
        <v>20353680.469999999</v>
      </c>
      <c r="K138" s="54"/>
      <c r="L138" s="4">
        <f>+F138-H138</f>
        <v>113480000</v>
      </c>
      <c r="M138" s="565">
        <f>+I138/L138</f>
        <v>0.82064081362354602</v>
      </c>
    </row>
    <row r="139" spans="1:14" ht="18">
      <c r="A139" s="49" t="s">
        <v>369</v>
      </c>
      <c r="B139" s="1174" t="s">
        <v>370</v>
      </c>
      <c r="C139" s="53"/>
      <c r="D139" s="6">
        <v>0</v>
      </c>
      <c r="E139" s="6"/>
      <c r="F139" s="6"/>
      <c r="G139" s="6"/>
      <c r="H139" s="6"/>
      <c r="I139" s="6"/>
      <c r="J139" s="6"/>
      <c r="K139" s="54"/>
    </row>
    <row r="140" spans="1:14" ht="18">
      <c r="A140" s="49"/>
      <c r="B140" s="1345"/>
      <c r="C140" s="53">
        <f>+[10]dec!C98</f>
        <v>100</v>
      </c>
      <c r="D140" s="6">
        <v>0</v>
      </c>
      <c r="E140" s="6"/>
      <c r="F140" s="6">
        <f>+E140</f>
        <v>0</v>
      </c>
      <c r="G140" s="6"/>
      <c r="H140" s="6"/>
      <c r="I140" s="6"/>
      <c r="J140" s="6">
        <f>+F140-H140-I140</f>
        <v>0</v>
      </c>
      <c r="K140" s="54"/>
      <c r="L140" s="4"/>
      <c r="M140" s="565"/>
    </row>
    <row r="141" spans="1:14" ht="18">
      <c r="A141" s="49"/>
      <c r="B141" s="1345"/>
      <c r="C141" s="53">
        <f>+[10]dec!C99</f>
        <v>200</v>
      </c>
      <c r="D141" s="6"/>
      <c r="E141" s="6">
        <v>1874792000</v>
      </c>
      <c r="F141" s="6">
        <f>+[11]SAOB!P52</f>
        <v>1949783000</v>
      </c>
      <c r="G141" s="6"/>
      <c r="H141" s="6">
        <v>21000000</v>
      </c>
      <c r="I141" s="6">
        <f>+[11]SAOB!BT52-H141</f>
        <v>1252116222.4000001</v>
      </c>
      <c r="J141" s="6">
        <f>+F141-H141-I141</f>
        <v>676666777.5999999</v>
      </c>
      <c r="K141" s="54"/>
      <c r="L141" s="4">
        <f>+F141-H141</f>
        <v>1928783000</v>
      </c>
      <c r="M141" s="565">
        <f>+I141/L141</f>
        <v>0.6491742318342707</v>
      </c>
      <c r="N141" s="4"/>
    </row>
    <row r="142" spans="1:14" ht="18">
      <c r="A142" s="49"/>
      <c r="B142" s="1345"/>
      <c r="C142" s="53">
        <f>+[10]dec!C100</f>
        <v>300</v>
      </c>
      <c r="D142" s="6"/>
      <c r="E142" s="6"/>
      <c r="F142" s="6">
        <f>+E142</f>
        <v>0</v>
      </c>
      <c r="G142" s="6"/>
      <c r="H142" s="6"/>
      <c r="I142" s="6"/>
      <c r="J142" s="6">
        <f>+F142-H142-I142</f>
        <v>0</v>
      </c>
      <c r="K142" s="54"/>
      <c r="L142" s="4"/>
      <c r="M142" s="565"/>
    </row>
    <row r="143" spans="1:14" ht="18">
      <c r="A143" s="49"/>
      <c r="B143" s="1345"/>
      <c r="C143" s="53" t="str">
        <f>+[10]dec!C101</f>
        <v>FE</v>
      </c>
      <c r="D143" s="6"/>
      <c r="E143" s="6"/>
      <c r="F143" s="6"/>
      <c r="G143" s="6"/>
      <c r="H143" s="6"/>
      <c r="I143" s="6"/>
      <c r="J143" s="6">
        <f>+F143-H143-I143</f>
        <v>0</v>
      </c>
      <c r="K143" s="54"/>
    </row>
    <row r="144" spans="1:14" ht="18">
      <c r="A144" s="49"/>
      <c r="B144" s="1345"/>
      <c r="C144" s="53" t="str">
        <f>+[10]dec!C102</f>
        <v>TOTAL</v>
      </c>
      <c r="D144" s="6">
        <f t="shared" ref="D144:I144" si="23">SUM(D140:D143)</f>
        <v>0</v>
      </c>
      <c r="E144" s="6">
        <f t="shared" si="23"/>
        <v>1874792000</v>
      </c>
      <c r="F144" s="6">
        <f t="shared" si="23"/>
        <v>1949783000</v>
      </c>
      <c r="G144" s="6">
        <f t="shared" si="23"/>
        <v>0</v>
      </c>
      <c r="H144" s="6">
        <f t="shared" si="23"/>
        <v>21000000</v>
      </c>
      <c r="I144" s="6">
        <f t="shared" si="23"/>
        <v>1252116222.4000001</v>
      </c>
      <c r="J144" s="6">
        <f>+F144-H144-I144</f>
        <v>676666777.5999999</v>
      </c>
      <c r="K144" s="54"/>
      <c r="L144" s="4">
        <f>+F144-H144</f>
        <v>1928783000</v>
      </c>
      <c r="M144" s="565">
        <f>+I144/L144</f>
        <v>0.6491742318342707</v>
      </c>
    </row>
    <row r="145" spans="1:14" ht="18">
      <c r="A145" s="49" t="s">
        <v>371</v>
      </c>
      <c r="B145" s="1178" t="s">
        <v>372</v>
      </c>
      <c r="C145" s="53"/>
      <c r="D145" s="6"/>
      <c r="E145" s="6"/>
      <c r="F145" s="6"/>
      <c r="G145" s="6"/>
      <c r="H145" s="6"/>
      <c r="I145" s="6"/>
      <c r="J145" s="6"/>
      <c r="K145" s="54"/>
    </row>
    <row r="146" spans="1:14" ht="18">
      <c r="A146" s="49"/>
      <c r="B146" s="1345"/>
      <c r="C146" s="53">
        <f>+[10]dec!C110</f>
        <v>100</v>
      </c>
      <c r="D146" s="6">
        <v>0</v>
      </c>
      <c r="E146" s="6"/>
      <c r="F146" s="6">
        <f>+E146</f>
        <v>0</v>
      </c>
      <c r="G146" s="6"/>
      <c r="H146" s="6"/>
      <c r="I146" s="6"/>
      <c r="J146" s="6">
        <f>+F146-H146-I146</f>
        <v>0</v>
      </c>
      <c r="K146" s="54"/>
      <c r="L146" s="4"/>
      <c r="M146" s="565"/>
    </row>
    <row r="147" spans="1:14" ht="18">
      <c r="A147" s="49"/>
      <c r="B147" s="1345"/>
      <c r="C147" s="53">
        <f>+[10]dec!C111</f>
        <v>200</v>
      </c>
      <c r="D147" s="6"/>
      <c r="E147" s="6">
        <v>1021000000</v>
      </c>
      <c r="F147" s="6">
        <f>+[11]SAOB!P53</f>
        <v>1021023000</v>
      </c>
      <c r="G147" s="6"/>
      <c r="H147" s="6">
        <v>35800000</v>
      </c>
      <c r="I147" s="6">
        <f>+[11]SAOB!BT53-H147</f>
        <v>554182503.09000003</v>
      </c>
      <c r="J147" s="6">
        <f>+F147-H147-I147</f>
        <v>431040496.90999997</v>
      </c>
      <c r="K147" s="54"/>
      <c r="L147" s="4">
        <f>+F147-H147</f>
        <v>985223000</v>
      </c>
      <c r="M147" s="565">
        <f>+I147/L147</f>
        <v>0.5624944840812689</v>
      </c>
      <c r="N147" s="4"/>
    </row>
    <row r="148" spans="1:14" ht="18">
      <c r="A148" s="49"/>
      <c r="B148" s="1345"/>
      <c r="C148" s="53">
        <f>+[10]dec!C112</f>
        <v>300</v>
      </c>
      <c r="D148" s="6">
        <f>+[12]SAOBSUM!Q36</f>
        <v>0</v>
      </c>
      <c r="E148" s="6"/>
      <c r="F148" s="6">
        <f>+E148</f>
        <v>0</v>
      </c>
      <c r="G148" s="6"/>
      <c r="H148" s="6"/>
      <c r="I148" s="6"/>
      <c r="J148" s="6">
        <f>+F148-H148-I148</f>
        <v>0</v>
      </c>
      <c r="K148" s="54"/>
      <c r="L148" s="4"/>
      <c r="M148" s="565"/>
    </row>
    <row r="149" spans="1:14" ht="18">
      <c r="A149" s="49"/>
      <c r="B149" s="1345"/>
      <c r="C149" s="53" t="str">
        <f>+[10]dec!C113</f>
        <v>FE</v>
      </c>
      <c r="D149" s="6"/>
      <c r="E149" s="6"/>
      <c r="F149" s="6"/>
      <c r="G149" s="6"/>
      <c r="H149" s="6"/>
      <c r="I149" s="6"/>
      <c r="J149" s="6">
        <f>+F149-H149-I149</f>
        <v>0</v>
      </c>
      <c r="K149" s="54"/>
    </row>
    <row r="150" spans="1:14" ht="18">
      <c r="A150" s="49"/>
      <c r="B150" s="1345"/>
      <c r="C150" s="53" t="str">
        <f>+[10]dec!C114</f>
        <v>TOTAL</v>
      </c>
      <c r="D150" s="6">
        <f t="shared" ref="D150:I150" si="24">SUM(D146:D149)</f>
        <v>0</v>
      </c>
      <c r="E150" s="6">
        <f t="shared" si="24"/>
        <v>1021000000</v>
      </c>
      <c r="F150" s="6">
        <f t="shared" si="24"/>
        <v>1021023000</v>
      </c>
      <c r="G150" s="6">
        <f t="shared" si="24"/>
        <v>0</v>
      </c>
      <c r="H150" s="6">
        <f t="shared" si="24"/>
        <v>35800000</v>
      </c>
      <c r="I150" s="6">
        <f t="shared" si="24"/>
        <v>554182503.09000003</v>
      </c>
      <c r="J150" s="6">
        <f>+F150-H150-I150</f>
        <v>431040496.90999997</v>
      </c>
      <c r="K150" s="54"/>
      <c r="L150" s="4">
        <f>+F150-H150</f>
        <v>985223000</v>
      </c>
      <c r="M150" s="565">
        <f>+I150/L150</f>
        <v>0.5624944840812689</v>
      </c>
    </row>
    <row r="151" spans="1:14" ht="33.75">
      <c r="A151" s="49" t="s">
        <v>373</v>
      </c>
      <c r="B151" s="1175" t="s">
        <v>374</v>
      </c>
      <c r="C151" s="53"/>
      <c r="D151" s="6">
        <v>0</v>
      </c>
      <c r="E151" s="6"/>
      <c r="F151" s="6"/>
      <c r="G151" s="6"/>
      <c r="H151" s="6"/>
      <c r="I151" s="6"/>
      <c r="J151" s="6"/>
      <c r="K151" s="54"/>
    </row>
    <row r="152" spans="1:14" ht="18">
      <c r="A152" s="49"/>
      <c r="B152" s="1345"/>
      <c r="C152" s="53">
        <f>+[10]dec!C110</f>
        <v>100</v>
      </c>
      <c r="D152" s="6">
        <v>0</v>
      </c>
      <c r="E152" s="6"/>
      <c r="F152" s="6">
        <f>+E152</f>
        <v>0</v>
      </c>
      <c r="G152" s="6"/>
      <c r="H152" s="6"/>
      <c r="I152" s="6"/>
      <c r="J152" s="6">
        <f>+F152-H152-I152</f>
        <v>0</v>
      </c>
      <c r="K152" s="54"/>
      <c r="L152" s="4"/>
      <c r="M152" s="565"/>
    </row>
    <row r="153" spans="1:14" ht="18">
      <c r="A153" s="49"/>
      <c r="B153" s="1345"/>
      <c r="C153" s="53">
        <f>+[10]dec!C111</f>
        <v>200</v>
      </c>
      <c r="D153" s="6"/>
      <c r="E153" s="6">
        <v>223797000</v>
      </c>
      <c r="F153" s="6">
        <f>+[11]SAOB!P54</f>
        <v>321951000</v>
      </c>
      <c r="G153" s="6"/>
      <c r="H153" s="6">
        <v>96165250</v>
      </c>
      <c r="I153" s="6">
        <f>+[11]SAOB!BT54-H153</f>
        <v>191804559.59000003</v>
      </c>
      <c r="J153" s="6">
        <f>+F153-H153-I153</f>
        <v>33981190.409999967</v>
      </c>
      <c r="K153" s="54"/>
      <c r="L153" s="4">
        <f>+F153-H153</f>
        <v>225785750</v>
      </c>
      <c r="M153" s="565">
        <f>+I153/L153</f>
        <v>0.8494980732397861</v>
      </c>
    </row>
    <row r="154" spans="1:14" ht="18">
      <c r="A154" s="49"/>
      <c r="B154" s="1345"/>
      <c r="C154" s="53">
        <f>+[10]dec!C112</f>
        <v>300</v>
      </c>
      <c r="D154" s="6"/>
      <c r="E154" s="6"/>
      <c r="F154" s="6">
        <f>+E154</f>
        <v>0</v>
      </c>
      <c r="G154" s="6"/>
      <c r="H154" s="6"/>
      <c r="I154" s="6"/>
      <c r="J154" s="6">
        <f>+F154-H154-I154</f>
        <v>0</v>
      </c>
      <c r="K154" s="54"/>
      <c r="L154" s="4"/>
      <c r="M154" s="565"/>
    </row>
    <row r="155" spans="1:14" ht="18">
      <c r="A155" s="49"/>
      <c r="B155" s="1345"/>
      <c r="C155" s="53" t="str">
        <f>+[10]dec!C113</f>
        <v>FE</v>
      </c>
      <c r="D155" s="6"/>
      <c r="E155" s="6"/>
      <c r="F155" s="6"/>
      <c r="G155" s="6"/>
      <c r="H155" s="6"/>
      <c r="I155" s="6"/>
      <c r="J155" s="6">
        <f>+F155-H155-I155</f>
        <v>0</v>
      </c>
      <c r="K155" s="54"/>
    </row>
    <row r="156" spans="1:14" ht="18">
      <c r="A156" s="49"/>
      <c r="B156" s="1345"/>
      <c r="C156" s="53" t="str">
        <f>+[10]dec!C114</f>
        <v>TOTAL</v>
      </c>
      <c r="D156" s="6">
        <f t="shared" ref="D156:I156" si="25">SUM(D152:D155)</f>
        <v>0</v>
      </c>
      <c r="E156" s="6">
        <f t="shared" si="25"/>
        <v>223797000</v>
      </c>
      <c r="F156" s="6">
        <f t="shared" si="25"/>
        <v>321951000</v>
      </c>
      <c r="G156" s="6">
        <f t="shared" si="25"/>
        <v>0</v>
      </c>
      <c r="H156" s="6">
        <f t="shared" si="25"/>
        <v>96165250</v>
      </c>
      <c r="I156" s="6">
        <f t="shared" si="25"/>
        <v>191804559.59000003</v>
      </c>
      <c r="J156" s="6">
        <f>+F156-H156-I156</f>
        <v>33981190.409999967</v>
      </c>
      <c r="K156" s="54"/>
      <c r="L156" s="4">
        <f>+F156-H156</f>
        <v>225785750</v>
      </c>
      <c r="M156" s="565">
        <f>+I156/L156</f>
        <v>0.8494980732397861</v>
      </c>
    </row>
    <row r="157" spans="1:14" ht="22.5">
      <c r="A157" s="49" t="s">
        <v>375</v>
      </c>
      <c r="B157" s="1175" t="s">
        <v>376</v>
      </c>
      <c r="C157" s="53"/>
      <c r="D157" s="6">
        <v>0</v>
      </c>
      <c r="E157" s="6"/>
      <c r="F157" s="6"/>
      <c r="G157" s="6"/>
      <c r="H157" s="6"/>
      <c r="I157" s="6"/>
      <c r="J157" s="6"/>
      <c r="K157" s="54"/>
    </row>
    <row r="158" spans="1:14" ht="18">
      <c r="A158" s="49"/>
      <c r="B158" s="1345"/>
      <c r="C158" s="53">
        <f>+[10]dec!C116</f>
        <v>100</v>
      </c>
      <c r="D158" s="6">
        <v>0</v>
      </c>
      <c r="E158" s="6"/>
      <c r="F158" s="6">
        <f>+E158</f>
        <v>0</v>
      </c>
      <c r="G158" s="6"/>
      <c r="H158" s="6"/>
      <c r="I158" s="6"/>
      <c r="J158" s="6">
        <f>+F158-H158-I158</f>
        <v>0</v>
      </c>
      <c r="K158" s="54"/>
      <c r="L158" s="4"/>
      <c r="M158" s="565"/>
    </row>
    <row r="159" spans="1:14" ht="18">
      <c r="A159" s="49"/>
      <c r="B159" s="1345"/>
      <c r="C159" s="53">
        <f>+[10]dec!C117</f>
        <v>200</v>
      </c>
      <c r="D159" s="6"/>
      <c r="E159" s="6">
        <v>68766000</v>
      </c>
      <c r="F159" s="6">
        <f>+[11]SAOB!P55</f>
        <v>70764000</v>
      </c>
      <c r="G159" s="6"/>
      <c r="H159" s="6"/>
      <c r="I159" s="6">
        <f>+[11]SAOB!BT55</f>
        <v>45080269.630000003</v>
      </c>
      <c r="J159" s="6">
        <f>+F159-H159-I159</f>
        <v>25683730.369999997</v>
      </c>
      <c r="K159" s="54"/>
      <c r="L159" s="4">
        <f>+F159-H159</f>
        <v>70764000</v>
      </c>
      <c r="M159" s="565">
        <f>+I159/L159</f>
        <v>0.637050896359731</v>
      </c>
    </row>
    <row r="160" spans="1:14" ht="18">
      <c r="A160" s="49"/>
      <c r="B160" s="1345"/>
      <c r="C160" s="53">
        <f>+[10]dec!C118</f>
        <v>300</v>
      </c>
      <c r="D160" s="6"/>
      <c r="E160" s="6"/>
      <c r="F160" s="6">
        <f>+E160</f>
        <v>0</v>
      </c>
      <c r="G160" s="6"/>
      <c r="H160" s="6"/>
      <c r="I160" s="6"/>
      <c r="J160" s="6">
        <f>+F160-H160-I160</f>
        <v>0</v>
      </c>
      <c r="K160" s="54"/>
      <c r="L160" s="4"/>
      <c r="M160" s="565"/>
    </row>
    <row r="161" spans="1:13" ht="18">
      <c r="A161" s="49"/>
      <c r="B161" s="1345"/>
      <c r="C161" s="53" t="str">
        <f>+[10]dec!C119</f>
        <v>FE</v>
      </c>
      <c r="D161" s="6"/>
      <c r="E161" s="6"/>
      <c r="F161" s="6"/>
      <c r="G161" s="6"/>
      <c r="H161" s="6"/>
      <c r="I161" s="6"/>
      <c r="J161" s="6">
        <f>+F161-H161-I161</f>
        <v>0</v>
      </c>
      <c r="K161" s="54"/>
    </row>
    <row r="162" spans="1:13" ht="18">
      <c r="A162" s="49"/>
      <c r="B162" s="1345"/>
      <c r="C162" s="53" t="str">
        <f>+[10]dec!C120</f>
        <v>TOTAL</v>
      </c>
      <c r="D162" s="6">
        <f t="shared" ref="D162:I162" si="26">SUM(D158:D161)</f>
        <v>0</v>
      </c>
      <c r="E162" s="6">
        <f t="shared" si="26"/>
        <v>68766000</v>
      </c>
      <c r="F162" s="6">
        <f t="shared" si="26"/>
        <v>70764000</v>
      </c>
      <c r="G162" s="6">
        <f t="shared" si="26"/>
        <v>0</v>
      </c>
      <c r="H162" s="6">
        <f t="shared" si="26"/>
        <v>0</v>
      </c>
      <c r="I162" s="6">
        <f t="shared" si="26"/>
        <v>45080269.630000003</v>
      </c>
      <c r="J162" s="6">
        <f>+F162-H162-I162</f>
        <v>25683730.369999997</v>
      </c>
      <c r="K162" s="54"/>
      <c r="L162" s="4">
        <f>+F162-H162</f>
        <v>70764000</v>
      </c>
      <c r="M162" s="565">
        <f>+I162/L162</f>
        <v>0.637050896359731</v>
      </c>
    </row>
    <row r="163" spans="1:13" ht="18">
      <c r="A163" s="49" t="s">
        <v>377</v>
      </c>
      <c r="B163" s="1174" t="s">
        <v>722</v>
      </c>
      <c r="C163" s="53"/>
      <c r="D163" s="6">
        <v>0</v>
      </c>
      <c r="E163" s="6"/>
      <c r="F163" s="6"/>
      <c r="G163" s="6"/>
      <c r="H163" s="6"/>
      <c r="I163" s="6"/>
      <c r="J163" s="6"/>
      <c r="K163" s="54"/>
    </row>
    <row r="164" spans="1:13" ht="18">
      <c r="A164" s="49"/>
      <c r="B164" s="1345"/>
      <c r="C164" s="53">
        <f>+[10]dec!C122</f>
        <v>100</v>
      </c>
      <c r="D164" s="6">
        <v>0</v>
      </c>
      <c r="E164" s="6"/>
      <c r="F164" s="6">
        <f>+E164</f>
        <v>0</v>
      </c>
      <c r="G164" s="6"/>
      <c r="H164" s="6"/>
      <c r="I164" s="6"/>
      <c r="J164" s="6">
        <f>+F164-H164-I164</f>
        <v>0</v>
      </c>
      <c r="K164" s="54"/>
      <c r="L164" s="4"/>
      <c r="M164" s="565"/>
    </row>
    <row r="165" spans="1:13" ht="18">
      <c r="A165" s="49"/>
      <c r="B165" s="1345"/>
      <c r="C165" s="53">
        <f>+[10]dec!C123</f>
        <v>200</v>
      </c>
      <c r="D165" s="6"/>
      <c r="E165" s="6">
        <v>2279573000</v>
      </c>
      <c r="F165" s="6">
        <f>+[11]SAOB!P56</f>
        <v>2539420000</v>
      </c>
      <c r="G165" s="6"/>
      <c r="H165" s="6">
        <v>690876015</v>
      </c>
      <c r="I165" s="6">
        <f>+[11]SAOB!BT56-H165</f>
        <v>1456783728.8300004</v>
      </c>
      <c r="J165" s="6">
        <f>+F165-H165-I165</f>
        <v>391760256.1699996</v>
      </c>
      <c r="K165" s="54"/>
      <c r="L165" s="4">
        <f>+F165-H165</f>
        <v>1848543985</v>
      </c>
      <c r="M165" s="565">
        <f>+I165/L165</f>
        <v>0.7880709037226401</v>
      </c>
    </row>
    <row r="166" spans="1:13" ht="18">
      <c r="A166" s="49"/>
      <c r="B166" s="1345"/>
      <c r="C166" s="53">
        <f>+[10]dec!C124</f>
        <v>300</v>
      </c>
      <c r="D166" s="6"/>
      <c r="E166" s="6"/>
      <c r="F166" s="6">
        <f>+E166</f>
        <v>0</v>
      </c>
      <c r="G166" s="6"/>
      <c r="H166" s="6"/>
      <c r="I166" s="6"/>
      <c r="J166" s="6">
        <f>+F166-H166-I166</f>
        <v>0</v>
      </c>
      <c r="K166" s="54"/>
      <c r="L166" s="4"/>
      <c r="M166" s="565"/>
    </row>
    <row r="167" spans="1:13" ht="18">
      <c r="A167" s="49"/>
      <c r="B167" s="1345"/>
      <c r="C167" s="53" t="str">
        <f>+[10]dec!C125</f>
        <v>FE</v>
      </c>
      <c r="D167" s="6"/>
      <c r="E167" s="6"/>
      <c r="F167" s="6"/>
      <c r="G167" s="6"/>
      <c r="H167" s="6"/>
      <c r="I167" s="6"/>
      <c r="J167" s="6">
        <f>+F167-H167-I167</f>
        <v>0</v>
      </c>
      <c r="K167" s="54"/>
    </row>
    <row r="168" spans="1:13" ht="18">
      <c r="A168" s="49"/>
      <c r="B168" s="1345"/>
      <c r="C168" s="53" t="str">
        <f>+[10]dec!C126</f>
        <v>TOTAL</v>
      </c>
      <c r="D168" s="6">
        <f t="shared" ref="D168:I168" si="27">SUM(D164:D167)</f>
        <v>0</v>
      </c>
      <c r="E168" s="6">
        <f t="shared" si="27"/>
        <v>2279573000</v>
      </c>
      <c r="F168" s="6">
        <f t="shared" si="27"/>
        <v>2539420000</v>
      </c>
      <c r="G168" s="6">
        <f t="shared" si="27"/>
        <v>0</v>
      </c>
      <c r="H168" s="6">
        <f t="shared" si="27"/>
        <v>690876015</v>
      </c>
      <c r="I168" s="6">
        <f t="shared" si="27"/>
        <v>1456783728.8300004</v>
      </c>
      <c r="J168" s="6">
        <f>+F168-H168-I168</f>
        <v>391760256.1699996</v>
      </c>
      <c r="K168" s="54"/>
      <c r="L168" s="4">
        <f>+F168-H168</f>
        <v>1848543985</v>
      </c>
      <c r="M168" s="565">
        <f>+I168/L168</f>
        <v>0.7880709037226401</v>
      </c>
    </row>
    <row r="169" spans="1:13" ht="18">
      <c r="A169" s="49" t="s">
        <v>379</v>
      </c>
      <c r="B169" s="1174" t="s">
        <v>380</v>
      </c>
      <c r="C169" s="53"/>
      <c r="D169" s="6">
        <v>0</v>
      </c>
      <c r="E169" s="6"/>
      <c r="F169" s="6"/>
      <c r="G169" s="6"/>
      <c r="H169" s="6"/>
      <c r="I169" s="6"/>
      <c r="J169" s="6"/>
      <c r="K169" s="54"/>
    </row>
    <row r="170" spans="1:13" ht="18">
      <c r="A170" s="49"/>
      <c r="B170" s="1345"/>
      <c r="C170" s="53">
        <f>+[10]dec!C128</f>
        <v>100</v>
      </c>
      <c r="D170" s="6">
        <v>0</v>
      </c>
      <c r="E170" s="6"/>
      <c r="F170" s="6">
        <f>+E170</f>
        <v>0</v>
      </c>
      <c r="G170" s="6"/>
      <c r="H170" s="6"/>
      <c r="I170" s="6"/>
      <c r="J170" s="6">
        <f>+F170-H170-I170</f>
        <v>0</v>
      </c>
      <c r="K170" s="54"/>
      <c r="L170" s="4"/>
      <c r="M170" s="565"/>
    </row>
    <row r="171" spans="1:13" ht="18">
      <c r="A171" s="49"/>
      <c r="B171" s="1345"/>
      <c r="C171" s="53">
        <f>+[10]dec!C129</f>
        <v>200</v>
      </c>
      <c r="D171" s="6"/>
      <c r="E171" s="6">
        <v>50300000</v>
      </c>
      <c r="F171" s="6">
        <f>+[11]SAOB!P57</f>
        <v>51866000</v>
      </c>
      <c r="G171" s="6"/>
      <c r="H171" s="6">
        <v>5564652</v>
      </c>
      <c r="I171" s="6">
        <f>+[11]SAOB!BT57-H171</f>
        <v>21839409.300000004</v>
      </c>
      <c r="J171" s="6">
        <f>+F171-H171-I171</f>
        <v>24461938.699999996</v>
      </c>
      <c r="K171" s="54"/>
      <c r="L171" s="4">
        <f>+F171-H171</f>
        <v>46301348</v>
      </c>
      <c r="M171" s="565">
        <f>+I171/L171</f>
        <v>0.47167977269257916</v>
      </c>
    </row>
    <row r="172" spans="1:13" ht="18">
      <c r="A172" s="49"/>
      <c r="B172" s="1345"/>
      <c r="C172" s="53">
        <f>+[10]dec!C130</f>
        <v>300</v>
      </c>
      <c r="D172" s="6"/>
      <c r="E172" s="6"/>
      <c r="F172" s="6">
        <f>+E172</f>
        <v>0</v>
      </c>
      <c r="G172" s="6"/>
      <c r="H172" s="6"/>
      <c r="I172" s="6"/>
      <c r="J172" s="6">
        <f>+F172-H172-I172</f>
        <v>0</v>
      </c>
      <c r="K172" s="54"/>
      <c r="L172" s="4"/>
      <c r="M172" s="565"/>
    </row>
    <row r="173" spans="1:13" ht="18">
      <c r="A173" s="49"/>
      <c r="B173" s="1345"/>
      <c r="C173" s="53" t="str">
        <f>+[10]dec!C131</f>
        <v>FE</v>
      </c>
      <c r="D173" s="6"/>
      <c r="E173" s="6"/>
      <c r="F173" s="6"/>
      <c r="G173" s="6"/>
      <c r="H173" s="6"/>
      <c r="I173" s="6"/>
      <c r="J173" s="6">
        <f>+F173-H173-I173</f>
        <v>0</v>
      </c>
      <c r="K173" s="54"/>
    </row>
    <row r="174" spans="1:13" ht="18">
      <c r="A174" s="49"/>
      <c r="B174" s="1345"/>
      <c r="C174" s="53" t="str">
        <f>+[10]dec!C132</f>
        <v>TOTAL</v>
      </c>
      <c r="D174" s="6">
        <f t="shared" ref="D174:I174" si="28">SUM(D170:D173)</f>
        <v>0</v>
      </c>
      <c r="E174" s="6">
        <f t="shared" si="28"/>
        <v>50300000</v>
      </c>
      <c r="F174" s="6">
        <f t="shared" si="28"/>
        <v>51866000</v>
      </c>
      <c r="G174" s="6">
        <f t="shared" si="28"/>
        <v>0</v>
      </c>
      <c r="H174" s="6">
        <f t="shared" si="28"/>
        <v>5564652</v>
      </c>
      <c r="I174" s="6">
        <f t="shared" si="28"/>
        <v>21839409.300000004</v>
      </c>
      <c r="J174" s="6">
        <f>+F174-H174-I174</f>
        <v>24461938.699999996</v>
      </c>
      <c r="K174" s="54"/>
      <c r="L174" s="4">
        <f>+F174-H174</f>
        <v>46301348</v>
      </c>
      <c r="M174" s="565">
        <f>+I174/L174</f>
        <v>0.47167977269257916</v>
      </c>
    </row>
    <row r="175" spans="1:13" ht="18">
      <c r="A175" s="49" t="s">
        <v>381</v>
      </c>
      <c r="B175" s="1174" t="s">
        <v>382</v>
      </c>
      <c r="C175" s="53"/>
      <c r="D175" s="6">
        <v>0</v>
      </c>
      <c r="E175" s="6"/>
      <c r="F175" s="6"/>
      <c r="G175" s="6"/>
      <c r="H175" s="6"/>
      <c r="I175" s="6"/>
      <c r="J175" s="6"/>
      <c r="K175" s="54"/>
    </row>
    <row r="176" spans="1:13" ht="18">
      <c r="A176" s="49"/>
      <c r="B176" s="1345"/>
      <c r="C176" s="53">
        <f>+[10]dec!C134</f>
        <v>100</v>
      </c>
      <c r="D176" s="6"/>
      <c r="E176" s="6">
        <v>2379000</v>
      </c>
      <c r="F176" s="6">
        <f>+[11]SAOB!O58</f>
        <v>2183000</v>
      </c>
      <c r="G176" s="6"/>
      <c r="H176" s="6"/>
      <c r="I176" s="6">
        <v>2083047.31</v>
      </c>
      <c r="J176" s="6">
        <f>+F176-H176-I176</f>
        <v>99952.689999999944</v>
      </c>
      <c r="K176" s="54"/>
      <c r="L176" s="4">
        <f>+F176-H176</f>
        <v>2183000</v>
      </c>
      <c r="M176" s="565">
        <f>+I176/L176</f>
        <v>0.95421315162620246</v>
      </c>
    </row>
    <row r="177" spans="1:13" ht="18">
      <c r="A177" s="49"/>
      <c r="B177" s="1345"/>
      <c r="C177" s="53">
        <f>+[10]dec!C135</f>
        <v>200</v>
      </c>
      <c r="D177" s="6"/>
      <c r="E177" s="6">
        <v>7984000</v>
      </c>
      <c r="F177" s="6">
        <f>+[11]SAOB!P58</f>
        <v>8281000</v>
      </c>
      <c r="G177" s="6"/>
      <c r="H177" s="6"/>
      <c r="I177" s="6">
        <f>+[11]SAOB!BT58</f>
        <v>6870770.6999999993</v>
      </c>
      <c r="J177" s="6">
        <f>+F177-H177-I177</f>
        <v>1410229.3000000007</v>
      </c>
      <c r="K177" s="54"/>
      <c r="L177" s="4">
        <f>+F177-H177</f>
        <v>8281000</v>
      </c>
      <c r="M177" s="565">
        <f>+I177/L177</f>
        <v>0.82970301895906284</v>
      </c>
    </row>
    <row r="178" spans="1:13" ht="18">
      <c r="A178" s="49"/>
      <c r="B178" s="1345"/>
      <c r="C178" s="53">
        <f>+[10]dec!C136</f>
        <v>300</v>
      </c>
      <c r="D178" s="6"/>
      <c r="E178" s="6">
        <v>0</v>
      </c>
      <c r="F178" s="6">
        <f>+E178</f>
        <v>0</v>
      </c>
      <c r="G178" s="6"/>
      <c r="H178" s="6"/>
      <c r="I178" s="6"/>
      <c r="J178" s="6">
        <f>+F178-H178-I178</f>
        <v>0</v>
      </c>
      <c r="K178" s="54"/>
      <c r="L178" s="4"/>
      <c r="M178" s="565"/>
    </row>
    <row r="179" spans="1:13" ht="18">
      <c r="A179" s="49"/>
      <c r="B179" s="1345"/>
      <c r="C179" s="53" t="str">
        <f>+[10]dec!C137</f>
        <v>FE</v>
      </c>
      <c r="D179" s="6"/>
      <c r="E179" s="6"/>
      <c r="F179" s="6"/>
      <c r="G179" s="6"/>
      <c r="H179" s="6"/>
      <c r="I179" s="6"/>
      <c r="J179" s="6">
        <f>+F179-H179-I179</f>
        <v>0</v>
      </c>
      <c r="K179" s="54"/>
    </row>
    <row r="180" spans="1:13" ht="18">
      <c r="A180" s="49"/>
      <c r="B180" s="1345"/>
      <c r="C180" s="53" t="str">
        <f>+[10]dec!C138</f>
        <v>TOTAL</v>
      </c>
      <c r="D180" s="6">
        <f t="shared" ref="D180:I180" si="29">SUM(D176:D179)</f>
        <v>0</v>
      </c>
      <c r="E180" s="6">
        <f t="shared" si="29"/>
        <v>10363000</v>
      </c>
      <c r="F180" s="6">
        <f t="shared" si="29"/>
        <v>10464000</v>
      </c>
      <c r="G180" s="6">
        <f t="shared" si="29"/>
        <v>0</v>
      </c>
      <c r="H180" s="6">
        <f t="shared" si="29"/>
        <v>0</v>
      </c>
      <c r="I180" s="6">
        <f t="shared" si="29"/>
        <v>8953818.0099999998</v>
      </c>
      <c r="J180" s="6">
        <f>+F180-H180-I180</f>
        <v>1510181.9900000002</v>
      </c>
      <c r="K180" s="54"/>
      <c r="L180" s="4">
        <f>+F180-H180</f>
        <v>10464000</v>
      </c>
      <c r="M180" s="565">
        <f>+I180/L180</f>
        <v>0.85567832664373089</v>
      </c>
    </row>
    <row r="181" spans="1:13" ht="18">
      <c r="A181" s="49" t="s">
        <v>383</v>
      </c>
      <c r="B181" s="1174" t="s">
        <v>384</v>
      </c>
      <c r="C181" s="53"/>
      <c r="D181" s="6">
        <v>0</v>
      </c>
      <c r="E181" s="6"/>
      <c r="F181" s="6"/>
      <c r="G181" s="6"/>
      <c r="H181" s="6"/>
      <c r="I181" s="6"/>
      <c r="J181" s="6"/>
      <c r="K181" s="54"/>
    </row>
    <row r="182" spans="1:13" ht="18">
      <c r="A182" s="49"/>
      <c r="B182" s="1345"/>
      <c r="C182" s="53">
        <f>+[10]dec!C140</f>
        <v>100</v>
      </c>
      <c r="D182" s="6"/>
      <c r="E182" s="6">
        <v>13870000</v>
      </c>
      <c r="F182" s="6">
        <f>+[11]SAOB!O59</f>
        <v>17952000</v>
      </c>
      <c r="G182" s="6"/>
      <c r="H182" s="6"/>
      <c r="I182" s="6">
        <f>+[11]SAOB!BS59</f>
        <v>14840343.440000001</v>
      </c>
      <c r="J182" s="6">
        <f>+F182-H182-I182</f>
        <v>3111656.5599999987</v>
      </c>
      <c r="K182" s="54"/>
      <c r="L182" s="4">
        <f>+F182-H182</f>
        <v>17952000</v>
      </c>
      <c r="M182" s="565">
        <f>+I182/L182</f>
        <v>0.82666797237076661</v>
      </c>
    </row>
    <row r="183" spans="1:13" ht="18">
      <c r="A183" s="49"/>
      <c r="B183" s="1345"/>
      <c r="C183" s="53">
        <f>+[10]dec!C141</f>
        <v>200</v>
      </c>
      <c r="D183" s="6"/>
      <c r="E183" s="6">
        <v>139360000</v>
      </c>
      <c r="F183" s="6">
        <f>+[11]SAOB!P59</f>
        <v>137527000</v>
      </c>
      <c r="G183" s="6"/>
      <c r="H183" s="6">
        <v>4230000</v>
      </c>
      <c r="I183" s="6">
        <f>+[11]SAOB!BT59-H183</f>
        <v>115130827.45000002</v>
      </c>
      <c r="J183" s="6">
        <f>+F183-H183-I183</f>
        <v>18166172.549999982</v>
      </c>
      <c r="K183" s="54"/>
      <c r="L183" s="4">
        <f>+F183-H183</f>
        <v>133297000</v>
      </c>
      <c r="M183" s="565">
        <f>+I183/L183</f>
        <v>0.8637165686399545</v>
      </c>
    </row>
    <row r="184" spans="1:13" ht="18">
      <c r="A184" s="49"/>
      <c r="B184" s="1345"/>
      <c r="C184" s="53">
        <f>+[10]dec!C142</f>
        <v>300</v>
      </c>
      <c r="D184" s="6"/>
      <c r="E184" s="6">
        <v>0</v>
      </c>
      <c r="F184" s="6">
        <f>+E184</f>
        <v>0</v>
      </c>
      <c r="G184" s="6"/>
      <c r="H184" s="6"/>
      <c r="I184" s="6"/>
      <c r="J184" s="6">
        <f>+F184-H184-I184</f>
        <v>0</v>
      </c>
      <c r="K184" s="54"/>
      <c r="L184" s="4"/>
      <c r="M184" s="565"/>
    </row>
    <row r="185" spans="1:13" ht="18">
      <c r="A185" s="49"/>
      <c r="B185" s="1345"/>
      <c r="C185" s="53" t="str">
        <f>+[10]dec!C143</f>
        <v>FE</v>
      </c>
      <c r="D185" s="6"/>
      <c r="E185" s="6"/>
      <c r="F185" s="6"/>
      <c r="G185" s="6"/>
      <c r="H185" s="6"/>
      <c r="I185" s="6"/>
      <c r="J185" s="6">
        <f>+F185-H185-I185</f>
        <v>0</v>
      </c>
      <c r="K185" s="54"/>
    </row>
    <row r="186" spans="1:13" ht="18">
      <c r="A186" s="49"/>
      <c r="B186" s="1345"/>
      <c r="C186" s="53" t="str">
        <f>+[10]dec!C144</f>
        <v>TOTAL</v>
      </c>
      <c r="D186" s="6">
        <f t="shared" ref="D186:I186" si="30">SUM(D182:D185)</f>
        <v>0</v>
      </c>
      <c r="E186" s="6">
        <f t="shared" si="30"/>
        <v>153230000</v>
      </c>
      <c r="F186" s="6">
        <f t="shared" si="30"/>
        <v>155479000</v>
      </c>
      <c r="G186" s="6">
        <f t="shared" si="30"/>
        <v>0</v>
      </c>
      <c r="H186" s="6">
        <f t="shared" si="30"/>
        <v>4230000</v>
      </c>
      <c r="I186" s="6">
        <f t="shared" si="30"/>
        <v>129971170.89000002</v>
      </c>
      <c r="J186" s="6">
        <f>+F186-H186-I186</f>
        <v>21277829.109999985</v>
      </c>
      <c r="K186" s="54"/>
      <c r="L186" s="4">
        <f>+F186-H186</f>
        <v>151249000</v>
      </c>
      <c r="M186" s="565">
        <f>+I186/L186</f>
        <v>0.85931920799476369</v>
      </c>
    </row>
    <row r="187" spans="1:13" ht="22.5">
      <c r="A187" s="49" t="s">
        <v>385</v>
      </c>
      <c r="B187" s="1175" t="s">
        <v>386</v>
      </c>
      <c r="C187" s="53"/>
      <c r="D187" s="6">
        <v>0</v>
      </c>
      <c r="E187" s="6"/>
      <c r="F187" s="6"/>
      <c r="G187" s="6"/>
      <c r="H187" s="6"/>
      <c r="I187" s="6"/>
      <c r="J187" s="6"/>
      <c r="K187" s="54"/>
    </row>
    <row r="188" spans="1:13" ht="18">
      <c r="A188" s="49"/>
      <c r="B188" s="1345"/>
      <c r="C188" s="53">
        <f>+[10]dec!C146</f>
        <v>100</v>
      </c>
      <c r="D188" s="6"/>
      <c r="E188" s="6">
        <v>6303000</v>
      </c>
      <c r="F188" s="6">
        <f>+[11]SAOB!O60</f>
        <v>5956000</v>
      </c>
      <c r="G188" s="6"/>
      <c r="H188" s="6"/>
      <c r="I188" s="6">
        <f>+[11]SAOB!BS60</f>
        <v>5918927.8699999992</v>
      </c>
      <c r="J188" s="6">
        <f>+F188-H188-I188</f>
        <v>37072.13000000082</v>
      </c>
      <c r="K188" s="54"/>
      <c r="L188" s="4">
        <f>+F188-H188</f>
        <v>5956000</v>
      </c>
      <c r="M188" s="565">
        <f>+I188/L188</f>
        <v>0.99377566655473459</v>
      </c>
    </row>
    <row r="189" spans="1:13" ht="18">
      <c r="A189" s="49"/>
      <c r="B189" s="1345"/>
      <c r="C189" s="53">
        <f>+[10]dec!C147</f>
        <v>200</v>
      </c>
      <c r="D189" s="6"/>
      <c r="E189" s="6">
        <v>163892000</v>
      </c>
      <c r="F189" s="6">
        <f>+[11]SAOB!P60</f>
        <v>164907000</v>
      </c>
      <c r="G189" s="6"/>
      <c r="H189" s="6">
        <v>55600000</v>
      </c>
      <c r="I189" s="6">
        <f>+[11]SAOB!BT60-H189</f>
        <v>71317354.670000002</v>
      </c>
      <c r="J189" s="6">
        <f>+F189-H189-I189</f>
        <v>37989645.329999998</v>
      </c>
      <c r="K189" s="54"/>
      <c r="L189" s="4">
        <f>+F189-H189</f>
        <v>109307000</v>
      </c>
      <c r="M189" s="565">
        <f>+I189/L189</f>
        <v>0.65245002305433319</v>
      </c>
    </row>
    <row r="190" spans="1:13" ht="18">
      <c r="A190" s="49"/>
      <c r="B190" s="1345"/>
      <c r="C190" s="53">
        <f>+[10]dec!C148</f>
        <v>300</v>
      </c>
      <c r="D190" s="6"/>
      <c r="E190" s="6"/>
      <c r="F190" s="6">
        <f>+E190</f>
        <v>0</v>
      </c>
      <c r="G190" s="6"/>
      <c r="H190" s="6"/>
      <c r="I190" s="6"/>
      <c r="J190" s="6">
        <f>+F190-H190-I190</f>
        <v>0</v>
      </c>
      <c r="K190" s="54"/>
      <c r="L190" s="4"/>
      <c r="M190" s="565"/>
    </row>
    <row r="191" spans="1:13" ht="18">
      <c r="A191" s="49"/>
      <c r="B191" s="1345"/>
      <c r="C191" s="53" t="str">
        <f>+[10]dec!C149</f>
        <v>FE</v>
      </c>
      <c r="D191" s="6"/>
      <c r="E191" s="6"/>
      <c r="F191" s="6"/>
      <c r="G191" s="6"/>
      <c r="H191" s="6"/>
      <c r="I191" s="6"/>
      <c r="J191" s="6">
        <f>+F191-H191-I191</f>
        <v>0</v>
      </c>
      <c r="K191" s="54"/>
    </row>
    <row r="192" spans="1:13" ht="18">
      <c r="A192" s="49"/>
      <c r="B192" s="1345"/>
      <c r="C192" s="53" t="str">
        <f>+[10]dec!C150</f>
        <v>TOTAL</v>
      </c>
      <c r="D192" s="6">
        <f t="shared" ref="D192:I192" si="31">SUM(D188:D191)</f>
        <v>0</v>
      </c>
      <c r="E192" s="6">
        <f t="shared" si="31"/>
        <v>170195000</v>
      </c>
      <c r="F192" s="6">
        <f t="shared" si="31"/>
        <v>170863000</v>
      </c>
      <c r="G192" s="6">
        <f t="shared" si="31"/>
        <v>0</v>
      </c>
      <c r="H192" s="6">
        <f t="shared" si="31"/>
        <v>55600000</v>
      </c>
      <c r="I192" s="6">
        <f t="shared" si="31"/>
        <v>77236282.540000007</v>
      </c>
      <c r="J192" s="6">
        <f>+F192-H192-I192</f>
        <v>38026717.459999993</v>
      </c>
      <c r="K192" s="54"/>
      <c r="L192" s="4">
        <f>+F192-H192</f>
        <v>115263000</v>
      </c>
      <c r="M192" s="565">
        <f>+I192/L192</f>
        <v>0.67008738745304219</v>
      </c>
    </row>
    <row r="193" spans="1:13" ht="22.5">
      <c r="A193" s="49" t="s">
        <v>387</v>
      </c>
      <c r="B193" s="1175" t="s">
        <v>388</v>
      </c>
      <c r="C193" s="53"/>
      <c r="D193" s="6">
        <v>0</v>
      </c>
      <c r="E193" s="6"/>
      <c r="F193" s="6"/>
      <c r="G193" s="6"/>
      <c r="H193" s="6"/>
      <c r="I193" s="6"/>
      <c r="J193" s="6"/>
      <c r="K193" s="54"/>
    </row>
    <row r="194" spans="1:13" ht="18">
      <c r="A194" s="49"/>
      <c r="B194" s="1345"/>
      <c r="C194" s="53">
        <f>+[10]dec!C152</f>
        <v>100</v>
      </c>
      <c r="D194" s="6"/>
      <c r="E194" s="6">
        <v>18516000</v>
      </c>
      <c r="F194" s="6">
        <f>+[11]SAOB!O61</f>
        <v>22910000</v>
      </c>
      <c r="G194" s="6"/>
      <c r="H194" s="6"/>
      <c r="I194" s="6">
        <f>+[11]SAOB!BS61</f>
        <v>22740551.5</v>
      </c>
      <c r="J194" s="6">
        <f>+F194-H194-I194</f>
        <v>169448.5</v>
      </c>
      <c r="K194" s="54"/>
      <c r="L194" s="4">
        <f>+F194-H194</f>
        <v>22910000</v>
      </c>
      <c r="M194" s="565">
        <f>+I194/L194</f>
        <v>0.99260373199476215</v>
      </c>
    </row>
    <row r="195" spans="1:13" ht="18">
      <c r="A195" s="49"/>
      <c r="B195" s="1345"/>
      <c r="C195" s="53">
        <f>+[10]dec!C153</f>
        <v>200</v>
      </c>
      <c r="D195" s="6"/>
      <c r="E195" s="6">
        <v>122615000</v>
      </c>
      <c r="F195" s="6">
        <f>+[11]SAOB!P61</f>
        <v>125200000</v>
      </c>
      <c r="G195" s="6"/>
      <c r="H195" s="6">
        <v>15843683</v>
      </c>
      <c r="I195" s="6">
        <f>+[11]SAOB!BT61-H195</f>
        <v>22380037.229999997</v>
      </c>
      <c r="J195" s="6">
        <f>+F195-H195-I195</f>
        <v>86976279.770000011</v>
      </c>
      <c r="K195" s="54"/>
      <c r="L195" s="4">
        <f>+F195-H195</f>
        <v>109356317</v>
      </c>
      <c r="M195" s="565">
        <f>+I195/L195</f>
        <v>0.20465244115710296</v>
      </c>
    </row>
    <row r="196" spans="1:13" ht="18">
      <c r="A196" s="49"/>
      <c r="B196" s="1345"/>
      <c r="C196" s="53">
        <f>+[10]dec!C154</f>
        <v>300</v>
      </c>
      <c r="D196" s="6"/>
      <c r="E196" s="6"/>
      <c r="F196" s="6">
        <f>+E196</f>
        <v>0</v>
      </c>
      <c r="G196" s="6"/>
      <c r="H196" s="6"/>
      <c r="I196" s="6"/>
      <c r="J196" s="6">
        <f>+F196-H196-I196</f>
        <v>0</v>
      </c>
      <c r="K196" s="54"/>
      <c r="L196" s="4"/>
      <c r="M196" s="565"/>
    </row>
    <row r="197" spans="1:13" ht="18">
      <c r="A197" s="49"/>
      <c r="B197" s="1345"/>
      <c r="C197" s="53" t="str">
        <f>+[10]dec!C155</f>
        <v>FE</v>
      </c>
      <c r="D197" s="6"/>
      <c r="E197" s="6"/>
      <c r="F197" s="6"/>
      <c r="G197" s="6"/>
      <c r="H197" s="6"/>
      <c r="I197" s="6"/>
      <c r="J197" s="6">
        <f>+F197-H197-I197</f>
        <v>0</v>
      </c>
      <c r="K197" s="54"/>
    </row>
    <row r="198" spans="1:13" ht="18">
      <c r="A198" s="49"/>
      <c r="B198" s="1345"/>
      <c r="C198" s="53" t="str">
        <f>+[10]dec!C156</f>
        <v>TOTAL</v>
      </c>
      <c r="D198" s="6">
        <f t="shared" ref="D198:I198" si="32">SUM(D194:D197)</f>
        <v>0</v>
      </c>
      <c r="E198" s="6">
        <f t="shared" si="32"/>
        <v>141131000</v>
      </c>
      <c r="F198" s="6">
        <f t="shared" si="32"/>
        <v>148110000</v>
      </c>
      <c r="G198" s="6">
        <f t="shared" si="32"/>
        <v>0</v>
      </c>
      <c r="H198" s="6">
        <f t="shared" si="32"/>
        <v>15843683</v>
      </c>
      <c r="I198" s="6">
        <f t="shared" si="32"/>
        <v>45120588.729999997</v>
      </c>
      <c r="J198" s="6">
        <f>+F198-H198-I198</f>
        <v>87145728.270000011</v>
      </c>
      <c r="K198" s="54"/>
      <c r="L198" s="4">
        <f>+F198-H198</f>
        <v>132266317</v>
      </c>
      <c r="M198" s="565">
        <f>+I198/L198</f>
        <v>0.34113438518137612</v>
      </c>
    </row>
    <row r="199" spans="1:13" ht="22.5">
      <c r="A199" s="49" t="s">
        <v>389</v>
      </c>
      <c r="B199" s="1175" t="s">
        <v>390</v>
      </c>
      <c r="C199" s="53"/>
      <c r="D199" s="6">
        <v>0</v>
      </c>
      <c r="E199" s="6"/>
      <c r="F199" s="6"/>
      <c r="G199" s="6"/>
      <c r="H199" s="6"/>
      <c r="I199" s="6"/>
      <c r="J199" s="6"/>
      <c r="K199" s="54"/>
    </row>
    <row r="200" spans="1:13" ht="18">
      <c r="A200" s="49"/>
      <c r="B200" s="1345"/>
      <c r="C200" s="53">
        <f>+[10]dec!C158</f>
        <v>100</v>
      </c>
      <c r="D200" s="6"/>
      <c r="E200" s="6">
        <v>7734000</v>
      </c>
      <c r="F200" s="6">
        <f>+[11]SAOB!O62</f>
        <v>8198000</v>
      </c>
      <c r="G200" s="6"/>
      <c r="H200" s="6"/>
      <c r="I200" s="6">
        <f>+[11]SAOB!BS62</f>
        <v>7109104.0300000003</v>
      </c>
      <c r="J200" s="6">
        <f>+F200-H200-I200</f>
        <v>1088895.9699999997</v>
      </c>
      <c r="K200" s="54"/>
      <c r="L200" s="4">
        <f>+F200-H200</f>
        <v>8198000</v>
      </c>
      <c r="M200" s="565">
        <f>+I200/L200</f>
        <v>0.86717541229568196</v>
      </c>
    </row>
    <row r="201" spans="1:13" ht="18">
      <c r="A201" s="49"/>
      <c r="B201" s="1345"/>
      <c r="C201" s="53">
        <f>+[10]dec!C159</f>
        <v>200</v>
      </c>
      <c r="D201" s="6"/>
      <c r="E201" s="6">
        <v>111626000</v>
      </c>
      <c r="F201" s="6">
        <f>+[11]SAOB!P62</f>
        <v>112594000</v>
      </c>
      <c r="G201" s="6"/>
      <c r="H201" s="6">
        <v>79970435</v>
      </c>
      <c r="I201" s="6">
        <f>+[11]SAOB!BT62-H201</f>
        <v>21193594.819999978</v>
      </c>
      <c r="J201" s="6">
        <f>+F201-H201-I201</f>
        <v>11429970.180000022</v>
      </c>
      <c r="K201" s="54"/>
      <c r="L201" s="4">
        <f>+F201-H201</f>
        <v>32623565</v>
      </c>
      <c r="M201" s="565">
        <f>+I201/L201</f>
        <v>0.64964067599601627</v>
      </c>
    </row>
    <row r="202" spans="1:13" ht="18">
      <c r="A202" s="49"/>
      <c r="B202" s="1345"/>
      <c r="C202" s="53">
        <f>+[10]dec!C160</f>
        <v>300</v>
      </c>
      <c r="D202" s="6"/>
      <c r="E202" s="6">
        <v>0</v>
      </c>
      <c r="F202" s="6">
        <f>+E202</f>
        <v>0</v>
      </c>
      <c r="G202" s="6"/>
      <c r="H202" s="6"/>
      <c r="I202" s="6"/>
      <c r="J202" s="6">
        <f>+F202-H202-I202</f>
        <v>0</v>
      </c>
      <c r="K202" s="54"/>
      <c r="L202" s="4"/>
      <c r="M202" s="565"/>
    </row>
    <row r="203" spans="1:13" ht="18">
      <c r="A203" s="49"/>
      <c r="B203" s="1345"/>
      <c r="C203" s="53" t="str">
        <f>+[10]dec!C161</f>
        <v>FE</v>
      </c>
      <c r="D203" s="6"/>
      <c r="E203" s="6"/>
      <c r="F203" s="6"/>
      <c r="G203" s="6"/>
      <c r="H203" s="6"/>
      <c r="I203" s="6"/>
      <c r="J203" s="6">
        <f>+F203-H203-I203</f>
        <v>0</v>
      </c>
      <c r="K203" s="54"/>
    </row>
    <row r="204" spans="1:13" ht="18">
      <c r="A204" s="49"/>
      <c r="B204" s="1345"/>
      <c r="C204" s="53" t="str">
        <f>+[10]dec!C162</f>
        <v>TOTAL</v>
      </c>
      <c r="D204" s="6">
        <f t="shared" ref="D204:I204" si="33">SUM(D200:D203)</f>
        <v>0</v>
      </c>
      <c r="E204" s="6">
        <f t="shared" si="33"/>
        <v>119360000</v>
      </c>
      <c r="F204" s="6">
        <f t="shared" si="33"/>
        <v>120792000</v>
      </c>
      <c r="G204" s="6">
        <f t="shared" si="33"/>
        <v>0</v>
      </c>
      <c r="H204" s="6">
        <f t="shared" si="33"/>
        <v>79970435</v>
      </c>
      <c r="I204" s="6">
        <f t="shared" si="33"/>
        <v>28302698.849999979</v>
      </c>
      <c r="J204" s="6">
        <f>+F204-H204-I204</f>
        <v>12518866.150000021</v>
      </c>
      <c r="K204" s="54"/>
      <c r="L204" s="4">
        <f>+F204-H204</f>
        <v>40821565</v>
      </c>
      <c r="M204" s="565">
        <f>+I204/L204</f>
        <v>0.69332713848672822</v>
      </c>
    </row>
    <row r="205" spans="1:13" ht="18">
      <c r="A205" s="49" t="s">
        <v>391</v>
      </c>
      <c r="B205" s="1174" t="s">
        <v>392</v>
      </c>
      <c r="C205" s="53"/>
      <c r="D205" s="6">
        <v>0</v>
      </c>
      <c r="E205" s="6"/>
      <c r="F205" s="6"/>
      <c r="G205" s="6"/>
      <c r="H205" s="6"/>
      <c r="I205" s="6"/>
      <c r="J205" s="6"/>
      <c r="K205" s="54"/>
    </row>
    <row r="206" spans="1:13" ht="18">
      <c r="A206" s="49"/>
      <c r="B206" s="1345"/>
      <c r="C206" s="53">
        <f>+[10]dec!C164</f>
        <v>100</v>
      </c>
      <c r="D206" s="6">
        <v>0</v>
      </c>
      <c r="E206" s="6"/>
      <c r="F206" s="6">
        <f>+E206</f>
        <v>0</v>
      </c>
      <c r="G206" s="6"/>
      <c r="H206" s="6"/>
      <c r="I206" s="6"/>
      <c r="J206" s="6">
        <f>+F206-H206-I206</f>
        <v>0</v>
      </c>
      <c r="K206" s="54"/>
      <c r="L206" s="4"/>
      <c r="M206" s="565"/>
    </row>
    <row r="207" spans="1:13" ht="18">
      <c r="A207" s="49"/>
      <c r="B207" s="1345"/>
      <c r="C207" s="53">
        <f>+[10]dec!C165</f>
        <v>200</v>
      </c>
      <c r="D207" s="6">
        <f>+[12]SAOBSUM!P46</f>
        <v>0</v>
      </c>
      <c r="E207" s="6"/>
      <c r="F207" s="6">
        <f>+E207</f>
        <v>0</v>
      </c>
      <c r="G207" s="6"/>
      <c r="H207" s="6"/>
      <c r="I207" s="6"/>
      <c r="J207" s="6">
        <f>+F207-H207-I207</f>
        <v>0</v>
      </c>
      <c r="K207" s="54"/>
      <c r="L207" s="4"/>
      <c r="M207" s="565"/>
    </row>
    <row r="208" spans="1:13" ht="18">
      <c r="A208" s="49"/>
      <c r="B208" s="1345"/>
      <c r="C208" s="53">
        <f>+[10]dec!C166</f>
        <v>300</v>
      </c>
      <c r="D208" s="6"/>
      <c r="E208" s="6"/>
      <c r="F208" s="6">
        <f>+[11]SAOB!Q63</f>
        <v>10772495000</v>
      </c>
      <c r="G208" s="6"/>
      <c r="H208" s="6">
        <v>5666909586.1000004</v>
      </c>
      <c r="I208" s="6">
        <f>+[11]SAOB!BU63-H208</f>
        <v>1131694554.2099991</v>
      </c>
      <c r="J208" s="6">
        <f>+F208-H208-I208</f>
        <v>3973890859.6900005</v>
      </c>
      <c r="K208" s="54"/>
      <c r="L208" s="4">
        <f>+F208-H208</f>
        <v>5105585413.8999996</v>
      </c>
      <c r="M208" s="565">
        <f>+I208/L208</f>
        <v>0.22165813760141023</v>
      </c>
    </row>
    <row r="209" spans="1:13" ht="18">
      <c r="A209" s="49"/>
      <c r="B209" s="1345"/>
      <c r="C209" s="53" t="str">
        <f>+[10]dec!C167</f>
        <v>FE</v>
      </c>
      <c r="D209" s="6"/>
      <c r="E209" s="6"/>
      <c r="F209" s="6"/>
      <c r="G209" s="6"/>
      <c r="H209" s="6"/>
      <c r="I209" s="6"/>
      <c r="J209" s="6">
        <f>+F209-H209-I209</f>
        <v>0</v>
      </c>
      <c r="K209" s="54"/>
    </row>
    <row r="210" spans="1:13" ht="18">
      <c r="A210" s="49"/>
      <c r="B210" s="1345"/>
      <c r="C210" s="53" t="str">
        <f>+[10]dec!C168</f>
        <v>TOTAL</v>
      </c>
      <c r="D210" s="6"/>
      <c r="E210" s="6"/>
      <c r="F210" s="6">
        <f>+F208</f>
        <v>10772495000</v>
      </c>
      <c r="G210" s="6"/>
      <c r="H210" s="6">
        <f>+H208</f>
        <v>5666909586.1000004</v>
      </c>
      <c r="I210" s="6">
        <f>+I208</f>
        <v>1131694554.2099991</v>
      </c>
      <c r="J210" s="6">
        <f>+F210-H210-I210</f>
        <v>3973890859.6900005</v>
      </c>
      <c r="K210" s="54"/>
      <c r="L210" s="4">
        <f>+F210-H210</f>
        <v>5105585413.8999996</v>
      </c>
      <c r="M210" s="565">
        <f>+I210/L210</f>
        <v>0.22165813760141023</v>
      </c>
    </row>
    <row r="211" spans="1:13" ht="18">
      <c r="A211" s="49" t="s">
        <v>393</v>
      </c>
      <c r="B211" s="1174" t="s">
        <v>394</v>
      </c>
      <c r="C211" s="53"/>
      <c r="D211" s="6"/>
      <c r="E211" s="6"/>
      <c r="F211" s="6"/>
      <c r="G211" s="6"/>
      <c r="H211" s="6"/>
      <c r="I211" s="6"/>
      <c r="J211" s="6"/>
      <c r="K211" s="54"/>
    </row>
    <row r="212" spans="1:13" ht="18">
      <c r="A212" s="49"/>
      <c r="B212" s="1345"/>
      <c r="C212" s="53">
        <f>+[10]dec!C170</f>
        <v>100</v>
      </c>
      <c r="D212" s="6"/>
      <c r="E212" s="6">
        <v>8450000</v>
      </c>
      <c r="F212" s="6">
        <f>+[11]SAOB!O85</f>
        <v>9811000</v>
      </c>
      <c r="G212" s="6"/>
      <c r="H212" s="6"/>
      <c r="I212" s="6">
        <f>+[11]SAOB!BS85</f>
        <v>9804362.5</v>
      </c>
      <c r="J212" s="6">
        <f>+F212-H212-I212</f>
        <v>6637.5</v>
      </c>
      <c r="K212" s="54"/>
      <c r="L212" s="4">
        <f>+F212-H212</f>
        <v>9811000</v>
      </c>
      <c r="M212" s="565">
        <f>+I212/L212</f>
        <v>0.99932346345938228</v>
      </c>
    </row>
    <row r="213" spans="1:13" ht="18">
      <c r="A213" s="49"/>
      <c r="B213" s="1346"/>
      <c r="C213" s="53">
        <f>+[10]dec!C171</f>
        <v>200</v>
      </c>
      <c r="D213" s="6"/>
      <c r="E213" s="6">
        <v>19054000</v>
      </c>
      <c r="F213" s="6">
        <f>+[11]SAOB!P85</f>
        <v>19726000</v>
      </c>
      <c r="G213" s="6"/>
      <c r="H213" s="6">
        <v>17826000</v>
      </c>
      <c r="I213" s="6">
        <f>+[11]SAOB!BT85-H213</f>
        <v>48000</v>
      </c>
      <c r="J213" s="6">
        <f>+F213-H213-I213</f>
        <v>1852000</v>
      </c>
      <c r="K213" s="54"/>
      <c r="L213" s="4">
        <f>+F213-H213</f>
        <v>1900000</v>
      </c>
      <c r="M213" s="565">
        <f>+I213/L213</f>
        <v>2.5263157894736842E-2</v>
      </c>
    </row>
    <row r="214" spans="1:13" ht="18">
      <c r="A214" s="49"/>
      <c r="B214" s="1345"/>
      <c r="C214" s="53">
        <f>+[10]dec!C172</f>
        <v>300</v>
      </c>
      <c r="D214" s="6"/>
      <c r="E214" s="6"/>
      <c r="F214" s="6">
        <f>+E214</f>
        <v>0</v>
      </c>
      <c r="G214" s="6"/>
      <c r="H214" s="6"/>
      <c r="I214" s="6"/>
      <c r="J214" s="6">
        <f>+F214-H214-I214</f>
        <v>0</v>
      </c>
      <c r="K214" s="54"/>
      <c r="L214" s="4"/>
      <c r="M214" s="565"/>
    </row>
    <row r="215" spans="1:13" ht="18">
      <c r="A215" s="49"/>
      <c r="B215" s="1345"/>
      <c r="C215" s="53" t="str">
        <f>+[10]dec!C173</f>
        <v>FE</v>
      </c>
      <c r="D215" s="6"/>
      <c r="E215" s="6"/>
      <c r="F215" s="6"/>
      <c r="G215" s="6"/>
      <c r="H215" s="6"/>
      <c r="I215" s="6"/>
      <c r="J215" s="6">
        <f>+F215-H215-I215</f>
        <v>0</v>
      </c>
      <c r="K215" s="54"/>
    </row>
    <row r="216" spans="1:13" ht="18">
      <c r="A216" s="49"/>
      <c r="B216" s="1345"/>
      <c r="C216" s="53" t="str">
        <f>+[10]dec!C174</f>
        <v>TOTAL</v>
      </c>
      <c r="D216" s="6">
        <f t="shared" ref="D216:I216" si="34">SUM(D212:D215)</f>
        <v>0</v>
      </c>
      <c r="E216" s="6">
        <f t="shared" si="34"/>
        <v>27504000</v>
      </c>
      <c r="F216" s="6">
        <f t="shared" si="34"/>
        <v>29537000</v>
      </c>
      <c r="G216" s="6">
        <f t="shared" si="34"/>
        <v>0</v>
      </c>
      <c r="H216" s="6">
        <f t="shared" si="34"/>
        <v>17826000</v>
      </c>
      <c r="I216" s="6">
        <f t="shared" si="34"/>
        <v>9852362.5</v>
      </c>
      <c r="J216" s="6">
        <f>+F216-H216-I216</f>
        <v>1858637.5</v>
      </c>
      <c r="K216" s="54"/>
      <c r="L216" s="4">
        <f>+F216-H216</f>
        <v>11711000</v>
      </c>
      <c r="M216" s="565">
        <f>+I216/L216</f>
        <v>0.84129130731790625</v>
      </c>
    </row>
    <row r="217" spans="1:13" ht="18">
      <c r="A217" s="49" t="s">
        <v>395</v>
      </c>
      <c r="B217" s="1347" t="s">
        <v>723</v>
      </c>
      <c r="C217" s="49"/>
      <c r="D217" s="6">
        <v>0</v>
      </c>
      <c r="E217" s="6"/>
      <c r="F217" s="6"/>
      <c r="G217" s="6"/>
      <c r="H217" s="6"/>
      <c r="I217" s="6"/>
      <c r="J217" s="6"/>
      <c r="K217" s="54"/>
    </row>
    <row r="218" spans="1:13" ht="18">
      <c r="A218" s="55"/>
      <c r="B218" s="1348"/>
      <c r="C218" s="53">
        <f>+[10]dec!C176</f>
        <v>100</v>
      </c>
      <c r="D218" s="6"/>
      <c r="E218" s="6">
        <v>2864000</v>
      </c>
      <c r="F218" s="6">
        <f>+[11]SAOB!O86</f>
        <v>3391000</v>
      </c>
      <c r="G218" s="6"/>
      <c r="H218" s="6"/>
      <c r="I218" s="6">
        <f>+[11]SAOB!BS86</f>
        <v>3385287.5</v>
      </c>
      <c r="J218" s="6">
        <f>+F218-H218-I218</f>
        <v>5712.5</v>
      </c>
      <c r="K218" s="54"/>
      <c r="L218" s="4">
        <f>+F218-H218</f>
        <v>3391000</v>
      </c>
      <c r="M218" s="565">
        <f>+I218/L218</f>
        <v>0.99831539368917721</v>
      </c>
    </row>
    <row r="219" spans="1:13" ht="18">
      <c r="A219" s="55"/>
      <c r="B219" s="1348"/>
      <c r="C219" s="53">
        <f>+[10]dec!C177</f>
        <v>200</v>
      </c>
      <c r="D219" s="6"/>
      <c r="E219" s="6">
        <v>5450000</v>
      </c>
      <c r="F219" s="6">
        <f>+[11]SAOB!P86</f>
        <v>12969000</v>
      </c>
      <c r="G219" s="6"/>
      <c r="H219" s="6">
        <f>12269000-1436900</f>
        <v>10832100</v>
      </c>
      <c r="I219" s="6">
        <v>22000</v>
      </c>
      <c r="J219" s="6">
        <f>+F219-H219-I219</f>
        <v>2114900</v>
      </c>
      <c r="K219" s="54"/>
      <c r="L219" s="4">
        <f>+F219-H219</f>
        <v>2136900</v>
      </c>
      <c r="M219" s="565">
        <f>+I219/L219</f>
        <v>1.0295287566100425E-2</v>
      </c>
    </row>
    <row r="220" spans="1:13" ht="18">
      <c r="A220" s="55"/>
      <c r="B220" s="1348"/>
      <c r="C220" s="53">
        <f>+[10]dec!C178</f>
        <v>300</v>
      </c>
      <c r="D220" s="6"/>
      <c r="E220" s="6"/>
      <c r="F220" s="6">
        <f>+E220</f>
        <v>0</v>
      </c>
      <c r="G220" s="6"/>
      <c r="H220" s="6"/>
      <c r="I220" s="6"/>
      <c r="J220" s="6">
        <f>+F220-H220-I220</f>
        <v>0</v>
      </c>
      <c r="K220" s="54"/>
      <c r="L220" s="4"/>
      <c r="M220" s="565"/>
    </row>
    <row r="221" spans="1:13" ht="18">
      <c r="A221" s="55"/>
      <c r="B221" s="1348"/>
      <c r="C221" s="53" t="str">
        <f>+[10]dec!C179</f>
        <v>FE</v>
      </c>
      <c r="D221" s="6"/>
      <c r="E221" s="6"/>
      <c r="F221" s="6"/>
      <c r="G221" s="6"/>
      <c r="H221" s="6"/>
      <c r="I221" s="6"/>
      <c r="J221" s="6">
        <f>+F221-H221-I221</f>
        <v>0</v>
      </c>
      <c r="K221" s="54"/>
    </row>
    <row r="222" spans="1:13" ht="18">
      <c r="A222" s="55"/>
      <c r="B222" s="1348"/>
      <c r="C222" s="53" t="str">
        <f>+[10]dec!C180</f>
        <v>TOTAL</v>
      </c>
      <c r="D222" s="6">
        <f t="shared" ref="D222:I222" si="35">SUM(D218:D221)</f>
        <v>0</v>
      </c>
      <c r="E222" s="6">
        <f t="shared" si="35"/>
        <v>8314000</v>
      </c>
      <c r="F222" s="6">
        <f t="shared" si="35"/>
        <v>16360000</v>
      </c>
      <c r="G222" s="6">
        <f t="shared" si="35"/>
        <v>0</v>
      </c>
      <c r="H222" s="6">
        <f t="shared" si="35"/>
        <v>10832100</v>
      </c>
      <c r="I222" s="6">
        <f t="shared" si="35"/>
        <v>3407287.5</v>
      </c>
      <c r="J222" s="6">
        <f>+F222-H222-I222</f>
        <v>2120612.5</v>
      </c>
      <c r="K222" s="54"/>
      <c r="L222" s="4">
        <f>+F222-H222</f>
        <v>5527900</v>
      </c>
      <c r="M222" s="565">
        <f>+I222/L222</f>
        <v>0.6163800900884604</v>
      </c>
    </row>
    <row r="223" spans="1:13" ht="18">
      <c r="A223" s="49" t="s">
        <v>397</v>
      </c>
      <c r="B223" s="1179" t="s">
        <v>398</v>
      </c>
      <c r="C223" s="55"/>
      <c r="D223" s="6">
        <v>0</v>
      </c>
      <c r="E223" s="6"/>
      <c r="F223" s="6"/>
      <c r="G223" s="6"/>
      <c r="H223" s="6"/>
      <c r="I223" s="6"/>
      <c r="J223" s="6"/>
      <c r="K223" s="54"/>
    </row>
    <row r="224" spans="1:13" ht="18">
      <c r="A224" s="55"/>
      <c r="B224" s="1348"/>
      <c r="C224" s="53">
        <f>+[10]dec!C182</f>
        <v>100</v>
      </c>
      <c r="D224" s="6"/>
      <c r="E224" s="6">
        <v>3147000</v>
      </c>
      <c r="F224" s="6">
        <f>+[11]SAOB!O87</f>
        <v>3486000</v>
      </c>
      <c r="G224" s="6"/>
      <c r="H224" s="6"/>
      <c r="I224" s="6">
        <f>+[11]SAOB!BS87</f>
        <v>3480312.5</v>
      </c>
      <c r="J224" s="6">
        <f>+F224-H224-I224</f>
        <v>5687.5</v>
      </c>
      <c r="K224" s="54"/>
      <c r="L224" s="4">
        <f>+F224-H224</f>
        <v>3486000</v>
      </c>
      <c r="M224" s="565">
        <f>+I224/L224</f>
        <v>0.99836847389558236</v>
      </c>
    </row>
    <row r="225" spans="1:13" ht="18">
      <c r="A225" s="55"/>
      <c r="B225" s="1348"/>
      <c r="C225" s="53">
        <f>+[10]dec!C183</f>
        <v>200</v>
      </c>
      <c r="D225" s="6"/>
      <c r="E225" s="6">
        <v>5765000</v>
      </c>
      <c r="F225" s="6">
        <f>+[11]SAOB!P87</f>
        <v>5959000</v>
      </c>
      <c r="G225" s="6"/>
      <c r="H225" s="6">
        <v>5259000</v>
      </c>
      <c r="I225" s="6">
        <f>+[11]SAOB!BT87-H225</f>
        <v>22000</v>
      </c>
      <c r="J225" s="6">
        <f>+F225-H225-I225</f>
        <v>678000</v>
      </c>
      <c r="K225" s="54"/>
      <c r="L225" s="4">
        <f>+F225-H225</f>
        <v>700000</v>
      </c>
      <c r="M225" s="565">
        <f>+I225/L225</f>
        <v>3.1428571428571431E-2</v>
      </c>
    </row>
    <row r="226" spans="1:13" ht="18">
      <c r="A226" s="55"/>
      <c r="B226" s="1348"/>
      <c r="C226" s="53">
        <f>+[10]dec!C184</f>
        <v>300</v>
      </c>
      <c r="D226" s="6"/>
      <c r="E226" s="6"/>
      <c r="F226" s="6">
        <f>+E226</f>
        <v>0</v>
      </c>
      <c r="G226" s="6"/>
      <c r="H226" s="6"/>
      <c r="I226" s="6"/>
      <c r="J226" s="6">
        <f>+F226-H226-I226</f>
        <v>0</v>
      </c>
      <c r="K226" s="54"/>
      <c r="L226" s="4"/>
      <c r="M226" s="565"/>
    </row>
    <row r="227" spans="1:13" ht="18">
      <c r="A227" s="55"/>
      <c r="B227" s="1348"/>
      <c r="C227" s="53" t="str">
        <f>+[10]dec!C185</f>
        <v>FE</v>
      </c>
      <c r="D227" s="6"/>
      <c r="E227" s="6"/>
      <c r="F227" s="6"/>
      <c r="G227" s="6"/>
      <c r="H227" s="6"/>
      <c r="I227" s="6"/>
      <c r="J227" s="6">
        <f>+F227-H227-I227</f>
        <v>0</v>
      </c>
      <c r="K227" s="54"/>
    </row>
    <row r="228" spans="1:13" ht="18">
      <c r="A228" s="55"/>
      <c r="B228" s="1348"/>
      <c r="C228" s="53" t="str">
        <f>+[10]dec!C186</f>
        <v>TOTAL</v>
      </c>
      <c r="D228" s="6">
        <f t="shared" ref="D228:I228" si="36">SUM(D224:D227)</f>
        <v>0</v>
      </c>
      <c r="E228" s="6">
        <f t="shared" si="36"/>
        <v>8912000</v>
      </c>
      <c r="F228" s="6">
        <f t="shared" si="36"/>
        <v>9445000</v>
      </c>
      <c r="G228" s="6">
        <f t="shared" si="36"/>
        <v>0</v>
      </c>
      <c r="H228" s="6">
        <f t="shared" si="36"/>
        <v>5259000</v>
      </c>
      <c r="I228" s="6">
        <f t="shared" si="36"/>
        <v>3502312.5</v>
      </c>
      <c r="J228" s="6">
        <f>+F228-H228-I228</f>
        <v>683687.5</v>
      </c>
      <c r="K228" s="54"/>
      <c r="L228" s="4">
        <f>+F228-H228</f>
        <v>4186000</v>
      </c>
      <c r="M228" s="565">
        <f>+I228/L228</f>
        <v>0.83667283803153369</v>
      </c>
    </row>
    <row r="229" spans="1:13" ht="18">
      <c r="A229" s="49" t="s">
        <v>399</v>
      </c>
      <c r="B229" s="1179" t="s">
        <v>400</v>
      </c>
      <c r="C229" s="53"/>
      <c r="D229" s="6">
        <v>0</v>
      </c>
      <c r="E229" s="6"/>
      <c r="F229" s="6"/>
      <c r="G229" s="6"/>
      <c r="H229" s="6"/>
      <c r="I229" s="6"/>
      <c r="J229" s="6"/>
      <c r="K229" s="54"/>
    </row>
    <row r="230" spans="1:13" ht="18">
      <c r="A230" s="55"/>
      <c r="B230" s="1348"/>
      <c r="C230" s="53">
        <f>+[10]dec!C188</f>
        <v>100</v>
      </c>
      <c r="D230" s="6">
        <v>0</v>
      </c>
      <c r="E230" s="6"/>
      <c r="F230" s="6">
        <f>+E230</f>
        <v>0</v>
      </c>
      <c r="G230" s="6"/>
      <c r="H230" s="6"/>
      <c r="I230" s="6"/>
      <c r="J230" s="6">
        <f>+F230-H230-I230</f>
        <v>0</v>
      </c>
      <c r="K230" s="54"/>
      <c r="L230" s="4"/>
      <c r="M230" s="565"/>
    </row>
    <row r="231" spans="1:13" ht="18">
      <c r="A231" s="55"/>
      <c r="B231" s="1348"/>
      <c r="C231" s="53">
        <f>+[10]dec!C189</f>
        <v>200</v>
      </c>
      <c r="D231" s="6"/>
      <c r="E231" s="6">
        <v>12455000</v>
      </c>
      <c r="F231" s="6">
        <f>+[11]SAOB!P88</f>
        <v>5643000</v>
      </c>
      <c r="G231" s="6"/>
      <c r="H231" s="6">
        <v>5643000</v>
      </c>
      <c r="I231" s="6">
        <f>+[11]SAOB!BT88-H231</f>
        <v>0</v>
      </c>
      <c r="J231" s="6">
        <f>+F231-H231-I231</f>
        <v>0</v>
      </c>
      <c r="K231" s="54"/>
      <c r="L231" s="4"/>
      <c r="M231" s="565"/>
    </row>
    <row r="232" spans="1:13" ht="18">
      <c r="A232" s="55"/>
      <c r="B232" s="1348"/>
      <c r="C232" s="53">
        <f>+[10]dec!C190</f>
        <v>300</v>
      </c>
      <c r="D232" s="6"/>
      <c r="E232" s="6"/>
      <c r="F232" s="6">
        <f>+E232</f>
        <v>0</v>
      </c>
      <c r="G232" s="6"/>
      <c r="H232" s="6"/>
      <c r="I232" s="6"/>
      <c r="J232" s="6">
        <f>+F232-H232-I232</f>
        <v>0</v>
      </c>
      <c r="K232" s="54"/>
      <c r="L232" s="4"/>
      <c r="M232" s="565"/>
    </row>
    <row r="233" spans="1:13" ht="18">
      <c r="A233" s="55"/>
      <c r="B233" s="1348"/>
      <c r="C233" s="53" t="str">
        <f>+[10]dec!C191</f>
        <v>FE</v>
      </c>
      <c r="D233" s="6"/>
      <c r="E233" s="6"/>
      <c r="F233" s="6"/>
      <c r="G233" s="6"/>
      <c r="H233" s="6"/>
      <c r="I233" s="6"/>
      <c r="J233" s="6">
        <f>+F233-H233-I233</f>
        <v>0</v>
      </c>
      <c r="K233" s="54"/>
    </row>
    <row r="234" spans="1:13" ht="18">
      <c r="A234" s="55"/>
      <c r="B234" s="1348"/>
      <c r="C234" s="53" t="str">
        <f>+[10]dec!C192</f>
        <v>TOTAL</v>
      </c>
      <c r="D234" s="6">
        <f t="shared" ref="D234:I234" si="37">SUM(D230:D233)</f>
        <v>0</v>
      </c>
      <c r="E234" s="6">
        <f t="shared" si="37"/>
        <v>12455000</v>
      </c>
      <c r="F234" s="6">
        <f t="shared" si="37"/>
        <v>5643000</v>
      </c>
      <c r="G234" s="6">
        <f t="shared" si="37"/>
        <v>0</v>
      </c>
      <c r="H234" s="6">
        <f t="shared" si="37"/>
        <v>5643000</v>
      </c>
      <c r="I234" s="6">
        <f t="shared" si="37"/>
        <v>0</v>
      </c>
      <c r="J234" s="6">
        <f>+F234-H234-I234</f>
        <v>0</v>
      </c>
      <c r="K234" s="54"/>
      <c r="L234" s="4"/>
      <c r="M234" s="565"/>
    </row>
    <row r="235" spans="1:13" ht="18">
      <c r="A235" s="49" t="s">
        <v>399</v>
      </c>
      <c r="B235" s="1179" t="s">
        <v>401</v>
      </c>
      <c r="C235" s="53"/>
      <c r="D235" s="6">
        <v>0</v>
      </c>
      <c r="E235" s="6"/>
      <c r="F235" s="6"/>
      <c r="G235" s="6"/>
      <c r="H235" s="6"/>
      <c r="I235" s="6"/>
      <c r="J235" s="6"/>
      <c r="K235" s="54"/>
    </row>
    <row r="236" spans="1:13" ht="18">
      <c r="A236" s="55"/>
      <c r="B236" s="1348"/>
      <c r="C236" s="53">
        <f>+[10]dec!C194</f>
        <v>100</v>
      </c>
      <c r="D236" s="6">
        <v>0</v>
      </c>
      <c r="E236" s="6"/>
      <c r="F236" s="6">
        <f>+E236</f>
        <v>0</v>
      </c>
      <c r="G236" s="6"/>
      <c r="H236" s="6"/>
      <c r="I236" s="6"/>
      <c r="J236" s="6">
        <f>+F236-H236-I236</f>
        <v>0</v>
      </c>
      <c r="K236" s="54"/>
    </row>
    <row r="237" spans="1:13" ht="18">
      <c r="A237" s="55"/>
      <c r="B237" s="1348"/>
      <c r="C237" s="53">
        <f>+[10]dec!C195</f>
        <v>200</v>
      </c>
      <c r="D237" s="6"/>
      <c r="E237" s="6">
        <v>9903000</v>
      </c>
      <c r="F237" s="6">
        <f>+[11]SAOB!P89</f>
        <v>9910000</v>
      </c>
      <c r="G237" s="6"/>
      <c r="H237" s="6">
        <f>9910000-722924.94</f>
        <v>9187075.0600000005</v>
      </c>
      <c r="I237" s="6">
        <v>0</v>
      </c>
      <c r="J237" s="6">
        <f>+F237-H237-I237</f>
        <v>722924.93999999948</v>
      </c>
      <c r="K237" s="54"/>
    </row>
    <row r="238" spans="1:13" ht="18">
      <c r="A238" s="55"/>
      <c r="B238" s="1348"/>
      <c r="C238" s="53">
        <f>+[10]dec!C196</f>
        <v>300</v>
      </c>
      <c r="D238" s="6"/>
      <c r="E238" s="6"/>
      <c r="F238" s="6">
        <f>+E238</f>
        <v>0</v>
      </c>
      <c r="G238" s="6"/>
      <c r="H238" s="6"/>
      <c r="I238" s="6"/>
      <c r="J238" s="6">
        <f>+F238-H238-I238</f>
        <v>0</v>
      </c>
      <c r="K238" s="54"/>
    </row>
    <row r="239" spans="1:13" ht="18">
      <c r="A239" s="55"/>
      <c r="B239" s="1348"/>
      <c r="C239" s="53" t="str">
        <f>+[10]dec!C197</f>
        <v>FE</v>
      </c>
      <c r="D239" s="6"/>
      <c r="E239" s="6"/>
      <c r="F239" s="6"/>
      <c r="G239" s="6"/>
      <c r="H239" s="6"/>
      <c r="I239" s="6"/>
      <c r="J239" s="6">
        <f>+F239-H239-I239</f>
        <v>0</v>
      </c>
      <c r="K239" s="54"/>
    </row>
    <row r="240" spans="1:13" ht="18">
      <c r="A240" s="55"/>
      <c r="B240" s="1348"/>
      <c r="C240" s="53" t="str">
        <f>+[10]dec!C198</f>
        <v>TOTAL</v>
      </c>
      <c r="D240" s="6">
        <f t="shared" ref="D240:I240" si="38">SUM(D236:D239)</f>
        <v>0</v>
      </c>
      <c r="E240" s="6">
        <f t="shared" si="38"/>
        <v>9903000</v>
      </c>
      <c r="F240" s="6">
        <f t="shared" si="38"/>
        <v>9910000</v>
      </c>
      <c r="G240" s="6">
        <f t="shared" si="38"/>
        <v>0</v>
      </c>
      <c r="H240" s="6">
        <f t="shared" si="38"/>
        <v>9187075.0600000005</v>
      </c>
      <c r="I240" s="6">
        <f t="shared" si="38"/>
        <v>0</v>
      </c>
      <c r="J240" s="6">
        <f>+F240-H240-I240</f>
        <v>722924.93999999948</v>
      </c>
      <c r="K240" s="54"/>
    </row>
    <row r="241" spans="1:13" ht="18">
      <c r="A241" s="49" t="s">
        <v>402</v>
      </c>
      <c r="B241" s="1179" t="s">
        <v>1099</v>
      </c>
      <c r="C241" s="53"/>
      <c r="D241" s="6">
        <v>0</v>
      </c>
      <c r="E241" s="6"/>
      <c r="F241" s="6"/>
      <c r="G241" s="6"/>
      <c r="H241" s="6"/>
      <c r="I241" s="6"/>
      <c r="J241" s="6"/>
      <c r="K241" s="54"/>
    </row>
    <row r="242" spans="1:13" ht="18">
      <c r="A242" s="55"/>
      <c r="B242" s="1348"/>
      <c r="C242" s="53">
        <f>+[10]dec!C206</f>
        <v>100</v>
      </c>
      <c r="D242" s="6">
        <v>0</v>
      </c>
      <c r="E242" s="6"/>
      <c r="F242" s="6">
        <f>+E242</f>
        <v>0</v>
      </c>
      <c r="G242" s="6"/>
      <c r="H242" s="6"/>
      <c r="I242" s="6"/>
      <c r="J242" s="6">
        <f>+F242-H242-I242</f>
        <v>0</v>
      </c>
      <c r="K242" s="54"/>
    </row>
    <row r="243" spans="1:13" ht="18">
      <c r="A243" s="55"/>
      <c r="B243" s="1348"/>
      <c r="C243" s="53">
        <f>+[10]dec!C207</f>
        <v>200</v>
      </c>
      <c r="D243" s="6"/>
      <c r="E243" s="6">
        <v>5616000</v>
      </c>
      <c r="F243" s="6">
        <f>+[11]SAOB!P90</f>
        <v>5743000</v>
      </c>
      <c r="G243" s="6"/>
      <c r="H243" s="6">
        <v>5743000</v>
      </c>
      <c r="I243" s="6">
        <f>+[11]SAOB!BT90-H243</f>
        <v>0</v>
      </c>
      <c r="J243" s="6">
        <f>+F243-H243-I243</f>
        <v>0</v>
      </c>
      <c r="K243" s="54"/>
    </row>
    <row r="244" spans="1:13" ht="18">
      <c r="A244" s="55"/>
      <c r="B244" s="1348"/>
      <c r="C244" s="53">
        <f>+[10]dec!C208</f>
        <v>300</v>
      </c>
      <c r="D244" s="6">
        <f>+[12]SAOBSUM!Q55</f>
        <v>0</v>
      </c>
      <c r="E244" s="6"/>
      <c r="F244" s="6">
        <f>+E244</f>
        <v>0</v>
      </c>
      <c r="G244" s="6"/>
      <c r="H244" s="6"/>
      <c r="I244" s="6"/>
      <c r="J244" s="6">
        <f>+F244-H244-I244</f>
        <v>0</v>
      </c>
      <c r="K244" s="54"/>
    </row>
    <row r="245" spans="1:13" ht="18">
      <c r="A245" s="55"/>
      <c r="B245" s="1348"/>
      <c r="C245" s="53" t="str">
        <f>+[10]dec!C209</f>
        <v>FE</v>
      </c>
      <c r="D245" s="6"/>
      <c r="E245" s="6"/>
      <c r="F245" s="6"/>
      <c r="G245" s="6"/>
      <c r="H245" s="6"/>
      <c r="I245" s="6"/>
      <c r="J245" s="6">
        <f>+F245-H245-I245</f>
        <v>0</v>
      </c>
      <c r="K245" s="54"/>
    </row>
    <row r="246" spans="1:13" ht="18">
      <c r="A246" s="55"/>
      <c r="B246" s="1348"/>
      <c r="C246" s="53" t="str">
        <f>+[10]dec!C210</f>
        <v>TOTAL</v>
      </c>
      <c r="D246" s="6">
        <f t="shared" ref="D246:I246" si="39">SUM(D242:D245)</f>
        <v>0</v>
      </c>
      <c r="E246" s="6">
        <f t="shared" si="39"/>
        <v>5616000</v>
      </c>
      <c r="F246" s="6">
        <f t="shared" si="39"/>
        <v>5743000</v>
      </c>
      <c r="G246" s="6">
        <f t="shared" si="39"/>
        <v>0</v>
      </c>
      <c r="H246" s="6">
        <f t="shared" si="39"/>
        <v>5743000</v>
      </c>
      <c r="I246" s="6">
        <f t="shared" si="39"/>
        <v>0</v>
      </c>
      <c r="J246" s="6">
        <f>+F246-H246-I246</f>
        <v>0</v>
      </c>
      <c r="K246" s="54"/>
    </row>
    <row r="247" spans="1:13" ht="18">
      <c r="A247" s="49" t="s">
        <v>403</v>
      </c>
      <c r="B247" s="1179" t="s">
        <v>404</v>
      </c>
      <c r="C247" s="53"/>
      <c r="D247" s="6">
        <v>0</v>
      </c>
      <c r="E247" s="6"/>
      <c r="F247" s="6"/>
      <c r="G247" s="6"/>
      <c r="H247" s="6"/>
      <c r="I247" s="6"/>
      <c r="J247" s="6"/>
      <c r="K247" s="54"/>
    </row>
    <row r="248" spans="1:13" ht="18">
      <c r="A248" s="55"/>
      <c r="B248" s="1348"/>
      <c r="C248" s="53">
        <f>+[10]dec!C212</f>
        <v>100</v>
      </c>
      <c r="D248" s="6">
        <v>0</v>
      </c>
      <c r="E248" s="6"/>
      <c r="F248" s="6">
        <f>+E248</f>
        <v>0</v>
      </c>
      <c r="G248" s="6"/>
      <c r="H248" s="6"/>
      <c r="I248" s="6"/>
      <c r="J248" s="6">
        <f>+F248-H248-I248</f>
        <v>0</v>
      </c>
      <c r="K248" s="54"/>
    </row>
    <row r="249" spans="1:13" ht="18">
      <c r="A249" s="55"/>
      <c r="B249" s="1348"/>
      <c r="C249" s="53">
        <f>+[10]dec!C213</f>
        <v>200</v>
      </c>
      <c r="D249" s="6"/>
      <c r="E249" s="6">
        <v>10201000</v>
      </c>
      <c r="F249" s="6">
        <f>+[11]SAOB!P91</f>
        <v>10398000</v>
      </c>
      <c r="G249" s="6"/>
      <c r="H249" s="6">
        <v>10398000</v>
      </c>
      <c r="I249" s="6">
        <f>+[11]SAOB!BT91-H249</f>
        <v>0</v>
      </c>
      <c r="J249" s="6">
        <f>+F249-H249-I249</f>
        <v>0</v>
      </c>
      <c r="K249" s="54"/>
    </row>
    <row r="250" spans="1:13" ht="18">
      <c r="A250" s="55"/>
      <c r="B250" s="1348"/>
      <c r="C250" s="53">
        <f>+[10]dec!C214</f>
        <v>300</v>
      </c>
      <c r="D250" s="6"/>
      <c r="E250" s="6"/>
      <c r="F250" s="6">
        <f>+E250</f>
        <v>0</v>
      </c>
      <c r="G250" s="6"/>
      <c r="H250" s="6"/>
      <c r="I250" s="6"/>
      <c r="J250" s="6">
        <f>+F250-H250-I250</f>
        <v>0</v>
      </c>
      <c r="K250" s="54"/>
    </row>
    <row r="251" spans="1:13" ht="18">
      <c r="A251" s="55"/>
      <c r="B251" s="1348"/>
      <c r="C251" s="53" t="str">
        <f>+[10]dec!C215</f>
        <v>FE</v>
      </c>
      <c r="D251" s="6"/>
      <c r="E251" s="6"/>
      <c r="F251" s="6"/>
      <c r="G251" s="6"/>
      <c r="H251" s="6"/>
      <c r="I251" s="6"/>
      <c r="J251" s="6">
        <f>+F251-H251-I251</f>
        <v>0</v>
      </c>
      <c r="K251" s="54"/>
    </row>
    <row r="252" spans="1:13" ht="18">
      <c r="A252" s="55"/>
      <c r="B252" s="1348"/>
      <c r="C252" s="53" t="str">
        <f>+[10]dec!C216</f>
        <v>TOTAL</v>
      </c>
      <c r="D252" s="6">
        <f t="shared" ref="D252:I252" si="40">SUM(D248:D251)</f>
        <v>0</v>
      </c>
      <c r="E252" s="6">
        <f t="shared" si="40"/>
        <v>10201000</v>
      </c>
      <c r="F252" s="6">
        <f t="shared" si="40"/>
        <v>10398000</v>
      </c>
      <c r="G252" s="6">
        <f t="shared" si="40"/>
        <v>0</v>
      </c>
      <c r="H252" s="6">
        <f t="shared" si="40"/>
        <v>10398000</v>
      </c>
      <c r="I252" s="6">
        <f t="shared" si="40"/>
        <v>0</v>
      </c>
      <c r="J252" s="6">
        <f>+F252-H252-I252</f>
        <v>0</v>
      </c>
      <c r="K252" s="54"/>
    </row>
    <row r="253" spans="1:13" ht="18">
      <c r="A253" s="49" t="s">
        <v>405</v>
      </c>
      <c r="B253" s="1179" t="s">
        <v>406</v>
      </c>
      <c r="C253" s="53"/>
      <c r="D253" s="6">
        <v>0</v>
      </c>
      <c r="E253" s="6"/>
      <c r="F253" s="6"/>
      <c r="G253" s="6"/>
      <c r="H253" s="6"/>
      <c r="I253" s="6"/>
      <c r="J253" s="6"/>
      <c r="K253" s="54"/>
      <c r="L253" s="4"/>
      <c r="M253" s="565"/>
    </row>
    <row r="254" spans="1:13" ht="18">
      <c r="A254" s="55"/>
      <c r="B254" s="1348"/>
      <c r="C254" s="53">
        <f>+[10]dec!C218</f>
        <v>100</v>
      </c>
      <c r="D254" s="6">
        <v>0</v>
      </c>
      <c r="E254" s="6"/>
      <c r="F254" s="6">
        <f>+[11]SAOB!O92</f>
        <v>1008000</v>
      </c>
      <c r="G254" s="6"/>
      <c r="H254" s="6"/>
      <c r="I254" s="6">
        <f>+[11]SAOB!BS92</f>
        <v>1008000</v>
      </c>
      <c r="J254" s="6">
        <f>+F254-H254-I254</f>
        <v>0</v>
      </c>
      <c r="K254" s="54"/>
      <c r="L254" s="4">
        <f>+F254-H254</f>
        <v>1008000</v>
      </c>
      <c r="M254" s="565">
        <f>+I254/L254</f>
        <v>1</v>
      </c>
    </row>
    <row r="255" spans="1:13" ht="18">
      <c r="A255" s="55"/>
      <c r="B255" s="1348"/>
      <c r="C255" s="53">
        <f>+[10]dec!C219</f>
        <v>200</v>
      </c>
      <c r="D255" s="6"/>
      <c r="E255" s="6">
        <v>52785000</v>
      </c>
      <c r="F255" s="6">
        <f>+[11]SAOB!P92</f>
        <v>54806000</v>
      </c>
      <c r="G255" s="6"/>
      <c r="H255" s="6">
        <f>54606000-220000</f>
        <v>54386000</v>
      </c>
      <c r="I255" s="6">
        <f>+[11]SAOB!BT92-[11]BAR!H255</f>
        <v>33000</v>
      </c>
      <c r="J255" s="6">
        <f>+F255-H255-I255</f>
        <v>387000</v>
      </c>
      <c r="K255" s="54"/>
      <c r="L255" s="4">
        <f>+F255-H255</f>
        <v>420000</v>
      </c>
      <c r="M255" s="565">
        <f>+I255/L255</f>
        <v>7.857142857142857E-2</v>
      </c>
    </row>
    <row r="256" spans="1:13" ht="18">
      <c r="A256" s="55"/>
      <c r="B256" s="1348"/>
      <c r="C256" s="53">
        <f>+[10]dec!C220</f>
        <v>300</v>
      </c>
      <c r="D256" s="6"/>
      <c r="E256" s="6"/>
      <c r="F256" s="6">
        <f>+E256</f>
        <v>0</v>
      </c>
      <c r="G256" s="6"/>
      <c r="H256" s="6"/>
      <c r="I256" s="6"/>
      <c r="J256" s="6">
        <f>+F256-H256-I256</f>
        <v>0</v>
      </c>
      <c r="K256" s="54"/>
    </row>
    <row r="257" spans="1:13" ht="18">
      <c r="A257" s="55"/>
      <c r="B257" s="1348"/>
      <c r="C257" s="53" t="str">
        <f>+[10]dec!C221</f>
        <v>FE</v>
      </c>
      <c r="D257" s="6"/>
      <c r="E257" s="6"/>
      <c r="F257" s="6"/>
      <c r="G257" s="6"/>
      <c r="H257" s="6"/>
      <c r="I257" s="6"/>
      <c r="J257" s="6">
        <f>+F257-H257-I257</f>
        <v>0</v>
      </c>
      <c r="K257" s="54"/>
      <c r="L257" s="4"/>
      <c r="M257" s="565"/>
    </row>
    <row r="258" spans="1:13" ht="18">
      <c r="A258" s="55"/>
      <c r="B258" s="1348"/>
      <c r="C258" s="53" t="str">
        <f>+[10]dec!C222</f>
        <v>TOTAL</v>
      </c>
      <c r="D258" s="6">
        <f t="shared" ref="D258:I258" si="41">SUM(D254:D257)</f>
        <v>0</v>
      </c>
      <c r="E258" s="6">
        <f t="shared" si="41"/>
        <v>52785000</v>
      </c>
      <c r="F258" s="6">
        <f t="shared" si="41"/>
        <v>55814000</v>
      </c>
      <c r="G258" s="6">
        <f t="shared" si="41"/>
        <v>0</v>
      </c>
      <c r="H258" s="6">
        <f t="shared" si="41"/>
        <v>54386000</v>
      </c>
      <c r="I258" s="6">
        <f t="shared" si="41"/>
        <v>1041000</v>
      </c>
      <c r="J258" s="6">
        <f>+F258-H258-I258</f>
        <v>387000</v>
      </c>
      <c r="K258" s="54"/>
      <c r="L258" s="4">
        <f>+F258-H258</f>
        <v>1428000</v>
      </c>
      <c r="M258" s="565">
        <f>+I258/L258</f>
        <v>0.72899159663865543</v>
      </c>
    </row>
    <row r="259" spans="1:13" ht="18">
      <c r="A259" s="49" t="s">
        <v>407</v>
      </c>
      <c r="B259" s="1179" t="s">
        <v>408</v>
      </c>
      <c r="C259" s="53"/>
      <c r="D259" s="6">
        <v>0</v>
      </c>
      <c r="E259" s="6"/>
      <c r="F259" s="6"/>
      <c r="G259" s="6"/>
      <c r="H259" s="6"/>
      <c r="I259" s="6"/>
      <c r="J259" s="6"/>
      <c r="K259" s="54"/>
    </row>
    <row r="260" spans="1:13" ht="18">
      <c r="A260" s="55"/>
      <c r="B260" s="1348"/>
      <c r="C260" s="53">
        <f>+[10]dec!C230</f>
        <v>100</v>
      </c>
      <c r="D260" s="6">
        <v>0</v>
      </c>
      <c r="E260" s="6"/>
      <c r="F260" s="6">
        <f>+E260</f>
        <v>0</v>
      </c>
      <c r="G260" s="6"/>
      <c r="H260" s="6"/>
      <c r="I260" s="6"/>
      <c r="J260" s="6">
        <f>+F260-H260-I260</f>
        <v>0</v>
      </c>
      <c r="K260" s="54"/>
    </row>
    <row r="261" spans="1:13" ht="18">
      <c r="A261" s="55"/>
      <c r="B261" s="1348"/>
      <c r="C261" s="53">
        <f>+[10]dec!C231</f>
        <v>200</v>
      </c>
      <c r="D261" s="6"/>
      <c r="E261" s="6">
        <v>4685000</v>
      </c>
      <c r="F261" s="6">
        <f>+[11]SAOB!P93</f>
        <v>4720000</v>
      </c>
      <c r="G261" s="6"/>
      <c r="H261" s="6">
        <v>4720000</v>
      </c>
      <c r="I261" s="6">
        <f>+[11]SAOB!BT93-H261</f>
        <v>0</v>
      </c>
      <c r="J261" s="6">
        <f>+F261-H261-I261</f>
        <v>0</v>
      </c>
      <c r="K261" s="54"/>
    </row>
    <row r="262" spans="1:13" ht="18">
      <c r="A262" s="55"/>
      <c r="B262" s="1348"/>
      <c r="C262" s="53">
        <f>+[10]dec!C232</f>
        <v>300</v>
      </c>
      <c r="D262" s="6"/>
      <c r="E262" s="6"/>
      <c r="F262" s="6">
        <f>+E262</f>
        <v>0</v>
      </c>
      <c r="G262" s="6"/>
      <c r="H262" s="6"/>
      <c r="I262" s="6"/>
      <c r="J262" s="6">
        <f>+F262-H262-I262</f>
        <v>0</v>
      </c>
      <c r="K262" s="54"/>
    </row>
    <row r="263" spans="1:13" ht="18">
      <c r="A263" s="55"/>
      <c r="B263" s="1348"/>
      <c r="C263" s="53" t="str">
        <f>+[10]dec!C233</f>
        <v>FE</v>
      </c>
      <c r="D263" s="6"/>
      <c r="E263" s="6"/>
      <c r="F263" s="6"/>
      <c r="G263" s="6"/>
      <c r="H263" s="6"/>
      <c r="I263" s="6"/>
      <c r="J263" s="6">
        <f>+F263-H263-I263</f>
        <v>0</v>
      </c>
      <c r="K263" s="54"/>
    </row>
    <row r="264" spans="1:13" ht="18">
      <c r="A264" s="55"/>
      <c r="B264" s="1348"/>
      <c r="C264" s="53" t="str">
        <f>+[10]dec!C234</f>
        <v>TOTAL</v>
      </c>
      <c r="D264" s="6">
        <f t="shared" ref="D264:I264" si="42">SUM(D260:D263)</f>
        <v>0</v>
      </c>
      <c r="E264" s="6">
        <f t="shared" si="42"/>
        <v>4685000</v>
      </c>
      <c r="F264" s="6">
        <f t="shared" si="42"/>
        <v>4720000</v>
      </c>
      <c r="G264" s="6">
        <f t="shared" si="42"/>
        <v>0</v>
      </c>
      <c r="H264" s="6">
        <f t="shared" si="42"/>
        <v>4720000</v>
      </c>
      <c r="I264" s="6">
        <f t="shared" si="42"/>
        <v>0</v>
      </c>
      <c r="J264" s="6">
        <f>+F264-H264-I264</f>
        <v>0</v>
      </c>
      <c r="K264" s="54"/>
    </row>
    <row r="265" spans="1:13" ht="18">
      <c r="A265" s="49" t="s">
        <v>724</v>
      </c>
      <c r="B265" s="1179" t="s">
        <v>725</v>
      </c>
      <c r="C265" s="53"/>
      <c r="D265" s="6">
        <v>0</v>
      </c>
      <c r="E265" s="6"/>
      <c r="F265" s="6"/>
      <c r="G265" s="6"/>
      <c r="H265" s="6"/>
      <c r="I265" s="6"/>
      <c r="J265" s="6"/>
      <c r="K265" s="54"/>
    </row>
    <row r="266" spans="1:13" ht="18">
      <c r="A266" s="55"/>
      <c r="B266" s="1348"/>
      <c r="C266" s="53">
        <f>+[10]dec!C236</f>
        <v>100</v>
      </c>
      <c r="D266" s="6"/>
      <c r="E266" s="6"/>
      <c r="F266" s="6"/>
      <c r="G266" s="6"/>
      <c r="H266" s="6"/>
      <c r="I266" s="6"/>
      <c r="J266" s="6"/>
      <c r="K266" s="54"/>
    </row>
    <row r="267" spans="1:13" ht="18">
      <c r="A267" s="55"/>
      <c r="B267" s="1348"/>
      <c r="C267" s="53">
        <f>+[10]dec!C237</f>
        <v>200</v>
      </c>
      <c r="D267" s="6"/>
      <c r="E267" s="6"/>
      <c r="F267" s="6">
        <f>+[11]SAOB!P94</f>
        <v>15221000</v>
      </c>
      <c r="G267" s="6"/>
      <c r="H267" s="6">
        <v>15221000</v>
      </c>
      <c r="I267" s="6">
        <f>+[11]SAOB!BT94-H267</f>
        <v>0</v>
      </c>
      <c r="J267" s="6"/>
      <c r="K267" s="54"/>
    </row>
    <row r="268" spans="1:13" ht="18">
      <c r="A268" s="55"/>
      <c r="B268" s="1348"/>
      <c r="C268" s="53">
        <f>+[10]dec!C238</f>
        <v>300</v>
      </c>
      <c r="D268" s="6"/>
      <c r="E268" s="6"/>
      <c r="F268" s="6"/>
      <c r="G268" s="6"/>
      <c r="H268" s="6"/>
      <c r="I268" s="6"/>
      <c r="J268" s="6"/>
      <c r="K268" s="54"/>
    </row>
    <row r="269" spans="1:13" ht="18">
      <c r="A269" s="55"/>
      <c r="B269" s="1348"/>
      <c r="C269" s="53" t="str">
        <f>+[10]dec!C239</f>
        <v>FE</v>
      </c>
      <c r="D269" s="6"/>
      <c r="E269" s="6"/>
      <c r="F269" s="6"/>
      <c r="G269" s="6"/>
      <c r="H269" s="6"/>
      <c r="I269" s="6"/>
      <c r="J269" s="6"/>
      <c r="K269" s="54"/>
    </row>
    <row r="270" spans="1:13" ht="18">
      <c r="A270" s="55"/>
      <c r="B270" s="1348"/>
      <c r="C270" s="53" t="str">
        <f>+[10]dec!C240</f>
        <v>TOTAL</v>
      </c>
      <c r="D270" s="6">
        <f t="shared" ref="D270:I270" si="43">SUM(D266:D269)</f>
        <v>0</v>
      </c>
      <c r="E270" s="6">
        <f t="shared" si="43"/>
        <v>0</v>
      </c>
      <c r="F270" s="6">
        <f t="shared" si="43"/>
        <v>15221000</v>
      </c>
      <c r="G270" s="6">
        <f t="shared" si="43"/>
        <v>0</v>
      </c>
      <c r="H270" s="6">
        <f t="shared" si="43"/>
        <v>15221000</v>
      </c>
      <c r="I270" s="6">
        <f t="shared" si="43"/>
        <v>0</v>
      </c>
      <c r="J270" s="6">
        <f>+F270-H270-I270</f>
        <v>0</v>
      </c>
      <c r="K270" s="54"/>
    </row>
    <row r="271" spans="1:13" ht="18">
      <c r="A271" s="49" t="s">
        <v>426</v>
      </c>
      <c r="B271" s="1179" t="s">
        <v>717</v>
      </c>
      <c r="C271" s="53"/>
      <c r="D271" s="6">
        <v>0</v>
      </c>
      <c r="E271" s="6"/>
      <c r="F271" s="6"/>
      <c r="G271" s="6"/>
      <c r="H271" s="6"/>
      <c r="I271" s="6"/>
      <c r="J271" s="6"/>
      <c r="K271" s="54"/>
    </row>
    <row r="272" spans="1:13" ht="18">
      <c r="A272" s="55"/>
      <c r="B272" s="1348"/>
      <c r="C272" s="53">
        <v>100</v>
      </c>
      <c r="D272" s="6"/>
      <c r="E272" s="6"/>
      <c r="F272" s="6"/>
      <c r="G272" s="6"/>
      <c r="H272" s="6"/>
      <c r="I272" s="6"/>
      <c r="J272" s="6"/>
      <c r="K272" s="54"/>
    </row>
    <row r="273" spans="1:13" ht="18">
      <c r="A273" s="55"/>
      <c r="B273" s="1348"/>
      <c r="C273" s="53">
        <v>200</v>
      </c>
      <c r="D273" s="6"/>
      <c r="E273" s="6"/>
      <c r="F273" s="6">
        <f>+[11]SAOB!P95</f>
        <v>2725000</v>
      </c>
      <c r="G273" s="6"/>
      <c r="H273" s="6">
        <v>2725000</v>
      </c>
      <c r="I273" s="6">
        <f>+[11]SAOB!BT95-H273</f>
        <v>0</v>
      </c>
      <c r="J273" s="6"/>
      <c r="K273" s="54"/>
    </row>
    <row r="274" spans="1:13" ht="18">
      <c r="A274" s="55"/>
      <c r="B274" s="1348"/>
      <c r="C274" s="53">
        <v>300</v>
      </c>
      <c r="D274" s="6"/>
      <c r="E274" s="6"/>
      <c r="F274" s="6"/>
      <c r="G274" s="6"/>
      <c r="H274" s="6"/>
      <c r="I274" s="6"/>
      <c r="J274" s="6"/>
      <c r="K274" s="54"/>
    </row>
    <row r="275" spans="1:13" ht="18">
      <c r="A275" s="55"/>
      <c r="B275" s="1348"/>
      <c r="C275" s="53" t="s">
        <v>414</v>
      </c>
      <c r="D275" s="6"/>
      <c r="E275" s="6"/>
      <c r="F275" s="6"/>
      <c r="G275" s="6"/>
      <c r="H275" s="6"/>
      <c r="I275" s="6"/>
      <c r="J275" s="6"/>
      <c r="K275" s="54"/>
    </row>
    <row r="276" spans="1:13" ht="18">
      <c r="A276" s="55"/>
      <c r="B276" s="1348"/>
      <c r="C276" s="53" t="s">
        <v>4</v>
      </c>
      <c r="D276" s="6">
        <f t="shared" ref="D276:I276" si="44">SUM(D272:D275)</f>
        <v>0</v>
      </c>
      <c r="E276" s="6">
        <f t="shared" si="44"/>
        <v>0</v>
      </c>
      <c r="F276" s="6">
        <f t="shared" si="44"/>
        <v>2725000</v>
      </c>
      <c r="G276" s="6">
        <f t="shared" si="44"/>
        <v>0</v>
      </c>
      <c r="H276" s="6">
        <f t="shared" si="44"/>
        <v>2725000</v>
      </c>
      <c r="I276" s="6">
        <f t="shared" si="44"/>
        <v>0</v>
      </c>
      <c r="J276" s="6">
        <f>+F276-H276-I276</f>
        <v>0</v>
      </c>
      <c r="K276" s="54"/>
    </row>
    <row r="277" spans="1:13" ht="18">
      <c r="A277" s="49" t="s">
        <v>718</v>
      </c>
      <c r="B277" s="1179" t="s">
        <v>719</v>
      </c>
      <c r="C277" s="53"/>
      <c r="D277" s="6">
        <v>0</v>
      </c>
      <c r="E277" s="6"/>
      <c r="F277" s="6"/>
      <c r="G277" s="6"/>
      <c r="H277" s="6"/>
      <c r="I277" s="6"/>
      <c r="J277" s="6"/>
      <c r="K277" s="54"/>
    </row>
    <row r="278" spans="1:13" ht="18">
      <c r="A278" s="55"/>
      <c r="B278" s="1348"/>
      <c r="C278" s="53">
        <v>100</v>
      </c>
      <c r="D278" s="6"/>
      <c r="E278" s="6"/>
      <c r="F278" s="6"/>
      <c r="G278" s="6"/>
      <c r="H278" s="6"/>
      <c r="I278" s="6"/>
      <c r="J278" s="6"/>
      <c r="K278" s="54"/>
    </row>
    <row r="279" spans="1:13" ht="18">
      <c r="A279" s="55"/>
      <c r="B279" s="1348"/>
      <c r="C279" s="53">
        <v>200</v>
      </c>
      <c r="D279" s="6"/>
      <c r="E279" s="6"/>
      <c r="F279" s="6">
        <f>+[11]SAOB!P96</f>
        <v>8896000</v>
      </c>
      <c r="G279" s="6"/>
      <c r="H279" s="6">
        <v>8896000</v>
      </c>
      <c r="I279" s="6">
        <f>+[11]SAOB!BT96-H279</f>
        <v>0</v>
      </c>
      <c r="J279" s="6"/>
      <c r="K279" s="54"/>
    </row>
    <row r="280" spans="1:13" ht="18">
      <c r="A280" s="55"/>
      <c r="B280" s="1348"/>
      <c r="C280" s="53">
        <v>300</v>
      </c>
      <c r="D280" s="6"/>
      <c r="E280" s="6"/>
      <c r="F280" s="6"/>
      <c r="G280" s="6"/>
      <c r="H280" s="6"/>
      <c r="I280" s="6"/>
      <c r="J280" s="6"/>
      <c r="K280" s="54"/>
    </row>
    <row r="281" spans="1:13" ht="18">
      <c r="A281" s="55"/>
      <c r="B281" s="1348"/>
      <c r="C281" s="53" t="s">
        <v>414</v>
      </c>
      <c r="D281" s="6"/>
      <c r="E281" s="6"/>
      <c r="F281" s="6"/>
      <c r="G281" s="6"/>
      <c r="H281" s="6"/>
      <c r="I281" s="6"/>
      <c r="J281" s="6"/>
      <c r="K281" s="54"/>
    </row>
    <row r="282" spans="1:13" ht="18">
      <c r="A282" s="55"/>
      <c r="B282" s="1348"/>
      <c r="C282" s="53" t="s">
        <v>4</v>
      </c>
      <c r="D282" s="6">
        <f t="shared" ref="D282:I282" si="45">SUM(D278:D281)</f>
        <v>0</v>
      </c>
      <c r="E282" s="6">
        <f t="shared" si="45"/>
        <v>0</v>
      </c>
      <c r="F282" s="6">
        <f t="shared" si="45"/>
        <v>8896000</v>
      </c>
      <c r="G282" s="6">
        <f t="shared" si="45"/>
        <v>0</v>
      </c>
      <c r="H282" s="6">
        <f t="shared" si="45"/>
        <v>8896000</v>
      </c>
      <c r="I282" s="6">
        <f t="shared" si="45"/>
        <v>0</v>
      </c>
      <c r="J282" s="6">
        <f>+F282-H282-I282</f>
        <v>0</v>
      </c>
      <c r="K282" s="54"/>
    </row>
    <row r="283" spans="1:13" ht="67.5">
      <c r="A283" s="49" t="s">
        <v>726</v>
      </c>
      <c r="B283" s="1180" t="s">
        <v>410</v>
      </c>
      <c r="C283" s="53"/>
      <c r="D283" s="6">
        <v>0</v>
      </c>
      <c r="E283" s="6"/>
      <c r="F283" s="6"/>
      <c r="G283" s="6"/>
      <c r="H283" s="6"/>
      <c r="I283" s="6"/>
      <c r="J283" s="6"/>
      <c r="K283" s="54"/>
    </row>
    <row r="284" spans="1:13" ht="18">
      <c r="A284" s="55"/>
      <c r="B284" s="1348"/>
      <c r="C284" s="53">
        <f>+[10]dec!C236</f>
        <v>100</v>
      </c>
      <c r="D284" s="6">
        <v>0</v>
      </c>
      <c r="E284" s="6"/>
      <c r="F284" s="6">
        <f>+E284</f>
        <v>0</v>
      </c>
      <c r="G284" s="6"/>
      <c r="H284" s="6"/>
      <c r="I284" s="6"/>
      <c r="J284" s="6">
        <f>+F284-H284-I284</f>
        <v>0</v>
      </c>
      <c r="K284" s="54"/>
      <c r="L284" s="4"/>
      <c r="M284" s="565"/>
    </row>
    <row r="285" spans="1:13" ht="18">
      <c r="A285" s="55"/>
      <c r="B285" s="1348"/>
      <c r="C285" s="53">
        <f>+[10]dec!C237</f>
        <v>200</v>
      </c>
      <c r="D285" s="6"/>
      <c r="E285" s="6">
        <v>49775000</v>
      </c>
      <c r="F285" s="6">
        <f>+[11]SAOB!P97</f>
        <v>22933000</v>
      </c>
      <c r="G285" s="6"/>
      <c r="H285" s="6">
        <v>4378660</v>
      </c>
      <c r="I285" s="6">
        <f>+[11]SAOB!BT97-H285</f>
        <v>13542006.599999998</v>
      </c>
      <c r="J285" s="6">
        <f>+F285-H285-I285</f>
        <v>5012333.4000000022</v>
      </c>
      <c r="K285" s="54"/>
      <c r="L285" s="4">
        <f>+F285-H285</f>
        <v>18554340</v>
      </c>
      <c r="M285" s="565">
        <f>+I285/L285</f>
        <v>0.72985655108184921</v>
      </c>
    </row>
    <row r="286" spans="1:13" ht="18">
      <c r="A286" s="55"/>
      <c r="B286" s="1348"/>
      <c r="C286" s="53">
        <f>+[10]dec!C238</f>
        <v>300</v>
      </c>
      <c r="D286" s="6"/>
      <c r="E286" s="6"/>
      <c r="F286" s="6">
        <f>+E286</f>
        <v>0</v>
      </c>
      <c r="G286" s="6"/>
      <c r="H286" s="6"/>
      <c r="I286" s="6"/>
      <c r="J286" s="6">
        <f>+F286-H286-I286</f>
        <v>0</v>
      </c>
      <c r="K286" s="54"/>
      <c r="L286" s="4"/>
      <c r="M286" s="565"/>
    </row>
    <row r="287" spans="1:13" ht="18">
      <c r="A287" s="55"/>
      <c r="B287" s="1348"/>
      <c r="C287" s="53" t="str">
        <f>+[10]dec!C239</f>
        <v>FE</v>
      </c>
      <c r="D287" s="6"/>
      <c r="E287" s="6"/>
      <c r="F287" s="6"/>
      <c r="G287" s="6"/>
      <c r="H287" s="6"/>
      <c r="I287" s="6"/>
      <c r="J287" s="6">
        <f>+F287-H287-I287</f>
        <v>0</v>
      </c>
      <c r="K287" s="54"/>
    </row>
    <row r="288" spans="1:13" ht="18">
      <c r="A288" s="55"/>
      <c r="B288" s="1348"/>
      <c r="C288" s="53" t="str">
        <f>+[10]dec!C240</f>
        <v>TOTAL</v>
      </c>
      <c r="D288" s="6">
        <f t="shared" ref="D288:I288" si="46">SUM(D284:D287)</f>
        <v>0</v>
      </c>
      <c r="E288" s="6">
        <f t="shared" si="46"/>
        <v>49775000</v>
      </c>
      <c r="F288" s="6">
        <f t="shared" si="46"/>
        <v>22933000</v>
      </c>
      <c r="G288" s="6">
        <f t="shared" si="46"/>
        <v>0</v>
      </c>
      <c r="H288" s="6">
        <f t="shared" si="46"/>
        <v>4378660</v>
      </c>
      <c r="I288" s="6">
        <f t="shared" si="46"/>
        <v>13542006.599999998</v>
      </c>
      <c r="J288" s="6">
        <f>+F288-H288-I288</f>
        <v>5012333.4000000022</v>
      </c>
      <c r="K288" s="54"/>
      <c r="L288" s="4">
        <f>+F288-H288</f>
        <v>18554340</v>
      </c>
      <c r="M288" s="565">
        <f>+I288/L288</f>
        <v>0.72985655108184921</v>
      </c>
    </row>
    <row r="289" spans="1:13" ht="18">
      <c r="A289" s="49" t="s">
        <v>411</v>
      </c>
      <c r="B289" s="1349" t="s">
        <v>412</v>
      </c>
      <c r="C289" s="53"/>
      <c r="D289" s="6">
        <v>0</v>
      </c>
      <c r="E289" s="6"/>
      <c r="F289" s="6">
        <f>+E289+D289</f>
        <v>0</v>
      </c>
      <c r="G289" s="6"/>
      <c r="H289" s="6"/>
      <c r="I289" s="6">
        <v>0</v>
      </c>
      <c r="J289" s="6">
        <f>+F289+G289-H289-I289</f>
        <v>0</v>
      </c>
      <c r="K289" s="54"/>
    </row>
    <row r="290" spans="1:13" ht="18">
      <c r="A290" s="55"/>
      <c r="B290" s="1179" t="s">
        <v>1080</v>
      </c>
      <c r="C290" s="53">
        <f>+[10]dec!C236</f>
        <v>100</v>
      </c>
      <c r="D290" s="6">
        <v>0</v>
      </c>
      <c r="E290" s="6"/>
      <c r="F290" s="6">
        <f>+E290+D290</f>
        <v>0</v>
      </c>
      <c r="G290" s="6"/>
      <c r="H290" s="6"/>
      <c r="I290" s="6"/>
      <c r="J290" s="6">
        <f>+F290-H290-I290</f>
        <v>0</v>
      </c>
      <c r="K290" s="54"/>
    </row>
    <row r="291" spans="1:13" ht="18">
      <c r="A291" s="55"/>
      <c r="B291" s="1348"/>
      <c r="C291" s="53">
        <f>+[10]dec!C237</f>
        <v>200</v>
      </c>
      <c r="D291" s="6"/>
      <c r="E291" s="6"/>
      <c r="F291" s="6">
        <f>+[11]SAOB!P103</f>
        <v>77064000</v>
      </c>
      <c r="G291" s="6"/>
      <c r="H291" s="6">
        <v>46636000</v>
      </c>
      <c r="I291" s="6">
        <f>+[11]SAOB!BT103-H291</f>
        <v>5436000</v>
      </c>
      <c r="J291" s="6">
        <f>+F291-H291-I291</f>
        <v>24992000</v>
      </c>
      <c r="K291" s="54"/>
      <c r="L291" s="4">
        <f>+F291-H291</f>
        <v>30428000</v>
      </c>
      <c r="M291" s="565">
        <f>+I291/L291</f>
        <v>0.17865124227685028</v>
      </c>
    </row>
    <row r="292" spans="1:13" ht="18">
      <c r="A292" s="55"/>
      <c r="B292" s="1348"/>
      <c r="C292" s="53">
        <f>+[10]dec!C238</f>
        <v>300</v>
      </c>
      <c r="D292" s="6"/>
      <c r="E292" s="6"/>
      <c r="F292" s="6">
        <f>+[11]SAOB!Q103</f>
        <v>95397000</v>
      </c>
      <c r="G292" s="6"/>
      <c r="H292" s="6">
        <v>78697000</v>
      </c>
      <c r="I292" s="6">
        <f>+[11]SAOB!BU103-H292</f>
        <v>16700000</v>
      </c>
      <c r="J292" s="6">
        <f>+F292-H292-I292</f>
        <v>0</v>
      </c>
      <c r="K292" s="54"/>
      <c r="L292" s="4">
        <f>+F292-H292</f>
        <v>16700000</v>
      </c>
      <c r="M292" s="565">
        <f>+I292/L292</f>
        <v>1</v>
      </c>
    </row>
    <row r="293" spans="1:13" ht="18">
      <c r="A293" s="55"/>
      <c r="B293" s="1348"/>
      <c r="C293" s="53" t="str">
        <f>+[10]dec!C239</f>
        <v>FE</v>
      </c>
      <c r="D293" s="6"/>
      <c r="E293" s="6"/>
      <c r="F293" s="6"/>
      <c r="G293" s="6"/>
      <c r="H293" s="6"/>
      <c r="I293" s="6"/>
      <c r="J293" s="6">
        <f>+F293-H293-I293</f>
        <v>0</v>
      </c>
      <c r="K293" s="54"/>
      <c r="L293" s="4"/>
      <c r="M293" s="565"/>
    </row>
    <row r="294" spans="1:13" ht="18.75" thickBot="1">
      <c r="A294" s="57"/>
      <c r="B294" s="1350"/>
      <c r="C294" s="58" t="str">
        <f>+[10]dec!C240</f>
        <v>TOTAL</v>
      </c>
      <c r="D294" s="6">
        <f t="shared" ref="D294:I294" si="47">SUM(D290:D293)</f>
        <v>0</v>
      </c>
      <c r="E294" s="6">
        <f t="shared" si="47"/>
        <v>0</v>
      </c>
      <c r="F294" s="6">
        <f t="shared" si="47"/>
        <v>172461000</v>
      </c>
      <c r="G294" s="6">
        <f t="shared" si="47"/>
        <v>0</v>
      </c>
      <c r="H294" s="6">
        <f t="shared" si="47"/>
        <v>125333000</v>
      </c>
      <c r="I294" s="6">
        <f t="shared" si="47"/>
        <v>22136000</v>
      </c>
      <c r="J294" s="568">
        <f>+F294-H294-I294</f>
        <v>24992000</v>
      </c>
      <c r="K294" s="54"/>
      <c r="L294" s="4">
        <f>+F294-H294</f>
        <v>47128000</v>
      </c>
      <c r="M294" s="565">
        <f>+I294/L294</f>
        <v>0.46969954167373962</v>
      </c>
    </row>
    <row r="295" spans="1:13" ht="18">
      <c r="A295" s="59"/>
      <c r="B295" s="1351" t="str">
        <f>+[10]dec!B284</f>
        <v>TOTAL OFFICE OF THE SECRETARY</v>
      </c>
      <c r="C295" s="60"/>
      <c r="D295" s="61">
        <v>0</v>
      </c>
      <c r="E295" s="61"/>
      <c r="F295" s="61">
        <f>+E295+D295</f>
        <v>0</v>
      </c>
      <c r="G295" s="61"/>
      <c r="H295" s="61"/>
      <c r="I295" s="61">
        <v>0</v>
      </c>
      <c r="J295" s="1">
        <f>+F295+G295-H295-I295</f>
        <v>0</v>
      </c>
      <c r="K295" s="62"/>
    </row>
    <row r="296" spans="1:13">
      <c r="A296" s="63"/>
      <c r="B296" s="1348"/>
      <c r="C296" s="53">
        <f>+[10]dec!C285</f>
        <v>100</v>
      </c>
      <c r="D296" s="6">
        <f t="shared" ref="D296:J300" si="48">+D14+D20+D92</f>
        <v>0</v>
      </c>
      <c r="E296" s="6" t="e">
        <f t="shared" si="48"/>
        <v>#REF!</v>
      </c>
      <c r="F296" s="6">
        <f t="shared" si="48"/>
        <v>539291371</v>
      </c>
      <c r="G296" s="6" t="e">
        <f t="shared" si="48"/>
        <v>#REF!</v>
      </c>
      <c r="H296" s="6">
        <f t="shared" si="48"/>
        <v>827006</v>
      </c>
      <c r="I296" s="6">
        <f t="shared" si="48"/>
        <v>444139018.09000003</v>
      </c>
      <c r="J296" s="6">
        <f t="shared" si="48"/>
        <v>94325346.909999967</v>
      </c>
      <c r="K296" s="569"/>
      <c r="L296" s="4">
        <f t="shared" ref="L296:L301" si="49">+F296-H296</f>
        <v>538464365</v>
      </c>
      <c r="M296" s="232">
        <f>+I296/L296</f>
        <v>0.82482527528075145</v>
      </c>
    </row>
    <row r="297" spans="1:13">
      <c r="A297" s="63"/>
      <c r="B297" s="1348"/>
      <c r="C297" s="53">
        <f>+[10]dec!C286</f>
        <v>200</v>
      </c>
      <c r="D297" s="6">
        <f t="shared" si="48"/>
        <v>0</v>
      </c>
      <c r="E297" s="6" t="e">
        <f t="shared" si="48"/>
        <v>#REF!</v>
      </c>
      <c r="F297" s="6">
        <f t="shared" si="48"/>
        <v>11821875629</v>
      </c>
      <c r="G297" s="6" t="e">
        <f t="shared" si="48"/>
        <v>#REF!</v>
      </c>
      <c r="H297" s="6">
        <f t="shared" si="48"/>
        <v>3959941354.46</v>
      </c>
      <c r="I297" s="6">
        <f t="shared" si="48"/>
        <v>5604845475.2300005</v>
      </c>
      <c r="J297" s="6">
        <f t="shared" si="48"/>
        <v>2257088799.3099995</v>
      </c>
      <c r="K297" s="569"/>
      <c r="L297" s="4">
        <f t="shared" si="49"/>
        <v>7861934274.54</v>
      </c>
      <c r="M297" s="232">
        <f>+I297/L297</f>
        <v>0.71290922558086878</v>
      </c>
    </row>
    <row r="298" spans="1:13">
      <c r="A298" s="63"/>
      <c r="B298" s="1348"/>
      <c r="C298" s="53">
        <f>+[10]dec!C287</f>
        <v>300</v>
      </c>
      <c r="D298" s="6">
        <f t="shared" si="48"/>
        <v>0</v>
      </c>
      <c r="E298" s="6">
        <f t="shared" si="48"/>
        <v>150000000</v>
      </c>
      <c r="F298" s="6">
        <f t="shared" si="48"/>
        <v>11017892000</v>
      </c>
      <c r="G298" s="6">
        <f t="shared" si="48"/>
        <v>0</v>
      </c>
      <c r="H298" s="6">
        <f t="shared" si="48"/>
        <v>5745606586.1000004</v>
      </c>
      <c r="I298" s="6">
        <f t="shared" si="48"/>
        <v>1210608291.3899992</v>
      </c>
      <c r="J298" s="6">
        <f t="shared" si="48"/>
        <v>4061677122.5100007</v>
      </c>
      <c r="K298" s="569"/>
      <c r="L298" s="4">
        <f t="shared" si="49"/>
        <v>5272285413.8999996</v>
      </c>
      <c r="M298" s="232">
        <f>+I298/L298</f>
        <v>0.22961736635090313</v>
      </c>
    </row>
    <row r="299" spans="1:13">
      <c r="A299" s="63"/>
      <c r="B299" s="1348"/>
      <c r="C299" s="53" t="str">
        <f>+[10]dec!C288</f>
        <v>FE</v>
      </c>
      <c r="D299" s="6">
        <f t="shared" si="48"/>
        <v>0</v>
      </c>
      <c r="E299" s="6">
        <f t="shared" si="48"/>
        <v>0</v>
      </c>
      <c r="F299" s="6">
        <f t="shared" si="48"/>
        <v>0</v>
      </c>
      <c r="G299" s="6">
        <f t="shared" si="48"/>
        <v>0</v>
      </c>
      <c r="H299" s="6">
        <f t="shared" si="48"/>
        <v>0</v>
      </c>
      <c r="I299" s="6">
        <f t="shared" si="48"/>
        <v>0</v>
      </c>
      <c r="J299" s="6">
        <f t="shared" si="48"/>
        <v>0</v>
      </c>
      <c r="K299" s="569"/>
      <c r="L299" s="4">
        <f t="shared" si="49"/>
        <v>0</v>
      </c>
      <c r="M299" s="232"/>
    </row>
    <row r="300" spans="1:13">
      <c r="A300" s="67"/>
      <c r="B300" s="1350"/>
      <c r="C300" s="58" t="str">
        <f>+[10]dec!C289</f>
        <v>TOTAL</v>
      </c>
      <c r="D300" s="68">
        <f t="shared" si="48"/>
        <v>0</v>
      </c>
      <c r="E300" s="68" t="e">
        <f t="shared" si="48"/>
        <v>#REF!</v>
      </c>
      <c r="F300" s="68">
        <f>+F18+F24+F96</f>
        <v>23379059000</v>
      </c>
      <c r="G300" s="68" t="e">
        <f t="shared" si="48"/>
        <v>#REF!</v>
      </c>
      <c r="H300" s="68">
        <f t="shared" si="48"/>
        <v>9706374946.5600014</v>
      </c>
      <c r="I300" s="68">
        <f t="shared" si="48"/>
        <v>7259592784.710001</v>
      </c>
      <c r="J300" s="68">
        <f t="shared" si="48"/>
        <v>6413091268.7299995</v>
      </c>
      <c r="K300" s="570"/>
      <c r="L300" s="4">
        <f t="shared" si="49"/>
        <v>13672684053.439999</v>
      </c>
      <c r="M300" s="232">
        <f>+I300/L300</f>
        <v>0.53095593786382511</v>
      </c>
    </row>
    <row r="301" spans="1:13" ht="18">
      <c r="A301" s="55"/>
      <c r="B301" s="1348"/>
      <c r="C301" s="53"/>
      <c r="D301" s="6"/>
      <c r="E301" s="6"/>
      <c r="F301" s="6"/>
      <c r="G301" s="6"/>
      <c r="H301" s="6"/>
      <c r="I301" s="6"/>
      <c r="J301" s="6"/>
      <c r="K301" s="54"/>
      <c r="L301" s="4">
        <f t="shared" si="49"/>
        <v>0</v>
      </c>
    </row>
    <row r="302" spans="1:13" ht="18.75">
      <c r="A302" s="3"/>
      <c r="B302" s="1352" t="s">
        <v>100</v>
      </c>
      <c r="C302" s="2"/>
      <c r="D302" s="6"/>
      <c r="E302" s="6"/>
      <c r="F302" s="6"/>
      <c r="G302" s="6"/>
      <c r="H302" s="6"/>
      <c r="I302" s="6"/>
      <c r="J302" s="6">
        <f>+F302+G302-H302-I302</f>
        <v>0</v>
      </c>
      <c r="K302" s="64"/>
    </row>
    <row r="303" spans="1:13" ht="18">
      <c r="A303" s="3"/>
      <c r="B303" s="1181" t="s">
        <v>413</v>
      </c>
      <c r="C303" s="53">
        <v>100</v>
      </c>
      <c r="D303" s="6">
        <v>0</v>
      </c>
      <c r="E303" s="6">
        <f>+[11]SAOB!O106</f>
        <v>95016097</v>
      </c>
      <c r="F303" s="6">
        <f>+[11]SAOB!O106</f>
        <v>95016097</v>
      </c>
      <c r="G303" s="6"/>
      <c r="H303" s="6"/>
      <c r="I303" s="6">
        <f>+[11]SAOB!BS106</f>
        <v>21652897.670000002</v>
      </c>
      <c r="J303" s="6">
        <f>+F303-H303-I303</f>
        <v>73363199.329999998</v>
      </c>
      <c r="K303" s="54"/>
      <c r="L303" s="4">
        <f>+F303-H303</f>
        <v>95016097</v>
      </c>
      <c r="M303" s="565">
        <f>+I303/L303</f>
        <v>0.22788662504207052</v>
      </c>
    </row>
    <row r="304" spans="1:13" ht="18">
      <c r="A304" s="3"/>
      <c r="B304" s="1348"/>
      <c r="C304" s="53">
        <v>200</v>
      </c>
      <c r="D304" s="6">
        <v>0</v>
      </c>
      <c r="E304" s="6"/>
      <c r="F304" s="6">
        <f>+E304+D304</f>
        <v>0</v>
      </c>
      <c r="G304" s="6"/>
      <c r="H304" s="6"/>
      <c r="I304" s="6"/>
      <c r="J304" s="6">
        <f>+F304-H304-I304</f>
        <v>0</v>
      </c>
      <c r="K304" s="54"/>
      <c r="L304" s="4"/>
      <c r="M304" s="565"/>
    </row>
    <row r="305" spans="1:13" ht="18">
      <c r="A305" s="3"/>
      <c r="B305" s="1348"/>
      <c r="C305" s="53">
        <v>300</v>
      </c>
      <c r="D305" s="6"/>
      <c r="E305" s="6"/>
      <c r="F305" s="6"/>
      <c r="G305" s="6"/>
      <c r="H305" s="6"/>
      <c r="I305" s="6"/>
      <c r="J305" s="6">
        <f>+F305-H305-I305</f>
        <v>0</v>
      </c>
      <c r="K305" s="54"/>
      <c r="L305" s="4"/>
      <c r="M305" s="565"/>
    </row>
    <row r="306" spans="1:13" ht="18">
      <c r="A306" s="3"/>
      <c r="B306" s="1348"/>
      <c r="C306" s="53" t="s">
        <v>414</v>
      </c>
      <c r="D306" s="6"/>
      <c r="E306" s="6"/>
      <c r="F306" s="6"/>
      <c r="G306" s="6"/>
      <c r="H306" s="6"/>
      <c r="I306" s="6"/>
      <c r="J306" s="6">
        <f>+F306-H306-I306</f>
        <v>0</v>
      </c>
      <c r="K306" s="54"/>
    </row>
    <row r="307" spans="1:13" ht="18">
      <c r="A307" s="3"/>
      <c r="B307" s="1348"/>
      <c r="C307" s="53" t="s">
        <v>4</v>
      </c>
      <c r="D307" s="6"/>
      <c r="E307" s="6">
        <f>+E303</f>
        <v>95016097</v>
      </c>
      <c r="F307" s="6">
        <f>+F303</f>
        <v>95016097</v>
      </c>
      <c r="G307" s="6">
        <f>+G303</f>
        <v>0</v>
      </c>
      <c r="H307" s="6">
        <f>+H303</f>
        <v>0</v>
      </c>
      <c r="I307" s="6">
        <f>+I303</f>
        <v>21652897.670000002</v>
      </c>
      <c r="J307" s="6">
        <f>+F307-H307-I307</f>
        <v>73363199.329999998</v>
      </c>
      <c r="K307" s="54"/>
      <c r="L307" s="4">
        <f>+F307-H307</f>
        <v>95016097</v>
      </c>
      <c r="M307" s="565">
        <f>+I307/L307</f>
        <v>0.22788662504207052</v>
      </c>
    </row>
    <row r="308" spans="1:13" ht="18">
      <c r="A308" s="3"/>
      <c r="B308" s="1348"/>
      <c r="C308" s="53"/>
      <c r="D308" s="6"/>
      <c r="E308" s="6"/>
      <c r="F308" s="6"/>
      <c r="G308" s="6"/>
      <c r="H308" s="6"/>
      <c r="I308" s="6"/>
      <c r="J308" s="6"/>
      <c r="K308" s="54"/>
    </row>
    <row r="309" spans="1:13" ht="18">
      <c r="A309" s="3"/>
      <c r="B309" s="1181" t="s">
        <v>288</v>
      </c>
      <c r="C309" s="53">
        <v>100</v>
      </c>
      <c r="D309" s="6">
        <v>0</v>
      </c>
      <c r="E309" s="6">
        <f>+[11]SAOB!O111</f>
        <v>0</v>
      </c>
      <c r="F309" s="6">
        <f>+[11]SAOB!O107</f>
        <v>234339625</v>
      </c>
      <c r="G309" s="6"/>
      <c r="H309" s="6">
        <f>218883750-705000</f>
        <v>218178750</v>
      </c>
      <c r="I309" s="6">
        <f>+[11]SAOB!BS107-H309</f>
        <v>9123428.8700000048</v>
      </c>
      <c r="J309" s="6">
        <f>+F309-H309-I309</f>
        <v>7037446.1299999952</v>
      </c>
      <c r="K309" s="54"/>
      <c r="L309" s="4">
        <f>+F309-H309</f>
        <v>16160875</v>
      </c>
      <c r="M309" s="565">
        <f>+I309/L309</f>
        <v>0.56453805069341878</v>
      </c>
    </row>
    <row r="310" spans="1:13" ht="18">
      <c r="A310" s="3"/>
      <c r="B310" s="1348"/>
      <c r="C310" s="53">
        <v>200</v>
      </c>
      <c r="D310" s="6">
        <v>0</v>
      </c>
      <c r="E310" s="6"/>
      <c r="F310" s="6">
        <f>+E310+D310</f>
        <v>0</v>
      </c>
      <c r="G310" s="6"/>
      <c r="H310" s="6"/>
      <c r="I310" s="6"/>
      <c r="J310" s="6">
        <f>+F310-H310-I310</f>
        <v>0</v>
      </c>
      <c r="K310" s="54"/>
      <c r="L310" s="4"/>
      <c r="M310" s="565"/>
    </row>
    <row r="311" spans="1:13" ht="18">
      <c r="A311" s="3"/>
      <c r="B311" s="1348"/>
      <c r="C311" s="53">
        <v>300</v>
      </c>
      <c r="D311" s="6"/>
      <c r="E311" s="6"/>
      <c r="F311" s="6"/>
      <c r="G311" s="6"/>
      <c r="H311" s="6"/>
      <c r="I311" s="6"/>
      <c r="J311" s="6">
        <f>+F311-H311-I311</f>
        <v>0</v>
      </c>
      <c r="K311" s="54"/>
      <c r="L311" s="4"/>
      <c r="M311" s="565"/>
    </row>
    <row r="312" spans="1:13" ht="18">
      <c r="A312" s="3"/>
      <c r="B312" s="1348"/>
      <c r="C312" s="53" t="s">
        <v>414</v>
      </c>
      <c r="D312" s="6"/>
      <c r="E312" s="6"/>
      <c r="F312" s="6"/>
      <c r="G312" s="6"/>
      <c r="H312" s="6"/>
      <c r="I312" s="6"/>
      <c r="J312" s="6">
        <f>+F312-H312-I312</f>
        <v>0</v>
      </c>
      <c r="K312" s="54"/>
    </row>
    <row r="313" spans="1:13" ht="18">
      <c r="A313" s="3"/>
      <c r="B313" s="1348"/>
      <c r="C313" s="53" t="s">
        <v>4</v>
      </c>
      <c r="D313" s="6"/>
      <c r="E313" s="6">
        <f>+E309</f>
        <v>0</v>
      </c>
      <c r="F313" s="6">
        <f>+F309</f>
        <v>234339625</v>
      </c>
      <c r="G313" s="6">
        <f>+G309</f>
        <v>0</v>
      </c>
      <c r="H313" s="6">
        <f>+H309</f>
        <v>218178750</v>
      </c>
      <c r="I313" s="6">
        <f>+I309</f>
        <v>9123428.8700000048</v>
      </c>
      <c r="J313" s="6">
        <f>+F313-H313-I313</f>
        <v>7037446.1299999952</v>
      </c>
      <c r="K313" s="54"/>
      <c r="L313" s="4">
        <f>+F313-H313</f>
        <v>16160875</v>
      </c>
      <c r="M313" s="565">
        <f>+I313/L313</f>
        <v>0.56453805069341878</v>
      </c>
    </row>
    <row r="314" spans="1:13" ht="18">
      <c r="A314" s="3"/>
      <c r="B314" s="1348"/>
      <c r="C314" s="53"/>
      <c r="D314" s="6"/>
      <c r="E314" s="6"/>
      <c r="F314" s="6"/>
      <c r="G314" s="6"/>
      <c r="H314" s="6"/>
      <c r="I314" s="6"/>
      <c r="J314" s="6"/>
      <c r="K314" s="54"/>
    </row>
    <row r="315" spans="1:13" ht="18">
      <c r="A315" s="3"/>
      <c r="B315" s="1179" t="s">
        <v>941</v>
      </c>
      <c r="C315" s="53">
        <v>100</v>
      </c>
      <c r="D315" s="6"/>
      <c r="E315" s="6"/>
      <c r="F315" s="6"/>
      <c r="G315" s="6"/>
      <c r="H315" s="6"/>
      <c r="I315" s="6"/>
      <c r="J315" s="6"/>
      <c r="K315" s="54"/>
    </row>
    <row r="316" spans="1:13" ht="18">
      <c r="A316" s="3"/>
      <c r="B316" s="1348"/>
      <c r="C316" s="53">
        <v>200</v>
      </c>
      <c r="D316" s="6"/>
      <c r="E316" s="6"/>
      <c r="F316" s="6">
        <f>+[11]SAOB!P110</f>
        <v>95007690</v>
      </c>
      <c r="G316" s="6"/>
      <c r="H316" s="6"/>
      <c r="I316" s="6">
        <f>+[11]SAOB!BV110</f>
        <v>95007690</v>
      </c>
      <c r="J316" s="6">
        <f>+F316-I316</f>
        <v>0</v>
      </c>
      <c r="K316" s="54"/>
    </row>
    <row r="317" spans="1:13" ht="18">
      <c r="A317" s="3"/>
      <c r="B317" s="1348"/>
      <c r="C317" s="53">
        <v>300</v>
      </c>
      <c r="D317" s="6"/>
      <c r="E317" s="6"/>
      <c r="F317" s="6"/>
      <c r="G317" s="6"/>
      <c r="H317" s="6"/>
      <c r="I317" s="6"/>
      <c r="J317" s="6"/>
      <c r="K317" s="54"/>
    </row>
    <row r="318" spans="1:13" ht="18">
      <c r="A318" s="3"/>
      <c r="B318" s="1348"/>
      <c r="C318" s="53" t="s">
        <v>414</v>
      </c>
      <c r="D318" s="6"/>
      <c r="E318" s="6"/>
      <c r="F318" s="6"/>
      <c r="G318" s="6"/>
      <c r="H318" s="6"/>
      <c r="I318" s="6"/>
      <c r="J318" s="6"/>
      <c r="K318" s="54"/>
    </row>
    <row r="319" spans="1:13">
      <c r="A319" s="3"/>
      <c r="B319" s="1348"/>
      <c r="C319" s="53" t="s">
        <v>4</v>
      </c>
      <c r="D319" s="6"/>
      <c r="E319" s="6"/>
      <c r="F319" s="6">
        <f>SUM(F316:F318)</f>
        <v>95007690</v>
      </c>
      <c r="G319" s="6"/>
      <c r="H319" s="6">
        <f>SUM(H316:H318)</f>
        <v>0</v>
      </c>
      <c r="I319" s="6">
        <f>SUM(I316:I318)</f>
        <v>95007690</v>
      </c>
      <c r="J319" s="6">
        <f>SUM(J316:J318)</f>
        <v>0</v>
      </c>
      <c r="K319" s="6">
        <f>SUM(K316:K318)</f>
        <v>0</v>
      </c>
    </row>
    <row r="320" spans="1:13" ht="18">
      <c r="A320" s="3"/>
      <c r="B320" s="1348"/>
      <c r="C320" s="53"/>
      <c r="D320" s="6"/>
      <c r="E320" s="6"/>
      <c r="F320" s="6"/>
      <c r="G320" s="6"/>
      <c r="H320" s="6"/>
      <c r="I320" s="6"/>
      <c r="J320" s="6"/>
      <c r="K320" s="54"/>
    </row>
    <row r="321" spans="1:13" ht="18">
      <c r="A321" s="3"/>
      <c r="B321" s="1181" t="s">
        <v>871</v>
      </c>
      <c r="C321" s="53">
        <v>100</v>
      </c>
      <c r="D321" s="6"/>
      <c r="E321" s="6"/>
      <c r="F321" s="6"/>
      <c r="G321" s="6"/>
      <c r="H321" s="6"/>
      <c r="I321" s="6"/>
      <c r="J321" s="6"/>
      <c r="K321" s="54"/>
      <c r="L321" s="4"/>
      <c r="M321" s="565"/>
    </row>
    <row r="322" spans="1:13" ht="18">
      <c r="A322" s="3"/>
      <c r="B322" s="1348"/>
      <c r="C322" s="53">
        <v>200</v>
      </c>
      <c r="D322" s="6"/>
      <c r="E322" s="6"/>
      <c r="F322" s="6">
        <f>+[11]SAOB!P108</f>
        <v>6073530.1100000003</v>
      </c>
      <c r="G322" s="6"/>
      <c r="H322" s="6"/>
      <c r="I322" s="6">
        <f>+[11]SAOB!BT108</f>
        <v>4038276.77</v>
      </c>
      <c r="J322" s="6">
        <f>+F322-I322</f>
        <v>2035253.3400000003</v>
      </c>
      <c r="K322" s="54"/>
      <c r="L322" s="4">
        <f>+F322-H322</f>
        <v>6073530.1100000003</v>
      </c>
      <c r="M322" s="565">
        <f>+I322/L322</f>
        <v>0.66489779368196789</v>
      </c>
    </row>
    <row r="323" spans="1:13" ht="18">
      <c r="A323" s="3"/>
      <c r="B323" s="1348"/>
      <c r="C323" s="53">
        <v>300</v>
      </c>
      <c r="D323" s="6"/>
      <c r="E323" s="6"/>
      <c r="F323" s="6"/>
      <c r="G323" s="6"/>
      <c r="H323" s="6"/>
      <c r="I323" s="6"/>
      <c r="J323" s="6"/>
      <c r="K323" s="54"/>
      <c r="L323" s="4"/>
      <c r="M323" s="565"/>
    </row>
    <row r="324" spans="1:13" ht="18">
      <c r="A324" s="3"/>
      <c r="B324" s="1353"/>
      <c r="C324" s="53" t="s">
        <v>414</v>
      </c>
      <c r="D324" s="6"/>
      <c r="E324" s="6"/>
      <c r="F324" s="6"/>
      <c r="G324" s="6"/>
      <c r="H324" s="6"/>
      <c r="I324" s="6"/>
      <c r="J324" s="6"/>
      <c r="K324" s="54"/>
    </row>
    <row r="325" spans="1:13" ht="18">
      <c r="A325" s="3"/>
      <c r="B325" s="1348"/>
      <c r="C325" s="53" t="s">
        <v>4</v>
      </c>
      <c r="D325" s="6"/>
      <c r="E325" s="6"/>
      <c r="F325" s="6">
        <f>SUM(F322:F324)</f>
        <v>6073530.1100000003</v>
      </c>
      <c r="G325" s="6"/>
      <c r="H325" s="6">
        <f>SUM(H322:H324)</f>
        <v>0</v>
      </c>
      <c r="I325" s="6">
        <f>SUM(I322:I324)</f>
        <v>4038276.77</v>
      </c>
      <c r="J325" s="6">
        <f>SUM(J322:J324)</f>
        <v>2035253.3400000003</v>
      </c>
      <c r="K325" s="54"/>
      <c r="L325" s="4">
        <f>+F325-H325</f>
        <v>6073530.1100000003</v>
      </c>
      <c r="M325" s="565">
        <f>+I325/L325</f>
        <v>0.66489779368196789</v>
      </c>
    </row>
    <row r="326" spans="1:13" ht="18">
      <c r="A326" s="3"/>
      <c r="B326" s="1348"/>
      <c r="C326" s="53"/>
      <c r="D326" s="6"/>
      <c r="E326" s="6"/>
      <c r="F326" s="6"/>
      <c r="G326" s="6"/>
      <c r="H326" s="6"/>
      <c r="I326" s="6"/>
      <c r="J326" s="6"/>
      <c r="K326" s="54"/>
    </row>
    <row r="327" spans="1:13" ht="30">
      <c r="A327" s="3"/>
      <c r="B327" s="1182" t="s">
        <v>882</v>
      </c>
      <c r="C327" s="53"/>
      <c r="D327" s="6"/>
      <c r="E327" s="6"/>
      <c r="F327" s="6"/>
      <c r="G327" s="6"/>
      <c r="H327" s="6"/>
      <c r="I327" s="6"/>
      <c r="J327" s="6"/>
      <c r="K327" s="54"/>
    </row>
    <row r="328" spans="1:13" ht="18">
      <c r="A328" s="3"/>
      <c r="B328" s="1348"/>
      <c r="C328" s="53">
        <v>100</v>
      </c>
      <c r="D328" s="6"/>
      <c r="E328" s="6"/>
      <c r="F328" s="6"/>
      <c r="G328" s="6"/>
      <c r="H328" s="6"/>
      <c r="I328" s="6"/>
      <c r="J328" s="6"/>
      <c r="K328" s="54"/>
      <c r="L328" s="4"/>
      <c r="M328" s="565"/>
    </row>
    <row r="329" spans="1:13" ht="18">
      <c r="A329" s="3"/>
      <c r="B329" s="1348"/>
      <c r="C329" s="53">
        <v>200</v>
      </c>
      <c r="D329" s="6"/>
      <c r="E329" s="6"/>
      <c r="F329" s="6">
        <f>+[11]SAOB!P109</f>
        <v>277833775.23000002</v>
      </c>
      <c r="G329" s="6"/>
      <c r="H329" s="6"/>
      <c r="I329" s="6">
        <f>+[11]SAOB!BT109</f>
        <v>67643765.260000005</v>
      </c>
      <c r="J329" s="6">
        <f>+F329-I329</f>
        <v>210190009.97000003</v>
      </c>
      <c r="K329" s="54"/>
      <c r="L329" s="4">
        <f>+F329-H329</f>
        <v>277833775.23000002</v>
      </c>
      <c r="M329" s="565">
        <f>+I329/L329</f>
        <v>0.24346847392474963</v>
      </c>
    </row>
    <row r="330" spans="1:13" ht="18">
      <c r="A330" s="3"/>
      <c r="B330" s="1348"/>
      <c r="C330" s="53">
        <v>300</v>
      </c>
      <c r="D330" s="6"/>
      <c r="E330" s="6"/>
      <c r="F330" s="6"/>
      <c r="G330" s="6"/>
      <c r="H330" s="6"/>
      <c r="I330" s="6"/>
      <c r="J330" s="6"/>
      <c r="K330" s="54"/>
      <c r="L330" s="4"/>
      <c r="M330" s="565"/>
    </row>
    <row r="331" spans="1:13" ht="18">
      <c r="A331" s="3"/>
      <c r="B331" s="1348"/>
      <c r="C331" s="53" t="s">
        <v>414</v>
      </c>
      <c r="D331" s="6"/>
      <c r="E331" s="6"/>
      <c r="F331" s="6"/>
      <c r="G331" s="6"/>
      <c r="H331" s="6"/>
      <c r="I331" s="6"/>
      <c r="J331" s="6"/>
      <c r="K331" s="54"/>
    </row>
    <row r="332" spans="1:13" ht="18">
      <c r="A332" s="3"/>
      <c r="B332" s="1348"/>
      <c r="C332" s="53" t="s">
        <v>4</v>
      </c>
      <c r="D332" s="6"/>
      <c r="E332" s="6"/>
      <c r="F332" s="6">
        <f>+F329</f>
        <v>277833775.23000002</v>
      </c>
      <c r="G332" s="6"/>
      <c r="H332" s="6">
        <f>+H329</f>
        <v>0</v>
      </c>
      <c r="I332" s="6">
        <f>+I329</f>
        <v>67643765.260000005</v>
      </c>
      <c r="J332" s="6">
        <f>+J329</f>
        <v>210190009.97000003</v>
      </c>
      <c r="K332" s="54"/>
      <c r="L332" s="4">
        <f>+F332-H332</f>
        <v>277833775.23000002</v>
      </c>
      <c r="M332" s="565">
        <f>+I332/L332</f>
        <v>0.24346847392474963</v>
      </c>
    </row>
    <row r="333" spans="1:13" ht="18">
      <c r="A333" s="3"/>
      <c r="B333" s="1348"/>
      <c r="C333" s="53"/>
      <c r="D333" s="6"/>
      <c r="E333" s="6"/>
      <c r="F333" s="6"/>
      <c r="G333" s="6"/>
      <c r="H333" s="6"/>
      <c r="I333" s="6"/>
      <c r="J333" s="6"/>
      <c r="K333" s="54"/>
    </row>
    <row r="334" spans="1:13" ht="18">
      <c r="A334" s="3"/>
      <c r="B334" s="1179" t="s">
        <v>955</v>
      </c>
      <c r="C334" s="53"/>
      <c r="D334" s="6"/>
      <c r="E334" s="6"/>
      <c r="F334" s="6"/>
      <c r="G334" s="6"/>
      <c r="H334" s="6"/>
      <c r="I334" s="6"/>
      <c r="J334" s="6"/>
      <c r="K334" s="54"/>
    </row>
    <row r="335" spans="1:13" ht="18">
      <c r="A335" s="3"/>
      <c r="B335" s="1348"/>
      <c r="C335" s="53">
        <v>100</v>
      </c>
      <c r="D335" s="6"/>
      <c r="E335" s="6"/>
      <c r="F335" s="6"/>
      <c r="G335" s="6"/>
      <c r="H335" s="6"/>
      <c r="I335" s="6"/>
      <c r="J335" s="6"/>
      <c r="K335" s="54"/>
    </row>
    <row r="336" spans="1:13" ht="18">
      <c r="A336" s="3"/>
      <c r="B336" s="1348"/>
      <c r="C336" s="53">
        <v>200</v>
      </c>
      <c r="D336" s="6"/>
      <c r="E336" s="6"/>
      <c r="F336" s="6">
        <v>12930755</v>
      </c>
      <c r="G336" s="6"/>
      <c r="H336" s="6"/>
      <c r="I336" s="6">
        <v>12930754.550000001</v>
      </c>
      <c r="J336" s="6">
        <f>+F336-I336</f>
        <v>0.44999999925494194</v>
      </c>
      <c r="K336" s="54"/>
      <c r="L336" s="4">
        <f>+F336-H336</f>
        <v>12930755</v>
      </c>
      <c r="M336" s="565">
        <f>+I336/L336</f>
        <v>0.99999996519924794</v>
      </c>
    </row>
    <row r="337" spans="1:13" ht="18">
      <c r="A337" s="3"/>
      <c r="B337" s="1348"/>
      <c r="C337" s="53">
        <v>300</v>
      </c>
      <c r="D337" s="6"/>
      <c r="E337" s="6"/>
      <c r="F337" s="6"/>
      <c r="G337" s="6"/>
      <c r="H337" s="6"/>
      <c r="I337" s="6"/>
      <c r="J337" s="6"/>
      <c r="K337" s="54"/>
    </row>
    <row r="338" spans="1:13" ht="18">
      <c r="A338" s="3"/>
      <c r="B338" s="1348"/>
      <c r="C338" s="53" t="s">
        <v>414</v>
      </c>
      <c r="D338" s="6"/>
      <c r="E338" s="6"/>
      <c r="F338" s="6"/>
      <c r="G338" s="6"/>
      <c r="H338" s="6"/>
      <c r="I338" s="6"/>
      <c r="J338" s="6"/>
      <c r="K338" s="54"/>
    </row>
    <row r="339" spans="1:13">
      <c r="A339" s="3"/>
      <c r="B339" s="1348"/>
      <c r="C339" s="53" t="s">
        <v>4</v>
      </c>
      <c r="D339" s="6"/>
      <c r="E339" s="6"/>
      <c r="F339" s="6">
        <f>SUM(F336:F338)</f>
        <v>12930755</v>
      </c>
      <c r="G339" s="6"/>
      <c r="H339" s="6">
        <f>SUM(H336:H338)</f>
        <v>0</v>
      </c>
      <c r="I339" s="6">
        <f>SUM(I336:I338)</f>
        <v>12930754.550000001</v>
      </c>
      <c r="J339" s="6">
        <f>SUM(J336:J338)</f>
        <v>0.44999999925494194</v>
      </c>
      <c r="K339" s="6">
        <f>SUM(K336:K338)</f>
        <v>0</v>
      </c>
      <c r="L339" s="4">
        <f>+F339-H339</f>
        <v>12930755</v>
      </c>
      <c r="M339" s="565">
        <f>+I339/L339</f>
        <v>0.99999996519924794</v>
      </c>
    </row>
    <row r="340" spans="1:13">
      <c r="A340" s="3"/>
      <c r="B340" s="1348"/>
      <c r="C340" s="53"/>
      <c r="D340" s="6"/>
      <c r="E340" s="6"/>
      <c r="F340" s="6"/>
      <c r="G340" s="6"/>
      <c r="H340" s="6"/>
      <c r="I340" s="6"/>
      <c r="J340" s="6"/>
      <c r="K340" s="6"/>
      <c r="L340" s="4"/>
      <c r="M340" s="565"/>
    </row>
    <row r="341" spans="1:13">
      <c r="A341" s="3"/>
      <c r="B341" s="1179" t="s">
        <v>1081</v>
      </c>
      <c r="C341" s="53"/>
      <c r="D341" s="6"/>
      <c r="E341" s="6"/>
      <c r="F341" s="6"/>
      <c r="G341" s="6"/>
      <c r="H341" s="6"/>
      <c r="I341" s="6"/>
      <c r="J341" s="6"/>
      <c r="K341" s="6"/>
      <c r="L341" s="4"/>
      <c r="M341" s="565"/>
    </row>
    <row r="342" spans="1:13">
      <c r="A342" s="3"/>
      <c r="B342" s="1348"/>
      <c r="C342" s="53">
        <v>100</v>
      </c>
      <c r="D342" s="6"/>
      <c r="E342" s="6"/>
      <c r="F342" s="6"/>
      <c r="G342" s="6"/>
      <c r="H342" s="6"/>
      <c r="I342" s="6"/>
      <c r="J342" s="6"/>
      <c r="K342" s="6"/>
      <c r="L342" s="4"/>
      <c r="M342" s="565"/>
    </row>
    <row r="343" spans="1:13">
      <c r="A343" s="3"/>
      <c r="B343" s="1348"/>
      <c r="C343" s="53">
        <v>200</v>
      </c>
      <c r="D343" s="6"/>
      <c r="E343" s="6"/>
      <c r="F343" s="6"/>
      <c r="G343" s="6"/>
      <c r="H343" s="6"/>
      <c r="I343" s="6"/>
      <c r="J343" s="6"/>
      <c r="K343" s="6"/>
      <c r="L343" s="4"/>
      <c r="M343" s="565"/>
    </row>
    <row r="344" spans="1:13" ht="18">
      <c r="A344" s="3"/>
      <c r="B344" s="1348"/>
      <c r="C344" s="53">
        <v>300</v>
      </c>
      <c r="D344" s="6"/>
      <c r="E344" s="6"/>
      <c r="F344" s="6">
        <v>22473109</v>
      </c>
      <c r="G344" s="6"/>
      <c r="H344" s="6"/>
      <c r="I344" s="6"/>
      <c r="J344" s="6">
        <f>+F344-I344</f>
        <v>22473109</v>
      </c>
      <c r="K344" s="54"/>
    </row>
    <row r="345" spans="1:13" ht="18">
      <c r="A345" s="3"/>
      <c r="B345" s="1348"/>
      <c r="C345" s="53" t="s">
        <v>414</v>
      </c>
      <c r="D345" s="6"/>
      <c r="E345" s="6"/>
      <c r="F345" s="6"/>
      <c r="G345" s="6"/>
      <c r="H345" s="6"/>
      <c r="I345" s="6"/>
      <c r="J345" s="6">
        <f>+F345-I345</f>
        <v>0</v>
      </c>
      <c r="K345" s="54"/>
    </row>
    <row r="346" spans="1:13" ht="18">
      <c r="A346" s="3"/>
      <c r="B346" s="1348"/>
      <c r="C346" s="53" t="s">
        <v>4</v>
      </c>
      <c r="D346" s="6"/>
      <c r="E346" s="6"/>
      <c r="F346" s="6">
        <f>SUM(F343:F345)</f>
        <v>22473109</v>
      </c>
      <c r="G346" s="6"/>
      <c r="H346" s="6">
        <f>SUM(H343:H345)</f>
        <v>0</v>
      </c>
      <c r="I346" s="6">
        <f>SUM(I343:I345)</f>
        <v>0</v>
      </c>
      <c r="J346" s="6">
        <f>+F346-I346</f>
        <v>22473109</v>
      </c>
      <c r="K346" s="54"/>
    </row>
    <row r="347" spans="1:13" ht="18">
      <c r="A347" s="3"/>
      <c r="B347" s="1348"/>
      <c r="C347" s="53"/>
      <c r="D347" s="6"/>
      <c r="E347" s="6"/>
      <c r="F347" s="6"/>
      <c r="G347" s="6"/>
      <c r="H347" s="6"/>
      <c r="I347" s="6"/>
      <c r="J347" s="6"/>
      <c r="K347" s="54"/>
    </row>
    <row r="348" spans="1:13" ht="18">
      <c r="A348" s="3"/>
      <c r="B348" s="1179" t="s">
        <v>1076</v>
      </c>
      <c r="C348" s="53"/>
      <c r="D348" s="6"/>
      <c r="E348" s="6"/>
      <c r="F348" s="6"/>
      <c r="G348" s="6"/>
      <c r="H348" s="6"/>
      <c r="I348" s="6"/>
      <c r="J348" s="6"/>
      <c r="K348" s="54"/>
    </row>
    <row r="349" spans="1:13" ht="18">
      <c r="A349" s="3"/>
      <c r="B349" s="1348"/>
      <c r="C349" s="53">
        <v>100</v>
      </c>
      <c r="D349" s="6"/>
      <c r="E349" s="6"/>
      <c r="F349" s="6"/>
      <c r="G349" s="6"/>
      <c r="H349" s="6"/>
      <c r="I349" s="6"/>
      <c r="J349" s="6"/>
      <c r="K349" s="54"/>
    </row>
    <row r="350" spans="1:13" ht="18">
      <c r="A350" s="3"/>
      <c r="B350" s="1348"/>
      <c r="C350" s="53">
        <v>200</v>
      </c>
      <c r="D350" s="6"/>
      <c r="E350" s="6"/>
      <c r="F350" s="6">
        <f>+[11]SAOB!P112</f>
        <v>7190000</v>
      </c>
      <c r="G350" s="6"/>
      <c r="H350" s="6"/>
      <c r="I350" s="6">
        <f>+[11]SAOB!BV112</f>
        <v>0</v>
      </c>
      <c r="J350" s="6">
        <f>+F350-I350</f>
        <v>7190000</v>
      </c>
      <c r="K350" s="54"/>
    </row>
    <row r="351" spans="1:13" ht="18">
      <c r="A351" s="3"/>
      <c r="B351" s="1348"/>
      <c r="C351" s="53">
        <v>300</v>
      </c>
      <c r="D351" s="6"/>
      <c r="E351" s="6"/>
      <c r="F351" s="6"/>
      <c r="G351" s="6"/>
      <c r="H351" s="6"/>
      <c r="I351" s="6"/>
      <c r="J351" s="6">
        <f>+F351-I351</f>
        <v>0</v>
      </c>
      <c r="K351" s="54"/>
    </row>
    <row r="352" spans="1:13" ht="18">
      <c r="A352" s="3"/>
      <c r="B352" s="1348"/>
      <c r="C352" s="53" t="s">
        <v>414</v>
      </c>
      <c r="D352" s="6"/>
      <c r="E352" s="6"/>
      <c r="F352" s="6"/>
      <c r="G352" s="6"/>
      <c r="H352" s="6"/>
      <c r="I352" s="6"/>
      <c r="J352" s="6">
        <f>+F352-I352</f>
        <v>0</v>
      </c>
      <c r="K352" s="54"/>
    </row>
    <row r="353" spans="1:13">
      <c r="A353" s="3"/>
      <c r="B353" s="1348"/>
      <c r="C353" s="53" t="s">
        <v>4</v>
      </c>
      <c r="D353" s="6"/>
      <c r="E353" s="6"/>
      <c r="F353" s="6">
        <f>SUM(F350:F352)</f>
        <v>7190000</v>
      </c>
      <c r="G353" s="6"/>
      <c r="H353" s="6">
        <f>SUM(H350:H352)</f>
        <v>0</v>
      </c>
      <c r="I353" s="6">
        <f>SUM(I350:I352)</f>
        <v>0</v>
      </c>
      <c r="J353" s="6">
        <f>+F353-I353</f>
        <v>7190000</v>
      </c>
      <c r="K353" s="6">
        <f>SUM(K350:K352)</f>
        <v>0</v>
      </c>
    </row>
    <row r="354" spans="1:13" ht="18">
      <c r="A354" s="3"/>
      <c r="B354" s="1348"/>
      <c r="C354" s="53"/>
      <c r="D354" s="6"/>
      <c r="E354" s="6"/>
      <c r="F354" s="6"/>
      <c r="G354" s="6"/>
      <c r="H354" s="6"/>
      <c r="I354" s="6"/>
      <c r="J354" s="6"/>
      <c r="K354" s="54"/>
    </row>
    <row r="355" spans="1:13">
      <c r="A355" s="3"/>
      <c r="B355" s="1352" t="s">
        <v>415</v>
      </c>
      <c r="C355" s="53">
        <v>100</v>
      </c>
      <c r="D355" s="6">
        <f t="shared" ref="D355:E359" si="50">+D303+D296</f>
        <v>0</v>
      </c>
      <c r="E355" s="6" t="e">
        <f t="shared" si="50"/>
        <v>#REF!</v>
      </c>
      <c r="F355" s="6">
        <f>+F303+F296+F309+F321+F328+F315+F335+F342+F349</f>
        <v>868647093</v>
      </c>
      <c r="G355" s="6" t="e">
        <f>+G303+G296</f>
        <v>#REF!</v>
      </c>
      <c r="H355" s="6">
        <f>+H303+H296+H309+H321+H328+H315+H335+H342+H349</f>
        <v>219005756</v>
      </c>
      <c r="I355" s="6">
        <f>+I303+I296+I309+I321+I328+I315+I335+I342+I349</f>
        <v>474915344.63000005</v>
      </c>
      <c r="J355" s="6">
        <f>+J303+J296+J309+J321+J328+J315+J335+J342+J349</f>
        <v>174725992.36999995</v>
      </c>
      <c r="K355" s="6">
        <f>+K303+K296+K309+K321+K328+K315+K335+K342+K349</f>
        <v>0</v>
      </c>
      <c r="L355" s="4">
        <f>+F355-H355</f>
        <v>649641337</v>
      </c>
      <c r="M355" s="565">
        <f>+I355/L355</f>
        <v>0.73104237304714503</v>
      </c>
    </row>
    <row r="356" spans="1:13">
      <c r="A356" s="3"/>
      <c r="B356" s="1352"/>
      <c r="C356" s="53">
        <v>200</v>
      </c>
      <c r="D356" s="6">
        <f t="shared" si="50"/>
        <v>0</v>
      </c>
      <c r="E356" s="6" t="e">
        <f t="shared" si="50"/>
        <v>#REF!</v>
      </c>
      <c r="F356" s="6">
        <f t="shared" ref="F356:K359" si="51">+F304+F297+F310+F322+F329+F316+F336+F343+F350</f>
        <v>12220911379.34</v>
      </c>
      <c r="G356" s="6" t="e">
        <f>+G304+G297</f>
        <v>#REF!</v>
      </c>
      <c r="H356" s="6">
        <f t="shared" si="51"/>
        <v>3959941354.46</v>
      </c>
      <c r="I356" s="6">
        <f t="shared" si="51"/>
        <v>5784465961.8100014</v>
      </c>
      <c r="J356" s="6">
        <f t="shared" si="51"/>
        <v>2476504063.0699997</v>
      </c>
      <c r="K356" s="6">
        <f t="shared" si="51"/>
        <v>0</v>
      </c>
      <c r="L356" s="4">
        <f>+F356-H356</f>
        <v>8260970024.8800001</v>
      </c>
      <c r="M356" s="565">
        <f>+I356/L356</f>
        <v>0.70021631169083287</v>
      </c>
    </row>
    <row r="357" spans="1:13">
      <c r="A357" s="3"/>
      <c r="B357" s="1352"/>
      <c r="C357" s="53">
        <v>300</v>
      </c>
      <c r="D357" s="6">
        <f t="shared" si="50"/>
        <v>0</v>
      </c>
      <c r="E357" s="6">
        <f t="shared" si="50"/>
        <v>150000000</v>
      </c>
      <c r="F357" s="6">
        <f t="shared" si="51"/>
        <v>11040365109</v>
      </c>
      <c r="G357" s="6">
        <f>+G305+G298</f>
        <v>0</v>
      </c>
      <c r="H357" s="6">
        <f t="shared" si="51"/>
        <v>5745606586.1000004</v>
      </c>
      <c r="I357" s="6">
        <f t="shared" si="51"/>
        <v>1210608291.3899992</v>
      </c>
      <c r="J357" s="6">
        <f t="shared" si="51"/>
        <v>4084150231.5100007</v>
      </c>
      <c r="K357" s="6">
        <f t="shared" si="51"/>
        <v>0</v>
      </c>
      <c r="L357" s="4"/>
      <c r="M357" s="565"/>
    </row>
    <row r="358" spans="1:13">
      <c r="A358" s="3"/>
      <c r="B358" s="1352"/>
      <c r="C358" s="53" t="s">
        <v>414</v>
      </c>
      <c r="D358" s="6">
        <f t="shared" si="50"/>
        <v>0</v>
      </c>
      <c r="E358" s="6">
        <f t="shared" si="50"/>
        <v>0</v>
      </c>
      <c r="F358" s="6">
        <f t="shared" si="51"/>
        <v>0</v>
      </c>
      <c r="G358" s="6">
        <f>+G306+G299</f>
        <v>0</v>
      </c>
      <c r="H358" s="6">
        <f t="shared" si="51"/>
        <v>0</v>
      </c>
      <c r="I358" s="6">
        <f t="shared" si="51"/>
        <v>0</v>
      </c>
      <c r="J358" s="6">
        <f t="shared" si="51"/>
        <v>0</v>
      </c>
      <c r="K358" s="6">
        <f t="shared" si="51"/>
        <v>0</v>
      </c>
    </row>
    <row r="359" spans="1:13">
      <c r="A359" s="3"/>
      <c r="B359" s="1352"/>
      <c r="C359" s="53" t="s">
        <v>4</v>
      </c>
      <c r="D359" s="6">
        <f t="shared" si="50"/>
        <v>0</v>
      </c>
      <c r="E359" s="6" t="e">
        <f t="shared" si="50"/>
        <v>#REF!</v>
      </c>
      <c r="F359" s="6">
        <f t="shared" si="51"/>
        <v>24129923581.34</v>
      </c>
      <c r="G359" s="6" t="e">
        <f>+G307+G300</f>
        <v>#REF!</v>
      </c>
      <c r="H359" s="6">
        <f t="shared" si="51"/>
        <v>9924553696.5600014</v>
      </c>
      <c r="I359" s="6">
        <f t="shared" si="51"/>
        <v>7469989597.8300018</v>
      </c>
      <c r="J359" s="6">
        <f t="shared" si="51"/>
        <v>6735380286.9499998</v>
      </c>
      <c r="K359" s="6">
        <f t="shared" si="51"/>
        <v>0</v>
      </c>
      <c r="L359" s="4">
        <f>+F359-H359</f>
        <v>14205369884.779999</v>
      </c>
      <c r="M359" s="565">
        <f>+I359/L359</f>
        <v>0.52585674702026186</v>
      </c>
    </row>
    <row r="360" spans="1:13">
      <c r="A360" s="571"/>
      <c r="B360" s="1354" t="s">
        <v>416</v>
      </c>
      <c r="E360" t="s">
        <v>292</v>
      </c>
      <c r="F360" t="s">
        <v>292</v>
      </c>
      <c r="G360" s="572"/>
      <c r="H360" s="572"/>
      <c r="I360" s="572"/>
      <c r="J360" s="572"/>
      <c r="K360" s="572"/>
    </row>
    <row r="361" spans="1:13" ht="18.75">
      <c r="A361" s="571"/>
      <c r="E361" s="4"/>
      <c r="G361" s="572"/>
      <c r="H361" s="572"/>
      <c r="I361" s="572"/>
      <c r="J361" s="572">
        <f>+J359-[11]BAR!$J$359</f>
        <v>2379824.9399995804</v>
      </c>
      <c r="K361" s="573"/>
    </row>
    <row r="362" spans="1:13">
      <c r="B362" s="1355" t="s">
        <v>417</v>
      </c>
      <c r="E362" t="s">
        <v>293</v>
      </c>
      <c r="F362" s="164" t="s">
        <v>293</v>
      </c>
      <c r="G362" s="65"/>
      <c r="H362" s="65"/>
      <c r="I362" s="65"/>
      <c r="J362" s="65"/>
      <c r="K362" s="80"/>
    </row>
    <row r="363" spans="1:13" ht="18.75">
      <c r="B363" s="1354" t="s">
        <v>418</v>
      </c>
      <c r="E363" t="s">
        <v>294</v>
      </c>
      <c r="F363" t="s">
        <v>294</v>
      </c>
      <c r="J363" s="4"/>
      <c r="K363" s="66"/>
    </row>
    <row r="364" spans="1:13" ht="18.75">
      <c r="J364" s="4"/>
      <c r="K364" s="66"/>
    </row>
    <row r="365" spans="1:13" ht="20.25">
      <c r="J365" s="81"/>
      <c r="K365" s="66"/>
    </row>
    <row r="366" spans="1:13" ht="20.25">
      <c r="J366" s="81"/>
      <c r="K366" s="66"/>
    </row>
    <row r="367" spans="1:13" ht="18.75">
      <c r="K367" s="66"/>
    </row>
    <row r="368" spans="1:13" ht="18.75">
      <c r="J368" s="69"/>
      <c r="K368" s="66"/>
    </row>
    <row r="369" spans="2:13" ht="18.75" customHeight="1">
      <c r="B369" s="1354" t="s">
        <v>286</v>
      </c>
      <c r="C369" s="53">
        <v>100</v>
      </c>
      <c r="D369" s="69"/>
      <c r="E369" s="69"/>
      <c r="F369" s="69">
        <v>32636000</v>
      </c>
      <c r="G369" s="69"/>
      <c r="H369" s="69">
        <v>85410</v>
      </c>
      <c r="I369" s="69">
        <v>13704950.48</v>
      </c>
      <c r="J369" s="165">
        <f>+F369-H369-I369</f>
        <v>18845639.52</v>
      </c>
      <c r="K369" s="574"/>
    </row>
    <row r="370" spans="2:13" ht="20.25" customHeight="1">
      <c r="C370" s="53">
        <v>200</v>
      </c>
      <c r="D370" s="69"/>
      <c r="E370" s="69"/>
      <c r="F370" s="69"/>
      <c r="G370" s="69"/>
      <c r="H370" s="69"/>
      <c r="I370" s="69"/>
      <c r="J370" s="165"/>
      <c r="K370" s="574"/>
    </row>
    <row r="371" spans="2:13" ht="18.75" customHeight="1">
      <c r="C371" s="53">
        <v>300</v>
      </c>
      <c r="D371" s="69"/>
      <c r="E371" s="69"/>
      <c r="F371" s="69"/>
      <c r="G371" s="69"/>
      <c r="H371" s="69"/>
      <c r="I371" s="69"/>
      <c r="J371" s="69"/>
      <c r="K371" s="574"/>
    </row>
    <row r="372" spans="2:13" ht="18.75" customHeight="1">
      <c r="C372" s="53" t="s">
        <v>414</v>
      </c>
      <c r="D372" s="69"/>
      <c r="E372" s="69"/>
      <c r="F372" s="69"/>
      <c r="G372" s="69"/>
      <c r="H372" s="69"/>
      <c r="I372" s="69"/>
      <c r="J372" s="69"/>
      <c r="K372" s="574"/>
    </row>
    <row r="373" spans="2:13" ht="18.75" customHeight="1">
      <c r="C373" s="53" t="s">
        <v>4</v>
      </c>
      <c r="D373" s="69"/>
      <c r="E373" s="69"/>
      <c r="F373" s="69">
        <f>+F369</f>
        <v>32636000</v>
      </c>
      <c r="G373" s="69"/>
      <c r="H373" s="69">
        <f>+H369</f>
        <v>85410</v>
      </c>
      <c r="I373" s="69">
        <f>+I369</f>
        <v>13704950.48</v>
      </c>
      <c r="J373" s="69">
        <f>+J369</f>
        <v>18845639.52</v>
      </c>
      <c r="K373" s="574"/>
    </row>
    <row r="374" spans="2:13" ht="18.75" hidden="1" customHeight="1">
      <c r="C374" s="69"/>
      <c r="D374" s="69"/>
      <c r="E374" s="69"/>
      <c r="F374" s="69"/>
      <c r="G374" s="69"/>
      <c r="H374" s="69"/>
      <c r="I374" s="69"/>
      <c r="J374" s="69"/>
      <c r="K374" s="574"/>
    </row>
    <row r="375" spans="2:13" ht="18.75" hidden="1" customHeight="1">
      <c r="B375" s="1354" t="s">
        <v>61</v>
      </c>
      <c r="C375" s="53">
        <v>100</v>
      </c>
      <c r="D375" s="69"/>
      <c r="E375" s="69"/>
      <c r="F375" s="69">
        <f>+F369+F355</f>
        <v>901283093</v>
      </c>
      <c r="G375" s="69"/>
      <c r="H375" s="69">
        <f>+H369+H355</f>
        <v>219091166</v>
      </c>
      <c r="I375" s="69">
        <f>+I369+I355</f>
        <v>488620295.11000007</v>
      </c>
      <c r="J375" s="69">
        <f>+J369+J355</f>
        <v>193571631.88999996</v>
      </c>
      <c r="K375" s="574"/>
      <c r="L375" s="4">
        <f>+F375-H375</f>
        <v>682191927</v>
      </c>
      <c r="M375" s="565">
        <f>+I375/L375</f>
        <v>0.7162504799180951</v>
      </c>
    </row>
    <row r="376" spans="2:13" ht="15" hidden="1" customHeight="1">
      <c r="C376" s="53">
        <v>200</v>
      </c>
      <c r="D376" s="69"/>
      <c r="E376" s="69"/>
      <c r="F376" s="69">
        <f t="shared" ref="F376:J379" si="52">+F370+F356</f>
        <v>12220911379.34</v>
      </c>
      <c r="G376" s="69"/>
      <c r="H376" s="69">
        <f t="shared" si="52"/>
        <v>3959941354.46</v>
      </c>
      <c r="I376" s="69">
        <f t="shared" si="52"/>
        <v>5784465961.8100014</v>
      </c>
      <c r="J376" s="69">
        <f t="shared" si="52"/>
        <v>2476504063.0699997</v>
      </c>
      <c r="K376" s="69"/>
      <c r="L376" s="4">
        <f>+F376-H376</f>
        <v>8260970024.8800001</v>
      </c>
      <c r="M376" s="565">
        <f>+I376/L376</f>
        <v>0.70021631169083287</v>
      </c>
    </row>
    <row r="377" spans="2:13" ht="15" hidden="1" customHeight="1">
      <c r="C377" s="53">
        <v>300</v>
      </c>
      <c r="D377" s="69"/>
      <c r="E377" s="69"/>
      <c r="F377" s="69">
        <f t="shared" si="52"/>
        <v>11040365109</v>
      </c>
      <c r="G377" s="69"/>
      <c r="H377" s="69">
        <f t="shared" si="52"/>
        <v>5745606586.1000004</v>
      </c>
      <c r="I377" s="69">
        <f t="shared" si="52"/>
        <v>1210608291.3899992</v>
      </c>
      <c r="J377" s="69">
        <f t="shared" si="52"/>
        <v>4084150231.5100007</v>
      </c>
      <c r="K377" s="69"/>
      <c r="L377" s="4">
        <f>+F377-H377</f>
        <v>5294758522.8999996</v>
      </c>
      <c r="M377" s="565">
        <f>+I377/L377</f>
        <v>0.22864277684318929</v>
      </c>
    </row>
    <row r="378" spans="2:13" ht="15" hidden="1" customHeight="1">
      <c r="C378" s="53" t="s">
        <v>414</v>
      </c>
      <c r="D378" s="69"/>
      <c r="E378" s="69"/>
      <c r="F378" s="69">
        <f t="shared" si="52"/>
        <v>0</v>
      </c>
      <c r="G378" s="69"/>
      <c r="H378" s="69">
        <f t="shared" si="52"/>
        <v>0</v>
      </c>
      <c r="I378" s="69">
        <f t="shared" si="52"/>
        <v>0</v>
      </c>
      <c r="J378" s="69">
        <f t="shared" si="52"/>
        <v>0</v>
      </c>
      <c r="K378" s="69"/>
      <c r="L378" s="4">
        <f>+F378-H378</f>
        <v>0</v>
      </c>
      <c r="M378" s="565"/>
    </row>
    <row r="379" spans="2:13" ht="15" hidden="1" customHeight="1">
      <c r="C379" s="53" t="s">
        <v>4</v>
      </c>
      <c r="D379" s="69"/>
      <c r="E379" s="69"/>
      <c r="F379" s="69">
        <f t="shared" si="52"/>
        <v>24162559581.34</v>
      </c>
      <c r="G379" s="69"/>
      <c r="H379" s="69">
        <f t="shared" si="52"/>
        <v>9924639106.5600014</v>
      </c>
      <c r="I379" s="69">
        <f t="shared" si="52"/>
        <v>7483694548.3100014</v>
      </c>
      <c r="J379" s="69">
        <f t="shared" si="52"/>
        <v>6754225926.4700003</v>
      </c>
      <c r="K379" s="69"/>
      <c r="L379" s="4">
        <f>+F379-H379</f>
        <v>14237920474.779999</v>
      </c>
      <c r="M379" s="565">
        <f>+I379/L379</f>
        <v>0.52561710550119067</v>
      </c>
    </row>
    <row r="380" spans="2:13" ht="15" hidden="1" customHeight="1"/>
    <row r="381" spans="2:13" ht="15" hidden="1" customHeight="1"/>
    <row r="382" spans="2:13" ht="15" hidden="1" customHeight="1"/>
    <row r="383" spans="2:13" ht="15" hidden="1" customHeight="1"/>
    <row r="384" spans="2:13" ht="15" hidden="1" customHeight="1"/>
  </sheetData>
  <autoFilter ref="A10:P373">
    <filterColumn colId="3" showButton="0"/>
    <filterColumn colId="4" showButton="0"/>
  </autoFilter>
  <mergeCells count="7">
    <mergeCell ref="D9:F10"/>
    <mergeCell ref="A2:K2"/>
    <mergeCell ref="A3:K3"/>
    <mergeCell ref="A4:K4"/>
    <mergeCell ref="A5:K5"/>
    <mergeCell ref="A6:K6"/>
    <mergeCell ref="A7:K7"/>
  </mergeCells>
  <pageMargins left="0.25" right="0.25" top="0.64" bottom="1.78" header="0.49" footer="1.35"/>
  <pageSetup paperSize="5" scale="65" fitToHeight="7" orientation="portrait" horizontalDpi="300" verticalDpi="300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6">
    <tabColor theme="5" tint="0.79998168889431442"/>
    <pageSetUpPr fitToPage="1"/>
  </sheetPr>
  <dimension ref="A1:N342"/>
  <sheetViews>
    <sheetView workbookViewId="0">
      <pane xSplit="3" ySplit="10" topLeftCell="D285" activePane="bottomRight" state="frozen"/>
      <selection pane="topRight" activeCell="D1" sqref="D1"/>
      <selection pane="bottomLeft" activeCell="A11" sqref="A11"/>
      <selection pane="bottomRight" activeCell="D297" sqref="D297"/>
    </sheetView>
  </sheetViews>
  <sheetFormatPr defaultRowHeight="15"/>
  <cols>
    <col min="1" max="1" width="11.42578125" customWidth="1"/>
    <col min="2" max="2" width="45.140625" style="1354" customWidth="1"/>
    <col min="4" max="4" width="17.42578125" customWidth="1"/>
    <col min="5" max="5" width="17.28515625" hidden="1" customWidth="1"/>
    <col min="6" max="6" width="19.140625" hidden="1" customWidth="1"/>
    <col min="7" max="7" width="8.85546875" hidden="1" customWidth="1"/>
    <col min="8" max="8" width="15.42578125" customWidth="1"/>
    <col min="9" max="9" width="17.85546875" customWidth="1"/>
    <col min="10" max="10" width="16.5703125" customWidth="1"/>
    <col min="11" max="11" width="14.42578125" style="1372" customWidth="1"/>
    <col min="12" max="12" width="18.85546875" hidden="1" customWidth="1"/>
    <col min="13" max="13" width="17.140625" hidden="1" customWidth="1"/>
    <col min="14" max="14" width="0" hidden="1" customWidth="1"/>
  </cols>
  <sheetData>
    <row r="1" spans="1:14">
      <c r="A1" s="42"/>
      <c r="B1" s="1340"/>
      <c r="C1" s="43"/>
      <c r="D1" s="43"/>
      <c r="E1" s="43"/>
      <c r="F1" s="43"/>
      <c r="G1" s="43"/>
      <c r="H1" s="43"/>
      <c r="I1" s="43"/>
      <c r="J1" s="43"/>
      <c r="K1" s="1356"/>
    </row>
    <row r="2" spans="1:14">
      <c r="A2" s="1544" t="s">
        <v>703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</row>
    <row r="3" spans="1:14">
      <c r="A3" s="1544" t="s">
        <v>1114</v>
      </c>
      <c r="B3" s="1544"/>
      <c r="C3" s="1544"/>
      <c r="D3" s="1544"/>
      <c r="E3" s="1544"/>
      <c r="F3" s="1544"/>
      <c r="G3" s="1544"/>
      <c r="H3" s="1544"/>
      <c r="I3" s="1544"/>
      <c r="J3" s="1544"/>
      <c r="K3" s="1544"/>
    </row>
    <row r="4" spans="1:14">
      <c r="A4" s="1544"/>
      <c r="B4" s="1544"/>
      <c r="C4" s="1544"/>
      <c r="D4" s="1544"/>
      <c r="E4" s="1544"/>
      <c r="F4" s="1544"/>
      <c r="G4" s="1544"/>
      <c r="H4" s="1544"/>
      <c r="I4" s="1544"/>
      <c r="J4" s="1544"/>
      <c r="K4" s="1544"/>
    </row>
    <row r="5" spans="1:14">
      <c r="A5" s="1544" t="s">
        <v>322</v>
      </c>
      <c r="B5" s="1544"/>
      <c r="C5" s="1544"/>
      <c r="D5" s="1544"/>
      <c r="E5" s="1544"/>
      <c r="F5" s="1544"/>
      <c r="G5" s="1544"/>
      <c r="H5" s="1544"/>
      <c r="I5" s="1544"/>
      <c r="J5" s="1544"/>
      <c r="K5" s="1544"/>
      <c r="L5" s="69"/>
    </row>
    <row r="6" spans="1:14">
      <c r="A6" s="1544" t="s">
        <v>323</v>
      </c>
      <c r="B6" s="1544"/>
      <c r="C6" s="1544"/>
      <c r="D6" s="1544"/>
      <c r="E6" s="1544"/>
      <c r="F6" s="1544"/>
      <c r="G6" s="1544"/>
      <c r="H6" s="1544"/>
      <c r="I6" s="1544"/>
      <c r="J6" s="1544"/>
      <c r="K6" s="1544"/>
      <c r="L6" s="69"/>
    </row>
    <row r="7" spans="1:14">
      <c r="A7" s="1544" t="s">
        <v>733</v>
      </c>
      <c r="B7" s="1544"/>
      <c r="C7" s="1544"/>
      <c r="D7" s="1544"/>
      <c r="E7" s="1544"/>
      <c r="F7" s="1544"/>
      <c r="G7" s="1544"/>
      <c r="H7" s="1544"/>
      <c r="I7" s="1544"/>
      <c r="J7" s="1544"/>
      <c r="K7" s="1544"/>
      <c r="L7" s="69"/>
    </row>
    <row r="8" spans="1:14">
      <c r="A8" s="44"/>
      <c r="B8" s="1341"/>
      <c r="C8" s="42"/>
      <c r="D8" s="44"/>
      <c r="E8" s="44"/>
      <c r="F8" s="44"/>
      <c r="G8" s="42"/>
      <c r="H8" s="79"/>
      <c r="I8" s="79"/>
      <c r="J8" s="42"/>
      <c r="K8" s="1356"/>
      <c r="L8" s="69"/>
    </row>
    <row r="9" spans="1:14" ht="15" customHeight="1">
      <c r="A9" s="45" t="s">
        <v>324</v>
      </c>
      <c r="B9" s="1342" t="s">
        <v>325</v>
      </c>
      <c r="C9" s="1338" t="s">
        <v>326</v>
      </c>
      <c r="D9" s="1545" t="s">
        <v>49</v>
      </c>
      <c r="E9" s="1546"/>
      <c r="F9" s="1547"/>
      <c r="G9" s="167" t="s">
        <v>328</v>
      </c>
      <c r="H9" s="45" t="s">
        <v>50</v>
      </c>
      <c r="I9" s="1339" t="s">
        <v>329</v>
      </c>
      <c r="J9" s="1339" t="s">
        <v>330</v>
      </c>
      <c r="K9" s="1357" t="s">
        <v>95</v>
      </c>
      <c r="L9" s="69"/>
    </row>
    <row r="10" spans="1:14" ht="34.5">
      <c r="A10" s="46"/>
      <c r="B10" s="1343"/>
      <c r="C10" s="155" t="s">
        <v>331</v>
      </c>
      <c r="D10" s="1335"/>
      <c r="E10" s="1336" t="s">
        <v>332</v>
      </c>
      <c r="F10" s="47"/>
      <c r="G10" s="46"/>
      <c r="H10" s="46"/>
      <c r="I10" s="1337"/>
      <c r="J10" s="1337" t="s">
        <v>333</v>
      </c>
      <c r="K10" s="1358"/>
      <c r="L10" s="821" t="s">
        <v>944</v>
      </c>
      <c r="M10" s="822" t="s">
        <v>945</v>
      </c>
    </row>
    <row r="11" spans="1:14">
      <c r="A11" s="48"/>
      <c r="B11" s="1343"/>
      <c r="C11" s="47"/>
      <c r="D11" s="46"/>
      <c r="E11" s="47"/>
      <c r="F11" s="47"/>
      <c r="G11" s="47"/>
      <c r="H11" s="47"/>
      <c r="I11" s="47"/>
      <c r="J11" s="47"/>
      <c r="K11" s="1359"/>
      <c r="L11" s="69"/>
    </row>
    <row r="12" spans="1:14">
      <c r="A12" s="49"/>
      <c r="B12" s="1344" t="s">
        <v>334</v>
      </c>
      <c r="C12" s="50"/>
      <c r="D12" s="51"/>
      <c r="E12" s="51"/>
      <c r="F12" s="51"/>
      <c r="G12" s="51"/>
      <c r="H12" s="51"/>
      <c r="I12" s="51"/>
      <c r="J12" s="51"/>
      <c r="K12" s="1360"/>
      <c r="L12" s="69"/>
    </row>
    <row r="13" spans="1:14">
      <c r="A13" s="49" t="str">
        <f>+[10]dec!A13</f>
        <v xml:space="preserve">A.I.a.1.a </v>
      </c>
      <c r="B13" s="1345" t="str">
        <f>+[10]dec!B13</f>
        <v xml:space="preserve"> General  Management and Supervision</v>
      </c>
      <c r="C13" s="53"/>
      <c r="D13" s="6"/>
      <c r="E13" s="6"/>
      <c r="F13" s="6"/>
      <c r="G13" s="6"/>
      <c r="H13" s="6"/>
      <c r="I13" s="6"/>
      <c r="J13" s="6"/>
      <c r="K13" s="1361"/>
      <c r="L13" s="69"/>
    </row>
    <row r="14" spans="1:14">
      <c r="A14" s="49"/>
      <c r="B14" s="1345"/>
      <c r="C14" s="53">
        <f>+[10]dec!C14</f>
        <v>100</v>
      </c>
      <c r="D14" s="6"/>
      <c r="E14" s="6"/>
      <c r="F14" s="6"/>
      <c r="G14" s="6"/>
      <c r="H14" s="6"/>
      <c r="I14" s="6"/>
      <c r="J14" s="6"/>
      <c r="K14" s="1361"/>
      <c r="L14" s="69"/>
    </row>
    <row r="15" spans="1:14">
      <c r="A15" s="49"/>
      <c r="B15" s="1345"/>
      <c r="C15" s="53">
        <f>+[10]dec!C15</f>
        <v>200</v>
      </c>
      <c r="D15" s="6">
        <f>+'[4]saob conap 2012'!P6</f>
        <v>11759648.139999956</v>
      </c>
      <c r="E15" s="6"/>
      <c r="F15" s="6"/>
      <c r="G15" s="6"/>
      <c r="H15" s="233">
        <v>250000</v>
      </c>
      <c r="I15" s="6">
        <f>+'[4]saob conap 2012'!BT6-H15</f>
        <v>11509648.140000001</v>
      </c>
      <c r="J15" s="6">
        <f>+D15-H15-I15</f>
        <v>-4.4703483581542969E-8</v>
      </c>
      <c r="K15" s="886">
        <f>+I15/L15</f>
        <v>1.0000000000000038</v>
      </c>
      <c r="L15" s="69">
        <f>+D15-H15</f>
        <v>11509648.139999956</v>
      </c>
      <c r="M15" s="565">
        <f>+I15/L15</f>
        <v>1.0000000000000038</v>
      </c>
      <c r="N15" s="69"/>
    </row>
    <row r="16" spans="1:14">
      <c r="A16" s="49"/>
      <c r="B16" s="1345"/>
      <c r="C16" s="53">
        <f>+[10]dec!C16</f>
        <v>300</v>
      </c>
      <c r="D16" s="6">
        <f>+'[4]saob conap 2012'!Q6</f>
        <v>883480</v>
      </c>
      <c r="E16" s="6"/>
      <c r="F16" s="6"/>
      <c r="G16" s="6"/>
      <c r="H16" s="6"/>
      <c r="I16" s="6">
        <f>+'[4]saob conap 2012'!BU6</f>
        <v>737309</v>
      </c>
      <c r="J16" s="6">
        <f>+D16-I16</f>
        <v>146171</v>
      </c>
      <c r="K16" s="886">
        <f t="shared" ref="K16:K79" si="0">+I16/L16</f>
        <v>0.83455086702585235</v>
      </c>
      <c r="L16" s="69">
        <f t="shared" ref="L16:L79" si="1">+D16-H16</f>
        <v>883480</v>
      </c>
      <c r="M16" s="565">
        <f>+I16/L16</f>
        <v>0.83455086702585235</v>
      </c>
      <c r="N16" s="69"/>
    </row>
    <row r="17" spans="1:14">
      <c r="A17" s="49"/>
      <c r="B17" s="1345"/>
      <c r="C17" s="53" t="str">
        <f>+[10]dec!C17</f>
        <v>FE</v>
      </c>
      <c r="D17" s="6"/>
      <c r="E17" s="6"/>
      <c r="F17" s="6"/>
      <c r="G17" s="6"/>
      <c r="H17" s="6"/>
      <c r="I17" s="6"/>
      <c r="J17" s="6"/>
      <c r="K17" s="886"/>
      <c r="L17" s="69">
        <f t="shared" si="1"/>
        <v>0</v>
      </c>
      <c r="N17" s="69"/>
    </row>
    <row r="18" spans="1:14">
      <c r="A18" s="49"/>
      <c r="B18" s="1345"/>
      <c r="C18" s="53" t="str">
        <f>+[10]dec!C18</f>
        <v>TOTAL</v>
      </c>
      <c r="D18" s="6">
        <f>SUM(D15:D17)</f>
        <v>12643128.139999956</v>
      </c>
      <c r="E18" s="6"/>
      <c r="F18" s="6"/>
      <c r="G18" s="6"/>
      <c r="H18" s="6">
        <f>SUM(H15:H17)</f>
        <v>250000</v>
      </c>
      <c r="I18" s="6">
        <f>SUM(I15:I17)</f>
        <v>12246957.140000001</v>
      </c>
      <c r="J18" s="6">
        <f>SUM(J15:J17)</f>
        <v>146170.9999999553</v>
      </c>
      <c r="K18" s="886">
        <f t="shared" si="0"/>
        <v>0.98820547981520701</v>
      </c>
      <c r="L18" s="69">
        <f t="shared" si="1"/>
        <v>12393128.139999956</v>
      </c>
      <c r="M18" s="565">
        <f>+I18/L18</f>
        <v>0.98820547981520701</v>
      </c>
      <c r="N18" s="69"/>
    </row>
    <row r="19" spans="1:14">
      <c r="A19" s="49"/>
      <c r="B19" s="1345" t="s">
        <v>335</v>
      </c>
      <c r="C19" s="53"/>
      <c r="D19" s="6"/>
      <c r="E19" s="6"/>
      <c r="F19" s="6"/>
      <c r="G19" s="6"/>
      <c r="H19" s="6"/>
      <c r="I19" s="6"/>
      <c r="J19" s="6"/>
      <c r="K19" s="886"/>
      <c r="L19" s="69">
        <f t="shared" si="1"/>
        <v>0</v>
      </c>
      <c r="M19" s="565"/>
      <c r="N19" s="69"/>
    </row>
    <row r="20" spans="1:14">
      <c r="A20" s="49"/>
      <c r="B20" s="1345"/>
      <c r="C20" s="53">
        <f>+[10]dec!C20</f>
        <v>100</v>
      </c>
      <c r="D20" s="6">
        <f>+D26+D32+D38+D44+D123+D129+D135</f>
        <v>0</v>
      </c>
      <c r="E20" s="6"/>
      <c r="F20" s="6"/>
      <c r="G20" s="6"/>
      <c r="H20" s="6">
        <f t="shared" ref="H20:J24" si="2">+H26+H32+H38+H44+H123+H129+H135</f>
        <v>0</v>
      </c>
      <c r="I20" s="6">
        <f t="shared" si="2"/>
        <v>0</v>
      </c>
      <c r="J20" s="6">
        <f t="shared" si="2"/>
        <v>0</v>
      </c>
      <c r="K20" s="886"/>
      <c r="L20" s="69">
        <f t="shared" si="1"/>
        <v>0</v>
      </c>
      <c r="M20" s="565"/>
      <c r="N20" s="69"/>
    </row>
    <row r="21" spans="1:14">
      <c r="A21" s="49"/>
      <c r="B21" s="1345"/>
      <c r="C21" s="53">
        <f>+[10]dec!C21</f>
        <v>200</v>
      </c>
      <c r="D21" s="6">
        <f>+D27+D33+D39+D45+D124+D130+D136</f>
        <v>22497669.049999818</v>
      </c>
      <c r="E21" s="6"/>
      <c r="F21" s="6"/>
      <c r="G21" s="6"/>
      <c r="H21" s="6">
        <f t="shared" si="2"/>
        <v>-96519392.370000005</v>
      </c>
      <c r="I21" s="6">
        <f t="shared" si="2"/>
        <v>109175473.67</v>
      </c>
      <c r="J21" s="6">
        <f t="shared" si="2"/>
        <v>9841587.7499998081</v>
      </c>
      <c r="K21" s="886">
        <f t="shared" si="0"/>
        <v>0.91730943754971572</v>
      </c>
      <c r="L21" s="69">
        <f t="shared" si="1"/>
        <v>119017061.41999982</v>
      </c>
      <c r="M21" s="565">
        <f>+I21/L21</f>
        <v>0.91730943754971572</v>
      </c>
      <c r="N21" s="69"/>
    </row>
    <row r="22" spans="1:14">
      <c r="A22" s="49"/>
      <c r="B22" s="1345"/>
      <c r="C22" s="53">
        <f>+[10]dec!C22</f>
        <v>300</v>
      </c>
      <c r="D22" s="6">
        <f>+D28+D34+D40+D46+D125+D131+D137</f>
        <v>22134427.200000003</v>
      </c>
      <c r="E22" s="6"/>
      <c r="F22" s="6"/>
      <c r="G22" s="6"/>
      <c r="H22" s="6">
        <f t="shared" si="2"/>
        <v>0</v>
      </c>
      <c r="I22" s="6">
        <f t="shared" si="2"/>
        <v>22134427.199999999</v>
      </c>
      <c r="J22" s="6">
        <f t="shared" si="2"/>
        <v>0</v>
      </c>
      <c r="K22" s="886">
        <f t="shared" si="0"/>
        <v>0.99999999999999978</v>
      </c>
      <c r="L22" s="69">
        <f t="shared" si="1"/>
        <v>22134427.200000003</v>
      </c>
      <c r="M22" s="565">
        <f>+I22/L22</f>
        <v>0.99999999999999978</v>
      </c>
      <c r="N22" s="69"/>
    </row>
    <row r="23" spans="1:14">
      <c r="A23" s="49"/>
      <c r="B23" s="1345"/>
      <c r="C23" s="53" t="str">
        <f>+[10]dec!C23</f>
        <v>FE</v>
      </c>
      <c r="D23" s="6">
        <f>+D29+D35+D41+D47+D126+D132+D138</f>
        <v>0</v>
      </c>
      <c r="E23" s="6"/>
      <c r="F23" s="6"/>
      <c r="G23" s="6"/>
      <c r="H23" s="6">
        <f t="shared" si="2"/>
        <v>0</v>
      </c>
      <c r="I23" s="6">
        <f t="shared" si="2"/>
        <v>0</v>
      </c>
      <c r="J23" s="6">
        <f t="shared" si="2"/>
        <v>0</v>
      </c>
      <c r="K23" s="886"/>
      <c r="L23" s="69">
        <f t="shared" si="1"/>
        <v>0</v>
      </c>
      <c r="M23" s="565"/>
      <c r="N23" s="69"/>
    </row>
    <row r="24" spans="1:14">
      <c r="A24" s="49"/>
      <c r="B24" s="1345"/>
      <c r="C24" s="53" t="str">
        <f>+[10]dec!C24</f>
        <v>TOTAL</v>
      </c>
      <c r="D24" s="6">
        <f>+D30+D36+D42+D48+D127+D133+D139</f>
        <v>44632096.249999821</v>
      </c>
      <c r="E24" s="6"/>
      <c r="F24" s="6"/>
      <c r="G24" s="6"/>
      <c r="H24" s="6">
        <f t="shared" si="2"/>
        <v>-96519392.370000005</v>
      </c>
      <c r="I24" s="6">
        <f t="shared" si="2"/>
        <v>131309900.87</v>
      </c>
      <c r="J24" s="6">
        <f t="shared" si="2"/>
        <v>9841587.7499998081</v>
      </c>
      <c r="K24" s="886">
        <f t="shared" si="0"/>
        <v>0.9302764154581834</v>
      </c>
      <c r="L24" s="69">
        <f t="shared" si="1"/>
        <v>141151488.61999983</v>
      </c>
      <c r="M24" s="565">
        <f>+I24/L24</f>
        <v>0.9302764154581834</v>
      </c>
      <c r="N24" s="69"/>
    </row>
    <row r="25" spans="1:14" ht="22.5">
      <c r="A25" s="49" t="s">
        <v>336</v>
      </c>
      <c r="B25" s="1362" t="s">
        <v>337</v>
      </c>
      <c r="C25" s="53"/>
      <c r="D25" s="6"/>
      <c r="E25" s="6"/>
      <c r="F25" s="6"/>
      <c r="G25" s="6"/>
      <c r="H25" s="6"/>
      <c r="I25" s="6"/>
      <c r="J25" s="6"/>
      <c r="K25" s="886"/>
      <c r="L25" s="69">
        <f t="shared" si="1"/>
        <v>0</v>
      </c>
      <c r="N25" s="69"/>
    </row>
    <row r="26" spans="1:14">
      <c r="A26" s="49"/>
      <c r="B26" s="1345"/>
      <c r="C26" s="53">
        <f>+[10]dec!C20</f>
        <v>100</v>
      </c>
      <c r="D26" s="6"/>
      <c r="E26" s="6"/>
      <c r="F26" s="6"/>
      <c r="G26" s="6"/>
      <c r="H26" s="6"/>
      <c r="I26" s="6"/>
      <c r="J26" s="6"/>
      <c r="K26" s="886"/>
      <c r="L26" s="69">
        <f t="shared" si="1"/>
        <v>0</v>
      </c>
      <c r="N26" s="69"/>
    </row>
    <row r="27" spans="1:14">
      <c r="A27" s="49"/>
      <c r="B27" s="1345"/>
      <c r="C27" s="53">
        <f>+[10]dec!C21</f>
        <v>200</v>
      </c>
      <c r="D27" s="6">
        <f>+'[4]saob conap 2012'!P8</f>
        <v>1025959.4799999967</v>
      </c>
      <c r="E27" s="6"/>
      <c r="F27" s="6"/>
      <c r="G27" s="6"/>
      <c r="H27" s="6">
        <v>200000</v>
      </c>
      <c r="I27" s="6">
        <f>+'[4]saob conap 2012'!BT8-H27</f>
        <v>823423.39</v>
      </c>
      <c r="J27" s="6">
        <f>+D27-H27-I27</f>
        <v>2536.0899999967078</v>
      </c>
      <c r="K27" s="886">
        <f t="shared" si="0"/>
        <v>0.99692952249909794</v>
      </c>
      <c r="L27" s="69">
        <f t="shared" si="1"/>
        <v>825959.47999999672</v>
      </c>
      <c r="M27" s="565">
        <f>+I27/L27</f>
        <v>0.99692952249909794</v>
      </c>
      <c r="N27" s="69"/>
    </row>
    <row r="28" spans="1:14">
      <c r="A28" s="49"/>
      <c r="B28" s="1345"/>
      <c r="C28" s="53">
        <f>+[10]dec!C22</f>
        <v>300</v>
      </c>
      <c r="D28" s="6"/>
      <c r="E28" s="6"/>
      <c r="F28" s="6"/>
      <c r="G28" s="6"/>
      <c r="H28" s="6"/>
      <c r="I28" s="6"/>
      <c r="J28" s="6"/>
      <c r="K28" s="886"/>
      <c r="L28" s="69">
        <f t="shared" si="1"/>
        <v>0</v>
      </c>
      <c r="N28" s="69"/>
    </row>
    <row r="29" spans="1:14">
      <c r="A29" s="49"/>
      <c r="B29" s="1345"/>
      <c r="C29" s="53" t="str">
        <f>+[10]dec!C23</f>
        <v>FE</v>
      </c>
      <c r="D29" s="6"/>
      <c r="E29" s="6"/>
      <c r="F29" s="6"/>
      <c r="G29" s="6"/>
      <c r="H29" s="6"/>
      <c r="I29" s="6"/>
      <c r="J29" s="6"/>
      <c r="K29" s="886"/>
      <c r="L29" s="69">
        <f t="shared" si="1"/>
        <v>0</v>
      </c>
      <c r="N29" s="69"/>
    </row>
    <row r="30" spans="1:14">
      <c r="A30" s="49"/>
      <c r="B30" s="1345"/>
      <c r="C30" s="53" t="str">
        <f>+[10]dec!C24</f>
        <v>TOTAL</v>
      </c>
      <c r="D30" s="6">
        <f>SUM(D27:D29)</f>
        <v>1025959.4799999967</v>
      </c>
      <c r="E30" s="6"/>
      <c r="F30" s="6"/>
      <c r="G30" s="6"/>
      <c r="H30" s="6">
        <f>SUM(H27:H29)</f>
        <v>200000</v>
      </c>
      <c r="I30" s="6">
        <f>SUM(I27:I29)</f>
        <v>823423.39</v>
      </c>
      <c r="J30" s="6">
        <f>SUM(J27:J29)</f>
        <v>2536.0899999967078</v>
      </c>
      <c r="K30" s="886">
        <f t="shared" si="0"/>
        <v>0.99692952249909794</v>
      </c>
      <c r="L30" s="69">
        <f t="shared" si="1"/>
        <v>825959.47999999672</v>
      </c>
      <c r="M30" s="565">
        <f>+I30/L30</f>
        <v>0.99692952249909794</v>
      </c>
      <c r="N30" s="69"/>
    </row>
    <row r="31" spans="1:14">
      <c r="A31" s="49" t="s">
        <v>338</v>
      </c>
      <c r="B31" s="1363" t="s">
        <v>71</v>
      </c>
      <c r="C31" s="53"/>
      <c r="D31" s="6"/>
      <c r="E31" s="6"/>
      <c r="F31" s="6"/>
      <c r="G31" s="6"/>
      <c r="H31" s="6"/>
      <c r="I31" s="6"/>
      <c r="J31" s="6"/>
      <c r="K31" s="886"/>
      <c r="L31" s="69">
        <f t="shared" si="1"/>
        <v>0</v>
      </c>
      <c r="N31" s="69"/>
    </row>
    <row r="32" spans="1:14">
      <c r="A32" s="49"/>
      <c r="B32" s="1345"/>
      <c r="C32" s="53">
        <f>+[10]dec!C26</f>
        <v>100</v>
      </c>
      <c r="D32" s="6"/>
      <c r="E32" s="6"/>
      <c r="F32" s="6"/>
      <c r="G32" s="6"/>
      <c r="H32" s="6"/>
      <c r="I32" s="6"/>
      <c r="J32" s="6"/>
      <c r="K32" s="886"/>
      <c r="L32" s="69">
        <f t="shared" si="1"/>
        <v>0</v>
      </c>
      <c r="N32" s="69"/>
    </row>
    <row r="33" spans="1:14">
      <c r="A33" s="49"/>
      <c r="B33" s="1345"/>
      <c r="C33" s="53">
        <f>+[10]dec!C27</f>
        <v>200</v>
      </c>
      <c r="D33" s="6">
        <f>+'[4]saob conap 2012'!P9</f>
        <v>8353813.3500000015</v>
      </c>
      <c r="E33" s="6"/>
      <c r="F33" s="6"/>
      <c r="G33" s="6"/>
      <c r="H33" s="233">
        <v>200000</v>
      </c>
      <c r="I33" s="6">
        <f>+'[4]saob conap 2012'!BT9-H33</f>
        <v>8153813.3500000006</v>
      </c>
      <c r="J33" s="6">
        <f>+D33-H33-I33</f>
        <v>0</v>
      </c>
      <c r="K33" s="886">
        <f t="shared" si="0"/>
        <v>0.99999999999999989</v>
      </c>
      <c r="L33" s="69">
        <f t="shared" si="1"/>
        <v>8153813.3500000015</v>
      </c>
      <c r="M33" s="565">
        <f>+I33/L33</f>
        <v>0.99999999999999989</v>
      </c>
      <c r="N33" s="69"/>
    </row>
    <row r="34" spans="1:14">
      <c r="A34" s="49"/>
      <c r="B34" s="1345"/>
      <c r="C34" s="53">
        <f>+[10]dec!C28</f>
        <v>300</v>
      </c>
      <c r="D34" s="6">
        <f>+'[4]saob conap 2012'!Q9</f>
        <v>22134427.200000003</v>
      </c>
      <c r="E34" s="6"/>
      <c r="F34" s="6"/>
      <c r="G34" s="6"/>
      <c r="H34" s="6"/>
      <c r="I34" s="6">
        <f>+'[4]saob conap 2012'!BU9</f>
        <v>22134427.199999999</v>
      </c>
      <c r="J34" s="6">
        <f>+D34-H34-I34</f>
        <v>0</v>
      </c>
      <c r="K34" s="886">
        <f t="shared" si="0"/>
        <v>0.99999999999999978</v>
      </c>
      <c r="L34" s="69">
        <f t="shared" si="1"/>
        <v>22134427.200000003</v>
      </c>
      <c r="M34" s="565">
        <f>+I34/L34</f>
        <v>0.99999999999999978</v>
      </c>
      <c r="N34" s="69"/>
    </row>
    <row r="35" spans="1:14">
      <c r="A35" s="49"/>
      <c r="B35" s="1345"/>
      <c r="C35" s="53" t="str">
        <f>+[10]dec!C29</f>
        <v>FE</v>
      </c>
      <c r="D35" s="6"/>
      <c r="E35" s="6"/>
      <c r="F35" s="6"/>
      <c r="G35" s="6"/>
      <c r="H35" s="6"/>
      <c r="I35" s="6"/>
      <c r="J35" s="6"/>
      <c r="K35" s="886"/>
      <c r="L35" s="69">
        <f t="shared" si="1"/>
        <v>0</v>
      </c>
      <c r="M35" s="565"/>
      <c r="N35" s="69"/>
    </row>
    <row r="36" spans="1:14">
      <c r="A36" s="49"/>
      <c r="B36" s="1345"/>
      <c r="C36" s="53" t="str">
        <f>+[10]dec!C30</f>
        <v>TOTAL</v>
      </c>
      <c r="D36" s="6">
        <f>SUM(D33:D35)</f>
        <v>30488240.550000004</v>
      </c>
      <c r="E36" s="6"/>
      <c r="F36" s="6"/>
      <c r="G36" s="6"/>
      <c r="H36" s="6">
        <f>SUM(H33:H35)</f>
        <v>200000</v>
      </c>
      <c r="I36" s="6">
        <f>SUM(I33:I35)</f>
        <v>30288240.550000001</v>
      </c>
      <c r="J36" s="6">
        <f>SUM(J33:J35)</f>
        <v>0</v>
      </c>
      <c r="K36" s="886">
        <f t="shared" si="0"/>
        <v>0.99999999999999989</v>
      </c>
      <c r="L36" s="69">
        <f t="shared" si="1"/>
        <v>30288240.550000004</v>
      </c>
      <c r="M36" s="565">
        <f>+I36/L36</f>
        <v>0.99999999999999989</v>
      </c>
      <c r="N36" s="69"/>
    </row>
    <row r="37" spans="1:14">
      <c r="A37" s="49" t="s">
        <v>339</v>
      </c>
      <c r="B37" s="1363" t="s">
        <v>340</v>
      </c>
      <c r="C37" s="53"/>
      <c r="D37" s="6"/>
      <c r="E37" s="6"/>
      <c r="F37" s="6"/>
      <c r="G37" s="6"/>
      <c r="H37" s="6"/>
      <c r="I37" s="6"/>
      <c r="J37" s="6"/>
      <c r="K37" s="886"/>
      <c r="L37" s="69">
        <f t="shared" si="1"/>
        <v>0</v>
      </c>
      <c r="N37" s="69"/>
    </row>
    <row r="38" spans="1:14">
      <c r="A38" s="49"/>
      <c r="B38" s="1345"/>
      <c r="C38" s="53">
        <f>+[10]dec!C32</f>
        <v>100</v>
      </c>
      <c r="D38" s="6"/>
      <c r="E38" s="6"/>
      <c r="F38" s="6"/>
      <c r="G38" s="6"/>
      <c r="H38" s="6"/>
      <c r="I38" s="6"/>
      <c r="J38" s="6"/>
      <c r="K38" s="886"/>
      <c r="L38" s="69">
        <f t="shared" si="1"/>
        <v>0</v>
      </c>
      <c r="N38" s="69"/>
    </row>
    <row r="39" spans="1:14">
      <c r="A39" s="49"/>
      <c r="B39" s="1345"/>
      <c r="C39" s="53">
        <f>+[10]dec!C33</f>
        <v>200</v>
      </c>
      <c r="D39" s="6">
        <f>+'[4]saob conap 2012'!P10</f>
        <v>4407216.299999997</v>
      </c>
      <c r="E39" s="6"/>
      <c r="F39" s="6"/>
      <c r="G39" s="6"/>
      <c r="H39" s="6"/>
      <c r="I39" s="6">
        <f>+'[4]saob conap 2012'!BT10</f>
        <v>1777383.25</v>
      </c>
      <c r="J39" s="6">
        <f>+D39-H39-I39</f>
        <v>2629833.049999997</v>
      </c>
      <c r="K39" s="886">
        <f t="shared" si="0"/>
        <v>0.40328931666004258</v>
      </c>
      <c r="L39" s="69">
        <f t="shared" si="1"/>
        <v>4407216.299999997</v>
      </c>
      <c r="M39" s="565">
        <f>+I39/L39</f>
        <v>0.40328931666004258</v>
      </c>
      <c r="N39" s="69"/>
    </row>
    <row r="40" spans="1:14">
      <c r="A40" s="49"/>
      <c r="B40" s="1345"/>
      <c r="C40" s="53">
        <f>+[10]dec!C34</f>
        <v>300</v>
      </c>
      <c r="D40" s="6"/>
      <c r="E40" s="6"/>
      <c r="F40" s="6"/>
      <c r="G40" s="6"/>
      <c r="H40" s="6"/>
      <c r="I40" s="6"/>
      <c r="J40" s="6"/>
      <c r="K40" s="886"/>
      <c r="L40" s="69">
        <f t="shared" si="1"/>
        <v>0</v>
      </c>
      <c r="N40" s="69"/>
    </row>
    <row r="41" spans="1:14">
      <c r="A41" s="49"/>
      <c r="B41" s="1345"/>
      <c r="C41" s="53" t="str">
        <f>+[10]dec!C35</f>
        <v>FE</v>
      </c>
      <c r="D41" s="6"/>
      <c r="E41" s="6"/>
      <c r="F41" s="6"/>
      <c r="G41" s="6"/>
      <c r="H41" s="6"/>
      <c r="I41" s="6"/>
      <c r="J41" s="6"/>
      <c r="K41" s="886"/>
      <c r="L41" s="69">
        <f t="shared" si="1"/>
        <v>0</v>
      </c>
      <c r="N41" s="69"/>
    </row>
    <row r="42" spans="1:14">
      <c r="A42" s="49"/>
      <c r="B42" s="1345"/>
      <c r="C42" s="53" t="str">
        <f>+[10]dec!C36</f>
        <v>TOTAL</v>
      </c>
      <c r="D42" s="6">
        <f>SUM(D39:D41)</f>
        <v>4407216.299999997</v>
      </c>
      <c r="E42" s="6"/>
      <c r="F42" s="6"/>
      <c r="G42" s="6"/>
      <c r="H42" s="6">
        <f>SUM(H39:H41)</f>
        <v>0</v>
      </c>
      <c r="I42" s="6">
        <f>SUM(I39:I41)</f>
        <v>1777383.25</v>
      </c>
      <c r="J42" s="6">
        <f>SUM(J39:J41)</f>
        <v>2629833.049999997</v>
      </c>
      <c r="K42" s="886">
        <f t="shared" si="0"/>
        <v>0.40328931666004258</v>
      </c>
      <c r="L42" s="69">
        <f t="shared" si="1"/>
        <v>4407216.299999997</v>
      </c>
      <c r="M42" s="565">
        <f>+I42/L42</f>
        <v>0.40328931666004258</v>
      </c>
      <c r="N42" s="69"/>
    </row>
    <row r="43" spans="1:14">
      <c r="A43" s="49" t="s">
        <v>345</v>
      </c>
      <c r="B43" s="1345" t="s">
        <v>346</v>
      </c>
      <c r="C43" s="53"/>
      <c r="D43" s="6"/>
      <c r="E43" s="6"/>
      <c r="F43" s="6"/>
      <c r="G43" s="6"/>
      <c r="H43" s="6"/>
      <c r="I43" s="6"/>
      <c r="J43" s="6"/>
      <c r="K43" s="886"/>
      <c r="L43" s="69">
        <f t="shared" si="1"/>
        <v>0</v>
      </c>
      <c r="N43" s="69"/>
    </row>
    <row r="44" spans="1:14">
      <c r="A44" s="49"/>
      <c r="B44" s="1345"/>
      <c r="C44" s="53">
        <f>+[10]dec!C50</f>
        <v>100</v>
      </c>
      <c r="D44" s="6"/>
      <c r="E44" s="6"/>
      <c r="F44" s="6"/>
      <c r="G44" s="6"/>
      <c r="H44" s="6"/>
      <c r="I44" s="6"/>
      <c r="J44" s="6"/>
      <c r="K44" s="886"/>
      <c r="L44" s="69">
        <f t="shared" si="1"/>
        <v>0</v>
      </c>
      <c r="N44" s="69"/>
    </row>
    <row r="45" spans="1:14">
      <c r="A45" s="49"/>
      <c r="B45" s="1345"/>
      <c r="C45" s="53">
        <f>+[10]dec!C51</f>
        <v>200</v>
      </c>
      <c r="D45" s="6">
        <f>+'[4]saob conap 2012'!P13</f>
        <v>7238295.4399998188</v>
      </c>
      <c r="E45" s="6"/>
      <c r="F45" s="6"/>
      <c r="G45" s="6"/>
      <c r="H45" s="6">
        <v>-97554392.370000005</v>
      </c>
      <c r="I45" s="6">
        <f>+'[4]saob conap 2012'!BT13-H45</f>
        <v>97652015.550000012</v>
      </c>
      <c r="J45" s="6">
        <f>+D45-H45-I45</f>
        <v>7140672.2599998116</v>
      </c>
      <c r="K45" s="886">
        <f t="shared" si="0"/>
        <v>0.93185905992843121</v>
      </c>
      <c r="L45" s="69">
        <f t="shared" si="1"/>
        <v>104792687.80999982</v>
      </c>
      <c r="M45" s="565">
        <f>+I45/L45</f>
        <v>0.93185905992843121</v>
      </c>
      <c r="N45" s="69"/>
    </row>
    <row r="46" spans="1:14">
      <c r="A46" s="49"/>
      <c r="B46" s="1345"/>
      <c r="C46" s="53">
        <f>+[10]dec!C52</f>
        <v>300</v>
      </c>
      <c r="D46" s="6"/>
      <c r="E46" s="6"/>
      <c r="F46" s="6"/>
      <c r="G46" s="6"/>
      <c r="H46" s="6"/>
      <c r="I46" s="6"/>
      <c r="J46" s="6"/>
      <c r="K46" s="886"/>
      <c r="L46" s="69">
        <f t="shared" si="1"/>
        <v>0</v>
      </c>
      <c r="N46" s="69"/>
    </row>
    <row r="47" spans="1:14">
      <c r="A47" s="49"/>
      <c r="B47" s="1345"/>
      <c r="C47" s="53" t="str">
        <f>+[10]dec!C53</f>
        <v>FE</v>
      </c>
      <c r="D47" s="6"/>
      <c r="E47" s="6"/>
      <c r="F47" s="6"/>
      <c r="G47" s="6"/>
      <c r="H47" s="6"/>
      <c r="I47" s="6"/>
      <c r="J47" s="6"/>
      <c r="K47" s="886"/>
      <c r="L47" s="69">
        <f t="shared" si="1"/>
        <v>0</v>
      </c>
      <c r="N47" s="69"/>
    </row>
    <row r="48" spans="1:14">
      <c r="A48" s="49"/>
      <c r="B48" s="1345"/>
      <c r="C48" s="53" t="str">
        <f>+[10]dec!C54</f>
        <v>TOTAL</v>
      </c>
      <c r="D48" s="6">
        <f>SUM(D45:D47)</f>
        <v>7238295.4399998188</v>
      </c>
      <c r="E48" s="6"/>
      <c r="F48" s="6"/>
      <c r="G48" s="6"/>
      <c r="H48" s="6">
        <f>SUM(H45:H47)</f>
        <v>-97554392.370000005</v>
      </c>
      <c r="I48" s="6">
        <f>SUM(I45:I47)</f>
        <v>97652015.550000012</v>
      </c>
      <c r="J48" s="6">
        <f>SUM(J45:J47)</f>
        <v>7140672.2599998116</v>
      </c>
      <c r="K48" s="886">
        <f t="shared" si="0"/>
        <v>0.93185905992843121</v>
      </c>
      <c r="L48" s="69">
        <f t="shared" si="1"/>
        <v>104792687.80999982</v>
      </c>
      <c r="M48" s="565">
        <f>+I48/L48</f>
        <v>0.93185905992843121</v>
      </c>
      <c r="N48" s="69"/>
    </row>
    <row r="49" spans="1:14" ht="15" hidden="1" customHeight="1">
      <c r="A49" s="49"/>
      <c r="B49" s="1345" t="s">
        <v>752</v>
      </c>
      <c r="C49" s="53"/>
      <c r="D49" s="6"/>
      <c r="E49" s="6"/>
      <c r="F49" s="6"/>
      <c r="G49" s="6"/>
      <c r="H49" s="6"/>
      <c r="I49" s="6"/>
      <c r="J49" s="6"/>
      <c r="K49" s="886" t="e">
        <f t="shared" si="0"/>
        <v>#DIV/0!</v>
      </c>
      <c r="L49" s="69">
        <f t="shared" si="1"/>
        <v>0</v>
      </c>
      <c r="N49" s="69"/>
    </row>
    <row r="50" spans="1:14" ht="15" hidden="1" customHeight="1">
      <c r="A50" s="49"/>
      <c r="B50" s="1364" t="s">
        <v>5</v>
      </c>
      <c r="C50" s="53">
        <v>100</v>
      </c>
      <c r="D50" s="6"/>
      <c r="E50" s="6"/>
      <c r="F50" s="6"/>
      <c r="G50" s="6"/>
      <c r="H50" s="6"/>
      <c r="I50" s="6"/>
      <c r="J50" s="6"/>
      <c r="K50" s="886" t="e">
        <f t="shared" si="0"/>
        <v>#DIV/0!</v>
      </c>
      <c r="L50" s="69">
        <f t="shared" si="1"/>
        <v>0</v>
      </c>
      <c r="N50" s="69"/>
    </row>
    <row r="51" spans="1:14" ht="15" hidden="1" customHeight="1">
      <c r="A51" s="49"/>
      <c r="B51" s="1345"/>
      <c r="C51" s="53">
        <v>200</v>
      </c>
      <c r="D51" s="6"/>
      <c r="E51" s="6"/>
      <c r="F51" s="6"/>
      <c r="G51" s="6"/>
      <c r="H51" s="6"/>
      <c r="I51" s="6"/>
      <c r="J51" s="6"/>
      <c r="K51" s="886" t="e">
        <f t="shared" si="0"/>
        <v>#DIV/0!</v>
      </c>
      <c r="L51" s="69">
        <f t="shared" si="1"/>
        <v>0</v>
      </c>
      <c r="N51" s="69"/>
    </row>
    <row r="52" spans="1:14" ht="15" hidden="1" customHeight="1">
      <c r="A52" s="49"/>
      <c r="B52" s="1345"/>
      <c r="C52" s="53" t="s">
        <v>4</v>
      </c>
      <c r="D52" s="6"/>
      <c r="E52" s="6"/>
      <c r="F52" s="6"/>
      <c r="G52" s="6"/>
      <c r="H52" s="6"/>
      <c r="I52" s="6"/>
      <c r="J52" s="6"/>
      <c r="K52" s="886" t="e">
        <f t="shared" si="0"/>
        <v>#DIV/0!</v>
      </c>
      <c r="L52" s="69">
        <f t="shared" si="1"/>
        <v>0</v>
      </c>
      <c r="N52" s="69"/>
    </row>
    <row r="53" spans="1:14" ht="15" hidden="1" customHeight="1">
      <c r="A53" s="49"/>
      <c r="B53" s="1345"/>
      <c r="C53" s="53"/>
      <c r="D53" s="6"/>
      <c r="E53" s="6"/>
      <c r="F53" s="6"/>
      <c r="G53" s="6"/>
      <c r="H53" s="6"/>
      <c r="I53" s="6"/>
      <c r="J53" s="6"/>
      <c r="K53" s="886" t="e">
        <f t="shared" si="0"/>
        <v>#DIV/0!</v>
      </c>
      <c r="L53" s="69">
        <f t="shared" si="1"/>
        <v>0</v>
      </c>
      <c r="N53" s="69"/>
    </row>
    <row r="54" spans="1:14" ht="15" hidden="1" customHeight="1">
      <c r="A54" s="49"/>
      <c r="B54" s="1364" t="s">
        <v>6</v>
      </c>
      <c r="C54" s="53">
        <v>100</v>
      </c>
      <c r="D54" s="6"/>
      <c r="E54" s="6"/>
      <c r="F54" s="6"/>
      <c r="G54" s="6"/>
      <c r="H54" s="6"/>
      <c r="I54" s="6"/>
      <c r="J54" s="6"/>
      <c r="K54" s="886" t="e">
        <f t="shared" si="0"/>
        <v>#DIV/0!</v>
      </c>
      <c r="L54" s="69">
        <f t="shared" si="1"/>
        <v>0</v>
      </c>
      <c r="N54" s="69"/>
    </row>
    <row r="55" spans="1:14" ht="15" hidden="1" customHeight="1">
      <c r="A55" s="49"/>
      <c r="B55" s="1345"/>
      <c r="C55" s="53">
        <v>200</v>
      </c>
      <c r="D55" s="6"/>
      <c r="E55" s="6"/>
      <c r="F55" s="6"/>
      <c r="G55" s="6"/>
      <c r="H55" s="6"/>
      <c r="I55" s="6"/>
      <c r="J55" s="6"/>
      <c r="K55" s="886" t="e">
        <f t="shared" si="0"/>
        <v>#DIV/0!</v>
      </c>
      <c r="L55" s="69">
        <f t="shared" si="1"/>
        <v>0</v>
      </c>
      <c r="N55" s="69"/>
    </row>
    <row r="56" spans="1:14" ht="15" hidden="1" customHeight="1">
      <c r="A56" s="49"/>
      <c r="B56" s="1345"/>
      <c r="C56" s="53" t="s">
        <v>4</v>
      </c>
      <c r="D56" s="6"/>
      <c r="E56" s="6"/>
      <c r="F56" s="6"/>
      <c r="G56" s="6"/>
      <c r="H56" s="6"/>
      <c r="I56" s="6"/>
      <c r="J56" s="6"/>
      <c r="K56" s="886" t="e">
        <f t="shared" si="0"/>
        <v>#DIV/0!</v>
      </c>
      <c r="L56" s="69">
        <f t="shared" si="1"/>
        <v>0</v>
      </c>
      <c r="N56" s="69"/>
    </row>
    <row r="57" spans="1:14" ht="15" hidden="1" customHeight="1">
      <c r="A57" s="49"/>
      <c r="B57" s="1345"/>
      <c r="C57" s="53"/>
      <c r="D57" s="6"/>
      <c r="E57" s="6"/>
      <c r="F57" s="6"/>
      <c r="G57" s="6"/>
      <c r="H57" s="6"/>
      <c r="I57" s="6"/>
      <c r="J57" s="6"/>
      <c r="K57" s="886" t="e">
        <f t="shared" si="0"/>
        <v>#DIV/0!</v>
      </c>
      <c r="L57" s="69">
        <f t="shared" si="1"/>
        <v>0</v>
      </c>
      <c r="N57" s="69"/>
    </row>
    <row r="58" spans="1:14" ht="15" hidden="1" customHeight="1">
      <c r="A58" s="49"/>
      <c r="B58" s="1364" t="s">
        <v>7</v>
      </c>
      <c r="C58" s="53">
        <v>100</v>
      </c>
      <c r="D58" s="6"/>
      <c r="E58" s="6"/>
      <c r="F58" s="6"/>
      <c r="G58" s="6"/>
      <c r="H58" s="6"/>
      <c r="I58" s="6"/>
      <c r="J58" s="6"/>
      <c r="K58" s="886" t="e">
        <f t="shared" si="0"/>
        <v>#DIV/0!</v>
      </c>
      <c r="L58" s="69">
        <f t="shared" si="1"/>
        <v>0</v>
      </c>
      <c r="N58" s="69"/>
    </row>
    <row r="59" spans="1:14" ht="15" hidden="1" customHeight="1">
      <c r="A59" s="49"/>
      <c r="B59" s="1345"/>
      <c r="C59" s="53">
        <v>200</v>
      </c>
      <c r="D59" s="6"/>
      <c r="E59" s="6"/>
      <c r="F59" s="6"/>
      <c r="G59" s="6"/>
      <c r="H59" s="6"/>
      <c r="I59" s="6"/>
      <c r="J59" s="6"/>
      <c r="K59" s="886" t="e">
        <f t="shared" si="0"/>
        <v>#DIV/0!</v>
      </c>
      <c r="L59" s="69">
        <f t="shared" si="1"/>
        <v>0</v>
      </c>
      <c r="N59" s="69"/>
    </row>
    <row r="60" spans="1:14" ht="15" hidden="1" customHeight="1">
      <c r="A60" s="49"/>
      <c r="B60" s="1345"/>
      <c r="C60" s="53" t="s">
        <v>4</v>
      </c>
      <c r="D60" s="6"/>
      <c r="E60" s="6"/>
      <c r="F60" s="6"/>
      <c r="G60" s="6"/>
      <c r="H60" s="6"/>
      <c r="I60" s="6"/>
      <c r="J60" s="6"/>
      <c r="K60" s="886" t="e">
        <f t="shared" si="0"/>
        <v>#DIV/0!</v>
      </c>
      <c r="L60" s="69">
        <f t="shared" si="1"/>
        <v>0</v>
      </c>
      <c r="N60" s="69"/>
    </row>
    <row r="61" spans="1:14" ht="15" hidden="1" customHeight="1">
      <c r="A61" s="49"/>
      <c r="B61" s="1345"/>
      <c r="C61" s="53"/>
      <c r="D61" s="6"/>
      <c r="E61" s="6"/>
      <c r="F61" s="6"/>
      <c r="G61" s="6"/>
      <c r="H61" s="6"/>
      <c r="I61" s="6"/>
      <c r="J61" s="6"/>
      <c r="K61" s="886" t="e">
        <f t="shared" si="0"/>
        <v>#DIV/0!</v>
      </c>
      <c r="L61" s="69">
        <f t="shared" si="1"/>
        <v>0</v>
      </c>
      <c r="N61" s="69"/>
    </row>
    <row r="62" spans="1:14" ht="25.5" hidden="1" customHeight="1">
      <c r="A62" s="49"/>
      <c r="B62" s="1364" t="s">
        <v>8</v>
      </c>
      <c r="C62" s="53">
        <v>100</v>
      </c>
      <c r="D62" s="6"/>
      <c r="E62" s="6"/>
      <c r="F62" s="6"/>
      <c r="G62" s="6"/>
      <c r="H62" s="6"/>
      <c r="I62" s="6"/>
      <c r="J62" s="6"/>
      <c r="K62" s="886" t="e">
        <f t="shared" si="0"/>
        <v>#DIV/0!</v>
      </c>
      <c r="L62" s="69">
        <f t="shared" si="1"/>
        <v>0</v>
      </c>
      <c r="N62" s="69"/>
    </row>
    <row r="63" spans="1:14" ht="15" hidden="1" customHeight="1">
      <c r="A63" s="49"/>
      <c r="B63" s="1345"/>
      <c r="C63" s="53">
        <v>200</v>
      </c>
      <c r="D63" s="6"/>
      <c r="E63" s="6"/>
      <c r="F63" s="6"/>
      <c r="G63" s="6"/>
      <c r="H63" s="6"/>
      <c r="I63" s="6"/>
      <c r="J63" s="6"/>
      <c r="K63" s="886" t="e">
        <f t="shared" si="0"/>
        <v>#DIV/0!</v>
      </c>
      <c r="L63" s="69">
        <f t="shared" si="1"/>
        <v>0</v>
      </c>
      <c r="N63" s="69"/>
    </row>
    <row r="64" spans="1:14" ht="15" hidden="1" customHeight="1">
      <c r="A64" s="49"/>
      <c r="B64" s="1345"/>
      <c r="C64" s="53" t="s">
        <v>4</v>
      </c>
      <c r="D64" s="6"/>
      <c r="E64" s="6"/>
      <c r="F64" s="6"/>
      <c r="G64" s="6"/>
      <c r="H64" s="6"/>
      <c r="I64" s="6"/>
      <c r="J64" s="6"/>
      <c r="K64" s="886" t="e">
        <f t="shared" si="0"/>
        <v>#DIV/0!</v>
      </c>
      <c r="L64" s="69">
        <f t="shared" si="1"/>
        <v>0</v>
      </c>
      <c r="N64" s="69"/>
    </row>
    <row r="65" spans="1:14" ht="15" hidden="1" customHeight="1">
      <c r="A65" s="49"/>
      <c r="B65" s="1345"/>
      <c r="C65" s="53"/>
      <c r="D65" s="6"/>
      <c r="E65" s="6"/>
      <c r="F65" s="6"/>
      <c r="G65" s="6"/>
      <c r="H65" s="6"/>
      <c r="I65" s="6"/>
      <c r="J65" s="6"/>
      <c r="K65" s="886" t="e">
        <f t="shared" si="0"/>
        <v>#DIV/0!</v>
      </c>
      <c r="L65" s="69">
        <f t="shared" si="1"/>
        <v>0</v>
      </c>
      <c r="N65" s="69"/>
    </row>
    <row r="66" spans="1:14" ht="15" hidden="1" customHeight="1">
      <c r="A66" s="49"/>
      <c r="B66" s="1364" t="s">
        <v>9</v>
      </c>
      <c r="C66" s="53">
        <v>100</v>
      </c>
      <c r="D66" s="6"/>
      <c r="E66" s="6"/>
      <c r="F66" s="6"/>
      <c r="G66" s="6"/>
      <c r="H66" s="6"/>
      <c r="I66" s="6"/>
      <c r="J66" s="6"/>
      <c r="K66" s="886" t="e">
        <f t="shared" si="0"/>
        <v>#DIV/0!</v>
      </c>
      <c r="L66" s="69">
        <f t="shared" si="1"/>
        <v>0</v>
      </c>
      <c r="N66" s="69"/>
    </row>
    <row r="67" spans="1:14" ht="15" hidden="1" customHeight="1">
      <c r="A67" s="49"/>
      <c r="B67" s="1345"/>
      <c r="C67" s="53">
        <v>200</v>
      </c>
      <c r="D67" s="6"/>
      <c r="E67" s="6"/>
      <c r="F67" s="6"/>
      <c r="G67" s="6"/>
      <c r="H67" s="6"/>
      <c r="I67" s="6"/>
      <c r="J67" s="6"/>
      <c r="K67" s="886" t="e">
        <f t="shared" si="0"/>
        <v>#DIV/0!</v>
      </c>
      <c r="L67" s="69">
        <f t="shared" si="1"/>
        <v>0</v>
      </c>
      <c r="N67" s="69"/>
    </row>
    <row r="68" spans="1:14" ht="15" hidden="1" customHeight="1">
      <c r="A68" s="49"/>
      <c r="B68" s="1345"/>
      <c r="C68" s="53" t="s">
        <v>4</v>
      </c>
      <c r="D68" s="6"/>
      <c r="E68" s="6"/>
      <c r="F68" s="6"/>
      <c r="G68" s="6"/>
      <c r="H68" s="6"/>
      <c r="I68" s="6"/>
      <c r="J68" s="6"/>
      <c r="K68" s="886" t="e">
        <f t="shared" si="0"/>
        <v>#DIV/0!</v>
      </c>
      <c r="L68" s="69">
        <f t="shared" si="1"/>
        <v>0</v>
      </c>
      <c r="N68" s="69"/>
    </row>
    <row r="69" spans="1:14" ht="15" hidden="1" customHeight="1">
      <c r="A69" s="49"/>
      <c r="B69" s="1345"/>
      <c r="C69" s="53"/>
      <c r="D69" s="6"/>
      <c r="E69" s="6"/>
      <c r="F69" s="6"/>
      <c r="G69" s="6"/>
      <c r="H69" s="6"/>
      <c r="I69" s="6"/>
      <c r="J69" s="6"/>
      <c r="K69" s="886" t="e">
        <f t="shared" si="0"/>
        <v>#DIV/0!</v>
      </c>
      <c r="L69" s="69">
        <f t="shared" si="1"/>
        <v>0</v>
      </c>
      <c r="N69" s="69"/>
    </row>
    <row r="70" spans="1:14" ht="15" hidden="1" customHeight="1">
      <c r="A70" s="49"/>
      <c r="B70" s="1364" t="s">
        <v>10</v>
      </c>
      <c r="C70" s="53">
        <v>100</v>
      </c>
      <c r="D70" s="6"/>
      <c r="E70" s="6"/>
      <c r="F70" s="6"/>
      <c r="G70" s="6"/>
      <c r="H70" s="6"/>
      <c r="I70" s="6"/>
      <c r="J70" s="6"/>
      <c r="K70" s="886" t="e">
        <f t="shared" si="0"/>
        <v>#DIV/0!</v>
      </c>
      <c r="L70" s="69">
        <f t="shared" si="1"/>
        <v>0</v>
      </c>
      <c r="N70" s="69"/>
    </row>
    <row r="71" spans="1:14" ht="15" hidden="1" customHeight="1">
      <c r="A71" s="49"/>
      <c r="B71" s="1345"/>
      <c r="C71" s="53">
        <v>200</v>
      </c>
      <c r="D71" s="6"/>
      <c r="E71" s="6"/>
      <c r="F71" s="6"/>
      <c r="G71" s="6"/>
      <c r="H71" s="6"/>
      <c r="I71" s="6"/>
      <c r="J71" s="6"/>
      <c r="K71" s="886" t="e">
        <f t="shared" si="0"/>
        <v>#DIV/0!</v>
      </c>
      <c r="L71" s="69">
        <f t="shared" si="1"/>
        <v>0</v>
      </c>
      <c r="N71" s="69"/>
    </row>
    <row r="72" spans="1:14" ht="15" hidden="1" customHeight="1">
      <c r="A72" s="49"/>
      <c r="B72" s="1345"/>
      <c r="C72" s="53" t="s">
        <v>4</v>
      </c>
      <c r="D72" s="6"/>
      <c r="E72" s="6"/>
      <c r="F72" s="6"/>
      <c r="G72" s="6"/>
      <c r="H72" s="6"/>
      <c r="I72" s="6"/>
      <c r="J72" s="6"/>
      <c r="K72" s="886" t="e">
        <f t="shared" si="0"/>
        <v>#DIV/0!</v>
      </c>
      <c r="L72" s="69">
        <f t="shared" si="1"/>
        <v>0</v>
      </c>
      <c r="N72" s="69"/>
    </row>
    <row r="73" spans="1:14" ht="15" hidden="1" customHeight="1">
      <c r="A73" s="49"/>
      <c r="B73" s="1345"/>
      <c r="C73" s="53"/>
      <c r="D73" s="6"/>
      <c r="E73" s="6"/>
      <c r="F73" s="6"/>
      <c r="G73" s="6"/>
      <c r="H73" s="6"/>
      <c r="I73" s="6"/>
      <c r="J73" s="6"/>
      <c r="K73" s="886" t="e">
        <f t="shared" si="0"/>
        <v>#DIV/0!</v>
      </c>
      <c r="L73" s="69">
        <f t="shared" si="1"/>
        <v>0</v>
      </c>
      <c r="N73" s="69"/>
    </row>
    <row r="74" spans="1:14" ht="15" hidden="1" customHeight="1">
      <c r="A74" s="49"/>
      <c r="B74" s="1364" t="s">
        <v>11</v>
      </c>
      <c r="C74" s="53">
        <v>100</v>
      </c>
      <c r="D74" s="6"/>
      <c r="E74" s="6"/>
      <c r="F74" s="6"/>
      <c r="G74" s="6"/>
      <c r="H74" s="6"/>
      <c r="I74" s="6"/>
      <c r="J74" s="6"/>
      <c r="K74" s="886" t="e">
        <f t="shared" si="0"/>
        <v>#DIV/0!</v>
      </c>
      <c r="L74" s="69">
        <f t="shared" si="1"/>
        <v>0</v>
      </c>
      <c r="N74" s="69"/>
    </row>
    <row r="75" spans="1:14" ht="15" hidden="1" customHeight="1">
      <c r="A75" s="49"/>
      <c r="B75" s="1345"/>
      <c r="C75" s="53">
        <v>200</v>
      </c>
      <c r="D75" s="6"/>
      <c r="E75" s="6"/>
      <c r="F75" s="6"/>
      <c r="G75" s="6"/>
      <c r="H75" s="6"/>
      <c r="I75" s="6"/>
      <c r="J75" s="6"/>
      <c r="K75" s="886" t="e">
        <f t="shared" si="0"/>
        <v>#DIV/0!</v>
      </c>
      <c r="L75" s="69">
        <f t="shared" si="1"/>
        <v>0</v>
      </c>
      <c r="N75" s="69"/>
    </row>
    <row r="76" spans="1:14" ht="15" hidden="1" customHeight="1">
      <c r="A76" s="49"/>
      <c r="B76" s="1345"/>
      <c r="C76" s="53" t="s">
        <v>4</v>
      </c>
      <c r="D76" s="6"/>
      <c r="E76" s="6"/>
      <c r="F76" s="6"/>
      <c r="G76" s="6"/>
      <c r="H76" s="6"/>
      <c r="I76" s="6"/>
      <c r="J76" s="6"/>
      <c r="K76" s="886" t="e">
        <f t="shared" si="0"/>
        <v>#DIV/0!</v>
      </c>
      <c r="L76" s="69">
        <f t="shared" si="1"/>
        <v>0</v>
      </c>
      <c r="N76" s="69"/>
    </row>
    <row r="77" spans="1:14" ht="15" hidden="1" customHeight="1">
      <c r="A77" s="49"/>
      <c r="B77" s="1345"/>
      <c r="C77" s="53"/>
      <c r="D77" s="6"/>
      <c r="E77" s="6"/>
      <c r="F77" s="6"/>
      <c r="G77" s="6"/>
      <c r="H77" s="6"/>
      <c r="I77" s="6"/>
      <c r="J77" s="6"/>
      <c r="K77" s="886" t="e">
        <f t="shared" si="0"/>
        <v>#DIV/0!</v>
      </c>
      <c r="L77" s="69">
        <f t="shared" si="1"/>
        <v>0</v>
      </c>
      <c r="N77" s="69"/>
    </row>
    <row r="78" spans="1:14" ht="15" hidden="1" customHeight="1">
      <c r="A78" s="49"/>
      <c r="B78" s="1364" t="s">
        <v>12</v>
      </c>
      <c r="C78" s="53">
        <v>100</v>
      </c>
      <c r="D78" s="6"/>
      <c r="E78" s="6"/>
      <c r="F78" s="6"/>
      <c r="G78" s="6"/>
      <c r="H78" s="6"/>
      <c r="I78" s="6"/>
      <c r="J78" s="6"/>
      <c r="K78" s="886" t="e">
        <f t="shared" si="0"/>
        <v>#DIV/0!</v>
      </c>
      <c r="L78" s="69">
        <f t="shared" si="1"/>
        <v>0</v>
      </c>
      <c r="N78" s="69"/>
    </row>
    <row r="79" spans="1:14" ht="15" hidden="1" customHeight="1">
      <c r="A79" s="49"/>
      <c r="B79" s="1345"/>
      <c r="C79" s="53">
        <v>200</v>
      </c>
      <c r="D79" s="6"/>
      <c r="E79" s="6"/>
      <c r="F79" s="6"/>
      <c r="G79" s="6"/>
      <c r="H79" s="6"/>
      <c r="I79" s="6"/>
      <c r="J79" s="6"/>
      <c r="K79" s="886" t="e">
        <f t="shared" si="0"/>
        <v>#DIV/0!</v>
      </c>
      <c r="L79" s="69">
        <f t="shared" si="1"/>
        <v>0</v>
      </c>
      <c r="N79" s="69"/>
    </row>
    <row r="80" spans="1:14" ht="15" hidden="1" customHeight="1">
      <c r="A80" s="49"/>
      <c r="B80" s="1345"/>
      <c r="C80" s="53" t="s">
        <v>4</v>
      </c>
      <c r="D80" s="6"/>
      <c r="E80" s="6"/>
      <c r="F80" s="6"/>
      <c r="G80" s="6"/>
      <c r="H80" s="6"/>
      <c r="I80" s="6"/>
      <c r="J80" s="6"/>
      <c r="K80" s="886" t="e">
        <f t="shared" ref="K80:K143" si="3">+I80/L80</f>
        <v>#DIV/0!</v>
      </c>
      <c r="L80" s="69">
        <f t="shared" ref="L80:L143" si="4">+D80-H80</f>
        <v>0</v>
      </c>
      <c r="N80" s="69"/>
    </row>
    <row r="81" spans="1:14" ht="15" hidden="1" customHeight="1">
      <c r="A81" s="49"/>
      <c r="B81" s="1345"/>
      <c r="C81" s="53"/>
      <c r="D81" s="6"/>
      <c r="E81" s="6"/>
      <c r="F81" s="6"/>
      <c r="G81" s="6"/>
      <c r="H81" s="6"/>
      <c r="I81" s="6"/>
      <c r="J81" s="6"/>
      <c r="K81" s="886" t="e">
        <f t="shared" si="3"/>
        <v>#DIV/0!</v>
      </c>
      <c r="L81" s="69">
        <f t="shared" si="4"/>
        <v>0</v>
      </c>
      <c r="N81" s="69"/>
    </row>
    <row r="82" spans="1:14" ht="15" hidden="1" customHeight="1">
      <c r="A82" s="49"/>
      <c r="B82" s="1364" t="s">
        <v>13</v>
      </c>
      <c r="C82" s="53">
        <v>100</v>
      </c>
      <c r="D82" s="6"/>
      <c r="E82" s="6"/>
      <c r="F82" s="6"/>
      <c r="G82" s="6"/>
      <c r="H82" s="6"/>
      <c r="I82" s="6"/>
      <c r="J82" s="6"/>
      <c r="K82" s="886" t="e">
        <f t="shared" si="3"/>
        <v>#DIV/0!</v>
      </c>
      <c r="L82" s="69">
        <f t="shared" si="4"/>
        <v>0</v>
      </c>
      <c r="N82" s="69"/>
    </row>
    <row r="83" spans="1:14" ht="15" hidden="1" customHeight="1">
      <c r="A83" s="49"/>
      <c r="B83" s="1345"/>
      <c r="C83" s="53">
        <v>200</v>
      </c>
      <c r="D83" s="6"/>
      <c r="E83" s="6"/>
      <c r="F83" s="6"/>
      <c r="G83" s="6"/>
      <c r="H83" s="6"/>
      <c r="I83" s="6"/>
      <c r="J83" s="6"/>
      <c r="K83" s="886" t="e">
        <f t="shared" si="3"/>
        <v>#DIV/0!</v>
      </c>
      <c r="L83" s="69">
        <f t="shared" si="4"/>
        <v>0</v>
      </c>
      <c r="N83" s="69"/>
    </row>
    <row r="84" spans="1:14" ht="15" hidden="1" customHeight="1">
      <c r="A84" s="49"/>
      <c r="B84" s="1345"/>
      <c r="C84" s="53" t="s">
        <v>4</v>
      </c>
      <c r="D84" s="6"/>
      <c r="E84" s="6"/>
      <c r="F84" s="6"/>
      <c r="G84" s="6"/>
      <c r="H84" s="6"/>
      <c r="I84" s="6"/>
      <c r="J84" s="6"/>
      <c r="K84" s="886" t="e">
        <f t="shared" si="3"/>
        <v>#DIV/0!</v>
      </c>
      <c r="L84" s="69">
        <f t="shared" si="4"/>
        <v>0</v>
      </c>
      <c r="N84" s="69"/>
    </row>
    <row r="85" spans="1:14" ht="15" hidden="1" customHeight="1">
      <c r="A85" s="49"/>
      <c r="B85" s="1345"/>
      <c r="C85" s="53"/>
      <c r="D85" s="6"/>
      <c r="E85" s="6"/>
      <c r="F85" s="6"/>
      <c r="G85" s="6"/>
      <c r="H85" s="6"/>
      <c r="I85" s="6"/>
      <c r="J85" s="6"/>
      <c r="K85" s="886" t="e">
        <f t="shared" si="3"/>
        <v>#DIV/0!</v>
      </c>
      <c r="L85" s="69">
        <f t="shared" si="4"/>
        <v>0</v>
      </c>
      <c r="N85" s="69"/>
    </row>
    <row r="86" spans="1:14" ht="15" hidden="1" customHeight="1">
      <c r="A86" s="49"/>
      <c r="B86" s="1364" t="s">
        <v>14</v>
      </c>
      <c r="C86" s="53">
        <v>100</v>
      </c>
      <c r="D86" s="6"/>
      <c r="E86" s="6"/>
      <c r="F86" s="6"/>
      <c r="G86" s="6"/>
      <c r="H86" s="6"/>
      <c r="I86" s="6"/>
      <c r="J86" s="6"/>
      <c r="K86" s="886" t="e">
        <f t="shared" si="3"/>
        <v>#DIV/0!</v>
      </c>
      <c r="L86" s="69">
        <f t="shared" si="4"/>
        <v>0</v>
      </c>
      <c r="N86" s="69"/>
    </row>
    <row r="87" spans="1:14" ht="15" hidden="1" customHeight="1">
      <c r="A87" s="49"/>
      <c r="B87" s="1345"/>
      <c r="C87" s="53">
        <v>200</v>
      </c>
      <c r="D87" s="6"/>
      <c r="E87" s="6"/>
      <c r="F87" s="6"/>
      <c r="G87" s="6"/>
      <c r="H87" s="6"/>
      <c r="I87" s="6"/>
      <c r="J87" s="6"/>
      <c r="K87" s="886" t="e">
        <f t="shared" si="3"/>
        <v>#DIV/0!</v>
      </c>
      <c r="L87" s="69">
        <f t="shared" si="4"/>
        <v>0</v>
      </c>
      <c r="N87" s="69"/>
    </row>
    <row r="88" spans="1:14" ht="15" hidden="1" customHeight="1">
      <c r="A88" s="49"/>
      <c r="B88" s="1345"/>
      <c r="C88" s="53" t="s">
        <v>4</v>
      </c>
      <c r="D88" s="6"/>
      <c r="E88" s="6"/>
      <c r="F88" s="6"/>
      <c r="G88" s="6"/>
      <c r="H88" s="6"/>
      <c r="I88" s="6"/>
      <c r="J88" s="6"/>
      <c r="K88" s="886" t="e">
        <f t="shared" si="3"/>
        <v>#DIV/0!</v>
      </c>
      <c r="L88" s="69">
        <f t="shared" si="4"/>
        <v>0</v>
      </c>
      <c r="N88" s="69"/>
    </row>
    <row r="89" spans="1:14" ht="15" hidden="1" customHeight="1">
      <c r="A89" s="49"/>
      <c r="B89" s="1345"/>
      <c r="C89" s="53"/>
      <c r="D89" s="6"/>
      <c r="E89" s="6"/>
      <c r="F89" s="6"/>
      <c r="G89" s="6"/>
      <c r="H89" s="6"/>
      <c r="I89" s="6"/>
      <c r="J89" s="6"/>
      <c r="K89" s="886" t="e">
        <f t="shared" si="3"/>
        <v>#DIV/0!</v>
      </c>
      <c r="L89" s="69">
        <f t="shared" si="4"/>
        <v>0</v>
      </c>
      <c r="N89" s="69"/>
    </row>
    <row r="90" spans="1:14" ht="15" hidden="1" customHeight="1">
      <c r="A90" s="49"/>
      <c r="B90" s="1364" t="s">
        <v>15</v>
      </c>
      <c r="C90" s="53">
        <v>100</v>
      </c>
      <c r="D90" s="6"/>
      <c r="E90" s="6"/>
      <c r="F90" s="6"/>
      <c r="G90" s="6"/>
      <c r="H90" s="6"/>
      <c r="I90" s="6"/>
      <c r="J90" s="6"/>
      <c r="K90" s="886" t="e">
        <f t="shared" si="3"/>
        <v>#DIV/0!</v>
      </c>
      <c r="L90" s="69">
        <f t="shared" si="4"/>
        <v>0</v>
      </c>
      <c r="N90" s="69"/>
    </row>
    <row r="91" spans="1:14" ht="15" hidden="1" customHeight="1">
      <c r="A91" s="49"/>
      <c r="B91" s="1345"/>
      <c r="C91" s="53">
        <v>200</v>
      </c>
      <c r="D91" s="6"/>
      <c r="E91" s="6"/>
      <c r="F91" s="6"/>
      <c r="G91" s="6"/>
      <c r="H91" s="6"/>
      <c r="I91" s="6"/>
      <c r="J91" s="6"/>
      <c r="K91" s="886" t="e">
        <f t="shared" si="3"/>
        <v>#DIV/0!</v>
      </c>
      <c r="L91" s="69">
        <f t="shared" si="4"/>
        <v>0</v>
      </c>
      <c r="N91" s="69"/>
    </row>
    <row r="92" spans="1:14" ht="15" hidden="1" customHeight="1">
      <c r="A92" s="49"/>
      <c r="B92" s="1345"/>
      <c r="C92" s="53" t="s">
        <v>4</v>
      </c>
      <c r="D92" s="6"/>
      <c r="E92" s="6"/>
      <c r="F92" s="6"/>
      <c r="G92" s="6"/>
      <c r="H92" s="6"/>
      <c r="I92" s="6"/>
      <c r="J92" s="6"/>
      <c r="K92" s="886" t="e">
        <f t="shared" si="3"/>
        <v>#DIV/0!</v>
      </c>
      <c r="L92" s="69">
        <f t="shared" si="4"/>
        <v>0</v>
      </c>
      <c r="N92" s="69"/>
    </row>
    <row r="93" spans="1:14" ht="15" hidden="1" customHeight="1">
      <c r="A93" s="49"/>
      <c r="B93" s="1345"/>
      <c r="C93" s="53"/>
      <c r="D93" s="6"/>
      <c r="E93" s="6"/>
      <c r="F93" s="6"/>
      <c r="G93" s="6"/>
      <c r="H93" s="6"/>
      <c r="I93" s="6"/>
      <c r="J93" s="6"/>
      <c r="K93" s="886" t="e">
        <f t="shared" si="3"/>
        <v>#DIV/0!</v>
      </c>
      <c r="L93" s="69">
        <f t="shared" si="4"/>
        <v>0</v>
      </c>
      <c r="N93" s="69"/>
    </row>
    <row r="94" spans="1:14" ht="15" hidden="1" customHeight="1">
      <c r="A94" s="49"/>
      <c r="B94" s="1364" t="s">
        <v>16</v>
      </c>
      <c r="C94" s="53">
        <v>100</v>
      </c>
      <c r="D94" s="6"/>
      <c r="E94" s="6"/>
      <c r="F94" s="6"/>
      <c r="G94" s="6"/>
      <c r="H94" s="6"/>
      <c r="I94" s="6"/>
      <c r="J94" s="6"/>
      <c r="K94" s="886" t="e">
        <f t="shared" si="3"/>
        <v>#DIV/0!</v>
      </c>
      <c r="L94" s="69">
        <f t="shared" si="4"/>
        <v>0</v>
      </c>
      <c r="N94" s="69"/>
    </row>
    <row r="95" spans="1:14" ht="15" hidden="1" customHeight="1">
      <c r="A95" s="49"/>
      <c r="B95" s="1345"/>
      <c r="C95" s="53">
        <v>200</v>
      </c>
      <c r="D95" s="6"/>
      <c r="E95" s="6"/>
      <c r="F95" s="6"/>
      <c r="G95" s="6"/>
      <c r="H95" s="6"/>
      <c r="I95" s="6"/>
      <c r="J95" s="6"/>
      <c r="K95" s="886" t="e">
        <f t="shared" si="3"/>
        <v>#DIV/0!</v>
      </c>
      <c r="L95" s="69">
        <f t="shared" si="4"/>
        <v>0</v>
      </c>
      <c r="N95" s="69"/>
    </row>
    <row r="96" spans="1:14" ht="15" hidden="1" customHeight="1">
      <c r="A96" s="49"/>
      <c r="B96" s="1345"/>
      <c r="C96" s="53" t="s">
        <v>4</v>
      </c>
      <c r="D96" s="6"/>
      <c r="E96" s="6"/>
      <c r="F96" s="6"/>
      <c r="G96" s="6"/>
      <c r="H96" s="6"/>
      <c r="I96" s="6"/>
      <c r="J96" s="6"/>
      <c r="K96" s="886" t="e">
        <f t="shared" si="3"/>
        <v>#DIV/0!</v>
      </c>
      <c r="L96" s="69">
        <f t="shared" si="4"/>
        <v>0</v>
      </c>
      <c r="N96" s="69"/>
    </row>
    <row r="97" spans="1:14" ht="15" hidden="1" customHeight="1">
      <c r="A97" s="49"/>
      <c r="B97" s="1345"/>
      <c r="C97" s="53"/>
      <c r="D97" s="6"/>
      <c r="E97" s="6"/>
      <c r="F97" s="6"/>
      <c r="G97" s="6"/>
      <c r="H97" s="6"/>
      <c r="I97" s="6"/>
      <c r="J97" s="6"/>
      <c r="K97" s="886" t="e">
        <f t="shared" si="3"/>
        <v>#DIV/0!</v>
      </c>
      <c r="L97" s="69">
        <f t="shared" si="4"/>
        <v>0</v>
      </c>
      <c r="N97" s="69"/>
    </row>
    <row r="98" spans="1:14" ht="15" hidden="1" customHeight="1">
      <c r="A98" s="49"/>
      <c r="B98" s="1364" t="s">
        <v>17</v>
      </c>
      <c r="C98" s="53">
        <v>100</v>
      </c>
      <c r="D98" s="6"/>
      <c r="E98" s="6"/>
      <c r="F98" s="6"/>
      <c r="G98" s="6"/>
      <c r="H98" s="6"/>
      <c r="I98" s="6"/>
      <c r="J98" s="6"/>
      <c r="K98" s="886" t="e">
        <f t="shared" si="3"/>
        <v>#DIV/0!</v>
      </c>
      <c r="L98" s="69">
        <f t="shared" si="4"/>
        <v>0</v>
      </c>
      <c r="N98" s="69"/>
    </row>
    <row r="99" spans="1:14" ht="15" hidden="1" customHeight="1">
      <c r="A99" s="49"/>
      <c r="B99" s="1345"/>
      <c r="C99" s="53">
        <v>200</v>
      </c>
      <c r="D99" s="6"/>
      <c r="E99" s="6"/>
      <c r="F99" s="6"/>
      <c r="G99" s="6"/>
      <c r="H99" s="6"/>
      <c r="I99" s="6"/>
      <c r="J99" s="6"/>
      <c r="K99" s="886" t="e">
        <f t="shared" si="3"/>
        <v>#DIV/0!</v>
      </c>
      <c r="L99" s="69">
        <f t="shared" si="4"/>
        <v>0</v>
      </c>
      <c r="N99" s="69"/>
    </row>
    <row r="100" spans="1:14" ht="15" hidden="1" customHeight="1">
      <c r="A100" s="49"/>
      <c r="B100" s="1345"/>
      <c r="C100" s="53" t="s">
        <v>4</v>
      </c>
      <c r="D100" s="6"/>
      <c r="E100" s="6"/>
      <c r="F100" s="6"/>
      <c r="G100" s="6"/>
      <c r="H100" s="6"/>
      <c r="I100" s="6"/>
      <c r="J100" s="6"/>
      <c r="K100" s="886" t="e">
        <f t="shared" si="3"/>
        <v>#DIV/0!</v>
      </c>
      <c r="L100" s="69">
        <f t="shared" si="4"/>
        <v>0</v>
      </c>
      <c r="N100" s="69"/>
    </row>
    <row r="101" spans="1:14" ht="15" hidden="1" customHeight="1">
      <c r="A101" s="49"/>
      <c r="B101" s="1345"/>
      <c r="C101" s="53"/>
      <c r="D101" s="6"/>
      <c r="E101" s="6"/>
      <c r="F101" s="6"/>
      <c r="G101" s="6"/>
      <c r="H101" s="6"/>
      <c r="I101" s="6"/>
      <c r="J101" s="6"/>
      <c r="K101" s="886" t="e">
        <f t="shared" si="3"/>
        <v>#DIV/0!</v>
      </c>
      <c r="L101" s="69">
        <f t="shared" si="4"/>
        <v>0</v>
      </c>
      <c r="N101" s="69"/>
    </row>
    <row r="102" spans="1:14" ht="15" hidden="1" customHeight="1">
      <c r="A102" s="49"/>
      <c r="B102" s="1364" t="s">
        <v>18</v>
      </c>
      <c r="C102" s="53">
        <v>100</v>
      </c>
      <c r="D102" s="6"/>
      <c r="E102" s="6"/>
      <c r="F102" s="6"/>
      <c r="G102" s="6"/>
      <c r="H102" s="6"/>
      <c r="I102" s="6"/>
      <c r="J102" s="6"/>
      <c r="K102" s="886" t="e">
        <f t="shared" si="3"/>
        <v>#DIV/0!</v>
      </c>
      <c r="L102" s="69">
        <f t="shared" si="4"/>
        <v>0</v>
      </c>
      <c r="N102" s="69"/>
    </row>
    <row r="103" spans="1:14" ht="15" hidden="1" customHeight="1">
      <c r="A103" s="49"/>
      <c r="B103" s="1345"/>
      <c r="C103" s="53">
        <v>200</v>
      </c>
      <c r="D103" s="6"/>
      <c r="E103" s="6"/>
      <c r="F103" s="6"/>
      <c r="G103" s="6"/>
      <c r="H103" s="6"/>
      <c r="I103" s="6"/>
      <c r="J103" s="6"/>
      <c r="K103" s="886" t="e">
        <f t="shared" si="3"/>
        <v>#DIV/0!</v>
      </c>
      <c r="L103" s="69">
        <f t="shared" si="4"/>
        <v>0</v>
      </c>
      <c r="N103" s="69"/>
    </row>
    <row r="104" spans="1:14" ht="15" hidden="1" customHeight="1">
      <c r="A104" s="49"/>
      <c r="B104" s="1345"/>
      <c r="C104" s="53" t="s">
        <v>4</v>
      </c>
      <c r="D104" s="6"/>
      <c r="E104" s="6"/>
      <c r="F104" s="6"/>
      <c r="G104" s="6"/>
      <c r="H104" s="6"/>
      <c r="I104" s="6"/>
      <c r="J104" s="6"/>
      <c r="K104" s="886" t="e">
        <f t="shared" si="3"/>
        <v>#DIV/0!</v>
      </c>
      <c r="L104" s="69">
        <f t="shared" si="4"/>
        <v>0</v>
      </c>
      <c r="N104" s="69"/>
    </row>
    <row r="105" spans="1:14" ht="15" hidden="1" customHeight="1">
      <c r="A105" s="49"/>
      <c r="B105" s="1345"/>
      <c r="C105" s="53"/>
      <c r="D105" s="6"/>
      <c r="E105" s="6"/>
      <c r="F105" s="6"/>
      <c r="G105" s="6"/>
      <c r="H105" s="6"/>
      <c r="I105" s="6"/>
      <c r="J105" s="6"/>
      <c r="K105" s="886" t="e">
        <f t="shared" si="3"/>
        <v>#DIV/0!</v>
      </c>
      <c r="L105" s="69">
        <f t="shared" si="4"/>
        <v>0</v>
      </c>
      <c r="N105" s="69"/>
    </row>
    <row r="106" spans="1:14" ht="15" hidden="1" customHeight="1">
      <c r="A106" s="49"/>
      <c r="B106" s="1364" t="s">
        <v>19</v>
      </c>
      <c r="C106" s="53">
        <v>100</v>
      </c>
      <c r="D106" s="6"/>
      <c r="E106" s="6"/>
      <c r="F106" s="6"/>
      <c r="G106" s="6"/>
      <c r="H106" s="6"/>
      <c r="I106" s="6"/>
      <c r="J106" s="6"/>
      <c r="K106" s="886" t="e">
        <f t="shared" si="3"/>
        <v>#DIV/0!</v>
      </c>
      <c r="L106" s="69">
        <f t="shared" si="4"/>
        <v>0</v>
      </c>
      <c r="N106" s="69"/>
    </row>
    <row r="107" spans="1:14" ht="15" hidden="1" customHeight="1">
      <c r="A107" s="49"/>
      <c r="B107" s="1345"/>
      <c r="C107" s="53">
        <v>200</v>
      </c>
      <c r="D107" s="6"/>
      <c r="E107" s="6"/>
      <c r="F107" s="6"/>
      <c r="G107" s="6"/>
      <c r="H107" s="6"/>
      <c r="I107" s="6"/>
      <c r="J107" s="6"/>
      <c r="K107" s="886" t="e">
        <f t="shared" si="3"/>
        <v>#DIV/0!</v>
      </c>
      <c r="L107" s="69">
        <f t="shared" si="4"/>
        <v>0</v>
      </c>
      <c r="N107" s="69"/>
    </row>
    <row r="108" spans="1:14" ht="15" hidden="1" customHeight="1">
      <c r="A108" s="49"/>
      <c r="B108" s="1345"/>
      <c r="C108" s="53" t="s">
        <v>4</v>
      </c>
      <c r="D108" s="6"/>
      <c r="E108" s="6"/>
      <c r="F108" s="6"/>
      <c r="G108" s="6"/>
      <c r="H108" s="6"/>
      <c r="I108" s="6"/>
      <c r="J108" s="6"/>
      <c r="K108" s="886" t="e">
        <f t="shared" si="3"/>
        <v>#DIV/0!</v>
      </c>
      <c r="L108" s="69">
        <f t="shared" si="4"/>
        <v>0</v>
      </c>
      <c r="N108" s="69"/>
    </row>
    <row r="109" spans="1:14" ht="15" hidden="1" customHeight="1">
      <c r="A109" s="49"/>
      <c r="B109" s="1345"/>
      <c r="C109" s="53"/>
      <c r="D109" s="6"/>
      <c r="E109" s="6"/>
      <c r="F109" s="6"/>
      <c r="G109" s="6"/>
      <c r="H109" s="6"/>
      <c r="I109" s="6"/>
      <c r="J109" s="6"/>
      <c r="K109" s="886" t="e">
        <f t="shared" si="3"/>
        <v>#DIV/0!</v>
      </c>
      <c r="L109" s="69">
        <f t="shared" si="4"/>
        <v>0</v>
      </c>
      <c r="N109" s="69"/>
    </row>
    <row r="110" spans="1:14" ht="15" hidden="1" customHeight="1">
      <c r="A110" s="49"/>
      <c r="B110" s="1364" t="s">
        <v>20</v>
      </c>
      <c r="C110" s="53">
        <v>100</v>
      </c>
      <c r="D110" s="6"/>
      <c r="E110" s="6"/>
      <c r="F110" s="6"/>
      <c r="G110" s="6"/>
      <c r="H110" s="6"/>
      <c r="I110" s="6"/>
      <c r="J110" s="6"/>
      <c r="K110" s="886" t="e">
        <f t="shared" si="3"/>
        <v>#DIV/0!</v>
      </c>
      <c r="L110" s="69">
        <f t="shared" si="4"/>
        <v>0</v>
      </c>
      <c r="N110" s="69"/>
    </row>
    <row r="111" spans="1:14" ht="15" hidden="1" customHeight="1">
      <c r="A111" s="49"/>
      <c r="B111" s="1345"/>
      <c r="C111" s="53">
        <v>200</v>
      </c>
      <c r="D111" s="6"/>
      <c r="E111" s="6"/>
      <c r="F111" s="6"/>
      <c r="G111" s="6"/>
      <c r="H111" s="6"/>
      <c r="I111" s="6"/>
      <c r="J111" s="6"/>
      <c r="K111" s="886" t="e">
        <f t="shared" si="3"/>
        <v>#DIV/0!</v>
      </c>
      <c r="L111" s="69">
        <f t="shared" si="4"/>
        <v>0</v>
      </c>
      <c r="N111" s="69"/>
    </row>
    <row r="112" spans="1:14" ht="15" hidden="1" customHeight="1">
      <c r="A112" s="49"/>
      <c r="B112" s="1345"/>
      <c r="C112" s="53" t="s">
        <v>4</v>
      </c>
      <c r="D112" s="6"/>
      <c r="E112" s="6"/>
      <c r="F112" s="6"/>
      <c r="G112" s="6"/>
      <c r="H112" s="6"/>
      <c r="I112" s="6"/>
      <c r="J112" s="6"/>
      <c r="K112" s="886" t="e">
        <f t="shared" si="3"/>
        <v>#DIV/0!</v>
      </c>
      <c r="L112" s="69">
        <f t="shared" si="4"/>
        <v>0</v>
      </c>
      <c r="N112" s="69"/>
    </row>
    <row r="113" spans="1:14" ht="15" hidden="1" customHeight="1">
      <c r="A113" s="49"/>
      <c r="B113" s="1345"/>
      <c r="C113" s="53"/>
      <c r="D113" s="6"/>
      <c r="E113" s="6"/>
      <c r="F113" s="6"/>
      <c r="G113" s="6"/>
      <c r="H113" s="6"/>
      <c r="I113" s="6"/>
      <c r="J113" s="6"/>
      <c r="K113" s="886" t="e">
        <f t="shared" si="3"/>
        <v>#DIV/0!</v>
      </c>
      <c r="L113" s="69">
        <f t="shared" si="4"/>
        <v>0</v>
      </c>
      <c r="N113" s="69"/>
    </row>
    <row r="114" spans="1:14" ht="15" hidden="1" customHeight="1">
      <c r="A114" s="49"/>
      <c r="B114" s="1364" t="s">
        <v>21</v>
      </c>
      <c r="C114" s="53">
        <v>100</v>
      </c>
      <c r="D114" s="6"/>
      <c r="E114" s="6"/>
      <c r="F114" s="6"/>
      <c r="G114" s="6"/>
      <c r="H114" s="6"/>
      <c r="I114" s="6"/>
      <c r="J114" s="6"/>
      <c r="K114" s="886" t="e">
        <f t="shared" si="3"/>
        <v>#DIV/0!</v>
      </c>
      <c r="L114" s="69">
        <f t="shared" si="4"/>
        <v>0</v>
      </c>
      <c r="N114" s="69"/>
    </row>
    <row r="115" spans="1:14" ht="15" hidden="1" customHeight="1">
      <c r="A115" s="49"/>
      <c r="B115" s="1345"/>
      <c r="C115" s="53">
        <v>200</v>
      </c>
      <c r="D115" s="6"/>
      <c r="E115" s="6"/>
      <c r="F115" s="6"/>
      <c r="G115" s="6"/>
      <c r="H115" s="6"/>
      <c r="I115" s="6"/>
      <c r="J115" s="6"/>
      <c r="K115" s="886" t="e">
        <f t="shared" si="3"/>
        <v>#DIV/0!</v>
      </c>
      <c r="L115" s="69">
        <f t="shared" si="4"/>
        <v>0</v>
      </c>
      <c r="N115" s="69"/>
    </row>
    <row r="116" spans="1:14" ht="15" hidden="1" customHeight="1">
      <c r="A116" s="49"/>
      <c r="B116" s="1345"/>
      <c r="C116" s="53" t="s">
        <v>4</v>
      </c>
      <c r="D116" s="6"/>
      <c r="E116" s="6"/>
      <c r="F116" s="6"/>
      <c r="G116" s="6"/>
      <c r="H116" s="6"/>
      <c r="I116" s="6"/>
      <c r="J116" s="6"/>
      <c r="K116" s="886" t="e">
        <f t="shared" si="3"/>
        <v>#DIV/0!</v>
      </c>
      <c r="L116" s="69">
        <f t="shared" si="4"/>
        <v>0</v>
      </c>
      <c r="N116" s="69"/>
    </row>
    <row r="117" spans="1:14" ht="15" hidden="1" customHeight="1">
      <c r="A117" s="49"/>
      <c r="B117" s="1345"/>
      <c r="C117" s="53"/>
      <c r="D117" s="6"/>
      <c r="E117" s="6"/>
      <c r="F117" s="6"/>
      <c r="G117" s="6"/>
      <c r="H117" s="6"/>
      <c r="I117" s="6"/>
      <c r="J117" s="6"/>
      <c r="K117" s="886" t="e">
        <f t="shared" si="3"/>
        <v>#DIV/0!</v>
      </c>
      <c r="L117" s="69">
        <f t="shared" si="4"/>
        <v>0</v>
      </c>
      <c r="N117" s="69"/>
    </row>
    <row r="118" spans="1:14" ht="15" hidden="1" customHeight="1">
      <c r="A118" s="49"/>
      <c r="B118" s="1364" t="s">
        <v>22</v>
      </c>
      <c r="C118" s="53">
        <v>100</v>
      </c>
      <c r="D118" s="6"/>
      <c r="E118" s="6"/>
      <c r="F118" s="6"/>
      <c r="G118" s="6"/>
      <c r="H118" s="6"/>
      <c r="I118" s="6"/>
      <c r="J118" s="6"/>
      <c r="K118" s="886" t="e">
        <f t="shared" si="3"/>
        <v>#DIV/0!</v>
      </c>
      <c r="L118" s="69">
        <f t="shared" si="4"/>
        <v>0</v>
      </c>
      <c r="N118" s="69"/>
    </row>
    <row r="119" spans="1:14" ht="15" hidden="1" customHeight="1">
      <c r="A119" s="49"/>
      <c r="B119" s="1345"/>
      <c r="C119" s="53">
        <v>200</v>
      </c>
      <c r="D119" s="6"/>
      <c r="E119" s="6"/>
      <c r="F119" s="6"/>
      <c r="G119" s="6"/>
      <c r="H119" s="6"/>
      <c r="I119" s="6"/>
      <c r="J119" s="6"/>
      <c r="K119" s="886" t="e">
        <f t="shared" si="3"/>
        <v>#DIV/0!</v>
      </c>
      <c r="L119" s="69">
        <f t="shared" si="4"/>
        <v>0</v>
      </c>
      <c r="N119" s="69"/>
    </row>
    <row r="120" spans="1:14" ht="15" hidden="1" customHeight="1">
      <c r="A120" s="49"/>
      <c r="B120" s="1345"/>
      <c r="C120" s="53" t="s">
        <v>4</v>
      </c>
      <c r="D120" s="6"/>
      <c r="E120" s="6"/>
      <c r="F120" s="6"/>
      <c r="G120" s="6"/>
      <c r="H120" s="6"/>
      <c r="I120" s="6"/>
      <c r="J120" s="6"/>
      <c r="K120" s="886" t="e">
        <f t="shared" si="3"/>
        <v>#DIV/0!</v>
      </c>
      <c r="L120" s="69">
        <f t="shared" si="4"/>
        <v>0</v>
      </c>
      <c r="N120" s="69"/>
    </row>
    <row r="121" spans="1:14">
      <c r="A121" s="49"/>
      <c r="B121" s="1345"/>
      <c r="C121" s="53"/>
      <c r="D121" s="6"/>
      <c r="E121" s="6"/>
      <c r="F121" s="6"/>
      <c r="G121" s="6"/>
      <c r="H121" s="6"/>
      <c r="I121" s="6"/>
      <c r="J121" s="6"/>
      <c r="K121" s="886"/>
      <c r="L121" s="69">
        <f t="shared" si="4"/>
        <v>0</v>
      </c>
      <c r="N121" s="69"/>
    </row>
    <row r="122" spans="1:14" ht="22.5">
      <c r="A122" s="49" t="s">
        <v>347</v>
      </c>
      <c r="B122" s="1362" t="s">
        <v>348</v>
      </c>
      <c r="C122" s="53"/>
      <c r="D122" s="6"/>
      <c r="E122" s="6"/>
      <c r="F122" s="6"/>
      <c r="G122" s="6"/>
      <c r="H122" s="6"/>
      <c r="I122" s="6"/>
      <c r="J122" s="6"/>
      <c r="K122" s="886"/>
      <c r="L122" s="69">
        <f t="shared" si="4"/>
        <v>0</v>
      </c>
      <c r="N122" s="69"/>
    </row>
    <row r="123" spans="1:14">
      <c r="A123" s="49"/>
      <c r="B123" s="1345"/>
      <c r="C123" s="53">
        <f>+[10]dec!C56</f>
        <v>100</v>
      </c>
      <c r="D123" s="6"/>
      <c r="E123" s="6"/>
      <c r="F123" s="6"/>
      <c r="G123" s="6"/>
      <c r="H123" s="6"/>
      <c r="I123" s="6"/>
      <c r="J123" s="6"/>
      <c r="K123" s="886"/>
      <c r="L123" s="69">
        <f t="shared" si="4"/>
        <v>0</v>
      </c>
      <c r="N123" s="69"/>
    </row>
    <row r="124" spans="1:14">
      <c r="A124" s="49"/>
      <c r="B124" s="1345"/>
      <c r="C124" s="53">
        <f>+[10]dec!C57</f>
        <v>200</v>
      </c>
      <c r="D124" s="6">
        <f>+'[4]saob conap 2012'!P33</f>
        <v>784921.86000000127</v>
      </c>
      <c r="E124" s="6"/>
      <c r="F124" s="6"/>
      <c r="G124" s="6"/>
      <c r="H124" s="6">
        <v>500000</v>
      </c>
      <c r="I124" s="6">
        <f>+'[4]saob conap 2012'!BT33-H124</f>
        <v>219926.13000000012</v>
      </c>
      <c r="J124" s="6">
        <f>+D124-H124-I124</f>
        <v>64995.730000001146</v>
      </c>
      <c r="K124" s="886">
        <f t="shared" si="3"/>
        <v>0.7718822627368751</v>
      </c>
      <c r="L124" s="69">
        <f t="shared" si="4"/>
        <v>284921.86000000127</v>
      </c>
      <c r="M124" s="565">
        <f>+I124/L124</f>
        <v>0.7718822627368751</v>
      </c>
      <c r="N124" s="69"/>
    </row>
    <row r="125" spans="1:14">
      <c r="A125" s="49"/>
      <c r="B125" s="1345"/>
      <c r="C125" s="53">
        <f>+[10]dec!C58</f>
        <v>300</v>
      </c>
      <c r="D125" s="6"/>
      <c r="E125" s="6"/>
      <c r="F125" s="6"/>
      <c r="G125" s="6"/>
      <c r="H125" s="6"/>
      <c r="I125" s="6"/>
      <c r="J125" s="6"/>
      <c r="K125" s="886"/>
      <c r="L125" s="69">
        <f t="shared" si="4"/>
        <v>0</v>
      </c>
      <c r="N125" s="69"/>
    </row>
    <row r="126" spans="1:14">
      <c r="A126" s="49"/>
      <c r="B126" s="1345"/>
      <c r="C126" s="53" t="str">
        <f>+[10]dec!C59</f>
        <v>FE</v>
      </c>
      <c r="D126" s="6"/>
      <c r="E126" s="6"/>
      <c r="F126" s="6"/>
      <c r="G126" s="6"/>
      <c r="H126" s="6"/>
      <c r="I126" s="6"/>
      <c r="J126" s="6"/>
      <c r="K126" s="886"/>
      <c r="L126" s="69">
        <f t="shared" si="4"/>
        <v>0</v>
      </c>
      <c r="N126" s="69"/>
    </row>
    <row r="127" spans="1:14">
      <c r="A127" s="49"/>
      <c r="B127" s="1345"/>
      <c r="C127" s="53" t="str">
        <f>+[10]dec!C60</f>
        <v>TOTAL</v>
      </c>
      <c r="D127" s="6">
        <f>SUM(D124:D126)</f>
        <v>784921.86000000127</v>
      </c>
      <c r="E127" s="6"/>
      <c r="F127" s="6"/>
      <c r="G127" s="6"/>
      <c r="H127" s="6">
        <f>SUM(H124:H126)</f>
        <v>500000</v>
      </c>
      <c r="I127" s="6">
        <f>SUM(I124:I126)</f>
        <v>219926.13000000012</v>
      </c>
      <c r="J127" s="6">
        <f>SUM(J124:J126)</f>
        <v>64995.730000001146</v>
      </c>
      <c r="K127" s="886">
        <f t="shared" si="3"/>
        <v>0.7718822627368751</v>
      </c>
      <c r="L127" s="69">
        <f t="shared" si="4"/>
        <v>284921.86000000127</v>
      </c>
      <c r="M127" s="565">
        <f>+I127/L127</f>
        <v>0.7718822627368751</v>
      </c>
      <c r="N127" s="69"/>
    </row>
    <row r="128" spans="1:14">
      <c r="A128" s="49" t="s">
        <v>349</v>
      </c>
      <c r="B128" s="1345" t="s">
        <v>350</v>
      </c>
      <c r="C128" s="53"/>
      <c r="D128" s="6"/>
      <c r="E128" s="6"/>
      <c r="F128" s="6"/>
      <c r="G128" s="6"/>
      <c r="H128" s="6"/>
      <c r="I128" s="6"/>
      <c r="J128" s="6"/>
      <c r="K128" s="886"/>
      <c r="L128" s="69">
        <f t="shared" si="4"/>
        <v>0</v>
      </c>
      <c r="N128" s="69"/>
    </row>
    <row r="129" spans="1:14">
      <c r="A129" s="49"/>
      <c r="B129" s="1345"/>
      <c r="C129" s="53">
        <f>+[10]dec!C56</f>
        <v>100</v>
      </c>
      <c r="D129" s="6"/>
      <c r="E129" s="6"/>
      <c r="F129" s="6"/>
      <c r="G129" s="6"/>
      <c r="H129" s="6"/>
      <c r="I129" s="6"/>
      <c r="J129" s="6"/>
      <c r="K129" s="886"/>
      <c r="L129" s="69">
        <f t="shared" si="4"/>
        <v>0</v>
      </c>
      <c r="N129" s="69"/>
    </row>
    <row r="130" spans="1:14">
      <c r="A130" s="49"/>
      <c r="B130" s="1345"/>
      <c r="C130" s="53">
        <f>+[10]dec!C57</f>
        <v>200</v>
      </c>
      <c r="D130" s="6">
        <f>+'[4]saob conap 2012'!P34</f>
        <v>202912.81000000052</v>
      </c>
      <c r="E130" s="6"/>
      <c r="F130" s="6"/>
      <c r="G130" s="6"/>
      <c r="H130" s="6">
        <v>135000</v>
      </c>
      <c r="I130" s="6">
        <f>+'[4]saob conap 2012'!BT34-H130</f>
        <v>64362.19</v>
      </c>
      <c r="J130" s="6">
        <f>+D130-H130-I130</f>
        <v>3550.6200000005192</v>
      </c>
      <c r="K130" s="886">
        <f t="shared" si="3"/>
        <v>0.94771796366546324</v>
      </c>
      <c r="L130" s="69">
        <f t="shared" si="4"/>
        <v>67912.810000000522</v>
      </c>
      <c r="M130" s="565">
        <f>+I130/L130</f>
        <v>0.94771796366546324</v>
      </c>
      <c r="N130" s="69"/>
    </row>
    <row r="131" spans="1:14">
      <c r="A131" s="49"/>
      <c r="B131" s="1345"/>
      <c r="C131" s="53">
        <f>+[10]dec!C58</f>
        <v>300</v>
      </c>
      <c r="D131" s="6"/>
      <c r="E131" s="6"/>
      <c r="F131" s="6"/>
      <c r="G131" s="6"/>
      <c r="H131" s="6"/>
      <c r="I131" s="6"/>
      <c r="J131" s="6"/>
      <c r="K131" s="886"/>
      <c r="L131" s="69">
        <f t="shared" si="4"/>
        <v>0</v>
      </c>
      <c r="N131" s="69"/>
    </row>
    <row r="132" spans="1:14">
      <c r="A132" s="49"/>
      <c r="B132" s="1345"/>
      <c r="C132" s="53" t="str">
        <f>+[10]dec!C59</f>
        <v>FE</v>
      </c>
      <c r="D132" s="6"/>
      <c r="E132" s="6"/>
      <c r="F132" s="6"/>
      <c r="G132" s="6"/>
      <c r="H132" s="6"/>
      <c r="I132" s="6"/>
      <c r="J132" s="6"/>
      <c r="K132" s="886"/>
      <c r="L132" s="69">
        <f t="shared" si="4"/>
        <v>0</v>
      </c>
      <c r="N132" s="69"/>
    </row>
    <row r="133" spans="1:14">
      <c r="A133" s="49"/>
      <c r="B133" s="1345"/>
      <c r="C133" s="53" t="str">
        <f>+[10]dec!C60</f>
        <v>TOTAL</v>
      </c>
      <c r="D133" s="6">
        <f>SUM(D130:D132)</f>
        <v>202912.81000000052</v>
      </c>
      <c r="E133" s="6"/>
      <c r="F133" s="6"/>
      <c r="G133" s="6"/>
      <c r="H133" s="6">
        <f>SUM(H130:H132)</f>
        <v>135000</v>
      </c>
      <c r="I133" s="6">
        <f>SUM(I130:I132)</f>
        <v>64362.19</v>
      </c>
      <c r="J133" s="6">
        <f>SUM(J130:J132)</f>
        <v>3550.6200000005192</v>
      </c>
      <c r="K133" s="886">
        <f t="shared" si="3"/>
        <v>0.94771796366546324</v>
      </c>
      <c r="L133" s="69">
        <f t="shared" si="4"/>
        <v>67912.810000000522</v>
      </c>
      <c r="M133" s="565">
        <f>+I133/L133</f>
        <v>0.94771796366546324</v>
      </c>
      <c r="N133" s="69"/>
    </row>
    <row r="134" spans="1:14" ht="23.25">
      <c r="A134" s="49" t="s">
        <v>351</v>
      </c>
      <c r="B134" s="1365" t="s">
        <v>352</v>
      </c>
      <c r="C134" s="53"/>
      <c r="D134" s="6"/>
      <c r="E134" s="6"/>
      <c r="F134" s="6"/>
      <c r="G134" s="6"/>
      <c r="H134" s="6"/>
      <c r="I134" s="6"/>
      <c r="J134" s="6"/>
      <c r="K134" s="886"/>
      <c r="L134" s="69">
        <f t="shared" si="4"/>
        <v>0</v>
      </c>
      <c r="N134" s="69"/>
    </row>
    <row r="135" spans="1:14">
      <c r="A135" s="49"/>
      <c r="B135" s="1345"/>
      <c r="C135" s="53">
        <f>+[10]dec!C62</f>
        <v>100</v>
      </c>
      <c r="D135" s="6"/>
      <c r="E135" s="6"/>
      <c r="F135" s="6"/>
      <c r="G135" s="6"/>
      <c r="H135" s="6"/>
      <c r="I135" s="6"/>
      <c r="J135" s="6"/>
      <c r="K135" s="886"/>
      <c r="L135" s="69">
        <f t="shared" si="4"/>
        <v>0</v>
      </c>
      <c r="N135" s="69"/>
    </row>
    <row r="136" spans="1:14">
      <c r="A136" s="49"/>
      <c r="B136" s="1345"/>
      <c r="C136" s="53">
        <f>+[10]dec!C63</f>
        <v>200</v>
      </c>
      <c r="D136" s="6">
        <f>+'[4]saob conap 2012'!P35</f>
        <v>484549.81000000238</v>
      </c>
      <c r="E136" s="6"/>
      <c r="F136" s="6"/>
      <c r="G136" s="6"/>
      <c r="H136" s="6"/>
      <c r="I136" s="6">
        <f>+'[4]saob conap 2012'!BT35</f>
        <v>484549.81</v>
      </c>
      <c r="J136" s="6">
        <f>+D136-H136-I136</f>
        <v>2.3865140974521637E-9</v>
      </c>
      <c r="K136" s="886">
        <f t="shared" si="3"/>
        <v>0.99999999999999512</v>
      </c>
      <c r="L136" s="69">
        <f t="shared" si="4"/>
        <v>484549.81000000238</v>
      </c>
      <c r="M136" s="565">
        <f>+I136/L136</f>
        <v>0.99999999999999512</v>
      </c>
      <c r="N136" s="69"/>
    </row>
    <row r="137" spans="1:14">
      <c r="A137" s="49"/>
      <c r="B137" s="1345"/>
      <c r="C137" s="53">
        <f>+[10]dec!C64</f>
        <v>300</v>
      </c>
      <c r="D137" s="6"/>
      <c r="E137" s="6"/>
      <c r="F137" s="6"/>
      <c r="G137" s="6"/>
      <c r="H137" s="6"/>
      <c r="I137" s="6"/>
      <c r="J137" s="6"/>
      <c r="K137" s="886"/>
      <c r="L137" s="69">
        <f t="shared" si="4"/>
        <v>0</v>
      </c>
      <c r="N137" s="69"/>
    </row>
    <row r="138" spans="1:14">
      <c r="A138" s="49"/>
      <c r="B138" s="1345"/>
      <c r="C138" s="53" t="str">
        <f>+[10]dec!C65</f>
        <v>FE</v>
      </c>
      <c r="D138" s="6"/>
      <c r="E138" s="6"/>
      <c r="F138" s="6"/>
      <c r="G138" s="6"/>
      <c r="H138" s="6"/>
      <c r="I138" s="6"/>
      <c r="J138" s="6"/>
      <c r="K138" s="886"/>
      <c r="L138" s="69">
        <f t="shared" si="4"/>
        <v>0</v>
      </c>
      <c r="N138" s="69"/>
    </row>
    <row r="139" spans="1:14">
      <c r="A139" s="49"/>
      <c r="B139" s="1345"/>
      <c r="C139" s="53" t="str">
        <f>+[10]dec!C66</f>
        <v>TOTAL</v>
      </c>
      <c r="D139" s="6">
        <f>SUM(D136:D138)</f>
        <v>484549.81000000238</v>
      </c>
      <c r="E139" s="6"/>
      <c r="F139" s="6"/>
      <c r="G139" s="6"/>
      <c r="H139" s="6">
        <f>SUM(H136:H138)</f>
        <v>0</v>
      </c>
      <c r="I139" s="6">
        <f>SUM(I136:I138)</f>
        <v>484549.81</v>
      </c>
      <c r="J139" s="6">
        <f>SUM(J136:J138)</f>
        <v>2.3865140974521637E-9</v>
      </c>
      <c r="K139" s="886">
        <f t="shared" si="3"/>
        <v>0.99999999999999512</v>
      </c>
      <c r="L139" s="69">
        <f t="shared" si="4"/>
        <v>484549.81000000238</v>
      </c>
      <c r="M139" s="565">
        <f>+I139/L139</f>
        <v>0.99999999999999512</v>
      </c>
      <c r="N139" s="69"/>
    </row>
    <row r="140" spans="1:14">
      <c r="A140" s="49"/>
      <c r="B140" s="1345" t="s">
        <v>357</v>
      </c>
      <c r="C140" s="53"/>
      <c r="D140" s="6"/>
      <c r="E140" s="6"/>
      <c r="F140" s="6"/>
      <c r="G140" s="6"/>
      <c r="H140" s="6"/>
      <c r="I140" s="6"/>
      <c r="J140" s="6"/>
      <c r="K140" s="886"/>
      <c r="L140" s="69">
        <f t="shared" si="4"/>
        <v>0</v>
      </c>
      <c r="N140" s="69"/>
    </row>
    <row r="141" spans="1:14">
      <c r="A141" s="49"/>
      <c r="B141" s="1345"/>
      <c r="C141" s="53">
        <f>+[10]dec!C56</f>
        <v>100</v>
      </c>
      <c r="D141" s="6">
        <f>+D147+D153+D159+D165+D171+D177+D183+D189+D201+D207+D213+D219+D225+D231+D237+D243+D249+D255+D261+D267+D273+D279+D195</f>
        <v>0</v>
      </c>
      <c r="E141" s="6"/>
      <c r="F141" s="6"/>
      <c r="G141" s="6"/>
      <c r="H141" s="6">
        <f t="shared" ref="H141:J145" si="5">+H147+H153+H159+H165+H171+H177+H183+H189+H201+H207+H213+H219+H225+H231+H237+H243+H249+H255+H261+H267+H273+H279+H195</f>
        <v>0</v>
      </c>
      <c r="I141" s="6">
        <f t="shared" si="5"/>
        <v>0</v>
      </c>
      <c r="J141" s="6">
        <f t="shared" si="5"/>
        <v>0</v>
      </c>
      <c r="K141" s="886"/>
      <c r="L141" s="69">
        <f t="shared" si="4"/>
        <v>0</v>
      </c>
      <c r="N141" s="69"/>
    </row>
    <row r="142" spans="1:14">
      <c r="A142" s="49"/>
      <c r="B142" s="1345"/>
      <c r="C142" s="53">
        <f>+[10]dec!C57</f>
        <v>200</v>
      </c>
      <c r="D142" s="6">
        <f>+D148+D154+D160+D166+D172+D178+D184+D190+D202+D208+D214+D220+D226+D232+D238+D244+D250+D256+D262+D268+D274+D280+D196</f>
        <v>179657125.72999966</v>
      </c>
      <c r="E142" s="6"/>
      <c r="F142" s="6"/>
      <c r="G142" s="6"/>
      <c r="H142" s="6">
        <f t="shared" si="5"/>
        <v>46973311.999999993</v>
      </c>
      <c r="I142" s="6">
        <f t="shared" si="5"/>
        <v>116690989.03999999</v>
      </c>
      <c r="J142" s="6">
        <f t="shared" si="5"/>
        <v>15992824.689999668</v>
      </c>
      <c r="K142" s="886">
        <f t="shared" si="3"/>
        <v>0.87946664901761329</v>
      </c>
      <c r="L142" s="69">
        <f t="shared" si="4"/>
        <v>132683813.72999966</v>
      </c>
      <c r="M142" s="565">
        <f>+I142/L142</f>
        <v>0.87946664901761329</v>
      </c>
      <c r="N142" s="69"/>
    </row>
    <row r="143" spans="1:14">
      <c r="A143" s="49"/>
      <c r="B143" s="1345"/>
      <c r="C143" s="53">
        <f>+[10]dec!C58</f>
        <v>300</v>
      </c>
      <c r="D143" s="6">
        <f>+D149+D155+D161+D167+D173+D179+D185+D191+D203+D209+D215+D221+D227+D233+D239+D245+D251+D257+D263+D269+D275+D281+D197</f>
        <v>662673763.85000038</v>
      </c>
      <c r="E143" s="6"/>
      <c r="F143" s="6"/>
      <c r="G143" s="6"/>
      <c r="H143" s="6">
        <f t="shared" si="5"/>
        <v>56454837</v>
      </c>
      <c r="I143" s="6">
        <f t="shared" si="5"/>
        <v>413763865</v>
      </c>
      <c r="J143" s="6">
        <f t="shared" si="5"/>
        <v>192455061.85000038</v>
      </c>
      <c r="K143" s="886">
        <f t="shared" si="3"/>
        <v>0.68253207987084108</v>
      </c>
      <c r="L143" s="69">
        <f t="shared" si="4"/>
        <v>606218926.85000038</v>
      </c>
      <c r="M143" s="565">
        <f>+I143/L143</f>
        <v>0.68253207987084108</v>
      </c>
      <c r="N143" s="69"/>
    </row>
    <row r="144" spans="1:14">
      <c r="A144" s="49"/>
      <c r="B144" s="1345"/>
      <c r="C144" s="53" t="str">
        <f>+[10]dec!C59</f>
        <v>FE</v>
      </c>
      <c r="D144" s="6">
        <f>+D150+D156+D162+D168+D174+D180+D186+D192+D204+D210+D216+D222+D228+D234+D240+D246+D252+D258+D264+D270+D276+D282+D198</f>
        <v>0</v>
      </c>
      <c r="E144" s="6"/>
      <c r="F144" s="6"/>
      <c r="G144" s="6"/>
      <c r="H144" s="6">
        <f t="shared" si="5"/>
        <v>0</v>
      </c>
      <c r="I144" s="6">
        <f t="shared" si="5"/>
        <v>0</v>
      </c>
      <c r="J144" s="6">
        <f t="shared" si="5"/>
        <v>0</v>
      </c>
      <c r="K144" s="886"/>
      <c r="L144" s="69">
        <f t="shared" ref="L144:L207" si="6">+D144-H144</f>
        <v>0</v>
      </c>
      <c r="M144" s="565"/>
      <c r="N144" s="69"/>
    </row>
    <row r="145" spans="1:14">
      <c r="A145" s="49"/>
      <c r="B145" s="1345"/>
      <c r="C145" s="53" t="str">
        <f>+[10]dec!C60</f>
        <v>TOTAL</v>
      </c>
      <c r="D145" s="6">
        <f>+D151+D157+D163+D169+D175+D181+D187+D193+D205+D211+D217+D223+D229+D235+D241+D247+D253+D259+D265+D271+D277+D283+D199</f>
        <v>842330889.58000004</v>
      </c>
      <c r="E145" s="6"/>
      <c r="F145" s="6"/>
      <c r="G145" s="6"/>
      <c r="H145" s="6">
        <f t="shared" si="5"/>
        <v>103428149</v>
      </c>
      <c r="I145" s="6">
        <f t="shared" si="5"/>
        <v>530454854.03999996</v>
      </c>
      <c r="J145" s="6">
        <f t="shared" si="5"/>
        <v>208447886.54000005</v>
      </c>
      <c r="K145" s="886">
        <f>+I145/L145</f>
        <v>0.71789536688363154</v>
      </c>
      <c r="L145" s="69">
        <f t="shared" si="6"/>
        <v>738902740.58000004</v>
      </c>
      <c r="M145" s="565">
        <f>+I145/L145</f>
        <v>0.71789536688363154</v>
      </c>
      <c r="N145" s="69"/>
    </row>
    <row r="146" spans="1:14">
      <c r="A146" s="49" t="s">
        <v>358</v>
      </c>
      <c r="B146" s="1345" t="str">
        <f>+[10]dec!B55</f>
        <v xml:space="preserve"> Regulation of Health Facilities and Services</v>
      </c>
      <c r="C146" s="53"/>
      <c r="D146" s="6"/>
      <c r="E146" s="6"/>
      <c r="F146" s="6"/>
      <c r="G146" s="6"/>
      <c r="H146" s="6"/>
      <c r="I146" s="6"/>
      <c r="J146" s="6"/>
      <c r="K146" s="886"/>
      <c r="L146" s="69">
        <f t="shared" si="6"/>
        <v>0</v>
      </c>
      <c r="N146" s="69"/>
    </row>
    <row r="147" spans="1:14">
      <c r="A147" s="49"/>
      <c r="B147" s="1345"/>
      <c r="C147" s="53">
        <f>+[10]dec!C56</f>
        <v>100</v>
      </c>
      <c r="D147" s="6"/>
      <c r="E147" s="6"/>
      <c r="F147" s="6"/>
      <c r="G147" s="6"/>
      <c r="H147" s="6"/>
      <c r="I147" s="6"/>
      <c r="J147" s="6"/>
      <c r="K147" s="886"/>
      <c r="L147" s="69">
        <f t="shared" si="6"/>
        <v>0</v>
      </c>
      <c r="N147" s="69"/>
    </row>
    <row r="148" spans="1:14">
      <c r="A148" s="49"/>
      <c r="B148" s="1345"/>
      <c r="C148" s="53">
        <f>+[10]dec!C57</f>
        <v>200</v>
      </c>
      <c r="D148" s="6">
        <f>+'[4]saob conap 2012'!P42</f>
        <v>90220.610000003129</v>
      </c>
      <c r="E148" s="6"/>
      <c r="F148" s="6"/>
      <c r="G148" s="6"/>
      <c r="H148" s="6">
        <v>65000</v>
      </c>
      <c r="I148" s="6">
        <f>+'[4]saob conap 2012'!BT42-H148</f>
        <v>24025.75</v>
      </c>
      <c r="J148" s="6">
        <f>+D148-H148-I148</f>
        <v>1194.8600000031292</v>
      </c>
      <c r="K148" s="886">
        <f>+I148/L148</f>
        <v>0.95262366770657092</v>
      </c>
      <c r="L148" s="69">
        <f t="shared" si="6"/>
        <v>25220.610000003129</v>
      </c>
      <c r="M148" s="565">
        <f>+I148/L148</f>
        <v>0.95262366770657092</v>
      </c>
      <c r="N148" s="69"/>
    </row>
    <row r="149" spans="1:14">
      <c r="A149" s="49"/>
      <c r="B149" s="1345"/>
      <c r="C149" s="53">
        <f>+[10]dec!C58</f>
        <v>300</v>
      </c>
      <c r="D149" s="6"/>
      <c r="E149" s="6"/>
      <c r="F149" s="6"/>
      <c r="G149" s="6"/>
      <c r="H149" s="6"/>
      <c r="I149" s="6"/>
      <c r="J149" s="6"/>
      <c r="K149" s="886"/>
      <c r="L149" s="69">
        <f t="shared" si="6"/>
        <v>0</v>
      </c>
      <c r="N149" s="69"/>
    </row>
    <row r="150" spans="1:14">
      <c r="A150" s="49"/>
      <c r="B150" s="1345"/>
      <c r="C150" s="53" t="str">
        <f>+[10]dec!C59</f>
        <v>FE</v>
      </c>
      <c r="D150" s="6"/>
      <c r="E150" s="6"/>
      <c r="F150" s="6"/>
      <c r="G150" s="6"/>
      <c r="H150" s="6"/>
      <c r="I150" s="6"/>
      <c r="J150" s="6"/>
      <c r="K150" s="886"/>
      <c r="L150" s="69">
        <f t="shared" si="6"/>
        <v>0</v>
      </c>
      <c r="N150" s="69"/>
    </row>
    <row r="151" spans="1:14">
      <c r="A151" s="49"/>
      <c r="B151" s="1345"/>
      <c r="C151" s="53" t="str">
        <f>+[10]dec!C60</f>
        <v>TOTAL</v>
      </c>
      <c r="D151" s="6">
        <f>SUM(D148:D150)</f>
        <v>90220.610000003129</v>
      </c>
      <c r="E151" s="6"/>
      <c r="F151" s="6"/>
      <c r="G151" s="6"/>
      <c r="H151" s="6">
        <f>SUM(H148:H150)</f>
        <v>65000</v>
      </c>
      <c r="I151" s="6">
        <f>SUM(I148:I150)</f>
        <v>24025.75</v>
      </c>
      <c r="J151" s="6">
        <f>SUM(J148:J150)</f>
        <v>1194.8600000031292</v>
      </c>
      <c r="K151" s="886">
        <f>+I151/L151</f>
        <v>0.95262366770657092</v>
      </c>
      <c r="L151" s="69">
        <f t="shared" si="6"/>
        <v>25220.610000003129</v>
      </c>
      <c r="M151" s="565">
        <f>+I151/L151</f>
        <v>0.95262366770657092</v>
      </c>
      <c r="N151" s="69"/>
    </row>
    <row r="152" spans="1:14">
      <c r="A152" s="49" t="str">
        <f>+[10]dec!A61</f>
        <v>A.III.a.3</v>
      </c>
      <c r="B152" s="1345" t="str">
        <f>+[10]dec!B61</f>
        <v xml:space="preserve"> Regulation of Health Devices and Technology</v>
      </c>
      <c r="C152" s="53"/>
      <c r="D152" s="6"/>
      <c r="E152" s="6"/>
      <c r="F152" s="6"/>
      <c r="G152" s="6"/>
      <c r="H152" s="6"/>
      <c r="I152" s="6"/>
      <c r="J152" s="6"/>
      <c r="K152" s="886"/>
      <c r="L152" s="69">
        <f t="shared" si="6"/>
        <v>0</v>
      </c>
      <c r="N152" s="69"/>
    </row>
    <row r="153" spans="1:14">
      <c r="A153" s="49"/>
      <c r="B153" s="1345"/>
      <c r="C153" s="53">
        <f>+[10]dec!C62</f>
        <v>100</v>
      </c>
      <c r="D153" s="6"/>
      <c r="E153" s="6"/>
      <c r="F153" s="6"/>
      <c r="G153" s="6"/>
      <c r="H153" s="6"/>
      <c r="I153" s="6"/>
      <c r="J153" s="6"/>
      <c r="K153" s="886"/>
      <c r="L153" s="69">
        <f t="shared" si="6"/>
        <v>0</v>
      </c>
      <c r="N153" s="69"/>
    </row>
    <row r="154" spans="1:14">
      <c r="A154" s="49"/>
      <c r="B154" s="1345"/>
      <c r="C154" s="53">
        <f>+[10]dec!C63</f>
        <v>200</v>
      </c>
      <c r="D154" s="6">
        <f>+'[4]saob conap 2012'!P43</f>
        <v>797435.58999999799</v>
      </c>
      <c r="E154" s="6"/>
      <c r="F154" s="6"/>
      <c r="G154" s="6"/>
      <c r="H154" s="6">
        <v>350000</v>
      </c>
      <c r="I154" s="6">
        <f>+'[4]saob conap 2012'!BT43-H154</f>
        <v>389443.83999999997</v>
      </c>
      <c r="J154" s="6">
        <f>+D154-H154-I154</f>
        <v>57991.749999998021</v>
      </c>
      <c r="K154" s="886">
        <f>+I154/L154</f>
        <v>0.87039084217686336</v>
      </c>
      <c r="L154" s="69">
        <f t="shared" si="6"/>
        <v>447435.58999999799</v>
      </c>
      <c r="M154" s="565">
        <f>+I154/L154</f>
        <v>0.87039084217686336</v>
      </c>
      <c r="N154" s="69"/>
    </row>
    <row r="155" spans="1:14">
      <c r="A155" s="49"/>
      <c r="B155" s="1345"/>
      <c r="C155" s="53">
        <f>+[10]dec!C64</f>
        <v>300</v>
      </c>
      <c r="D155" s="6">
        <f>+'[4]saob conap 2012'!Q43</f>
        <v>4800000</v>
      </c>
      <c r="E155" s="6"/>
      <c r="F155" s="6"/>
      <c r="G155" s="6"/>
      <c r="H155" s="6"/>
      <c r="I155" s="6">
        <f>+'[4]saob conap 2012'!BU43</f>
        <v>4033400</v>
      </c>
      <c r="J155" s="6">
        <f>+D155-H155-I155</f>
        <v>766600</v>
      </c>
      <c r="K155" s="886">
        <f>+I155/L155</f>
        <v>0.84029166666666666</v>
      </c>
      <c r="L155" s="69">
        <f t="shared" si="6"/>
        <v>4800000</v>
      </c>
      <c r="M155" s="565">
        <f>+I155/L155</f>
        <v>0.84029166666666666</v>
      </c>
      <c r="N155" s="69"/>
    </row>
    <row r="156" spans="1:14">
      <c r="A156" s="49"/>
      <c r="B156" s="1345"/>
      <c r="C156" s="53" t="str">
        <f>+[10]dec!C65</f>
        <v>FE</v>
      </c>
      <c r="D156" s="6"/>
      <c r="E156" s="6"/>
      <c r="F156" s="6"/>
      <c r="G156" s="6"/>
      <c r="H156" s="6"/>
      <c r="I156" s="6"/>
      <c r="J156" s="6"/>
      <c r="K156" s="886"/>
      <c r="L156" s="69">
        <f t="shared" si="6"/>
        <v>0</v>
      </c>
      <c r="M156" s="565"/>
      <c r="N156" s="69"/>
    </row>
    <row r="157" spans="1:14">
      <c r="A157" s="49"/>
      <c r="B157" s="1345"/>
      <c r="C157" s="53" t="str">
        <f>+[10]dec!C66</f>
        <v>TOTAL</v>
      </c>
      <c r="D157" s="6">
        <f>SUM(D154:D156)</f>
        <v>5597435.589999998</v>
      </c>
      <c r="E157" s="6"/>
      <c r="F157" s="6"/>
      <c r="G157" s="6"/>
      <c r="H157" s="6">
        <f>SUM(H154:H156)</f>
        <v>350000</v>
      </c>
      <c r="I157" s="6">
        <f>SUM(I154:I156)</f>
        <v>4422843.84</v>
      </c>
      <c r="J157" s="6">
        <f>SUM(J154:J156)</f>
        <v>824591.74999999802</v>
      </c>
      <c r="K157" s="886">
        <f>+I157/L157</f>
        <v>0.84285814740224407</v>
      </c>
      <c r="L157" s="69">
        <f t="shared" si="6"/>
        <v>5247435.589999998</v>
      </c>
      <c r="M157" s="565">
        <f>+I157/L157</f>
        <v>0.84285814740224407</v>
      </c>
      <c r="N157" s="69"/>
    </row>
    <row r="158" spans="1:14" ht="45">
      <c r="A158" s="49" t="s">
        <v>359</v>
      </c>
      <c r="B158" s="1362" t="s">
        <v>360</v>
      </c>
      <c r="C158" s="53"/>
      <c r="D158" s="6"/>
      <c r="E158" s="6"/>
      <c r="F158" s="6"/>
      <c r="G158" s="6"/>
      <c r="H158" s="6"/>
      <c r="I158" s="6"/>
      <c r="J158" s="6"/>
      <c r="K158" s="886"/>
      <c r="L158" s="69">
        <f t="shared" si="6"/>
        <v>0</v>
      </c>
      <c r="N158" s="69"/>
    </row>
    <row r="159" spans="1:14">
      <c r="A159" s="49"/>
      <c r="B159" s="1345"/>
      <c r="C159" s="53">
        <f>+[10]dec!C68</f>
        <v>100</v>
      </c>
      <c r="D159" s="6"/>
      <c r="E159" s="6"/>
      <c r="F159" s="6"/>
      <c r="G159" s="6"/>
      <c r="H159" s="6"/>
      <c r="I159" s="6"/>
      <c r="J159" s="6"/>
      <c r="K159" s="886"/>
      <c r="L159" s="69">
        <f t="shared" si="6"/>
        <v>0</v>
      </c>
      <c r="N159" s="69"/>
    </row>
    <row r="160" spans="1:14">
      <c r="A160" s="49"/>
      <c r="B160" s="1345"/>
      <c r="C160" s="53">
        <f>+[10]dec!C69</f>
        <v>200</v>
      </c>
      <c r="D160" s="6">
        <f>+'[4]saob conap 2012'!P44</f>
        <v>31134126.220000029</v>
      </c>
      <c r="E160" s="6"/>
      <c r="F160" s="6"/>
      <c r="G160" s="6"/>
      <c r="H160" s="168">
        <v>12200000</v>
      </c>
      <c r="I160" s="6">
        <f>+'[4]saob conap 2012'!BT44-H160</f>
        <v>18924929.969999999</v>
      </c>
      <c r="J160" s="6">
        <f>+D160-H160-I160</f>
        <v>9196.2500000298023</v>
      </c>
      <c r="K160" s="886">
        <f>+I160/L160</f>
        <v>0.9995143029103547</v>
      </c>
      <c r="L160" s="69">
        <f t="shared" si="6"/>
        <v>18934126.220000029</v>
      </c>
      <c r="M160" s="565">
        <f>+I160/L160</f>
        <v>0.9995143029103547</v>
      </c>
      <c r="N160" s="69"/>
    </row>
    <row r="161" spans="1:14">
      <c r="A161" s="49"/>
      <c r="B161" s="1345"/>
      <c r="C161" s="53">
        <f>+[10]dec!C70</f>
        <v>300</v>
      </c>
      <c r="D161" s="6"/>
      <c r="E161" s="6"/>
      <c r="F161" s="6"/>
      <c r="G161" s="6"/>
      <c r="H161" s="6"/>
      <c r="I161" s="6"/>
      <c r="J161" s="6"/>
      <c r="K161" s="886"/>
      <c r="L161" s="69">
        <f t="shared" si="6"/>
        <v>0</v>
      </c>
      <c r="N161" s="69"/>
    </row>
    <row r="162" spans="1:14">
      <c r="A162" s="49"/>
      <c r="B162" s="1345"/>
      <c r="C162" s="53" t="str">
        <f>+[10]dec!C71</f>
        <v>FE</v>
      </c>
      <c r="D162" s="6"/>
      <c r="E162" s="6"/>
      <c r="F162" s="6"/>
      <c r="G162" s="6"/>
      <c r="H162" s="6"/>
      <c r="I162" s="6"/>
      <c r="J162" s="6"/>
      <c r="K162" s="886"/>
      <c r="L162" s="69">
        <f t="shared" si="6"/>
        <v>0</v>
      </c>
      <c r="N162" s="69"/>
    </row>
    <row r="163" spans="1:14">
      <c r="A163" s="49"/>
      <c r="B163" s="1345"/>
      <c r="C163" s="53" t="str">
        <f>+[10]dec!C72</f>
        <v>TOTAL</v>
      </c>
      <c r="D163" s="6">
        <f>SUM(D160:D162)</f>
        <v>31134126.220000029</v>
      </c>
      <c r="E163" s="6"/>
      <c r="F163" s="6"/>
      <c r="G163" s="6"/>
      <c r="H163" s="6">
        <f>SUM(H160:H162)</f>
        <v>12200000</v>
      </c>
      <c r="I163" s="6">
        <f>SUM(I160:I162)</f>
        <v>18924929.969999999</v>
      </c>
      <c r="J163" s="6">
        <f>SUM(J160:J162)</f>
        <v>9196.2500000298023</v>
      </c>
      <c r="K163" s="886">
        <f>+I163/L163</f>
        <v>0.9995143029103547</v>
      </c>
      <c r="L163" s="69">
        <f t="shared" si="6"/>
        <v>18934126.220000029</v>
      </c>
      <c r="M163" s="565">
        <f>+I163/L163</f>
        <v>0.9995143029103547</v>
      </c>
      <c r="N163" s="69"/>
    </row>
    <row r="164" spans="1:14">
      <c r="A164" s="49" t="s">
        <v>361</v>
      </c>
      <c r="B164" s="1345" t="s">
        <v>362</v>
      </c>
      <c r="C164" s="53"/>
      <c r="D164" s="6"/>
      <c r="E164" s="6"/>
      <c r="F164" s="6"/>
      <c r="G164" s="6"/>
      <c r="H164" s="6"/>
      <c r="I164" s="6"/>
      <c r="J164" s="6"/>
      <c r="K164" s="886"/>
      <c r="L164" s="69">
        <f t="shared" si="6"/>
        <v>0</v>
      </c>
      <c r="N164" s="69"/>
    </row>
    <row r="165" spans="1:14">
      <c r="A165" s="49"/>
      <c r="B165" s="1345"/>
      <c r="C165" s="53">
        <f>+[10]dec!C74</f>
        <v>100</v>
      </c>
      <c r="D165" s="6"/>
      <c r="E165" s="6"/>
      <c r="F165" s="6"/>
      <c r="G165" s="6"/>
      <c r="H165" s="6"/>
      <c r="I165" s="6"/>
      <c r="J165" s="6"/>
      <c r="K165" s="886"/>
      <c r="L165" s="69">
        <f t="shared" si="6"/>
        <v>0</v>
      </c>
      <c r="N165" s="69"/>
    </row>
    <row r="166" spans="1:14">
      <c r="A166" s="49"/>
      <c r="B166" s="1345"/>
      <c r="C166" s="53">
        <f>+[10]dec!C75</f>
        <v>200</v>
      </c>
      <c r="D166" s="6">
        <f>+'[4]saob conap 2012'!P48</f>
        <v>300590.89999999106</v>
      </c>
      <c r="E166" s="6"/>
      <c r="F166" s="6"/>
      <c r="G166" s="6"/>
      <c r="H166" s="233">
        <v>160000</v>
      </c>
      <c r="I166" s="6">
        <f>+'[4]saob conap 2012'!BT48-H166</f>
        <v>136581.56</v>
      </c>
      <c r="J166" s="6">
        <f>+D166-H166-I166</f>
        <v>4009.3399999910616</v>
      </c>
      <c r="K166" s="886">
        <f>+I166/L166</f>
        <v>0.97148222253366812</v>
      </c>
      <c r="L166" s="69">
        <f t="shared" si="6"/>
        <v>140590.89999999106</v>
      </c>
      <c r="M166" s="565">
        <f>+I166/L166</f>
        <v>0.97148222253366812</v>
      </c>
      <c r="N166" s="69"/>
    </row>
    <row r="167" spans="1:14">
      <c r="A167" s="49"/>
      <c r="B167" s="1345"/>
      <c r="C167" s="53">
        <f>+[10]dec!C76</f>
        <v>300</v>
      </c>
      <c r="D167" s="6"/>
      <c r="E167" s="6"/>
      <c r="F167" s="6"/>
      <c r="G167" s="6"/>
      <c r="H167" s="6"/>
      <c r="I167" s="6"/>
      <c r="J167" s="6"/>
      <c r="K167" s="886"/>
      <c r="L167" s="69">
        <f t="shared" si="6"/>
        <v>0</v>
      </c>
      <c r="N167" s="69"/>
    </row>
    <row r="168" spans="1:14">
      <c r="A168" s="49"/>
      <c r="B168" s="1345"/>
      <c r="C168" s="53" t="str">
        <f>+[10]dec!C77</f>
        <v>FE</v>
      </c>
      <c r="D168" s="6"/>
      <c r="E168" s="6"/>
      <c r="F168" s="6"/>
      <c r="G168" s="6"/>
      <c r="H168" s="6"/>
      <c r="I168" s="6"/>
      <c r="J168" s="6"/>
      <c r="K168" s="886"/>
      <c r="L168" s="69">
        <f t="shared" si="6"/>
        <v>0</v>
      </c>
      <c r="N168" s="69"/>
    </row>
    <row r="169" spans="1:14">
      <c r="A169" s="49"/>
      <c r="B169" s="1345"/>
      <c r="C169" s="53" t="str">
        <f>+[10]dec!C78</f>
        <v>TOTAL</v>
      </c>
      <c r="D169" s="6">
        <f>SUM(D166:D168)</f>
        <v>300590.89999999106</v>
      </c>
      <c r="E169" s="6"/>
      <c r="F169" s="6"/>
      <c r="G169" s="6"/>
      <c r="H169" s="6">
        <f>SUM(H166:H168)</f>
        <v>160000</v>
      </c>
      <c r="I169" s="6">
        <f>SUM(I166:I168)</f>
        <v>136581.56</v>
      </c>
      <c r="J169" s="6">
        <f>SUM(J166:J168)</f>
        <v>4009.3399999910616</v>
      </c>
      <c r="K169" s="886">
        <f>+I169/L169</f>
        <v>0.97148222253366812</v>
      </c>
      <c r="L169" s="69">
        <f t="shared" si="6"/>
        <v>140590.89999999106</v>
      </c>
      <c r="M169" s="565">
        <f>+I169/L169</f>
        <v>0.97148222253366812</v>
      </c>
      <c r="N169" s="69"/>
    </row>
    <row r="170" spans="1:14" ht="33.75">
      <c r="A170" s="49" t="s">
        <v>363</v>
      </c>
      <c r="B170" s="1362" t="s">
        <v>364</v>
      </c>
      <c r="C170" s="53"/>
      <c r="D170" s="6"/>
      <c r="E170" s="6"/>
      <c r="F170" s="6"/>
      <c r="G170" s="6"/>
      <c r="H170" s="6"/>
      <c r="I170" s="6"/>
      <c r="J170" s="6"/>
      <c r="K170" s="886"/>
      <c r="L170" s="69">
        <f t="shared" si="6"/>
        <v>0</v>
      </c>
      <c r="N170" s="69"/>
    </row>
    <row r="171" spans="1:14">
      <c r="A171" s="49"/>
      <c r="B171" s="1345"/>
      <c r="C171" s="53">
        <f>+[10]dec!C80</f>
        <v>100</v>
      </c>
      <c r="D171" s="6"/>
      <c r="E171" s="6"/>
      <c r="F171" s="6"/>
      <c r="G171" s="6"/>
      <c r="H171" s="6"/>
      <c r="I171" s="6"/>
      <c r="J171" s="6"/>
      <c r="K171" s="886"/>
      <c r="L171" s="69">
        <f t="shared" si="6"/>
        <v>0</v>
      </c>
      <c r="N171" s="69"/>
    </row>
    <row r="172" spans="1:14">
      <c r="A172" s="49"/>
      <c r="B172" s="1345"/>
      <c r="C172" s="53">
        <f>+[10]dec!C81</f>
        <v>200</v>
      </c>
      <c r="D172" s="6">
        <f>+'[4]saob conap 2012'!P49</f>
        <v>899704.30999998748</v>
      </c>
      <c r="E172" s="6"/>
      <c r="F172" s="6"/>
      <c r="G172" s="6"/>
      <c r="H172" s="6"/>
      <c r="I172" s="6">
        <f>+'[4]saob conap 2012'!BT49</f>
        <v>899704.30999999994</v>
      </c>
      <c r="J172" s="6">
        <f>+D172-H172-I172</f>
        <v>-1.2456439435482025E-8</v>
      </c>
      <c r="K172" s="886">
        <f>+I172/L172</f>
        <v>1.0000000000000138</v>
      </c>
      <c r="L172" s="69">
        <f t="shared" si="6"/>
        <v>899704.30999998748</v>
      </c>
      <c r="M172" s="565">
        <f>+I172/L172</f>
        <v>1.0000000000000138</v>
      </c>
      <c r="N172" s="69"/>
    </row>
    <row r="173" spans="1:14">
      <c r="A173" s="49"/>
      <c r="B173" s="1345"/>
      <c r="C173" s="53">
        <f>+[10]dec!C82</f>
        <v>300</v>
      </c>
      <c r="D173" s="6"/>
      <c r="E173" s="6"/>
      <c r="F173" s="6"/>
      <c r="G173" s="6"/>
      <c r="H173" s="6"/>
      <c r="I173" s="6"/>
      <c r="J173" s="6"/>
      <c r="K173" s="886"/>
      <c r="L173" s="69">
        <f t="shared" si="6"/>
        <v>0</v>
      </c>
      <c r="N173" s="69"/>
    </row>
    <row r="174" spans="1:14">
      <c r="A174" s="49"/>
      <c r="B174" s="1345"/>
      <c r="C174" s="53" t="str">
        <f>+[10]dec!C83</f>
        <v>FE</v>
      </c>
      <c r="D174" s="6"/>
      <c r="E174" s="6"/>
      <c r="F174" s="6"/>
      <c r="G174" s="6"/>
      <c r="H174" s="6"/>
      <c r="I174" s="6"/>
      <c r="J174" s="6"/>
      <c r="K174" s="886"/>
      <c r="L174" s="69">
        <f t="shared" si="6"/>
        <v>0</v>
      </c>
      <c r="N174" s="69"/>
    </row>
    <row r="175" spans="1:14">
      <c r="A175" s="49"/>
      <c r="B175" s="1345"/>
      <c r="C175" s="53" t="str">
        <f>+[10]dec!C84</f>
        <v>TOTAL</v>
      </c>
      <c r="D175" s="6">
        <f>SUM(D172:D174)</f>
        <v>899704.30999998748</v>
      </c>
      <c r="E175" s="6"/>
      <c r="F175" s="6"/>
      <c r="G175" s="6"/>
      <c r="H175" s="6">
        <f>SUM(H172:H174)</f>
        <v>0</v>
      </c>
      <c r="I175" s="6">
        <f>SUM(I172:I174)</f>
        <v>899704.30999999994</v>
      </c>
      <c r="J175" s="6">
        <f>SUM(J172:J174)</f>
        <v>-1.2456439435482025E-8</v>
      </c>
      <c r="K175" s="886">
        <f>+I175/L175</f>
        <v>1.0000000000000138</v>
      </c>
      <c r="L175" s="69">
        <f t="shared" si="6"/>
        <v>899704.30999998748</v>
      </c>
      <c r="M175" s="565">
        <f>+I175/L175</f>
        <v>1.0000000000000138</v>
      </c>
      <c r="N175" s="69"/>
    </row>
    <row r="176" spans="1:14" ht="22.5">
      <c r="A176" s="49" t="s">
        <v>365</v>
      </c>
      <c r="B176" s="1362" t="s">
        <v>366</v>
      </c>
      <c r="C176" s="53"/>
      <c r="D176" s="6"/>
      <c r="E176" s="6"/>
      <c r="F176" s="6"/>
      <c r="G176" s="6"/>
      <c r="H176" s="6"/>
      <c r="I176" s="6"/>
      <c r="J176" s="6"/>
      <c r="K176" s="886"/>
      <c r="L176" s="69">
        <f t="shared" si="6"/>
        <v>0</v>
      </c>
      <c r="N176" s="69"/>
    </row>
    <row r="177" spans="1:14">
      <c r="A177" s="49"/>
      <c r="B177" s="1345"/>
      <c r="C177" s="53">
        <f>+[10]dec!C86</f>
        <v>100</v>
      </c>
      <c r="D177" s="6"/>
      <c r="E177" s="6"/>
      <c r="F177" s="6"/>
      <c r="G177" s="6"/>
      <c r="H177" s="6"/>
      <c r="I177" s="6"/>
      <c r="J177" s="6"/>
      <c r="K177" s="886"/>
      <c r="L177" s="69">
        <f t="shared" si="6"/>
        <v>0</v>
      </c>
      <c r="N177" s="69"/>
    </row>
    <row r="178" spans="1:14">
      <c r="A178" s="49"/>
      <c r="B178" s="1345"/>
      <c r="C178" s="53">
        <f>+[10]dec!C87</f>
        <v>200</v>
      </c>
      <c r="D178" s="6">
        <f>+'[4]saob conap 2012'!P50</f>
        <v>10914598.399999976</v>
      </c>
      <c r="E178" s="6"/>
      <c r="F178" s="6"/>
      <c r="G178" s="6"/>
      <c r="H178" s="233">
        <v>8000000</v>
      </c>
      <c r="I178" s="6">
        <f>+'[4]saob conap 2012'!BT50-H178</f>
        <v>2906902.0499999989</v>
      </c>
      <c r="J178" s="6">
        <f>+D178-H178-I178</f>
        <v>7696.3499999772757</v>
      </c>
      <c r="K178" s="886">
        <f>+I178/L178</f>
        <v>0.99735937891135285</v>
      </c>
      <c r="L178" s="69">
        <f t="shared" si="6"/>
        <v>2914598.3999999762</v>
      </c>
      <c r="M178" s="565">
        <f>+I178/L178</f>
        <v>0.99735937891135285</v>
      </c>
      <c r="N178" s="69"/>
    </row>
    <row r="179" spans="1:14">
      <c r="A179" s="49"/>
      <c r="B179" s="1345"/>
      <c r="C179" s="53">
        <f>+[10]dec!C88</f>
        <v>300</v>
      </c>
      <c r="D179" s="6"/>
      <c r="E179" s="6"/>
      <c r="F179" s="6"/>
      <c r="G179" s="6"/>
      <c r="H179" s="6"/>
      <c r="I179" s="6"/>
      <c r="J179" s="6"/>
      <c r="K179" s="886"/>
      <c r="L179" s="69">
        <f t="shared" si="6"/>
        <v>0</v>
      </c>
      <c r="N179" s="69"/>
    </row>
    <row r="180" spans="1:14">
      <c r="A180" s="49"/>
      <c r="B180" s="1345"/>
      <c r="C180" s="53" t="str">
        <f>+[10]dec!C89</f>
        <v>FE</v>
      </c>
      <c r="D180" s="6"/>
      <c r="E180" s="6"/>
      <c r="F180" s="6"/>
      <c r="G180" s="6"/>
      <c r="H180" s="6"/>
      <c r="I180" s="6"/>
      <c r="J180" s="6"/>
      <c r="K180" s="886"/>
      <c r="L180" s="69">
        <f t="shared" si="6"/>
        <v>0</v>
      </c>
      <c r="N180" s="69"/>
    </row>
    <row r="181" spans="1:14">
      <c r="A181" s="49"/>
      <c r="B181" s="1345"/>
      <c r="C181" s="53" t="str">
        <f>+[10]dec!C90</f>
        <v>TOTAL</v>
      </c>
      <c r="D181" s="6">
        <f>SUM(D178:D180)</f>
        <v>10914598.399999976</v>
      </c>
      <c r="E181" s="6"/>
      <c r="F181" s="6"/>
      <c r="G181" s="6"/>
      <c r="H181" s="6">
        <f>SUM(H178:H180)</f>
        <v>8000000</v>
      </c>
      <c r="I181" s="6">
        <f>SUM(I178:I180)</f>
        <v>2906902.0499999989</v>
      </c>
      <c r="J181" s="6">
        <f>SUM(J178:J180)</f>
        <v>7696.3499999772757</v>
      </c>
      <c r="K181" s="886">
        <f>+I181/L181</f>
        <v>0.99735937891135285</v>
      </c>
      <c r="L181" s="69">
        <f t="shared" si="6"/>
        <v>2914598.3999999762</v>
      </c>
      <c r="M181" s="565">
        <f>+I181/L181</f>
        <v>0.99735937891135285</v>
      </c>
      <c r="N181" s="69"/>
    </row>
    <row r="182" spans="1:14">
      <c r="A182" s="49" t="s">
        <v>367</v>
      </c>
      <c r="B182" s="1345" t="s">
        <v>368</v>
      </c>
      <c r="C182" s="53"/>
      <c r="D182" s="6"/>
      <c r="E182" s="6"/>
      <c r="F182" s="6"/>
      <c r="G182" s="6"/>
      <c r="H182" s="6"/>
      <c r="I182" s="6"/>
      <c r="J182" s="6"/>
      <c r="K182" s="886"/>
      <c r="L182" s="69">
        <f t="shared" si="6"/>
        <v>0</v>
      </c>
      <c r="N182" s="69"/>
    </row>
    <row r="183" spans="1:14">
      <c r="A183" s="49"/>
      <c r="B183" s="1345"/>
      <c r="C183" s="53">
        <f>+[10]dec!C92</f>
        <v>100</v>
      </c>
      <c r="D183" s="6"/>
      <c r="E183" s="6"/>
      <c r="F183" s="6"/>
      <c r="G183" s="6"/>
      <c r="H183" s="6"/>
      <c r="I183" s="6"/>
      <c r="J183" s="6"/>
      <c r="K183" s="886"/>
      <c r="L183" s="69">
        <f t="shared" si="6"/>
        <v>0</v>
      </c>
      <c r="N183" s="69"/>
    </row>
    <row r="184" spans="1:14">
      <c r="A184" s="49"/>
      <c r="B184" s="1345"/>
      <c r="C184" s="53">
        <f>+[10]dec!C93</f>
        <v>200</v>
      </c>
      <c r="D184" s="6">
        <f>+'[4]saob conap 2012'!P51</f>
        <v>234994.62999999523</v>
      </c>
      <c r="E184" s="6"/>
      <c r="F184" s="6"/>
      <c r="G184" s="6"/>
      <c r="H184" s="6">
        <v>150000</v>
      </c>
      <c r="I184" s="6">
        <f>+'[4]saob conap 2012'!BT51-H184</f>
        <v>83698.62</v>
      </c>
      <c r="J184" s="6">
        <f>+D184-H184-I184</f>
        <v>1296.0099999952363</v>
      </c>
      <c r="K184" s="886">
        <f>+I184/L184</f>
        <v>0.98475186020581174</v>
      </c>
      <c r="L184" s="69">
        <f t="shared" si="6"/>
        <v>84994.629999995232</v>
      </c>
      <c r="M184" s="565">
        <f>+I184/L184</f>
        <v>0.98475186020581174</v>
      </c>
      <c r="N184" s="69"/>
    </row>
    <row r="185" spans="1:14">
      <c r="A185" s="49"/>
      <c r="B185" s="1345"/>
      <c r="C185" s="53">
        <f>+[10]dec!C94</f>
        <v>300</v>
      </c>
      <c r="D185" s="6"/>
      <c r="E185" s="6"/>
      <c r="F185" s="6"/>
      <c r="G185" s="6"/>
      <c r="H185" s="6"/>
      <c r="I185" s="6"/>
      <c r="J185" s="6"/>
      <c r="K185" s="886"/>
      <c r="L185" s="69">
        <f t="shared" si="6"/>
        <v>0</v>
      </c>
      <c r="N185" s="69"/>
    </row>
    <row r="186" spans="1:14">
      <c r="A186" s="49"/>
      <c r="B186" s="1345"/>
      <c r="C186" s="53" t="str">
        <f>+[10]dec!C95</f>
        <v>FE</v>
      </c>
      <c r="D186" s="6"/>
      <c r="E186" s="6"/>
      <c r="F186" s="6"/>
      <c r="G186" s="6"/>
      <c r="H186" s="6"/>
      <c r="I186" s="6"/>
      <c r="J186" s="6"/>
      <c r="K186" s="886"/>
      <c r="L186" s="69">
        <f t="shared" si="6"/>
        <v>0</v>
      </c>
      <c r="N186" s="69"/>
    </row>
    <row r="187" spans="1:14">
      <c r="A187" s="49"/>
      <c r="B187" s="1345"/>
      <c r="C187" s="53" t="str">
        <f>+[10]dec!C96</f>
        <v>TOTAL</v>
      </c>
      <c r="D187" s="6">
        <f>SUM(D184:D186)</f>
        <v>234994.62999999523</v>
      </c>
      <c r="E187" s="6"/>
      <c r="F187" s="6"/>
      <c r="G187" s="6"/>
      <c r="H187" s="6">
        <f>SUM(H184:H186)</f>
        <v>150000</v>
      </c>
      <c r="I187" s="6">
        <f>SUM(I184:I186)</f>
        <v>83698.62</v>
      </c>
      <c r="J187" s="6">
        <f>SUM(J184:J186)</f>
        <v>1296.0099999952363</v>
      </c>
      <c r="K187" s="886">
        <f>+I187/L187</f>
        <v>0.98475186020581174</v>
      </c>
      <c r="L187" s="69">
        <f t="shared" si="6"/>
        <v>84994.629999995232</v>
      </c>
      <c r="M187" s="565">
        <f>+I187/L187</f>
        <v>0.98475186020581174</v>
      </c>
      <c r="N187" s="69"/>
    </row>
    <row r="188" spans="1:14">
      <c r="A188" s="49" t="s">
        <v>369</v>
      </c>
      <c r="B188" s="1345" t="s">
        <v>370</v>
      </c>
      <c r="C188" s="53"/>
      <c r="D188" s="6"/>
      <c r="E188" s="6"/>
      <c r="F188" s="6"/>
      <c r="G188" s="6"/>
      <c r="H188" s="6"/>
      <c r="I188" s="6"/>
      <c r="J188" s="6"/>
      <c r="K188" s="886"/>
      <c r="L188" s="69">
        <f t="shared" si="6"/>
        <v>0</v>
      </c>
      <c r="N188" s="69"/>
    </row>
    <row r="189" spans="1:14">
      <c r="A189" s="49"/>
      <c r="B189" s="1345"/>
      <c r="C189" s="53">
        <f>+[10]dec!C98</f>
        <v>100</v>
      </c>
      <c r="D189" s="6"/>
      <c r="E189" s="6"/>
      <c r="F189" s="6"/>
      <c r="G189" s="6"/>
      <c r="H189" s="6"/>
      <c r="I189" s="6"/>
      <c r="J189" s="6"/>
      <c r="K189" s="886"/>
      <c r="L189" s="69">
        <f t="shared" si="6"/>
        <v>0</v>
      </c>
      <c r="N189" s="69"/>
    </row>
    <row r="190" spans="1:14">
      <c r="A190" s="49"/>
      <c r="B190" s="1345"/>
      <c r="C190" s="53">
        <f>+[10]dec!C99</f>
        <v>200</v>
      </c>
      <c r="D190" s="6">
        <f>+'[4]saob conap 2012'!P52</f>
        <v>19363373.019999743</v>
      </c>
      <c r="E190" s="6"/>
      <c r="F190" s="6"/>
      <c r="G190" s="6"/>
      <c r="H190" s="6">
        <v>9308006.6600000001</v>
      </c>
      <c r="I190" s="6">
        <f>+'[4]saob conap 2012'!BT52-H190</f>
        <v>2755365.3999999985</v>
      </c>
      <c r="J190" s="6">
        <f>+D190-H190-I190</f>
        <v>7300000.9599997438</v>
      </c>
      <c r="K190" s="886">
        <f>+I190/L190</f>
        <v>0.27401939435651446</v>
      </c>
      <c r="L190" s="69">
        <f t="shared" si="6"/>
        <v>10055366.359999742</v>
      </c>
      <c r="M190" s="565">
        <f>+I190/L190</f>
        <v>0.27401939435651446</v>
      </c>
      <c r="N190" s="69"/>
    </row>
    <row r="191" spans="1:14">
      <c r="A191" s="49"/>
      <c r="B191" s="1345"/>
      <c r="C191" s="53">
        <f>+[10]dec!C100</f>
        <v>300</v>
      </c>
      <c r="D191" s="6"/>
      <c r="E191" s="6"/>
      <c r="F191" s="6"/>
      <c r="G191" s="6"/>
      <c r="H191" s="6"/>
      <c r="I191" s="6"/>
      <c r="J191" s="6"/>
      <c r="K191" s="886"/>
      <c r="L191" s="69">
        <f t="shared" si="6"/>
        <v>0</v>
      </c>
      <c r="N191" s="69"/>
    </row>
    <row r="192" spans="1:14">
      <c r="A192" s="49"/>
      <c r="B192" s="1345"/>
      <c r="C192" s="53" t="str">
        <f>+[10]dec!C101</f>
        <v>FE</v>
      </c>
      <c r="D192" s="6"/>
      <c r="E192" s="6"/>
      <c r="F192" s="6"/>
      <c r="G192" s="6"/>
      <c r="H192" s="6"/>
      <c r="I192" s="6"/>
      <c r="J192" s="6"/>
      <c r="K192" s="886"/>
      <c r="L192" s="69">
        <f t="shared" si="6"/>
        <v>0</v>
      </c>
      <c r="N192" s="69"/>
    </row>
    <row r="193" spans="1:14">
      <c r="A193" s="49"/>
      <c r="B193" s="1345"/>
      <c r="C193" s="53" t="str">
        <f>+[10]dec!C102</f>
        <v>TOTAL</v>
      </c>
      <c r="D193" s="6">
        <f>SUM(D190:D192)</f>
        <v>19363373.019999743</v>
      </c>
      <c r="E193" s="6"/>
      <c r="F193" s="6"/>
      <c r="G193" s="6"/>
      <c r="H193" s="6">
        <f>SUM(H190:H192)</f>
        <v>9308006.6600000001</v>
      </c>
      <c r="I193" s="6">
        <f>SUM(I190:I192)</f>
        <v>2755365.3999999985</v>
      </c>
      <c r="J193" s="6">
        <f>SUM(J190:J192)</f>
        <v>7300000.9599997438</v>
      </c>
      <c r="K193" s="886">
        <f>+I193/L193</f>
        <v>0.27401939435651446</v>
      </c>
      <c r="L193" s="69">
        <f t="shared" si="6"/>
        <v>10055366.359999742</v>
      </c>
      <c r="M193" s="565">
        <f>+I193/L193</f>
        <v>0.27401939435651446</v>
      </c>
      <c r="N193" s="69"/>
    </row>
    <row r="194" spans="1:14">
      <c r="A194" s="49" t="s">
        <v>371</v>
      </c>
      <c r="B194" s="1362" t="s">
        <v>762</v>
      </c>
      <c r="C194" s="53"/>
      <c r="D194" s="6"/>
      <c r="E194" s="6"/>
      <c r="F194" s="6"/>
      <c r="G194" s="6"/>
      <c r="H194" s="6"/>
      <c r="I194" s="6"/>
      <c r="J194" s="6"/>
      <c r="K194" s="886"/>
      <c r="L194" s="69">
        <f t="shared" si="6"/>
        <v>0</v>
      </c>
      <c r="N194" s="69"/>
    </row>
    <row r="195" spans="1:14">
      <c r="A195" s="49"/>
      <c r="B195" s="1345"/>
      <c r="C195" s="53">
        <v>100</v>
      </c>
      <c r="D195" s="6"/>
      <c r="E195" s="6"/>
      <c r="F195" s="6"/>
      <c r="G195" s="6"/>
      <c r="H195" s="6"/>
      <c r="I195" s="6"/>
      <c r="J195" s="6"/>
      <c r="K195" s="886"/>
      <c r="L195" s="69">
        <f t="shared" si="6"/>
        <v>0</v>
      </c>
      <c r="N195" s="69"/>
    </row>
    <row r="196" spans="1:14">
      <c r="A196" s="49"/>
      <c r="B196" s="1345"/>
      <c r="C196" s="53">
        <v>200</v>
      </c>
      <c r="D196" s="6">
        <v>-3000000</v>
      </c>
      <c r="E196" s="6"/>
      <c r="F196" s="6"/>
      <c r="G196" s="6"/>
      <c r="H196" s="6">
        <v>-3000000</v>
      </c>
      <c r="I196" s="6"/>
      <c r="J196" s="6">
        <f>+D196-H196-I196</f>
        <v>0</v>
      </c>
      <c r="K196" s="886"/>
      <c r="L196" s="69">
        <f t="shared" si="6"/>
        <v>0</v>
      </c>
      <c r="N196" s="69"/>
    </row>
    <row r="197" spans="1:14">
      <c r="A197" s="49"/>
      <c r="B197" s="1345"/>
      <c r="C197" s="53">
        <v>300</v>
      </c>
      <c r="D197" s="6">
        <v>3000000</v>
      </c>
      <c r="E197" s="6"/>
      <c r="F197" s="6"/>
      <c r="G197" s="6"/>
      <c r="H197" s="6">
        <v>3000000</v>
      </c>
      <c r="I197" s="6"/>
      <c r="J197" s="6">
        <f>+D197-H197-I197</f>
        <v>0</v>
      </c>
      <c r="K197" s="886"/>
      <c r="L197" s="69">
        <f t="shared" si="6"/>
        <v>0</v>
      </c>
      <c r="N197" s="69"/>
    </row>
    <row r="198" spans="1:14">
      <c r="A198" s="49"/>
      <c r="B198" s="1345"/>
      <c r="C198" s="53" t="s">
        <v>414</v>
      </c>
      <c r="D198" s="6"/>
      <c r="E198" s="6"/>
      <c r="F198" s="6"/>
      <c r="G198" s="6"/>
      <c r="H198" s="6"/>
      <c r="I198" s="6"/>
      <c r="J198" s="6"/>
      <c r="K198" s="886"/>
      <c r="L198" s="69">
        <f t="shared" si="6"/>
        <v>0</v>
      </c>
      <c r="N198" s="69"/>
    </row>
    <row r="199" spans="1:14">
      <c r="A199" s="49"/>
      <c r="B199" s="1345"/>
      <c r="C199" s="53" t="s">
        <v>4</v>
      </c>
      <c r="D199" s="6"/>
      <c r="E199" s="6"/>
      <c r="F199" s="6"/>
      <c r="G199" s="6"/>
      <c r="H199" s="6">
        <f>+H197+H196</f>
        <v>0</v>
      </c>
      <c r="I199" s="6">
        <f>+I197+I196</f>
        <v>0</v>
      </c>
      <c r="J199" s="6">
        <f>+J197+J196</f>
        <v>0</v>
      </c>
      <c r="K199" s="886"/>
      <c r="L199" s="69">
        <f t="shared" si="6"/>
        <v>0</v>
      </c>
      <c r="N199" s="69"/>
    </row>
    <row r="200" spans="1:14" ht="33.75">
      <c r="A200" s="49" t="s">
        <v>373</v>
      </c>
      <c r="B200" s="1362" t="s">
        <v>374</v>
      </c>
      <c r="C200" s="53"/>
      <c r="D200" s="6"/>
      <c r="E200" s="6"/>
      <c r="F200" s="6"/>
      <c r="G200" s="6"/>
      <c r="H200" s="6"/>
      <c r="I200" s="6"/>
      <c r="J200" s="6"/>
      <c r="K200" s="886"/>
      <c r="L200" s="69">
        <f t="shared" si="6"/>
        <v>0</v>
      </c>
      <c r="N200" s="69"/>
    </row>
    <row r="201" spans="1:14">
      <c r="A201" s="49"/>
      <c r="B201" s="1345"/>
      <c r="C201" s="53">
        <f>+[10]dec!C110</f>
        <v>100</v>
      </c>
      <c r="D201" s="6"/>
      <c r="E201" s="6"/>
      <c r="F201" s="6"/>
      <c r="G201" s="6"/>
      <c r="H201" s="6"/>
      <c r="I201" s="6"/>
      <c r="J201" s="6"/>
      <c r="K201" s="886"/>
      <c r="L201" s="69">
        <f t="shared" si="6"/>
        <v>0</v>
      </c>
      <c r="N201" s="69"/>
    </row>
    <row r="202" spans="1:14">
      <c r="A202" s="49"/>
      <c r="B202" s="1345"/>
      <c r="C202" s="53">
        <f>+[10]dec!C111</f>
        <v>200</v>
      </c>
      <c r="D202" s="6">
        <f>+'[4]saob conap 2012'!P54</f>
        <v>2639892.869999975</v>
      </c>
      <c r="E202" s="6"/>
      <c r="F202" s="6"/>
      <c r="G202" s="6"/>
      <c r="H202" s="6"/>
      <c r="I202" s="6">
        <f>+'[4]saob conap 2012'!BT54</f>
        <v>339892.87</v>
      </c>
      <c r="J202" s="6">
        <f>+D202-H202-I202</f>
        <v>2299999.9999999749</v>
      </c>
      <c r="K202" s="886">
        <f>+I202/L202</f>
        <v>0.12875252396132394</v>
      </c>
      <c r="L202" s="69">
        <f t="shared" si="6"/>
        <v>2639892.869999975</v>
      </c>
      <c r="M202" s="565">
        <f>+I202/L202</f>
        <v>0.12875252396132394</v>
      </c>
      <c r="N202" s="69"/>
    </row>
    <row r="203" spans="1:14">
      <c r="A203" s="49"/>
      <c r="B203" s="1345"/>
      <c r="C203" s="53">
        <f>+[10]dec!C112</f>
        <v>300</v>
      </c>
      <c r="D203" s="6"/>
      <c r="E203" s="6"/>
      <c r="F203" s="6"/>
      <c r="G203" s="6"/>
      <c r="H203" s="6"/>
      <c r="I203" s="6"/>
      <c r="J203" s="6"/>
      <c r="K203" s="886"/>
      <c r="L203" s="69">
        <f t="shared" si="6"/>
        <v>0</v>
      </c>
      <c r="N203" s="69"/>
    </row>
    <row r="204" spans="1:14">
      <c r="A204" s="49"/>
      <c r="B204" s="1345"/>
      <c r="C204" s="53" t="str">
        <f>+[10]dec!C113</f>
        <v>FE</v>
      </c>
      <c r="D204" s="6"/>
      <c r="E204" s="6"/>
      <c r="F204" s="6"/>
      <c r="G204" s="6"/>
      <c r="H204" s="6"/>
      <c r="I204" s="6"/>
      <c r="J204" s="6"/>
      <c r="K204" s="886"/>
      <c r="L204" s="69">
        <f t="shared" si="6"/>
        <v>0</v>
      </c>
      <c r="N204" s="69"/>
    </row>
    <row r="205" spans="1:14">
      <c r="A205" s="49"/>
      <c r="B205" s="1345"/>
      <c r="C205" s="53" t="str">
        <f>+[10]dec!C114</f>
        <v>TOTAL</v>
      </c>
      <c r="D205" s="6">
        <f>SUM(D202:D204)</f>
        <v>2639892.869999975</v>
      </c>
      <c r="E205" s="6"/>
      <c r="F205" s="6"/>
      <c r="G205" s="6"/>
      <c r="H205" s="6">
        <f>SUM(H202:H204)</f>
        <v>0</v>
      </c>
      <c r="I205" s="6">
        <f>SUM(I202:I204)</f>
        <v>339892.87</v>
      </c>
      <c r="J205" s="6">
        <f>SUM(J202:J204)</f>
        <v>2299999.9999999749</v>
      </c>
      <c r="K205" s="886">
        <f>+I205/L205</f>
        <v>0.12875252396132394</v>
      </c>
      <c r="L205" s="69">
        <f t="shared" si="6"/>
        <v>2639892.869999975</v>
      </c>
      <c r="M205" s="565">
        <f>+I205/L205</f>
        <v>0.12875252396132394</v>
      </c>
      <c r="N205" s="69"/>
    </row>
    <row r="206" spans="1:14" ht="22.5">
      <c r="A206" s="49" t="s">
        <v>375</v>
      </c>
      <c r="B206" s="1362" t="s">
        <v>376</v>
      </c>
      <c r="C206" s="53"/>
      <c r="D206" s="6"/>
      <c r="E206" s="6"/>
      <c r="F206" s="6"/>
      <c r="G206" s="6"/>
      <c r="H206" s="6"/>
      <c r="I206" s="6"/>
      <c r="J206" s="6"/>
      <c r="K206" s="886"/>
      <c r="L206" s="69">
        <f t="shared" si="6"/>
        <v>0</v>
      </c>
      <c r="N206" s="69"/>
    </row>
    <row r="207" spans="1:14">
      <c r="A207" s="49"/>
      <c r="B207" s="1345"/>
      <c r="C207" s="53">
        <f>+[10]dec!C116</f>
        <v>100</v>
      </c>
      <c r="D207" s="6"/>
      <c r="E207" s="6"/>
      <c r="F207" s="6"/>
      <c r="G207" s="6"/>
      <c r="H207" s="6"/>
      <c r="I207" s="6"/>
      <c r="J207" s="6"/>
      <c r="K207" s="886"/>
      <c r="L207" s="69">
        <f t="shared" si="6"/>
        <v>0</v>
      </c>
      <c r="N207" s="69"/>
    </row>
    <row r="208" spans="1:14">
      <c r="A208" s="49"/>
      <c r="B208" s="1345"/>
      <c r="C208" s="53">
        <f>+[10]dec!C117</f>
        <v>200</v>
      </c>
      <c r="D208" s="6">
        <f>+'[4]saob conap 2012'!P55</f>
        <v>10166840.369999997</v>
      </c>
      <c r="E208" s="6"/>
      <c r="F208" s="6"/>
      <c r="G208" s="6"/>
      <c r="H208" s="6"/>
      <c r="I208" s="6">
        <f>+'[4]saob conap 2012'!BT55</f>
        <v>10116426.370000001</v>
      </c>
      <c r="J208" s="6">
        <f>+D208-H208-I208</f>
        <v>50413.999999996275</v>
      </c>
      <c r="K208" s="886">
        <f>+I208/L208</f>
        <v>0.99504133062335109</v>
      </c>
      <c r="L208" s="69">
        <f t="shared" ref="L208:L271" si="7">+D208-H208</f>
        <v>10166840.369999997</v>
      </c>
      <c r="M208" s="565">
        <f>+I208/L208</f>
        <v>0.99504133062335109</v>
      </c>
      <c r="N208" s="69"/>
    </row>
    <row r="209" spans="1:14">
      <c r="A209" s="49"/>
      <c r="B209" s="1345"/>
      <c r="C209" s="53">
        <f>+[10]dec!C118</f>
        <v>300</v>
      </c>
      <c r="D209" s="6"/>
      <c r="E209" s="6"/>
      <c r="F209" s="6"/>
      <c r="G209" s="6"/>
      <c r="H209" s="6"/>
      <c r="I209" s="6"/>
      <c r="J209" s="6"/>
      <c r="K209" s="886"/>
      <c r="L209" s="69">
        <f t="shared" si="7"/>
        <v>0</v>
      </c>
      <c r="N209" s="69"/>
    </row>
    <row r="210" spans="1:14">
      <c r="A210" s="49"/>
      <c r="B210" s="1345"/>
      <c r="C210" s="53" t="str">
        <f>+[10]dec!C119</f>
        <v>FE</v>
      </c>
      <c r="D210" s="6"/>
      <c r="E210" s="6"/>
      <c r="F210" s="6"/>
      <c r="G210" s="6"/>
      <c r="H210" s="6"/>
      <c r="I210" s="6"/>
      <c r="J210" s="6"/>
      <c r="K210" s="886"/>
      <c r="L210" s="69">
        <f t="shared" si="7"/>
        <v>0</v>
      </c>
      <c r="N210" s="69"/>
    </row>
    <row r="211" spans="1:14">
      <c r="A211" s="49"/>
      <c r="B211" s="1345"/>
      <c r="C211" s="53" t="str">
        <f>+[10]dec!C120</f>
        <v>TOTAL</v>
      </c>
      <c r="D211" s="6">
        <f>SUM(D208:D210)</f>
        <v>10166840.369999997</v>
      </c>
      <c r="E211" s="6"/>
      <c r="F211" s="6"/>
      <c r="G211" s="6"/>
      <c r="H211" s="6">
        <f>SUM(H208:H210)</f>
        <v>0</v>
      </c>
      <c r="I211" s="6">
        <f>SUM(I208:I210)</f>
        <v>10116426.370000001</v>
      </c>
      <c r="J211" s="6">
        <f>SUM(J208:J210)</f>
        <v>50413.999999996275</v>
      </c>
      <c r="K211" s="886">
        <f>+I211/L211</f>
        <v>0.99504133062335109</v>
      </c>
      <c r="L211" s="69">
        <f t="shared" si="7"/>
        <v>10166840.369999997</v>
      </c>
      <c r="M211" s="565">
        <f>+I211/L211</f>
        <v>0.99504133062335109</v>
      </c>
      <c r="N211" s="69"/>
    </row>
    <row r="212" spans="1:14">
      <c r="A212" s="49" t="s">
        <v>377</v>
      </c>
      <c r="B212" s="1345" t="s">
        <v>378</v>
      </c>
      <c r="C212" s="53"/>
      <c r="D212" s="6"/>
      <c r="E212" s="6"/>
      <c r="F212" s="6"/>
      <c r="G212" s="6"/>
      <c r="H212" s="6"/>
      <c r="I212" s="6"/>
      <c r="J212" s="6"/>
      <c r="K212" s="886"/>
      <c r="L212" s="69">
        <f t="shared" si="7"/>
        <v>0</v>
      </c>
      <c r="N212" s="69"/>
    </row>
    <row r="213" spans="1:14">
      <c r="A213" s="49"/>
      <c r="B213" s="1345"/>
      <c r="C213" s="53">
        <f>+[10]dec!C122</f>
        <v>100</v>
      </c>
      <c r="D213" s="6"/>
      <c r="E213" s="6"/>
      <c r="F213" s="6"/>
      <c r="G213" s="6"/>
      <c r="H213" s="6"/>
      <c r="I213" s="6"/>
      <c r="J213" s="6"/>
      <c r="K213" s="886"/>
      <c r="L213" s="69">
        <f t="shared" si="7"/>
        <v>0</v>
      </c>
      <c r="N213" s="69"/>
    </row>
    <row r="214" spans="1:14">
      <c r="A214" s="49"/>
      <c r="B214" s="1345"/>
      <c r="C214" s="53">
        <f>+[10]dec!C123</f>
        <v>200</v>
      </c>
      <c r="D214" s="6">
        <f>+'[4]saob conap 2012'!P56</f>
        <v>63959005.539999962</v>
      </c>
      <c r="E214" s="6"/>
      <c r="F214" s="6"/>
      <c r="G214" s="6"/>
      <c r="H214" s="6">
        <v>3000000</v>
      </c>
      <c r="I214" s="6">
        <f>+'[4]saob conap 2012'!BT56-H214</f>
        <v>60875255.539999992</v>
      </c>
      <c r="J214" s="6">
        <f>+D214-H214-I214</f>
        <v>83749.999999970198</v>
      </c>
      <c r="K214" s="886">
        <f>+I214/L214</f>
        <v>0.99862612588151534</v>
      </c>
      <c r="L214" s="69">
        <f t="shared" si="7"/>
        <v>60959005.539999962</v>
      </c>
      <c r="M214" s="565">
        <f>+I214/L214</f>
        <v>0.99862612588151534</v>
      </c>
      <c r="N214" s="69"/>
    </row>
    <row r="215" spans="1:14">
      <c r="A215" s="49"/>
      <c r="B215" s="1345"/>
      <c r="C215" s="53">
        <f>+[10]dec!C124</f>
        <v>300</v>
      </c>
      <c r="D215" s="6"/>
      <c r="E215" s="6"/>
      <c r="F215" s="6"/>
      <c r="G215" s="6"/>
      <c r="H215" s="6"/>
      <c r="I215" s="6"/>
      <c r="J215" s="6"/>
      <c r="K215" s="886"/>
      <c r="L215" s="69">
        <f t="shared" si="7"/>
        <v>0</v>
      </c>
      <c r="N215" s="69"/>
    </row>
    <row r="216" spans="1:14">
      <c r="A216" s="49"/>
      <c r="B216" s="1345"/>
      <c r="C216" s="53" t="str">
        <f>+[10]dec!C125</f>
        <v>FE</v>
      </c>
      <c r="D216" s="6"/>
      <c r="E216" s="6"/>
      <c r="F216" s="6"/>
      <c r="G216" s="6"/>
      <c r="H216" s="6"/>
      <c r="I216" s="6"/>
      <c r="J216" s="6"/>
      <c r="K216" s="886"/>
      <c r="L216" s="69">
        <f t="shared" si="7"/>
        <v>0</v>
      </c>
      <c r="N216" s="69"/>
    </row>
    <row r="217" spans="1:14">
      <c r="A217" s="49"/>
      <c r="B217" s="1345"/>
      <c r="C217" s="53" t="str">
        <f>+[10]dec!C126</f>
        <v>TOTAL</v>
      </c>
      <c r="D217" s="6">
        <f>SUM(D214:D216)</f>
        <v>63959005.539999962</v>
      </c>
      <c r="E217" s="6"/>
      <c r="F217" s="6"/>
      <c r="G217" s="6"/>
      <c r="H217" s="6">
        <f>SUM(H214:H216)</f>
        <v>3000000</v>
      </c>
      <c r="I217" s="6">
        <f>SUM(I214:I216)</f>
        <v>60875255.539999992</v>
      </c>
      <c r="J217" s="6">
        <f>SUM(J214:J216)</f>
        <v>83749.999999970198</v>
      </c>
      <c r="K217" s="886">
        <f>+I217/L217</f>
        <v>0.99862612588151534</v>
      </c>
      <c r="L217" s="69">
        <f t="shared" si="7"/>
        <v>60959005.539999962</v>
      </c>
      <c r="M217" s="565">
        <f>+I217/L217</f>
        <v>0.99862612588151534</v>
      </c>
      <c r="N217" s="69"/>
    </row>
    <row r="218" spans="1:14">
      <c r="A218" s="49" t="s">
        <v>379</v>
      </c>
      <c r="B218" s="1345" t="s">
        <v>380</v>
      </c>
      <c r="C218" s="53"/>
      <c r="D218" s="6"/>
      <c r="E218" s="6"/>
      <c r="F218" s="6"/>
      <c r="G218" s="6"/>
      <c r="H218" s="6"/>
      <c r="I218" s="6"/>
      <c r="J218" s="6"/>
      <c r="K218" s="886"/>
      <c r="L218" s="69">
        <f t="shared" si="7"/>
        <v>0</v>
      </c>
      <c r="N218" s="69"/>
    </row>
    <row r="219" spans="1:14">
      <c r="A219" s="49"/>
      <c r="B219" s="1345"/>
      <c r="C219" s="53">
        <f>+[10]dec!C128</f>
        <v>100</v>
      </c>
      <c r="D219" s="6"/>
      <c r="E219" s="6"/>
      <c r="F219" s="6"/>
      <c r="G219" s="6"/>
      <c r="H219" s="6"/>
      <c r="I219" s="6"/>
      <c r="J219" s="6"/>
      <c r="K219" s="886"/>
      <c r="L219" s="69">
        <f t="shared" si="7"/>
        <v>0</v>
      </c>
      <c r="N219" s="69"/>
    </row>
    <row r="220" spans="1:14">
      <c r="A220" s="49"/>
      <c r="B220" s="1345"/>
      <c r="C220" s="53">
        <f>+[10]dec!C129</f>
        <v>200</v>
      </c>
      <c r="D220" s="6">
        <f>+'[4]saob conap 2012'!P57</f>
        <v>591635.95999999344</v>
      </c>
      <c r="E220" s="6"/>
      <c r="F220" s="6"/>
      <c r="G220" s="6"/>
      <c r="H220" s="6">
        <v>500000</v>
      </c>
      <c r="I220" s="6">
        <f>+'[4]saob conap 2012'!BT57-H220</f>
        <v>24251.840000000026</v>
      </c>
      <c r="J220" s="6">
        <f>+D220-H220-I220</f>
        <v>67384.119999993418</v>
      </c>
      <c r="K220" s="886">
        <f>+I220/L220</f>
        <v>0.26465418161169219</v>
      </c>
      <c r="L220" s="69">
        <f t="shared" si="7"/>
        <v>91635.959999993443</v>
      </c>
      <c r="M220" s="565">
        <f>+I220/L220</f>
        <v>0.26465418161169219</v>
      </c>
      <c r="N220" s="69"/>
    </row>
    <row r="221" spans="1:14">
      <c r="A221" s="49"/>
      <c r="B221" s="1345"/>
      <c r="C221" s="53">
        <f>+[10]dec!C130</f>
        <v>300</v>
      </c>
      <c r="D221" s="6"/>
      <c r="E221" s="6"/>
      <c r="F221" s="6"/>
      <c r="G221" s="6"/>
      <c r="H221" s="6"/>
      <c r="I221" s="6"/>
      <c r="J221" s="6"/>
      <c r="K221" s="886"/>
      <c r="L221" s="69">
        <f t="shared" si="7"/>
        <v>0</v>
      </c>
      <c r="N221" s="69"/>
    </row>
    <row r="222" spans="1:14">
      <c r="A222" s="49"/>
      <c r="B222" s="1345"/>
      <c r="C222" s="53" t="str">
        <f>+[10]dec!C131</f>
        <v>FE</v>
      </c>
      <c r="D222" s="6"/>
      <c r="E222" s="6"/>
      <c r="F222" s="6"/>
      <c r="G222" s="6"/>
      <c r="H222" s="6"/>
      <c r="I222" s="6"/>
      <c r="J222" s="6"/>
      <c r="K222" s="886"/>
      <c r="L222" s="69">
        <f t="shared" si="7"/>
        <v>0</v>
      </c>
      <c r="N222" s="69"/>
    </row>
    <row r="223" spans="1:14">
      <c r="A223" s="49"/>
      <c r="B223" s="1345"/>
      <c r="C223" s="53" t="str">
        <f>+[10]dec!C132</f>
        <v>TOTAL</v>
      </c>
      <c r="D223" s="6">
        <f>SUM(D220:D222)</f>
        <v>591635.95999999344</v>
      </c>
      <c r="E223" s="6"/>
      <c r="F223" s="6"/>
      <c r="G223" s="6"/>
      <c r="H223" s="6">
        <f>SUM(H220:H222)</f>
        <v>500000</v>
      </c>
      <c r="I223" s="6">
        <f>SUM(I220:I222)</f>
        <v>24251.840000000026</v>
      </c>
      <c r="J223" s="6">
        <f>SUM(J220:J222)</f>
        <v>67384.119999993418</v>
      </c>
      <c r="K223" s="886">
        <f>+I223/L223</f>
        <v>0.26465418161169219</v>
      </c>
      <c r="L223" s="69">
        <f t="shared" si="7"/>
        <v>91635.959999993443</v>
      </c>
      <c r="M223" s="565">
        <f>+I223/L223</f>
        <v>0.26465418161169219</v>
      </c>
      <c r="N223" s="69"/>
    </row>
    <row r="224" spans="1:14">
      <c r="A224" s="49" t="s">
        <v>381</v>
      </c>
      <c r="B224" s="1345" t="s">
        <v>382</v>
      </c>
      <c r="C224" s="53"/>
      <c r="D224" s="6"/>
      <c r="E224" s="6"/>
      <c r="F224" s="6"/>
      <c r="G224" s="6"/>
      <c r="H224" s="6"/>
      <c r="I224" s="6"/>
      <c r="J224" s="6"/>
      <c r="K224" s="886"/>
      <c r="L224" s="69">
        <f t="shared" si="7"/>
        <v>0</v>
      </c>
      <c r="N224" s="69"/>
    </row>
    <row r="225" spans="1:14">
      <c r="A225" s="49"/>
      <c r="B225" s="1345"/>
      <c r="C225" s="53">
        <f>+[10]dec!C134</f>
        <v>100</v>
      </c>
      <c r="D225" s="6"/>
      <c r="E225" s="6"/>
      <c r="F225" s="6"/>
      <c r="G225" s="6"/>
      <c r="H225" s="6"/>
      <c r="I225" s="6"/>
      <c r="J225" s="6"/>
      <c r="K225" s="886"/>
      <c r="L225" s="69">
        <f t="shared" si="7"/>
        <v>0</v>
      </c>
      <c r="N225" s="69"/>
    </row>
    <row r="226" spans="1:14">
      <c r="A226" s="49"/>
      <c r="B226" s="1345"/>
      <c r="C226" s="53">
        <f>+[10]dec!C135</f>
        <v>200</v>
      </c>
      <c r="D226" s="6">
        <f>+'[4]saob conap 2012'!P58</f>
        <v>861425.87000000104</v>
      </c>
      <c r="E226" s="6"/>
      <c r="F226" s="6"/>
      <c r="G226" s="6"/>
      <c r="H226" s="6">
        <v>700000</v>
      </c>
      <c r="I226" s="6">
        <f>+'[4]saob conap 2012'!BT58-H226</f>
        <v>9992.0100000000093</v>
      </c>
      <c r="J226" s="6">
        <f>+D226-H226-I226</f>
        <v>151433.86000000103</v>
      </c>
      <c r="K226" s="886">
        <f>+I226/L226</f>
        <v>6.1898442919960384E-2</v>
      </c>
      <c r="L226" s="69">
        <f t="shared" si="7"/>
        <v>161425.87000000104</v>
      </c>
      <c r="M226" s="565">
        <f>+I226/L226</f>
        <v>6.1898442919960384E-2</v>
      </c>
      <c r="N226" s="69"/>
    </row>
    <row r="227" spans="1:14">
      <c r="A227" s="49"/>
      <c r="B227" s="1345"/>
      <c r="C227" s="53">
        <f>+[10]dec!C136</f>
        <v>300</v>
      </c>
      <c r="D227" s="6"/>
      <c r="E227" s="6"/>
      <c r="F227" s="6"/>
      <c r="G227" s="6"/>
      <c r="H227" s="6"/>
      <c r="I227" s="6"/>
      <c r="J227" s="6"/>
      <c r="K227" s="886"/>
      <c r="L227" s="69">
        <f t="shared" si="7"/>
        <v>0</v>
      </c>
      <c r="N227" s="69"/>
    </row>
    <row r="228" spans="1:14">
      <c r="A228" s="49"/>
      <c r="B228" s="1345"/>
      <c r="C228" s="53" t="str">
        <f>+[10]dec!C137</f>
        <v>FE</v>
      </c>
      <c r="D228" s="6"/>
      <c r="E228" s="6"/>
      <c r="F228" s="6"/>
      <c r="G228" s="6"/>
      <c r="H228" s="6"/>
      <c r="I228" s="6"/>
      <c r="J228" s="6"/>
      <c r="K228" s="886"/>
      <c r="L228" s="69">
        <f t="shared" si="7"/>
        <v>0</v>
      </c>
      <c r="N228" s="69"/>
    </row>
    <row r="229" spans="1:14">
      <c r="A229" s="49"/>
      <c r="B229" s="1345"/>
      <c r="C229" s="53" t="str">
        <f>+[10]dec!C138</f>
        <v>TOTAL</v>
      </c>
      <c r="D229" s="6">
        <f>SUM(D226:D228)</f>
        <v>861425.87000000104</v>
      </c>
      <c r="E229" s="6"/>
      <c r="F229" s="6"/>
      <c r="G229" s="6"/>
      <c r="H229" s="6">
        <f>SUM(H226:H228)</f>
        <v>700000</v>
      </c>
      <c r="I229" s="6">
        <f>SUM(I226:I228)</f>
        <v>9992.0100000000093</v>
      </c>
      <c r="J229" s="6">
        <f>SUM(J226:J228)</f>
        <v>151433.86000000103</v>
      </c>
      <c r="K229" s="886">
        <f>+I229/L229</f>
        <v>6.1898442919960384E-2</v>
      </c>
      <c r="L229" s="69">
        <f t="shared" si="7"/>
        <v>161425.87000000104</v>
      </c>
      <c r="M229" s="565">
        <f>+I229/L229</f>
        <v>6.1898442919960384E-2</v>
      </c>
      <c r="N229" s="69"/>
    </row>
    <row r="230" spans="1:14">
      <c r="A230" s="49" t="s">
        <v>383</v>
      </c>
      <c r="B230" s="1345" t="s">
        <v>384</v>
      </c>
      <c r="C230" s="53"/>
      <c r="D230" s="6"/>
      <c r="E230" s="6"/>
      <c r="F230" s="6"/>
      <c r="G230" s="6"/>
      <c r="H230" s="6"/>
      <c r="I230" s="6"/>
      <c r="J230" s="6"/>
      <c r="K230" s="886"/>
      <c r="L230" s="69">
        <f t="shared" si="7"/>
        <v>0</v>
      </c>
      <c r="N230" s="69"/>
    </row>
    <row r="231" spans="1:14">
      <c r="A231" s="49"/>
      <c r="B231" s="1345"/>
      <c r="C231" s="53">
        <f>+[10]dec!C140</f>
        <v>100</v>
      </c>
      <c r="D231" s="6"/>
      <c r="E231" s="6"/>
      <c r="F231" s="6"/>
      <c r="G231" s="6"/>
      <c r="H231" s="6"/>
      <c r="I231" s="6"/>
      <c r="J231" s="6"/>
      <c r="K231" s="886"/>
      <c r="L231" s="69">
        <f t="shared" si="7"/>
        <v>0</v>
      </c>
      <c r="N231" s="69"/>
    </row>
    <row r="232" spans="1:14">
      <c r="A232" s="49"/>
      <c r="B232" s="1345"/>
      <c r="C232" s="53">
        <f>+[10]dec!C141</f>
        <v>200</v>
      </c>
      <c r="D232" s="6">
        <f>+'[4]saob conap 2012'!P59</f>
        <v>13285994.369999975</v>
      </c>
      <c r="E232" s="6"/>
      <c r="F232" s="6"/>
      <c r="G232" s="6"/>
      <c r="H232" s="233">
        <v>4545509.8</v>
      </c>
      <c r="I232" s="6">
        <f>+'[4]saob conap 2012'!BT59-H232</f>
        <v>5671121.2400000012</v>
      </c>
      <c r="J232" s="6">
        <f>+D232-H232-I232</f>
        <v>3069363.3299999731</v>
      </c>
      <c r="K232" s="886">
        <f>+I232/L232</f>
        <v>0.64883373394022459</v>
      </c>
      <c r="L232" s="69">
        <f t="shared" si="7"/>
        <v>8740484.5699999742</v>
      </c>
      <c r="M232" s="565">
        <f>+I232/L232</f>
        <v>0.64883373394022459</v>
      </c>
      <c r="N232" s="69"/>
    </row>
    <row r="233" spans="1:14">
      <c r="A233" s="49"/>
      <c r="B233" s="1345"/>
      <c r="C233" s="53">
        <f>+[10]dec!C142</f>
        <v>300</v>
      </c>
      <c r="D233" s="6"/>
      <c r="E233" s="6"/>
      <c r="F233" s="6"/>
      <c r="G233" s="6"/>
      <c r="H233" s="6"/>
      <c r="I233" s="6"/>
      <c r="J233" s="6"/>
      <c r="K233" s="886"/>
      <c r="L233" s="69">
        <f t="shared" si="7"/>
        <v>0</v>
      </c>
      <c r="N233" s="69"/>
    </row>
    <row r="234" spans="1:14">
      <c r="A234" s="49"/>
      <c r="B234" s="1345"/>
      <c r="C234" s="53" t="str">
        <f>+[10]dec!C143</f>
        <v>FE</v>
      </c>
      <c r="D234" s="6"/>
      <c r="E234" s="6"/>
      <c r="F234" s="6"/>
      <c r="G234" s="6"/>
      <c r="H234" s="6"/>
      <c r="I234" s="6"/>
      <c r="J234" s="6"/>
      <c r="K234" s="886"/>
      <c r="L234" s="69">
        <f t="shared" si="7"/>
        <v>0</v>
      </c>
      <c r="N234" s="69"/>
    </row>
    <row r="235" spans="1:14">
      <c r="A235" s="49"/>
      <c r="B235" s="1345"/>
      <c r="C235" s="53" t="str">
        <f>+[10]dec!C144</f>
        <v>TOTAL</v>
      </c>
      <c r="D235" s="6">
        <f>SUM(D232:D234)</f>
        <v>13285994.369999975</v>
      </c>
      <c r="E235" s="6"/>
      <c r="F235" s="6"/>
      <c r="G235" s="6"/>
      <c r="H235" s="6">
        <f>SUM(H232:H234)</f>
        <v>4545509.8</v>
      </c>
      <c r="I235" s="6">
        <f>SUM(I232:I234)</f>
        <v>5671121.2400000012</v>
      </c>
      <c r="J235" s="6">
        <f>SUM(J232:J234)</f>
        <v>3069363.3299999731</v>
      </c>
      <c r="K235" s="886">
        <f>+I235/L235</f>
        <v>0.64883373394022459</v>
      </c>
      <c r="L235" s="69">
        <f t="shared" si="7"/>
        <v>8740484.5699999742</v>
      </c>
      <c r="M235" s="565">
        <f>+I235/L235</f>
        <v>0.64883373394022459</v>
      </c>
      <c r="N235" s="69"/>
    </row>
    <row r="236" spans="1:14" ht="22.5">
      <c r="A236" s="49" t="s">
        <v>385</v>
      </c>
      <c r="B236" s="1362" t="s">
        <v>386</v>
      </c>
      <c r="C236" s="53"/>
      <c r="D236" s="6"/>
      <c r="E236" s="6"/>
      <c r="F236" s="6"/>
      <c r="G236" s="6"/>
      <c r="H236" s="6"/>
      <c r="I236" s="6"/>
      <c r="J236" s="6"/>
      <c r="K236" s="886"/>
      <c r="L236" s="69">
        <f t="shared" si="7"/>
        <v>0</v>
      </c>
      <c r="N236" s="69"/>
    </row>
    <row r="237" spans="1:14">
      <c r="A237" s="49"/>
      <c r="B237" s="1345"/>
      <c r="C237" s="53">
        <f>+[10]dec!C146</f>
        <v>100</v>
      </c>
      <c r="D237" s="6"/>
      <c r="E237" s="6"/>
      <c r="F237" s="6"/>
      <c r="G237" s="6"/>
      <c r="H237" s="6"/>
      <c r="I237" s="6"/>
      <c r="J237" s="6"/>
      <c r="K237" s="886"/>
      <c r="L237" s="69">
        <f t="shared" si="7"/>
        <v>0</v>
      </c>
      <c r="N237" s="69"/>
    </row>
    <row r="238" spans="1:14">
      <c r="A238" s="49"/>
      <c r="B238" s="1345"/>
      <c r="C238" s="53">
        <f>+[10]dec!C147</f>
        <v>200</v>
      </c>
      <c r="D238" s="6">
        <f>+'[4]saob conap 2012'!P60</f>
        <v>8646110.930000037</v>
      </c>
      <c r="E238" s="6"/>
      <c r="F238" s="6"/>
      <c r="G238" s="6"/>
      <c r="H238" s="6">
        <v>2929172</v>
      </c>
      <c r="I238" s="6">
        <f>+'[4]saob conap 2012'!BT60-H238</f>
        <v>5417373.9800000004</v>
      </c>
      <c r="J238" s="6">
        <f>+D238-H238-I238</f>
        <v>299564.95000003651</v>
      </c>
      <c r="K238" s="886">
        <f>+I238/L238</f>
        <v>0.94760046352287441</v>
      </c>
      <c r="L238" s="69">
        <f t="shared" si="7"/>
        <v>5716938.930000037</v>
      </c>
      <c r="M238" s="565">
        <f>+I238/L238</f>
        <v>0.94760046352287441</v>
      </c>
      <c r="N238" s="69"/>
    </row>
    <row r="239" spans="1:14">
      <c r="A239" s="49"/>
      <c r="B239" s="1345"/>
      <c r="C239" s="53">
        <f>+[10]dec!C148</f>
        <v>300</v>
      </c>
      <c r="D239" s="6">
        <f>+'[4]saob conap 2012'!Q60</f>
        <v>80000000</v>
      </c>
      <c r="E239" s="6"/>
      <c r="F239" s="6"/>
      <c r="G239" s="6"/>
      <c r="H239" s="6"/>
      <c r="I239" s="6">
        <f>+'[4]saob conap 2012'!BU60</f>
        <v>79997680</v>
      </c>
      <c r="J239" s="6">
        <f>+D239-H239-I239</f>
        <v>2320</v>
      </c>
      <c r="K239" s="886">
        <f>+I239/L239</f>
        <v>0.99997100000000005</v>
      </c>
      <c r="L239" s="69">
        <f t="shared" si="7"/>
        <v>80000000</v>
      </c>
      <c r="M239" s="565">
        <f>+I239/L239</f>
        <v>0.99997100000000005</v>
      </c>
      <c r="N239" s="69"/>
    </row>
    <row r="240" spans="1:14">
      <c r="A240" s="49"/>
      <c r="B240" s="1345"/>
      <c r="C240" s="53" t="str">
        <f>+[10]dec!C149</f>
        <v>FE</v>
      </c>
      <c r="D240" s="6"/>
      <c r="E240" s="6"/>
      <c r="F240" s="6"/>
      <c r="G240" s="6"/>
      <c r="H240" s="6"/>
      <c r="I240" s="6"/>
      <c r="J240" s="6"/>
      <c r="K240" s="886"/>
      <c r="L240" s="69">
        <f t="shared" si="7"/>
        <v>0</v>
      </c>
      <c r="N240" s="69"/>
    </row>
    <row r="241" spans="1:14">
      <c r="A241" s="49"/>
      <c r="B241" s="1345"/>
      <c r="C241" s="53" t="str">
        <f>+[10]dec!C150</f>
        <v>TOTAL</v>
      </c>
      <c r="D241" s="6">
        <f>SUM(D238:D240)</f>
        <v>88646110.930000037</v>
      </c>
      <c r="E241" s="6"/>
      <c r="F241" s="6"/>
      <c r="G241" s="6"/>
      <c r="H241" s="6">
        <f>SUM(H238:H240)</f>
        <v>2929172</v>
      </c>
      <c r="I241" s="6">
        <f>SUM(I238:I240)</f>
        <v>85415053.980000004</v>
      </c>
      <c r="J241" s="6">
        <f>SUM(J238:J240)</f>
        <v>301884.95000003651</v>
      </c>
      <c r="K241" s="886">
        <f>+I241/L241</f>
        <v>0.99647811793364949</v>
      </c>
      <c r="L241" s="69">
        <f t="shared" si="7"/>
        <v>85716938.930000037</v>
      </c>
      <c r="M241" s="565">
        <f>+I241/L241</f>
        <v>0.99647811793364949</v>
      </c>
      <c r="N241" s="69"/>
    </row>
    <row r="242" spans="1:14" ht="22.5">
      <c r="A242" s="49" t="s">
        <v>387</v>
      </c>
      <c r="B242" s="1362" t="s">
        <v>388</v>
      </c>
      <c r="C242" s="53"/>
      <c r="D242" s="6"/>
      <c r="E242" s="6"/>
      <c r="F242" s="6"/>
      <c r="G242" s="6"/>
      <c r="H242" s="6"/>
      <c r="I242" s="6"/>
      <c r="J242" s="6"/>
      <c r="K242" s="886"/>
      <c r="L242" s="69">
        <f t="shared" si="7"/>
        <v>0</v>
      </c>
      <c r="N242" s="69"/>
    </row>
    <row r="243" spans="1:14">
      <c r="A243" s="49"/>
      <c r="B243" s="1345"/>
      <c r="C243" s="53">
        <f>+[10]dec!C152</f>
        <v>100</v>
      </c>
      <c r="D243" s="6"/>
      <c r="E243" s="6"/>
      <c r="F243" s="6"/>
      <c r="G243" s="6"/>
      <c r="H243" s="6"/>
      <c r="I243" s="6"/>
      <c r="J243" s="6"/>
      <c r="K243" s="886"/>
      <c r="L243" s="69">
        <f t="shared" si="7"/>
        <v>0</v>
      </c>
      <c r="N243" s="69"/>
    </row>
    <row r="244" spans="1:14">
      <c r="A244" s="49"/>
      <c r="B244" s="1345"/>
      <c r="C244" s="53">
        <f>+[10]dec!C153</f>
        <v>200</v>
      </c>
      <c r="D244" s="6">
        <f>+'[4]saob conap 2012'!P61</f>
        <v>2844109.3199999928</v>
      </c>
      <c r="E244" s="6"/>
      <c r="F244" s="6"/>
      <c r="G244" s="6"/>
      <c r="H244" s="6">
        <v>200000</v>
      </c>
      <c r="I244" s="6">
        <f>+'[4]saob conap 2012'!BT61-H244</f>
        <v>2643122.2000000002</v>
      </c>
      <c r="J244" s="6">
        <f>+D244-H244-I244</f>
        <v>987.11999999266118</v>
      </c>
      <c r="K244" s="886">
        <f>+I244/L244</f>
        <v>0.99962667201672561</v>
      </c>
      <c r="L244" s="69">
        <f t="shared" si="7"/>
        <v>2644109.3199999928</v>
      </c>
      <c r="M244" s="565">
        <f>+I244/L244</f>
        <v>0.99962667201672561</v>
      </c>
      <c r="N244" s="69"/>
    </row>
    <row r="245" spans="1:14">
      <c r="A245" s="49"/>
      <c r="B245" s="1345"/>
      <c r="C245" s="53">
        <f>+[10]dec!C154</f>
        <v>300</v>
      </c>
      <c r="D245" s="6"/>
      <c r="E245" s="6"/>
      <c r="F245" s="6"/>
      <c r="G245" s="6"/>
      <c r="H245" s="6"/>
      <c r="I245" s="6"/>
      <c r="J245" s="6"/>
      <c r="K245" s="886"/>
      <c r="L245" s="69">
        <f t="shared" si="7"/>
        <v>0</v>
      </c>
      <c r="N245" s="69"/>
    </row>
    <row r="246" spans="1:14">
      <c r="A246" s="49"/>
      <c r="B246" s="1345"/>
      <c r="C246" s="53" t="str">
        <f>+[10]dec!C155</f>
        <v>FE</v>
      </c>
      <c r="D246" s="6"/>
      <c r="E246" s="6"/>
      <c r="F246" s="6"/>
      <c r="G246" s="6"/>
      <c r="H246" s="6"/>
      <c r="I246" s="6"/>
      <c r="J246" s="6"/>
      <c r="K246" s="886"/>
      <c r="L246" s="69">
        <f t="shared" si="7"/>
        <v>0</v>
      </c>
      <c r="N246" s="69"/>
    </row>
    <row r="247" spans="1:14">
      <c r="A247" s="49"/>
      <c r="B247" s="1345"/>
      <c r="C247" s="53" t="str">
        <f>+[10]dec!C156</f>
        <v>TOTAL</v>
      </c>
      <c r="D247" s="6">
        <f>SUM(D244:D246)</f>
        <v>2844109.3199999928</v>
      </c>
      <c r="E247" s="6"/>
      <c r="F247" s="6"/>
      <c r="G247" s="6"/>
      <c r="H247" s="6">
        <f>SUM(H244:H246)</f>
        <v>200000</v>
      </c>
      <c r="I247" s="6">
        <f>SUM(I244:I246)</f>
        <v>2643122.2000000002</v>
      </c>
      <c r="J247" s="6">
        <f>SUM(J244:J246)</f>
        <v>987.11999999266118</v>
      </c>
      <c r="K247" s="886">
        <f>+I247/L247</f>
        <v>0.99962667201672561</v>
      </c>
      <c r="L247" s="69">
        <f t="shared" si="7"/>
        <v>2644109.3199999928</v>
      </c>
      <c r="M247" s="565">
        <f>+I247/L247</f>
        <v>0.99962667201672561</v>
      </c>
      <c r="N247" s="69"/>
    </row>
    <row r="248" spans="1:14" ht="22.5">
      <c r="A248" s="49" t="s">
        <v>389</v>
      </c>
      <c r="B248" s="1362" t="s">
        <v>390</v>
      </c>
      <c r="C248" s="53"/>
      <c r="D248" s="6"/>
      <c r="E248" s="6"/>
      <c r="F248" s="6"/>
      <c r="G248" s="6"/>
      <c r="H248" s="6"/>
      <c r="I248" s="6"/>
      <c r="J248" s="6"/>
      <c r="K248" s="886"/>
      <c r="L248" s="69">
        <f t="shared" si="7"/>
        <v>0</v>
      </c>
      <c r="N248" s="69"/>
    </row>
    <row r="249" spans="1:14">
      <c r="A249" s="49"/>
      <c r="B249" s="1345"/>
      <c r="C249" s="53">
        <f>+[10]dec!C158</f>
        <v>100</v>
      </c>
      <c r="D249" s="6"/>
      <c r="E249" s="6"/>
      <c r="F249" s="6"/>
      <c r="G249" s="6"/>
      <c r="H249" s="6"/>
      <c r="I249" s="6"/>
      <c r="J249" s="6"/>
      <c r="K249" s="886"/>
      <c r="L249" s="69">
        <f t="shared" si="7"/>
        <v>0</v>
      </c>
      <c r="N249" s="69"/>
    </row>
    <row r="250" spans="1:14">
      <c r="A250" s="49"/>
      <c r="B250" s="1345"/>
      <c r="C250" s="53">
        <f>+[10]dec!C159</f>
        <v>200</v>
      </c>
      <c r="D250" s="6">
        <f>+'[4]saob conap 2012'!P62</f>
        <v>6145517.900000006</v>
      </c>
      <c r="E250" s="6"/>
      <c r="F250" s="6"/>
      <c r="G250" s="6"/>
      <c r="H250" s="233">
        <v>2219140</v>
      </c>
      <c r="I250" s="6">
        <f>+'[4]saob conap 2012'!BT62-H250</f>
        <v>1337836.2500000005</v>
      </c>
      <c r="J250" s="6">
        <f>+D250-H250-I250</f>
        <v>2588541.6500000055</v>
      </c>
      <c r="K250" s="886">
        <f>+I250/L250</f>
        <v>0.34073038410286449</v>
      </c>
      <c r="L250" s="69">
        <f t="shared" si="7"/>
        <v>3926377.900000006</v>
      </c>
      <c r="M250" s="565">
        <f>+I250/L250</f>
        <v>0.34073038410286449</v>
      </c>
      <c r="N250" s="69"/>
    </row>
    <row r="251" spans="1:14">
      <c r="A251" s="49"/>
      <c r="B251" s="1345"/>
      <c r="C251" s="53">
        <f>+[10]dec!C160</f>
        <v>300</v>
      </c>
      <c r="D251" s="6"/>
      <c r="E251" s="6"/>
      <c r="F251" s="6"/>
      <c r="G251" s="6"/>
      <c r="H251" s="6"/>
      <c r="I251" s="6"/>
      <c r="J251" s="6"/>
      <c r="K251" s="886"/>
      <c r="L251" s="69">
        <f t="shared" si="7"/>
        <v>0</v>
      </c>
      <c r="N251" s="69"/>
    </row>
    <row r="252" spans="1:14">
      <c r="A252" s="49"/>
      <c r="B252" s="1345"/>
      <c r="C252" s="53" t="str">
        <f>+[10]dec!C161</f>
        <v>FE</v>
      </c>
      <c r="D252" s="6"/>
      <c r="E252" s="6"/>
      <c r="F252" s="6"/>
      <c r="G252" s="6"/>
      <c r="H252" s="6"/>
      <c r="I252" s="6"/>
      <c r="J252" s="6"/>
      <c r="K252" s="886"/>
      <c r="L252" s="69">
        <f t="shared" si="7"/>
        <v>0</v>
      </c>
      <c r="N252" s="69"/>
    </row>
    <row r="253" spans="1:14">
      <c r="A253" s="49"/>
      <c r="B253" s="1345"/>
      <c r="C253" s="53" t="str">
        <f>+[10]dec!C162</f>
        <v>TOTAL</v>
      </c>
      <c r="D253" s="6">
        <f>SUM(D250:D252)</f>
        <v>6145517.900000006</v>
      </c>
      <c r="E253" s="6"/>
      <c r="F253" s="6"/>
      <c r="G253" s="6"/>
      <c r="H253" s="6">
        <f>SUM(H250:H252)</f>
        <v>2219140</v>
      </c>
      <c r="I253" s="6">
        <f>SUM(I250:I252)</f>
        <v>1337836.2500000005</v>
      </c>
      <c r="J253" s="6">
        <f>SUM(J250:J252)</f>
        <v>2588541.6500000055</v>
      </c>
      <c r="K253" s="886">
        <f>+I253/L253</f>
        <v>0.34073038410286449</v>
      </c>
      <c r="L253" s="69">
        <f t="shared" si="7"/>
        <v>3926377.900000006</v>
      </c>
      <c r="M253" s="565">
        <f>+I253/L253</f>
        <v>0.34073038410286449</v>
      </c>
      <c r="N253" s="69"/>
    </row>
    <row r="254" spans="1:14">
      <c r="A254" s="49" t="s">
        <v>391</v>
      </c>
      <c r="B254" s="1345" t="s">
        <v>392</v>
      </c>
      <c r="C254" s="53"/>
      <c r="D254" s="6"/>
      <c r="E254" s="6"/>
      <c r="F254" s="6"/>
      <c r="G254" s="6"/>
      <c r="H254" s="6"/>
      <c r="I254" s="6"/>
      <c r="J254" s="6"/>
      <c r="K254" s="886"/>
      <c r="L254" s="69">
        <f t="shared" si="7"/>
        <v>0</v>
      </c>
      <c r="N254" s="69"/>
    </row>
    <row r="255" spans="1:14">
      <c r="A255" s="49"/>
      <c r="B255" s="1345"/>
      <c r="C255" s="53">
        <f>+[10]dec!C164</f>
        <v>100</v>
      </c>
      <c r="D255" s="6"/>
      <c r="E255" s="6"/>
      <c r="F255" s="6"/>
      <c r="G255" s="6"/>
      <c r="H255" s="6"/>
      <c r="I255" s="6"/>
      <c r="J255" s="6"/>
      <c r="K255" s="886"/>
      <c r="L255" s="69">
        <f t="shared" si="7"/>
        <v>0</v>
      </c>
      <c r="N255" s="69"/>
    </row>
    <row r="256" spans="1:14">
      <c r="A256" s="49"/>
      <c r="B256" s="1345"/>
      <c r="C256" s="53">
        <f>+[10]dec!C165</f>
        <v>200</v>
      </c>
      <c r="D256" s="6"/>
      <c r="E256" s="6"/>
      <c r="F256" s="6"/>
      <c r="G256" s="6"/>
      <c r="H256" s="6"/>
      <c r="I256" s="6"/>
      <c r="J256" s="6"/>
      <c r="K256" s="886"/>
      <c r="L256" s="69">
        <f t="shared" si="7"/>
        <v>0</v>
      </c>
      <c r="N256" s="69"/>
    </row>
    <row r="257" spans="1:14">
      <c r="A257" s="49"/>
      <c r="B257" s="1345"/>
      <c r="C257" s="53">
        <f>+[10]dec!C166</f>
        <v>300</v>
      </c>
      <c r="D257" s="6">
        <f>+'[4]saob conap 2012'!Q63</f>
        <v>574873763.85000038</v>
      </c>
      <c r="E257" s="6"/>
      <c r="F257" s="6"/>
      <c r="G257" s="6"/>
      <c r="H257" s="6">
        <v>53454837</v>
      </c>
      <c r="I257" s="6">
        <f>+'[4]saob conap 2012'!BU63-H257</f>
        <v>329732785</v>
      </c>
      <c r="J257" s="6">
        <f>+D257-H257-I257</f>
        <v>191686141.85000038</v>
      </c>
      <c r="K257" s="886">
        <f>+I257/L257</f>
        <v>0.63237594191676927</v>
      </c>
      <c r="L257" s="69">
        <f t="shared" si="7"/>
        <v>521418926.85000038</v>
      </c>
      <c r="M257" s="565">
        <f>+I257/L257</f>
        <v>0.63237594191676927</v>
      </c>
      <c r="N257" s="69"/>
    </row>
    <row r="258" spans="1:14">
      <c r="A258" s="49"/>
      <c r="B258" s="1345"/>
      <c r="C258" s="53" t="str">
        <f>+[10]dec!C167</f>
        <v>FE</v>
      </c>
      <c r="D258" s="6"/>
      <c r="E258" s="6"/>
      <c r="F258" s="6"/>
      <c r="G258" s="6"/>
      <c r="H258" s="6"/>
      <c r="I258" s="6"/>
      <c r="J258" s="6"/>
      <c r="K258" s="886"/>
      <c r="L258" s="69">
        <f t="shared" si="7"/>
        <v>0</v>
      </c>
      <c r="N258" s="69"/>
    </row>
    <row r="259" spans="1:14">
      <c r="A259" s="49"/>
      <c r="B259" s="1345"/>
      <c r="C259" s="53" t="str">
        <f>+[10]dec!C168</f>
        <v>TOTAL</v>
      </c>
      <c r="D259" s="6">
        <f>SUM(D257:D258)</f>
        <v>574873763.85000038</v>
      </c>
      <c r="E259" s="6"/>
      <c r="F259" s="6"/>
      <c r="G259" s="6"/>
      <c r="H259" s="6">
        <f>SUM(H257:H258)</f>
        <v>53454837</v>
      </c>
      <c r="I259" s="6">
        <f>SUM(I257:I258)</f>
        <v>329732785</v>
      </c>
      <c r="J259" s="6">
        <f>SUM(J257:J258)</f>
        <v>191686141.85000038</v>
      </c>
      <c r="K259" s="886">
        <f>+I259/L259</f>
        <v>0.63237594191676927</v>
      </c>
      <c r="L259" s="69">
        <f t="shared" si="7"/>
        <v>521418926.85000038</v>
      </c>
      <c r="M259" s="565">
        <f>+I259/L259</f>
        <v>0.63237594191676927</v>
      </c>
      <c r="N259" s="69"/>
    </row>
    <row r="260" spans="1:14">
      <c r="A260" s="49" t="s">
        <v>393</v>
      </c>
      <c r="B260" s="1345" t="s">
        <v>394</v>
      </c>
      <c r="C260" s="53"/>
      <c r="D260" s="6"/>
      <c r="E260" s="6"/>
      <c r="F260" s="6"/>
      <c r="G260" s="6"/>
      <c r="H260" s="6"/>
      <c r="I260" s="6"/>
      <c r="J260" s="6"/>
      <c r="K260" s="886"/>
      <c r="L260" s="69">
        <f t="shared" si="7"/>
        <v>0</v>
      </c>
      <c r="M260" s="565"/>
      <c r="N260" s="69"/>
    </row>
    <row r="261" spans="1:14">
      <c r="A261" s="49"/>
      <c r="B261" s="1345"/>
      <c r="C261" s="53">
        <f>+[10]dec!C170</f>
        <v>100</v>
      </c>
      <c r="D261" s="6"/>
      <c r="E261" s="6"/>
      <c r="F261" s="6"/>
      <c r="G261" s="6"/>
      <c r="H261" s="6"/>
      <c r="I261" s="6"/>
      <c r="J261" s="6"/>
      <c r="K261" s="886"/>
      <c r="L261" s="69">
        <f t="shared" si="7"/>
        <v>0</v>
      </c>
      <c r="N261" s="69"/>
    </row>
    <row r="262" spans="1:14">
      <c r="A262" s="49"/>
      <c r="B262" s="1345"/>
      <c r="C262" s="53">
        <f>+[10]dec!C171</f>
        <v>200</v>
      </c>
      <c r="D262" s="6">
        <f>+'[4]saob conap 2012'!P67</f>
        <v>904357</v>
      </c>
      <c r="E262" s="6"/>
      <c r="F262" s="6"/>
      <c r="G262" s="6"/>
      <c r="H262" s="6">
        <v>904357</v>
      </c>
      <c r="I262" s="6">
        <f>+'[4]saob conap 2012'!BT67-H262</f>
        <v>0</v>
      </c>
      <c r="J262" s="6">
        <f>+D262-H262-I262</f>
        <v>0</v>
      </c>
      <c r="K262" s="886"/>
      <c r="L262" s="69">
        <f t="shared" si="7"/>
        <v>0</v>
      </c>
      <c r="N262" s="69"/>
    </row>
    <row r="263" spans="1:14">
      <c r="A263" s="49"/>
      <c r="B263" s="1345"/>
      <c r="C263" s="53">
        <f>+[10]dec!C172</f>
        <v>300</v>
      </c>
      <c r="D263" s="6"/>
      <c r="E263" s="6"/>
      <c r="F263" s="6"/>
      <c r="G263" s="6"/>
      <c r="H263" s="6"/>
      <c r="I263" s="6"/>
      <c r="J263" s="6"/>
      <c r="K263" s="886"/>
      <c r="L263" s="69">
        <f t="shared" si="7"/>
        <v>0</v>
      </c>
      <c r="N263" s="69"/>
    </row>
    <row r="264" spans="1:14">
      <c r="A264" s="49"/>
      <c r="B264" s="1345"/>
      <c r="C264" s="53" t="str">
        <f>+[10]dec!C173</f>
        <v>FE</v>
      </c>
      <c r="D264" s="6"/>
      <c r="E264" s="6"/>
      <c r="F264" s="6"/>
      <c r="G264" s="6"/>
      <c r="H264" s="6"/>
      <c r="I264" s="6"/>
      <c r="J264" s="6"/>
      <c r="K264" s="886"/>
      <c r="L264" s="69">
        <f t="shared" si="7"/>
        <v>0</v>
      </c>
      <c r="N264" s="69"/>
    </row>
    <row r="265" spans="1:14">
      <c r="A265" s="49"/>
      <c r="B265" s="1345"/>
      <c r="C265" s="53" t="str">
        <f>+[10]dec!C174</f>
        <v>TOTAL</v>
      </c>
      <c r="D265" s="6">
        <f>SUM(D262:D264)</f>
        <v>904357</v>
      </c>
      <c r="E265" s="6"/>
      <c r="F265" s="6"/>
      <c r="G265" s="6"/>
      <c r="H265" s="6">
        <f>SUM(H262:H264)</f>
        <v>904357</v>
      </c>
      <c r="I265" s="6">
        <f>SUM(I262:I264)</f>
        <v>0</v>
      </c>
      <c r="J265" s="6">
        <f>SUM(J262:J264)</f>
        <v>0</v>
      </c>
      <c r="K265" s="886"/>
      <c r="L265" s="69">
        <f t="shared" si="7"/>
        <v>0</v>
      </c>
      <c r="N265" s="69"/>
    </row>
    <row r="266" spans="1:14">
      <c r="A266" s="49" t="s">
        <v>395</v>
      </c>
      <c r="B266" s="1363" t="s">
        <v>396</v>
      </c>
      <c r="C266" s="49"/>
      <c r="D266" s="6"/>
      <c r="E266" s="6"/>
      <c r="F266" s="6"/>
      <c r="G266" s="6"/>
      <c r="H266" s="6"/>
      <c r="I266" s="6"/>
      <c r="J266" s="6"/>
      <c r="K266" s="886"/>
      <c r="L266" s="69">
        <f t="shared" si="7"/>
        <v>0</v>
      </c>
      <c r="N266" s="69"/>
    </row>
    <row r="267" spans="1:14">
      <c r="A267" s="55"/>
      <c r="B267" s="1348"/>
      <c r="C267" s="53">
        <f>+[10]dec!C176</f>
        <v>100</v>
      </c>
      <c r="D267" s="6"/>
      <c r="E267" s="6"/>
      <c r="F267" s="6"/>
      <c r="G267" s="6"/>
      <c r="H267" s="6"/>
      <c r="I267" s="6"/>
      <c r="J267" s="6"/>
      <c r="K267" s="886"/>
      <c r="L267" s="69">
        <f t="shared" si="7"/>
        <v>0</v>
      </c>
      <c r="N267" s="69"/>
    </row>
    <row r="268" spans="1:14">
      <c r="A268" s="55"/>
      <c r="B268" s="1348"/>
      <c r="C268" s="53">
        <f>+[10]dec!C177</f>
        <v>200</v>
      </c>
      <c r="D268" s="6">
        <f>+'[4]saob conap 2012'!P68</f>
        <v>410268.90000000037</v>
      </c>
      <c r="E268" s="6"/>
      <c r="F268" s="6"/>
      <c r="G268" s="6"/>
      <c r="H268" s="233">
        <v>410268.9</v>
      </c>
      <c r="I268" s="6">
        <f>+'[4]saob conap 2012'!BT68-H268</f>
        <v>0</v>
      </c>
      <c r="J268" s="6">
        <f>+D268-H268-I268</f>
        <v>3.4924596548080444E-10</v>
      </c>
      <c r="K268" s="886"/>
      <c r="L268" s="69">
        <f t="shared" si="7"/>
        <v>0</v>
      </c>
      <c r="N268" s="69"/>
    </row>
    <row r="269" spans="1:14">
      <c r="A269" s="55"/>
      <c r="B269" s="1348"/>
      <c r="C269" s="53">
        <f>+[10]dec!C178</f>
        <v>300</v>
      </c>
      <c r="D269" s="6"/>
      <c r="E269" s="6"/>
      <c r="F269" s="6"/>
      <c r="G269" s="6"/>
      <c r="H269" s="6"/>
      <c r="I269" s="6"/>
      <c r="J269" s="6"/>
      <c r="K269" s="886"/>
      <c r="L269" s="69">
        <f t="shared" si="7"/>
        <v>0</v>
      </c>
      <c r="N269" s="69"/>
    </row>
    <row r="270" spans="1:14">
      <c r="A270" s="55"/>
      <c r="B270" s="1348"/>
      <c r="C270" s="53" t="str">
        <f>+[10]dec!C179</f>
        <v>FE</v>
      </c>
      <c r="D270" s="6"/>
      <c r="E270" s="6"/>
      <c r="F270" s="6"/>
      <c r="G270" s="6"/>
      <c r="H270" s="6"/>
      <c r="I270" s="6"/>
      <c r="J270" s="6"/>
      <c r="K270" s="886"/>
      <c r="L270" s="69">
        <f t="shared" si="7"/>
        <v>0</v>
      </c>
      <c r="N270" s="69"/>
    </row>
    <row r="271" spans="1:14">
      <c r="A271" s="55"/>
      <c r="B271" s="1348"/>
      <c r="C271" s="53" t="str">
        <f>+[10]dec!C180</f>
        <v>TOTAL</v>
      </c>
      <c r="D271" s="6">
        <f>SUM(D268:D270)</f>
        <v>410268.90000000037</v>
      </c>
      <c r="E271" s="6"/>
      <c r="F271" s="6"/>
      <c r="G271" s="6"/>
      <c r="H271" s="6">
        <f>SUM(H268:H270)</f>
        <v>410268.9</v>
      </c>
      <c r="I271" s="6">
        <f>SUM(I268:I270)</f>
        <v>0</v>
      </c>
      <c r="J271" s="6">
        <f>SUM(J268:J270)</f>
        <v>3.4924596548080444E-10</v>
      </c>
      <c r="K271" s="886"/>
      <c r="L271" s="69">
        <f t="shared" si="7"/>
        <v>0</v>
      </c>
      <c r="N271" s="69"/>
    </row>
    <row r="272" spans="1:14">
      <c r="A272" s="49" t="s">
        <v>397</v>
      </c>
      <c r="B272" s="1348" t="s">
        <v>398</v>
      </c>
      <c r="C272" s="55"/>
      <c r="D272" s="6"/>
      <c r="E272" s="6"/>
      <c r="F272" s="6"/>
      <c r="G272" s="6"/>
      <c r="H272" s="6"/>
      <c r="I272" s="6"/>
      <c r="J272" s="6"/>
      <c r="K272" s="886"/>
      <c r="L272" s="69">
        <f t="shared" ref="L272:L291" si="8">+D272-H272</f>
        <v>0</v>
      </c>
      <c r="N272" s="69"/>
    </row>
    <row r="273" spans="1:14">
      <c r="A273" s="55"/>
      <c r="B273" s="1348"/>
      <c r="C273" s="53">
        <f>+[10]dec!C182</f>
        <v>100</v>
      </c>
      <c r="D273" s="6"/>
      <c r="E273" s="6"/>
      <c r="F273" s="6"/>
      <c r="G273" s="6"/>
      <c r="H273" s="6"/>
      <c r="I273" s="6"/>
      <c r="J273" s="6"/>
      <c r="K273" s="886"/>
      <c r="L273" s="69">
        <f t="shared" si="8"/>
        <v>0</v>
      </c>
      <c r="N273" s="69"/>
    </row>
    <row r="274" spans="1:14">
      <c r="A274" s="55"/>
      <c r="B274" s="1348"/>
      <c r="C274" s="53">
        <f>+[10]dec!C183</f>
        <v>200</v>
      </c>
      <c r="D274" s="6">
        <f>+'[4]saob conap 2012'!P69</f>
        <v>331857.63999999966</v>
      </c>
      <c r="E274" s="6"/>
      <c r="F274" s="6"/>
      <c r="G274" s="6"/>
      <c r="H274" s="6">
        <v>331857.64</v>
      </c>
      <c r="I274" s="6">
        <f>+'[4]saob conap 2012'!BT69-H274</f>
        <v>0</v>
      </c>
      <c r="J274" s="6">
        <f>+D274-H274-I274</f>
        <v>-3.4924596548080444E-10</v>
      </c>
      <c r="K274" s="886"/>
      <c r="L274" s="69">
        <f t="shared" si="8"/>
        <v>0</v>
      </c>
      <c r="N274" s="69"/>
    </row>
    <row r="275" spans="1:14">
      <c r="A275" s="55"/>
      <c r="B275" s="1348"/>
      <c r="C275" s="53">
        <f>+[10]dec!C184</f>
        <v>300</v>
      </c>
      <c r="D275" s="6"/>
      <c r="E275" s="6"/>
      <c r="F275" s="6"/>
      <c r="G275" s="6"/>
      <c r="H275" s="6"/>
      <c r="I275" s="6"/>
      <c r="J275" s="6"/>
      <c r="K275" s="886"/>
      <c r="L275" s="69">
        <f t="shared" si="8"/>
        <v>0</v>
      </c>
      <c r="N275" s="69"/>
    </row>
    <row r="276" spans="1:14">
      <c r="A276" s="55"/>
      <c r="B276" s="1348"/>
      <c r="C276" s="53" t="str">
        <f>+[10]dec!C185</f>
        <v>FE</v>
      </c>
      <c r="D276" s="6"/>
      <c r="E276" s="6"/>
      <c r="F276" s="6"/>
      <c r="G276" s="6"/>
      <c r="H276" s="6"/>
      <c r="I276" s="6"/>
      <c r="J276" s="6"/>
      <c r="K276" s="886"/>
      <c r="L276" s="69">
        <f t="shared" si="8"/>
        <v>0</v>
      </c>
      <c r="N276" s="69"/>
    </row>
    <row r="277" spans="1:14">
      <c r="A277" s="55"/>
      <c r="B277" s="1348"/>
      <c r="C277" s="53" t="str">
        <f>+[10]dec!C186</f>
        <v>TOTAL</v>
      </c>
      <c r="D277" s="6">
        <f>SUM(D274:D276)</f>
        <v>331857.63999999966</v>
      </c>
      <c r="E277" s="6"/>
      <c r="F277" s="6"/>
      <c r="G277" s="6"/>
      <c r="H277" s="6">
        <f>SUM(H274:H276)</f>
        <v>331857.64</v>
      </c>
      <c r="I277" s="6">
        <f>SUM(I274:I276)</f>
        <v>0</v>
      </c>
      <c r="J277" s="6">
        <f>SUM(J274:J276)</f>
        <v>-3.4924596548080444E-10</v>
      </c>
      <c r="K277" s="886"/>
      <c r="L277" s="69">
        <f t="shared" si="8"/>
        <v>0</v>
      </c>
      <c r="N277" s="69"/>
    </row>
    <row r="278" spans="1:14" ht="67.5">
      <c r="A278" s="49" t="s">
        <v>409</v>
      </c>
      <c r="B278" s="1366" t="s">
        <v>410</v>
      </c>
      <c r="C278" s="53"/>
      <c r="D278" s="6"/>
      <c r="E278" s="6"/>
      <c r="F278" s="6"/>
      <c r="G278" s="6"/>
      <c r="H278" s="6"/>
      <c r="I278" s="6"/>
      <c r="J278" s="6"/>
      <c r="K278" s="886"/>
      <c r="L278" s="69">
        <f t="shared" si="8"/>
        <v>0</v>
      </c>
      <c r="N278" s="69"/>
    </row>
    <row r="279" spans="1:14">
      <c r="A279" s="55"/>
      <c r="B279" s="1348"/>
      <c r="C279" s="53">
        <f>+[10]dec!C236</f>
        <v>100</v>
      </c>
      <c r="D279" s="6"/>
      <c r="E279" s="6"/>
      <c r="F279" s="6"/>
      <c r="G279" s="6"/>
      <c r="H279" s="6"/>
      <c r="I279" s="6"/>
      <c r="J279" s="6"/>
      <c r="K279" s="886"/>
      <c r="L279" s="69">
        <f t="shared" si="8"/>
        <v>0</v>
      </c>
      <c r="N279" s="69"/>
    </row>
    <row r="280" spans="1:14">
      <c r="A280" s="55"/>
      <c r="B280" s="1348"/>
      <c r="C280" s="53">
        <f>+[10]dec!C237</f>
        <v>200</v>
      </c>
      <c r="D280" s="6">
        <f>+'[4]saob conap 2012'!P76</f>
        <v>8135065.3799999952</v>
      </c>
      <c r="E280" s="6"/>
      <c r="F280" s="6"/>
      <c r="G280" s="6"/>
      <c r="H280" s="233">
        <v>4000000</v>
      </c>
      <c r="I280" s="6">
        <f>+'[4]saob conap 2012'!BT76-H280</f>
        <v>4135065.24</v>
      </c>
      <c r="J280" s="6">
        <f>+D280-H280-I280</f>
        <v>0.139999995008111</v>
      </c>
      <c r="K280" s="886">
        <f>+I280/L280</f>
        <v>0.99999996614322095</v>
      </c>
      <c r="L280" s="69">
        <f t="shared" si="8"/>
        <v>4135065.3799999952</v>
      </c>
      <c r="M280" s="565">
        <f>+I280/L280</f>
        <v>0.99999996614322095</v>
      </c>
      <c r="N280" s="69"/>
    </row>
    <row r="281" spans="1:14">
      <c r="A281" s="55"/>
      <c r="B281" s="1348"/>
      <c r="C281" s="53">
        <f>+[10]dec!C238</f>
        <v>300</v>
      </c>
      <c r="D281" s="6"/>
      <c r="E281" s="6"/>
      <c r="F281" s="6"/>
      <c r="G281" s="6"/>
      <c r="H281" s="6"/>
      <c r="I281" s="6"/>
      <c r="J281" s="6"/>
      <c r="K281" s="886"/>
      <c r="L281" s="69">
        <f t="shared" si="8"/>
        <v>0</v>
      </c>
      <c r="N281" s="69"/>
    </row>
    <row r="282" spans="1:14">
      <c r="A282" s="55"/>
      <c r="B282" s="1348"/>
      <c r="C282" s="53" t="str">
        <f>+[10]dec!C239</f>
        <v>FE</v>
      </c>
      <c r="D282" s="6"/>
      <c r="E282" s="6"/>
      <c r="F282" s="6"/>
      <c r="G282" s="6"/>
      <c r="H282" s="6"/>
      <c r="I282" s="6"/>
      <c r="J282" s="6"/>
      <c r="K282" s="886"/>
      <c r="L282" s="69">
        <f t="shared" si="8"/>
        <v>0</v>
      </c>
      <c r="N282" s="69"/>
    </row>
    <row r="283" spans="1:14" ht="15.75" thickBot="1">
      <c r="A283" s="55"/>
      <c r="B283" s="1348"/>
      <c r="C283" s="53" t="str">
        <f>+[10]dec!C240</f>
        <v>TOTAL</v>
      </c>
      <c r="D283" s="6">
        <f>SUM(D280:D282)</f>
        <v>8135065.3799999952</v>
      </c>
      <c r="E283" s="6"/>
      <c r="F283" s="6"/>
      <c r="G283" s="6"/>
      <c r="H283" s="6">
        <f>SUM(H280:H282)</f>
        <v>4000000</v>
      </c>
      <c r="I283" s="6">
        <f>SUM(I280:I282)</f>
        <v>4135065.24</v>
      </c>
      <c r="J283" s="6">
        <f>SUM(J280:J282)</f>
        <v>0.139999995008111</v>
      </c>
      <c r="K283" s="886">
        <f>+I283/L283</f>
        <v>0.99999996614322095</v>
      </c>
      <c r="L283" s="69">
        <f t="shared" si="8"/>
        <v>4135065.3799999952</v>
      </c>
      <c r="M283" s="565">
        <f>+I283/L283</f>
        <v>0.99999996614322095</v>
      </c>
      <c r="N283" s="69"/>
    </row>
    <row r="284" spans="1:14">
      <c r="A284" s="59"/>
      <c r="B284" s="1351" t="str">
        <f>+[10]dec!B284</f>
        <v>TOTAL OFFICE OF THE SECRETARY</v>
      </c>
      <c r="C284" s="60"/>
      <c r="D284" s="61"/>
      <c r="E284" s="61"/>
      <c r="F284" s="1"/>
      <c r="G284" s="61"/>
      <c r="H284" s="61"/>
      <c r="I284" s="61"/>
      <c r="J284" s="1"/>
      <c r="K284" s="886"/>
      <c r="L284" s="69">
        <f t="shared" si="8"/>
        <v>0</v>
      </c>
      <c r="N284" s="69"/>
    </row>
    <row r="285" spans="1:14">
      <c r="A285" s="63"/>
      <c r="B285" s="1348"/>
      <c r="C285" s="53">
        <f>+[10]dec!C285</f>
        <v>100</v>
      </c>
      <c r="D285" s="6">
        <f>+D14+D20+D141</f>
        <v>0</v>
      </c>
      <c r="E285" s="6"/>
      <c r="F285" s="6"/>
      <c r="G285" s="6"/>
      <c r="H285" s="6">
        <f t="shared" ref="H285:J289" si="9">+H14+H20+H141</f>
        <v>0</v>
      </c>
      <c r="I285" s="6">
        <f t="shared" si="9"/>
        <v>0</v>
      </c>
      <c r="J285" s="6">
        <f t="shared" si="9"/>
        <v>0</v>
      </c>
      <c r="K285" s="886"/>
      <c r="L285" s="69">
        <f t="shared" si="8"/>
        <v>0</v>
      </c>
      <c r="N285" s="69"/>
    </row>
    <row r="286" spans="1:14">
      <c r="A286" s="63"/>
      <c r="B286" s="1348"/>
      <c r="C286" s="53">
        <f>+[10]dec!C286</f>
        <v>200</v>
      </c>
      <c r="D286" s="6">
        <f>+D15+D21+D142</f>
        <v>213914442.91999942</v>
      </c>
      <c r="E286" s="6"/>
      <c r="F286" s="6"/>
      <c r="G286" s="6"/>
      <c r="H286" s="6">
        <f t="shared" si="9"/>
        <v>-49296080.370000012</v>
      </c>
      <c r="I286" s="6">
        <f t="shared" si="9"/>
        <v>237376110.84999999</v>
      </c>
      <c r="J286" s="6">
        <f t="shared" si="9"/>
        <v>25834412.439999431</v>
      </c>
      <c r="K286" s="886">
        <f>+I286/L286</f>
        <v>0.90184886182709478</v>
      </c>
      <c r="L286" s="69">
        <f t="shared" si="8"/>
        <v>263210523.28999943</v>
      </c>
      <c r="M286" s="565">
        <f>+I286/L286</f>
        <v>0.90184886182709478</v>
      </c>
      <c r="N286" s="69"/>
    </row>
    <row r="287" spans="1:14">
      <c r="A287" s="63"/>
      <c r="B287" s="1348"/>
      <c r="C287" s="53">
        <f>+[10]dec!C287</f>
        <v>300</v>
      </c>
      <c r="D287" s="6">
        <f>+D16+D22+D143</f>
        <v>685691671.05000043</v>
      </c>
      <c r="E287" s="6"/>
      <c r="F287" s="6"/>
      <c r="G287" s="6"/>
      <c r="H287" s="6">
        <f t="shared" si="9"/>
        <v>56454837</v>
      </c>
      <c r="I287" s="6">
        <f t="shared" si="9"/>
        <v>436635601.19999999</v>
      </c>
      <c r="J287" s="6">
        <f t="shared" si="9"/>
        <v>192601232.85000038</v>
      </c>
      <c r="K287" s="886">
        <f>+I287/L287</f>
        <v>0.69391297135237962</v>
      </c>
      <c r="L287" s="69">
        <f t="shared" si="8"/>
        <v>629236834.05000043</v>
      </c>
      <c r="M287" s="565">
        <f>+I287/L287</f>
        <v>0.69391297135237962</v>
      </c>
      <c r="N287" s="69"/>
    </row>
    <row r="288" spans="1:14">
      <c r="A288" s="63"/>
      <c r="B288" s="1348"/>
      <c r="C288" s="53" t="str">
        <f>+[10]dec!C288</f>
        <v>FE</v>
      </c>
      <c r="D288" s="6">
        <f>+D17+D23+D144</f>
        <v>0</v>
      </c>
      <c r="E288" s="6"/>
      <c r="F288" s="6"/>
      <c r="G288" s="6"/>
      <c r="H288" s="6">
        <f t="shared" si="9"/>
        <v>0</v>
      </c>
      <c r="I288" s="6">
        <f t="shared" si="9"/>
        <v>0</v>
      </c>
      <c r="J288" s="6">
        <f t="shared" si="9"/>
        <v>0</v>
      </c>
      <c r="K288" s="886"/>
      <c r="L288" s="69">
        <f t="shared" si="8"/>
        <v>0</v>
      </c>
      <c r="M288" s="565"/>
      <c r="N288" s="69"/>
    </row>
    <row r="289" spans="1:14">
      <c r="A289" s="67"/>
      <c r="B289" s="1350"/>
      <c r="C289" s="58" t="str">
        <f>+[10]dec!C289</f>
        <v>TOTAL</v>
      </c>
      <c r="D289" s="6">
        <f>+D18+D24+D145</f>
        <v>899606113.96999979</v>
      </c>
      <c r="E289" s="68"/>
      <c r="F289" s="6"/>
      <c r="G289" s="68"/>
      <c r="H289" s="6">
        <f t="shared" si="9"/>
        <v>7158756.6299999952</v>
      </c>
      <c r="I289" s="6">
        <f t="shared" si="9"/>
        <v>674011712.04999995</v>
      </c>
      <c r="J289" s="6">
        <f t="shared" si="9"/>
        <v>218435645.28999981</v>
      </c>
      <c r="K289" s="886">
        <f>+I289/L289</f>
        <v>0.75523974216130552</v>
      </c>
      <c r="L289" s="69">
        <f t="shared" si="8"/>
        <v>892447357.33999979</v>
      </c>
      <c r="M289" s="565">
        <f>+I289/L289</f>
        <v>0.75523974216130552</v>
      </c>
      <c r="N289" s="69"/>
    </row>
    <row r="290" spans="1:14">
      <c r="A290" s="55"/>
      <c r="B290" s="1348"/>
      <c r="C290" s="53"/>
      <c r="D290" s="6"/>
      <c r="E290" s="6"/>
      <c r="F290" s="6"/>
      <c r="G290" s="6"/>
      <c r="H290" s="6"/>
      <c r="I290" s="6"/>
      <c r="J290" s="6"/>
      <c r="K290" s="886"/>
      <c r="L290" s="69">
        <f t="shared" si="8"/>
        <v>0</v>
      </c>
      <c r="N290" s="69"/>
    </row>
    <row r="291" spans="1:14">
      <c r="A291" s="3"/>
      <c r="B291" s="1352" t="s">
        <v>942</v>
      </c>
      <c r="C291" s="2"/>
      <c r="D291" s="6"/>
      <c r="E291" s="6"/>
      <c r="F291" s="6"/>
      <c r="G291" s="6"/>
      <c r="H291" s="6"/>
      <c r="I291" s="6"/>
      <c r="J291" s="6"/>
      <c r="K291" s="886"/>
      <c r="L291" s="69">
        <f t="shared" si="8"/>
        <v>0</v>
      </c>
      <c r="N291" s="69"/>
    </row>
    <row r="292" spans="1:14">
      <c r="A292" s="3"/>
      <c r="B292" s="1352" t="s">
        <v>946</v>
      </c>
      <c r="C292" s="2"/>
      <c r="D292" s="6"/>
      <c r="E292" s="6"/>
      <c r="F292" s="6"/>
      <c r="G292" s="6"/>
      <c r="H292" s="6"/>
      <c r="I292" s="6"/>
      <c r="J292" s="6"/>
      <c r="K292" s="886"/>
      <c r="L292" s="69"/>
      <c r="N292" s="69"/>
    </row>
    <row r="293" spans="1:14">
      <c r="A293" s="3"/>
      <c r="B293" s="1352"/>
      <c r="C293" s="2">
        <v>100</v>
      </c>
      <c r="D293" s="6"/>
      <c r="E293" s="6"/>
      <c r="F293" s="6"/>
      <c r="G293" s="6"/>
      <c r="H293" s="6"/>
      <c r="I293" s="6"/>
      <c r="J293" s="6">
        <f t="shared" ref="J293:J294" si="10">+D293-H293-I293</f>
        <v>0</v>
      </c>
      <c r="K293" s="886"/>
      <c r="L293" s="69"/>
      <c r="N293" s="69"/>
    </row>
    <row r="294" spans="1:14">
      <c r="A294" s="3"/>
      <c r="B294" s="1352"/>
      <c r="C294" s="2">
        <v>200</v>
      </c>
      <c r="D294" s="6">
        <v>100000000</v>
      </c>
      <c r="E294" s="6"/>
      <c r="F294" s="6"/>
      <c r="G294" s="6"/>
      <c r="H294" s="6"/>
      <c r="I294" s="6"/>
      <c r="J294" s="6">
        <f t="shared" si="10"/>
        <v>100000000</v>
      </c>
      <c r="K294" s="886"/>
      <c r="L294" s="69"/>
      <c r="N294" s="69"/>
    </row>
    <row r="295" spans="1:14">
      <c r="A295" s="3"/>
      <c r="B295" s="1352"/>
      <c r="C295" s="2">
        <v>300</v>
      </c>
      <c r="D295" s="6">
        <f>+'[4]saob conap 2012'!Q89</f>
        <v>2900000000</v>
      </c>
      <c r="E295" s="6"/>
      <c r="F295" s="6"/>
      <c r="G295" s="6"/>
      <c r="H295" s="6">
        <v>40000000</v>
      </c>
      <c r="I295" s="6">
        <f>+'[4]saob conap 2012'!BU89-H295</f>
        <v>1186580452.04</v>
      </c>
      <c r="J295" s="6">
        <f>+D295-H295-I295</f>
        <v>1673419547.96</v>
      </c>
      <c r="K295" s="886"/>
      <c r="L295" s="69"/>
      <c r="N295" s="69"/>
    </row>
    <row r="296" spans="1:14">
      <c r="A296" s="3"/>
      <c r="B296" s="1352"/>
      <c r="C296" s="2" t="s">
        <v>414</v>
      </c>
      <c r="D296" s="6"/>
      <c r="E296" s="6"/>
      <c r="F296" s="6"/>
      <c r="G296" s="6"/>
      <c r="H296" s="6"/>
      <c r="I296" s="6"/>
      <c r="J296" s="6"/>
      <c r="K296" s="886"/>
      <c r="L296" s="69"/>
      <c r="N296" s="69"/>
    </row>
    <row r="297" spans="1:14">
      <c r="A297" s="3"/>
      <c r="B297" s="1352"/>
      <c r="C297" s="2" t="s">
        <v>4</v>
      </c>
      <c r="D297" s="6">
        <f>SUM(D293:D295)</f>
        <v>3000000000</v>
      </c>
      <c r="E297" s="6">
        <f t="shared" ref="E297:J297" si="11">SUM(E293:E295)</f>
        <v>0</v>
      </c>
      <c r="F297" s="6">
        <f t="shared" si="11"/>
        <v>0</v>
      </c>
      <c r="G297" s="6">
        <f t="shared" si="11"/>
        <v>0</v>
      </c>
      <c r="H297" s="6">
        <f t="shared" si="11"/>
        <v>40000000</v>
      </c>
      <c r="I297" s="6">
        <f t="shared" si="11"/>
        <v>1186580452.04</v>
      </c>
      <c r="J297" s="6">
        <f t="shared" si="11"/>
        <v>1773419547.96</v>
      </c>
      <c r="K297" s="886"/>
      <c r="L297" s="69"/>
      <c r="N297" s="69"/>
    </row>
    <row r="298" spans="1:14">
      <c r="A298" s="3"/>
      <c r="B298" s="1352" t="s">
        <v>947</v>
      </c>
      <c r="C298" s="2"/>
      <c r="D298" s="6">
        <f>+D297+D289</f>
        <v>3899606113.9699998</v>
      </c>
      <c r="E298" s="6"/>
      <c r="F298" s="6"/>
      <c r="G298" s="6"/>
      <c r="H298" s="6"/>
      <c r="I298" s="6"/>
      <c r="J298" s="6"/>
      <c r="K298" s="886"/>
      <c r="L298" s="69"/>
      <c r="N298" s="69"/>
    </row>
    <row r="299" spans="1:14" ht="30">
      <c r="A299" s="3"/>
      <c r="B299" s="1367" t="s">
        <v>434</v>
      </c>
      <c r="C299" s="53"/>
      <c r="D299" s="6"/>
      <c r="E299" s="6"/>
      <c r="F299" s="6"/>
      <c r="G299" s="6"/>
      <c r="H299" s="6"/>
      <c r="I299" s="6"/>
      <c r="J299" s="6"/>
      <c r="K299" s="886"/>
      <c r="L299" s="69">
        <f t="shared" ref="L299:L328" si="12">+D299-H299</f>
        <v>0</v>
      </c>
      <c r="N299" s="69"/>
    </row>
    <row r="300" spans="1:14">
      <c r="A300" s="3"/>
      <c r="B300" s="1348"/>
      <c r="C300" s="53">
        <v>100</v>
      </c>
      <c r="D300" s="6"/>
      <c r="E300" s="6"/>
      <c r="F300" s="6"/>
      <c r="G300" s="6"/>
      <c r="H300" s="6"/>
      <c r="I300" s="6"/>
      <c r="J300" s="6"/>
      <c r="K300" s="886"/>
      <c r="L300" s="69">
        <f t="shared" si="12"/>
        <v>0</v>
      </c>
      <c r="N300" s="69"/>
    </row>
    <row r="301" spans="1:14">
      <c r="A301" s="3"/>
      <c r="B301" s="1348"/>
      <c r="C301" s="53">
        <v>200</v>
      </c>
      <c r="D301" s="6">
        <f>+'[4]saob conap 2012'!P83</f>
        <v>2755759.83</v>
      </c>
      <c r="E301" s="6"/>
      <c r="F301" s="6"/>
      <c r="G301" s="6"/>
      <c r="H301" s="6"/>
      <c r="I301" s="6">
        <f>+'[4]saob conap 2012'!BT83</f>
        <v>2755434.9199999995</v>
      </c>
      <c r="J301" s="6">
        <f>+D301-H301-I301</f>
        <v>324.91000000061467</v>
      </c>
      <c r="K301" s="886">
        <f>+I301/L301</f>
        <v>0.99988209785320781</v>
      </c>
      <c r="L301" s="69">
        <f t="shared" si="12"/>
        <v>2755759.83</v>
      </c>
      <c r="M301" s="565">
        <f>+I301/L301</f>
        <v>0.99988209785320781</v>
      </c>
      <c r="N301" s="69"/>
    </row>
    <row r="302" spans="1:14">
      <c r="A302" s="3"/>
      <c r="B302" s="1348"/>
      <c r="C302" s="53">
        <v>300</v>
      </c>
      <c r="D302" s="6"/>
      <c r="E302" s="6"/>
      <c r="F302" s="6"/>
      <c r="G302" s="6"/>
      <c r="H302" s="6"/>
      <c r="I302" s="6"/>
      <c r="J302" s="6"/>
      <c r="K302" s="886"/>
      <c r="L302" s="69">
        <f t="shared" si="12"/>
        <v>0</v>
      </c>
      <c r="N302" s="69"/>
    </row>
    <row r="303" spans="1:14">
      <c r="A303" s="3"/>
      <c r="B303" s="1348"/>
      <c r="C303" s="53" t="s">
        <v>414</v>
      </c>
      <c r="D303" s="6"/>
      <c r="E303" s="6"/>
      <c r="F303" s="6"/>
      <c r="G303" s="6"/>
      <c r="H303" s="6"/>
      <c r="I303" s="6"/>
      <c r="J303" s="6"/>
      <c r="K303" s="886"/>
      <c r="L303" s="69">
        <f t="shared" si="12"/>
        <v>0</v>
      </c>
      <c r="N303" s="69"/>
    </row>
    <row r="304" spans="1:14">
      <c r="A304" s="3"/>
      <c r="B304" s="1348"/>
      <c r="C304" s="53" t="s">
        <v>4</v>
      </c>
      <c r="D304" s="6">
        <f>SUM(D301:D303)</f>
        <v>2755759.83</v>
      </c>
      <c r="E304" s="6"/>
      <c r="F304" s="6"/>
      <c r="G304" s="6"/>
      <c r="H304" s="6">
        <f>SUM(H301:H303)</f>
        <v>0</v>
      </c>
      <c r="I304" s="6">
        <f>SUM(I301:I303)</f>
        <v>2755434.9199999995</v>
      </c>
      <c r="J304" s="6">
        <f>SUM(J301:J303)</f>
        <v>324.91000000061467</v>
      </c>
      <c r="K304" s="886">
        <f>+I304/L304</f>
        <v>0.99988209785320781</v>
      </c>
      <c r="L304" s="69">
        <f t="shared" si="12"/>
        <v>2755759.83</v>
      </c>
      <c r="M304" s="565">
        <f>+I304/L304</f>
        <v>0.99988209785320781</v>
      </c>
      <c r="N304" s="69"/>
    </row>
    <row r="305" spans="1:14">
      <c r="A305" s="3"/>
      <c r="B305" s="1348"/>
      <c r="C305" s="53"/>
      <c r="D305" s="6"/>
      <c r="E305" s="6"/>
      <c r="F305" s="6"/>
      <c r="G305" s="6"/>
      <c r="H305" s="6"/>
      <c r="I305" s="6"/>
      <c r="J305" s="6"/>
      <c r="K305" s="886"/>
      <c r="L305" s="69">
        <f t="shared" si="12"/>
        <v>0</v>
      </c>
      <c r="N305" s="69"/>
    </row>
    <row r="306" spans="1:14" ht="30">
      <c r="A306" s="3"/>
      <c r="B306" s="1368" t="s">
        <v>456</v>
      </c>
      <c r="C306" s="53"/>
      <c r="D306" s="6"/>
      <c r="E306" s="6"/>
      <c r="F306" s="6"/>
      <c r="G306" s="6"/>
      <c r="H306" s="6"/>
      <c r="I306" s="6"/>
      <c r="J306" s="6"/>
      <c r="K306" s="886"/>
      <c r="L306" s="69">
        <f t="shared" si="12"/>
        <v>0</v>
      </c>
      <c r="N306" s="69"/>
    </row>
    <row r="307" spans="1:14">
      <c r="A307" s="3"/>
      <c r="B307" s="1348"/>
      <c r="C307" s="53">
        <v>100</v>
      </c>
      <c r="D307" s="6"/>
      <c r="E307" s="6"/>
      <c r="F307" s="6"/>
      <c r="G307" s="6"/>
      <c r="H307" s="6"/>
      <c r="I307" s="6"/>
      <c r="J307" s="6"/>
      <c r="K307" s="886"/>
      <c r="L307" s="69">
        <f t="shared" si="12"/>
        <v>0</v>
      </c>
      <c r="N307" s="69"/>
    </row>
    <row r="308" spans="1:14">
      <c r="A308" s="3"/>
      <c r="B308" s="1348"/>
      <c r="C308" s="53">
        <v>200</v>
      </c>
      <c r="D308" s="6">
        <f>+'[4]saob conap 2012'!P84</f>
        <v>521592.04</v>
      </c>
      <c r="E308" s="6"/>
      <c r="F308" s="6"/>
      <c r="G308" s="6"/>
      <c r="H308" s="6"/>
      <c r="I308" s="6"/>
      <c r="J308" s="6">
        <f>+D308-H308-I308</f>
        <v>521592.04</v>
      </c>
      <c r="K308" s="886">
        <f>+I308/L308</f>
        <v>0</v>
      </c>
      <c r="L308" s="69">
        <f t="shared" si="12"/>
        <v>521592.04</v>
      </c>
      <c r="M308" s="565">
        <f>+I308/L308</f>
        <v>0</v>
      </c>
      <c r="N308" s="69"/>
    </row>
    <row r="309" spans="1:14">
      <c r="A309" s="3"/>
      <c r="B309" s="1348"/>
      <c r="C309" s="53">
        <v>300</v>
      </c>
      <c r="D309" s="6"/>
      <c r="E309" s="6"/>
      <c r="F309" s="6"/>
      <c r="G309" s="6"/>
      <c r="H309" s="6"/>
      <c r="I309" s="6"/>
      <c r="J309" s="6"/>
      <c r="K309" s="886"/>
      <c r="L309" s="69">
        <f t="shared" si="12"/>
        <v>0</v>
      </c>
      <c r="N309" s="69"/>
    </row>
    <row r="310" spans="1:14">
      <c r="A310" s="3"/>
      <c r="B310" s="1348"/>
      <c r="C310" s="53" t="s">
        <v>414</v>
      </c>
      <c r="D310" s="6"/>
      <c r="E310" s="6"/>
      <c r="F310" s="6"/>
      <c r="G310" s="6"/>
      <c r="H310" s="6"/>
      <c r="I310" s="6"/>
      <c r="J310" s="6"/>
      <c r="K310" s="886"/>
      <c r="L310" s="69">
        <f t="shared" si="12"/>
        <v>0</v>
      </c>
      <c r="N310" s="69"/>
    </row>
    <row r="311" spans="1:14">
      <c r="A311" s="3"/>
      <c r="B311" s="1348"/>
      <c r="C311" s="53" t="s">
        <v>4</v>
      </c>
      <c r="D311" s="6">
        <f>SUM(D308:D310)</f>
        <v>521592.04</v>
      </c>
      <c r="E311" s="6"/>
      <c r="F311" s="6"/>
      <c r="G311" s="6"/>
      <c r="H311" s="6">
        <f>SUM(H308:H310)</f>
        <v>0</v>
      </c>
      <c r="I311" s="6">
        <f>SUM(I308:I310)</f>
        <v>0</v>
      </c>
      <c r="J311" s="6">
        <f>SUM(J308:J310)</f>
        <v>521592.04</v>
      </c>
      <c r="K311" s="886">
        <f>+I311/L311</f>
        <v>0</v>
      </c>
      <c r="L311" s="69">
        <f t="shared" si="12"/>
        <v>521592.04</v>
      </c>
      <c r="M311" s="565">
        <f>+I311/L311</f>
        <v>0</v>
      </c>
      <c r="N311" s="69"/>
    </row>
    <row r="312" spans="1:14">
      <c r="A312" s="3"/>
      <c r="B312" s="1352" t="s">
        <v>455</v>
      </c>
      <c r="C312" s="53"/>
      <c r="D312" s="6"/>
      <c r="E312" s="6"/>
      <c r="F312" s="6"/>
      <c r="G312" s="6"/>
      <c r="H312" s="6"/>
      <c r="I312" s="6"/>
      <c r="J312" s="6"/>
      <c r="K312" s="886"/>
      <c r="L312" s="69">
        <f t="shared" si="12"/>
        <v>0</v>
      </c>
      <c r="N312" s="69"/>
    </row>
    <row r="313" spans="1:14">
      <c r="A313" s="3"/>
      <c r="B313" s="1348"/>
      <c r="C313" s="53">
        <v>100</v>
      </c>
      <c r="D313" s="6"/>
      <c r="E313" s="6"/>
      <c r="F313" s="6"/>
      <c r="G313" s="6"/>
      <c r="H313" s="6"/>
      <c r="I313" s="6"/>
      <c r="J313" s="6"/>
      <c r="K313" s="886"/>
      <c r="L313" s="69">
        <f t="shared" si="12"/>
        <v>0</v>
      </c>
      <c r="N313" s="69"/>
    </row>
    <row r="314" spans="1:14">
      <c r="A314" s="3"/>
      <c r="B314" s="1348"/>
      <c r="C314" s="53">
        <v>200</v>
      </c>
      <c r="D314" s="6">
        <f>+'[4]saob conap 2012'!P87</f>
        <v>22739619</v>
      </c>
      <c r="E314" s="6"/>
      <c r="F314" s="6"/>
      <c r="G314" s="6"/>
      <c r="H314" s="6"/>
      <c r="I314" s="6">
        <f>+'[4]saob conap 2012'!BT87</f>
        <v>9761980.5</v>
      </c>
      <c r="J314" s="6">
        <f>+D314-H314-I314</f>
        <v>12977638.5</v>
      </c>
      <c r="K314" s="886">
        <f>+I314/L314</f>
        <v>0.42929393408042588</v>
      </c>
      <c r="L314" s="69">
        <f t="shared" si="12"/>
        <v>22739619</v>
      </c>
      <c r="M314" s="565">
        <f>+I314/L314</f>
        <v>0.42929393408042588</v>
      </c>
      <c r="N314" s="69"/>
    </row>
    <row r="315" spans="1:14">
      <c r="A315" s="3"/>
      <c r="B315" s="1348"/>
      <c r="C315" s="53">
        <v>300</v>
      </c>
      <c r="D315" s="6">
        <f>+'[4]saob conap 2012'!Q87</f>
        <v>198603750</v>
      </c>
      <c r="E315" s="6"/>
      <c r="F315" s="6"/>
      <c r="G315" s="6"/>
      <c r="H315" s="6"/>
      <c r="I315" s="6">
        <f>+'[4]saob conap 2012'!BU87</f>
        <v>60983789.039999999</v>
      </c>
      <c r="J315" s="6">
        <f>+D315-H315-I315</f>
        <v>137619960.96000001</v>
      </c>
      <c r="K315" s="886">
        <f>+I315/L315</f>
        <v>0.30706262615887164</v>
      </c>
      <c r="L315" s="69">
        <f t="shared" si="12"/>
        <v>198603750</v>
      </c>
      <c r="M315" s="565">
        <f>+I315/L315</f>
        <v>0.30706262615887164</v>
      </c>
      <c r="N315" s="69"/>
    </row>
    <row r="316" spans="1:14">
      <c r="A316" s="3"/>
      <c r="B316" s="1348"/>
      <c r="C316" s="53" t="s">
        <v>414</v>
      </c>
      <c r="D316" s="6"/>
      <c r="E316" s="6"/>
      <c r="F316" s="6"/>
      <c r="G316" s="6"/>
      <c r="H316" s="6"/>
      <c r="I316" s="6"/>
      <c r="J316" s="6"/>
      <c r="K316" s="886"/>
      <c r="L316" s="69">
        <f t="shared" si="12"/>
        <v>0</v>
      </c>
      <c r="N316" s="69"/>
    </row>
    <row r="317" spans="1:14">
      <c r="A317" s="3"/>
      <c r="B317" s="1348"/>
      <c r="C317" s="53" t="s">
        <v>4</v>
      </c>
      <c r="D317" s="6">
        <f>SUM(D314:D316)</f>
        <v>221343369</v>
      </c>
      <c r="E317" s="6"/>
      <c r="F317" s="6"/>
      <c r="G317" s="6"/>
      <c r="H317" s="6">
        <f>SUM(H314:H316)</f>
        <v>0</v>
      </c>
      <c r="I317" s="6">
        <f>SUM(I314:I316)</f>
        <v>70745769.539999992</v>
      </c>
      <c r="J317" s="6">
        <f>SUM(J314:J316)</f>
        <v>150597599.46000001</v>
      </c>
      <c r="K317" s="886">
        <f>+I317/L317</f>
        <v>0.31962000876565672</v>
      </c>
      <c r="L317" s="69">
        <f t="shared" si="12"/>
        <v>221343369</v>
      </c>
      <c r="M317" s="565">
        <f>+I317/L317</f>
        <v>0.31962000876565672</v>
      </c>
      <c r="N317" s="69"/>
    </row>
    <row r="318" spans="1:14" ht="39">
      <c r="A318" s="3"/>
      <c r="B318" s="1369" t="s">
        <v>702</v>
      </c>
      <c r="C318" s="53">
        <v>100</v>
      </c>
      <c r="D318" s="6"/>
      <c r="E318" s="6"/>
      <c r="F318" s="6"/>
      <c r="G318" s="6"/>
      <c r="H318" s="6"/>
      <c r="I318" s="6"/>
      <c r="J318" s="6"/>
      <c r="K318" s="886"/>
      <c r="L318" s="69">
        <f t="shared" si="12"/>
        <v>0</v>
      </c>
      <c r="N318" s="69"/>
    </row>
    <row r="319" spans="1:14">
      <c r="A319" s="3"/>
      <c r="B319" s="1348"/>
      <c r="C319" s="53">
        <v>200</v>
      </c>
      <c r="D319" s="6">
        <f>+'[4]saob conap 2012'!P90</f>
        <v>333384.09000000003</v>
      </c>
      <c r="E319" s="6"/>
      <c r="F319" s="230"/>
      <c r="G319" s="6"/>
      <c r="H319" s="6"/>
      <c r="I319" s="6"/>
      <c r="J319" s="6">
        <f>+D319-H319-I319</f>
        <v>333384.09000000003</v>
      </c>
      <c r="K319" s="886">
        <f>+I319/L319</f>
        <v>0</v>
      </c>
      <c r="L319" s="69">
        <f t="shared" si="12"/>
        <v>333384.09000000003</v>
      </c>
      <c r="M319" s="565">
        <f>+I319/L319</f>
        <v>0</v>
      </c>
      <c r="N319" s="69"/>
    </row>
    <row r="320" spans="1:14">
      <c r="A320" s="3"/>
      <c r="B320" s="1348"/>
      <c r="C320" s="53">
        <v>300</v>
      </c>
      <c r="D320" s="6"/>
      <c r="E320" s="6"/>
      <c r="F320" s="6"/>
      <c r="G320" s="6"/>
      <c r="H320" s="6"/>
      <c r="I320" s="6"/>
      <c r="J320" s="6"/>
      <c r="K320" s="886"/>
      <c r="L320" s="69">
        <f t="shared" si="12"/>
        <v>0</v>
      </c>
      <c r="N320" s="69"/>
    </row>
    <row r="321" spans="1:14">
      <c r="A321" s="3"/>
      <c r="B321" s="1348"/>
      <c r="C321" s="53" t="s">
        <v>414</v>
      </c>
      <c r="D321" s="6"/>
      <c r="E321" s="6"/>
      <c r="F321" s="6"/>
      <c r="G321" s="6"/>
      <c r="H321" s="6"/>
      <c r="I321" s="6"/>
      <c r="J321" s="6"/>
      <c r="K321" s="886"/>
      <c r="L321" s="69">
        <f t="shared" si="12"/>
        <v>0</v>
      </c>
      <c r="N321" s="69"/>
    </row>
    <row r="322" spans="1:14">
      <c r="A322" s="3"/>
      <c r="B322" s="1348"/>
      <c r="C322" s="53" t="s">
        <v>4</v>
      </c>
      <c r="D322" s="6">
        <f>SUM(D319:D321)</f>
        <v>333384.09000000003</v>
      </c>
      <c r="E322" s="6"/>
      <c r="F322" s="6"/>
      <c r="G322" s="6"/>
      <c r="H322" s="6">
        <f>SUM(H319:H321)</f>
        <v>0</v>
      </c>
      <c r="I322" s="6">
        <f>SUM(I319:I321)</f>
        <v>0</v>
      </c>
      <c r="J322" s="6">
        <f>SUM(J319:J321)</f>
        <v>333384.09000000003</v>
      </c>
      <c r="K322" s="886">
        <f>+I322/L322</f>
        <v>0</v>
      </c>
      <c r="L322" s="69">
        <f t="shared" si="12"/>
        <v>333384.09000000003</v>
      </c>
      <c r="M322" s="565">
        <f>+I322/L322</f>
        <v>0</v>
      </c>
      <c r="N322" s="69"/>
    </row>
    <row r="323" spans="1:14">
      <c r="A323" s="3"/>
      <c r="B323" s="1348"/>
      <c r="C323" s="53"/>
      <c r="D323" s="6"/>
      <c r="E323" s="6"/>
      <c r="F323" s="6"/>
      <c r="G323" s="6"/>
      <c r="H323" s="6"/>
      <c r="I323" s="6"/>
      <c r="J323" s="6"/>
      <c r="K323" s="886"/>
      <c r="L323" s="69">
        <f t="shared" si="12"/>
        <v>0</v>
      </c>
      <c r="N323" s="69"/>
    </row>
    <row r="324" spans="1:14">
      <c r="A324" s="3"/>
      <c r="B324" s="1352" t="s">
        <v>415</v>
      </c>
      <c r="C324" s="53">
        <v>100</v>
      </c>
      <c r="D324" s="6">
        <f>+D285+D300+D307+D313+D318+D293</f>
        <v>0</v>
      </c>
      <c r="E324" s="6"/>
      <c r="F324" s="6"/>
      <c r="G324" s="6"/>
      <c r="H324" s="6">
        <f t="shared" ref="H324:J328" si="13">+H285+H300+H307+H313+H318+H293</f>
        <v>0</v>
      </c>
      <c r="I324" s="6">
        <f t="shared" si="13"/>
        <v>0</v>
      </c>
      <c r="J324" s="6">
        <f t="shared" si="13"/>
        <v>0</v>
      </c>
      <c r="K324" s="886"/>
      <c r="L324" s="69">
        <f t="shared" si="12"/>
        <v>0</v>
      </c>
      <c r="N324" s="69"/>
    </row>
    <row r="325" spans="1:14">
      <c r="A325" s="3"/>
      <c r="B325" s="1352"/>
      <c r="C325" s="53">
        <v>200</v>
      </c>
      <c r="D325" s="6">
        <f>+D286+D301+D308+D314+D319+D294</f>
        <v>340264797.8799994</v>
      </c>
      <c r="E325" s="6"/>
      <c r="F325" s="6"/>
      <c r="G325" s="6"/>
      <c r="H325" s="6">
        <f t="shared" si="13"/>
        <v>-49296080.370000012</v>
      </c>
      <c r="I325" s="6">
        <f>+I286+I301+I308+I314+I319+I294</f>
        <v>249893526.26999998</v>
      </c>
      <c r="J325" s="6">
        <f t="shared" si="13"/>
        <v>139667351.97999942</v>
      </c>
      <c r="K325" s="886">
        <f>+I325/L325</f>
        <v>0.64147490218366243</v>
      </c>
      <c r="L325" s="69">
        <f t="shared" si="12"/>
        <v>389560878.2499994</v>
      </c>
      <c r="M325" s="565">
        <f>+I325/L325</f>
        <v>0.64147490218366243</v>
      </c>
      <c r="N325" s="69"/>
    </row>
    <row r="326" spans="1:14">
      <c r="A326" s="3"/>
      <c r="B326" s="1352"/>
      <c r="C326" s="53">
        <v>300</v>
      </c>
      <c r="D326" s="6">
        <f>+D287+D302+D309+D315+D320+D295</f>
        <v>3784295421.0500002</v>
      </c>
      <c r="E326" s="6"/>
      <c r="F326" s="6"/>
      <c r="G326" s="6"/>
      <c r="H326" s="6">
        <f t="shared" si="13"/>
        <v>96454837</v>
      </c>
      <c r="I326" s="6">
        <f t="shared" si="13"/>
        <v>1684199842.28</v>
      </c>
      <c r="J326" s="6">
        <f t="shared" si="13"/>
        <v>2003640741.7700005</v>
      </c>
      <c r="K326" s="886">
        <f>+I326/L326</f>
        <v>0.45668997992055432</v>
      </c>
      <c r="L326" s="69">
        <f t="shared" si="12"/>
        <v>3687840584.0500002</v>
      </c>
      <c r="M326" s="565">
        <f>+I326/L326</f>
        <v>0.45668997992055432</v>
      </c>
      <c r="N326" s="69"/>
    </row>
    <row r="327" spans="1:14">
      <c r="A327" s="3"/>
      <c r="B327" s="1352"/>
      <c r="C327" s="53" t="s">
        <v>414</v>
      </c>
      <c r="D327" s="6">
        <f>+D288+D303+D310+D316+D321+D296</f>
        <v>0</v>
      </c>
      <c r="E327" s="6"/>
      <c r="F327" s="6"/>
      <c r="G327" s="6"/>
      <c r="H327" s="6">
        <f t="shared" si="13"/>
        <v>0</v>
      </c>
      <c r="I327" s="6">
        <f t="shared" si="13"/>
        <v>0</v>
      </c>
      <c r="J327" s="6">
        <f t="shared" si="13"/>
        <v>0</v>
      </c>
      <c r="K327" s="886"/>
      <c r="L327" s="69">
        <f t="shared" si="12"/>
        <v>0</v>
      </c>
      <c r="M327" s="565"/>
      <c r="N327" s="69"/>
    </row>
    <row r="328" spans="1:14">
      <c r="A328" s="3"/>
      <c r="B328" s="1352"/>
      <c r="C328" s="53" t="s">
        <v>4</v>
      </c>
      <c r="D328" s="6">
        <f>+D289+D304+D311+D317+D322+D297</f>
        <v>4124560218.9299994</v>
      </c>
      <c r="E328" s="6"/>
      <c r="F328" s="6"/>
      <c r="G328" s="6"/>
      <c r="H328" s="6">
        <f t="shared" si="13"/>
        <v>47158756.629999995</v>
      </c>
      <c r="I328" s="6">
        <f t="shared" si="13"/>
        <v>1934093368.5499997</v>
      </c>
      <c r="J328" s="6">
        <f>+J289+J304+J311+J317+J322+J297</f>
        <v>2143308093.7499998</v>
      </c>
      <c r="K328" s="886">
        <f>+I328/L328</f>
        <v>0.47434460070532458</v>
      </c>
      <c r="L328" s="69">
        <f t="shared" si="12"/>
        <v>4077401462.2999992</v>
      </c>
      <c r="M328" s="565">
        <f>+I328/L328</f>
        <v>0.47434460070532458</v>
      </c>
      <c r="N328" s="69"/>
    </row>
    <row r="329" spans="1:14">
      <c r="D329" s="65"/>
      <c r="E329" s="65"/>
      <c r="F329" s="65"/>
      <c r="G329" s="65"/>
      <c r="H329" s="65"/>
      <c r="I329" s="65"/>
      <c r="J329" s="65"/>
      <c r="K329" s="1370"/>
    </row>
    <row r="330" spans="1:14">
      <c r="B330" s="1354" t="s">
        <v>416</v>
      </c>
      <c r="D330" t="s">
        <v>292</v>
      </c>
      <c r="H330" s="4"/>
      <c r="I330" s="4"/>
      <c r="J330" s="4">
        <f>+J328-'[4]bar 2012'!$J$328</f>
        <v>0</v>
      </c>
      <c r="K330" s="1371"/>
      <c r="L330" s="4"/>
    </row>
    <row r="331" spans="1:14">
      <c r="D331" s="4"/>
      <c r="E331" s="4"/>
      <c r="H331" s="4"/>
      <c r="J331" s="4"/>
      <c r="K331" s="1371"/>
    </row>
    <row r="332" spans="1:14" ht="17.25">
      <c r="B332" s="1355" t="s">
        <v>417</v>
      </c>
      <c r="D332" s="164" t="s">
        <v>293</v>
      </c>
      <c r="H332" s="164"/>
      <c r="J332" s="81"/>
      <c r="K332" s="1371"/>
    </row>
    <row r="333" spans="1:14" ht="17.25">
      <c r="B333" s="1354" t="s">
        <v>418</v>
      </c>
      <c r="D333" t="s">
        <v>294</v>
      </c>
      <c r="H333" s="69"/>
      <c r="J333" s="81"/>
      <c r="K333" s="1371"/>
    </row>
    <row r="334" spans="1:14">
      <c r="H334" s="69"/>
      <c r="K334" s="1371"/>
    </row>
    <row r="335" spans="1:14">
      <c r="H335" s="69"/>
      <c r="J335" s="69"/>
      <c r="K335" s="1371"/>
    </row>
    <row r="336" spans="1:14" ht="17.25">
      <c r="H336" s="69"/>
      <c r="J336" s="165"/>
      <c r="K336" s="1371"/>
    </row>
    <row r="337" spans="8:11" ht="17.25">
      <c r="H337" s="69"/>
      <c r="J337" s="81"/>
      <c r="K337" s="1371"/>
    </row>
    <row r="338" spans="8:11">
      <c r="H338" s="69"/>
      <c r="K338" s="1371"/>
    </row>
    <row r="339" spans="8:11">
      <c r="H339" s="69"/>
      <c r="J339" s="69"/>
      <c r="K339" s="1371"/>
    </row>
    <row r="340" spans="8:11">
      <c r="H340" s="69"/>
      <c r="J340" s="4"/>
      <c r="K340" s="1371"/>
    </row>
    <row r="341" spans="8:11">
      <c r="K341" s="1371"/>
    </row>
    <row r="342" spans="8:11">
      <c r="K342" s="1371"/>
    </row>
  </sheetData>
  <mergeCells count="7">
    <mergeCell ref="D9:F9"/>
    <mergeCell ref="A2:K2"/>
    <mergeCell ref="A3:K3"/>
    <mergeCell ref="A4:K4"/>
    <mergeCell ref="A5:K5"/>
    <mergeCell ref="A6:K6"/>
    <mergeCell ref="A7:K7"/>
  </mergeCells>
  <pageMargins left="0.25" right="0.25" top="0.33" bottom="1.1000000000000001" header="0.3" footer="0.88"/>
  <pageSetup paperSize="5" scale="70" fitToHeight="8" orientation="portrait" horizontalDpi="300" verticalDpi="300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9">
    <tabColor theme="5" tint="0.79998168889431442"/>
  </sheetPr>
  <dimension ref="A1:O29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M25" sqref="M25"/>
    </sheetView>
  </sheetViews>
  <sheetFormatPr defaultRowHeight="15"/>
  <cols>
    <col min="2" max="2" width="40.85546875" customWidth="1"/>
    <col min="3" max="3" width="9.85546875" customWidth="1"/>
    <col min="4" max="4" width="14.28515625" customWidth="1"/>
    <col min="5" max="5" width="15.7109375" customWidth="1"/>
    <col min="6" max="7" width="11" hidden="1" customWidth="1"/>
    <col min="8" max="8" width="16.28515625" customWidth="1"/>
    <col min="9" max="9" width="16.5703125" customWidth="1"/>
    <col min="10" max="10" width="15.140625" customWidth="1"/>
    <col min="11" max="11" width="13.7109375" customWidth="1"/>
    <col min="12" max="12" width="15.28515625" customWidth="1"/>
    <col min="13" max="13" width="14.7109375" customWidth="1"/>
  </cols>
  <sheetData>
    <row r="1" spans="1:14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</row>
    <row r="2" spans="1:14">
      <c r="A2" s="1544" t="s">
        <v>704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  <c r="L2" s="1544"/>
      <c r="M2" s="1544"/>
      <c r="N2" s="1544"/>
    </row>
    <row r="3" spans="1:14">
      <c r="A3" s="1544" t="s">
        <v>1114</v>
      </c>
      <c r="B3" s="1544"/>
      <c r="C3" s="1544"/>
      <c r="D3" s="1544"/>
      <c r="E3" s="1544"/>
      <c r="F3" s="1544"/>
      <c r="G3" s="1544"/>
      <c r="H3" s="1544"/>
      <c r="I3" s="1544"/>
      <c r="J3" s="1544"/>
      <c r="K3" s="1544"/>
      <c r="L3" s="1544"/>
      <c r="M3" s="1544"/>
      <c r="N3" s="1544"/>
    </row>
    <row r="4" spans="1:14">
      <c r="A4" s="1544" t="s">
        <v>730</v>
      </c>
      <c r="B4" s="1544"/>
      <c r="C4" s="1544"/>
      <c r="D4" s="1544"/>
      <c r="E4" s="1544"/>
      <c r="F4" s="1544"/>
      <c r="G4" s="1544"/>
      <c r="H4" s="1544"/>
      <c r="I4" s="1544"/>
      <c r="J4" s="1544"/>
      <c r="K4" s="1544"/>
      <c r="L4" s="1544"/>
      <c r="M4" s="1544"/>
      <c r="N4" s="1544"/>
    </row>
    <row r="5" spans="1:14">
      <c r="A5" s="1544" t="s">
        <v>322</v>
      </c>
      <c r="B5" s="1544"/>
      <c r="C5" s="1544"/>
      <c r="D5" s="1544"/>
      <c r="E5" s="1544"/>
      <c r="F5" s="1544"/>
      <c r="G5" s="1544"/>
      <c r="H5" s="1544"/>
      <c r="I5" s="1544"/>
      <c r="J5" s="1544"/>
      <c r="K5" s="1544"/>
      <c r="L5" s="1544"/>
      <c r="M5" s="1544"/>
      <c r="N5" s="1544"/>
    </row>
    <row r="6" spans="1:14">
      <c r="A6" s="1544" t="s">
        <v>323</v>
      </c>
      <c r="B6" s="1544"/>
      <c r="C6" s="1544"/>
      <c r="D6" s="1544"/>
      <c r="E6" s="1544"/>
      <c r="F6" s="1544"/>
      <c r="G6" s="1544"/>
      <c r="H6" s="1544"/>
      <c r="I6" s="1544"/>
      <c r="J6" s="1544"/>
      <c r="K6" s="1544"/>
      <c r="L6" s="1544"/>
      <c r="M6" s="1544"/>
      <c r="N6" s="1544"/>
    </row>
    <row r="7" spans="1:14">
      <c r="A7" s="1544" t="s">
        <v>721</v>
      </c>
      <c r="B7" s="1544"/>
      <c r="C7" s="1544"/>
      <c r="D7" s="1544"/>
      <c r="E7" s="1544"/>
      <c r="F7" s="1544"/>
      <c r="G7" s="1544"/>
      <c r="H7" s="1544"/>
      <c r="I7" s="1544"/>
      <c r="J7" s="1544"/>
      <c r="K7" s="1544"/>
      <c r="L7" s="1544"/>
      <c r="M7" s="1544"/>
      <c r="N7" s="1544"/>
    </row>
    <row r="8" spans="1:14">
      <c r="A8" s="42"/>
      <c r="B8" s="42"/>
      <c r="C8" s="42"/>
      <c r="D8" s="44"/>
      <c r="E8" s="44"/>
      <c r="F8" s="44"/>
      <c r="G8" s="44"/>
      <c r="H8" s="44"/>
      <c r="I8" s="42"/>
      <c r="J8" s="42"/>
      <c r="K8" s="42"/>
      <c r="L8" s="42"/>
      <c r="M8" s="42"/>
      <c r="N8" s="42"/>
    </row>
    <row r="9" spans="1:14">
      <c r="A9" s="45" t="s">
        <v>324</v>
      </c>
      <c r="B9" s="45" t="s">
        <v>325</v>
      </c>
      <c r="C9" s="1339" t="s">
        <v>326</v>
      </c>
      <c r="D9" s="1548" t="s">
        <v>327</v>
      </c>
      <c r="E9" s="1549"/>
      <c r="F9" s="1549"/>
      <c r="G9" s="1549"/>
      <c r="H9" s="1550"/>
      <c r="I9" s="1548" t="s">
        <v>329</v>
      </c>
      <c r="J9" s="1550"/>
      <c r="K9" s="1548" t="s">
        <v>68</v>
      </c>
      <c r="L9" s="1550"/>
      <c r="M9" s="1339" t="s">
        <v>330</v>
      </c>
      <c r="N9" s="1339" t="s">
        <v>95</v>
      </c>
    </row>
    <row r="10" spans="1:14" ht="23.25" customHeight="1">
      <c r="A10" s="46"/>
      <c r="B10" s="46"/>
      <c r="C10" s="47" t="s">
        <v>331</v>
      </c>
      <c r="D10" s="51" t="s">
        <v>421</v>
      </c>
      <c r="E10" s="51" t="s">
        <v>422</v>
      </c>
      <c r="F10" s="1551" t="s">
        <v>419</v>
      </c>
      <c r="G10" s="1552"/>
      <c r="H10" s="47" t="s">
        <v>4</v>
      </c>
      <c r="I10" s="51" t="s">
        <v>421</v>
      </c>
      <c r="J10" s="51" t="s">
        <v>422</v>
      </c>
      <c r="K10" s="51" t="s">
        <v>421</v>
      </c>
      <c r="L10" s="51" t="s">
        <v>422</v>
      </c>
      <c r="M10" s="1337" t="s">
        <v>420</v>
      </c>
      <c r="N10" s="1337"/>
    </row>
    <row r="11" spans="1:14">
      <c r="A11" s="48"/>
      <c r="B11" s="46"/>
      <c r="C11" s="47"/>
      <c r="D11" s="51"/>
      <c r="E11" s="51"/>
      <c r="F11" s="51" t="s">
        <v>421</v>
      </c>
      <c r="G11" s="51" t="s">
        <v>422</v>
      </c>
      <c r="H11" s="51"/>
      <c r="I11" s="51"/>
      <c r="J11" s="51"/>
      <c r="K11" s="51"/>
      <c r="L11" s="51"/>
      <c r="M11" s="47"/>
      <c r="N11" s="47"/>
    </row>
    <row r="12" spans="1:14" ht="18">
      <c r="A12" s="49" t="s">
        <v>423</v>
      </c>
      <c r="B12" s="49" t="s">
        <v>85</v>
      </c>
      <c r="C12" s="53"/>
      <c r="D12" s="6"/>
      <c r="E12" s="6"/>
      <c r="F12" s="6"/>
      <c r="G12" s="6"/>
      <c r="H12" s="6"/>
      <c r="I12" s="6"/>
      <c r="J12" s="6"/>
      <c r="K12" s="6"/>
      <c r="L12" s="6"/>
      <c r="M12" s="6"/>
      <c r="N12" s="54"/>
    </row>
    <row r="13" spans="1:14" ht="18">
      <c r="A13" s="49"/>
      <c r="B13" s="53"/>
      <c r="C13" s="53">
        <v>100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54"/>
    </row>
    <row r="14" spans="1:14" ht="18">
      <c r="A14" s="49"/>
      <c r="B14" s="53"/>
      <c r="C14" s="53">
        <v>200</v>
      </c>
      <c r="D14" s="6">
        <f>+'[2]FAPS CURRENT'!P7</f>
        <v>37553000</v>
      </c>
      <c r="E14" s="6">
        <f>+'[2]FAPS CURRENT'!P8</f>
        <v>186131000</v>
      </c>
      <c r="F14" s="6"/>
      <c r="G14" s="6"/>
      <c r="H14" s="6">
        <f>+E14+D14</f>
        <v>223684000</v>
      </c>
      <c r="I14" s="6">
        <f>+'[2]FAPS CURRENT'!BP7</f>
        <v>15285290.899999999</v>
      </c>
      <c r="J14" s="6">
        <f>+'[2]FAPS CURRENT'!BP8</f>
        <v>17052481.880000003</v>
      </c>
      <c r="K14" s="6">
        <f>+D14-I14</f>
        <v>22267709.100000001</v>
      </c>
      <c r="L14" s="6">
        <f>+E14-J14</f>
        <v>169078518.12</v>
      </c>
      <c r="M14" s="6">
        <f>+L14+K14</f>
        <v>191346227.22</v>
      </c>
      <c r="N14" s="54"/>
    </row>
    <row r="15" spans="1:14" ht="18">
      <c r="A15" s="49"/>
      <c r="B15" s="56"/>
      <c r="C15" s="53">
        <v>300</v>
      </c>
      <c r="D15" s="6">
        <f>+'[2]FAPS CURRENT'!Q7</f>
        <v>6887000</v>
      </c>
      <c r="E15" s="6">
        <f>+'[2]FAPS CURRENT'!Q8</f>
        <v>39289000</v>
      </c>
      <c r="F15" s="6"/>
      <c r="G15" s="6"/>
      <c r="H15" s="6">
        <f>+E15+D15</f>
        <v>46176000</v>
      </c>
      <c r="I15" s="6">
        <f>+'[2]FAPS CURRENT'!BQ7</f>
        <v>0</v>
      </c>
      <c r="J15" s="6">
        <f>+'[2]FAPS CURRENT'!BQ8</f>
        <v>0</v>
      </c>
      <c r="K15" s="6">
        <f>+D15-I15</f>
        <v>6887000</v>
      </c>
      <c r="L15" s="6">
        <f>+E15-J15</f>
        <v>39289000</v>
      </c>
      <c r="M15" s="6">
        <f>+L15+K15</f>
        <v>46176000</v>
      </c>
      <c r="N15" s="54"/>
    </row>
    <row r="16" spans="1:14" ht="18">
      <c r="A16" s="49"/>
      <c r="B16" s="49"/>
      <c r="C16" s="53" t="s">
        <v>4</v>
      </c>
      <c r="D16" s="6">
        <f>+D15+D14</f>
        <v>44440000</v>
      </c>
      <c r="E16" s="6">
        <f t="shared" ref="E16:L16" si="0">+E15+E14</f>
        <v>225420000</v>
      </c>
      <c r="F16" s="6">
        <f t="shared" si="0"/>
        <v>0</v>
      </c>
      <c r="G16" s="6">
        <f t="shared" si="0"/>
        <v>0</v>
      </c>
      <c r="H16" s="6">
        <f t="shared" si="0"/>
        <v>269860000</v>
      </c>
      <c r="I16" s="6">
        <f t="shared" si="0"/>
        <v>15285290.899999999</v>
      </c>
      <c r="J16" s="6">
        <f t="shared" si="0"/>
        <v>17052481.880000003</v>
      </c>
      <c r="K16" s="6">
        <f t="shared" si="0"/>
        <v>29154709.100000001</v>
      </c>
      <c r="L16" s="6">
        <f t="shared" si="0"/>
        <v>208367518.12</v>
      </c>
      <c r="M16" s="6">
        <f>+L16+K16</f>
        <v>237522227.22</v>
      </c>
      <c r="N16" s="54"/>
    </row>
    <row r="17" spans="1:15" ht="18">
      <c r="A17" s="49"/>
      <c r="B17" s="49"/>
      <c r="C17" s="53"/>
      <c r="D17" s="6"/>
      <c r="E17" s="6"/>
      <c r="F17" s="6"/>
      <c r="G17" s="6"/>
      <c r="H17" s="6"/>
      <c r="I17" s="6"/>
      <c r="J17" s="6"/>
      <c r="K17" s="6"/>
      <c r="L17" s="6"/>
      <c r="M17" s="6"/>
      <c r="N17" s="54"/>
    </row>
    <row r="18" spans="1:15" ht="18">
      <c r="A18" s="49"/>
      <c r="B18" s="49" t="s">
        <v>46</v>
      </c>
      <c r="C18" s="53"/>
      <c r="D18" s="6"/>
      <c r="E18" s="6"/>
      <c r="F18" s="6"/>
      <c r="G18" s="6"/>
      <c r="H18" s="6"/>
      <c r="I18" s="6"/>
      <c r="J18" s="6"/>
      <c r="K18" s="6"/>
      <c r="L18" s="6"/>
      <c r="M18" s="6"/>
      <c r="N18" s="54"/>
    </row>
    <row r="19" spans="1:15">
      <c r="A19" s="49"/>
      <c r="B19" s="53"/>
      <c r="C19" s="53">
        <v>100</v>
      </c>
      <c r="D19" s="6">
        <f>+D13</f>
        <v>0</v>
      </c>
      <c r="E19" s="6">
        <f t="shared" ref="E19:L19" si="1">+E13</f>
        <v>0</v>
      </c>
      <c r="F19" s="6">
        <f t="shared" si="1"/>
        <v>0</v>
      </c>
      <c r="G19" s="6">
        <f t="shared" si="1"/>
        <v>0</v>
      </c>
      <c r="H19" s="6">
        <f t="shared" si="1"/>
        <v>0</v>
      </c>
      <c r="I19" s="6">
        <f t="shared" si="1"/>
        <v>0</v>
      </c>
      <c r="J19" s="6">
        <f t="shared" si="1"/>
        <v>0</v>
      </c>
      <c r="K19" s="6">
        <f t="shared" si="1"/>
        <v>0</v>
      </c>
      <c r="L19" s="6">
        <f t="shared" si="1"/>
        <v>0</v>
      </c>
      <c r="M19" s="6" t="e">
        <f>+M13+#REF!</f>
        <v>#REF!</v>
      </c>
      <c r="N19" s="6"/>
    </row>
    <row r="20" spans="1:15">
      <c r="A20" s="48"/>
      <c r="B20" s="56"/>
      <c r="C20" s="53">
        <v>200</v>
      </c>
      <c r="D20" s="6">
        <f t="shared" ref="D20:L22" si="2">+D14</f>
        <v>37553000</v>
      </c>
      <c r="E20" s="6">
        <f t="shared" si="2"/>
        <v>186131000</v>
      </c>
      <c r="F20" s="6">
        <f t="shared" si="2"/>
        <v>0</v>
      </c>
      <c r="G20" s="6">
        <f t="shared" si="2"/>
        <v>0</v>
      </c>
      <c r="H20" s="6">
        <f t="shared" si="2"/>
        <v>223684000</v>
      </c>
      <c r="I20" s="6">
        <f t="shared" si="2"/>
        <v>15285290.899999999</v>
      </c>
      <c r="J20" s="6">
        <f t="shared" si="2"/>
        <v>17052481.880000003</v>
      </c>
      <c r="K20" s="6">
        <f t="shared" si="2"/>
        <v>22267709.100000001</v>
      </c>
      <c r="L20" s="6">
        <f t="shared" si="2"/>
        <v>169078518.12</v>
      </c>
      <c r="M20" s="6">
        <f>+M14</f>
        <v>191346227.22</v>
      </c>
      <c r="N20" s="6">
        <f>+K20-'[2]FAPS CURRENT'!BT15</f>
        <v>0</v>
      </c>
      <c r="O20" s="4">
        <f>+L20-'[2]FAPS CURRENT'!BT16</f>
        <v>0</v>
      </c>
    </row>
    <row r="21" spans="1:15">
      <c r="A21" s="3"/>
      <c r="B21" s="3"/>
      <c r="C21" s="53">
        <v>300</v>
      </c>
      <c r="D21" s="6">
        <f t="shared" si="2"/>
        <v>6887000</v>
      </c>
      <c r="E21" s="6">
        <f t="shared" si="2"/>
        <v>39289000</v>
      </c>
      <c r="F21" s="6">
        <f t="shared" si="2"/>
        <v>0</v>
      </c>
      <c r="G21" s="6">
        <f t="shared" si="2"/>
        <v>0</v>
      </c>
      <c r="H21" s="6">
        <f t="shared" si="2"/>
        <v>46176000</v>
      </c>
      <c r="I21" s="6">
        <f t="shared" si="2"/>
        <v>0</v>
      </c>
      <c r="J21" s="6">
        <f t="shared" si="2"/>
        <v>0</v>
      </c>
      <c r="K21" s="6">
        <f t="shared" si="2"/>
        <v>6887000</v>
      </c>
      <c r="L21" s="6">
        <f t="shared" si="2"/>
        <v>39289000</v>
      </c>
      <c r="M21" s="6">
        <f>+M15</f>
        <v>46176000</v>
      </c>
      <c r="N21" s="6">
        <f>+K21-'[2]FAPS CURRENT'!BU15</f>
        <v>0</v>
      </c>
      <c r="O21" s="4">
        <f>+L21-'[2]FAPS CURRENT'!BU16</f>
        <v>0</v>
      </c>
    </row>
    <row r="22" spans="1:15">
      <c r="A22" s="3"/>
      <c r="B22" s="3"/>
      <c r="C22" s="53" t="s">
        <v>4</v>
      </c>
      <c r="D22" s="6">
        <f t="shared" si="2"/>
        <v>44440000</v>
      </c>
      <c r="E22" s="6">
        <f t="shared" si="2"/>
        <v>225420000</v>
      </c>
      <c r="F22" s="6">
        <f t="shared" si="2"/>
        <v>0</v>
      </c>
      <c r="G22" s="6">
        <f t="shared" si="2"/>
        <v>0</v>
      </c>
      <c r="H22" s="6">
        <f t="shared" si="2"/>
        <v>269860000</v>
      </c>
      <c r="I22" s="6">
        <f t="shared" si="2"/>
        <v>15285290.899999999</v>
      </c>
      <c r="J22" s="6">
        <f t="shared" si="2"/>
        <v>17052481.880000003</v>
      </c>
      <c r="K22" s="6">
        <f t="shared" si="2"/>
        <v>29154709.100000001</v>
      </c>
      <c r="L22" s="6">
        <f t="shared" si="2"/>
        <v>208367518.12</v>
      </c>
      <c r="M22" s="6">
        <f>+M16</f>
        <v>237522227.22</v>
      </c>
      <c r="N22" s="6"/>
    </row>
    <row r="23" spans="1:15" ht="18">
      <c r="A23" s="49"/>
      <c r="B23" s="53"/>
      <c r="C23" s="53"/>
      <c r="D23" s="6"/>
      <c r="E23" s="6"/>
      <c r="F23" s="6"/>
      <c r="G23" s="6"/>
      <c r="H23" s="6"/>
      <c r="I23" s="6"/>
      <c r="J23" s="6"/>
      <c r="K23" s="6"/>
      <c r="L23" s="6"/>
      <c r="M23" s="6"/>
      <c r="N23" s="54"/>
    </row>
    <row r="24" spans="1:15">
      <c r="M24" s="4">
        <f>+M22-'[2]FAPS BAR CURRENT'!$M$22</f>
        <v>0</v>
      </c>
    </row>
    <row r="25" spans="1:15">
      <c r="B25" t="s">
        <v>425</v>
      </c>
      <c r="I25" s="4"/>
      <c r="J25" t="s">
        <v>292</v>
      </c>
    </row>
    <row r="28" spans="1:15">
      <c r="B28" s="164" t="s">
        <v>417</v>
      </c>
      <c r="J28" s="164" t="s">
        <v>293</v>
      </c>
    </row>
    <row r="29" spans="1:15">
      <c r="B29" t="s">
        <v>418</v>
      </c>
      <c r="J29" t="s">
        <v>294</v>
      </c>
    </row>
  </sheetData>
  <mergeCells count="10">
    <mergeCell ref="D9:H9"/>
    <mergeCell ref="I9:J9"/>
    <mergeCell ref="K9:L9"/>
    <mergeCell ref="F10:G10"/>
    <mergeCell ref="A7:N7"/>
    <mergeCell ref="A2:N2"/>
    <mergeCell ref="A3:N3"/>
    <mergeCell ref="A4:N4"/>
    <mergeCell ref="A5:N5"/>
    <mergeCell ref="A6:N6"/>
  </mergeCells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8">
    <tabColor theme="5" tint="0.79998168889431442"/>
  </sheetPr>
  <dimension ref="A1:P34"/>
  <sheetViews>
    <sheetView workbookViewId="0">
      <pane xSplit="3" ySplit="11" topLeftCell="H19" activePane="bottomRight" state="frozen"/>
      <selection pane="topRight" activeCell="D1" sqref="D1"/>
      <selection pane="bottomLeft" activeCell="A12" sqref="A12"/>
      <selection pane="bottomRight" activeCell="O30" sqref="O30"/>
    </sheetView>
  </sheetViews>
  <sheetFormatPr defaultRowHeight="15"/>
  <cols>
    <col min="2" max="2" width="40.85546875" customWidth="1"/>
    <col min="3" max="3" width="9.85546875" customWidth="1"/>
    <col min="4" max="4" width="14.28515625" customWidth="1"/>
    <col min="5" max="5" width="15.7109375" customWidth="1"/>
    <col min="6" max="7" width="11" hidden="1" customWidth="1"/>
    <col min="8" max="8" width="16.28515625" customWidth="1"/>
    <col min="9" max="9" width="16.5703125" customWidth="1"/>
    <col min="10" max="10" width="15.140625" customWidth="1"/>
    <col min="11" max="11" width="13.7109375" customWidth="1"/>
    <col min="12" max="12" width="15.28515625" customWidth="1"/>
    <col min="13" max="13" width="8.140625" customWidth="1"/>
    <col min="14" max="14" width="7.85546875" customWidth="1"/>
    <col min="15" max="15" width="14.7109375" customWidth="1"/>
  </cols>
  <sheetData>
    <row r="1" spans="1:16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</row>
    <row r="2" spans="1:16">
      <c r="A2" s="1544" t="s">
        <v>704</v>
      </c>
      <c r="B2" s="1544"/>
      <c r="C2" s="1544"/>
      <c r="D2" s="1544"/>
      <c r="E2" s="1544"/>
      <c r="F2" s="1544"/>
      <c r="G2" s="1544"/>
      <c r="H2" s="1544"/>
      <c r="I2" s="1544"/>
      <c r="J2" s="1544"/>
      <c r="K2" s="1544"/>
      <c r="L2" s="1544"/>
      <c r="M2" s="1544"/>
      <c r="N2" s="1544"/>
      <c r="O2" s="1544"/>
      <c r="P2" s="1544"/>
    </row>
    <row r="3" spans="1:16">
      <c r="A3" s="1544" t="s">
        <v>1114</v>
      </c>
      <c r="B3" s="1544"/>
      <c r="C3" s="1544"/>
      <c r="D3" s="1544"/>
      <c r="E3" s="1544"/>
      <c r="F3" s="1544"/>
      <c r="G3" s="1544"/>
      <c r="H3" s="1544"/>
      <c r="I3" s="1544"/>
      <c r="J3" s="1544"/>
      <c r="K3" s="1544"/>
      <c r="L3" s="1544"/>
      <c r="M3" s="1544"/>
      <c r="N3" s="1544"/>
      <c r="O3" s="1544"/>
      <c r="P3" s="1544"/>
    </row>
    <row r="4" spans="1:16">
      <c r="A4" s="1544" t="s">
        <v>730</v>
      </c>
      <c r="B4" s="1544"/>
      <c r="C4" s="1544"/>
      <c r="D4" s="1544"/>
      <c r="E4" s="1544"/>
      <c r="F4" s="1544"/>
      <c r="G4" s="1544"/>
      <c r="H4" s="1544"/>
      <c r="I4" s="1544"/>
      <c r="J4" s="1544"/>
      <c r="K4" s="1544"/>
      <c r="L4" s="1544"/>
      <c r="M4" s="1544"/>
      <c r="N4" s="1544"/>
      <c r="O4" s="1544"/>
      <c r="P4" s="1544"/>
    </row>
    <row r="5" spans="1:16">
      <c r="A5" s="1544" t="s">
        <v>322</v>
      </c>
      <c r="B5" s="1544"/>
      <c r="C5" s="1544"/>
      <c r="D5" s="1544"/>
      <c r="E5" s="1544"/>
      <c r="F5" s="1544"/>
      <c r="G5" s="1544"/>
      <c r="H5" s="1544"/>
      <c r="I5" s="1544"/>
      <c r="J5" s="1544"/>
      <c r="K5" s="1544"/>
      <c r="L5" s="1544"/>
      <c r="M5" s="1544"/>
      <c r="N5" s="1544"/>
      <c r="O5" s="1544"/>
      <c r="P5" s="1544"/>
    </row>
    <row r="6" spans="1:16">
      <c r="A6" s="1544" t="s">
        <v>323</v>
      </c>
      <c r="B6" s="1544"/>
      <c r="C6" s="1544"/>
      <c r="D6" s="1544"/>
      <c r="E6" s="1544"/>
      <c r="F6" s="1544"/>
      <c r="G6" s="1544"/>
      <c r="H6" s="1544"/>
      <c r="I6" s="1544"/>
      <c r="J6" s="1544"/>
      <c r="K6" s="1544"/>
      <c r="L6" s="1544"/>
      <c r="M6" s="1544"/>
      <c r="N6" s="1544"/>
      <c r="O6" s="1544"/>
      <c r="P6" s="1544"/>
    </row>
    <row r="7" spans="1:16">
      <c r="A7" s="1544" t="s">
        <v>755</v>
      </c>
      <c r="B7" s="1544"/>
      <c r="C7" s="1544"/>
      <c r="D7" s="1544"/>
      <c r="E7" s="1544"/>
      <c r="F7" s="1544"/>
      <c r="G7" s="1544"/>
      <c r="H7" s="1544"/>
      <c r="I7" s="1544"/>
      <c r="J7" s="1544"/>
      <c r="K7" s="1544"/>
      <c r="L7" s="1544"/>
      <c r="M7" s="1544"/>
      <c r="N7" s="1544"/>
      <c r="O7" s="1544"/>
      <c r="P7" s="1544"/>
    </row>
    <row r="8" spans="1:16">
      <c r="A8" s="42"/>
      <c r="B8" s="42"/>
      <c r="C8" s="42"/>
      <c r="D8" s="44"/>
      <c r="E8" s="44"/>
      <c r="F8" s="44"/>
      <c r="G8" s="44"/>
      <c r="H8" s="44"/>
      <c r="I8" s="42"/>
      <c r="J8" s="42"/>
      <c r="K8" s="42"/>
      <c r="L8" s="42"/>
      <c r="M8" s="42"/>
      <c r="N8" s="42"/>
      <c r="O8" s="42"/>
      <c r="P8" s="42"/>
    </row>
    <row r="9" spans="1:16">
      <c r="A9" s="45" t="s">
        <v>324</v>
      </c>
      <c r="B9" s="45" t="s">
        <v>325</v>
      </c>
      <c r="C9" s="1339" t="s">
        <v>326</v>
      </c>
      <c r="D9" s="1548" t="s">
        <v>327</v>
      </c>
      <c r="E9" s="1549"/>
      <c r="F9" s="1549"/>
      <c r="G9" s="1549"/>
      <c r="H9" s="1550"/>
      <c r="I9" s="1548" t="s">
        <v>329</v>
      </c>
      <c r="J9" s="1550"/>
      <c r="K9" s="1548" t="s">
        <v>68</v>
      </c>
      <c r="L9" s="1550"/>
      <c r="M9" s="1548" t="s">
        <v>52</v>
      </c>
      <c r="N9" s="1550"/>
      <c r="O9" s="1339" t="s">
        <v>330</v>
      </c>
      <c r="P9" s="1339" t="s">
        <v>95</v>
      </c>
    </row>
    <row r="10" spans="1:16" ht="23.25" customHeight="1">
      <c r="A10" s="46"/>
      <c r="B10" s="46"/>
      <c r="C10" s="47" t="s">
        <v>331</v>
      </c>
      <c r="D10" s="51" t="s">
        <v>421</v>
      </c>
      <c r="E10" s="51" t="s">
        <v>422</v>
      </c>
      <c r="F10" s="1551" t="s">
        <v>419</v>
      </c>
      <c r="G10" s="1552"/>
      <c r="H10" s="47" t="s">
        <v>4</v>
      </c>
      <c r="I10" s="51" t="s">
        <v>421</v>
      </c>
      <c r="J10" s="51" t="s">
        <v>422</v>
      </c>
      <c r="K10" s="51" t="s">
        <v>421</v>
      </c>
      <c r="L10" s="51" t="s">
        <v>422</v>
      </c>
      <c r="M10" s="51" t="s">
        <v>421</v>
      </c>
      <c r="N10" s="51" t="s">
        <v>422</v>
      </c>
      <c r="O10" s="1337" t="s">
        <v>420</v>
      </c>
      <c r="P10" s="1337"/>
    </row>
    <row r="11" spans="1:16">
      <c r="A11" s="48"/>
      <c r="B11" s="46"/>
      <c r="C11" s="47"/>
      <c r="D11" s="51"/>
      <c r="E11" s="51"/>
      <c r="F11" s="51" t="s">
        <v>421</v>
      </c>
      <c r="G11" s="51" t="s">
        <v>422</v>
      </c>
      <c r="H11" s="51"/>
      <c r="I11" s="51"/>
      <c r="J11" s="51"/>
      <c r="K11" s="51"/>
      <c r="L11" s="51"/>
      <c r="M11" s="47"/>
      <c r="N11" s="47"/>
      <c r="O11" s="47"/>
      <c r="P11" s="47"/>
    </row>
    <row r="12" spans="1:16" ht="18">
      <c r="A12" s="49" t="s">
        <v>423</v>
      </c>
      <c r="B12" s="49" t="s">
        <v>85</v>
      </c>
      <c r="C12" s="53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54"/>
    </row>
    <row r="13" spans="1:16" ht="18">
      <c r="A13" s="49"/>
      <c r="B13" s="53"/>
      <c r="C13" s="53">
        <v>100</v>
      </c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54"/>
    </row>
    <row r="14" spans="1:16" ht="18">
      <c r="A14" s="49"/>
      <c r="B14" s="53"/>
      <c r="C14" s="53">
        <v>200</v>
      </c>
      <c r="D14" s="6">
        <f>+'[2]faps conap'!P7</f>
        <v>7803808.3200000003</v>
      </c>
      <c r="E14" s="6">
        <f>+'[2]faps conap'!P8</f>
        <v>71994083.159999996</v>
      </c>
      <c r="F14" s="6"/>
      <c r="G14" s="6"/>
      <c r="H14" s="6">
        <f>+E14+D14</f>
        <v>79797891.479999989</v>
      </c>
      <c r="I14" s="6">
        <f>+'[2]faps conap'!BP7</f>
        <v>106114.98</v>
      </c>
      <c r="J14" s="6">
        <f>+'[2]faps conap'!BP8</f>
        <v>52854808.719999999</v>
      </c>
      <c r="K14" s="6">
        <f>+D14-I14</f>
        <v>7697693.3399999999</v>
      </c>
      <c r="L14" s="6">
        <f>+E14-J14</f>
        <v>19139274.439999998</v>
      </c>
      <c r="M14" s="5">
        <f>+I14/D14</f>
        <v>1.3597845519609072E-2</v>
      </c>
      <c r="N14" s="5">
        <f>+J14/E14</f>
        <v>0.73415489718141447</v>
      </c>
      <c r="O14" s="6">
        <f>+L14+K14</f>
        <v>26836967.779999997</v>
      </c>
      <c r="P14" s="54"/>
    </row>
    <row r="15" spans="1:16" ht="18">
      <c r="A15" s="49"/>
      <c r="B15" s="56"/>
      <c r="C15" s="53">
        <v>300</v>
      </c>
      <c r="D15" s="6"/>
      <c r="E15" s="6"/>
      <c r="F15" s="6"/>
      <c r="G15" s="6"/>
      <c r="H15" s="6"/>
      <c r="I15" s="6"/>
      <c r="J15" s="6"/>
      <c r="K15" s="6"/>
      <c r="L15" s="6"/>
      <c r="M15" s="5"/>
      <c r="N15" s="5"/>
      <c r="O15" s="6"/>
      <c r="P15" s="54"/>
    </row>
    <row r="16" spans="1:16" ht="18">
      <c r="A16" s="49"/>
      <c r="B16" s="49"/>
      <c r="C16" s="53" t="s">
        <v>4</v>
      </c>
      <c r="D16" s="6">
        <f>+D15+D14</f>
        <v>7803808.3200000003</v>
      </c>
      <c r="E16" s="6">
        <f>+E15+E14</f>
        <v>71994083.159999996</v>
      </c>
      <c r="F16" s="6"/>
      <c r="G16" s="6"/>
      <c r="H16" s="6">
        <f>+H15+H14</f>
        <v>79797891.479999989</v>
      </c>
      <c r="I16" s="6">
        <f>+I14</f>
        <v>106114.98</v>
      </c>
      <c r="J16" s="6">
        <f>+J14</f>
        <v>52854808.719999999</v>
      </c>
      <c r="K16" s="6">
        <f>SUM(K13:K15)</f>
        <v>7697693.3399999999</v>
      </c>
      <c r="L16" s="6">
        <f>SUM(L13:L15)</f>
        <v>19139274.439999998</v>
      </c>
      <c r="M16" s="5">
        <f>+I16/D16</f>
        <v>1.3597845519609072E-2</v>
      </c>
      <c r="N16" s="5">
        <f>+J16/E16</f>
        <v>0.73415489718141447</v>
      </c>
      <c r="O16" s="6">
        <f>+O14</f>
        <v>26836967.779999997</v>
      </c>
      <c r="P16" s="54"/>
    </row>
    <row r="17" spans="1:16" ht="18">
      <c r="A17" s="48" t="s">
        <v>424</v>
      </c>
      <c r="B17" s="49" t="s">
        <v>86</v>
      </c>
      <c r="C17" s="53"/>
      <c r="D17" s="6"/>
      <c r="E17" s="6"/>
      <c r="F17" s="6"/>
      <c r="G17" s="6"/>
      <c r="H17" s="6"/>
      <c r="I17" s="6"/>
      <c r="J17" s="6"/>
      <c r="K17" s="6"/>
      <c r="L17" s="6"/>
      <c r="M17" s="5"/>
      <c r="N17" s="5"/>
      <c r="O17" s="6"/>
      <c r="P17" s="54"/>
    </row>
    <row r="18" spans="1:16" ht="18">
      <c r="A18" s="49"/>
      <c r="B18" s="53"/>
      <c r="C18" s="53">
        <v>100</v>
      </c>
      <c r="D18" s="6"/>
      <c r="E18" s="6"/>
      <c r="F18" s="6"/>
      <c r="G18" s="6"/>
      <c r="H18" s="6"/>
      <c r="I18" s="6"/>
      <c r="J18" s="6"/>
      <c r="K18" s="6"/>
      <c r="L18" s="6"/>
      <c r="M18" s="5"/>
      <c r="N18" s="5"/>
      <c r="O18" s="6"/>
      <c r="P18" s="54"/>
    </row>
    <row r="19" spans="1:16" ht="18">
      <c r="A19" s="49"/>
      <c r="B19" s="53"/>
      <c r="C19" s="53">
        <v>200</v>
      </c>
      <c r="D19" s="6"/>
      <c r="E19" s="6">
        <f>+'[2]faps conap'!P12</f>
        <v>8194000</v>
      </c>
      <c r="F19" s="6"/>
      <c r="G19" s="6"/>
      <c r="H19" s="6">
        <f>+E19</f>
        <v>8194000</v>
      </c>
      <c r="I19" s="6">
        <f>+[2]Saob!BP11</f>
        <v>0</v>
      </c>
      <c r="J19" s="6">
        <f>+'[2]faps conap'!BP12</f>
        <v>8096279.7699999996</v>
      </c>
      <c r="K19" s="6">
        <f>+F19-I19</f>
        <v>0</v>
      </c>
      <c r="L19" s="6">
        <f>+E19-J19</f>
        <v>97720.230000000447</v>
      </c>
      <c r="M19" s="5">
        <v>0</v>
      </c>
      <c r="N19" s="5">
        <f>+J19/E19</f>
        <v>0.98807417256529162</v>
      </c>
      <c r="O19" s="6">
        <f>+L19+K19</f>
        <v>97720.230000000447</v>
      </c>
      <c r="P19" s="54"/>
    </row>
    <row r="20" spans="1:16" ht="18">
      <c r="A20" s="49"/>
      <c r="B20" s="53"/>
      <c r="C20" s="53">
        <v>300</v>
      </c>
      <c r="D20" s="6"/>
      <c r="E20" s="6"/>
      <c r="F20" s="6"/>
      <c r="G20" s="6"/>
      <c r="H20" s="6">
        <f>+D20+E20</f>
        <v>0</v>
      </c>
      <c r="I20" s="6"/>
      <c r="J20" s="6"/>
      <c r="K20" s="6"/>
      <c r="L20" s="6"/>
      <c r="M20" s="5"/>
      <c r="N20" s="5"/>
      <c r="O20" s="6"/>
      <c r="P20" s="54"/>
    </row>
    <row r="21" spans="1:16" ht="18">
      <c r="A21" s="49"/>
      <c r="B21" s="56"/>
      <c r="C21" s="53" t="s">
        <v>4</v>
      </c>
      <c r="D21" s="6">
        <f>+D19</f>
        <v>0</v>
      </c>
      <c r="E21" s="6">
        <f>+E19</f>
        <v>8194000</v>
      </c>
      <c r="F21" s="6"/>
      <c r="G21" s="6"/>
      <c r="H21" s="6">
        <f>+H20+H19</f>
        <v>8194000</v>
      </c>
      <c r="I21" s="6">
        <f>+I19</f>
        <v>0</v>
      </c>
      <c r="J21" s="6">
        <f>+J19</f>
        <v>8096279.7699999996</v>
      </c>
      <c r="K21" s="6">
        <f>SUM(K18:K20)</f>
        <v>0</v>
      </c>
      <c r="L21" s="6">
        <f>SUM(L18:L20)</f>
        <v>97720.230000000447</v>
      </c>
      <c r="M21" s="5">
        <v>0</v>
      </c>
      <c r="N21" s="5">
        <v>0</v>
      </c>
      <c r="O21" s="6">
        <f>+O19</f>
        <v>97720.230000000447</v>
      </c>
      <c r="P21" s="54"/>
    </row>
    <row r="22" spans="1:16" ht="18">
      <c r="A22" s="49"/>
      <c r="B22" s="49"/>
      <c r="C22" s="53"/>
      <c r="D22" s="6"/>
      <c r="E22" s="6"/>
      <c r="F22" s="6"/>
      <c r="G22" s="6"/>
      <c r="H22" s="6"/>
      <c r="I22" s="6"/>
      <c r="J22" s="6"/>
      <c r="K22" s="6"/>
      <c r="L22" s="6"/>
      <c r="M22" s="234"/>
      <c r="N22" s="234"/>
      <c r="O22" s="6"/>
      <c r="P22" s="54"/>
    </row>
    <row r="23" spans="1:16" ht="18">
      <c r="A23" s="49"/>
      <c r="B23" s="49" t="s">
        <v>46</v>
      </c>
      <c r="C23" s="53"/>
      <c r="D23" s="6"/>
      <c r="E23" s="6"/>
      <c r="F23" s="6"/>
      <c r="G23" s="6"/>
      <c r="H23" s="6"/>
      <c r="I23" s="6"/>
      <c r="J23" s="6"/>
      <c r="K23" s="6"/>
      <c r="L23" s="6"/>
      <c r="M23" s="234"/>
      <c r="N23" s="234"/>
      <c r="O23" s="6"/>
      <c r="P23" s="54"/>
    </row>
    <row r="24" spans="1:16">
      <c r="A24" s="49"/>
      <c r="B24" s="53"/>
      <c r="C24" s="53">
        <v>100</v>
      </c>
      <c r="D24" s="6">
        <f t="shared" ref="D24:E27" si="0">+D13+D18</f>
        <v>0</v>
      </c>
      <c r="E24" s="6">
        <f t="shared" si="0"/>
        <v>0</v>
      </c>
      <c r="F24" s="6"/>
      <c r="G24" s="6"/>
      <c r="H24" s="6">
        <f t="shared" ref="H24:P27" si="1">+H13+H18</f>
        <v>0</v>
      </c>
      <c r="I24" s="6">
        <f t="shared" si="1"/>
        <v>0</v>
      </c>
      <c r="J24" s="6">
        <f t="shared" si="1"/>
        <v>0</v>
      </c>
      <c r="K24" s="6">
        <f t="shared" si="1"/>
        <v>0</v>
      </c>
      <c r="L24" s="6">
        <f t="shared" si="1"/>
        <v>0</v>
      </c>
      <c r="M24" s="234"/>
      <c r="N24" s="234"/>
      <c r="O24" s="6">
        <f t="shared" si="1"/>
        <v>0</v>
      </c>
      <c r="P24" s="6">
        <f t="shared" si="1"/>
        <v>0</v>
      </c>
    </row>
    <row r="25" spans="1:16">
      <c r="A25" s="48"/>
      <c r="B25" s="56"/>
      <c r="C25" s="53">
        <v>200</v>
      </c>
      <c r="D25" s="6">
        <f t="shared" si="0"/>
        <v>7803808.3200000003</v>
      </c>
      <c r="E25" s="6">
        <f t="shared" si="0"/>
        <v>80188083.159999996</v>
      </c>
      <c r="F25" s="6"/>
      <c r="G25" s="6"/>
      <c r="H25" s="6">
        <f t="shared" si="1"/>
        <v>87991891.479999989</v>
      </c>
      <c r="I25" s="6">
        <f t="shared" si="1"/>
        <v>106114.98</v>
      </c>
      <c r="J25" s="6">
        <f t="shared" si="1"/>
        <v>60951088.489999995</v>
      </c>
      <c r="K25" s="6">
        <f t="shared" si="1"/>
        <v>7697693.3399999999</v>
      </c>
      <c r="L25" s="6">
        <f t="shared" si="1"/>
        <v>19236994.669999998</v>
      </c>
      <c r="M25" s="5">
        <f>+I25/D25</f>
        <v>1.3597845519609072E-2</v>
      </c>
      <c r="N25" s="5">
        <f>+J25/E25</f>
        <v>0.76010157729277239</v>
      </c>
      <c r="O25" s="6">
        <f t="shared" si="1"/>
        <v>26934688.009999998</v>
      </c>
      <c r="P25" s="6">
        <f t="shared" si="1"/>
        <v>0</v>
      </c>
    </row>
    <row r="26" spans="1:16">
      <c r="A26" s="3"/>
      <c r="B26" s="3"/>
      <c r="C26" s="53">
        <v>300</v>
      </c>
      <c r="D26" s="6">
        <f t="shared" si="0"/>
        <v>0</v>
      </c>
      <c r="E26" s="6">
        <f t="shared" si="0"/>
        <v>0</v>
      </c>
      <c r="F26" s="6"/>
      <c r="G26" s="6"/>
      <c r="H26" s="6">
        <f t="shared" si="1"/>
        <v>0</v>
      </c>
      <c r="I26" s="6">
        <f t="shared" si="1"/>
        <v>0</v>
      </c>
      <c r="J26" s="6">
        <f t="shared" si="1"/>
        <v>0</v>
      </c>
      <c r="K26" s="6">
        <f t="shared" si="1"/>
        <v>0</v>
      </c>
      <c r="L26" s="6">
        <f t="shared" si="1"/>
        <v>0</v>
      </c>
      <c r="M26" s="234"/>
      <c r="N26" s="234"/>
      <c r="O26" s="6">
        <f t="shared" si="1"/>
        <v>0</v>
      </c>
      <c r="P26" s="6">
        <f t="shared" si="1"/>
        <v>0</v>
      </c>
    </row>
    <row r="27" spans="1:16">
      <c r="A27" s="3"/>
      <c r="B27" s="3"/>
      <c r="C27" s="53" t="s">
        <v>4</v>
      </c>
      <c r="D27" s="6">
        <f t="shared" si="0"/>
        <v>7803808.3200000003</v>
      </c>
      <c r="E27" s="6">
        <f t="shared" si="0"/>
        <v>80188083.159999996</v>
      </c>
      <c r="F27" s="6"/>
      <c r="G27" s="6"/>
      <c r="H27" s="6">
        <f t="shared" si="1"/>
        <v>87991891.479999989</v>
      </c>
      <c r="I27" s="6">
        <f t="shared" si="1"/>
        <v>106114.98</v>
      </c>
      <c r="J27" s="6">
        <f t="shared" si="1"/>
        <v>60951088.489999995</v>
      </c>
      <c r="K27" s="6">
        <f t="shared" si="1"/>
        <v>7697693.3399999999</v>
      </c>
      <c r="L27" s="6">
        <f t="shared" si="1"/>
        <v>19236994.669999998</v>
      </c>
      <c r="M27" s="5">
        <f>+I27/D27</f>
        <v>1.3597845519609072E-2</v>
      </c>
      <c r="N27" s="5">
        <f>+J27/E27</f>
        <v>0.76010157729277239</v>
      </c>
      <c r="O27" s="6">
        <f t="shared" si="1"/>
        <v>26934688.009999998</v>
      </c>
      <c r="P27" s="6">
        <f t="shared" si="1"/>
        <v>0</v>
      </c>
    </row>
    <row r="28" spans="1:16" ht="18">
      <c r="A28" s="49"/>
      <c r="B28" s="53"/>
      <c r="C28" s="53"/>
      <c r="D28" s="6"/>
      <c r="E28" s="6"/>
      <c r="F28" s="6"/>
      <c r="G28" s="6"/>
      <c r="H28" s="6"/>
      <c r="I28" s="6"/>
      <c r="J28" s="6"/>
      <c r="K28" s="6"/>
      <c r="L28" s="6"/>
      <c r="M28" s="234"/>
      <c r="N28" s="234"/>
      <c r="O28" s="6"/>
      <c r="P28" s="54"/>
    </row>
    <row r="29" spans="1:16">
      <c r="O29" s="4">
        <f>+O27-'[2]faps conap bar'!$O$27</f>
        <v>0</v>
      </c>
    </row>
    <row r="30" spans="1:16">
      <c r="B30" t="s">
        <v>425</v>
      </c>
      <c r="I30" s="4"/>
      <c r="J30" t="s">
        <v>292</v>
      </c>
    </row>
    <row r="33" spans="2:10">
      <c r="B33" s="164" t="s">
        <v>417</v>
      </c>
      <c r="J33" s="164" t="s">
        <v>293</v>
      </c>
    </row>
    <row r="34" spans="2:10">
      <c r="B34" t="s">
        <v>418</v>
      </c>
      <c r="J34" t="s">
        <v>294</v>
      </c>
    </row>
  </sheetData>
  <mergeCells count="11">
    <mergeCell ref="D9:H9"/>
    <mergeCell ref="I9:J9"/>
    <mergeCell ref="K9:L9"/>
    <mergeCell ref="F10:G10"/>
    <mergeCell ref="A7:P7"/>
    <mergeCell ref="M9:N9"/>
    <mergeCell ref="A2:P2"/>
    <mergeCell ref="A3:P3"/>
    <mergeCell ref="A4:P4"/>
    <mergeCell ref="A5:P5"/>
    <mergeCell ref="A6:P6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7">
    <tabColor rgb="FF92D050"/>
  </sheetPr>
  <dimension ref="A1:BA32"/>
  <sheetViews>
    <sheetView workbookViewId="0">
      <pane xSplit="1" ySplit="7" topLeftCell="AM18" activePane="bottomRight" state="frozen"/>
      <selection pane="topRight" activeCell="B1" sqref="B1"/>
      <selection pane="bottomLeft" activeCell="A8" sqref="A8"/>
      <selection pane="bottomRight" activeCell="AN37" sqref="AN37"/>
    </sheetView>
  </sheetViews>
  <sheetFormatPr defaultRowHeight="15"/>
  <cols>
    <col min="1" max="1" width="47.7109375" style="17" bestFit="1" customWidth="1"/>
    <col min="2" max="2" width="16.5703125" style="852" bestFit="1" customWidth="1"/>
    <col min="3" max="3" width="15.140625" style="852" bestFit="1" customWidth="1"/>
    <col min="4" max="4" width="5.28515625" style="852" bestFit="1" customWidth="1"/>
    <col min="5" max="5" width="16.5703125" style="852" bestFit="1" customWidth="1"/>
    <col min="6" max="6" width="5.28515625" style="852" hidden="1" customWidth="1"/>
    <col min="7" max="7" width="7.7109375" style="852" hidden="1" customWidth="1"/>
    <col min="8" max="8" width="5.28515625" style="852" hidden="1" customWidth="1"/>
    <col min="9" max="9" width="8.28515625" style="852" hidden="1" customWidth="1"/>
    <col min="10" max="10" width="16.5703125" style="852" hidden="1" customWidth="1"/>
    <col min="11" max="11" width="15.140625" style="852" hidden="1" customWidth="1"/>
    <col min="12" max="12" width="5.28515625" style="852" hidden="1" customWidth="1"/>
    <col min="13" max="13" width="16.5703125" style="852" hidden="1" customWidth="1"/>
    <col min="14" max="14" width="16.5703125" style="852" bestFit="1" customWidth="1"/>
    <col min="15" max="15" width="15.140625" style="852" bestFit="1" customWidth="1"/>
    <col min="16" max="16" width="5.28515625" style="852" bestFit="1" customWidth="1"/>
    <col min="17" max="17" width="16.5703125" style="852" bestFit="1" customWidth="1"/>
    <col min="18" max="18" width="5.28515625" style="852" hidden="1" customWidth="1"/>
    <col min="19" max="19" width="7.7109375" style="852" hidden="1" customWidth="1"/>
    <col min="20" max="20" width="5.28515625" style="852" hidden="1" customWidth="1"/>
    <col min="21" max="21" width="8.28515625" style="852" hidden="1" customWidth="1"/>
    <col min="22" max="22" width="5.28515625" style="852" bestFit="1" customWidth="1"/>
    <col min="23" max="24" width="15.140625" style="852" bestFit="1" customWidth="1"/>
    <col min="25" max="27" width="16.5703125" style="852" bestFit="1" customWidth="1"/>
    <col min="28" max="28" width="15.140625" style="852" bestFit="1" customWidth="1"/>
    <col min="29" max="29" width="16.5703125" style="852" bestFit="1" customWidth="1"/>
    <col min="30" max="31" width="15.140625" style="852" hidden="1" customWidth="1"/>
    <col min="32" max="32" width="5.28515625" style="852" hidden="1" customWidth="1"/>
    <col min="33" max="33" width="16.5703125" style="852" hidden="1" customWidth="1"/>
    <col min="34" max="34" width="5.28515625" style="852" hidden="1" customWidth="1"/>
    <col min="35" max="37" width="15.140625" style="852" hidden="1" customWidth="1"/>
    <col min="38" max="38" width="15.140625" style="852" bestFit="1" customWidth="1"/>
    <col min="39" max="39" width="16.5703125" style="852" bestFit="1" customWidth="1"/>
    <col min="40" max="40" width="15.140625" style="852" bestFit="1" customWidth="1"/>
    <col min="41" max="41" width="16.5703125" style="852" bestFit="1" customWidth="1"/>
    <col min="42" max="44" width="15.140625" style="852" bestFit="1" customWidth="1"/>
    <col min="45" max="45" width="16.5703125" style="852" bestFit="1" customWidth="1"/>
    <col min="46" max="46" width="6.140625" style="879" customWidth="1"/>
    <col min="47" max="47" width="6.5703125" style="879" bestFit="1" customWidth="1"/>
    <col min="48" max="48" width="5.42578125" style="879" bestFit="1" customWidth="1"/>
    <col min="49" max="49" width="7.140625" style="879" bestFit="1" customWidth="1"/>
    <col min="50" max="50" width="5.7109375" style="17" bestFit="1" customWidth="1"/>
    <col min="51" max="51" width="6.5703125" style="17" bestFit="1" customWidth="1"/>
    <col min="52" max="52" width="5.7109375" style="17" customWidth="1"/>
    <col min="53" max="53" width="12.5703125" style="17" customWidth="1"/>
    <col min="54" max="54" width="20" style="17" customWidth="1"/>
    <col min="55" max="55" width="5.7109375" style="17" bestFit="1" customWidth="1"/>
    <col min="56" max="16384" width="9.140625" style="17"/>
  </cols>
  <sheetData>
    <row r="1" spans="1:53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910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3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3">
      <c r="A3" s="15" t="s">
        <v>1098</v>
      </c>
      <c r="B3" s="189"/>
      <c r="C3" s="908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3">
      <c r="A4" s="16"/>
      <c r="B4" s="189"/>
      <c r="C4" s="90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3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535" t="s">
        <v>52</v>
      </c>
      <c r="AU5" s="1536"/>
      <c r="AV5" s="1536"/>
      <c r="AW5" s="1537"/>
      <c r="AX5" s="1499" t="s">
        <v>58</v>
      </c>
      <c r="AY5" s="1500"/>
      <c r="AZ5" s="1500"/>
      <c r="BA5" s="1501"/>
    </row>
    <row r="6" spans="1:53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880"/>
      <c r="AU6" s="881"/>
      <c r="AV6" s="881"/>
      <c r="AW6" s="882"/>
      <c r="AX6" s="913"/>
      <c r="AY6" s="914"/>
      <c r="AZ6" s="914"/>
      <c r="BA6" s="915"/>
    </row>
    <row r="7" spans="1:53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883" t="s">
        <v>1</v>
      </c>
      <c r="AU7" s="883" t="s">
        <v>2</v>
      </c>
      <c r="AV7" s="883" t="s">
        <v>3</v>
      </c>
      <c r="AW7" s="883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3" s="903" customFormat="1" ht="16.5">
      <c r="A8" s="901" t="s">
        <v>1011</v>
      </c>
      <c r="B8" s="868">
        <f>SUM(B9:B13)</f>
        <v>413566000</v>
      </c>
      <c r="C8" s="868">
        <f>SUM(C9:C13)</f>
        <v>341822000</v>
      </c>
      <c r="D8" s="868">
        <f t="shared" ref="D8:AN8" si="0">SUM(D9:D13)</f>
        <v>0</v>
      </c>
      <c r="E8" s="868">
        <f t="shared" ref="E8:E27" si="1">SUM(B8:D8)</f>
        <v>755388000</v>
      </c>
      <c r="F8" s="868">
        <f t="shared" si="0"/>
        <v>16641681</v>
      </c>
      <c r="G8" s="868">
        <f t="shared" si="0"/>
        <v>-16641681</v>
      </c>
      <c r="H8" s="868">
        <f t="shared" si="0"/>
        <v>0</v>
      </c>
      <c r="I8" s="868">
        <f t="shared" si="0"/>
        <v>0</v>
      </c>
      <c r="J8" s="868">
        <f t="shared" si="0"/>
        <v>430207681</v>
      </c>
      <c r="K8" s="868">
        <f t="shared" si="0"/>
        <v>325180319</v>
      </c>
      <c r="L8" s="868">
        <f t="shared" si="0"/>
        <v>0</v>
      </c>
      <c r="M8" s="868">
        <f t="shared" si="0"/>
        <v>755388000</v>
      </c>
      <c r="N8" s="868">
        <f t="shared" si="0"/>
        <v>430207681</v>
      </c>
      <c r="O8" s="868">
        <f t="shared" si="0"/>
        <v>325180319</v>
      </c>
      <c r="P8" s="868">
        <f t="shared" si="0"/>
        <v>0</v>
      </c>
      <c r="Q8" s="868">
        <f t="shared" ref="Q8:Q27" si="2">SUM(N8:P8)</f>
        <v>755388000</v>
      </c>
      <c r="R8" s="868">
        <f t="shared" si="0"/>
        <v>0</v>
      </c>
      <c r="S8" s="868">
        <f t="shared" si="0"/>
        <v>0</v>
      </c>
      <c r="T8" s="868">
        <f t="shared" si="0"/>
        <v>0</v>
      </c>
      <c r="U8" s="868">
        <f t="shared" si="0"/>
        <v>0</v>
      </c>
      <c r="V8" s="868">
        <f t="shared" si="0"/>
        <v>0</v>
      </c>
      <c r="W8" s="868">
        <f t="shared" si="0"/>
        <v>257522900.06</v>
      </c>
      <c r="X8" s="868">
        <f t="shared" si="0"/>
        <v>303830932</v>
      </c>
      <c r="Y8" s="868">
        <f t="shared" ref="Y8:Y27" si="3">SUM(V8:X8)</f>
        <v>561353832.05999994</v>
      </c>
      <c r="Z8" s="868">
        <f t="shared" si="0"/>
        <v>430207681</v>
      </c>
      <c r="AA8" s="868">
        <f t="shared" si="0"/>
        <v>582703219.05999994</v>
      </c>
      <c r="AB8" s="868">
        <f t="shared" si="0"/>
        <v>303830932</v>
      </c>
      <c r="AC8" s="868">
        <f t="shared" ref="AC8:AC27" si="4">SUM(Z8:AB8)</f>
        <v>1316741832.0599999</v>
      </c>
      <c r="AD8" s="868">
        <f t="shared" si="0"/>
        <v>396551613.13000005</v>
      </c>
      <c r="AE8" s="868">
        <f t="shared" si="0"/>
        <v>214230165.46000004</v>
      </c>
      <c r="AF8" s="868">
        <f t="shared" si="0"/>
        <v>0</v>
      </c>
      <c r="AG8" s="868">
        <f t="shared" si="0"/>
        <v>610781778.59000003</v>
      </c>
      <c r="AH8" s="868">
        <f t="shared" si="0"/>
        <v>0</v>
      </c>
      <c r="AI8" s="868">
        <f t="shared" si="0"/>
        <v>180608552.14999998</v>
      </c>
      <c r="AJ8" s="868">
        <f t="shared" si="0"/>
        <v>194779712.66</v>
      </c>
      <c r="AK8" s="868">
        <f t="shared" si="0"/>
        <v>375388264.81000006</v>
      </c>
      <c r="AL8" s="868">
        <f t="shared" si="0"/>
        <v>396551613.13000005</v>
      </c>
      <c r="AM8" s="868">
        <f t="shared" si="0"/>
        <v>394838717.60999995</v>
      </c>
      <c r="AN8" s="868">
        <f t="shared" si="0"/>
        <v>194779712.66</v>
      </c>
      <c r="AO8" s="868">
        <f t="shared" ref="AO8:AO27" si="5">SUM(AL8:AN8)</f>
        <v>986170043.39999998</v>
      </c>
      <c r="AP8" s="868">
        <f t="shared" ref="AP8:AR11" si="6">+Z8-AL8</f>
        <v>33656067.869999945</v>
      </c>
      <c r="AQ8" s="868">
        <f t="shared" si="6"/>
        <v>187864501.44999999</v>
      </c>
      <c r="AR8" s="868">
        <f t="shared" si="6"/>
        <v>109051219.34</v>
      </c>
      <c r="AS8" s="868">
        <f t="shared" ref="AS8:AS27" si="7">SUM(AP8:AR8)</f>
        <v>330571788.65999997</v>
      </c>
      <c r="AT8" s="902">
        <f t="shared" ref="AT8:AV27" si="8">IF(Z8=0," ",AL8/Z8)</f>
        <v>0.92176785920751625</v>
      </c>
      <c r="AU8" s="902">
        <f t="shared" si="8"/>
        <v>0.67759831196220677</v>
      </c>
      <c r="AV8" s="902">
        <f t="shared" si="8"/>
        <v>0.64107927187611036</v>
      </c>
      <c r="AW8" s="902">
        <f t="shared" ref="AW8:AW27" si="9">IF(AC8=0," ",AO8/AC8)</f>
        <v>0.74894715075404639</v>
      </c>
      <c r="AX8" s="22">
        <f t="shared" ref="AX8:AZ11" si="10">+J8-N8</f>
        <v>0</v>
      </c>
      <c r="AY8" s="22">
        <f t="shared" si="10"/>
        <v>0</v>
      </c>
      <c r="AZ8" s="22">
        <f t="shared" si="10"/>
        <v>0</v>
      </c>
      <c r="BA8" s="22">
        <f t="shared" ref="BA8:BA27" si="11">SUM(AX8:AZ8)</f>
        <v>0</v>
      </c>
    </row>
    <row r="9" spans="1:53" s="903" customFormat="1">
      <c r="A9" s="905" t="s">
        <v>1082</v>
      </c>
      <c r="B9" s="859">
        <f>+'SUMM BY CLUSTER- CURRENT'!B86</f>
        <v>82152000</v>
      </c>
      <c r="C9" s="859">
        <f>+'SUMM BY CLUSTER- CURRENT'!C86</f>
        <v>203497000</v>
      </c>
      <c r="D9" s="859">
        <f>+'SUMM BY CLUSTER- CURRENT'!D86</f>
        <v>0</v>
      </c>
      <c r="E9" s="859">
        <f t="shared" si="1"/>
        <v>285649000</v>
      </c>
      <c r="F9" s="859">
        <f>+'SUMM BY CLUSTER- CURRENT'!F86</f>
        <v>0</v>
      </c>
      <c r="G9" s="859">
        <f>+'SUMM BY CLUSTER- CURRENT'!G86</f>
        <v>0</v>
      </c>
      <c r="H9" s="859">
        <f>+'SUMM BY CLUSTER- CURRENT'!H86</f>
        <v>0</v>
      </c>
      <c r="I9" s="859">
        <f>SUM('CY-FUR (REG)- Detail'!J174:J176)</f>
        <v>0</v>
      </c>
      <c r="J9" s="859">
        <f>SUM('CY-FUR (REG)- Detail'!K174:K176)</f>
        <v>82152000</v>
      </c>
      <c r="K9" s="859">
        <f>SUM('CY-FUR (REG)- Detail'!L174:L176)</f>
        <v>203497000</v>
      </c>
      <c r="L9" s="859">
        <f>SUM('CY-FUR (REG)- Detail'!M174:M176)</f>
        <v>0</v>
      </c>
      <c r="M9" s="859">
        <f>SUM('CY-FUR (REG)- Detail'!N174:N176)</f>
        <v>285649000</v>
      </c>
      <c r="N9" s="859">
        <f>+'SUMM BY CLUSTER- CURRENT'!N86</f>
        <v>82152000</v>
      </c>
      <c r="O9" s="859">
        <f>+'SUMM BY CLUSTER- CURRENT'!O86</f>
        <v>203497000</v>
      </c>
      <c r="P9" s="859">
        <f>+'SUMM BY CLUSTER- CURRENT'!P86</f>
        <v>0</v>
      </c>
      <c r="Q9" s="859">
        <f t="shared" si="2"/>
        <v>285649000</v>
      </c>
      <c r="R9" s="859">
        <f>+'SUMM BY CLUSTER- CURRENT'!R86</f>
        <v>0</v>
      </c>
      <c r="S9" s="859">
        <f>+'SUMM BY CLUSTER- CURRENT'!S86</f>
        <v>0</v>
      </c>
      <c r="T9" s="859">
        <f>+'SUMM BY CLUSTER- CURRENT'!T86</f>
        <v>0</v>
      </c>
      <c r="U9" s="859">
        <f>SUM('CY-FUR (REG)- Detail'!V174:V176)</f>
        <v>0</v>
      </c>
      <c r="V9" s="859">
        <f>+'SUMM BY CLUSTER- CURRENT'!V86</f>
        <v>0</v>
      </c>
      <c r="W9" s="859">
        <f>+'SUMM BY CLUSTER- CURRENT'!W86</f>
        <v>179750925</v>
      </c>
      <c r="X9" s="859">
        <f>+'SUMM BY CLUSTER- CURRENT'!X86</f>
        <v>81800000</v>
      </c>
      <c r="Y9" s="859">
        <f t="shared" si="3"/>
        <v>261550925</v>
      </c>
      <c r="Z9" s="859">
        <f>SUM('CY-FUR (REG)- Detail'!AA174:AA176)</f>
        <v>82152000</v>
      </c>
      <c r="AA9" s="859">
        <f>SUM('CY-FUR (REG)- Detail'!AB174:AB176)</f>
        <v>383247925</v>
      </c>
      <c r="AB9" s="859">
        <f>SUM('CY-FUR (REG)- Detail'!AC174:AC176)</f>
        <v>81800000</v>
      </c>
      <c r="AC9" s="859">
        <f t="shared" si="4"/>
        <v>547199925</v>
      </c>
      <c r="AD9" s="859">
        <f>+'SUMM BY CLUSTER- CURRENT'!AD86</f>
        <v>74071103.160000011</v>
      </c>
      <c r="AE9" s="859">
        <f>+'SUMM BY CLUSTER- CURRENT'!AE86</f>
        <v>114864768.08000001</v>
      </c>
      <c r="AF9" s="859">
        <f>+'SUMM BY CLUSTER- CURRENT'!AF86</f>
        <v>0</v>
      </c>
      <c r="AG9" s="859">
        <f>SUM('CY-FUR (REG)- Detail'!AH174:AH176)</f>
        <v>188935871.24000001</v>
      </c>
      <c r="AH9" s="859">
        <f>+'SUMM BY CLUSTER- CURRENT'!AH86</f>
        <v>0</v>
      </c>
      <c r="AI9" s="859">
        <f>+'SUMM BY CLUSTER- CURRENT'!AI86</f>
        <v>118567442.73999999</v>
      </c>
      <c r="AJ9" s="859">
        <f>+'SUMM BY CLUSTER- CURRENT'!AJ86</f>
        <v>81800000</v>
      </c>
      <c r="AK9" s="859">
        <f>SUM('CY-FUR (REG)- Detail'!AL174:AL176)</f>
        <v>200367442.74000001</v>
      </c>
      <c r="AL9" s="859">
        <f>SUM('CY-FUR (REG)- Detail'!AM174:AM176)</f>
        <v>74071103.160000011</v>
      </c>
      <c r="AM9" s="859">
        <f>SUM('CY-FUR (REG)- Detail'!AN174:AN176)</f>
        <v>233432210.81999999</v>
      </c>
      <c r="AN9" s="859">
        <f>SUM('CY-FUR (REG)- Detail'!AO174:AO176)</f>
        <v>81800000</v>
      </c>
      <c r="AO9" s="859">
        <f t="shared" si="5"/>
        <v>389303313.98000002</v>
      </c>
      <c r="AP9" s="859">
        <f t="shared" si="6"/>
        <v>8080896.8399999887</v>
      </c>
      <c r="AQ9" s="859">
        <f t="shared" si="6"/>
        <v>149815714.18000001</v>
      </c>
      <c r="AR9" s="859">
        <f t="shared" si="6"/>
        <v>0</v>
      </c>
      <c r="AS9" s="859">
        <f t="shared" si="7"/>
        <v>157896611.01999998</v>
      </c>
      <c r="AT9" s="902">
        <f t="shared" si="8"/>
        <v>0.90163481302950643</v>
      </c>
      <c r="AU9" s="902">
        <f t="shared" si="8"/>
        <v>0.60908930118799731</v>
      </c>
      <c r="AV9" s="902">
        <f t="shared" si="8"/>
        <v>1</v>
      </c>
      <c r="AW9" s="902">
        <f t="shared" si="9"/>
        <v>0.71144621224134852</v>
      </c>
      <c r="AX9" s="22">
        <f t="shared" si="10"/>
        <v>0</v>
      </c>
      <c r="AY9" s="22">
        <f t="shared" si="10"/>
        <v>0</v>
      </c>
      <c r="AZ9" s="22">
        <f t="shared" si="10"/>
        <v>0</v>
      </c>
      <c r="BA9" s="22">
        <f t="shared" si="11"/>
        <v>0</v>
      </c>
    </row>
    <row r="10" spans="1:53" s="16" customFormat="1">
      <c r="A10" s="905" t="s">
        <v>1013</v>
      </c>
      <c r="B10" s="859">
        <f>+'SUMM BY CLUSTER- CURRENT'!B87</f>
        <v>171850000</v>
      </c>
      <c r="C10" s="859">
        <f>+'SUMM BY CLUSTER- CURRENT'!C87</f>
        <v>64470000</v>
      </c>
      <c r="D10" s="859">
        <f>+'SUMM BY CLUSTER- CURRENT'!D87</f>
        <v>0</v>
      </c>
      <c r="E10" s="859">
        <f t="shared" si="1"/>
        <v>236320000</v>
      </c>
      <c r="F10" s="859">
        <f>+'SUMM BY CLUSTER- CURRENT'!F87</f>
        <v>16641681</v>
      </c>
      <c r="G10" s="859">
        <f>+'SUMM BY CLUSTER- CURRENT'!G87</f>
        <v>-16641681</v>
      </c>
      <c r="H10" s="859">
        <f>+'SUMM BY CLUSTER- CURRENT'!H87</f>
        <v>0</v>
      </c>
      <c r="I10" s="859">
        <f t="shared" ref="I10" si="12">SUM(F10:H10)</f>
        <v>0</v>
      </c>
      <c r="J10" s="859">
        <f t="shared" ref="J10:L13" si="13">+B10+F10</f>
        <v>188491681</v>
      </c>
      <c r="K10" s="859">
        <f t="shared" si="13"/>
        <v>47828319</v>
      </c>
      <c r="L10" s="859">
        <f t="shared" si="13"/>
        <v>0</v>
      </c>
      <c r="M10" s="859">
        <f t="shared" ref="M10:M13" si="14">SUM(J10:L10)</f>
        <v>236320000</v>
      </c>
      <c r="N10" s="859">
        <f>+'SUMM BY CLUSTER- CURRENT'!N87</f>
        <v>188491681</v>
      </c>
      <c r="O10" s="859">
        <f>+'SUMM BY CLUSTER- CURRENT'!O87</f>
        <v>47828319</v>
      </c>
      <c r="P10" s="859">
        <f>+'SUMM BY CLUSTER- CURRENT'!P87</f>
        <v>0</v>
      </c>
      <c r="Q10" s="859">
        <f t="shared" si="2"/>
        <v>236320000</v>
      </c>
      <c r="R10" s="859">
        <f>+'SUMM BY CLUSTER- CURRENT'!R87</f>
        <v>0</v>
      </c>
      <c r="S10" s="859">
        <f>+'SUMM BY CLUSTER- CURRENT'!S87</f>
        <v>0</v>
      </c>
      <c r="T10" s="859">
        <f>+'SUMM BY CLUSTER- CURRENT'!T87</f>
        <v>0</v>
      </c>
      <c r="U10" s="859">
        <f t="shared" ref="U10:U13" si="15">SUM(R10:T10)</f>
        <v>0</v>
      </c>
      <c r="V10" s="859">
        <f>+'SUMM BY CLUSTER- CURRENT'!V87</f>
        <v>0</v>
      </c>
      <c r="W10" s="859">
        <f>+'SUMM BY CLUSTER- CURRENT'!W87</f>
        <v>39525975.060000002</v>
      </c>
      <c r="X10" s="859">
        <f>+'SUMM BY CLUSTER- CURRENT'!X87</f>
        <v>97780932</v>
      </c>
      <c r="Y10" s="859">
        <f t="shared" si="3"/>
        <v>137306907.06</v>
      </c>
      <c r="Z10" s="859">
        <f t="shared" ref="Z10:AB13" si="16">+N10+V10+R10</f>
        <v>188491681</v>
      </c>
      <c r="AA10" s="859">
        <f t="shared" si="16"/>
        <v>87354294.060000002</v>
      </c>
      <c r="AB10" s="859">
        <f t="shared" si="16"/>
        <v>97780932</v>
      </c>
      <c r="AC10" s="859">
        <f t="shared" si="4"/>
        <v>373626907.06</v>
      </c>
      <c r="AD10" s="859">
        <f>+'SUMM BY CLUSTER- CURRENT'!AD87</f>
        <v>175442649.88999999</v>
      </c>
      <c r="AE10" s="859">
        <f>+'SUMM BY CLUSTER- CURRENT'!AE87</f>
        <v>41704696.619999997</v>
      </c>
      <c r="AF10" s="859">
        <f>+'SUMM BY CLUSTER- CURRENT'!AF87</f>
        <v>0</v>
      </c>
      <c r="AG10" s="859">
        <f t="shared" ref="AG10:AG13" si="17">SUM(AD10:AF10)</f>
        <v>217147346.50999999</v>
      </c>
      <c r="AH10" s="859">
        <f>+'SUMM BY CLUSTER- CURRENT'!AH87</f>
        <v>0</v>
      </c>
      <c r="AI10" s="859">
        <f>+'SUMM BY CLUSTER- CURRENT'!AI87</f>
        <v>34784359.710000001</v>
      </c>
      <c r="AJ10" s="859">
        <f>+'SUMM BY CLUSTER- CURRENT'!AJ87</f>
        <v>85202888.879999995</v>
      </c>
      <c r="AK10" s="859">
        <f t="shared" ref="AK10:AK13" si="18">SUM(AH10:AJ10)</f>
        <v>119987248.59</v>
      </c>
      <c r="AL10" s="859">
        <f t="shared" ref="AL10:AN13" si="19">+AH10+AD10</f>
        <v>175442649.88999999</v>
      </c>
      <c r="AM10" s="859">
        <f t="shared" si="19"/>
        <v>76489056.329999998</v>
      </c>
      <c r="AN10" s="859">
        <f t="shared" si="19"/>
        <v>85202888.879999995</v>
      </c>
      <c r="AO10" s="859">
        <f t="shared" si="5"/>
        <v>337134595.09999996</v>
      </c>
      <c r="AP10" s="859">
        <f t="shared" si="6"/>
        <v>13049031.110000014</v>
      </c>
      <c r="AQ10" s="859">
        <f t="shared" si="6"/>
        <v>10865237.730000004</v>
      </c>
      <c r="AR10" s="859">
        <f t="shared" si="6"/>
        <v>12578043.120000005</v>
      </c>
      <c r="AS10" s="859">
        <f t="shared" si="7"/>
        <v>36492311.960000023</v>
      </c>
      <c r="AT10" s="886">
        <f t="shared" si="8"/>
        <v>0.93077131552559067</v>
      </c>
      <c r="AU10" s="886">
        <f t="shared" si="8"/>
        <v>0.87561873349308816</v>
      </c>
      <c r="AV10" s="886">
        <f t="shared" si="8"/>
        <v>0.87136507228219096</v>
      </c>
      <c r="AW10" s="886">
        <f t="shared" si="9"/>
        <v>0.90232953978836483</v>
      </c>
      <c r="AX10" s="22">
        <f t="shared" si="10"/>
        <v>0</v>
      </c>
      <c r="AY10" s="22">
        <f t="shared" si="10"/>
        <v>0</v>
      </c>
      <c r="AZ10" s="22">
        <f t="shared" si="10"/>
        <v>0</v>
      </c>
      <c r="BA10" s="22">
        <f t="shared" si="11"/>
        <v>0</v>
      </c>
    </row>
    <row r="11" spans="1:53" s="16" customFormat="1">
      <c r="A11" s="905" t="s">
        <v>1014</v>
      </c>
      <c r="B11" s="859">
        <f>+'SUMM BY CLUSTER- CURRENT'!B88</f>
        <v>135645000</v>
      </c>
      <c r="C11" s="859">
        <f>+'SUMM BY CLUSTER- CURRENT'!C88</f>
        <v>48725000</v>
      </c>
      <c r="D11" s="859">
        <f>+'SUMM BY CLUSTER- CURRENT'!D88</f>
        <v>0</v>
      </c>
      <c r="E11" s="859">
        <f t="shared" si="1"/>
        <v>184370000</v>
      </c>
      <c r="F11" s="859">
        <f>+'SUMM BY CLUSTER- CURRENT'!F88</f>
        <v>0</v>
      </c>
      <c r="G11" s="859">
        <f>+'SUMM BY CLUSTER- CURRENT'!G88</f>
        <v>0</v>
      </c>
      <c r="H11" s="859">
        <f>+'SUMM BY CLUSTER- CURRENT'!H88</f>
        <v>0</v>
      </c>
      <c r="I11" s="859">
        <f t="shared" ref="I11:I13" si="20">SUM(F11:H11)</f>
        <v>0</v>
      </c>
      <c r="J11" s="859">
        <f t="shared" si="13"/>
        <v>135645000</v>
      </c>
      <c r="K11" s="859">
        <f t="shared" si="13"/>
        <v>48725000</v>
      </c>
      <c r="L11" s="859">
        <f t="shared" si="13"/>
        <v>0</v>
      </c>
      <c r="M11" s="859">
        <f t="shared" si="14"/>
        <v>184370000</v>
      </c>
      <c r="N11" s="859">
        <f>+'SUMM BY CLUSTER- CURRENT'!N88</f>
        <v>135645000</v>
      </c>
      <c r="O11" s="859">
        <f>+'SUMM BY CLUSTER- CURRENT'!O88</f>
        <v>48725000</v>
      </c>
      <c r="P11" s="859">
        <f>+'SUMM BY CLUSTER- CURRENT'!P88</f>
        <v>0</v>
      </c>
      <c r="Q11" s="859">
        <f t="shared" si="2"/>
        <v>184370000</v>
      </c>
      <c r="R11" s="859">
        <f>+'SUMM BY CLUSTER- CURRENT'!R88</f>
        <v>0</v>
      </c>
      <c r="S11" s="859">
        <f>+'SUMM BY CLUSTER- CURRENT'!S88</f>
        <v>0</v>
      </c>
      <c r="T11" s="859">
        <f>+'SUMM BY CLUSTER- CURRENT'!T88</f>
        <v>0</v>
      </c>
      <c r="U11" s="859">
        <f t="shared" si="15"/>
        <v>0</v>
      </c>
      <c r="V11" s="859">
        <f>+'SUMM BY CLUSTER- CURRENT'!V88</f>
        <v>0</v>
      </c>
      <c r="W11" s="859">
        <f>+'SUMM BY CLUSTER- CURRENT'!W88</f>
        <v>30082000</v>
      </c>
      <c r="X11" s="859">
        <f>+'SUMM BY CLUSTER- CURRENT'!X88</f>
        <v>120000000</v>
      </c>
      <c r="Y11" s="859">
        <f t="shared" si="3"/>
        <v>150082000</v>
      </c>
      <c r="Z11" s="859">
        <f t="shared" si="16"/>
        <v>135645000</v>
      </c>
      <c r="AA11" s="859">
        <f t="shared" si="16"/>
        <v>78807000</v>
      </c>
      <c r="AB11" s="859">
        <f t="shared" si="16"/>
        <v>120000000</v>
      </c>
      <c r="AC11" s="859">
        <f t="shared" si="4"/>
        <v>334452000</v>
      </c>
      <c r="AD11" s="859">
        <f>+'SUMM BY CLUSTER- CURRENT'!AD88</f>
        <v>125042101.80000001</v>
      </c>
      <c r="AE11" s="859">
        <f>+'SUMM BY CLUSTER- CURRENT'!AE88</f>
        <v>34922774.079999998</v>
      </c>
      <c r="AF11" s="859">
        <f>+'SUMM BY CLUSTER- CURRENT'!AF88</f>
        <v>0</v>
      </c>
      <c r="AG11" s="859">
        <f t="shared" si="17"/>
        <v>159964875.88</v>
      </c>
      <c r="AH11" s="859">
        <f>+'SUMM BY CLUSTER- CURRENT'!AH88</f>
        <v>0</v>
      </c>
      <c r="AI11" s="859">
        <f>+'SUMM BY CLUSTER- CURRENT'!AI88</f>
        <v>23627885.059999999</v>
      </c>
      <c r="AJ11" s="859">
        <f>+'SUMM BY CLUSTER- CURRENT'!AJ88</f>
        <v>23786620.66</v>
      </c>
      <c r="AK11" s="859">
        <f t="shared" si="18"/>
        <v>47414505.719999999</v>
      </c>
      <c r="AL11" s="859">
        <f t="shared" si="19"/>
        <v>125042101.80000001</v>
      </c>
      <c r="AM11" s="859">
        <f t="shared" si="19"/>
        <v>58550659.140000001</v>
      </c>
      <c r="AN11" s="859">
        <f t="shared" si="19"/>
        <v>23786620.66</v>
      </c>
      <c r="AO11" s="859">
        <f t="shared" si="5"/>
        <v>207379381.59999999</v>
      </c>
      <c r="AP11" s="859">
        <f t="shared" si="6"/>
        <v>10602898.199999988</v>
      </c>
      <c r="AQ11" s="859">
        <f t="shared" si="6"/>
        <v>20256340.859999999</v>
      </c>
      <c r="AR11" s="859">
        <f t="shared" si="6"/>
        <v>96213379.340000004</v>
      </c>
      <c r="AS11" s="859">
        <f t="shared" si="7"/>
        <v>127072618.39999999</v>
      </c>
      <c r="AT11" s="886">
        <f t="shared" si="8"/>
        <v>0.92183347561649909</v>
      </c>
      <c r="AU11" s="886">
        <f t="shared" si="8"/>
        <v>0.74296267006737982</v>
      </c>
      <c r="AV11" s="886">
        <f t="shared" si="8"/>
        <v>0.19822183883333333</v>
      </c>
      <c r="AW11" s="886">
        <f t="shared" si="9"/>
        <v>0.62005723272696822</v>
      </c>
      <c r="AX11" s="22">
        <f t="shared" si="10"/>
        <v>0</v>
      </c>
      <c r="AY11" s="22">
        <f t="shared" si="10"/>
        <v>0</v>
      </c>
      <c r="AZ11" s="22">
        <f t="shared" si="10"/>
        <v>0</v>
      </c>
      <c r="BA11" s="22">
        <f t="shared" si="11"/>
        <v>0</v>
      </c>
    </row>
    <row r="12" spans="1:53" s="16" customFormat="1">
      <c r="A12" s="905" t="s">
        <v>1015</v>
      </c>
      <c r="B12" s="859">
        <f>+'SUMM BY CLUSTER- CURRENT'!B89</f>
        <v>15606000</v>
      </c>
      <c r="C12" s="859">
        <f>+'SUMM BY CLUSTER- CURRENT'!C89</f>
        <v>13105000</v>
      </c>
      <c r="D12" s="859">
        <f>+'SUMM BY CLUSTER- CURRENT'!D89</f>
        <v>0</v>
      </c>
      <c r="E12" s="859">
        <f t="shared" si="1"/>
        <v>28711000</v>
      </c>
      <c r="F12" s="859">
        <f>+'SUMM BY CLUSTER- CURRENT'!F89</f>
        <v>0</v>
      </c>
      <c r="G12" s="859">
        <f>+'SUMM BY CLUSTER- CURRENT'!G89</f>
        <v>0</v>
      </c>
      <c r="H12" s="859">
        <f>+'SUMM BY CLUSTER- CURRENT'!H89</f>
        <v>0</v>
      </c>
      <c r="I12" s="859">
        <f t="shared" si="20"/>
        <v>0</v>
      </c>
      <c r="J12" s="859">
        <f t="shared" si="13"/>
        <v>15606000</v>
      </c>
      <c r="K12" s="859">
        <f t="shared" si="13"/>
        <v>13105000</v>
      </c>
      <c r="L12" s="859">
        <f t="shared" si="13"/>
        <v>0</v>
      </c>
      <c r="M12" s="859">
        <f t="shared" si="14"/>
        <v>28711000</v>
      </c>
      <c r="N12" s="859">
        <f>+'SUMM BY CLUSTER- CURRENT'!N89</f>
        <v>15606000</v>
      </c>
      <c r="O12" s="859">
        <f>+'SUMM BY CLUSTER- CURRENT'!O89</f>
        <v>13105000</v>
      </c>
      <c r="P12" s="859">
        <f>+'SUMM BY CLUSTER- CURRENT'!P89</f>
        <v>0</v>
      </c>
      <c r="Q12" s="859">
        <f t="shared" si="2"/>
        <v>28711000</v>
      </c>
      <c r="R12" s="859">
        <f>+'SUMM BY CLUSTER- CURRENT'!R89</f>
        <v>0</v>
      </c>
      <c r="S12" s="859">
        <f>+'SUMM BY CLUSTER- CURRENT'!S89</f>
        <v>0</v>
      </c>
      <c r="T12" s="859">
        <f>+'SUMM BY CLUSTER- CURRENT'!T89</f>
        <v>0</v>
      </c>
      <c r="U12" s="859">
        <f t="shared" si="15"/>
        <v>0</v>
      </c>
      <c r="V12" s="859">
        <f>+'SUMM BY CLUSTER- CURRENT'!V89</f>
        <v>0</v>
      </c>
      <c r="W12" s="859">
        <f>+'SUMM BY CLUSTER- CURRENT'!W89</f>
        <v>6896000</v>
      </c>
      <c r="X12" s="859">
        <f>+'SUMM BY CLUSTER- CURRENT'!X89</f>
        <v>4250000</v>
      </c>
      <c r="Y12" s="859">
        <f t="shared" si="3"/>
        <v>11146000</v>
      </c>
      <c r="Z12" s="859">
        <f t="shared" si="16"/>
        <v>15606000</v>
      </c>
      <c r="AA12" s="859">
        <f t="shared" si="16"/>
        <v>20001000</v>
      </c>
      <c r="AB12" s="859">
        <f t="shared" si="16"/>
        <v>4250000</v>
      </c>
      <c r="AC12" s="859">
        <f t="shared" si="4"/>
        <v>39857000</v>
      </c>
      <c r="AD12" s="859">
        <f>+'SUMM BY CLUSTER- CURRENT'!AD89</f>
        <v>14462098.92</v>
      </c>
      <c r="AE12" s="859">
        <f>+'SUMM BY CLUSTER- CURRENT'!AE89</f>
        <v>11411954.800000001</v>
      </c>
      <c r="AF12" s="859">
        <f>+'SUMM BY CLUSTER- CURRENT'!AF89</f>
        <v>0</v>
      </c>
      <c r="AG12" s="859">
        <f t="shared" si="17"/>
        <v>25874053.719999999</v>
      </c>
      <c r="AH12" s="859">
        <f>+'SUMM BY CLUSTER- CURRENT'!AH89</f>
        <v>0</v>
      </c>
      <c r="AI12" s="859">
        <f>+'SUMM BY CLUSTER- CURRENT'!AI89</f>
        <v>2645719.75</v>
      </c>
      <c r="AJ12" s="859">
        <f>+'SUMM BY CLUSTER- CURRENT'!AJ89</f>
        <v>3990203.12</v>
      </c>
      <c r="AK12" s="859">
        <f t="shared" si="18"/>
        <v>6635922.8700000001</v>
      </c>
      <c r="AL12" s="859">
        <f t="shared" si="19"/>
        <v>14462098.92</v>
      </c>
      <c r="AM12" s="859">
        <f t="shared" si="19"/>
        <v>14057674.550000001</v>
      </c>
      <c r="AN12" s="859">
        <f t="shared" si="19"/>
        <v>3990203.12</v>
      </c>
      <c r="AO12" s="859">
        <f t="shared" si="5"/>
        <v>32509976.59</v>
      </c>
      <c r="AP12" s="859">
        <f t="shared" ref="AP12:AR27" si="21">+Z12-AL12</f>
        <v>1143901.08</v>
      </c>
      <c r="AQ12" s="859">
        <f t="shared" si="21"/>
        <v>5943325.4499999993</v>
      </c>
      <c r="AR12" s="859">
        <f t="shared" si="21"/>
        <v>259796.87999999989</v>
      </c>
      <c r="AS12" s="859">
        <f t="shared" si="7"/>
        <v>7347023.4099999992</v>
      </c>
      <c r="AT12" s="886">
        <f t="shared" si="8"/>
        <v>0.92670119953863894</v>
      </c>
      <c r="AU12" s="886">
        <f t="shared" si="8"/>
        <v>0.70284858507074655</v>
      </c>
      <c r="AV12" s="886">
        <f t="shared" si="8"/>
        <v>0.93887132235294124</v>
      </c>
      <c r="AW12" s="886">
        <f t="shared" si="9"/>
        <v>0.81566541862157216</v>
      </c>
      <c r="AX12" s="22">
        <f t="shared" ref="AX12:AZ27" si="22">+J12-N12</f>
        <v>0</v>
      </c>
      <c r="AY12" s="22">
        <f t="shared" si="22"/>
        <v>0</v>
      </c>
      <c r="AZ12" s="22">
        <f t="shared" si="22"/>
        <v>0</v>
      </c>
      <c r="BA12" s="22">
        <f t="shared" si="11"/>
        <v>0</v>
      </c>
    </row>
    <row r="13" spans="1:53" s="16" customFormat="1">
      <c r="A13" s="905" t="s">
        <v>1016</v>
      </c>
      <c r="B13" s="859">
        <f>+'SUMM BY CLUSTER- CURRENT'!B90</f>
        <v>8313000</v>
      </c>
      <c r="C13" s="859">
        <f>+'SUMM BY CLUSTER- CURRENT'!C90</f>
        <v>12025000</v>
      </c>
      <c r="D13" s="859">
        <f>+'SUMM BY CLUSTER- CURRENT'!D90</f>
        <v>0</v>
      </c>
      <c r="E13" s="859">
        <f t="shared" si="1"/>
        <v>20338000</v>
      </c>
      <c r="F13" s="859">
        <f>+'SUMM BY CLUSTER- CURRENT'!F90</f>
        <v>0</v>
      </c>
      <c r="G13" s="859">
        <f>+'SUMM BY CLUSTER- CURRENT'!G90</f>
        <v>0</v>
      </c>
      <c r="H13" s="859">
        <f>+'SUMM BY CLUSTER- CURRENT'!H90</f>
        <v>0</v>
      </c>
      <c r="I13" s="859">
        <f t="shared" si="20"/>
        <v>0</v>
      </c>
      <c r="J13" s="859">
        <f t="shared" si="13"/>
        <v>8313000</v>
      </c>
      <c r="K13" s="859">
        <f t="shared" si="13"/>
        <v>12025000</v>
      </c>
      <c r="L13" s="859">
        <f t="shared" si="13"/>
        <v>0</v>
      </c>
      <c r="M13" s="859">
        <f t="shared" si="14"/>
        <v>20338000</v>
      </c>
      <c r="N13" s="859">
        <f>+'SUMM BY CLUSTER- CURRENT'!N90</f>
        <v>8313000</v>
      </c>
      <c r="O13" s="859">
        <f>+'SUMM BY CLUSTER- CURRENT'!O90</f>
        <v>12025000</v>
      </c>
      <c r="P13" s="859">
        <f>+'SUMM BY CLUSTER- CURRENT'!P90</f>
        <v>0</v>
      </c>
      <c r="Q13" s="859">
        <f t="shared" si="2"/>
        <v>20338000</v>
      </c>
      <c r="R13" s="859">
        <f>+'SUMM BY CLUSTER- CURRENT'!R90</f>
        <v>0</v>
      </c>
      <c r="S13" s="859">
        <f>+'SUMM BY CLUSTER- CURRENT'!S90</f>
        <v>0</v>
      </c>
      <c r="T13" s="859">
        <f>+'SUMM BY CLUSTER- CURRENT'!T90</f>
        <v>0</v>
      </c>
      <c r="U13" s="859">
        <f t="shared" si="15"/>
        <v>0</v>
      </c>
      <c r="V13" s="859">
        <f>+'SUMM BY CLUSTER- CURRENT'!V90</f>
        <v>0</v>
      </c>
      <c r="W13" s="859">
        <f>+'SUMM BY CLUSTER- CURRENT'!W90</f>
        <v>1268000</v>
      </c>
      <c r="X13" s="859">
        <f>+'SUMM BY CLUSTER- CURRENT'!X90</f>
        <v>0</v>
      </c>
      <c r="Y13" s="859">
        <f t="shared" si="3"/>
        <v>1268000</v>
      </c>
      <c r="Z13" s="859">
        <f t="shared" si="16"/>
        <v>8313000</v>
      </c>
      <c r="AA13" s="859">
        <f t="shared" si="16"/>
        <v>13293000</v>
      </c>
      <c r="AB13" s="859">
        <f t="shared" si="16"/>
        <v>0</v>
      </c>
      <c r="AC13" s="859">
        <f t="shared" si="4"/>
        <v>21606000</v>
      </c>
      <c r="AD13" s="859">
        <f>+'SUMM BY CLUSTER- CURRENT'!AD90</f>
        <v>7533659.3600000003</v>
      </c>
      <c r="AE13" s="859">
        <f>+'SUMM BY CLUSTER- CURRENT'!AE90</f>
        <v>11325971.879999999</v>
      </c>
      <c r="AF13" s="859">
        <f>+'SUMM BY CLUSTER- CURRENT'!AF90</f>
        <v>0</v>
      </c>
      <c r="AG13" s="859">
        <f t="shared" si="17"/>
        <v>18859631.239999998</v>
      </c>
      <c r="AH13" s="859">
        <f>+'SUMM BY CLUSTER- CURRENT'!AH90</f>
        <v>0</v>
      </c>
      <c r="AI13" s="859">
        <f>+'SUMM BY CLUSTER- CURRENT'!AI90</f>
        <v>983144.89</v>
      </c>
      <c r="AJ13" s="859">
        <f>+'SUMM BY CLUSTER- CURRENT'!AJ90</f>
        <v>0</v>
      </c>
      <c r="AK13" s="859">
        <f t="shared" si="18"/>
        <v>983144.89</v>
      </c>
      <c r="AL13" s="859">
        <f t="shared" si="19"/>
        <v>7533659.3600000003</v>
      </c>
      <c r="AM13" s="859">
        <f t="shared" si="19"/>
        <v>12309116.77</v>
      </c>
      <c r="AN13" s="859">
        <f t="shared" si="19"/>
        <v>0</v>
      </c>
      <c r="AO13" s="859">
        <f t="shared" si="5"/>
        <v>19842776.129999999</v>
      </c>
      <c r="AP13" s="859">
        <f t="shared" si="21"/>
        <v>779340.63999999966</v>
      </c>
      <c r="AQ13" s="859">
        <f t="shared" si="21"/>
        <v>983883.23000000045</v>
      </c>
      <c r="AR13" s="859">
        <f t="shared" si="21"/>
        <v>0</v>
      </c>
      <c r="AS13" s="859">
        <f t="shared" si="7"/>
        <v>1763223.87</v>
      </c>
      <c r="AT13" s="886">
        <f t="shared" si="8"/>
        <v>0.90625037411283538</v>
      </c>
      <c r="AU13" s="886">
        <f t="shared" si="8"/>
        <v>0.92598486195742113</v>
      </c>
      <c r="AV13" s="886" t="str">
        <f t="shared" si="8"/>
        <v xml:space="preserve"> </v>
      </c>
      <c r="AW13" s="886">
        <f t="shared" si="9"/>
        <v>0.91839193418494858</v>
      </c>
      <c r="AX13" s="22">
        <f t="shared" si="22"/>
        <v>0</v>
      </c>
      <c r="AY13" s="22">
        <f t="shared" si="22"/>
        <v>0</v>
      </c>
      <c r="AZ13" s="22">
        <f t="shared" si="22"/>
        <v>0</v>
      </c>
      <c r="BA13" s="22">
        <f t="shared" si="11"/>
        <v>0</v>
      </c>
    </row>
    <row r="14" spans="1:53" s="16" customFormat="1">
      <c r="A14" s="592"/>
      <c r="B14" s="859"/>
      <c r="C14" s="859"/>
      <c r="D14" s="859"/>
      <c r="E14" s="860">
        <f t="shared" si="1"/>
        <v>0</v>
      </c>
      <c r="F14" s="859"/>
      <c r="G14" s="859"/>
      <c r="H14" s="859"/>
      <c r="I14" s="860"/>
      <c r="J14" s="859"/>
      <c r="K14" s="859"/>
      <c r="L14" s="859"/>
      <c r="M14" s="860"/>
      <c r="N14" s="859"/>
      <c r="O14" s="859"/>
      <c r="P14" s="859"/>
      <c r="Q14" s="860">
        <f t="shared" si="2"/>
        <v>0</v>
      </c>
      <c r="R14" s="859"/>
      <c r="S14" s="859"/>
      <c r="T14" s="859"/>
      <c r="U14" s="860"/>
      <c r="V14" s="859"/>
      <c r="W14" s="859"/>
      <c r="X14" s="859"/>
      <c r="Y14" s="860">
        <f t="shared" si="3"/>
        <v>0</v>
      </c>
      <c r="Z14" s="860"/>
      <c r="AA14" s="860"/>
      <c r="AB14" s="860"/>
      <c r="AC14" s="860">
        <f t="shared" si="4"/>
        <v>0</v>
      </c>
      <c r="AD14" s="859"/>
      <c r="AE14" s="859"/>
      <c r="AF14" s="859"/>
      <c r="AG14" s="860"/>
      <c r="AH14" s="859"/>
      <c r="AI14" s="859"/>
      <c r="AJ14" s="859"/>
      <c r="AK14" s="860"/>
      <c r="AL14" s="860"/>
      <c r="AM14" s="860"/>
      <c r="AN14" s="860"/>
      <c r="AO14" s="860">
        <f t="shared" si="5"/>
        <v>0</v>
      </c>
      <c r="AP14" s="860">
        <f t="shared" si="21"/>
        <v>0</v>
      </c>
      <c r="AQ14" s="860">
        <f t="shared" si="21"/>
        <v>0</v>
      </c>
      <c r="AR14" s="860">
        <f t="shared" si="21"/>
        <v>0</v>
      </c>
      <c r="AS14" s="860">
        <f t="shared" si="7"/>
        <v>0</v>
      </c>
      <c r="AT14" s="886" t="str">
        <f t="shared" si="8"/>
        <v xml:space="preserve"> </v>
      </c>
      <c r="AU14" s="886" t="str">
        <f t="shared" si="8"/>
        <v xml:space="preserve"> </v>
      </c>
      <c r="AV14" s="886" t="str">
        <f t="shared" si="8"/>
        <v xml:space="preserve"> </v>
      </c>
      <c r="AW14" s="886" t="str">
        <f t="shared" si="9"/>
        <v xml:space="preserve"> </v>
      </c>
      <c r="AX14" s="22">
        <f t="shared" si="22"/>
        <v>0</v>
      </c>
      <c r="AY14" s="22">
        <f t="shared" si="22"/>
        <v>0</v>
      </c>
      <c r="AZ14" s="22">
        <f t="shared" si="22"/>
        <v>0</v>
      </c>
      <c r="BA14" s="22">
        <f t="shared" si="11"/>
        <v>0</v>
      </c>
    </row>
    <row r="15" spans="1:53" s="903" customFormat="1" ht="16.5">
      <c r="A15" s="901" t="s">
        <v>1018</v>
      </c>
      <c r="B15" s="868">
        <f>SUM(B16:B22)</f>
        <v>498268000</v>
      </c>
      <c r="C15" s="868">
        <f>SUM(C16:C22)</f>
        <v>420868000</v>
      </c>
      <c r="D15" s="868">
        <f t="shared" ref="D15:AN15" si="23">SUM(D16:D22)</f>
        <v>0</v>
      </c>
      <c r="E15" s="868">
        <f t="shared" si="1"/>
        <v>919136000</v>
      </c>
      <c r="F15" s="868">
        <f t="shared" ref="F15:H15" si="24">SUM(F16:F22)</f>
        <v>10930156</v>
      </c>
      <c r="G15" s="868">
        <f t="shared" si="24"/>
        <v>-10930156</v>
      </c>
      <c r="H15" s="868">
        <f t="shared" si="24"/>
        <v>0</v>
      </c>
      <c r="I15" s="868">
        <f t="shared" si="23"/>
        <v>0</v>
      </c>
      <c r="J15" s="868">
        <f t="shared" si="23"/>
        <v>509198156</v>
      </c>
      <c r="K15" s="868">
        <f t="shared" si="23"/>
        <v>409937844</v>
      </c>
      <c r="L15" s="868">
        <f t="shared" si="23"/>
        <v>0</v>
      </c>
      <c r="M15" s="868">
        <f t="shared" si="23"/>
        <v>919136000</v>
      </c>
      <c r="N15" s="868">
        <f t="shared" si="23"/>
        <v>509198156</v>
      </c>
      <c r="O15" s="868">
        <f t="shared" si="23"/>
        <v>409937844</v>
      </c>
      <c r="P15" s="868">
        <f t="shared" si="23"/>
        <v>0</v>
      </c>
      <c r="Q15" s="868">
        <f t="shared" si="2"/>
        <v>919136000</v>
      </c>
      <c r="R15" s="868">
        <f t="shared" ref="R15:T15" si="25">SUM(R16:R22)</f>
        <v>0</v>
      </c>
      <c r="S15" s="868">
        <f t="shared" si="25"/>
        <v>0</v>
      </c>
      <c r="T15" s="868">
        <f t="shared" si="25"/>
        <v>0</v>
      </c>
      <c r="U15" s="868">
        <f t="shared" si="23"/>
        <v>0</v>
      </c>
      <c r="V15" s="868">
        <f t="shared" si="23"/>
        <v>0</v>
      </c>
      <c r="W15" s="868">
        <f t="shared" si="23"/>
        <v>307330343.60000002</v>
      </c>
      <c r="X15" s="868">
        <f t="shared" si="23"/>
        <v>77874017</v>
      </c>
      <c r="Y15" s="868">
        <f t="shared" si="3"/>
        <v>385204360.60000002</v>
      </c>
      <c r="Z15" s="868">
        <f t="shared" si="23"/>
        <v>509198156</v>
      </c>
      <c r="AA15" s="868">
        <f t="shared" si="23"/>
        <v>717268187.60000002</v>
      </c>
      <c r="AB15" s="868">
        <f t="shared" si="23"/>
        <v>77874017</v>
      </c>
      <c r="AC15" s="868">
        <f t="shared" si="4"/>
        <v>1304340360.5999999</v>
      </c>
      <c r="AD15" s="868">
        <f t="shared" ref="AD15:AF15" si="26">SUM(AD16:AD22)</f>
        <v>471963150.01000005</v>
      </c>
      <c r="AE15" s="868">
        <f t="shared" si="26"/>
        <v>337374898.74000001</v>
      </c>
      <c r="AF15" s="868">
        <f t="shared" si="26"/>
        <v>0</v>
      </c>
      <c r="AG15" s="868">
        <f t="shared" si="23"/>
        <v>809338048.75</v>
      </c>
      <c r="AH15" s="868">
        <f t="shared" si="23"/>
        <v>0</v>
      </c>
      <c r="AI15" s="868">
        <f t="shared" si="23"/>
        <v>212483854.07000002</v>
      </c>
      <c r="AJ15" s="868">
        <f t="shared" si="23"/>
        <v>55203243.989999995</v>
      </c>
      <c r="AK15" s="868">
        <f t="shared" si="23"/>
        <v>267687098.06</v>
      </c>
      <c r="AL15" s="868">
        <f t="shared" si="23"/>
        <v>471963150.01000005</v>
      </c>
      <c r="AM15" s="868">
        <f t="shared" si="23"/>
        <v>549858752.81000018</v>
      </c>
      <c r="AN15" s="868">
        <f t="shared" si="23"/>
        <v>55203243.989999995</v>
      </c>
      <c r="AO15" s="868">
        <f t="shared" si="5"/>
        <v>1077025146.8100002</v>
      </c>
      <c r="AP15" s="868">
        <f t="shared" si="21"/>
        <v>37235005.98999995</v>
      </c>
      <c r="AQ15" s="868">
        <f t="shared" si="21"/>
        <v>167409434.78999984</v>
      </c>
      <c r="AR15" s="868">
        <f t="shared" si="21"/>
        <v>22670773.010000005</v>
      </c>
      <c r="AS15" s="868">
        <f t="shared" si="7"/>
        <v>227315213.78999978</v>
      </c>
      <c r="AT15" s="902">
        <f t="shared" si="8"/>
        <v>0.9268752143909964</v>
      </c>
      <c r="AU15" s="902">
        <f t="shared" si="8"/>
        <v>0.76660133868454894</v>
      </c>
      <c r="AV15" s="902">
        <f t="shared" si="8"/>
        <v>0.70887885480467761</v>
      </c>
      <c r="AW15" s="902">
        <f t="shared" si="9"/>
        <v>0.82572400528537337</v>
      </c>
      <c r="AX15" s="22">
        <f t="shared" si="22"/>
        <v>0</v>
      </c>
      <c r="AY15" s="22">
        <f t="shared" si="22"/>
        <v>0</v>
      </c>
      <c r="AZ15" s="22">
        <f t="shared" si="22"/>
        <v>0</v>
      </c>
      <c r="BA15" s="22">
        <f t="shared" si="11"/>
        <v>0</v>
      </c>
    </row>
    <row r="16" spans="1:53" s="903" customFormat="1">
      <c r="A16" s="905" t="s">
        <v>1091</v>
      </c>
      <c r="B16" s="859">
        <f>+'SUMM BY CLUSTER- CURRENT'!B93</f>
        <v>73865000</v>
      </c>
      <c r="C16" s="859">
        <f>+'SUMM BY CLUSTER- CURRENT'!C93</f>
        <v>172021000</v>
      </c>
      <c r="D16" s="859">
        <f>+'SUMM BY CLUSTER- CURRENT'!D93</f>
        <v>0</v>
      </c>
      <c r="E16" s="859">
        <f t="shared" si="1"/>
        <v>245886000</v>
      </c>
      <c r="F16" s="859">
        <f>+'SUMM BY CLUSTER- CURRENT'!F93</f>
        <v>0</v>
      </c>
      <c r="G16" s="859">
        <f>+'SUMM BY CLUSTER- CURRENT'!G93</f>
        <v>0</v>
      </c>
      <c r="H16" s="859">
        <f>+'SUMM BY CLUSTER- CURRENT'!H93</f>
        <v>0</v>
      </c>
      <c r="I16" s="859">
        <f>SUM('CY-FUR (REG)- Detail'!J184:J186)</f>
        <v>0</v>
      </c>
      <c r="J16" s="859">
        <f>SUM('CY-FUR (REG)- Detail'!K184:K186)</f>
        <v>73865000</v>
      </c>
      <c r="K16" s="859">
        <f>SUM('CY-FUR (REG)- Detail'!L184:L186)</f>
        <v>172021000</v>
      </c>
      <c r="L16" s="859">
        <f>SUM('CY-FUR (REG)- Detail'!M184:M186)</f>
        <v>0</v>
      </c>
      <c r="M16" s="859">
        <f>SUM('CY-FUR (REG)- Detail'!N184:N186)</f>
        <v>245886000</v>
      </c>
      <c r="N16" s="859">
        <f>+'SUMM BY CLUSTER- CURRENT'!N93</f>
        <v>73865000</v>
      </c>
      <c r="O16" s="859">
        <f>+'SUMM BY CLUSTER- CURRENT'!O93</f>
        <v>172021000</v>
      </c>
      <c r="P16" s="859">
        <f>+'SUMM BY CLUSTER- CURRENT'!P93</f>
        <v>0</v>
      </c>
      <c r="Q16" s="859">
        <f t="shared" si="2"/>
        <v>245886000</v>
      </c>
      <c r="R16" s="859">
        <f>+'SUMM BY CLUSTER- CURRENT'!R93</f>
        <v>0</v>
      </c>
      <c r="S16" s="859">
        <f>+'SUMM BY CLUSTER- CURRENT'!S93</f>
        <v>0</v>
      </c>
      <c r="T16" s="859">
        <f>+'SUMM BY CLUSTER- CURRENT'!T93</f>
        <v>0</v>
      </c>
      <c r="U16" s="859">
        <f>SUM('CY-FUR (REG)- Detail'!V184:V186)</f>
        <v>0</v>
      </c>
      <c r="V16" s="859">
        <f>+'SUMM BY CLUSTER- CURRENT'!V93</f>
        <v>0</v>
      </c>
      <c r="W16" s="859">
        <f>+'SUMM BY CLUSTER- CURRENT'!W93</f>
        <v>216991143.59999999</v>
      </c>
      <c r="X16" s="859">
        <f>+'SUMM BY CLUSTER- CURRENT'!X93</f>
        <v>64842000</v>
      </c>
      <c r="Y16" s="859">
        <f t="shared" si="3"/>
        <v>281833143.60000002</v>
      </c>
      <c r="Z16" s="859">
        <f>SUM('CY-FUR (REG)- Detail'!AA184:AA186)</f>
        <v>73865000</v>
      </c>
      <c r="AA16" s="859">
        <f>SUM('CY-FUR (REG)- Detail'!AB184:AB186)</f>
        <v>389012143.60000002</v>
      </c>
      <c r="AB16" s="859">
        <f>SUM('CY-FUR (REG)- Detail'!AC184:AC186)</f>
        <v>64842000</v>
      </c>
      <c r="AC16" s="859">
        <f t="shared" si="4"/>
        <v>527719143.60000002</v>
      </c>
      <c r="AD16" s="859">
        <f>+'SUMM BY CLUSTER- CURRENT'!AD93</f>
        <v>65555990.560000002</v>
      </c>
      <c r="AE16" s="859">
        <f>+'SUMM BY CLUSTER- CURRENT'!AE93</f>
        <v>123944990.14000002</v>
      </c>
      <c r="AF16" s="859">
        <f>+'SUMM BY CLUSTER- CURRENT'!AF93</f>
        <v>0</v>
      </c>
      <c r="AG16" s="859">
        <f>SUM('CY-FUR (REG)- Detail'!AH184:AH186)</f>
        <v>189500980.69999999</v>
      </c>
      <c r="AH16" s="859">
        <f>+'SUMM BY CLUSTER- CURRENT'!AH93</f>
        <v>0</v>
      </c>
      <c r="AI16" s="859">
        <f>+'SUMM BY CLUSTER- CURRENT'!AI93</f>
        <v>133799923.88</v>
      </c>
      <c r="AJ16" s="859">
        <f>+'SUMM BY CLUSTER- CURRENT'!AJ93</f>
        <v>43168215.460000001</v>
      </c>
      <c r="AK16" s="859">
        <f>SUM('CY-FUR (REG)- Detail'!AL184:AL186)</f>
        <v>176968139.34</v>
      </c>
      <c r="AL16" s="859">
        <f>SUM('CY-FUR (REG)- Detail'!AM184:AM186)</f>
        <v>65555990.560000002</v>
      </c>
      <c r="AM16" s="859">
        <f>SUM('CY-FUR (REG)- Detail'!AN184:AN186)</f>
        <v>257744914.02000001</v>
      </c>
      <c r="AN16" s="859">
        <f>SUM('CY-FUR (REG)- Detail'!AO184:AO186)</f>
        <v>43168215.460000001</v>
      </c>
      <c r="AO16" s="859">
        <f t="shared" si="5"/>
        <v>366469120.04000002</v>
      </c>
      <c r="AP16" s="859">
        <f t="shared" si="21"/>
        <v>8309009.4399999976</v>
      </c>
      <c r="AQ16" s="859">
        <f t="shared" si="21"/>
        <v>131267229.58000001</v>
      </c>
      <c r="AR16" s="859">
        <f t="shared" si="21"/>
        <v>21673784.539999999</v>
      </c>
      <c r="AS16" s="859">
        <f t="shared" si="7"/>
        <v>161250023.56</v>
      </c>
      <c r="AT16" s="902">
        <f t="shared" si="8"/>
        <v>0.88751087199620937</v>
      </c>
      <c r="AU16" s="902">
        <f t="shared" si="8"/>
        <v>0.66256264299302969</v>
      </c>
      <c r="AV16" s="902">
        <f t="shared" si="8"/>
        <v>0.66574466333549243</v>
      </c>
      <c r="AW16" s="902">
        <f t="shared" si="9"/>
        <v>0.69443969293972763</v>
      </c>
      <c r="AX16" s="22">
        <f t="shared" si="22"/>
        <v>0</v>
      </c>
      <c r="AY16" s="22">
        <f t="shared" si="22"/>
        <v>0</v>
      </c>
      <c r="AZ16" s="22">
        <f t="shared" si="22"/>
        <v>0</v>
      </c>
      <c r="BA16" s="22">
        <f t="shared" si="11"/>
        <v>0</v>
      </c>
    </row>
    <row r="17" spans="1:53" s="16" customFormat="1">
      <c r="A17" s="905" t="s">
        <v>1019</v>
      </c>
      <c r="B17" s="859">
        <f>+'SUMM BY CLUSTER- CURRENT'!B94</f>
        <v>240017000</v>
      </c>
      <c r="C17" s="859">
        <f>+'SUMM BY CLUSTER- CURRENT'!C94</f>
        <v>170938000</v>
      </c>
      <c r="D17" s="859">
        <f>+'SUMM BY CLUSTER- CURRENT'!D94</f>
        <v>0</v>
      </c>
      <c r="E17" s="859">
        <f t="shared" si="1"/>
        <v>410955000</v>
      </c>
      <c r="F17" s="859">
        <f>+'SUMM BY CLUSTER- CURRENT'!F94</f>
        <v>4994674</v>
      </c>
      <c r="G17" s="859">
        <f>+'SUMM BY CLUSTER- CURRENT'!G94</f>
        <v>-4994674</v>
      </c>
      <c r="H17" s="859">
        <f>+'SUMM BY CLUSTER- CURRENT'!H94</f>
        <v>0</v>
      </c>
      <c r="I17" s="859">
        <f t="shared" ref="I17" si="27">SUM(F17:H17)</f>
        <v>0</v>
      </c>
      <c r="J17" s="859">
        <f t="shared" ref="J17:L22" si="28">+B17+F17</f>
        <v>245011674</v>
      </c>
      <c r="K17" s="859">
        <f t="shared" si="28"/>
        <v>165943326</v>
      </c>
      <c r="L17" s="859">
        <f t="shared" si="28"/>
        <v>0</v>
      </c>
      <c r="M17" s="859">
        <f t="shared" ref="M17:M22" si="29">SUM(J17:L17)</f>
        <v>410955000</v>
      </c>
      <c r="N17" s="859">
        <f>+'SUMM BY CLUSTER- CURRENT'!N94</f>
        <v>245011674</v>
      </c>
      <c r="O17" s="859">
        <f>+'SUMM BY CLUSTER- CURRENT'!O94</f>
        <v>165943326</v>
      </c>
      <c r="P17" s="859">
        <f>+'SUMM BY CLUSTER- CURRENT'!P94</f>
        <v>0</v>
      </c>
      <c r="Q17" s="859">
        <f t="shared" si="2"/>
        <v>410955000</v>
      </c>
      <c r="R17" s="859">
        <f>+'SUMM BY CLUSTER- CURRENT'!R94</f>
        <v>0</v>
      </c>
      <c r="S17" s="859">
        <f>+'SUMM BY CLUSTER- CURRENT'!S94</f>
        <v>0</v>
      </c>
      <c r="T17" s="859">
        <f>+'SUMM BY CLUSTER- CURRENT'!T94</f>
        <v>0</v>
      </c>
      <c r="U17" s="859">
        <f t="shared" ref="U17:U22" si="30">SUM(R17:T17)</f>
        <v>0</v>
      </c>
      <c r="V17" s="859">
        <f>+'SUMM BY CLUSTER- CURRENT'!V94</f>
        <v>0</v>
      </c>
      <c r="W17" s="859">
        <f>+'SUMM BY CLUSTER- CURRENT'!W94</f>
        <v>57467420</v>
      </c>
      <c r="X17" s="859">
        <f>+'SUMM BY CLUSTER- CURRENT'!X94</f>
        <v>10032017</v>
      </c>
      <c r="Y17" s="859">
        <f t="shared" si="3"/>
        <v>67499437</v>
      </c>
      <c r="Z17" s="859">
        <f t="shared" ref="Z17:AB22" si="31">+N17+V17+R17</f>
        <v>245011674</v>
      </c>
      <c r="AA17" s="859">
        <f t="shared" si="31"/>
        <v>223410746</v>
      </c>
      <c r="AB17" s="859">
        <f t="shared" si="31"/>
        <v>10032017</v>
      </c>
      <c r="AC17" s="859">
        <f t="shared" si="4"/>
        <v>478454437</v>
      </c>
      <c r="AD17" s="859">
        <f>+'SUMM BY CLUSTER- CURRENT'!AD94</f>
        <v>224542877.30000001</v>
      </c>
      <c r="AE17" s="859">
        <f>+'SUMM BY CLUSTER- CURRENT'!AE94</f>
        <v>154296478.00999999</v>
      </c>
      <c r="AF17" s="859">
        <f>+'SUMM BY CLUSTER- CURRENT'!AF94</f>
        <v>0</v>
      </c>
      <c r="AG17" s="859">
        <f t="shared" ref="AG17:AG22" si="32">SUM(AD17:AF17)</f>
        <v>378839355.31</v>
      </c>
      <c r="AH17" s="859">
        <f>+'SUMM BY CLUSTER- CURRENT'!AH94</f>
        <v>0</v>
      </c>
      <c r="AI17" s="859">
        <f>+'SUMM BY CLUSTER- CURRENT'!AI94</f>
        <v>51171530.170000009</v>
      </c>
      <c r="AJ17" s="859">
        <f>+'SUMM BY CLUSTER- CURRENT'!AJ94</f>
        <v>9079372.9499999993</v>
      </c>
      <c r="AK17" s="859">
        <f t="shared" ref="AK17:AK22" si="33">SUM(AH17:AJ17)</f>
        <v>60250903.120000005</v>
      </c>
      <c r="AL17" s="859">
        <f t="shared" ref="AL17:AN22" si="34">+AH17+AD17</f>
        <v>224542877.30000001</v>
      </c>
      <c r="AM17" s="859">
        <f t="shared" si="34"/>
        <v>205468008.18000001</v>
      </c>
      <c r="AN17" s="859">
        <f t="shared" si="34"/>
        <v>9079372.9499999993</v>
      </c>
      <c r="AO17" s="859">
        <f t="shared" si="5"/>
        <v>439090258.43000001</v>
      </c>
      <c r="AP17" s="859">
        <f t="shared" si="21"/>
        <v>20468796.699999988</v>
      </c>
      <c r="AQ17" s="859">
        <f t="shared" si="21"/>
        <v>17942737.819999993</v>
      </c>
      <c r="AR17" s="859">
        <f t="shared" si="21"/>
        <v>952644.05000000075</v>
      </c>
      <c r="AS17" s="859">
        <f t="shared" si="7"/>
        <v>39364178.569999978</v>
      </c>
      <c r="AT17" s="886">
        <f t="shared" si="8"/>
        <v>0.91645787171757376</v>
      </c>
      <c r="AU17" s="886">
        <f t="shared" si="8"/>
        <v>0.91968722122256374</v>
      </c>
      <c r="AV17" s="886">
        <f t="shared" si="8"/>
        <v>0.90503962961785245</v>
      </c>
      <c r="AW17" s="886">
        <f t="shared" si="9"/>
        <v>0.91772637993113648</v>
      </c>
      <c r="AX17" s="22">
        <f t="shared" si="22"/>
        <v>0</v>
      </c>
      <c r="AY17" s="22">
        <f t="shared" si="22"/>
        <v>0</v>
      </c>
      <c r="AZ17" s="22">
        <f t="shared" si="22"/>
        <v>0</v>
      </c>
      <c r="BA17" s="22">
        <f t="shared" si="11"/>
        <v>0</v>
      </c>
    </row>
    <row r="18" spans="1:53" s="16" customFormat="1">
      <c r="A18" s="905" t="s">
        <v>1020</v>
      </c>
      <c r="B18" s="859">
        <f>+'SUMM BY CLUSTER- CURRENT'!B95</f>
        <v>123195000</v>
      </c>
      <c r="C18" s="859">
        <f>+'SUMM BY CLUSTER- CURRENT'!C95</f>
        <v>43788000</v>
      </c>
      <c r="D18" s="859">
        <f>+'SUMM BY CLUSTER- CURRENT'!D95</f>
        <v>0</v>
      </c>
      <c r="E18" s="859">
        <f t="shared" si="1"/>
        <v>166983000</v>
      </c>
      <c r="F18" s="859">
        <f>+'SUMM BY CLUSTER- CURRENT'!F95</f>
        <v>5230366</v>
      </c>
      <c r="G18" s="859">
        <f>+'SUMM BY CLUSTER- CURRENT'!G95</f>
        <v>-5230366</v>
      </c>
      <c r="H18" s="859">
        <f>+'SUMM BY CLUSTER- CURRENT'!H95</f>
        <v>0</v>
      </c>
      <c r="I18" s="859">
        <f t="shared" ref="I18:I22" si="35">SUM(F18:H18)</f>
        <v>0</v>
      </c>
      <c r="J18" s="859">
        <f t="shared" si="28"/>
        <v>128425366</v>
      </c>
      <c r="K18" s="859">
        <f t="shared" si="28"/>
        <v>38557634</v>
      </c>
      <c r="L18" s="859">
        <f t="shared" si="28"/>
        <v>0</v>
      </c>
      <c r="M18" s="859">
        <f t="shared" si="29"/>
        <v>166983000</v>
      </c>
      <c r="N18" s="859">
        <f>+'SUMM BY CLUSTER- CURRENT'!N95</f>
        <v>128425366</v>
      </c>
      <c r="O18" s="859">
        <f>+'SUMM BY CLUSTER- CURRENT'!O95</f>
        <v>38557634</v>
      </c>
      <c r="P18" s="859">
        <f>+'SUMM BY CLUSTER- CURRENT'!P95</f>
        <v>0</v>
      </c>
      <c r="Q18" s="859">
        <f t="shared" si="2"/>
        <v>166983000</v>
      </c>
      <c r="R18" s="859">
        <f>+'SUMM BY CLUSTER- CURRENT'!R95</f>
        <v>0</v>
      </c>
      <c r="S18" s="859">
        <f>+'SUMM BY CLUSTER- CURRENT'!S95</f>
        <v>0</v>
      </c>
      <c r="T18" s="859">
        <f>+'SUMM BY CLUSTER- CURRENT'!T95</f>
        <v>0</v>
      </c>
      <c r="U18" s="859">
        <f t="shared" si="30"/>
        <v>0</v>
      </c>
      <c r="V18" s="859">
        <f>+'SUMM BY CLUSTER- CURRENT'!V95</f>
        <v>0</v>
      </c>
      <c r="W18" s="859">
        <f>+'SUMM BY CLUSTER- CURRENT'!W95</f>
        <v>17540780</v>
      </c>
      <c r="X18" s="859">
        <f>+'SUMM BY CLUSTER- CURRENT'!X95</f>
        <v>0</v>
      </c>
      <c r="Y18" s="859">
        <f t="shared" si="3"/>
        <v>17540780</v>
      </c>
      <c r="Z18" s="859">
        <f t="shared" si="31"/>
        <v>128425366</v>
      </c>
      <c r="AA18" s="859">
        <f t="shared" si="31"/>
        <v>56098414</v>
      </c>
      <c r="AB18" s="859">
        <f t="shared" si="31"/>
        <v>0</v>
      </c>
      <c r="AC18" s="859">
        <f t="shared" si="4"/>
        <v>184523780</v>
      </c>
      <c r="AD18" s="859">
        <f>+'SUMM BY CLUSTER- CURRENT'!AD95</f>
        <v>123925345.52</v>
      </c>
      <c r="AE18" s="859">
        <f>+'SUMM BY CLUSTER- CURRENT'!AE95</f>
        <v>33446304.32</v>
      </c>
      <c r="AF18" s="859">
        <f>+'SUMM BY CLUSTER- CURRENT'!AF95</f>
        <v>0</v>
      </c>
      <c r="AG18" s="859">
        <f t="shared" si="32"/>
        <v>157371649.84</v>
      </c>
      <c r="AH18" s="859">
        <f>+'SUMM BY CLUSTER- CURRENT'!AH95</f>
        <v>0</v>
      </c>
      <c r="AI18" s="859">
        <f>+'SUMM BY CLUSTER- CURRENT'!AI95</f>
        <v>14895385.02</v>
      </c>
      <c r="AJ18" s="859">
        <f>+'SUMM BY CLUSTER- CURRENT'!AJ95</f>
        <v>0</v>
      </c>
      <c r="AK18" s="859">
        <f t="shared" si="33"/>
        <v>14895385.02</v>
      </c>
      <c r="AL18" s="859">
        <f t="shared" si="34"/>
        <v>123925345.52</v>
      </c>
      <c r="AM18" s="859">
        <f t="shared" si="34"/>
        <v>48341689.340000004</v>
      </c>
      <c r="AN18" s="859">
        <f t="shared" si="34"/>
        <v>0</v>
      </c>
      <c r="AO18" s="859">
        <f t="shared" si="5"/>
        <v>172267034.86000001</v>
      </c>
      <c r="AP18" s="859">
        <f t="shared" si="21"/>
        <v>4500020.4800000042</v>
      </c>
      <c r="AQ18" s="859">
        <f t="shared" si="21"/>
        <v>7756724.6599999964</v>
      </c>
      <c r="AR18" s="859">
        <f t="shared" si="21"/>
        <v>0</v>
      </c>
      <c r="AS18" s="859">
        <f t="shared" si="7"/>
        <v>12256745.140000001</v>
      </c>
      <c r="AT18" s="886">
        <f t="shared" si="8"/>
        <v>0.96496003383007678</v>
      </c>
      <c r="AU18" s="886">
        <f t="shared" si="8"/>
        <v>0.86173005425786198</v>
      </c>
      <c r="AV18" s="886" t="str">
        <f t="shared" si="8"/>
        <v xml:space="preserve"> </v>
      </c>
      <c r="AW18" s="886">
        <f t="shared" si="9"/>
        <v>0.9335763382909239</v>
      </c>
      <c r="AX18" s="22">
        <f t="shared" si="22"/>
        <v>0</v>
      </c>
      <c r="AY18" s="22">
        <f t="shared" si="22"/>
        <v>0</v>
      </c>
      <c r="AZ18" s="22">
        <f t="shared" si="22"/>
        <v>0</v>
      </c>
      <c r="BA18" s="22">
        <f t="shared" si="11"/>
        <v>0</v>
      </c>
    </row>
    <row r="19" spans="1:53" s="16" customFormat="1">
      <c r="A19" s="905" t="s">
        <v>1021</v>
      </c>
      <c r="B19" s="859">
        <f>+'SUMM BY CLUSTER- CURRENT'!B96</f>
        <v>18228000</v>
      </c>
      <c r="C19" s="859">
        <f>+'SUMM BY CLUSTER- CURRENT'!C96</f>
        <v>6476000</v>
      </c>
      <c r="D19" s="859">
        <f>+'SUMM BY CLUSTER- CURRENT'!D96</f>
        <v>0</v>
      </c>
      <c r="E19" s="859">
        <f t="shared" si="1"/>
        <v>24704000</v>
      </c>
      <c r="F19" s="859">
        <f>+'SUMM BY CLUSTER- CURRENT'!F96</f>
        <v>545970</v>
      </c>
      <c r="G19" s="859">
        <f>+'SUMM BY CLUSTER- CURRENT'!G96</f>
        <v>-545970</v>
      </c>
      <c r="H19" s="859">
        <f>+'SUMM BY CLUSTER- CURRENT'!H96</f>
        <v>0</v>
      </c>
      <c r="I19" s="859">
        <f t="shared" si="35"/>
        <v>0</v>
      </c>
      <c r="J19" s="859">
        <f t="shared" si="28"/>
        <v>18773970</v>
      </c>
      <c r="K19" s="859">
        <f t="shared" si="28"/>
        <v>5930030</v>
      </c>
      <c r="L19" s="859">
        <f t="shared" si="28"/>
        <v>0</v>
      </c>
      <c r="M19" s="859">
        <f t="shared" si="29"/>
        <v>24704000</v>
      </c>
      <c r="N19" s="859">
        <f>+'SUMM BY CLUSTER- CURRENT'!N96</f>
        <v>18773970</v>
      </c>
      <c r="O19" s="859">
        <f>+'SUMM BY CLUSTER- CURRENT'!O96</f>
        <v>5930030</v>
      </c>
      <c r="P19" s="859">
        <f>+'SUMM BY CLUSTER- CURRENT'!P96</f>
        <v>0</v>
      </c>
      <c r="Q19" s="859">
        <f t="shared" si="2"/>
        <v>24704000</v>
      </c>
      <c r="R19" s="859">
        <f>+'SUMM BY CLUSTER- CURRENT'!R96</f>
        <v>0</v>
      </c>
      <c r="S19" s="859">
        <f>+'SUMM BY CLUSTER- CURRENT'!S96</f>
        <v>0</v>
      </c>
      <c r="T19" s="859">
        <f>+'SUMM BY CLUSTER- CURRENT'!T96</f>
        <v>0</v>
      </c>
      <c r="U19" s="859">
        <f t="shared" si="30"/>
        <v>0</v>
      </c>
      <c r="V19" s="859">
        <f>+'SUMM BY CLUSTER- CURRENT'!V96</f>
        <v>0</v>
      </c>
      <c r="W19" s="859">
        <f>+'SUMM BY CLUSTER- CURRENT'!W96</f>
        <v>2362000</v>
      </c>
      <c r="X19" s="859">
        <f>+'SUMM BY CLUSTER- CURRENT'!X96</f>
        <v>0</v>
      </c>
      <c r="Y19" s="859">
        <f t="shared" si="3"/>
        <v>2362000</v>
      </c>
      <c r="Z19" s="859">
        <f t="shared" si="31"/>
        <v>18773970</v>
      </c>
      <c r="AA19" s="859">
        <f t="shared" si="31"/>
        <v>8292030</v>
      </c>
      <c r="AB19" s="859">
        <f t="shared" si="31"/>
        <v>0</v>
      </c>
      <c r="AC19" s="859">
        <f t="shared" si="4"/>
        <v>27066000</v>
      </c>
      <c r="AD19" s="859">
        <f>+'SUMM BY CLUSTER- CURRENT'!AD96</f>
        <v>18054635.969999999</v>
      </c>
      <c r="AE19" s="859">
        <f>+'SUMM BY CLUSTER- CURRENT'!AE96</f>
        <v>5176228.2200000007</v>
      </c>
      <c r="AF19" s="859">
        <f>+'SUMM BY CLUSTER- CURRENT'!AF96</f>
        <v>0</v>
      </c>
      <c r="AG19" s="859">
        <f t="shared" si="32"/>
        <v>23230864.189999998</v>
      </c>
      <c r="AH19" s="859">
        <f>+'SUMM BY CLUSTER- CURRENT'!AH96</f>
        <v>0</v>
      </c>
      <c r="AI19" s="859">
        <f>+'SUMM BY CLUSTER- CURRENT'!AI96</f>
        <v>2148017.63</v>
      </c>
      <c r="AJ19" s="859">
        <f>+'SUMM BY CLUSTER- CURRENT'!AJ96</f>
        <v>0</v>
      </c>
      <c r="AK19" s="859">
        <f t="shared" si="33"/>
        <v>2148017.63</v>
      </c>
      <c r="AL19" s="859">
        <f t="shared" si="34"/>
        <v>18054635.969999999</v>
      </c>
      <c r="AM19" s="859">
        <f t="shared" si="34"/>
        <v>7324245.8500000006</v>
      </c>
      <c r="AN19" s="859">
        <f t="shared" si="34"/>
        <v>0</v>
      </c>
      <c r="AO19" s="859">
        <f t="shared" si="5"/>
        <v>25378881.82</v>
      </c>
      <c r="AP19" s="859">
        <f t="shared" si="21"/>
        <v>719334.03000000119</v>
      </c>
      <c r="AQ19" s="859">
        <f t="shared" si="21"/>
        <v>967784.14999999944</v>
      </c>
      <c r="AR19" s="859">
        <f t="shared" si="21"/>
        <v>0</v>
      </c>
      <c r="AS19" s="859">
        <f t="shared" si="7"/>
        <v>1687118.1800000006</v>
      </c>
      <c r="AT19" s="886">
        <f t="shared" si="8"/>
        <v>0.96168450093400593</v>
      </c>
      <c r="AU19" s="886">
        <f t="shared" si="8"/>
        <v>0.88328742780718361</v>
      </c>
      <c r="AV19" s="886" t="str">
        <f t="shared" si="8"/>
        <v xml:space="preserve"> </v>
      </c>
      <c r="AW19" s="886">
        <f t="shared" si="9"/>
        <v>0.93766651222936526</v>
      </c>
      <c r="AX19" s="22">
        <f t="shared" si="22"/>
        <v>0</v>
      </c>
      <c r="AY19" s="22">
        <f t="shared" si="22"/>
        <v>0</v>
      </c>
      <c r="AZ19" s="22">
        <f t="shared" si="22"/>
        <v>0</v>
      </c>
      <c r="BA19" s="22">
        <f t="shared" si="11"/>
        <v>0</v>
      </c>
    </row>
    <row r="20" spans="1:53" s="16" customFormat="1">
      <c r="A20" s="905" t="s">
        <v>1022</v>
      </c>
      <c r="B20" s="859">
        <f>+'SUMM BY CLUSTER- CURRENT'!B97</f>
        <v>16878000</v>
      </c>
      <c r="C20" s="859">
        <f>+'SUMM BY CLUSTER- CURRENT'!C97</f>
        <v>15507000</v>
      </c>
      <c r="D20" s="859">
        <f>+'SUMM BY CLUSTER- CURRENT'!D97</f>
        <v>0</v>
      </c>
      <c r="E20" s="859">
        <f t="shared" si="1"/>
        <v>32385000</v>
      </c>
      <c r="F20" s="859">
        <f>+'SUMM BY CLUSTER- CURRENT'!F97</f>
        <v>0</v>
      </c>
      <c r="G20" s="859">
        <f>+'SUMM BY CLUSTER- CURRENT'!G97</f>
        <v>0</v>
      </c>
      <c r="H20" s="859">
        <f>+'SUMM BY CLUSTER- CURRENT'!H97</f>
        <v>0</v>
      </c>
      <c r="I20" s="859">
        <f t="shared" si="35"/>
        <v>0</v>
      </c>
      <c r="J20" s="859">
        <f t="shared" si="28"/>
        <v>16878000</v>
      </c>
      <c r="K20" s="859">
        <f t="shared" si="28"/>
        <v>15507000</v>
      </c>
      <c r="L20" s="859">
        <f t="shared" si="28"/>
        <v>0</v>
      </c>
      <c r="M20" s="859">
        <f t="shared" si="29"/>
        <v>32385000</v>
      </c>
      <c r="N20" s="859">
        <f>+'SUMM BY CLUSTER- CURRENT'!N97</f>
        <v>16878000</v>
      </c>
      <c r="O20" s="859">
        <f>+'SUMM BY CLUSTER- CURRENT'!O97</f>
        <v>15507000</v>
      </c>
      <c r="P20" s="859">
        <f>+'SUMM BY CLUSTER- CURRENT'!P97</f>
        <v>0</v>
      </c>
      <c r="Q20" s="859">
        <f t="shared" si="2"/>
        <v>32385000</v>
      </c>
      <c r="R20" s="859">
        <f>+'SUMM BY CLUSTER- CURRENT'!R97</f>
        <v>0</v>
      </c>
      <c r="S20" s="859">
        <f>+'SUMM BY CLUSTER- CURRENT'!S97</f>
        <v>0</v>
      </c>
      <c r="T20" s="859">
        <f>+'SUMM BY CLUSTER- CURRENT'!T97</f>
        <v>0</v>
      </c>
      <c r="U20" s="859">
        <f t="shared" si="30"/>
        <v>0</v>
      </c>
      <c r="V20" s="859">
        <f>+'SUMM BY CLUSTER- CURRENT'!V97</f>
        <v>0</v>
      </c>
      <c r="W20" s="859">
        <f>+'SUMM BY CLUSTER- CURRENT'!W97</f>
        <v>8813000</v>
      </c>
      <c r="X20" s="859">
        <f>+'SUMM BY CLUSTER- CURRENT'!X97</f>
        <v>0</v>
      </c>
      <c r="Y20" s="859">
        <f t="shared" si="3"/>
        <v>8813000</v>
      </c>
      <c r="Z20" s="859">
        <f t="shared" si="31"/>
        <v>16878000</v>
      </c>
      <c r="AA20" s="859">
        <f t="shared" si="31"/>
        <v>24320000</v>
      </c>
      <c r="AB20" s="859">
        <f t="shared" si="31"/>
        <v>0</v>
      </c>
      <c r="AC20" s="859">
        <f t="shared" si="4"/>
        <v>41198000</v>
      </c>
      <c r="AD20" s="859">
        <f>+'SUMM BY CLUSTER- CURRENT'!AD97</f>
        <v>15623903.439999999</v>
      </c>
      <c r="AE20" s="859">
        <f>+'SUMM BY CLUSTER- CURRENT'!AE97</f>
        <v>10110953.370000001</v>
      </c>
      <c r="AF20" s="859">
        <f>+'SUMM BY CLUSTER- CURRENT'!AF97</f>
        <v>0</v>
      </c>
      <c r="AG20" s="859">
        <f t="shared" si="32"/>
        <v>25734856.810000002</v>
      </c>
      <c r="AH20" s="859">
        <f>+'SUMM BY CLUSTER- CURRENT'!AH97</f>
        <v>0</v>
      </c>
      <c r="AI20" s="859">
        <f>+'SUMM BY CLUSTER- CURRENT'!AI97</f>
        <v>7019968.3399999999</v>
      </c>
      <c r="AJ20" s="859">
        <f>+'SUMM BY CLUSTER- CURRENT'!AJ97</f>
        <v>0</v>
      </c>
      <c r="AK20" s="859">
        <f t="shared" si="33"/>
        <v>7019968.3399999999</v>
      </c>
      <c r="AL20" s="859">
        <f t="shared" si="34"/>
        <v>15623903.439999999</v>
      </c>
      <c r="AM20" s="859">
        <f t="shared" si="34"/>
        <v>17130921.710000001</v>
      </c>
      <c r="AN20" s="859">
        <f t="shared" si="34"/>
        <v>0</v>
      </c>
      <c r="AO20" s="859">
        <f t="shared" si="5"/>
        <v>32754825.149999999</v>
      </c>
      <c r="AP20" s="859">
        <f t="shared" si="21"/>
        <v>1254096.5600000005</v>
      </c>
      <c r="AQ20" s="859">
        <f t="shared" si="21"/>
        <v>7189078.2899999991</v>
      </c>
      <c r="AR20" s="859">
        <f t="shared" si="21"/>
        <v>0</v>
      </c>
      <c r="AS20" s="859">
        <f t="shared" si="7"/>
        <v>8443174.8499999996</v>
      </c>
      <c r="AT20" s="886">
        <f t="shared" si="8"/>
        <v>0.92569637634790847</v>
      </c>
      <c r="AU20" s="886">
        <f t="shared" si="8"/>
        <v>0.70439645189144739</v>
      </c>
      <c r="AV20" s="886" t="str">
        <f t="shared" si="8"/>
        <v xml:space="preserve"> </v>
      </c>
      <c r="AW20" s="886">
        <f t="shared" si="9"/>
        <v>0.79505862299140728</v>
      </c>
      <c r="AX20" s="22">
        <f t="shared" si="22"/>
        <v>0</v>
      </c>
      <c r="AY20" s="22">
        <f t="shared" si="22"/>
        <v>0</v>
      </c>
      <c r="AZ20" s="22">
        <f t="shared" si="22"/>
        <v>0</v>
      </c>
      <c r="BA20" s="22">
        <f t="shared" si="11"/>
        <v>0</v>
      </c>
    </row>
    <row r="21" spans="1:53" s="16" customFormat="1">
      <c r="A21" s="905" t="s">
        <v>1023</v>
      </c>
      <c r="B21" s="859">
        <f>+'SUMM BY CLUSTER- CURRENT'!B98</f>
        <v>11698000</v>
      </c>
      <c r="C21" s="859">
        <f>+'SUMM BY CLUSTER- CURRENT'!C98</f>
        <v>4629000</v>
      </c>
      <c r="D21" s="859">
        <f>+'SUMM BY CLUSTER- CURRENT'!D98</f>
        <v>0</v>
      </c>
      <c r="E21" s="859">
        <f t="shared" si="1"/>
        <v>16327000</v>
      </c>
      <c r="F21" s="859">
        <f>+'SUMM BY CLUSTER- CURRENT'!F98</f>
        <v>0</v>
      </c>
      <c r="G21" s="859">
        <f>+'SUMM BY CLUSTER- CURRENT'!G98</f>
        <v>0</v>
      </c>
      <c r="H21" s="859">
        <f>+'SUMM BY CLUSTER- CURRENT'!H98</f>
        <v>0</v>
      </c>
      <c r="I21" s="859">
        <f t="shared" si="35"/>
        <v>0</v>
      </c>
      <c r="J21" s="859">
        <f t="shared" si="28"/>
        <v>11698000</v>
      </c>
      <c r="K21" s="859">
        <f t="shared" si="28"/>
        <v>4629000</v>
      </c>
      <c r="L21" s="859">
        <f t="shared" si="28"/>
        <v>0</v>
      </c>
      <c r="M21" s="859">
        <f t="shared" si="29"/>
        <v>16327000</v>
      </c>
      <c r="N21" s="859">
        <f>+'SUMM BY CLUSTER- CURRENT'!N98</f>
        <v>11698000</v>
      </c>
      <c r="O21" s="859">
        <f>+'SUMM BY CLUSTER- CURRENT'!O98</f>
        <v>4629000</v>
      </c>
      <c r="P21" s="859">
        <f>+'SUMM BY CLUSTER- CURRENT'!P98</f>
        <v>0</v>
      </c>
      <c r="Q21" s="859">
        <f t="shared" si="2"/>
        <v>16327000</v>
      </c>
      <c r="R21" s="859">
        <f>+'SUMM BY CLUSTER- CURRENT'!R98</f>
        <v>0</v>
      </c>
      <c r="S21" s="859">
        <f>+'SUMM BY CLUSTER- CURRENT'!S98</f>
        <v>0</v>
      </c>
      <c r="T21" s="859">
        <f>+'SUMM BY CLUSTER- CURRENT'!T98</f>
        <v>0</v>
      </c>
      <c r="U21" s="859">
        <f t="shared" si="30"/>
        <v>0</v>
      </c>
      <c r="V21" s="859">
        <f>+'SUMM BY CLUSTER- CURRENT'!V98</f>
        <v>0</v>
      </c>
      <c r="W21" s="859">
        <f>+'SUMM BY CLUSTER- CURRENT'!W98</f>
        <v>1310000</v>
      </c>
      <c r="X21" s="859">
        <f>+'SUMM BY CLUSTER- CURRENT'!X98</f>
        <v>0</v>
      </c>
      <c r="Y21" s="859">
        <f t="shared" si="3"/>
        <v>1310000</v>
      </c>
      <c r="Z21" s="859">
        <f t="shared" si="31"/>
        <v>11698000</v>
      </c>
      <c r="AA21" s="859">
        <f t="shared" si="31"/>
        <v>5939000</v>
      </c>
      <c r="AB21" s="859">
        <f t="shared" si="31"/>
        <v>0</v>
      </c>
      <c r="AC21" s="859">
        <f t="shared" si="4"/>
        <v>17637000</v>
      </c>
      <c r="AD21" s="859">
        <f>+'SUMM BY CLUSTER- CURRENT'!AD98</f>
        <v>10864929.470000003</v>
      </c>
      <c r="AE21" s="859">
        <f>+'SUMM BY CLUSTER- CURRENT'!AE98</f>
        <v>3535313.0999999996</v>
      </c>
      <c r="AF21" s="859">
        <f>+'SUMM BY CLUSTER- CURRENT'!AF98</f>
        <v>0</v>
      </c>
      <c r="AG21" s="859">
        <f t="shared" si="32"/>
        <v>14400242.570000002</v>
      </c>
      <c r="AH21" s="859">
        <f>+'SUMM BY CLUSTER- CURRENT'!AH98</f>
        <v>0</v>
      </c>
      <c r="AI21" s="859">
        <f>+'SUMM BY CLUSTER- CURRENT'!AI98</f>
        <v>1089328.6600000001</v>
      </c>
      <c r="AJ21" s="859">
        <f>+'SUMM BY CLUSTER- CURRENT'!AJ98</f>
        <v>0</v>
      </c>
      <c r="AK21" s="859">
        <f t="shared" si="33"/>
        <v>1089328.6600000001</v>
      </c>
      <c r="AL21" s="859">
        <f t="shared" si="34"/>
        <v>10864929.470000003</v>
      </c>
      <c r="AM21" s="859">
        <f t="shared" si="34"/>
        <v>4624641.76</v>
      </c>
      <c r="AN21" s="859">
        <f t="shared" si="34"/>
        <v>0</v>
      </c>
      <c r="AO21" s="859">
        <f t="shared" si="5"/>
        <v>15489571.230000002</v>
      </c>
      <c r="AP21" s="859">
        <f t="shared" si="21"/>
        <v>833070.52999999747</v>
      </c>
      <c r="AQ21" s="859">
        <f t="shared" si="21"/>
        <v>1314358.2400000002</v>
      </c>
      <c r="AR21" s="859">
        <f t="shared" si="21"/>
        <v>0</v>
      </c>
      <c r="AS21" s="859">
        <f t="shared" si="7"/>
        <v>2147428.7699999977</v>
      </c>
      <c r="AT21" s="886">
        <f t="shared" si="8"/>
        <v>0.92878521713113371</v>
      </c>
      <c r="AU21" s="886">
        <f t="shared" si="8"/>
        <v>0.77869031150025259</v>
      </c>
      <c r="AV21" s="886" t="str">
        <f t="shared" si="8"/>
        <v xml:space="preserve"> </v>
      </c>
      <c r="AW21" s="886">
        <f t="shared" si="9"/>
        <v>0.87824296819186953</v>
      </c>
      <c r="AX21" s="22">
        <f t="shared" si="22"/>
        <v>0</v>
      </c>
      <c r="AY21" s="22">
        <f t="shared" si="22"/>
        <v>0</v>
      </c>
      <c r="AZ21" s="22">
        <f t="shared" si="22"/>
        <v>0</v>
      </c>
      <c r="BA21" s="22">
        <f t="shared" si="11"/>
        <v>0</v>
      </c>
    </row>
    <row r="22" spans="1:53" s="16" customFormat="1">
      <c r="A22" s="905" t="s">
        <v>1024</v>
      </c>
      <c r="B22" s="859">
        <f>+'SUMM BY CLUSTER- CURRENT'!B99</f>
        <v>14387000</v>
      </c>
      <c r="C22" s="859">
        <f>+'SUMM BY CLUSTER- CURRENT'!C99</f>
        <v>7509000</v>
      </c>
      <c r="D22" s="859">
        <f>+'SUMM BY CLUSTER- CURRENT'!D99</f>
        <v>0</v>
      </c>
      <c r="E22" s="859">
        <f t="shared" si="1"/>
        <v>21896000</v>
      </c>
      <c r="F22" s="859">
        <f>+'SUMM BY CLUSTER- CURRENT'!F99</f>
        <v>159146</v>
      </c>
      <c r="G22" s="859">
        <f>+'SUMM BY CLUSTER- CURRENT'!G99</f>
        <v>-159146</v>
      </c>
      <c r="H22" s="859">
        <f>+'SUMM BY CLUSTER- CURRENT'!H99</f>
        <v>0</v>
      </c>
      <c r="I22" s="859">
        <f t="shared" si="35"/>
        <v>0</v>
      </c>
      <c r="J22" s="859">
        <f t="shared" si="28"/>
        <v>14546146</v>
      </c>
      <c r="K22" s="859">
        <f t="shared" si="28"/>
        <v>7349854</v>
      </c>
      <c r="L22" s="859">
        <f t="shared" si="28"/>
        <v>0</v>
      </c>
      <c r="M22" s="859">
        <f t="shared" si="29"/>
        <v>21896000</v>
      </c>
      <c r="N22" s="859">
        <f>+'SUMM BY CLUSTER- CURRENT'!N99</f>
        <v>14546146</v>
      </c>
      <c r="O22" s="859">
        <f>+'SUMM BY CLUSTER- CURRENT'!O99</f>
        <v>7349854</v>
      </c>
      <c r="P22" s="859">
        <f>+'SUMM BY CLUSTER- CURRENT'!P99</f>
        <v>0</v>
      </c>
      <c r="Q22" s="859">
        <f t="shared" si="2"/>
        <v>21896000</v>
      </c>
      <c r="R22" s="859">
        <f>+'SUMM BY CLUSTER- CURRENT'!R99</f>
        <v>0</v>
      </c>
      <c r="S22" s="859">
        <f>+'SUMM BY CLUSTER- CURRENT'!S99</f>
        <v>0</v>
      </c>
      <c r="T22" s="859">
        <f>+'SUMM BY CLUSTER- CURRENT'!T99</f>
        <v>0</v>
      </c>
      <c r="U22" s="859">
        <f t="shared" si="30"/>
        <v>0</v>
      </c>
      <c r="V22" s="859">
        <f>+'SUMM BY CLUSTER- CURRENT'!V99</f>
        <v>0</v>
      </c>
      <c r="W22" s="859">
        <f>+'SUMM BY CLUSTER- CURRENT'!W99</f>
        <v>2846000</v>
      </c>
      <c r="X22" s="859">
        <f>+'SUMM BY CLUSTER- CURRENT'!X99</f>
        <v>3000000</v>
      </c>
      <c r="Y22" s="859">
        <f t="shared" si="3"/>
        <v>5846000</v>
      </c>
      <c r="Z22" s="859">
        <f t="shared" si="31"/>
        <v>14546146</v>
      </c>
      <c r="AA22" s="859">
        <f t="shared" si="31"/>
        <v>10195854</v>
      </c>
      <c r="AB22" s="859">
        <f t="shared" si="31"/>
        <v>3000000</v>
      </c>
      <c r="AC22" s="859">
        <f t="shared" si="4"/>
        <v>27742000</v>
      </c>
      <c r="AD22" s="859">
        <f>+'SUMM BY CLUSTER- CURRENT'!AD99</f>
        <v>13395467.75</v>
      </c>
      <c r="AE22" s="859">
        <f>+'SUMM BY CLUSTER- CURRENT'!AE99</f>
        <v>6864631.5800000001</v>
      </c>
      <c r="AF22" s="859">
        <f>+'SUMM BY CLUSTER- CURRENT'!AF99</f>
        <v>0</v>
      </c>
      <c r="AG22" s="859">
        <f t="shared" si="32"/>
        <v>20260099.329999998</v>
      </c>
      <c r="AH22" s="859">
        <f>+'SUMM BY CLUSTER- CURRENT'!AH99</f>
        <v>0</v>
      </c>
      <c r="AI22" s="859">
        <f>+'SUMM BY CLUSTER- CURRENT'!AI99</f>
        <v>2359700.37</v>
      </c>
      <c r="AJ22" s="859">
        <f>+'SUMM BY CLUSTER- CURRENT'!AJ99</f>
        <v>2955655.58</v>
      </c>
      <c r="AK22" s="859">
        <f t="shared" si="33"/>
        <v>5315355.95</v>
      </c>
      <c r="AL22" s="859">
        <f t="shared" si="34"/>
        <v>13395467.75</v>
      </c>
      <c r="AM22" s="859">
        <f t="shared" si="34"/>
        <v>9224331.9499999993</v>
      </c>
      <c r="AN22" s="859">
        <f t="shared" si="34"/>
        <v>2955655.58</v>
      </c>
      <c r="AO22" s="859">
        <f t="shared" si="5"/>
        <v>25575455.280000001</v>
      </c>
      <c r="AP22" s="859">
        <f t="shared" si="21"/>
        <v>1150678.25</v>
      </c>
      <c r="AQ22" s="859">
        <f t="shared" si="21"/>
        <v>971522.05000000075</v>
      </c>
      <c r="AR22" s="859">
        <f t="shared" si="21"/>
        <v>44344.419999999925</v>
      </c>
      <c r="AS22" s="859">
        <f t="shared" si="7"/>
        <v>2166544.7200000007</v>
      </c>
      <c r="AT22" s="886">
        <f t="shared" si="8"/>
        <v>0.92089463078398914</v>
      </c>
      <c r="AU22" s="886">
        <f t="shared" si="8"/>
        <v>0.90471400924336498</v>
      </c>
      <c r="AV22" s="886">
        <f t="shared" si="8"/>
        <v>0.98521852666666665</v>
      </c>
      <c r="AW22" s="886">
        <f t="shared" si="9"/>
        <v>0.92190380217720425</v>
      </c>
      <c r="AX22" s="22">
        <f t="shared" si="22"/>
        <v>0</v>
      </c>
      <c r="AY22" s="22">
        <f t="shared" si="22"/>
        <v>0</v>
      </c>
      <c r="AZ22" s="22">
        <f t="shared" si="22"/>
        <v>0</v>
      </c>
      <c r="BA22" s="22">
        <f t="shared" si="11"/>
        <v>0</v>
      </c>
    </row>
    <row r="23" spans="1:53" s="16" customFormat="1">
      <c r="A23" s="592"/>
      <c r="B23" s="859"/>
      <c r="C23" s="859"/>
      <c r="D23" s="859"/>
      <c r="E23" s="860">
        <f t="shared" si="1"/>
        <v>0</v>
      </c>
      <c r="F23" s="859"/>
      <c r="G23" s="859"/>
      <c r="H23" s="859"/>
      <c r="I23" s="860"/>
      <c r="J23" s="859"/>
      <c r="K23" s="859"/>
      <c r="L23" s="859"/>
      <c r="M23" s="860"/>
      <c r="N23" s="859"/>
      <c r="O23" s="859"/>
      <c r="P23" s="859"/>
      <c r="Q23" s="860">
        <f t="shared" si="2"/>
        <v>0</v>
      </c>
      <c r="R23" s="859"/>
      <c r="S23" s="859"/>
      <c r="T23" s="859"/>
      <c r="U23" s="860"/>
      <c r="V23" s="859"/>
      <c r="W23" s="859"/>
      <c r="X23" s="859"/>
      <c r="Y23" s="860">
        <f t="shared" si="3"/>
        <v>0</v>
      </c>
      <c r="Z23" s="860"/>
      <c r="AA23" s="860"/>
      <c r="AB23" s="860"/>
      <c r="AC23" s="860">
        <f t="shared" si="4"/>
        <v>0</v>
      </c>
      <c r="AD23" s="859"/>
      <c r="AE23" s="859"/>
      <c r="AF23" s="859"/>
      <c r="AG23" s="860"/>
      <c r="AH23" s="859"/>
      <c r="AI23" s="859"/>
      <c r="AJ23" s="859"/>
      <c r="AK23" s="860"/>
      <c r="AL23" s="860"/>
      <c r="AM23" s="860"/>
      <c r="AN23" s="860"/>
      <c r="AO23" s="860">
        <f t="shared" si="5"/>
        <v>0</v>
      </c>
      <c r="AP23" s="861">
        <f t="shared" si="21"/>
        <v>0</v>
      </c>
      <c r="AQ23" s="860">
        <f t="shared" si="21"/>
        <v>0</v>
      </c>
      <c r="AR23" s="860">
        <f t="shared" si="21"/>
        <v>0</v>
      </c>
      <c r="AS23" s="860">
        <f t="shared" si="7"/>
        <v>0</v>
      </c>
      <c r="AT23" s="886" t="str">
        <f t="shared" si="8"/>
        <v xml:space="preserve"> </v>
      </c>
      <c r="AU23" s="886" t="str">
        <f t="shared" si="8"/>
        <v xml:space="preserve"> </v>
      </c>
      <c r="AV23" s="886" t="str">
        <f t="shared" si="8"/>
        <v xml:space="preserve"> </v>
      </c>
      <c r="AW23" s="886" t="str">
        <f t="shared" si="9"/>
        <v xml:space="preserve"> </v>
      </c>
      <c r="AX23" s="22">
        <f t="shared" si="22"/>
        <v>0</v>
      </c>
      <c r="AY23" s="22">
        <f t="shared" si="22"/>
        <v>0</v>
      </c>
      <c r="AZ23" s="22">
        <f t="shared" si="22"/>
        <v>0</v>
      </c>
      <c r="BA23" s="22">
        <f t="shared" si="11"/>
        <v>0</v>
      </c>
    </row>
    <row r="24" spans="1:53" s="903" customFormat="1" ht="16.5">
      <c r="A24" s="901" t="s">
        <v>1025</v>
      </c>
      <c r="B24" s="868">
        <f t="shared" ref="B24:AN24" si="36">SUM(B25:B27)</f>
        <v>270153000</v>
      </c>
      <c r="C24" s="868">
        <f t="shared" si="36"/>
        <v>229235000</v>
      </c>
      <c r="D24" s="868">
        <f t="shared" si="36"/>
        <v>0</v>
      </c>
      <c r="E24" s="868">
        <f t="shared" si="1"/>
        <v>499388000</v>
      </c>
      <c r="F24" s="868">
        <f t="shared" ref="F24:H24" si="37">SUM(F25:F27)</f>
        <v>0</v>
      </c>
      <c r="G24" s="868">
        <f t="shared" si="37"/>
        <v>0</v>
      </c>
      <c r="H24" s="868">
        <f t="shared" si="37"/>
        <v>0</v>
      </c>
      <c r="I24" s="868">
        <f t="shared" si="36"/>
        <v>0</v>
      </c>
      <c r="J24" s="868">
        <f t="shared" si="36"/>
        <v>270153000</v>
      </c>
      <c r="K24" s="868">
        <f t="shared" si="36"/>
        <v>229235000</v>
      </c>
      <c r="L24" s="868">
        <f t="shared" si="36"/>
        <v>0</v>
      </c>
      <c r="M24" s="868">
        <f t="shared" si="36"/>
        <v>499388000</v>
      </c>
      <c r="N24" s="868">
        <f t="shared" ref="N24:P24" si="38">SUM(N25:N27)</f>
        <v>270153000</v>
      </c>
      <c r="O24" s="868">
        <f t="shared" si="38"/>
        <v>229235000</v>
      </c>
      <c r="P24" s="868">
        <f t="shared" si="38"/>
        <v>0</v>
      </c>
      <c r="Q24" s="868">
        <f t="shared" si="2"/>
        <v>499388000</v>
      </c>
      <c r="R24" s="868">
        <f t="shared" ref="R24:T24" si="39">SUM(R25:R27)</f>
        <v>0</v>
      </c>
      <c r="S24" s="868">
        <f t="shared" si="39"/>
        <v>0</v>
      </c>
      <c r="T24" s="868">
        <f t="shared" si="39"/>
        <v>0</v>
      </c>
      <c r="U24" s="868">
        <f t="shared" si="36"/>
        <v>0</v>
      </c>
      <c r="V24" s="868">
        <f t="shared" ref="V24:X24" si="40">SUM(V25:V27)</f>
        <v>0</v>
      </c>
      <c r="W24" s="868">
        <f t="shared" si="40"/>
        <v>263208389</v>
      </c>
      <c r="X24" s="868">
        <f t="shared" si="40"/>
        <v>39885000</v>
      </c>
      <c r="Y24" s="868">
        <f t="shared" si="3"/>
        <v>303093389</v>
      </c>
      <c r="Z24" s="868">
        <f t="shared" si="36"/>
        <v>270153000</v>
      </c>
      <c r="AA24" s="868">
        <f t="shared" si="36"/>
        <v>492443389</v>
      </c>
      <c r="AB24" s="868">
        <f t="shared" si="36"/>
        <v>39885000</v>
      </c>
      <c r="AC24" s="868">
        <f t="shared" si="4"/>
        <v>802481389</v>
      </c>
      <c r="AD24" s="868">
        <f t="shared" ref="AD24:AF24" si="41">SUM(AD25:AD27)</f>
        <v>211566533.57000002</v>
      </c>
      <c r="AE24" s="868">
        <f t="shared" si="41"/>
        <v>170430723.56</v>
      </c>
      <c r="AF24" s="868">
        <f t="shared" si="41"/>
        <v>0</v>
      </c>
      <c r="AG24" s="868">
        <f t="shared" si="36"/>
        <v>381997257.13</v>
      </c>
      <c r="AH24" s="868">
        <f t="shared" ref="AH24:AJ24" si="42">SUM(AH25:AH27)</f>
        <v>0</v>
      </c>
      <c r="AI24" s="868">
        <f t="shared" si="42"/>
        <v>177462548.03999999</v>
      </c>
      <c r="AJ24" s="868">
        <f t="shared" si="42"/>
        <v>31178544.170000002</v>
      </c>
      <c r="AK24" s="868">
        <f t="shared" si="36"/>
        <v>208641092.21000001</v>
      </c>
      <c r="AL24" s="868">
        <f t="shared" si="36"/>
        <v>211566533.57000002</v>
      </c>
      <c r="AM24" s="868">
        <f t="shared" si="36"/>
        <v>347893271.5999999</v>
      </c>
      <c r="AN24" s="868">
        <f t="shared" si="36"/>
        <v>31178544.170000002</v>
      </c>
      <c r="AO24" s="868">
        <f t="shared" si="5"/>
        <v>590638349.33999991</v>
      </c>
      <c r="AP24" s="868">
        <f t="shared" si="21"/>
        <v>58586466.429999977</v>
      </c>
      <c r="AQ24" s="868">
        <f t="shared" si="21"/>
        <v>144550117.4000001</v>
      </c>
      <c r="AR24" s="868">
        <f t="shared" si="21"/>
        <v>8706455.8299999982</v>
      </c>
      <c r="AS24" s="868">
        <f t="shared" si="7"/>
        <v>211843039.66000009</v>
      </c>
      <c r="AT24" s="902">
        <f t="shared" si="8"/>
        <v>0.78313597690938108</v>
      </c>
      <c r="AU24" s="902">
        <f t="shared" si="8"/>
        <v>0.70646348264815451</v>
      </c>
      <c r="AV24" s="902">
        <f t="shared" si="8"/>
        <v>0.78171102344239696</v>
      </c>
      <c r="AW24" s="902">
        <f t="shared" si="9"/>
        <v>0.73601501223101873</v>
      </c>
      <c r="AX24" s="22">
        <f t="shared" si="22"/>
        <v>0</v>
      </c>
      <c r="AY24" s="22">
        <f t="shared" si="22"/>
        <v>0</v>
      </c>
      <c r="AZ24" s="22">
        <f t="shared" si="22"/>
        <v>0</v>
      </c>
      <c r="BA24" s="22">
        <f t="shared" si="11"/>
        <v>0</v>
      </c>
    </row>
    <row r="25" spans="1:53" s="903" customFormat="1">
      <c r="A25" s="905" t="s">
        <v>1092</v>
      </c>
      <c r="B25" s="859">
        <f>+'SUMM BY CLUSTER- CURRENT'!B102</f>
        <v>111091000</v>
      </c>
      <c r="C25" s="859">
        <f>+'SUMM BY CLUSTER- CURRENT'!C102</f>
        <v>171878000</v>
      </c>
      <c r="D25" s="859">
        <f>+'SUMM BY CLUSTER- CURRENT'!D102</f>
        <v>0</v>
      </c>
      <c r="E25" s="859">
        <f t="shared" si="1"/>
        <v>282969000</v>
      </c>
      <c r="F25" s="859">
        <f>+'SUMM BY CLUSTER- CURRENT'!F102</f>
        <v>0</v>
      </c>
      <c r="G25" s="859">
        <f>+'SUMM BY CLUSTER- CURRENT'!G102</f>
        <v>0</v>
      </c>
      <c r="H25" s="859">
        <f>+'SUMM BY CLUSTER- CURRENT'!H102</f>
        <v>0</v>
      </c>
      <c r="I25" s="859">
        <f>SUM('CY-FUR (REG)- Detail'!J196:J198)</f>
        <v>0</v>
      </c>
      <c r="J25" s="859">
        <f>SUM('CY-FUR (REG)- Detail'!K196:K198)</f>
        <v>111091000</v>
      </c>
      <c r="K25" s="859">
        <f>SUM('CY-FUR (REG)- Detail'!L196:L198)</f>
        <v>171878000</v>
      </c>
      <c r="L25" s="859">
        <f>SUM('CY-FUR (REG)- Detail'!M196:M198)</f>
        <v>0</v>
      </c>
      <c r="M25" s="859">
        <f>SUM('CY-FUR (REG)- Detail'!N196:N198)</f>
        <v>282969000</v>
      </c>
      <c r="N25" s="859">
        <f>+'SUMM BY CLUSTER- CURRENT'!N102</f>
        <v>111091000</v>
      </c>
      <c r="O25" s="859">
        <f>+'SUMM BY CLUSTER- CURRENT'!O102</f>
        <v>171878000</v>
      </c>
      <c r="P25" s="859">
        <f>+'SUMM BY CLUSTER- CURRENT'!P102</f>
        <v>0</v>
      </c>
      <c r="Q25" s="859">
        <f t="shared" si="2"/>
        <v>282969000</v>
      </c>
      <c r="R25" s="859">
        <f>+'SUMM BY CLUSTER- CURRENT'!R102</f>
        <v>0</v>
      </c>
      <c r="S25" s="859">
        <f>+'SUMM BY CLUSTER- CURRENT'!S102</f>
        <v>0</v>
      </c>
      <c r="T25" s="859">
        <f>+'SUMM BY CLUSTER- CURRENT'!T102</f>
        <v>0</v>
      </c>
      <c r="U25" s="859">
        <f>SUM('CY-FUR (REG)- Detail'!V196:V198)</f>
        <v>0</v>
      </c>
      <c r="V25" s="859">
        <f>+'SUMM BY CLUSTER- CURRENT'!V102</f>
        <v>0</v>
      </c>
      <c r="W25" s="859">
        <f>+'SUMM BY CLUSTER- CURRENT'!W102</f>
        <v>243811389</v>
      </c>
      <c r="X25" s="859">
        <f>+'SUMM BY CLUSTER- CURRENT'!X102</f>
        <v>27885000</v>
      </c>
      <c r="Y25" s="859">
        <f t="shared" si="3"/>
        <v>271696389</v>
      </c>
      <c r="Z25" s="859">
        <f>SUM('CY-FUR (REG)- Detail'!AA196:AA198)</f>
        <v>111091000</v>
      </c>
      <c r="AA25" s="859">
        <f>SUM('CY-FUR (REG)- Detail'!AB196:AB198)</f>
        <v>415689389</v>
      </c>
      <c r="AB25" s="859">
        <f>SUM('CY-FUR (REG)- Detail'!AC196:AC198)</f>
        <v>27885000</v>
      </c>
      <c r="AC25" s="859">
        <f t="shared" si="4"/>
        <v>554665389</v>
      </c>
      <c r="AD25" s="859">
        <f>+'SUMM BY CLUSTER- CURRENT'!AD102</f>
        <v>85122484.640000001</v>
      </c>
      <c r="AE25" s="859">
        <f>+'SUMM BY CLUSTER- CURRENT'!AE102</f>
        <v>123867886.97</v>
      </c>
      <c r="AF25" s="859">
        <f>+'SUMM BY CLUSTER- CURRENT'!AF102</f>
        <v>0</v>
      </c>
      <c r="AG25" s="859">
        <f>SUM('CY-FUR (REG)- Detail'!AH196:AH198)</f>
        <v>208990371.61000001</v>
      </c>
      <c r="AH25" s="859">
        <f>+'SUMM BY CLUSTER- CURRENT'!AH102</f>
        <v>0</v>
      </c>
      <c r="AI25" s="859">
        <f>+'SUMM BY CLUSTER- CURRENT'!AI102</f>
        <v>158640354.88999999</v>
      </c>
      <c r="AJ25" s="859">
        <f>+'SUMM BY CLUSTER- CURRENT'!AJ102</f>
        <v>19178544.170000002</v>
      </c>
      <c r="AK25" s="859">
        <f>SUM('CY-FUR (REG)- Detail'!AL196:AL198)</f>
        <v>177818899.06</v>
      </c>
      <c r="AL25" s="859">
        <f>SUM('CY-FUR (REG)- Detail'!AM196:AM198)</f>
        <v>85122484.640000001</v>
      </c>
      <c r="AM25" s="859">
        <f>SUM('CY-FUR (REG)- Detail'!AN196:AN198)</f>
        <v>282508241.85999995</v>
      </c>
      <c r="AN25" s="859">
        <f>SUM('CY-FUR (REG)- Detail'!AO196:AO198)</f>
        <v>19178544.170000002</v>
      </c>
      <c r="AO25" s="859">
        <f t="shared" si="5"/>
        <v>386809270.66999996</v>
      </c>
      <c r="AP25" s="859">
        <f t="shared" si="21"/>
        <v>25968515.359999999</v>
      </c>
      <c r="AQ25" s="859">
        <f t="shared" si="21"/>
        <v>133181147.14000005</v>
      </c>
      <c r="AR25" s="859">
        <f t="shared" si="21"/>
        <v>8706455.8299999982</v>
      </c>
      <c r="AS25" s="859">
        <f t="shared" si="7"/>
        <v>167856118.33000004</v>
      </c>
      <c r="AT25" s="902">
        <f t="shared" si="8"/>
        <v>0.76624105139030163</v>
      </c>
      <c r="AU25" s="902">
        <f t="shared" si="8"/>
        <v>0.67961379177759085</v>
      </c>
      <c r="AV25" s="902">
        <f t="shared" si="8"/>
        <v>0.68777278716155643</v>
      </c>
      <c r="AW25" s="902">
        <f t="shared" si="9"/>
        <v>0.69737408957024349</v>
      </c>
      <c r="AX25" s="22">
        <f t="shared" si="22"/>
        <v>0</v>
      </c>
      <c r="AY25" s="22">
        <f t="shared" si="22"/>
        <v>0</v>
      </c>
      <c r="AZ25" s="22">
        <f t="shared" si="22"/>
        <v>0</v>
      </c>
      <c r="BA25" s="22">
        <f t="shared" si="11"/>
        <v>0</v>
      </c>
    </row>
    <row r="26" spans="1:53" s="903" customFormat="1">
      <c r="A26" s="905" t="s">
        <v>1027</v>
      </c>
      <c r="B26" s="859">
        <f>+'SUMM BY CLUSTER- CURRENT'!B103</f>
        <v>147651000</v>
      </c>
      <c r="C26" s="859">
        <f>+'SUMM BY CLUSTER- CURRENT'!C103</f>
        <v>51037000</v>
      </c>
      <c r="D26" s="859">
        <f>+'SUMM BY CLUSTER- CURRENT'!D103</f>
        <v>0</v>
      </c>
      <c r="E26" s="859">
        <f t="shared" si="1"/>
        <v>198688000</v>
      </c>
      <c r="F26" s="859">
        <f>+'SUMM BY CLUSTER- CURRENT'!F103</f>
        <v>0</v>
      </c>
      <c r="G26" s="859">
        <f>+'SUMM BY CLUSTER- CURRENT'!G103</f>
        <v>0</v>
      </c>
      <c r="H26" s="859">
        <f>+'SUMM BY CLUSTER- CURRENT'!H103</f>
        <v>0</v>
      </c>
      <c r="I26" s="859">
        <f t="shared" ref="I26" si="43">SUM(F26:H26)</f>
        <v>0</v>
      </c>
      <c r="J26" s="859">
        <f t="shared" ref="J26:L27" si="44">+B26+F26</f>
        <v>147651000</v>
      </c>
      <c r="K26" s="859">
        <f t="shared" si="44"/>
        <v>51037000</v>
      </c>
      <c r="L26" s="859">
        <f t="shared" si="44"/>
        <v>0</v>
      </c>
      <c r="M26" s="859">
        <f t="shared" ref="M26:M27" si="45">SUM(J26:L26)</f>
        <v>198688000</v>
      </c>
      <c r="N26" s="859">
        <f>+'SUMM BY CLUSTER- CURRENT'!N103</f>
        <v>147651000</v>
      </c>
      <c r="O26" s="859">
        <f>+'SUMM BY CLUSTER- CURRENT'!O103</f>
        <v>51037000</v>
      </c>
      <c r="P26" s="859">
        <f>+'SUMM BY CLUSTER- CURRENT'!P103</f>
        <v>0</v>
      </c>
      <c r="Q26" s="859">
        <f t="shared" si="2"/>
        <v>198688000</v>
      </c>
      <c r="R26" s="859">
        <f>+'SUMM BY CLUSTER- CURRENT'!R103</f>
        <v>0</v>
      </c>
      <c r="S26" s="859">
        <f>+'SUMM BY CLUSTER- CURRENT'!S103</f>
        <v>0</v>
      </c>
      <c r="T26" s="859">
        <f>+'SUMM BY CLUSTER- CURRENT'!T103</f>
        <v>0</v>
      </c>
      <c r="U26" s="859">
        <f t="shared" ref="U26:U27" si="46">SUM(R26:T26)</f>
        <v>0</v>
      </c>
      <c r="V26" s="859">
        <f>+'SUMM BY CLUSTER- CURRENT'!V103</f>
        <v>0</v>
      </c>
      <c r="W26" s="859">
        <f>+'SUMM BY CLUSTER- CURRENT'!W103</f>
        <v>17995000</v>
      </c>
      <c r="X26" s="859">
        <f>+'SUMM BY CLUSTER- CURRENT'!X103</f>
        <v>12000000</v>
      </c>
      <c r="Y26" s="859">
        <f t="shared" si="3"/>
        <v>29995000</v>
      </c>
      <c r="Z26" s="859">
        <f t="shared" ref="Z26:AB27" si="47">+N26+V26+R26</f>
        <v>147651000</v>
      </c>
      <c r="AA26" s="859">
        <f t="shared" si="47"/>
        <v>69032000</v>
      </c>
      <c r="AB26" s="859">
        <f t="shared" si="47"/>
        <v>12000000</v>
      </c>
      <c r="AC26" s="859">
        <f t="shared" si="4"/>
        <v>228683000</v>
      </c>
      <c r="AD26" s="859">
        <f>+'SUMM BY CLUSTER- CURRENT'!AD103</f>
        <v>115892799.78</v>
      </c>
      <c r="AE26" s="859">
        <f>+'SUMM BY CLUSTER- CURRENT'!AE103</f>
        <v>40800973.879999995</v>
      </c>
      <c r="AF26" s="859">
        <f>+'SUMM BY CLUSTER- CURRENT'!AF103</f>
        <v>0</v>
      </c>
      <c r="AG26" s="859">
        <f t="shared" ref="AG26:AG27" si="48">SUM(AD26:AF26)</f>
        <v>156693773.66</v>
      </c>
      <c r="AH26" s="859">
        <f>+'SUMM BY CLUSTER- CURRENT'!AH103</f>
        <v>0</v>
      </c>
      <c r="AI26" s="859">
        <f>+'SUMM BY CLUSTER- CURRENT'!AI103</f>
        <v>17794175.34</v>
      </c>
      <c r="AJ26" s="859">
        <f>+'SUMM BY CLUSTER- CURRENT'!AJ103</f>
        <v>12000000</v>
      </c>
      <c r="AK26" s="859">
        <f t="shared" ref="AK26:AK27" si="49">SUM(AH26:AJ26)</f>
        <v>29794175.34</v>
      </c>
      <c r="AL26" s="859">
        <f t="shared" ref="AL26:AN27" si="50">+AH26+AD26</f>
        <v>115892799.78</v>
      </c>
      <c r="AM26" s="859">
        <f t="shared" si="50"/>
        <v>58595149.219999999</v>
      </c>
      <c r="AN26" s="859">
        <f t="shared" si="50"/>
        <v>12000000</v>
      </c>
      <c r="AO26" s="859">
        <f t="shared" si="5"/>
        <v>186487949</v>
      </c>
      <c r="AP26" s="859">
        <f t="shared" si="21"/>
        <v>31758200.219999999</v>
      </c>
      <c r="AQ26" s="859">
        <f t="shared" si="21"/>
        <v>10436850.780000001</v>
      </c>
      <c r="AR26" s="859">
        <f t="shared" si="21"/>
        <v>0</v>
      </c>
      <c r="AS26" s="859">
        <f t="shared" si="7"/>
        <v>42195051</v>
      </c>
      <c r="AT26" s="902">
        <f t="shared" si="8"/>
        <v>0.784910361460471</v>
      </c>
      <c r="AU26" s="902">
        <f t="shared" si="8"/>
        <v>0.84881140949125045</v>
      </c>
      <c r="AV26" s="902">
        <f t="shared" si="8"/>
        <v>1</v>
      </c>
      <c r="AW26" s="902">
        <f t="shared" si="9"/>
        <v>0.81548671742105883</v>
      </c>
      <c r="AX26" s="22">
        <f t="shared" si="22"/>
        <v>0</v>
      </c>
      <c r="AY26" s="22">
        <f t="shared" si="22"/>
        <v>0</v>
      </c>
      <c r="AZ26" s="22">
        <f t="shared" si="22"/>
        <v>0</v>
      </c>
      <c r="BA26" s="22">
        <f t="shared" si="11"/>
        <v>0</v>
      </c>
    </row>
    <row r="27" spans="1:53" s="903" customFormat="1">
      <c r="A27" s="905" t="s">
        <v>1028</v>
      </c>
      <c r="B27" s="859">
        <f>+'SUMM BY CLUSTER- CURRENT'!B104</f>
        <v>11411000</v>
      </c>
      <c r="C27" s="859">
        <f>+'SUMM BY CLUSTER- CURRENT'!C104</f>
        <v>6320000</v>
      </c>
      <c r="D27" s="859">
        <f>+'SUMM BY CLUSTER- CURRENT'!D104</f>
        <v>0</v>
      </c>
      <c r="E27" s="859">
        <f t="shared" si="1"/>
        <v>17731000</v>
      </c>
      <c r="F27" s="859">
        <f>+'SUMM BY CLUSTER- CURRENT'!F104</f>
        <v>0</v>
      </c>
      <c r="G27" s="859">
        <f>+'SUMM BY CLUSTER- CURRENT'!G104</f>
        <v>0</v>
      </c>
      <c r="H27" s="859">
        <f>+'SUMM BY CLUSTER- CURRENT'!H104</f>
        <v>0</v>
      </c>
      <c r="I27" s="859">
        <f t="shared" ref="I27" si="51">SUM(F27:H27)</f>
        <v>0</v>
      </c>
      <c r="J27" s="859">
        <f t="shared" si="44"/>
        <v>11411000</v>
      </c>
      <c r="K27" s="859">
        <f t="shared" si="44"/>
        <v>6320000</v>
      </c>
      <c r="L27" s="859">
        <f t="shared" si="44"/>
        <v>0</v>
      </c>
      <c r="M27" s="859">
        <f t="shared" si="45"/>
        <v>17731000</v>
      </c>
      <c r="N27" s="859">
        <f>+'SUMM BY CLUSTER- CURRENT'!N104</f>
        <v>11411000</v>
      </c>
      <c r="O27" s="859">
        <f>+'SUMM BY CLUSTER- CURRENT'!O104</f>
        <v>6320000</v>
      </c>
      <c r="P27" s="859">
        <f>+'SUMM BY CLUSTER- CURRENT'!P104</f>
        <v>0</v>
      </c>
      <c r="Q27" s="859">
        <f t="shared" si="2"/>
        <v>17731000</v>
      </c>
      <c r="R27" s="859">
        <f>+'SUMM BY CLUSTER- CURRENT'!R104</f>
        <v>0</v>
      </c>
      <c r="S27" s="859">
        <f>+'SUMM BY CLUSTER- CURRENT'!S104</f>
        <v>0</v>
      </c>
      <c r="T27" s="859">
        <f>+'SUMM BY CLUSTER- CURRENT'!T104</f>
        <v>0</v>
      </c>
      <c r="U27" s="859">
        <f t="shared" si="46"/>
        <v>0</v>
      </c>
      <c r="V27" s="859">
        <f>+'SUMM BY CLUSTER- CURRENT'!V104</f>
        <v>0</v>
      </c>
      <c r="W27" s="859">
        <f>+'SUMM BY CLUSTER- CURRENT'!W104</f>
        <v>1402000</v>
      </c>
      <c r="X27" s="859">
        <f>+'SUMM BY CLUSTER- CURRENT'!X104</f>
        <v>0</v>
      </c>
      <c r="Y27" s="859">
        <f t="shared" si="3"/>
        <v>1402000</v>
      </c>
      <c r="Z27" s="859">
        <f t="shared" si="47"/>
        <v>11411000</v>
      </c>
      <c r="AA27" s="859">
        <f t="shared" si="47"/>
        <v>7722000</v>
      </c>
      <c r="AB27" s="859">
        <f t="shared" si="47"/>
        <v>0</v>
      </c>
      <c r="AC27" s="859">
        <f t="shared" si="4"/>
        <v>19133000</v>
      </c>
      <c r="AD27" s="859">
        <f>+'SUMM BY CLUSTER- CURRENT'!AD104</f>
        <v>10551249.15</v>
      </c>
      <c r="AE27" s="859">
        <f>+'SUMM BY CLUSTER- CURRENT'!AE104</f>
        <v>5761862.71</v>
      </c>
      <c r="AF27" s="859">
        <f>+'SUMM BY CLUSTER- CURRENT'!AF104</f>
        <v>0</v>
      </c>
      <c r="AG27" s="859">
        <f t="shared" si="48"/>
        <v>16313111.859999999</v>
      </c>
      <c r="AH27" s="859">
        <f>+'SUMM BY CLUSTER- CURRENT'!AH104</f>
        <v>0</v>
      </c>
      <c r="AI27" s="859">
        <f>+'SUMM BY CLUSTER- CURRENT'!AI104</f>
        <v>1028017.81</v>
      </c>
      <c r="AJ27" s="859">
        <f>+'SUMM BY CLUSTER- CURRENT'!AJ104</f>
        <v>0</v>
      </c>
      <c r="AK27" s="859">
        <f t="shared" si="49"/>
        <v>1028017.81</v>
      </c>
      <c r="AL27" s="859">
        <f t="shared" si="50"/>
        <v>10551249.15</v>
      </c>
      <c r="AM27" s="859">
        <f t="shared" si="50"/>
        <v>6789880.5199999996</v>
      </c>
      <c r="AN27" s="859">
        <f t="shared" si="50"/>
        <v>0</v>
      </c>
      <c r="AO27" s="859">
        <f t="shared" si="5"/>
        <v>17341129.670000002</v>
      </c>
      <c r="AP27" s="859">
        <f t="shared" si="21"/>
        <v>859750.84999999963</v>
      </c>
      <c r="AQ27" s="859">
        <f t="shared" si="21"/>
        <v>932119.48000000045</v>
      </c>
      <c r="AR27" s="859">
        <f t="shared" si="21"/>
        <v>0</v>
      </c>
      <c r="AS27" s="859">
        <f t="shared" si="7"/>
        <v>1791870.33</v>
      </c>
      <c r="AT27" s="902">
        <f t="shared" si="8"/>
        <v>0.92465595916221188</v>
      </c>
      <c r="AU27" s="902">
        <f t="shared" si="8"/>
        <v>0.87929040663040658</v>
      </c>
      <c r="AV27" s="902" t="str">
        <f t="shared" si="8"/>
        <v xml:space="preserve"> </v>
      </c>
      <c r="AW27" s="902">
        <f t="shared" si="9"/>
        <v>0.90634660900015684</v>
      </c>
      <c r="AX27" s="22">
        <f t="shared" si="22"/>
        <v>0</v>
      </c>
      <c r="AY27" s="22">
        <f t="shared" si="22"/>
        <v>0</v>
      </c>
      <c r="AZ27" s="22">
        <f t="shared" si="22"/>
        <v>0</v>
      </c>
      <c r="BA27" s="22">
        <f t="shared" si="11"/>
        <v>0</v>
      </c>
    </row>
    <row r="28" spans="1:53" s="925" customFormat="1" ht="16.5">
      <c r="A28" s="921" t="s">
        <v>1058</v>
      </c>
      <c r="B28" s="922">
        <f>+B8+B15+B24</f>
        <v>1181987000</v>
      </c>
      <c r="C28" s="922">
        <f>+C8+C15+C24</f>
        <v>991925000</v>
      </c>
      <c r="D28" s="922">
        <f>+D8+D15+D24</f>
        <v>0</v>
      </c>
      <c r="E28" s="922">
        <f>SUM(B28:D28)</f>
        <v>2173912000</v>
      </c>
      <c r="F28" s="922">
        <f>+F8+F15+F24</f>
        <v>27571837</v>
      </c>
      <c r="G28" s="922">
        <f>+G8+G15+G24</f>
        <v>-27571837</v>
      </c>
      <c r="H28" s="922">
        <f>+H8+H15+H24</f>
        <v>0</v>
      </c>
      <c r="I28" s="922">
        <f>+I8+I15+I24</f>
        <v>0</v>
      </c>
      <c r="J28" s="922">
        <f>+J8+J15+J24</f>
        <v>1209558837</v>
      </c>
      <c r="K28" s="922">
        <f t="shared" ref="K28:AS28" si="52">+K8+K15+K24</f>
        <v>964353163</v>
      </c>
      <c r="L28" s="922">
        <f t="shared" si="52"/>
        <v>0</v>
      </c>
      <c r="M28" s="922">
        <f t="shared" si="52"/>
        <v>2173912000</v>
      </c>
      <c r="N28" s="922">
        <f t="shared" si="52"/>
        <v>1209558837</v>
      </c>
      <c r="O28" s="922">
        <f t="shared" si="52"/>
        <v>964353163</v>
      </c>
      <c r="P28" s="922">
        <f t="shared" si="52"/>
        <v>0</v>
      </c>
      <c r="Q28" s="922">
        <f t="shared" si="52"/>
        <v>2173912000</v>
      </c>
      <c r="R28" s="922">
        <f t="shared" si="52"/>
        <v>0</v>
      </c>
      <c r="S28" s="922">
        <f t="shared" si="52"/>
        <v>0</v>
      </c>
      <c r="T28" s="922">
        <f t="shared" si="52"/>
        <v>0</v>
      </c>
      <c r="U28" s="922">
        <f t="shared" si="52"/>
        <v>0</v>
      </c>
      <c r="V28" s="922">
        <f t="shared" si="52"/>
        <v>0</v>
      </c>
      <c r="W28" s="922">
        <f t="shared" si="52"/>
        <v>828061632.66000009</v>
      </c>
      <c r="X28" s="922">
        <f t="shared" si="52"/>
        <v>421589949</v>
      </c>
      <c r="Y28" s="922">
        <f t="shared" si="52"/>
        <v>1249651581.6599998</v>
      </c>
      <c r="Z28" s="922">
        <f t="shared" si="52"/>
        <v>1209558837</v>
      </c>
      <c r="AA28" s="922">
        <f t="shared" si="52"/>
        <v>1792414795.6599998</v>
      </c>
      <c r="AB28" s="922">
        <f t="shared" si="52"/>
        <v>421589949</v>
      </c>
      <c r="AC28" s="922">
        <f t="shared" si="52"/>
        <v>3423563581.6599998</v>
      </c>
      <c r="AD28" s="922">
        <f t="shared" si="52"/>
        <v>1080081296.71</v>
      </c>
      <c r="AE28" s="922">
        <f t="shared" si="52"/>
        <v>722035787.75999999</v>
      </c>
      <c r="AF28" s="922">
        <f t="shared" si="52"/>
        <v>0</v>
      </c>
      <c r="AG28" s="922">
        <f t="shared" si="52"/>
        <v>1802117084.4700003</v>
      </c>
      <c r="AH28" s="922">
        <f t="shared" si="52"/>
        <v>0</v>
      </c>
      <c r="AI28" s="922">
        <f t="shared" si="52"/>
        <v>570554954.25999999</v>
      </c>
      <c r="AJ28" s="922">
        <f t="shared" si="52"/>
        <v>281161500.81999999</v>
      </c>
      <c r="AK28" s="922">
        <f t="shared" si="52"/>
        <v>851716455.08000016</v>
      </c>
      <c r="AL28" s="922">
        <f t="shared" si="52"/>
        <v>1080081296.71</v>
      </c>
      <c r="AM28" s="922">
        <f t="shared" si="52"/>
        <v>1292590742.02</v>
      </c>
      <c r="AN28" s="922">
        <f t="shared" si="52"/>
        <v>281161500.81999999</v>
      </c>
      <c r="AO28" s="922">
        <f t="shared" si="52"/>
        <v>2653833539.5500002</v>
      </c>
      <c r="AP28" s="922">
        <f t="shared" si="52"/>
        <v>129477540.28999987</v>
      </c>
      <c r="AQ28" s="922">
        <f t="shared" si="52"/>
        <v>499824053.63999993</v>
      </c>
      <c r="AR28" s="922">
        <f t="shared" si="52"/>
        <v>140428448.18000001</v>
      </c>
      <c r="AS28" s="922">
        <f t="shared" si="52"/>
        <v>769730042.1099999</v>
      </c>
      <c r="AT28" s="924">
        <f>IF(Z28=0," ",AL28/Z28)</f>
        <v>0.8929547399189478</v>
      </c>
      <c r="AU28" s="924">
        <f>IF(AA28=0," ",AM28/AA28)</f>
        <v>0.72114487402679828</v>
      </c>
      <c r="AV28" s="924">
        <f>IF(AB28=0," ",AN28/AB28)</f>
        <v>0.6669075045240227</v>
      </c>
      <c r="AW28" s="924">
        <f>IF(AC28=0," ",AO28/AC28)</f>
        <v>0.77516700836711872</v>
      </c>
      <c r="AX28" s="926">
        <f>+J28-N28</f>
        <v>0</v>
      </c>
      <c r="AY28" s="926">
        <f>+K28-O28</f>
        <v>0</v>
      </c>
      <c r="AZ28" s="926">
        <f>+L28-P28</f>
        <v>0</v>
      </c>
      <c r="BA28" s="926">
        <f>SUM(AX28:AZ28)</f>
        <v>0</v>
      </c>
    </row>
    <row r="30" spans="1:53" hidden="1">
      <c r="B30" s="852">
        <f>+B28-'SUMM BY CLUSTER- CURRENT'!B84</f>
        <v>0</v>
      </c>
      <c r="C30" s="852">
        <f>+C28-'SUMM BY CLUSTER- CURRENT'!C84</f>
        <v>0</v>
      </c>
      <c r="D30" s="852">
        <f>+D28-'SUMM BY CLUSTER- CURRENT'!D84</f>
        <v>0</v>
      </c>
      <c r="E30" s="852">
        <f>+E28-'SUMM BY CLUSTER- CURRENT'!E84</f>
        <v>0</v>
      </c>
      <c r="F30" s="852">
        <f>+F28-'SUMM BY CLUSTER- CURRENT'!F84</f>
        <v>0</v>
      </c>
      <c r="G30" s="852">
        <f>+G28-'SUMM BY CLUSTER- CURRENT'!G84</f>
        <v>0</v>
      </c>
      <c r="H30" s="852">
        <f>+H28-'SUMM BY CLUSTER- CURRENT'!H84</f>
        <v>0</v>
      </c>
      <c r="I30" s="852">
        <f>+I28-'SUMM BY CLUSTER- CURRENT'!I84</f>
        <v>0</v>
      </c>
      <c r="J30" s="852">
        <f>+J28-'SUMM BY CLUSTER- CURRENT'!J84</f>
        <v>0</v>
      </c>
      <c r="K30" s="852">
        <f>+K28-'SUMM BY CLUSTER- CURRENT'!K84</f>
        <v>0</v>
      </c>
      <c r="L30" s="852">
        <f>+L28-'SUMM BY CLUSTER- CURRENT'!L84</f>
        <v>0</v>
      </c>
      <c r="M30" s="852">
        <f>+M28-'SUMM BY CLUSTER- CURRENT'!M84</f>
        <v>0</v>
      </c>
      <c r="N30" s="852">
        <f>+N28-'SUMM BY CLUSTER- CURRENT'!N84</f>
        <v>0</v>
      </c>
      <c r="O30" s="852">
        <f>+O28-'SUMM BY CLUSTER- CURRENT'!O84</f>
        <v>0</v>
      </c>
      <c r="P30" s="852">
        <f>+P28-'SUMM BY CLUSTER- CURRENT'!P84</f>
        <v>0</v>
      </c>
      <c r="Q30" s="852">
        <f>+Q28-'SUMM BY CLUSTER- CURRENT'!Q84</f>
        <v>0</v>
      </c>
      <c r="R30" s="852">
        <f>+R28-'SUMM BY CLUSTER- CURRENT'!R84</f>
        <v>0</v>
      </c>
      <c r="S30" s="852">
        <f>+S28-'SUMM BY CLUSTER- CURRENT'!S84</f>
        <v>0</v>
      </c>
      <c r="T30" s="852">
        <f>+T28-'SUMM BY CLUSTER- CURRENT'!T84</f>
        <v>0</v>
      </c>
      <c r="U30" s="852">
        <f>+U28-'SUMM BY CLUSTER- CURRENT'!U84</f>
        <v>0</v>
      </c>
      <c r="V30" s="852">
        <f>+V28-'SUMM BY CLUSTER- CURRENT'!V84</f>
        <v>0</v>
      </c>
      <c r="W30" s="852">
        <f>+W28-'SUMM BY CLUSTER- CURRENT'!W84</f>
        <v>0</v>
      </c>
      <c r="X30" s="852">
        <f>+X28-'SUMM BY CLUSTER- CURRENT'!X84</f>
        <v>0</v>
      </c>
      <c r="Y30" s="852">
        <f>+Y28-'SUMM BY CLUSTER- CURRENT'!Y84</f>
        <v>0</v>
      </c>
      <c r="Z30" s="852">
        <f>+Z28-'SUMM BY CLUSTER- CURRENT'!Z84</f>
        <v>0</v>
      </c>
      <c r="AA30" s="852">
        <f>+AA28-'SUMM BY CLUSTER- CURRENT'!AA84</f>
        <v>0</v>
      </c>
      <c r="AB30" s="852">
        <f>+AB28-'SUMM BY CLUSTER- CURRENT'!AB84</f>
        <v>0</v>
      </c>
      <c r="AC30" s="852">
        <f>+AC28-'SUMM BY CLUSTER- CURRENT'!AC84</f>
        <v>0</v>
      </c>
      <c r="AD30" s="852">
        <f>+AD28-'SUMM BY CLUSTER- CURRENT'!AD84</f>
        <v>0</v>
      </c>
      <c r="AE30" s="852">
        <f>+AE28-'SUMM BY CLUSTER- CURRENT'!AE84</f>
        <v>0</v>
      </c>
      <c r="AF30" s="852">
        <f>+AF28-'SUMM BY CLUSTER- CURRENT'!AF84</f>
        <v>0</v>
      </c>
      <c r="AG30" s="852">
        <f>+AG28-'SUMM BY CLUSTER- CURRENT'!AG84</f>
        <v>0</v>
      </c>
      <c r="AH30" s="852">
        <f>+AH28-'SUMM BY CLUSTER- CURRENT'!AH84</f>
        <v>0</v>
      </c>
      <c r="AI30" s="852">
        <f>+AI28-'SUMM BY CLUSTER- CURRENT'!AI84</f>
        <v>0</v>
      </c>
      <c r="AJ30" s="852">
        <f>+AJ28-'SUMM BY CLUSTER- CURRENT'!AJ84</f>
        <v>0</v>
      </c>
      <c r="AK30" s="852">
        <f>+AK28-'SUMM BY CLUSTER- CURRENT'!AK84</f>
        <v>0</v>
      </c>
      <c r="AL30" s="852">
        <f>+AL28-'SUMM BY CLUSTER- CURRENT'!AL84</f>
        <v>0</v>
      </c>
      <c r="AM30" s="852">
        <f>+AM28-'SUMM BY CLUSTER- CURRENT'!AM84</f>
        <v>0</v>
      </c>
      <c r="AN30" s="852">
        <f>+AN28-'SUMM BY CLUSTER- CURRENT'!AN84</f>
        <v>0</v>
      </c>
      <c r="AO30" s="852">
        <f>+AO28-'SUMM BY CLUSTER- CURRENT'!AO84</f>
        <v>0</v>
      </c>
      <c r="AP30" s="852">
        <f>+AP28-'SUMM BY CLUSTER- CURRENT'!AP84</f>
        <v>0</v>
      </c>
      <c r="AQ30" s="852">
        <f>+AQ28-'SUMM BY CLUSTER- CURRENT'!AQ84</f>
        <v>0</v>
      </c>
      <c r="AR30" s="852">
        <f>+AR28-'SUMM BY CLUSTER- CURRENT'!AR84</f>
        <v>0</v>
      </c>
      <c r="AS30" s="852">
        <f>+AS28-'SUMM BY CLUSTER- CURRENT'!AS84</f>
        <v>0</v>
      </c>
      <c r="AT30" s="852">
        <f>+AT28-'SUMM BY CLUSTER- CURRENT'!AT84</f>
        <v>0</v>
      </c>
      <c r="AU30" s="852">
        <f>+AU28-'SUMM BY CLUSTER- CURRENT'!AU84</f>
        <v>0</v>
      </c>
      <c r="AV30" s="852">
        <f>+AV28-'SUMM BY CLUSTER- CURRENT'!AV84</f>
        <v>0</v>
      </c>
      <c r="AW30" s="852">
        <f>+AW28-'SUMM BY CLUSTER- CURRENT'!AW84</f>
        <v>0</v>
      </c>
      <c r="AX30" s="852">
        <f>+AX28-'SUMM BY CLUSTER- CURRENT'!AX84</f>
        <v>0</v>
      </c>
      <c r="AY30" s="852">
        <f>+AY28-'SUMM BY CLUSTER- CURRENT'!AY84</f>
        <v>0</v>
      </c>
      <c r="AZ30" s="852">
        <f>+AZ28-'SUMM BY CLUSTER- CURRENT'!AZ84</f>
        <v>0</v>
      </c>
      <c r="BA30" s="852">
        <f>+BA28-'SUMM BY CLUSTER- CURRENT'!BA84</f>
        <v>0</v>
      </c>
    </row>
    <row r="31" spans="1:53">
      <c r="A31" s="108" t="s">
        <v>1107</v>
      </c>
    </row>
    <row r="32" spans="1:53">
      <c r="A32" s="1189" t="s">
        <v>1111</v>
      </c>
    </row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">
    <tabColor rgb="FFFFC000"/>
  </sheetPr>
  <dimension ref="A1:AO32"/>
  <sheetViews>
    <sheetView workbookViewId="0">
      <pane xSplit="1" ySplit="7" topLeftCell="C14" activePane="bottomRight" state="frozen"/>
      <selection pane="topRight" activeCell="B1" sqref="B1"/>
      <selection pane="bottomLeft" activeCell="A8" sqref="A8"/>
      <selection pane="bottomRight" activeCell="A30" sqref="A30"/>
    </sheetView>
  </sheetViews>
  <sheetFormatPr defaultRowHeight="15"/>
  <cols>
    <col min="1" max="1" width="33.85546875" style="17" customWidth="1"/>
    <col min="2" max="2" width="10.140625" style="17" hidden="1" customWidth="1"/>
    <col min="3" max="3" width="18.140625" style="17" customWidth="1"/>
    <col min="4" max="4" width="17.140625" style="17" customWidth="1"/>
    <col min="5" max="5" width="18.5703125" style="17" customWidth="1"/>
    <col min="6" max="6" width="19.140625" style="17" hidden="1" customWidth="1"/>
    <col min="7" max="7" width="20.7109375" style="17" hidden="1" customWidth="1"/>
    <col min="8" max="13" width="19.140625" style="17" hidden="1" customWidth="1"/>
    <col min="14" max="14" width="10" style="17" hidden="1" customWidth="1"/>
    <col min="15" max="15" width="19.140625" style="17" customWidth="1"/>
    <col min="16" max="16" width="16.85546875" style="17" customWidth="1"/>
    <col min="17" max="17" width="17.28515625" style="17" customWidth="1"/>
    <col min="18" max="18" width="11.5703125" style="17" hidden="1" customWidth="1"/>
    <col min="19" max="20" width="19.140625" style="17" customWidth="1"/>
    <col min="21" max="21" width="18.28515625" style="17" customWidth="1"/>
    <col min="22" max="28" width="19.140625" style="17" hidden="1" customWidth="1"/>
    <col min="29" max="29" width="18.7109375" style="17" hidden="1" customWidth="1"/>
    <col min="30" max="30" width="16.42578125" style="17" hidden="1" customWidth="1"/>
    <col min="31" max="31" width="16.7109375" style="17" customWidth="1"/>
    <col min="32" max="32" width="16.140625" style="17" customWidth="1"/>
    <col min="33" max="33" width="18.28515625" style="17" customWidth="1"/>
    <col min="34" max="34" width="8.5703125" style="17" hidden="1" customWidth="1"/>
    <col min="35" max="35" width="16" style="17" customWidth="1"/>
    <col min="36" max="36" width="17.5703125" style="17" bestFit="1" customWidth="1"/>
    <col min="37" max="37" width="19.5703125" style="17" customWidth="1"/>
    <col min="38" max="38" width="7.7109375" style="9" hidden="1" customWidth="1"/>
    <col min="39" max="39" width="7.85546875" style="879" customWidth="1"/>
    <col min="40" max="40" width="7" style="879" customWidth="1"/>
    <col min="41" max="41" width="8.5703125" style="879" customWidth="1"/>
    <col min="42" max="54" width="19.140625" style="17" customWidth="1"/>
    <col min="55" max="16384" width="9.140625" style="17"/>
  </cols>
  <sheetData>
    <row r="1" spans="1:41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41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41">
      <c r="A3" s="15" t="s">
        <v>1098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41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41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</row>
    <row r="6" spans="1:41" s="18" customFormat="1">
      <c r="A6" s="1494"/>
      <c r="B6" s="917"/>
      <c r="C6" s="918"/>
      <c r="D6" s="918"/>
      <c r="E6" s="919"/>
      <c r="F6" s="920"/>
      <c r="G6" s="920"/>
      <c r="H6" s="920"/>
      <c r="I6" s="920"/>
      <c r="J6" s="920"/>
      <c r="K6" s="920"/>
      <c r="L6" s="920"/>
      <c r="M6" s="920"/>
      <c r="N6" s="917"/>
      <c r="O6" s="918"/>
      <c r="P6" s="918"/>
      <c r="Q6" s="919"/>
      <c r="R6" s="86"/>
      <c r="S6" s="134"/>
      <c r="T6" s="134"/>
      <c r="U6" s="135"/>
      <c r="V6" s="86"/>
      <c r="W6" s="134"/>
      <c r="X6" s="134"/>
      <c r="Y6" s="135"/>
      <c r="Z6" s="917"/>
      <c r="AA6" s="918"/>
      <c r="AB6" s="918"/>
      <c r="AC6" s="919"/>
      <c r="AD6" s="917"/>
      <c r="AE6" s="918"/>
      <c r="AF6" s="918"/>
      <c r="AG6" s="135"/>
      <c r="AH6" s="917"/>
      <c r="AI6" s="918"/>
      <c r="AJ6" s="918"/>
      <c r="AK6" s="919"/>
      <c r="AL6" s="82"/>
      <c r="AM6" s="881"/>
      <c r="AN6" s="881"/>
      <c r="AO6" s="882"/>
    </row>
    <row r="7" spans="1:41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</row>
    <row r="8" spans="1:41" s="903" customFormat="1" ht="16.5">
      <c r="A8" s="901" t="s">
        <v>1011</v>
      </c>
      <c r="B8" s="912">
        <f>+'CONAP-FUR (REG)-Detail'!C228+'CONAP-FUR (REG)-Detail'!C140</f>
        <v>0</v>
      </c>
      <c r="C8" s="912">
        <f>+'CONAP-FUR (REG)-Detail'!D228+'CONAP-FUR (REG)-Detail'!D140</f>
        <v>19913096.379999995</v>
      </c>
      <c r="D8" s="912">
        <f>+'CONAP-FUR (REG)-Detail'!E228+'CONAP-FUR (REG)-Detail'!E140</f>
        <v>100000000</v>
      </c>
      <c r="E8" s="912">
        <f t="shared" ref="E8:AK8" si="0">SUM(E9:E13)</f>
        <v>119913096.38</v>
      </c>
      <c r="F8" s="912">
        <f>+'CONAP-FUR (REG)-Detail'!G228+'CONAP-FUR (REG)-Detail'!G140</f>
        <v>0</v>
      </c>
      <c r="G8" s="912">
        <f>+'CONAP-FUR (REG)-Detail'!H228+'CONAP-FUR (REG)-Detail'!H140</f>
        <v>-417244.90000000014</v>
      </c>
      <c r="H8" s="912">
        <f>+'CONAP-FUR (REG)-Detail'!I228+'CONAP-FUR (REG)-Detail'!I140</f>
        <v>4959400</v>
      </c>
      <c r="I8" s="912">
        <f t="shared" si="0"/>
        <v>4542155.0999999996</v>
      </c>
      <c r="J8" s="912">
        <f>+'CONAP-FUR (REG)-Detail'!K228+'CONAP-FUR (REG)-Detail'!K140</f>
        <v>0</v>
      </c>
      <c r="K8" s="912">
        <f>+'CONAP-FUR (REG)-Detail'!L228+'CONAP-FUR (REG)-Detail'!L140</f>
        <v>50552211.870000005</v>
      </c>
      <c r="L8" s="912">
        <f>+'CONAP-FUR (REG)-Detail'!M228+'CONAP-FUR (REG)-Detail'!M140</f>
        <v>360682.56</v>
      </c>
      <c r="M8" s="912">
        <f t="shared" si="0"/>
        <v>50912894.430000007</v>
      </c>
      <c r="N8" s="912">
        <f>+'CONAP-FUR (REG)-Detail'!O228+'CONAP-FUR (REG)-Detail'!O140</f>
        <v>0</v>
      </c>
      <c r="O8" s="912">
        <f>+'CONAP-FUR (REG)-Detail'!P228+'CONAP-FUR (REG)-Detail'!P140</f>
        <v>50134966.969999999</v>
      </c>
      <c r="P8" s="912">
        <f>+'CONAP-FUR (REG)-Detail'!Q228+'CONAP-FUR (REG)-Detail'!Q140</f>
        <v>5320082.5599999996</v>
      </c>
      <c r="Q8" s="912">
        <f t="shared" si="0"/>
        <v>55455049.530000009</v>
      </c>
      <c r="R8" s="912">
        <f t="shared" si="0"/>
        <v>0</v>
      </c>
      <c r="S8" s="912">
        <f t="shared" si="0"/>
        <v>70048063.349999994</v>
      </c>
      <c r="T8" s="912">
        <f t="shared" si="0"/>
        <v>105320082.56</v>
      </c>
      <c r="U8" s="912">
        <f t="shared" si="0"/>
        <v>175368145.91</v>
      </c>
      <c r="V8" s="912">
        <f>+'CONAP-FUR (REG)-Detail'!W228+'CONAP-FUR (REG)-Detail'!W140</f>
        <v>0</v>
      </c>
      <c r="W8" s="912">
        <f>+'CONAP-FUR (REG)-Detail'!X228+'CONAP-FUR (REG)-Detail'!X140</f>
        <v>4299415.8099999996</v>
      </c>
      <c r="X8" s="912">
        <f>+'CONAP-FUR (REG)-Detail'!Y228+'CONAP-FUR (REG)-Detail'!Y140</f>
        <v>31356400</v>
      </c>
      <c r="Y8" s="912">
        <f t="shared" si="0"/>
        <v>35655815.810000002</v>
      </c>
      <c r="Z8" s="912">
        <f>+'CONAP-FUR (REG)-Detail'!AA228+'CONAP-FUR (REG)-Detail'!AA140</f>
        <v>0</v>
      </c>
      <c r="AA8" s="912">
        <f>+'CONAP-FUR (REG)-Detail'!AB228+'CONAP-FUR (REG)-Detail'!AB140</f>
        <v>24149677.859999999</v>
      </c>
      <c r="AB8" s="912">
        <f>+'CONAP-FUR (REG)-Detail'!AC228+'CONAP-FUR (REG)-Detail'!AC140</f>
        <v>280210</v>
      </c>
      <c r="AC8" s="912">
        <f t="shared" si="0"/>
        <v>24429887.859999999</v>
      </c>
      <c r="AD8" s="912">
        <f t="shared" si="0"/>
        <v>0</v>
      </c>
      <c r="AE8" s="912">
        <f t="shared" si="0"/>
        <v>28449093.669999998</v>
      </c>
      <c r="AF8" s="912">
        <f t="shared" si="0"/>
        <v>31636610</v>
      </c>
      <c r="AG8" s="912">
        <f t="shared" si="0"/>
        <v>60085703.670000002</v>
      </c>
      <c r="AH8" s="912">
        <f t="shared" si="0"/>
        <v>0</v>
      </c>
      <c r="AI8" s="912">
        <f t="shared" si="0"/>
        <v>41598969.68</v>
      </c>
      <c r="AJ8" s="912">
        <f t="shared" si="0"/>
        <v>73683472.560000002</v>
      </c>
      <c r="AK8" s="912">
        <f t="shared" si="0"/>
        <v>115282442.24000001</v>
      </c>
      <c r="AL8" s="601" t="str">
        <f t="shared" ref="AL8:AM27" si="1">IF(R8=0," ",AD8/R8)</f>
        <v xml:space="preserve"> </v>
      </c>
      <c r="AM8" s="601">
        <f t="shared" si="1"/>
        <v>0.40613676252335679</v>
      </c>
      <c r="AN8" s="601">
        <f t="shared" ref="AN8:AO27" si="2">IF(T8=0," ",AF8/T8)</f>
        <v>0.30038535131205274</v>
      </c>
      <c r="AO8" s="601">
        <f t="shared" si="2"/>
        <v>0.34262609870344612</v>
      </c>
    </row>
    <row r="9" spans="1:41" s="16" customFormat="1">
      <c r="A9" s="905" t="s">
        <v>1082</v>
      </c>
      <c r="B9" s="40">
        <f>+'SUMM BY CLUSTER- CONAP'!B86</f>
        <v>0</v>
      </c>
      <c r="C9" s="40">
        <f>+'SUMM BY CLUSTER- CONAP'!C86</f>
        <v>16958861.049999997</v>
      </c>
      <c r="D9" s="40">
        <f>+'SUMM BY CLUSTER- CONAP'!D86</f>
        <v>0</v>
      </c>
      <c r="E9" s="40">
        <f t="shared" ref="E9:E27" si="3">SUM(B9:D9)</f>
        <v>16958861.049999997</v>
      </c>
      <c r="F9" s="40">
        <f>+'SUMM BY CLUSTER- CONAP'!F86</f>
        <v>0</v>
      </c>
      <c r="G9" s="40">
        <f>+'SUMM BY CLUSTER- CONAP'!G86</f>
        <v>-2059866.99</v>
      </c>
      <c r="H9" s="40">
        <f>+'SUMM BY CLUSTER- CONAP'!H86</f>
        <v>4959400</v>
      </c>
      <c r="I9" s="40">
        <f t="shared" ref="I9:I27" si="4">SUM(F9:H9)</f>
        <v>2899533.01</v>
      </c>
      <c r="J9" s="40">
        <f>+'SUMM BY CLUSTER- CONAP'!J86</f>
        <v>0</v>
      </c>
      <c r="K9" s="40">
        <f>+'SUMM BY CLUSTER- CONAP'!K86</f>
        <v>38965067.010000005</v>
      </c>
      <c r="L9" s="40">
        <f>+'SUMM BY CLUSTER- CONAP'!L86</f>
        <v>360682.56</v>
      </c>
      <c r="M9" s="40">
        <f t="shared" ref="M9:M27" si="5">SUM(J9:L9)</f>
        <v>39325749.570000008</v>
      </c>
      <c r="N9" s="40">
        <f>+'SUMM BY CLUSTER- CONAP'!N86</f>
        <v>0</v>
      </c>
      <c r="O9" s="40">
        <f>+'SUMM BY CLUSTER- CONAP'!O86</f>
        <v>36905200.020000003</v>
      </c>
      <c r="P9" s="40">
        <f>+'SUMM BY CLUSTER- CONAP'!P86</f>
        <v>5320082.5599999996</v>
      </c>
      <c r="Q9" s="40">
        <f t="shared" ref="Q9:Q27" si="6">SUM(N9:P9)</f>
        <v>42225282.580000006</v>
      </c>
      <c r="R9" s="40">
        <f t="shared" ref="R9:T11" si="7">+B9+N9</f>
        <v>0</v>
      </c>
      <c r="S9" s="40">
        <f t="shared" si="7"/>
        <v>53864061.07</v>
      </c>
      <c r="T9" s="40">
        <f t="shared" si="7"/>
        <v>5320082.5599999996</v>
      </c>
      <c r="U9" s="40">
        <f t="shared" ref="U9:U27" si="8">SUM(R9:T9)</f>
        <v>59184143.630000003</v>
      </c>
      <c r="V9" s="40">
        <f>+'SUMM BY CLUSTER- CONAP'!V86</f>
        <v>0</v>
      </c>
      <c r="W9" s="40">
        <f>+'SUMM BY CLUSTER- CONAP'!W86</f>
        <v>2399970.86</v>
      </c>
      <c r="X9" s="40">
        <f>+'SUMM BY CLUSTER- CONAP'!X86</f>
        <v>0</v>
      </c>
      <c r="Y9" s="40">
        <f t="shared" ref="Y9:Y27" si="9">SUM(V9:X9)</f>
        <v>2399970.86</v>
      </c>
      <c r="Z9" s="40">
        <f>+'SUMM BY CLUSTER- CONAP'!Z86</f>
        <v>0</v>
      </c>
      <c r="AA9" s="40">
        <f>+'SUMM BY CLUSTER- CONAP'!AA86</f>
        <v>20063604.439999998</v>
      </c>
      <c r="AB9" s="40">
        <f>+'SUMM BY CLUSTER- CONAP'!AB86</f>
        <v>280210</v>
      </c>
      <c r="AC9" s="40">
        <f t="shared" ref="AC9:AC27" si="10">SUM(Z9:AB9)</f>
        <v>20343814.439999998</v>
      </c>
      <c r="AD9" s="40">
        <f t="shared" ref="AD9:AF11" si="11">+V9+Z9</f>
        <v>0</v>
      </c>
      <c r="AE9" s="40">
        <f t="shared" si="11"/>
        <v>22463575.299999997</v>
      </c>
      <c r="AF9" s="40">
        <f t="shared" si="11"/>
        <v>280210</v>
      </c>
      <c r="AG9" s="40">
        <f t="shared" ref="AG9:AG27" si="12">SUM(AD9:AF9)</f>
        <v>22743785.299999997</v>
      </c>
      <c r="AH9" s="40">
        <f t="shared" ref="AH9:AJ27" si="13">+R9-AD9</f>
        <v>0</v>
      </c>
      <c r="AI9" s="40">
        <f t="shared" si="13"/>
        <v>31400485.770000003</v>
      </c>
      <c r="AJ9" s="40">
        <f t="shared" si="13"/>
        <v>5039872.5599999996</v>
      </c>
      <c r="AK9" s="40">
        <f t="shared" ref="AK9:AK27" si="14">SUM(AH9:AJ9)</f>
        <v>36440358.330000006</v>
      </c>
      <c r="AL9" s="600"/>
      <c r="AM9" s="600">
        <f t="shared" si="1"/>
        <v>0.41704199152022825</v>
      </c>
      <c r="AN9" s="600">
        <f t="shared" si="2"/>
        <v>5.2670235252890517E-2</v>
      </c>
      <c r="AO9" s="600">
        <f t="shared" si="2"/>
        <v>0.38428849190057962</v>
      </c>
    </row>
    <row r="10" spans="1:41" s="16" customFormat="1">
      <c r="A10" s="905" t="s">
        <v>1013</v>
      </c>
      <c r="B10" s="40">
        <f>+'SUMM BY CLUSTER- CONAP'!B87</f>
        <v>0</v>
      </c>
      <c r="C10" s="40">
        <f>+'SUMM BY CLUSTER- CONAP'!C87</f>
        <v>2470437.36</v>
      </c>
      <c r="D10" s="40">
        <f>+'SUMM BY CLUSTER- CONAP'!D87</f>
        <v>0</v>
      </c>
      <c r="E10" s="40">
        <f t="shared" si="3"/>
        <v>2470437.36</v>
      </c>
      <c r="F10" s="40">
        <f>+'SUMM BY CLUSTER- CONAP'!F87</f>
        <v>0</v>
      </c>
      <c r="G10" s="40">
        <f>+'SUMM BY CLUSTER- CONAP'!G87</f>
        <v>1631324.54</v>
      </c>
      <c r="H10" s="40">
        <f>+'SUMM BY CLUSTER- CONAP'!H87</f>
        <v>0</v>
      </c>
      <c r="I10" s="40">
        <f t="shared" si="4"/>
        <v>1631324.54</v>
      </c>
      <c r="J10" s="40">
        <f>+'SUMM BY CLUSTER- CONAP'!J87</f>
        <v>0</v>
      </c>
      <c r="K10" s="40">
        <f>+'SUMM BY CLUSTER- CONAP'!K87</f>
        <v>8860190.4699999988</v>
      </c>
      <c r="L10" s="40">
        <f>+'SUMM BY CLUSTER- CONAP'!L87</f>
        <v>0</v>
      </c>
      <c r="M10" s="40">
        <f t="shared" si="5"/>
        <v>8860190.4699999988</v>
      </c>
      <c r="N10" s="40">
        <f>+'SUMM BY CLUSTER- CONAP'!N87</f>
        <v>0</v>
      </c>
      <c r="O10" s="40">
        <f>+'SUMM BY CLUSTER- CONAP'!O87</f>
        <v>10491515.009999998</v>
      </c>
      <c r="P10" s="40">
        <f>+'SUMM BY CLUSTER- CONAP'!P87</f>
        <v>0</v>
      </c>
      <c r="Q10" s="40">
        <f t="shared" si="6"/>
        <v>10491515.009999998</v>
      </c>
      <c r="R10" s="40">
        <f t="shared" si="7"/>
        <v>0</v>
      </c>
      <c r="S10" s="40">
        <f t="shared" si="7"/>
        <v>12961952.369999997</v>
      </c>
      <c r="T10" s="40">
        <f t="shared" si="7"/>
        <v>0</v>
      </c>
      <c r="U10" s="40">
        <f t="shared" si="8"/>
        <v>12961952.369999997</v>
      </c>
      <c r="V10" s="40">
        <f>+'SUMM BY CLUSTER- CONAP'!V87</f>
        <v>0</v>
      </c>
      <c r="W10" s="40">
        <f>+'SUMM BY CLUSTER- CONAP'!W87</f>
        <v>1483279.99</v>
      </c>
      <c r="X10" s="40">
        <f>+'SUMM BY CLUSTER- CONAP'!X87</f>
        <v>0</v>
      </c>
      <c r="Y10" s="40">
        <f t="shared" si="9"/>
        <v>1483279.99</v>
      </c>
      <c r="Z10" s="40">
        <f>+'SUMM BY CLUSTER- CONAP'!Z87</f>
        <v>0</v>
      </c>
      <c r="AA10" s="40">
        <f>+'SUMM BY CLUSTER- CONAP'!AA87</f>
        <v>2627541.64</v>
      </c>
      <c r="AB10" s="40">
        <f>+'SUMM BY CLUSTER- CONAP'!AB87</f>
        <v>0</v>
      </c>
      <c r="AC10" s="40">
        <f t="shared" si="10"/>
        <v>2627541.64</v>
      </c>
      <c r="AD10" s="40">
        <f t="shared" si="11"/>
        <v>0</v>
      </c>
      <c r="AE10" s="40">
        <f t="shared" si="11"/>
        <v>4110821.63</v>
      </c>
      <c r="AF10" s="40">
        <f t="shared" si="11"/>
        <v>0</v>
      </c>
      <c r="AG10" s="40">
        <f t="shared" si="12"/>
        <v>4110821.63</v>
      </c>
      <c r="AH10" s="40">
        <f t="shared" si="13"/>
        <v>0</v>
      </c>
      <c r="AI10" s="40">
        <f t="shared" si="13"/>
        <v>8851130.7399999984</v>
      </c>
      <c r="AJ10" s="40">
        <f t="shared" si="13"/>
        <v>0</v>
      </c>
      <c r="AK10" s="40">
        <f t="shared" si="14"/>
        <v>8851130.7399999984</v>
      </c>
      <c r="AL10" s="600"/>
      <c r="AM10" s="600">
        <f t="shared" si="1"/>
        <v>0.31714525039563934</v>
      </c>
      <c r="AN10" s="600" t="str">
        <f t="shared" si="2"/>
        <v xml:space="preserve"> </v>
      </c>
      <c r="AO10" s="600">
        <f t="shared" si="2"/>
        <v>0.31714525039563934</v>
      </c>
    </row>
    <row r="11" spans="1:41" s="16" customFormat="1">
      <c r="A11" s="905" t="s">
        <v>1014</v>
      </c>
      <c r="B11" s="40">
        <f>+'SUMM BY CLUSTER- CONAP'!B88</f>
        <v>0</v>
      </c>
      <c r="C11" s="40">
        <f>+'SUMM BY CLUSTER- CONAP'!C88</f>
        <v>483713.05</v>
      </c>
      <c r="D11" s="40">
        <f>+'SUMM BY CLUSTER- CONAP'!D88</f>
        <v>100000000</v>
      </c>
      <c r="E11" s="40">
        <f t="shared" si="3"/>
        <v>100483713.05</v>
      </c>
      <c r="F11" s="40">
        <f>+'SUMM BY CLUSTER- CONAP'!F88</f>
        <v>0</v>
      </c>
      <c r="G11" s="40">
        <f>+'SUMM BY CLUSTER- CONAP'!G88</f>
        <v>-177731.34000000008</v>
      </c>
      <c r="H11" s="40">
        <f>+'SUMM BY CLUSTER- CONAP'!H88</f>
        <v>0</v>
      </c>
      <c r="I11" s="40">
        <f t="shared" si="4"/>
        <v>-177731.34000000008</v>
      </c>
      <c r="J11" s="40">
        <f>+'SUMM BY CLUSTER- CONAP'!J88</f>
        <v>0</v>
      </c>
      <c r="K11" s="40">
        <f>+'SUMM BY CLUSTER- CONAP'!K88</f>
        <v>2398625.98</v>
      </c>
      <c r="L11" s="40">
        <f>+'SUMM BY CLUSTER- CONAP'!L88</f>
        <v>0</v>
      </c>
      <c r="M11" s="40">
        <f t="shared" si="5"/>
        <v>2398625.98</v>
      </c>
      <c r="N11" s="40">
        <f>+'SUMM BY CLUSTER- CONAP'!N88</f>
        <v>0</v>
      </c>
      <c r="O11" s="40">
        <f>+'SUMM BY CLUSTER- CONAP'!O88</f>
        <v>2220894.6399999997</v>
      </c>
      <c r="P11" s="40">
        <f>+'SUMM BY CLUSTER- CONAP'!P88</f>
        <v>0</v>
      </c>
      <c r="Q11" s="40">
        <f t="shared" si="6"/>
        <v>2220894.6399999997</v>
      </c>
      <c r="R11" s="40">
        <f t="shared" si="7"/>
        <v>0</v>
      </c>
      <c r="S11" s="40">
        <f t="shared" si="7"/>
        <v>2704607.6899999995</v>
      </c>
      <c r="T11" s="40">
        <f t="shared" si="7"/>
        <v>100000000</v>
      </c>
      <c r="U11" s="40">
        <f t="shared" si="8"/>
        <v>102704607.69</v>
      </c>
      <c r="V11" s="40">
        <f>+'SUMM BY CLUSTER- CONAP'!V88</f>
        <v>0</v>
      </c>
      <c r="W11" s="40">
        <f>+'SUMM BY CLUSTER- CONAP'!W88</f>
        <v>416164.96</v>
      </c>
      <c r="X11" s="40">
        <f>+'SUMM BY CLUSTER- CONAP'!X88</f>
        <v>31356400</v>
      </c>
      <c r="Y11" s="40">
        <f t="shared" si="9"/>
        <v>31772564.960000001</v>
      </c>
      <c r="Z11" s="40">
        <f>+'SUMM BY CLUSTER- CONAP'!Z88</f>
        <v>0</v>
      </c>
      <c r="AA11" s="40">
        <f>+'SUMM BY CLUSTER- CONAP'!AA88</f>
        <v>951650</v>
      </c>
      <c r="AB11" s="40">
        <f>+'SUMM BY CLUSTER- CONAP'!AB88</f>
        <v>0</v>
      </c>
      <c r="AC11" s="40">
        <f t="shared" si="10"/>
        <v>951650</v>
      </c>
      <c r="AD11" s="40">
        <f t="shared" si="11"/>
        <v>0</v>
      </c>
      <c r="AE11" s="40">
        <f t="shared" si="11"/>
        <v>1367814.96</v>
      </c>
      <c r="AF11" s="40">
        <f t="shared" si="11"/>
        <v>31356400</v>
      </c>
      <c r="AG11" s="40">
        <f t="shared" si="12"/>
        <v>32724214.960000001</v>
      </c>
      <c r="AH11" s="40">
        <f t="shared" si="13"/>
        <v>0</v>
      </c>
      <c r="AI11" s="40">
        <f t="shared" si="13"/>
        <v>1336792.7299999995</v>
      </c>
      <c r="AJ11" s="40">
        <f t="shared" si="13"/>
        <v>68643600</v>
      </c>
      <c r="AK11" s="40">
        <f t="shared" si="14"/>
        <v>69980392.730000004</v>
      </c>
      <c r="AL11" s="600"/>
      <c r="AM11" s="600">
        <f t="shared" si="1"/>
        <v>0.50573507021271547</v>
      </c>
      <c r="AN11" s="600">
        <f t="shared" si="2"/>
        <v>0.31356400000000001</v>
      </c>
      <c r="AO11" s="600">
        <f t="shared" si="2"/>
        <v>0.31862460405645704</v>
      </c>
    </row>
    <row r="12" spans="1:41" s="16" customFormat="1">
      <c r="A12" s="905" t="s">
        <v>1015</v>
      </c>
      <c r="B12" s="40">
        <f>+'SUMM BY CLUSTER- CONAP'!B89</f>
        <v>0</v>
      </c>
      <c r="C12" s="40">
        <f>+'SUMM BY CLUSTER- CONAP'!C89</f>
        <v>84.92</v>
      </c>
      <c r="D12" s="40">
        <f>+'SUMM BY CLUSTER- CONAP'!D89</f>
        <v>0</v>
      </c>
      <c r="E12" s="40">
        <f t="shared" si="3"/>
        <v>84.92</v>
      </c>
      <c r="F12" s="40">
        <f>+'SUMM BY CLUSTER- CONAP'!F89</f>
        <v>0</v>
      </c>
      <c r="G12" s="40">
        <f>+'SUMM BY CLUSTER- CONAP'!G89</f>
        <v>0</v>
      </c>
      <c r="H12" s="40">
        <f>+'SUMM BY CLUSTER- CONAP'!H89</f>
        <v>0</v>
      </c>
      <c r="I12" s="40">
        <f t="shared" si="4"/>
        <v>0</v>
      </c>
      <c r="J12" s="40">
        <f>+'SUMM BY CLUSTER- CONAP'!J89</f>
        <v>0</v>
      </c>
      <c r="K12" s="40">
        <f>+'SUMM BY CLUSTER- CONAP'!K89</f>
        <v>1783.52</v>
      </c>
      <c r="L12" s="40">
        <f>+'SUMM BY CLUSTER- CONAP'!L89</f>
        <v>0</v>
      </c>
      <c r="M12" s="40">
        <f t="shared" si="5"/>
        <v>1783.52</v>
      </c>
      <c r="N12" s="40">
        <f>+'SUMM BY CLUSTER- CONAP'!N89</f>
        <v>0</v>
      </c>
      <c r="O12" s="40">
        <f>+'SUMM BY CLUSTER- CONAP'!O89</f>
        <v>1783.52</v>
      </c>
      <c r="P12" s="40">
        <f>+'SUMM BY CLUSTER- CONAP'!P89</f>
        <v>0</v>
      </c>
      <c r="Q12" s="40">
        <f t="shared" si="6"/>
        <v>1783.52</v>
      </c>
      <c r="R12" s="40">
        <f t="shared" ref="R12:T27" si="15">+B12+N12</f>
        <v>0</v>
      </c>
      <c r="S12" s="40">
        <f t="shared" si="15"/>
        <v>1868.44</v>
      </c>
      <c r="T12" s="40">
        <f t="shared" si="15"/>
        <v>0</v>
      </c>
      <c r="U12" s="40">
        <f t="shared" si="8"/>
        <v>1868.44</v>
      </c>
      <c r="V12" s="40">
        <f>+'SUMM BY CLUSTER- CONAP'!V89</f>
        <v>0</v>
      </c>
      <c r="W12" s="40">
        <f>+'SUMM BY CLUSTER- CONAP'!W89</f>
        <v>0</v>
      </c>
      <c r="X12" s="40">
        <f>+'SUMM BY CLUSTER- CONAP'!X89</f>
        <v>0</v>
      </c>
      <c r="Y12" s="40">
        <f t="shared" si="9"/>
        <v>0</v>
      </c>
      <c r="Z12" s="40">
        <f>+'SUMM BY CLUSTER- CONAP'!Z89</f>
        <v>0</v>
      </c>
      <c r="AA12" s="40">
        <f>+'SUMM BY CLUSTER- CONAP'!AA89</f>
        <v>0</v>
      </c>
      <c r="AB12" s="40">
        <f>+'SUMM BY CLUSTER- CONAP'!AB89</f>
        <v>0</v>
      </c>
      <c r="AC12" s="40">
        <f t="shared" si="10"/>
        <v>0</v>
      </c>
      <c r="AD12" s="40">
        <f t="shared" ref="AD12:AF27" si="16">+V12+Z12</f>
        <v>0</v>
      </c>
      <c r="AE12" s="40">
        <f t="shared" si="16"/>
        <v>0</v>
      </c>
      <c r="AF12" s="40">
        <f t="shared" si="16"/>
        <v>0</v>
      </c>
      <c r="AG12" s="40">
        <f t="shared" si="12"/>
        <v>0</v>
      </c>
      <c r="AH12" s="40">
        <f t="shared" si="13"/>
        <v>0</v>
      </c>
      <c r="AI12" s="40">
        <f t="shared" si="13"/>
        <v>1868.44</v>
      </c>
      <c r="AJ12" s="40">
        <f t="shared" si="13"/>
        <v>0</v>
      </c>
      <c r="AK12" s="40">
        <f t="shared" si="14"/>
        <v>1868.44</v>
      </c>
      <c r="AL12" s="600"/>
      <c r="AM12" s="600">
        <f t="shared" si="1"/>
        <v>0</v>
      </c>
      <c r="AN12" s="600" t="str">
        <f t="shared" si="2"/>
        <v xml:space="preserve"> </v>
      </c>
      <c r="AO12" s="600">
        <f t="shared" si="2"/>
        <v>0</v>
      </c>
    </row>
    <row r="13" spans="1:41" s="16" customFormat="1">
      <c r="A13" s="905" t="s">
        <v>1016</v>
      </c>
      <c r="B13" s="40">
        <f>+'SUMM BY CLUSTER- CONAP'!B90</f>
        <v>0</v>
      </c>
      <c r="C13" s="40">
        <f>+'SUMM BY CLUSTER- CONAP'!C90</f>
        <v>0</v>
      </c>
      <c r="D13" s="40">
        <f>+'SUMM BY CLUSTER- CONAP'!D90</f>
        <v>0</v>
      </c>
      <c r="E13" s="40">
        <f t="shared" si="3"/>
        <v>0</v>
      </c>
      <c r="F13" s="40">
        <f>+'SUMM BY CLUSTER- CONAP'!F90</f>
        <v>0</v>
      </c>
      <c r="G13" s="40">
        <f>+'SUMM BY CLUSTER- CONAP'!G90</f>
        <v>189028.89</v>
      </c>
      <c r="H13" s="40">
        <f>+'SUMM BY CLUSTER- CONAP'!H90</f>
        <v>0</v>
      </c>
      <c r="I13" s="40">
        <f t="shared" si="4"/>
        <v>189028.89</v>
      </c>
      <c r="J13" s="40">
        <f>+'SUMM BY CLUSTER- CONAP'!J90</f>
        <v>0</v>
      </c>
      <c r="K13" s="40">
        <f>+'SUMM BY CLUSTER- CONAP'!K90</f>
        <v>326544.89</v>
      </c>
      <c r="L13" s="40">
        <f>+'SUMM BY CLUSTER- CONAP'!L90</f>
        <v>0</v>
      </c>
      <c r="M13" s="40">
        <f t="shared" si="5"/>
        <v>326544.89</v>
      </c>
      <c r="N13" s="40">
        <f>+'SUMM BY CLUSTER- CONAP'!N90</f>
        <v>0</v>
      </c>
      <c r="O13" s="40">
        <f>+'SUMM BY CLUSTER- CONAP'!O90</f>
        <v>515573.78</v>
      </c>
      <c r="P13" s="40">
        <f>+'SUMM BY CLUSTER- CONAP'!P90</f>
        <v>0</v>
      </c>
      <c r="Q13" s="40">
        <f t="shared" si="6"/>
        <v>515573.78</v>
      </c>
      <c r="R13" s="40">
        <f t="shared" si="15"/>
        <v>0</v>
      </c>
      <c r="S13" s="40">
        <f t="shared" si="15"/>
        <v>515573.78</v>
      </c>
      <c r="T13" s="40">
        <f t="shared" si="15"/>
        <v>0</v>
      </c>
      <c r="U13" s="40">
        <f t="shared" si="8"/>
        <v>515573.78</v>
      </c>
      <c r="V13" s="40">
        <f>+'SUMM BY CLUSTER- CONAP'!V90</f>
        <v>0</v>
      </c>
      <c r="W13" s="40">
        <f>+'SUMM BY CLUSTER- CONAP'!W90</f>
        <v>0</v>
      </c>
      <c r="X13" s="40">
        <f>+'SUMM BY CLUSTER- CONAP'!X90</f>
        <v>0</v>
      </c>
      <c r="Y13" s="40">
        <f t="shared" si="9"/>
        <v>0</v>
      </c>
      <c r="Z13" s="40">
        <f>+'SUMM BY CLUSTER- CONAP'!Z90</f>
        <v>0</v>
      </c>
      <c r="AA13" s="40">
        <f>+'SUMM BY CLUSTER- CONAP'!AA90</f>
        <v>506881.78</v>
      </c>
      <c r="AB13" s="40">
        <f>+'SUMM BY CLUSTER- CONAP'!AB90</f>
        <v>0</v>
      </c>
      <c r="AC13" s="40">
        <f t="shared" si="10"/>
        <v>506881.78</v>
      </c>
      <c r="AD13" s="40">
        <f t="shared" si="16"/>
        <v>0</v>
      </c>
      <c r="AE13" s="40">
        <f t="shared" si="16"/>
        <v>506881.78</v>
      </c>
      <c r="AF13" s="40">
        <f t="shared" si="16"/>
        <v>0</v>
      </c>
      <c r="AG13" s="40">
        <f t="shared" si="12"/>
        <v>506881.78</v>
      </c>
      <c r="AH13" s="40">
        <f t="shared" si="13"/>
        <v>0</v>
      </c>
      <c r="AI13" s="40">
        <f t="shared" si="13"/>
        <v>8692</v>
      </c>
      <c r="AJ13" s="40">
        <f t="shared" si="13"/>
        <v>0</v>
      </c>
      <c r="AK13" s="40">
        <f t="shared" si="14"/>
        <v>8692</v>
      </c>
      <c r="AL13" s="600"/>
      <c r="AM13" s="600">
        <f t="shared" si="1"/>
        <v>0.98314111318849462</v>
      </c>
      <c r="AN13" s="600" t="str">
        <f t="shared" si="2"/>
        <v xml:space="preserve"> </v>
      </c>
      <c r="AO13" s="600">
        <f t="shared" si="2"/>
        <v>0.98314111318849462</v>
      </c>
    </row>
    <row r="14" spans="1:41" s="16" customFormat="1">
      <c r="A14" s="596"/>
      <c r="B14" s="40"/>
      <c r="C14" s="40"/>
      <c r="D14" s="40"/>
      <c r="E14" s="579">
        <f t="shared" si="3"/>
        <v>0</v>
      </c>
      <c r="F14" s="40"/>
      <c r="G14" s="40"/>
      <c r="H14" s="40"/>
      <c r="I14" s="579">
        <f t="shared" si="4"/>
        <v>0</v>
      </c>
      <c r="J14" s="40"/>
      <c r="K14" s="40"/>
      <c r="L14" s="40"/>
      <c r="M14" s="579">
        <f t="shared" si="5"/>
        <v>0</v>
      </c>
      <c r="N14" s="40"/>
      <c r="O14" s="40"/>
      <c r="P14" s="40"/>
      <c r="Q14" s="579">
        <f t="shared" si="6"/>
        <v>0</v>
      </c>
      <c r="R14" s="40">
        <f t="shared" si="15"/>
        <v>0</v>
      </c>
      <c r="S14" s="40">
        <f t="shared" si="15"/>
        <v>0</v>
      </c>
      <c r="T14" s="40">
        <f t="shared" si="15"/>
        <v>0</v>
      </c>
      <c r="U14" s="579">
        <f t="shared" si="8"/>
        <v>0</v>
      </c>
      <c r="V14" s="40"/>
      <c r="W14" s="40"/>
      <c r="X14" s="40"/>
      <c r="Y14" s="579">
        <f t="shared" si="9"/>
        <v>0</v>
      </c>
      <c r="Z14" s="40"/>
      <c r="AA14" s="40"/>
      <c r="AB14" s="40"/>
      <c r="AC14" s="579">
        <f t="shared" si="10"/>
        <v>0</v>
      </c>
      <c r="AD14" s="40">
        <f t="shared" si="16"/>
        <v>0</v>
      </c>
      <c r="AE14" s="40">
        <f t="shared" si="16"/>
        <v>0</v>
      </c>
      <c r="AF14" s="40">
        <f t="shared" si="16"/>
        <v>0</v>
      </c>
      <c r="AG14" s="579">
        <f t="shared" si="12"/>
        <v>0</v>
      </c>
      <c r="AH14" s="579">
        <f t="shared" si="13"/>
        <v>0</v>
      </c>
      <c r="AI14" s="40">
        <f t="shared" si="13"/>
        <v>0</v>
      </c>
      <c r="AJ14" s="40">
        <f t="shared" si="13"/>
        <v>0</v>
      </c>
      <c r="AK14" s="579">
        <f t="shared" si="14"/>
        <v>0</v>
      </c>
      <c r="AL14" s="600"/>
      <c r="AM14" s="600" t="str">
        <f t="shared" si="1"/>
        <v xml:space="preserve"> </v>
      </c>
      <c r="AN14" s="600" t="str">
        <f t="shared" si="2"/>
        <v xml:space="preserve"> </v>
      </c>
      <c r="AO14" s="600" t="str">
        <f t="shared" si="2"/>
        <v xml:space="preserve"> </v>
      </c>
    </row>
    <row r="15" spans="1:41" s="903" customFormat="1" ht="16.5">
      <c r="A15" s="901" t="s">
        <v>1018</v>
      </c>
      <c r="B15" s="912">
        <f>+'CONAP-FUR (REG)-Detail'!C146+'CONAP-FUR (REG)-Detail'!C233</f>
        <v>0</v>
      </c>
      <c r="C15" s="912">
        <f>+'CONAP-FUR (REG)-Detail'!D146+'CONAP-FUR (REG)-Detail'!D233</f>
        <v>5713291.700000017</v>
      </c>
      <c r="D15" s="912">
        <f>+'CONAP-FUR (REG)-Detail'!E146+'CONAP-FUR (REG)-Detail'!E233</f>
        <v>0</v>
      </c>
      <c r="E15" s="912">
        <f t="shared" ref="E15:AK15" si="17">SUM(E16:E22)</f>
        <v>5713291.7000000179</v>
      </c>
      <c r="F15" s="912">
        <f>+'CONAP-FUR (REG)-Detail'!G146+'CONAP-FUR (REG)-Detail'!G233</f>
        <v>0</v>
      </c>
      <c r="G15" s="912">
        <f>+'CONAP-FUR (REG)-Detail'!H146+'CONAP-FUR (REG)-Detail'!H233</f>
        <v>-12084385.279999999</v>
      </c>
      <c r="H15" s="912">
        <f>+'CONAP-FUR (REG)-Detail'!I146+'CONAP-FUR (REG)-Detail'!I233</f>
        <v>-97107238</v>
      </c>
      <c r="I15" s="912">
        <f t="shared" si="17"/>
        <v>-109191623.28</v>
      </c>
      <c r="J15" s="912">
        <f>+'CONAP-FUR (REG)-Detail'!K146+'CONAP-FUR (REG)-Detail'!K233</f>
        <v>0</v>
      </c>
      <c r="K15" s="912">
        <f>+'CONAP-FUR (REG)-Detail'!L146+'CONAP-FUR (REG)-Detail'!L233</f>
        <v>64470790.079999991</v>
      </c>
      <c r="L15" s="912">
        <f>+'CONAP-FUR (REG)-Detail'!M146+'CONAP-FUR (REG)-Detail'!M233</f>
        <v>114839306.45</v>
      </c>
      <c r="M15" s="912">
        <f t="shared" si="17"/>
        <v>179310096.52999997</v>
      </c>
      <c r="N15" s="912">
        <f>+'CONAP-FUR (REG)-Detail'!O146+'CONAP-FUR (REG)-Detail'!O233</f>
        <v>0</v>
      </c>
      <c r="O15" s="912">
        <f>+'CONAP-FUR (REG)-Detail'!P146+'CONAP-FUR (REG)-Detail'!P233</f>
        <v>52386404.79999999</v>
      </c>
      <c r="P15" s="912">
        <f>+'CONAP-FUR (REG)-Detail'!Q146+'CONAP-FUR (REG)-Detail'!Q233</f>
        <v>17732068.450000003</v>
      </c>
      <c r="Q15" s="912">
        <f t="shared" si="17"/>
        <v>70118473.25</v>
      </c>
      <c r="R15" s="912">
        <f t="shared" si="17"/>
        <v>0</v>
      </c>
      <c r="S15" s="912">
        <f t="shared" si="17"/>
        <v>58099696.500000007</v>
      </c>
      <c r="T15" s="912">
        <f t="shared" si="17"/>
        <v>17732068.450000003</v>
      </c>
      <c r="U15" s="912">
        <f t="shared" si="17"/>
        <v>75831764.950000003</v>
      </c>
      <c r="V15" s="912">
        <f>+'CONAP-FUR (REG)-Detail'!W146+'CONAP-FUR (REG)-Detail'!W233</f>
        <v>0</v>
      </c>
      <c r="W15" s="912">
        <f>+'CONAP-FUR (REG)-Detail'!X146+'CONAP-FUR (REG)-Detail'!X233</f>
        <v>5095612.21</v>
      </c>
      <c r="X15" s="912">
        <f>+'CONAP-FUR (REG)-Detail'!Y146+'CONAP-FUR (REG)-Detail'!Y233</f>
        <v>0</v>
      </c>
      <c r="Y15" s="912">
        <f t="shared" si="17"/>
        <v>5095612.21</v>
      </c>
      <c r="Z15" s="912">
        <f>+'CONAP-FUR (REG)-Detail'!AA146+'CONAP-FUR (REG)-Detail'!AA233</f>
        <v>0</v>
      </c>
      <c r="AA15" s="912">
        <f>+'CONAP-FUR (REG)-Detail'!AB146+'CONAP-FUR (REG)-Detail'!AB233</f>
        <v>37131473.470000006</v>
      </c>
      <c r="AB15" s="912">
        <f>+'CONAP-FUR (REG)-Detail'!AC146+'CONAP-FUR (REG)-Detail'!AC233</f>
        <v>12775953</v>
      </c>
      <c r="AC15" s="912">
        <f t="shared" si="17"/>
        <v>49907426.469999999</v>
      </c>
      <c r="AD15" s="912">
        <f t="shared" si="17"/>
        <v>0</v>
      </c>
      <c r="AE15" s="912">
        <f t="shared" si="17"/>
        <v>42227085.680000007</v>
      </c>
      <c r="AF15" s="912">
        <f t="shared" si="17"/>
        <v>12775953</v>
      </c>
      <c r="AG15" s="912">
        <f t="shared" si="17"/>
        <v>55003038.680000007</v>
      </c>
      <c r="AH15" s="912">
        <f t="shared" si="17"/>
        <v>0</v>
      </c>
      <c r="AI15" s="912">
        <f t="shared" si="17"/>
        <v>15872610.82</v>
      </c>
      <c r="AJ15" s="912">
        <f t="shared" si="17"/>
        <v>4956115.450000003</v>
      </c>
      <c r="AK15" s="912">
        <f t="shared" si="17"/>
        <v>20828726.270000003</v>
      </c>
      <c r="AL15" s="601" t="str">
        <f t="shared" si="1"/>
        <v xml:space="preserve"> </v>
      </c>
      <c r="AM15" s="601">
        <f t="shared" si="1"/>
        <v>0.72680389440588566</v>
      </c>
      <c r="AN15" s="601">
        <f t="shared" si="2"/>
        <v>0.72049986926370102</v>
      </c>
      <c r="AO15" s="601">
        <f t="shared" si="2"/>
        <v>0.72532979703514078</v>
      </c>
    </row>
    <row r="16" spans="1:41" s="16" customFormat="1">
      <c r="A16" s="905" t="s">
        <v>1091</v>
      </c>
      <c r="B16" s="40">
        <f>+'SUMM BY CLUSTER- CONAP'!B93</f>
        <v>0</v>
      </c>
      <c r="C16" s="40">
        <f>+'SUMM BY CLUSTER- CONAP'!C93</f>
        <v>1983158.9300000025</v>
      </c>
      <c r="D16" s="40">
        <f>+'SUMM BY CLUSTER- CONAP'!D93</f>
        <v>0</v>
      </c>
      <c r="E16" s="40">
        <f t="shared" si="3"/>
        <v>1983158.9300000025</v>
      </c>
      <c r="F16" s="40">
        <f>+'SUMM BY CLUSTER- CONAP'!F93</f>
        <v>0</v>
      </c>
      <c r="G16" s="40">
        <f>+'SUMM BY CLUSTER- CONAP'!G93</f>
        <v>-9041006.0599999987</v>
      </c>
      <c r="H16" s="40">
        <f>+'SUMM BY CLUSTER- CONAP'!H93</f>
        <v>-97107238</v>
      </c>
      <c r="I16" s="40">
        <f t="shared" si="4"/>
        <v>-106148244.06</v>
      </c>
      <c r="J16" s="40">
        <f>+'SUMM BY CLUSTER- CONAP'!J93</f>
        <v>0</v>
      </c>
      <c r="K16" s="40">
        <f>+'SUMM BY CLUSTER- CONAP'!K93</f>
        <v>47385665.319999993</v>
      </c>
      <c r="L16" s="40">
        <f>+'SUMM BY CLUSTER- CONAP'!L93</f>
        <v>114839306.45</v>
      </c>
      <c r="M16" s="40">
        <f t="shared" si="5"/>
        <v>162224971.76999998</v>
      </c>
      <c r="N16" s="40">
        <f>+'SUMM BY CLUSTER- CONAP'!N93</f>
        <v>0</v>
      </c>
      <c r="O16" s="40">
        <f>+'SUMM BY CLUSTER- CONAP'!O93</f>
        <v>38344659.25999999</v>
      </c>
      <c r="P16" s="40">
        <f>+'SUMM BY CLUSTER- CONAP'!P93</f>
        <v>17732068.450000003</v>
      </c>
      <c r="Q16" s="40">
        <f t="shared" si="6"/>
        <v>56076727.709999993</v>
      </c>
      <c r="R16" s="40">
        <f t="shared" si="15"/>
        <v>0</v>
      </c>
      <c r="S16" s="40">
        <f t="shared" si="15"/>
        <v>40327818.18999999</v>
      </c>
      <c r="T16" s="40">
        <f t="shared" si="15"/>
        <v>17732068.450000003</v>
      </c>
      <c r="U16" s="40">
        <f t="shared" si="8"/>
        <v>58059886.639999993</v>
      </c>
      <c r="V16" s="40">
        <f>+'SUMM BY CLUSTER- CONAP'!V93</f>
        <v>0</v>
      </c>
      <c r="W16" s="40">
        <f>+'SUMM BY CLUSTER- CONAP'!W93</f>
        <v>1395245.78</v>
      </c>
      <c r="X16" s="40">
        <f>+'SUMM BY CLUSTER- CONAP'!X93</f>
        <v>0</v>
      </c>
      <c r="Y16" s="40">
        <f t="shared" si="9"/>
        <v>1395245.78</v>
      </c>
      <c r="Z16" s="40">
        <f>+'SUMM BY CLUSTER- CONAP'!Z93</f>
        <v>0</v>
      </c>
      <c r="AA16" s="40">
        <f>+'SUMM BY CLUSTER- CONAP'!AA93</f>
        <v>33749840.410000004</v>
      </c>
      <c r="AB16" s="40">
        <f>+'SUMM BY CLUSTER- CONAP'!AB93</f>
        <v>12775953</v>
      </c>
      <c r="AC16" s="40">
        <f t="shared" si="10"/>
        <v>46525793.410000004</v>
      </c>
      <c r="AD16" s="40">
        <f t="shared" si="16"/>
        <v>0</v>
      </c>
      <c r="AE16" s="40">
        <f t="shared" si="16"/>
        <v>35145086.190000005</v>
      </c>
      <c r="AF16" s="40">
        <f t="shared" si="16"/>
        <v>12775953</v>
      </c>
      <c r="AG16" s="40">
        <f t="shared" si="12"/>
        <v>47921039.190000005</v>
      </c>
      <c r="AH16" s="40">
        <f t="shared" si="13"/>
        <v>0</v>
      </c>
      <c r="AI16" s="40">
        <f t="shared" si="13"/>
        <v>5182731.9999999851</v>
      </c>
      <c r="AJ16" s="40">
        <f t="shared" si="13"/>
        <v>4956115.450000003</v>
      </c>
      <c r="AK16" s="40">
        <f t="shared" si="14"/>
        <v>10138847.449999988</v>
      </c>
      <c r="AL16" s="600"/>
      <c r="AM16" s="600">
        <f t="shared" si="1"/>
        <v>0.87148493936413507</v>
      </c>
      <c r="AN16" s="600">
        <f t="shared" si="2"/>
        <v>0.72049986926370102</v>
      </c>
      <c r="AO16" s="600">
        <f t="shared" si="2"/>
        <v>0.82537259308021294</v>
      </c>
    </row>
    <row r="17" spans="1:41" s="16" customFormat="1">
      <c r="A17" s="905" t="s">
        <v>1019</v>
      </c>
      <c r="B17" s="40">
        <f>+'SUMM BY CLUSTER- CONAP'!B94</f>
        <v>0</v>
      </c>
      <c r="C17" s="40">
        <f>+'SUMM BY CLUSTER- CONAP'!C94</f>
        <v>2974859.6700000167</v>
      </c>
      <c r="D17" s="40">
        <f>+'SUMM BY CLUSTER- CONAP'!D94</f>
        <v>0</v>
      </c>
      <c r="E17" s="40">
        <f t="shared" si="3"/>
        <v>2974859.6700000167</v>
      </c>
      <c r="F17" s="40">
        <f>+'SUMM BY CLUSTER- CONAP'!F94</f>
        <v>0</v>
      </c>
      <c r="G17" s="40">
        <f>+'SUMM BY CLUSTER- CONAP'!G94</f>
        <v>0</v>
      </c>
      <c r="H17" s="40">
        <f>+'SUMM BY CLUSTER- CONAP'!H94</f>
        <v>0</v>
      </c>
      <c r="I17" s="40">
        <f t="shared" si="4"/>
        <v>0</v>
      </c>
      <c r="J17" s="40">
        <f>+'SUMM BY CLUSTER- CONAP'!J94</f>
        <v>0</v>
      </c>
      <c r="K17" s="40">
        <f>+'SUMM BY CLUSTER- CONAP'!K94</f>
        <v>13181742.42</v>
      </c>
      <c r="L17" s="40">
        <f>+'SUMM BY CLUSTER- CONAP'!L94</f>
        <v>0</v>
      </c>
      <c r="M17" s="40">
        <f t="shared" si="5"/>
        <v>13181742.42</v>
      </c>
      <c r="N17" s="40">
        <f>+'SUMM BY CLUSTER- CONAP'!N94</f>
        <v>0</v>
      </c>
      <c r="O17" s="40">
        <f>+'SUMM BY CLUSTER- CONAP'!O94</f>
        <v>13181742.42</v>
      </c>
      <c r="P17" s="40">
        <f>+'SUMM BY CLUSTER- CONAP'!P94</f>
        <v>0</v>
      </c>
      <c r="Q17" s="40">
        <f t="shared" si="6"/>
        <v>13181742.42</v>
      </c>
      <c r="R17" s="40">
        <f t="shared" si="15"/>
        <v>0</v>
      </c>
      <c r="S17" s="40">
        <f t="shared" si="15"/>
        <v>16156602.090000017</v>
      </c>
      <c r="T17" s="40">
        <f t="shared" si="15"/>
        <v>0</v>
      </c>
      <c r="U17" s="40">
        <f t="shared" si="8"/>
        <v>16156602.090000017</v>
      </c>
      <c r="V17" s="40">
        <f>+'SUMM BY CLUSTER- CONAP'!V94</f>
        <v>0</v>
      </c>
      <c r="W17" s="40">
        <f>+'SUMM BY CLUSTER- CONAP'!W94</f>
        <v>2974859.67</v>
      </c>
      <c r="X17" s="40">
        <f>+'SUMM BY CLUSTER- CONAP'!X94</f>
        <v>0</v>
      </c>
      <c r="Y17" s="40">
        <f t="shared" si="9"/>
        <v>2974859.67</v>
      </c>
      <c r="Z17" s="40">
        <f>+'SUMM BY CLUSTER- CONAP'!Z94</f>
        <v>0</v>
      </c>
      <c r="AA17" s="40">
        <f>+'SUMM BY CLUSTER- CONAP'!AA94</f>
        <v>2527002.1599999997</v>
      </c>
      <c r="AB17" s="40">
        <f>+'SUMM BY CLUSTER- CONAP'!AB94</f>
        <v>0</v>
      </c>
      <c r="AC17" s="40">
        <f t="shared" si="10"/>
        <v>2527002.1599999997</v>
      </c>
      <c r="AD17" s="40">
        <f t="shared" si="16"/>
        <v>0</v>
      </c>
      <c r="AE17" s="40">
        <f t="shared" si="16"/>
        <v>5501861.8300000001</v>
      </c>
      <c r="AF17" s="40">
        <f t="shared" si="16"/>
        <v>0</v>
      </c>
      <c r="AG17" s="40">
        <f t="shared" si="12"/>
        <v>5501861.8300000001</v>
      </c>
      <c r="AH17" s="40">
        <f t="shared" si="13"/>
        <v>0</v>
      </c>
      <c r="AI17" s="40">
        <f t="shared" si="13"/>
        <v>10654740.260000017</v>
      </c>
      <c r="AJ17" s="40">
        <f t="shared" si="13"/>
        <v>0</v>
      </c>
      <c r="AK17" s="40">
        <f t="shared" si="14"/>
        <v>10654740.260000017</v>
      </c>
      <c r="AL17" s="600"/>
      <c r="AM17" s="600">
        <f t="shared" si="1"/>
        <v>0.34053334973232569</v>
      </c>
      <c r="AN17" s="600" t="str">
        <f t="shared" si="2"/>
        <v xml:space="preserve"> </v>
      </c>
      <c r="AO17" s="600">
        <f t="shared" si="2"/>
        <v>0.34053334973232569</v>
      </c>
    </row>
    <row r="18" spans="1:41" s="16" customFormat="1">
      <c r="A18" s="905" t="s">
        <v>1020</v>
      </c>
      <c r="B18" s="40">
        <f>+'SUMM BY CLUSTER- CONAP'!B95</f>
        <v>0</v>
      </c>
      <c r="C18" s="40">
        <f>+'SUMM BY CLUSTER- CONAP'!C95</f>
        <v>29385.189999997616</v>
      </c>
      <c r="D18" s="40">
        <f>+'SUMM BY CLUSTER- CONAP'!D95</f>
        <v>0</v>
      </c>
      <c r="E18" s="40">
        <f t="shared" si="3"/>
        <v>29385.189999997616</v>
      </c>
      <c r="F18" s="40">
        <f>+'SUMM BY CLUSTER- CONAP'!F95</f>
        <v>0</v>
      </c>
      <c r="G18" s="40">
        <f>+'SUMM BY CLUSTER- CONAP'!G95</f>
        <v>-2806843.85</v>
      </c>
      <c r="H18" s="40">
        <f>+'SUMM BY CLUSTER- CONAP'!H95</f>
        <v>0</v>
      </c>
      <c r="I18" s="40">
        <f t="shared" si="4"/>
        <v>-2806843.85</v>
      </c>
      <c r="J18" s="40">
        <f>+'SUMM BY CLUSTER- CONAP'!J95</f>
        <v>0</v>
      </c>
      <c r="K18" s="40">
        <f>+'SUMM BY CLUSTER- CONAP'!K95</f>
        <v>2810618.38</v>
      </c>
      <c r="L18" s="40">
        <f>+'SUMM BY CLUSTER- CONAP'!L95</f>
        <v>0</v>
      </c>
      <c r="M18" s="40">
        <f t="shared" si="5"/>
        <v>2810618.38</v>
      </c>
      <c r="N18" s="40">
        <f>+'SUMM BY CLUSTER- CONAP'!N95</f>
        <v>0</v>
      </c>
      <c r="O18" s="40">
        <f>+'SUMM BY CLUSTER- CONAP'!O95</f>
        <v>3774.5299999997951</v>
      </c>
      <c r="P18" s="40">
        <f>+'SUMM BY CLUSTER- CONAP'!P95</f>
        <v>0</v>
      </c>
      <c r="Q18" s="40">
        <f t="shared" si="6"/>
        <v>3774.5299999997951</v>
      </c>
      <c r="R18" s="40">
        <f t="shared" si="15"/>
        <v>0</v>
      </c>
      <c r="S18" s="40">
        <f t="shared" si="15"/>
        <v>33159.719999997411</v>
      </c>
      <c r="T18" s="40">
        <f t="shared" si="15"/>
        <v>0</v>
      </c>
      <c r="U18" s="40">
        <f t="shared" si="8"/>
        <v>33159.719999997411</v>
      </c>
      <c r="V18" s="40">
        <f>+'SUMM BY CLUSTER- CONAP'!V95</f>
        <v>0</v>
      </c>
      <c r="W18" s="40">
        <f>+'SUMM BY CLUSTER- CONAP'!W95</f>
        <v>0</v>
      </c>
      <c r="X18" s="40">
        <f>+'SUMM BY CLUSTER- CONAP'!X95</f>
        <v>0</v>
      </c>
      <c r="Y18" s="40">
        <f t="shared" si="9"/>
        <v>0</v>
      </c>
      <c r="Z18" s="40">
        <f>+'SUMM BY CLUSTER- CONAP'!Z95</f>
        <v>0</v>
      </c>
      <c r="AA18" s="40">
        <f>+'SUMM BY CLUSTER- CONAP'!AA95</f>
        <v>0</v>
      </c>
      <c r="AB18" s="40">
        <f>+'SUMM BY CLUSTER- CONAP'!AB95</f>
        <v>0</v>
      </c>
      <c r="AC18" s="40">
        <f t="shared" si="10"/>
        <v>0</v>
      </c>
      <c r="AD18" s="40">
        <f t="shared" si="16"/>
        <v>0</v>
      </c>
      <c r="AE18" s="40">
        <f t="shared" si="16"/>
        <v>0</v>
      </c>
      <c r="AF18" s="40">
        <f t="shared" si="16"/>
        <v>0</v>
      </c>
      <c r="AG18" s="40">
        <f t="shared" si="12"/>
        <v>0</v>
      </c>
      <c r="AH18" s="40">
        <f t="shared" si="13"/>
        <v>0</v>
      </c>
      <c r="AI18" s="40">
        <f t="shared" si="13"/>
        <v>33159.719999997411</v>
      </c>
      <c r="AJ18" s="40">
        <f t="shared" si="13"/>
        <v>0</v>
      </c>
      <c r="AK18" s="40">
        <f t="shared" si="14"/>
        <v>33159.719999997411</v>
      </c>
      <c r="AL18" s="600"/>
      <c r="AM18" s="600">
        <f t="shared" si="1"/>
        <v>0</v>
      </c>
      <c r="AN18" s="600" t="str">
        <f t="shared" si="2"/>
        <v xml:space="preserve"> </v>
      </c>
      <c r="AO18" s="600">
        <f t="shared" si="2"/>
        <v>0</v>
      </c>
    </row>
    <row r="19" spans="1:41" s="16" customFormat="1">
      <c r="A19" s="905" t="s">
        <v>1021</v>
      </c>
      <c r="B19" s="40">
        <f>+'SUMM BY CLUSTER- CONAP'!B96</f>
        <v>0</v>
      </c>
      <c r="C19" s="40">
        <f>+'SUMM BY CLUSTER- CONAP'!C96</f>
        <v>0</v>
      </c>
      <c r="D19" s="40">
        <f>+'SUMM BY CLUSTER- CONAP'!D96</f>
        <v>0</v>
      </c>
      <c r="E19" s="40">
        <f t="shared" si="3"/>
        <v>0</v>
      </c>
      <c r="F19" s="40">
        <f>+'SUMM BY CLUSTER- CONAP'!F96</f>
        <v>0</v>
      </c>
      <c r="G19" s="40">
        <f>+'SUMM BY CLUSTER- CONAP'!G96</f>
        <v>0</v>
      </c>
      <c r="H19" s="40">
        <f>+'SUMM BY CLUSTER- CONAP'!H96</f>
        <v>0</v>
      </c>
      <c r="I19" s="40">
        <f t="shared" si="4"/>
        <v>0</v>
      </c>
      <c r="J19" s="40">
        <f>+'SUMM BY CLUSTER- CONAP'!J96</f>
        <v>0</v>
      </c>
      <c r="K19" s="40">
        <f>+'SUMM BY CLUSTER- CONAP'!K96</f>
        <v>141452.59</v>
      </c>
      <c r="L19" s="40">
        <f>+'SUMM BY CLUSTER- CONAP'!L96</f>
        <v>0</v>
      </c>
      <c r="M19" s="40">
        <f t="shared" si="5"/>
        <v>141452.59</v>
      </c>
      <c r="N19" s="40">
        <f>+'SUMM BY CLUSTER- CONAP'!N96</f>
        <v>0</v>
      </c>
      <c r="O19" s="40">
        <f>+'SUMM BY CLUSTER- CONAP'!O96</f>
        <v>141452.59</v>
      </c>
      <c r="P19" s="40">
        <f>+'SUMM BY CLUSTER- CONAP'!P96</f>
        <v>0</v>
      </c>
      <c r="Q19" s="40">
        <f t="shared" si="6"/>
        <v>141452.59</v>
      </c>
      <c r="R19" s="40">
        <f t="shared" si="15"/>
        <v>0</v>
      </c>
      <c r="S19" s="40">
        <f t="shared" si="15"/>
        <v>141452.59</v>
      </c>
      <c r="T19" s="40">
        <f t="shared" si="15"/>
        <v>0</v>
      </c>
      <c r="U19" s="40">
        <f t="shared" si="8"/>
        <v>141452.59</v>
      </c>
      <c r="V19" s="40">
        <f>+'SUMM BY CLUSTER- CONAP'!V96</f>
        <v>0</v>
      </c>
      <c r="W19" s="40">
        <f>+'SUMM BY CLUSTER- CONAP'!W96</f>
        <v>0</v>
      </c>
      <c r="X19" s="40">
        <f>+'SUMM BY CLUSTER- CONAP'!X96</f>
        <v>0</v>
      </c>
      <c r="Y19" s="40">
        <f t="shared" si="9"/>
        <v>0</v>
      </c>
      <c r="Z19" s="40">
        <f>+'SUMM BY CLUSTER- CONAP'!Z96</f>
        <v>0</v>
      </c>
      <c r="AA19" s="40">
        <f>+'SUMM BY CLUSTER- CONAP'!AA96</f>
        <v>140946.68</v>
      </c>
      <c r="AB19" s="40">
        <f>+'SUMM BY CLUSTER- CONAP'!AB96</f>
        <v>0</v>
      </c>
      <c r="AC19" s="40">
        <f t="shared" si="10"/>
        <v>140946.68</v>
      </c>
      <c r="AD19" s="40">
        <f t="shared" si="16"/>
        <v>0</v>
      </c>
      <c r="AE19" s="40">
        <f t="shared" si="16"/>
        <v>140946.68</v>
      </c>
      <c r="AF19" s="40">
        <f t="shared" si="16"/>
        <v>0</v>
      </c>
      <c r="AG19" s="40">
        <f t="shared" si="12"/>
        <v>140946.68</v>
      </c>
      <c r="AH19" s="40">
        <f t="shared" si="13"/>
        <v>0</v>
      </c>
      <c r="AI19" s="40">
        <f t="shared" si="13"/>
        <v>505.91000000000349</v>
      </c>
      <c r="AJ19" s="40">
        <f t="shared" si="13"/>
        <v>0</v>
      </c>
      <c r="AK19" s="40">
        <f t="shared" si="14"/>
        <v>505.91000000000349</v>
      </c>
      <c r="AL19" s="600"/>
      <c r="AM19" s="600">
        <f t="shared" si="1"/>
        <v>0.99642346598248921</v>
      </c>
      <c r="AN19" s="600" t="str">
        <f t="shared" si="2"/>
        <v xml:space="preserve"> </v>
      </c>
      <c r="AO19" s="600">
        <f t="shared" si="2"/>
        <v>0.99642346598248921</v>
      </c>
    </row>
    <row r="20" spans="1:41" s="16" customFormat="1">
      <c r="A20" s="905" t="s">
        <v>1022</v>
      </c>
      <c r="B20" s="40">
        <f>+'SUMM BY CLUSTER- CONAP'!B97</f>
        <v>0</v>
      </c>
      <c r="C20" s="40">
        <f>+'SUMM BY CLUSTER- CONAP'!C97</f>
        <v>723709.8200000003</v>
      </c>
      <c r="D20" s="40">
        <f>+'SUMM BY CLUSTER- CONAP'!D97</f>
        <v>0</v>
      </c>
      <c r="E20" s="40">
        <f t="shared" si="3"/>
        <v>723709.8200000003</v>
      </c>
      <c r="F20" s="40">
        <f>+'SUMM BY CLUSTER- CONAP'!F97</f>
        <v>0</v>
      </c>
      <c r="G20" s="40">
        <f>+'SUMM BY CLUSTER- CONAP'!G97</f>
        <v>-223610.37</v>
      </c>
      <c r="H20" s="40">
        <f>+'SUMM BY CLUSTER- CONAP'!H97</f>
        <v>0</v>
      </c>
      <c r="I20" s="40">
        <f t="shared" si="4"/>
        <v>-223610.37</v>
      </c>
      <c r="J20" s="40">
        <f>+'SUMM BY CLUSTER- CONAP'!J97</f>
        <v>0</v>
      </c>
      <c r="K20" s="40">
        <f>+'SUMM BY CLUSTER- CONAP'!K97</f>
        <v>759266.15</v>
      </c>
      <c r="L20" s="40">
        <f>+'SUMM BY CLUSTER- CONAP'!L97</f>
        <v>0</v>
      </c>
      <c r="M20" s="40">
        <f t="shared" si="5"/>
        <v>759266.15</v>
      </c>
      <c r="N20" s="40">
        <f>+'SUMM BY CLUSTER- CONAP'!N97</f>
        <v>0</v>
      </c>
      <c r="O20" s="40">
        <f>+'SUMM BY CLUSTER- CONAP'!O97</f>
        <v>535655.78</v>
      </c>
      <c r="P20" s="40">
        <f>+'SUMM BY CLUSTER- CONAP'!P97</f>
        <v>0</v>
      </c>
      <c r="Q20" s="40">
        <f t="shared" si="6"/>
        <v>535655.78</v>
      </c>
      <c r="R20" s="40">
        <f t="shared" si="15"/>
        <v>0</v>
      </c>
      <c r="S20" s="40">
        <f t="shared" si="15"/>
        <v>1259365.6000000003</v>
      </c>
      <c r="T20" s="40">
        <f t="shared" si="15"/>
        <v>0</v>
      </c>
      <c r="U20" s="40">
        <f t="shared" si="8"/>
        <v>1259365.6000000003</v>
      </c>
      <c r="V20" s="40">
        <f>+'SUMM BY CLUSTER- CONAP'!V97</f>
        <v>0</v>
      </c>
      <c r="W20" s="40">
        <f>+'SUMM BY CLUSTER- CONAP'!W97</f>
        <v>723562.88000000012</v>
      </c>
      <c r="X20" s="40">
        <f>+'SUMM BY CLUSTER- CONAP'!X97</f>
        <v>0</v>
      </c>
      <c r="Y20" s="40">
        <f t="shared" si="9"/>
        <v>723562.88000000012</v>
      </c>
      <c r="Z20" s="40">
        <f>+'SUMM BY CLUSTER- CONAP'!Z97</f>
        <v>0</v>
      </c>
      <c r="AA20" s="40">
        <f>+'SUMM BY CLUSTER- CONAP'!AA97</f>
        <v>535454</v>
      </c>
      <c r="AB20" s="40">
        <f>+'SUMM BY CLUSTER- CONAP'!AB97</f>
        <v>0</v>
      </c>
      <c r="AC20" s="40">
        <f t="shared" si="10"/>
        <v>535454</v>
      </c>
      <c r="AD20" s="40">
        <f t="shared" si="16"/>
        <v>0</v>
      </c>
      <c r="AE20" s="40">
        <f t="shared" si="16"/>
        <v>1259016.8800000001</v>
      </c>
      <c r="AF20" s="40">
        <f t="shared" si="16"/>
        <v>0</v>
      </c>
      <c r="AG20" s="40">
        <f t="shared" si="12"/>
        <v>1259016.8800000001</v>
      </c>
      <c r="AH20" s="40">
        <f t="shared" si="13"/>
        <v>0</v>
      </c>
      <c r="AI20" s="40">
        <f t="shared" si="13"/>
        <v>348.72000000020489</v>
      </c>
      <c r="AJ20" s="40">
        <f t="shared" si="13"/>
        <v>0</v>
      </c>
      <c r="AK20" s="40">
        <f t="shared" si="14"/>
        <v>348.72000000020489</v>
      </c>
      <c r="AL20" s="600"/>
      <c r="AM20" s="600">
        <f t="shared" si="1"/>
        <v>0.99972309867761977</v>
      </c>
      <c r="AN20" s="600" t="str">
        <f t="shared" si="2"/>
        <v xml:space="preserve"> </v>
      </c>
      <c r="AO20" s="600">
        <f t="shared" si="2"/>
        <v>0.99972309867761977</v>
      </c>
    </row>
    <row r="21" spans="1:41" s="16" customFormat="1">
      <c r="A21" s="905" t="s">
        <v>1023</v>
      </c>
      <c r="B21" s="40">
        <f>+'SUMM BY CLUSTER- CONAP'!B98</f>
        <v>0</v>
      </c>
      <c r="C21" s="40">
        <f>+'SUMM BY CLUSTER- CONAP'!C98</f>
        <v>118.73</v>
      </c>
      <c r="D21" s="40">
        <f>+'SUMM BY CLUSTER- CONAP'!D98</f>
        <v>0</v>
      </c>
      <c r="E21" s="40">
        <f t="shared" si="3"/>
        <v>118.73</v>
      </c>
      <c r="F21" s="40">
        <f>+'SUMM BY CLUSTER- CONAP'!F98</f>
        <v>0</v>
      </c>
      <c r="G21" s="40">
        <f>+'SUMM BY CLUSTER- CONAP'!G98</f>
        <v>0</v>
      </c>
      <c r="H21" s="40">
        <f>+'SUMM BY CLUSTER- CONAP'!H98</f>
        <v>0</v>
      </c>
      <c r="I21" s="40">
        <f t="shared" si="4"/>
        <v>0</v>
      </c>
      <c r="J21" s="40">
        <f>+'SUMM BY CLUSTER- CONAP'!J98</f>
        <v>0</v>
      </c>
      <c r="K21" s="40">
        <f>+'SUMM BY CLUSTER- CONAP'!K98</f>
        <v>890</v>
      </c>
      <c r="L21" s="40">
        <f>+'SUMM BY CLUSTER- CONAP'!L98</f>
        <v>0</v>
      </c>
      <c r="M21" s="40">
        <f t="shared" si="5"/>
        <v>890</v>
      </c>
      <c r="N21" s="40">
        <f>+'SUMM BY CLUSTER- CONAP'!N98</f>
        <v>0</v>
      </c>
      <c r="O21" s="40">
        <f>+'SUMM BY CLUSTER- CONAP'!O98</f>
        <v>890</v>
      </c>
      <c r="P21" s="40">
        <f>+'SUMM BY CLUSTER- CONAP'!P98</f>
        <v>0</v>
      </c>
      <c r="Q21" s="40">
        <f t="shared" si="6"/>
        <v>890</v>
      </c>
      <c r="R21" s="40">
        <f t="shared" si="15"/>
        <v>0</v>
      </c>
      <c r="S21" s="40">
        <f t="shared" si="15"/>
        <v>1008.73</v>
      </c>
      <c r="T21" s="40">
        <f t="shared" si="15"/>
        <v>0</v>
      </c>
      <c r="U21" s="40">
        <f t="shared" si="8"/>
        <v>1008.73</v>
      </c>
      <c r="V21" s="40">
        <f>+'SUMM BY CLUSTER- CONAP'!V98</f>
        <v>0</v>
      </c>
      <c r="W21" s="40">
        <f>+'SUMM BY CLUSTER- CONAP'!W98</f>
        <v>0</v>
      </c>
      <c r="X21" s="40">
        <f>+'SUMM BY CLUSTER- CONAP'!X98</f>
        <v>0</v>
      </c>
      <c r="Y21" s="40">
        <f t="shared" si="9"/>
        <v>0</v>
      </c>
      <c r="Z21" s="40">
        <f>+'SUMM BY CLUSTER- CONAP'!Z98</f>
        <v>0</v>
      </c>
      <c r="AA21" s="40">
        <f>+'SUMM BY CLUSTER- CONAP'!AA98</f>
        <v>0</v>
      </c>
      <c r="AB21" s="40">
        <f>+'SUMM BY CLUSTER- CONAP'!AB98</f>
        <v>0</v>
      </c>
      <c r="AC21" s="40">
        <f t="shared" si="10"/>
        <v>0</v>
      </c>
      <c r="AD21" s="40">
        <f t="shared" si="16"/>
        <v>0</v>
      </c>
      <c r="AE21" s="40">
        <f t="shared" si="16"/>
        <v>0</v>
      </c>
      <c r="AF21" s="40">
        <f t="shared" si="16"/>
        <v>0</v>
      </c>
      <c r="AG21" s="40">
        <f t="shared" si="12"/>
        <v>0</v>
      </c>
      <c r="AH21" s="40">
        <f t="shared" si="13"/>
        <v>0</v>
      </c>
      <c r="AI21" s="40">
        <f t="shared" si="13"/>
        <v>1008.73</v>
      </c>
      <c r="AJ21" s="40">
        <f t="shared" si="13"/>
        <v>0</v>
      </c>
      <c r="AK21" s="40">
        <f t="shared" si="14"/>
        <v>1008.73</v>
      </c>
      <c r="AL21" s="600"/>
      <c r="AM21" s="600">
        <f t="shared" si="1"/>
        <v>0</v>
      </c>
      <c r="AN21" s="600" t="str">
        <f t="shared" si="2"/>
        <v xml:space="preserve"> </v>
      </c>
      <c r="AO21" s="600">
        <f t="shared" si="2"/>
        <v>0</v>
      </c>
    </row>
    <row r="22" spans="1:41" s="16" customFormat="1">
      <c r="A22" s="905" t="s">
        <v>1024</v>
      </c>
      <c r="B22" s="40">
        <f>+'SUMM BY CLUSTER- CONAP'!B99</f>
        <v>0</v>
      </c>
      <c r="C22" s="40">
        <f>+'SUMM BY CLUSTER- CONAP'!C99</f>
        <v>2059.36</v>
      </c>
      <c r="D22" s="40">
        <f>+'SUMM BY CLUSTER- CONAP'!D99</f>
        <v>0</v>
      </c>
      <c r="E22" s="40">
        <f t="shared" si="3"/>
        <v>2059.36</v>
      </c>
      <c r="F22" s="40">
        <f>+'SUMM BY CLUSTER- CONAP'!F99</f>
        <v>0</v>
      </c>
      <c r="G22" s="40">
        <f>+'SUMM BY CLUSTER- CONAP'!G99</f>
        <v>-12925</v>
      </c>
      <c r="H22" s="40">
        <f>+'SUMM BY CLUSTER- CONAP'!H99</f>
        <v>0</v>
      </c>
      <c r="I22" s="40">
        <f t="shared" si="4"/>
        <v>-12925</v>
      </c>
      <c r="J22" s="40">
        <f>+'SUMM BY CLUSTER- CONAP'!J99</f>
        <v>0</v>
      </c>
      <c r="K22" s="40">
        <f>+'SUMM BY CLUSTER- CONAP'!K99</f>
        <v>191155.22</v>
      </c>
      <c r="L22" s="40">
        <f>+'SUMM BY CLUSTER- CONAP'!L99</f>
        <v>0</v>
      </c>
      <c r="M22" s="40">
        <f t="shared" si="5"/>
        <v>191155.22</v>
      </c>
      <c r="N22" s="40">
        <f>+'SUMM BY CLUSTER- CONAP'!N99</f>
        <v>0</v>
      </c>
      <c r="O22" s="40">
        <f>+'SUMM BY CLUSTER- CONAP'!O99</f>
        <v>178230.22</v>
      </c>
      <c r="P22" s="40">
        <f>+'SUMM BY CLUSTER- CONAP'!P99</f>
        <v>0</v>
      </c>
      <c r="Q22" s="40">
        <f t="shared" si="6"/>
        <v>178230.22</v>
      </c>
      <c r="R22" s="40">
        <f t="shared" si="15"/>
        <v>0</v>
      </c>
      <c r="S22" s="40">
        <f t="shared" si="15"/>
        <v>180289.58</v>
      </c>
      <c r="T22" s="40">
        <f t="shared" si="15"/>
        <v>0</v>
      </c>
      <c r="U22" s="40">
        <f t="shared" si="8"/>
        <v>180289.58</v>
      </c>
      <c r="V22" s="40">
        <f>+'SUMM BY CLUSTER- CONAP'!V99</f>
        <v>0</v>
      </c>
      <c r="W22" s="40">
        <f>+'SUMM BY CLUSTER- CONAP'!W99</f>
        <v>1943.88</v>
      </c>
      <c r="X22" s="40">
        <f>+'SUMM BY CLUSTER- CONAP'!X99</f>
        <v>0</v>
      </c>
      <c r="Y22" s="40">
        <f t="shared" si="9"/>
        <v>1943.88</v>
      </c>
      <c r="Z22" s="40">
        <f>+'SUMM BY CLUSTER- CONAP'!Z99</f>
        <v>0</v>
      </c>
      <c r="AA22" s="40">
        <f>+'SUMM BY CLUSTER- CONAP'!AA99</f>
        <v>178230.22</v>
      </c>
      <c r="AB22" s="40">
        <f>+'SUMM BY CLUSTER- CONAP'!AB99</f>
        <v>0</v>
      </c>
      <c r="AC22" s="40">
        <f t="shared" si="10"/>
        <v>178230.22</v>
      </c>
      <c r="AD22" s="40">
        <f t="shared" si="16"/>
        <v>0</v>
      </c>
      <c r="AE22" s="40">
        <f t="shared" si="16"/>
        <v>180174.1</v>
      </c>
      <c r="AF22" s="40">
        <f t="shared" si="16"/>
        <v>0</v>
      </c>
      <c r="AG22" s="40">
        <f t="shared" si="12"/>
        <v>180174.1</v>
      </c>
      <c r="AH22" s="40">
        <f t="shared" si="13"/>
        <v>0</v>
      </c>
      <c r="AI22" s="40">
        <f t="shared" si="13"/>
        <v>115.47999999998137</v>
      </c>
      <c r="AJ22" s="40">
        <f t="shared" si="13"/>
        <v>0</v>
      </c>
      <c r="AK22" s="40">
        <f t="shared" si="14"/>
        <v>115.47999999998137</v>
      </c>
      <c r="AL22" s="600"/>
      <c r="AM22" s="600">
        <f t="shared" si="1"/>
        <v>0.99935947490698029</v>
      </c>
      <c r="AN22" s="600" t="str">
        <f t="shared" si="2"/>
        <v xml:space="preserve"> </v>
      </c>
      <c r="AO22" s="600">
        <f t="shared" si="2"/>
        <v>0.99935947490698029</v>
      </c>
    </row>
    <row r="23" spans="1:41" s="16" customFormat="1">
      <c r="A23" s="596"/>
      <c r="B23" s="40"/>
      <c r="C23" s="40"/>
      <c r="D23" s="40"/>
      <c r="E23" s="579">
        <f t="shared" si="3"/>
        <v>0</v>
      </c>
      <c r="F23" s="40"/>
      <c r="G23" s="40"/>
      <c r="H23" s="40"/>
      <c r="I23" s="579">
        <f t="shared" si="4"/>
        <v>0</v>
      </c>
      <c r="J23" s="40"/>
      <c r="K23" s="40"/>
      <c r="L23" s="40"/>
      <c r="M23" s="579">
        <f t="shared" si="5"/>
        <v>0</v>
      </c>
      <c r="N23" s="40"/>
      <c r="O23" s="40"/>
      <c r="P23" s="40"/>
      <c r="Q23" s="579">
        <f t="shared" si="6"/>
        <v>0</v>
      </c>
      <c r="R23" s="40">
        <f t="shared" si="15"/>
        <v>0</v>
      </c>
      <c r="S23" s="40">
        <f t="shared" si="15"/>
        <v>0</v>
      </c>
      <c r="T23" s="40">
        <f t="shared" si="15"/>
        <v>0</v>
      </c>
      <c r="U23" s="579">
        <f t="shared" si="8"/>
        <v>0</v>
      </c>
      <c r="V23" s="40"/>
      <c r="W23" s="40"/>
      <c r="X23" s="40"/>
      <c r="Y23" s="579">
        <f t="shared" si="9"/>
        <v>0</v>
      </c>
      <c r="Z23" s="40"/>
      <c r="AA23" s="40"/>
      <c r="AB23" s="40"/>
      <c r="AC23" s="579">
        <f t="shared" si="10"/>
        <v>0</v>
      </c>
      <c r="AD23" s="40">
        <f t="shared" si="16"/>
        <v>0</v>
      </c>
      <c r="AE23" s="40">
        <f t="shared" si="16"/>
        <v>0</v>
      </c>
      <c r="AF23" s="40">
        <f t="shared" si="16"/>
        <v>0</v>
      </c>
      <c r="AG23" s="579">
        <f t="shared" si="12"/>
        <v>0</v>
      </c>
      <c r="AH23" s="579">
        <f t="shared" si="13"/>
        <v>0</v>
      </c>
      <c r="AI23" s="40">
        <f t="shared" si="13"/>
        <v>0</v>
      </c>
      <c r="AJ23" s="40">
        <f t="shared" si="13"/>
        <v>0</v>
      </c>
      <c r="AK23" s="579">
        <f t="shared" si="14"/>
        <v>0</v>
      </c>
      <c r="AL23" s="600"/>
      <c r="AM23" s="600" t="str">
        <f t="shared" si="1"/>
        <v xml:space="preserve"> </v>
      </c>
      <c r="AN23" s="600" t="str">
        <f t="shared" si="2"/>
        <v xml:space="preserve"> </v>
      </c>
      <c r="AO23" s="600" t="str">
        <f t="shared" si="2"/>
        <v xml:space="preserve"> </v>
      </c>
    </row>
    <row r="24" spans="1:41" s="903" customFormat="1" ht="16.5">
      <c r="A24" s="901" t="s">
        <v>1025</v>
      </c>
      <c r="B24" s="912">
        <f>+'CONAP-FUR (REG)-Detail'!C238+'CONAP-FUR (REG)-Detail'!C154</f>
        <v>0</v>
      </c>
      <c r="C24" s="912">
        <f>+'CONAP-FUR (REG)-Detail'!D238+'CONAP-FUR (REG)-Detail'!D154</f>
        <v>556785.28</v>
      </c>
      <c r="D24" s="912">
        <f>+'CONAP-FUR (REG)-Detail'!E238+'CONAP-FUR (REG)-Detail'!E154</f>
        <v>0</v>
      </c>
      <c r="E24" s="912">
        <f t="shared" ref="E24:AK24" si="18">SUM(E25:E27)</f>
        <v>556785.28</v>
      </c>
      <c r="F24" s="912">
        <f>+'CONAP-FUR (REG)-Detail'!G238+'CONAP-FUR (REG)-Detail'!G154</f>
        <v>0</v>
      </c>
      <c r="G24" s="912">
        <f>+'CONAP-FUR (REG)-Detail'!H238+'CONAP-FUR (REG)-Detail'!H154</f>
        <v>3000000</v>
      </c>
      <c r="H24" s="912">
        <f>+'CONAP-FUR (REG)-Detail'!I238+'CONAP-FUR (REG)-Detail'!I154</f>
        <v>40364000</v>
      </c>
      <c r="I24" s="912">
        <f t="shared" si="18"/>
        <v>43364000</v>
      </c>
      <c r="J24" s="912">
        <f>+'CONAP-FUR (REG)-Detail'!K238+'CONAP-FUR (REG)-Detail'!K154</f>
        <v>0</v>
      </c>
      <c r="K24" s="912">
        <f>+'CONAP-FUR (REG)-Detail'!L238+'CONAP-FUR (REG)-Detail'!L154</f>
        <v>39279044.130000003</v>
      </c>
      <c r="L24" s="912">
        <f>+'CONAP-FUR (REG)-Detail'!M238+'CONAP-FUR (REG)-Detail'!M154</f>
        <v>16269341.17</v>
      </c>
      <c r="M24" s="912">
        <f t="shared" si="18"/>
        <v>55548385.300000004</v>
      </c>
      <c r="N24" s="912">
        <f>+'CONAP-FUR (REG)-Detail'!O238+'CONAP-FUR (REG)-Detail'!O154</f>
        <v>0</v>
      </c>
      <c r="O24" s="912">
        <f>+'CONAP-FUR (REG)-Detail'!P238+'CONAP-FUR (REG)-Detail'!P154</f>
        <v>42279044.130000003</v>
      </c>
      <c r="P24" s="912">
        <f>+'CONAP-FUR (REG)-Detail'!Q238+'CONAP-FUR (REG)-Detail'!Q154</f>
        <v>56633341.170000002</v>
      </c>
      <c r="Q24" s="912">
        <f t="shared" si="18"/>
        <v>98912385.300000012</v>
      </c>
      <c r="R24" s="912">
        <f t="shared" si="18"/>
        <v>0</v>
      </c>
      <c r="S24" s="912">
        <f t="shared" si="18"/>
        <v>42835829.410000004</v>
      </c>
      <c r="T24" s="912">
        <f t="shared" si="18"/>
        <v>56633341.170000002</v>
      </c>
      <c r="U24" s="912">
        <f t="shared" si="18"/>
        <v>99469170.580000013</v>
      </c>
      <c r="V24" s="912">
        <f>+'CONAP-FUR (REG)-Detail'!W238+'CONAP-FUR (REG)-Detail'!W154</f>
        <v>0</v>
      </c>
      <c r="W24" s="912">
        <f>+'CONAP-FUR (REG)-Detail'!X238+'CONAP-FUR (REG)-Detail'!X154</f>
        <v>555797.43999999994</v>
      </c>
      <c r="X24" s="912">
        <f>+'CONAP-FUR (REG)-Detail'!Y238+'CONAP-FUR (REG)-Detail'!Y154</f>
        <v>0</v>
      </c>
      <c r="Y24" s="912">
        <f t="shared" si="18"/>
        <v>555797.43999999994</v>
      </c>
      <c r="Z24" s="912">
        <f>+'CONAP-FUR (REG)-Detail'!AA238+'CONAP-FUR (REG)-Detail'!AA154</f>
        <v>0</v>
      </c>
      <c r="AA24" s="912">
        <f>+'CONAP-FUR (REG)-Detail'!AB238+'CONAP-FUR (REG)-Detail'!AB154</f>
        <v>16464401.840000004</v>
      </c>
      <c r="AB24" s="912">
        <f>+'CONAP-FUR (REG)-Detail'!AC238+'CONAP-FUR (REG)-Detail'!AC154</f>
        <v>7548272.8499999996</v>
      </c>
      <c r="AC24" s="912">
        <f t="shared" si="18"/>
        <v>24012674.690000005</v>
      </c>
      <c r="AD24" s="912">
        <f t="shared" si="18"/>
        <v>0</v>
      </c>
      <c r="AE24" s="912">
        <f t="shared" si="18"/>
        <v>17020199.280000005</v>
      </c>
      <c r="AF24" s="912">
        <f t="shared" si="18"/>
        <v>7548272.8499999996</v>
      </c>
      <c r="AG24" s="912">
        <f t="shared" si="18"/>
        <v>24568472.130000003</v>
      </c>
      <c r="AH24" s="912">
        <f t="shared" si="18"/>
        <v>0</v>
      </c>
      <c r="AI24" s="912">
        <f t="shared" si="18"/>
        <v>25815630.129999999</v>
      </c>
      <c r="AJ24" s="912">
        <f t="shared" si="18"/>
        <v>49085068.32</v>
      </c>
      <c r="AK24" s="912">
        <f t="shared" si="18"/>
        <v>74900698.450000003</v>
      </c>
      <c r="AL24" s="601" t="str">
        <f t="shared" si="1"/>
        <v xml:space="preserve"> </v>
      </c>
      <c r="AM24" s="601">
        <f t="shared" si="1"/>
        <v>0.39733558365573862</v>
      </c>
      <c r="AN24" s="601">
        <f t="shared" si="2"/>
        <v>0.13328319844915834</v>
      </c>
      <c r="AO24" s="601">
        <f t="shared" si="2"/>
        <v>0.24699584792697485</v>
      </c>
    </row>
    <row r="25" spans="1:41" s="16" customFormat="1">
      <c r="A25" s="905" t="s">
        <v>1092</v>
      </c>
      <c r="B25" s="40">
        <f>+'SUMM BY CLUSTER- CONAP'!B102</f>
        <v>0</v>
      </c>
      <c r="C25" s="40">
        <f>+'SUMM BY CLUSTER- CONAP'!C102</f>
        <v>556785.28</v>
      </c>
      <c r="D25" s="40">
        <f>+'SUMM BY CLUSTER- CONAP'!D102</f>
        <v>0</v>
      </c>
      <c r="E25" s="40">
        <f t="shared" si="3"/>
        <v>556785.28</v>
      </c>
      <c r="F25" s="40">
        <f>+'SUMM BY CLUSTER- CONAP'!F102</f>
        <v>0</v>
      </c>
      <c r="G25" s="40">
        <f>+'SUMM BY CLUSTER- CONAP'!G102</f>
        <v>3000000</v>
      </c>
      <c r="H25" s="40">
        <f>+'SUMM BY CLUSTER- CONAP'!H102</f>
        <v>40364000</v>
      </c>
      <c r="I25" s="40">
        <f t="shared" si="4"/>
        <v>43364000</v>
      </c>
      <c r="J25" s="40">
        <f>+'SUMM BY CLUSTER- CONAP'!J102</f>
        <v>0</v>
      </c>
      <c r="K25" s="40">
        <f>+'SUMM BY CLUSTER- CONAP'!K102</f>
        <v>39279044.130000003</v>
      </c>
      <c r="L25" s="40">
        <f>+'SUMM BY CLUSTER- CONAP'!L102</f>
        <v>16269341.17</v>
      </c>
      <c r="M25" s="40">
        <f t="shared" si="5"/>
        <v>55548385.300000004</v>
      </c>
      <c r="N25" s="40">
        <f>+'SUMM BY CLUSTER- CONAP'!N102</f>
        <v>0</v>
      </c>
      <c r="O25" s="40">
        <f>+'SUMM BY CLUSTER- CONAP'!O102</f>
        <v>42279044.130000003</v>
      </c>
      <c r="P25" s="40">
        <f>+'SUMM BY CLUSTER- CONAP'!P102</f>
        <v>56633341.170000002</v>
      </c>
      <c r="Q25" s="40">
        <f t="shared" si="6"/>
        <v>98912385.300000012</v>
      </c>
      <c r="R25" s="40">
        <f t="shared" si="15"/>
        <v>0</v>
      </c>
      <c r="S25" s="40">
        <f t="shared" si="15"/>
        <v>42835829.410000004</v>
      </c>
      <c r="T25" s="40">
        <f t="shared" si="15"/>
        <v>56633341.170000002</v>
      </c>
      <c r="U25" s="40">
        <f t="shared" si="8"/>
        <v>99469170.580000013</v>
      </c>
      <c r="V25" s="40">
        <f>+'SUMM BY CLUSTER- CONAP'!V102</f>
        <v>0</v>
      </c>
      <c r="W25" s="40">
        <f>+'SUMM BY CLUSTER- CONAP'!W102</f>
        <v>555797.43999999994</v>
      </c>
      <c r="X25" s="40">
        <f>+'SUMM BY CLUSTER- CONAP'!X102</f>
        <v>0</v>
      </c>
      <c r="Y25" s="40">
        <f t="shared" si="9"/>
        <v>555797.43999999994</v>
      </c>
      <c r="Z25" s="40">
        <f>+'SUMM BY CLUSTER- CONAP'!Z102</f>
        <v>0</v>
      </c>
      <c r="AA25" s="40">
        <f>+'SUMM BY CLUSTER- CONAP'!AA102</f>
        <v>16464401.840000004</v>
      </c>
      <c r="AB25" s="40">
        <f>+'SUMM BY CLUSTER- CONAP'!AB102</f>
        <v>7548272.8499999996</v>
      </c>
      <c r="AC25" s="40">
        <f t="shared" si="10"/>
        <v>24012674.690000005</v>
      </c>
      <c r="AD25" s="40">
        <f t="shared" si="16"/>
        <v>0</v>
      </c>
      <c r="AE25" s="40">
        <f t="shared" si="16"/>
        <v>17020199.280000005</v>
      </c>
      <c r="AF25" s="40">
        <f t="shared" si="16"/>
        <v>7548272.8499999996</v>
      </c>
      <c r="AG25" s="40">
        <f t="shared" si="12"/>
        <v>24568472.130000003</v>
      </c>
      <c r="AH25" s="40">
        <f t="shared" si="13"/>
        <v>0</v>
      </c>
      <c r="AI25" s="40">
        <f t="shared" si="13"/>
        <v>25815630.129999999</v>
      </c>
      <c r="AJ25" s="40">
        <f t="shared" si="13"/>
        <v>49085068.32</v>
      </c>
      <c r="AK25" s="40">
        <f t="shared" si="14"/>
        <v>74900698.450000003</v>
      </c>
      <c r="AL25" s="600"/>
      <c r="AM25" s="600">
        <f t="shared" si="1"/>
        <v>0.39733558365573862</v>
      </c>
      <c r="AN25" s="600">
        <f t="shared" si="2"/>
        <v>0.13328319844915834</v>
      </c>
      <c r="AO25" s="600">
        <f t="shared" si="2"/>
        <v>0.24699584792697485</v>
      </c>
    </row>
    <row r="26" spans="1:41" s="16" customFormat="1">
      <c r="A26" s="905" t="s">
        <v>1027</v>
      </c>
      <c r="B26" s="40">
        <f>+'SUMM BY CLUSTER- CONAP'!B103</f>
        <v>0</v>
      </c>
      <c r="C26" s="40">
        <f>+'SUMM BY CLUSTER- CONAP'!C103</f>
        <v>0</v>
      </c>
      <c r="D26" s="40">
        <f>+'SUMM BY CLUSTER- CONAP'!D103</f>
        <v>0</v>
      </c>
      <c r="E26" s="40">
        <f t="shared" si="3"/>
        <v>0</v>
      </c>
      <c r="F26" s="40">
        <f>+'SUMM BY CLUSTER- CONAP'!F103</f>
        <v>0</v>
      </c>
      <c r="G26" s="40">
        <f>+'SUMM BY CLUSTER- CONAP'!G103</f>
        <v>0</v>
      </c>
      <c r="H26" s="40">
        <f>+'SUMM BY CLUSTER- CONAP'!H103</f>
        <v>0</v>
      </c>
      <c r="I26" s="40">
        <f t="shared" si="4"/>
        <v>0</v>
      </c>
      <c r="J26" s="40">
        <f>+'SUMM BY CLUSTER- CONAP'!J103</f>
        <v>0</v>
      </c>
      <c r="K26" s="40">
        <f>+'SUMM BY CLUSTER- CONAP'!K103</f>
        <v>0</v>
      </c>
      <c r="L26" s="40">
        <f>+'SUMM BY CLUSTER- CONAP'!L103</f>
        <v>0</v>
      </c>
      <c r="M26" s="40">
        <f t="shared" si="5"/>
        <v>0</v>
      </c>
      <c r="N26" s="40">
        <f>+'SUMM BY CLUSTER- CONAP'!N103</f>
        <v>0</v>
      </c>
      <c r="O26" s="40">
        <f>+'SUMM BY CLUSTER- CONAP'!O103</f>
        <v>0</v>
      </c>
      <c r="P26" s="40">
        <f>+'SUMM BY CLUSTER- CONAP'!P103</f>
        <v>0</v>
      </c>
      <c r="Q26" s="40">
        <f t="shared" si="6"/>
        <v>0</v>
      </c>
      <c r="R26" s="40">
        <f t="shared" si="15"/>
        <v>0</v>
      </c>
      <c r="S26" s="40">
        <f t="shared" si="15"/>
        <v>0</v>
      </c>
      <c r="T26" s="40">
        <f t="shared" si="15"/>
        <v>0</v>
      </c>
      <c r="U26" s="40">
        <f t="shared" si="8"/>
        <v>0</v>
      </c>
      <c r="V26" s="40">
        <f>+'SUMM BY CLUSTER- CONAP'!V103</f>
        <v>0</v>
      </c>
      <c r="W26" s="40">
        <f>+'SUMM BY CLUSTER- CONAP'!W103</f>
        <v>0</v>
      </c>
      <c r="X26" s="40">
        <f>+'SUMM BY CLUSTER- CONAP'!X103</f>
        <v>0</v>
      </c>
      <c r="Y26" s="40">
        <f t="shared" si="9"/>
        <v>0</v>
      </c>
      <c r="Z26" s="40">
        <f>+'SUMM BY CLUSTER- CONAP'!Z103</f>
        <v>0</v>
      </c>
      <c r="AA26" s="40">
        <f>+'SUMM BY CLUSTER- CONAP'!AA103</f>
        <v>0</v>
      </c>
      <c r="AB26" s="40">
        <f>+'SUMM BY CLUSTER- CONAP'!AB103</f>
        <v>0</v>
      </c>
      <c r="AC26" s="40">
        <f t="shared" si="10"/>
        <v>0</v>
      </c>
      <c r="AD26" s="40">
        <f t="shared" si="16"/>
        <v>0</v>
      </c>
      <c r="AE26" s="40">
        <f t="shared" si="16"/>
        <v>0</v>
      </c>
      <c r="AF26" s="40">
        <f t="shared" si="16"/>
        <v>0</v>
      </c>
      <c r="AG26" s="40">
        <f t="shared" si="12"/>
        <v>0</v>
      </c>
      <c r="AH26" s="40">
        <f t="shared" si="13"/>
        <v>0</v>
      </c>
      <c r="AI26" s="40">
        <f t="shared" si="13"/>
        <v>0</v>
      </c>
      <c r="AJ26" s="40">
        <f t="shared" si="13"/>
        <v>0</v>
      </c>
      <c r="AK26" s="40">
        <f t="shared" si="14"/>
        <v>0</v>
      </c>
      <c r="AL26" s="600"/>
      <c r="AM26" s="600" t="str">
        <f t="shared" si="1"/>
        <v xml:space="preserve"> </v>
      </c>
      <c r="AN26" s="600" t="str">
        <f t="shared" si="2"/>
        <v xml:space="preserve"> </v>
      </c>
      <c r="AO26" s="600" t="str">
        <f t="shared" si="2"/>
        <v xml:space="preserve"> </v>
      </c>
    </row>
    <row r="27" spans="1:41" s="16" customFormat="1">
      <c r="A27" s="905" t="s">
        <v>1028</v>
      </c>
      <c r="B27" s="40">
        <f>+'SUMM BY CLUSTER- CONAP'!B104</f>
        <v>0</v>
      </c>
      <c r="C27" s="40">
        <f>+'SUMM BY CLUSTER- CONAP'!C104</f>
        <v>0</v>
      </c>
      <c r="D27" s="40">
        <f>+'SUMM BY CLUSTER- CONAP'!D104</f>
        <v>0</v>
      </c>
      <c r="E27" s="40">
        <f t="shared" si="3"/>
        <v>0</v>
      </c>
      <c r="F27" s="40">
        <f>+'SUMM BY CLUSTER- CONAP'!F104</f>
        <v>0</v>
      </c>
      <c r="G27" s="40">
        <f>+'SUMM BY CLUSTER- CONAP'!G104</f>
        <v>0</v>
      </c>
      <c r="H27" s="40">
        <f>+'SUMM BY CLUSTER- CONAP'!H104</f>
        <v>0</v>
      </c>
      <c r="I27" s="40">
        <f t="shared" si="4"/>
        <v>0</v>
      </c>
      <c r="J27" s="40">
        <f>+'SUMM BY CLUSTER- CONAP'!J104</f>
        <v>0</v>
      </c>
      <c r="K27" s="40">
        <f>+'SUMM BY CLUSTER- CONAP'!K104</f>
        <v>0</v>
      </c>
      <c r="L27" s="40">
        <f>+'SUMM BY CLUSTER- CONAP'!L104</f>
        <v>0</v>
      </c>
      <c r="M27" s="40">
        <f t="shared" si="5"/>
        <v>0</v>
      </c>
      <c r="N27" s="40">
        <f>+'SUMM BY CLUSTER- CONAP'!N104</f>
        <v>0</v>
      </c>
      <c r="O27" s="40">
        <f>+'SUMM BY CLUSTER- CONAP'!O104</f>
        <v>0</v>
      </c>
      <c r="P27" s="40">
        <f>+'SUMM BY CLUSTER- CONAP'!P104</f>
        <v>0</v>
      </c>
      <c r="Q27" s="40">
        <f t="shared" si="6"/>
        <v>0</v>
      </c>
      <c r="R27" s="40">
        <f t="shared" si="15"/>
        <v>0</v>
      </c>
      <c r="S27" s="40">
        <f t="shared" si="15"/>
        <v>0</v>
      </c>
      <c r="T27" s="40">
        <f t="shared" si="15"/>
        <v>0</v>
      </c>
      <c r="U27" s="40">
        <f t="shared" si="8"/>
        <v>0</v>
      </c>
      <c r="V27" s="40">
        <f>+'SUMM BY CLUSTER- CONAP'!V104</f>
        <v>0</v>
      </c>
      <c r="W27" s="40">
        <f>+'SUMM BY CLUSTER- CONAP'!W104</f>
        <v>0</v>
      </c>
      <c r="X27" s="40">
        <f>+'SUMM BY CLUSTER- CONAP'!X104</f>
        <v>0</v>
      </c>
      <c r="Y27" s="40">
        <f t="shared" si="9"/>
        <v>0</v>
      </c>
      <c r="Z27" s="40">
        <f>+'SUMM BY CLUSTER- CONAP'!Z104</f>
        <v>0</v>
      </c>
      <c r="AA27" s="40">
        <f>+'SUMM BY CLUSTER- CONAP'!AA104</f>
        <v>0</v>
      </c>
      <c r="AB27" s="40">
        <f>+'SUMM BY CLUSTER- CONAP'!AB104</f>
        <v>0</v>
      </c>
      <c r="AC27" s="40">
        <f t="shared" si="10"/>
        <v>0</v>
      </c>
      <c r="AD27" s="40">
        <f t="shared" si="16"/>
        <v>0</v>
      </c>
      <c r="AE27" s="40">
        <f t="shared" si="16"/>
        <v>0</v>
      </c>
      <c r="AF27" s="40">
        <f t="shared" si="16"/>
        <v>0</v>
      </c>
      <c r="AG27" s="40">
        <f t="shared" si="12"/>
        <v>0</v>
      </c>
      <c r="AH27" s="40">
        <f t="shared" si="13"/>
        <v>0</v>
      </c>
      <c r="AI27" s="40">
        <f t="shared" si="13"/>
        <v>0</v>
      </c>
      <c r="AJ27" s="40">
        <f t="shared" si="13"/>
        <v>0</v>
      </c>
      <c r="AK27" s="40">
        <f t="shared" si="14"/>
        <v>0</v>
      </c>
      <c r="AL27" s="600"/>
      <c r="AM27" s="600" t="str">
        <f t="shared" si="1"/>
        <v xml:space="preserve"> </v>
      </c>
      <c r="AN27" s="600" t="str">
        <f t="shared" si="2"/>
        <v xml:space="preserve"> </v>
      </c>
      <c r="AO27" s="600" t="str">
        <f t="shared" si="2"/>
        <v xml:space="preserve"> </v>
      </c>
    </row>
    <row r="28" spans="1:41" s="932" customFormat="1" ht="16.5">
      <c r="A28" s="927" t="s">
        <v>445</v>
      </c>
      <c r="B28" s="928">
        <f>+B24+B15+B8</f>
        <v>0</v>
      </c>
      <c r="C28" s="928">
        <f t="shared" ref="C28:AK28" si="19">+C24+C15+C8</f>
        <v>26183173.360000014</v>
      </c>
      <c r="D28" s="928">
        <f t="shared" si="19"/>
        <v>100000000</v>
      </c>
      <c r="E28" s="928">
        <f t="shared" si="19"/>
        <v>126183173.36000001</v>
      </c>
      <c r="F28" s="928">
        <f t="shared" si="19"/>
        <v>0</v>
      </c>
      <c r="G28" s="928">
        <f t="shared" si="19"/>
        <v>-9501630.1799999997</v>
      </c>
      <c r="H28" s="928">
        <f t="shared" si="19"/>
        <v>-51783838</v>
      </c>
      <c r="I28" s="928">
        <f t="shared" si="19"/>
        <v>-61285468.18</v>
      </c>
      <c r="J28" s="928">
        <f t="shared" si="19"/>
        <v>0</v>
      </c>
      <c r="K28" s="928">
        <f t="shared" si="19"/>
        <v>154302046.07999998</v>
      </c>
      <c r="L28" s="928">
        <f t="shared" si="19"/>
        <v>131469330.18000001</v>
      </c>
      <c r="M28" s="928">
        <f t="shared" si="19"/>
        <v>285771376.25999999</v>
      </c>
      <c r="N28" s="928">
        <f t="shared" si="19"/>
        <v>0</v>
      </c>
      <c r="O28" s="928">
        <f t="shared" si="19"/>
        <v>144800415.89999998</v>
      </c>
      <c r="P28" s="928">
        <f t="shared" si="19"/>
        <v>79685492.180000007</v>
      </c>
      <c r="Q28" s="928">
        <f t="shared" si="19"/>
        <v>224485908.08000001</v>
      </c>
      <c r="R28" s="928">
        <f t="shared" si="19"/>
        <v>0</v>
      </c>
      <c r="S28" s="928">
        <f t="shared" si="19"/>
        <v>170983589.25999999</v>
      </c>
      <c r="T28" s="928">
        <f t="shared" si="19"/>
        <v>179685492.18000001</v>
      </c>
      <c r="U28" s="928">
        <f t="shared" si="19"/>
        <v>350669081.44000006</v>
      </c>
      <c r="V28" s="928">
        <f t="shared" si="19"/>
        <v>0</v>
      </c>
      <c r="W28" s="928">
        <f t="shared" si="19"/>
        <v>9950825.4600000009</v>
      </c>
      <c r="X28" s="928">
        <f t="shared" si="19"/>
        <v>31356400</v>
      </c>
      <c r="Y28" s="928">
        <f t="shared" si="19"/>
        <v>41307225.460000001</v>
      </c>
      <c r="Z28" s="928">
        <f t="shared" si="19"/>
        <v>0</v>
      </c>
      <c r="AA28" s="928">
        <f t="shared" si="19"/>
        <v>77745553.170000017</v>
      </c>
      <c r="AB28" s="928">
        <f t="shared" si="19"/>
        <v>20604435.850000001</v>
      </c>
      <c r="AC28" s="928">
        <f t="shared" si="19"/>
        <v>98349989.019999996</v>
      </c>
      <c r="AD28" s="928">
        <f t="shared" si="19"/>
        <v>0</v>
      </c>
      <c r="AE28" s="928">
        <f t="shared" si="19"/>
        <v>87696378.63000001</v>
      </c>
      <c r="AF28" s="928">
        <f t="shared" si="19"/>
        <v>51960835.850000001</v>
      </c>
      <c r="AG28" s="928">
        <f t="shared" si="19"/>
        <v>139657214.48000002</v>
      </c>
      <c r="AH28" s="928">
        <f t="shared" si="19"/>
        <v>0</v>
      </c>
      <c r="AI28" s="928">
        <f t="shared" si="19"/>
        <v>83287210.629999995</v>
      </c>
      <c r="AJ28" s="928">
        <f t="shared" si="19"/>
        <v>127724656.33000001</v>
      </c>
      <c r="AK28" s="928">
        <f t="shared" si="19"/>
        <v>211011866.96000001</v>
      </c>
      <c r="AL28" s="930" t="str">
        <f t="shared" ref="AL28:AM28" si="20">IF(R28=0," ",AD28/R28)</f>
        <v xml:space="preserve"> </v>
      </c>
      <c r="AM28" s="930">
        <f t="shared" si="20"/>
        <v>0.51289354147694077</v>
      </c>
      <c r="AN28" s="930">
        <f>IF(T28=0," ",AF28/T28)</f>
        <v>0.28917657858514373</v>
      </c>
      <c r="AO28" s="930">
        <f>IF(U28=0," ",AG28/U28)</f>
        <v>0.39825927597182686</v>
      </c>
    </row>
    <row r="30" spans="1:41" hidden="1">
      <c r="C30" s="30">
        <f>+C28-'SUMM BY CLUSTER- CONAP'!C84</f>
        <v>0</v>
      </c>
      <c r="D30" s="30">
        <f>+D28-'SUMM BY CLUSTER- CONAP'!D84</f>
        <v>0</v>
      </c>
      <c r="E30" s="30">
        <f>+E28-'SUMM BY CLUSTER- CONAP'!E84</f>
        <v>0</v>
      </c>
      <c r="F30" s="30">
        <f>+F28-'SUMM BY CLUSTER- CONAP'!F84</f>
        <v>0</v>
      </c>
      <c r="G30" s="30">
        <f>+G28-'SUMM BY CLUSTER- CONAP'!G84</f>
        <v>0</v>
      </c>
      <c r="H30" s="30">
        <f>+H28-'SUMM BY CLUSTER- CONAP'!H84</f>
        <v>0</v>
      </c>
      <c r="I30" s="30">
        <f>+I28-'SUMM BY CLUSTER- CONAP'!I84</f>
        <v>0</v>
      </c>
      <c r="J30" s="30">
        <f>+J28-'SUMM BY CLUSTER- CONAP'!J84</f>
        <v>0</v>
      </c>
      <c r="K30" s="30">
        <f>+K28-'SUMM BY CLUSTER- CONAP'!K84</f>
        <v>0</v>
      </c>
      <c r="L30" s="30">
        <f>+L28-'SUMM BY CLUSTER- CONAP'!L84</f>
        <v>0</v>
      </c>
      <c r="M30" s="30">
        <f>+M28-'SUMM BY CLUSTER- CONAP'!M84</f>
        <v>0</v>
      </c>
      <c r="N30" s="30">
        <f>+N28-'SUMM BY CLUSTER- CONAP'!N84</f>
        <v>0</v>
      </c>
      <c r="O30" s="30">
        <f>+O28-'SUMM BY CLUSTER- CONAP'!O84</f>
        <v>0</v>
      </c>
      <c r="P30" s="30">
        <f>+P28-'SUMM BY CLUSTER- CONAP'!P84</f>
        <v>0</v>
      </c>
      <c r="Q30" s="30">
        <f>+Q28-'SUMM BY CLUSTER- CONAP'!Q84</f>
        <v>0</v>
      </c>
      <c r="R30" s="30">
        <f>+R28-'SUMM BY CLUSTER- CONAP'!R84</f>
        <v>0</v>
      </c>
      <c r="S30" s="30">
        <f>+S28-'SUMM BY CLUSTER- CONAP'!S84</f>
        <v>0</v>
      </c>
      <c r="T30" s="30">
        <f>+T28-'SUMM BY CLUSTER- CONAP'!T84</f>
        <v>0</v>
      </c>
      <c r="U30" s="30">
        <f>+U28-'SUMM BY CLUSTER- CONAP'!U84</f>
        <v>0</v>
      </c>
      <c r="V30" s="30">
        <f>+V28-'SUMM BY CLUSTER- CONAP'!V84</f>
        <v>0</v>
      </c>
      <c r="W30" s="30">
        <f>+W28-'SUMM BY CLUSTER- CONAP'!W84</f>
        <v>0</v>
      </c>
      <c r="X30" s="30">
        <f>+X28-'SUMM BY CLUSTER- CONAP'!X84</f>
        <v>0</v>
      </c>
      <c r="Y30" s="30">
        <f>+Y28-'SUMM BY CLUSTER- CONAP'!Y84</f>
        <v>0</v>
      </c>
      <c r="Z30" s="30">
        <f>+Z28-'SUMM BY CLUSTER- CONAP'!Z84</f>
        <v>0</v>
      </c>
      <c r="AA30" s="30">
        <f>+AA28-'SUMM BY CLUSTER- CONAP'!AA84</f>
        <v>0</v>
      </c>
      <c r="AB30" s="30">
        <f>+AB28-'SUMM BY CLUSTER- CONAP'!AB84</f>
        <v>0</v>
      </c>
      <c r="AC30" s="30">
        <f>+AC28-'SUMM BY CLUSTER- CONAP'!AC84</f>
        <v>0</v>
      </c>
      <c r="AD30" s="30">
        <f>+AD28-'SUMM BY CLUSTER- CONAP'!AD84</f>
        <v>0</v>
      </c>
      <c r="AE30" s="30">
        <f>+AE28-'SUMM BY CLUSTER- CONAP'!AE84</f>
        <v>0</v>
      </c>
      <c r="AF30" s="30">
        <f>+AF28-'SUMM BY CLUSTER- CONAP'!AF84</f>
        <v>0</v>
      </c>
      <c r="AG30" s="30">
        <f>+AG28-'SUMM BY CLUSTER- CONAP'!AG84</f>
        <v>0</v>
      </c>
      <c r="AH30" s="30">
        <f>+AH28-'SUMM BY CLUSTER- CONAP'!AH84</f>
        <v>0</v>
      </c>
      <c r="AI30" s="30">
        <f>+AI28-'SUMM BY CLUSTER- CONAP'!AI84</f>
        <v>0</v>
      </c>
      <c r="AJ30" s="30">
        <f>+AJ28-'SUMM BY CLUSTER- CONAP'!AJ84</f>
        <v>0</v>
      </c>
      <c r="AK30" s="30">
        <f>+AK28-'SUMM BY CLUSTER- CONAP'!AK84</f>
        <v>0</v>
      </c>
      <c r="AL30" s="30" t="e">
        <f>+AL28-'SUMM BY CLUSTER- CONAP'!AL84</f>
        <v>#VALUE!</v>
      </c>
      <c r="AM30" s="30">
        <f>+AM28-'SUMM BY CLUSTER- CONAP'!AM84</f>
        <v>0</v>
      </c>
      <c r="AN30" s="30">
        <f>+AN28-'SUMM BY CLUSTER- CONAP'!AN84</f>
        <v>0</v>
      </c>
      <c r="AO30" s="30">
        <f>+AO28-'SUMM BY CLUSTER- CONAP'!AO84</f>
        <v>0</v>
      </c>
    </row>
    <row r="31" spans="1:41">
      <c r="A31" s="108" t="s">
        <v>1107</v>
      </c>
    </row>
    <row r="32" spans="1:41">
      <c r="A32" s="1189" t="s">
        <v>1111</v>
      </c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8">
    <tabColor rgb="FF92D050"/>
  </sheetPr>
  <dimension ref="A1:BB41"/>
  <sheetViews>
    <sheetView workbookViewId="0">
      <pane xSplit="1" ySplit="7" topLeftCell="AQ20" activePane="bottomRight" state="frozen"/>
      <selection pane="topRight" activeCell="B1" sqref="B1"/>
      <selection pane="bottomLeft" activeCell="A8" sqref="A8"/>
      <selection pane="bottomRight" activeCell="BC44" sqref="BC44"/>
    </sheetView>
  </sheetViews>
  <sheetFormatPr defaultRowHeight="15"/>
  <cols>
    <col min="1" max="1" width="45.7109375" style="17" customWidth="1"/>
    <col min="2" max="3" width="16.5703125" style="852" bestFit="1" customWidth="1"/>
    <col min="4" max="4" width="5.28515625" style="852" bestFit="1" customWidth="1"/>
    <col min="5" max="5" width="16.5703125" style="852" bestFit="1" customWidth="1"/>
    <col min="6" max="6" width="14" style="852" customWidth="1"/>
    <col min="7" max="7" width="13.7109375" style="852" bestFit="1" customWidth="1"/>
    <col min="8" max="8" width="13" style="852" bestFit="1" customWidth="1"/>
    <col min="9" max="9" width="8.28515625" style="852" bestFit="1" customWidth="1"/>
    <col min="10" max="11" width="16.5703125" style="852" bestFit="1" customWidth="1"/>
    <col min="12" max="12" width="13.7109375" style="852" bestFit="1" customWidth="1"/>
    <col min="13" max="15" width="16.5703125" style="852" bestFit="1" customWidth="1"/>
    <col min="16" max="16" width="13" style="852" bestFit="1" customWidth="1"/>
    <col min="17" max="17" width="16.5703125" style="852" bestFit="1" customWidth="1"/>
    <col min="18" max="18" width="5.28515625" style="852" hidden="1" customWidth="1"/>
    <col min="19" max="19" width="7.7109375" style="852" hidden="1" customWidth="1"/>
    <col min="20" max="20" width="5.28515625" style="852" hidden="1" customWidth="1"/>
    <col min="21" max="21" width="8.28515625" style="852" hidden="1" customWidth="1"/>
    <col min="22" max="22" width="5.28515625" style="852" hidden="1" customWidth="1"/>
    <col min="23" max="23" width="15.140625" style="852" bestFit="1" customWidth="1"/>
    <col min="24" max="29" width="16.5703125" style="852" bestFit="1" customWidth="1"/>
    <col min="30" max="30" width="16.5703125" style="852" hidden="1" customWidth="1"/>
    <col min="31" max="31" width="15.140625" style="852" hidden="1" customWidth="1"/>
    <col min="32" max="32" width="5.28515625" style="852" hidden="1" customWidth="1"/>
    <col min="33" max="33" width="16.5703125" style="852" hidden="1" customWidth="1"/>
    <col min="34" max="34" width="5.28515625" style="852" hidden="1" customWidth="1"/>
    <col min="35" max="36" width="15.140625" style="852" hidden="1" customWidth="1"/>
    <col min="37" max="37" width="16.5703125" style="852" hidden="1" customWidth="1"/>
    <col min="38" max="39" width="16.5703125" style="852" bestFit="1" customWidth="1"/>
    <col min="40" max="40" width="15.140625" style="852" bestFit="1" customWidth="1"/>
    <col min="41" max="41" width="16.5703125" style="852" bestFit="1" customWidth="1"/>
    <col min="42" max="44" width="15.140625" style="852" bestFit="1" customWidth="1"/>
    <col min="45" max="45" width="16.5703125" style="852" bestFit="1" customWidth="1"/>
    <col min="46" max="46" width="6" style="879" customWidth="1"/>
    <col min="47" max="47" width="6.5703125" style="879" bestFit="1" customWidth="1"/>
    <col min="48" max="48" width="5.7109375" style="879" bestFit="1" customWidth="1"/>
    <col min="49" max="49" width="7.140625" style="879" bestFit="1" customWidth="1"/>
    <col min="50" max="50" width="5.7109375" style="17" bestFit="1" customWidth="1"/>
    <col min="51" max="51" width="13.85546875" style="17" bestFit="1" customWidth="1"/>
    <col min="52" max="52" width="14.5703125" style="17" bestFit="1" customWidth="1"/>
    <col min="53" max="53" width="8.28515625" style="17" bestFit="1" customWidth="1"/>
    <col min="54" max="54" width="20" style="17" customWidth="1"/>
    <col min="55" max="55" width="5.7109375" style="17" bestFit="1" customWidth="1"/>
    <col min="56" max="16384" width="9.140625" style="17"/>
  </cols>
  <sheetData>
    <row r="1" spans="1:53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910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3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3">
      <c r="A3" s="15" t="s">
        <v>1098</v>
      </c>
      <c r="B3" s="189"/>
      <c r="C3" s="908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3">
      <c r="A4" s="16"/>
      <c r="B4" s="189"/>
      <c r="C4" s="90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3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535" t="s">
        <v>52</v>
      </c>
      <c r="AU5" s="1536"/>
      <c r="AV5" s="1536"/>
      <c r="AW5" s="1537"/>
      <c r="AX5" s="1499" t="s">
        <v>58</v>
      </c>
      <c r="AY5" s="1500"/>
      <c r="AZ5" s="1500"/>
      <c r="BA5" s="1501"/>
    </row>
    <row r="6" spans="1:53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880"/>
      <c r="AU6" s="881"/>
      <c r="AV6" s="881"/>
      <c r="AW6" s="882"/>
      <c r="AX6" s="913"/>
      <c r="AY6" s="914"/>
      <c r="AZ6" s="914"/>
      <c r="BA6" s="915"/>
    </row>
    <row r="7" spans="1:53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883" t="s">
        <v>1</v>
      </c>
      <c r="AU7" s="883" t="s">
        <v>2</v>
      </c>
      <c r="AV7" s="883" t="s">
        <v>3</v>
      </c>
      <c r="AW7" s="883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3" s="903" customFormat="1" ht="16.5">
      <c r="A8" s="901" t="s">
        <v>1029</v>
      </c>
      <c r="B8" s="868">
        <f t="shared" ref="B8:AN8" si="0">SUM(B9:B17)</f>
        <v>338196000</v>
      </c>
      <c r="C8" s="868">
        <f t="shared" si="0"/>
        <v>317465000</v>
      </c>
      <c r="D8" s="868">
        <f t="shared" si="0"/>
        <v>0</v>
      </c>
      <c r="E8" s="868">
        <f t="shared" ref="E8:E38" si="1">SUM(B8:D8)</f>
        <v>655661000</v>
      </c>
      <c r="F8" s="868">
        <f t="shared" si="0"/>
        <v>9755113</v>
      </c>
      <c r="G8" s="868">
        <f t="shared" si="0"/>
        <v>-11105113</v>
      </c>
      <c r="H8" s="868">
        <f t="shared" si="0"/>
        <v>1350000</v>
      </c>
      <c r="I8" s="868">
        <f t="shared" ref="I8:I38" si="2">SUM(F8:H8)</f>
        <v>0</v>
      </c>
      <c r="J8" s="868">
        <f t="shared" si="0"/>
        <v>347951113</v>
      </c>
      <c r="K8" s="868">
        <f t="shared" si="0"/>
        <v>306359887</v>
      </c>
      <c r="L8" s="868">
        <f t="shared" si="0"/>
        <v>1350000</v>
      </c>
      <c r="M8" s="868">
        <f t="shared" ref="M8:M38" si="3">SUM(J8:L8)</f>
        <v>655661000</v>
      </c>
      <c r="N8" s="868">
        <f t="shared" si="0"/>
        <v>347951113</v>
      </c>
      <c r="O8" s="868">
        <f t="shared" si="0"/>
        <v>306359887</v>
      </c>
      <c r="P8" s="868">
        <f t="shared" si="0"/>
        <v>1350000</v>
      </c>
      <c r="Q8" s="868">
        <f t="shared" ref="Q8:Q38" si="4">SUM(N8:P8)</f>
        <v>655661000</v>
      </c>
      <c r="R8" s="868">
        <f t="shared" si="0"/>
        <v>0</v>
      </c>
      <c r="S8" s="868">
        <f t="shared" si="0"/>
        <v>0</v>
      </c>
      <c r="T8" s="868">
        <f t="shared" si="0"/>
        <v>0</v>
      </c>
      <c r="U8" s="868">
        <f t="shared" si="0"/>
        <v>0</v>
      </c>
      <c r="V8" s="868">
        <f t="shared" si="0"/>
        <v>0</v>
      </c>
      <c r="W8" s="868">
        <f t="shared" si="0"/>
        <v>189147214</v>
      </c>
      <c r="X8" s="868">
        <f t="shared" si="0"/>
        <v>217245000</v>
      </c>
      <c r="Y8" s="868">
        <f t="shared" ref="Y8:Y38" si="5">SUM(V8:X8)</f>
        <v>406392214</v>
      </c>
      <c r="Z8" s="868">
        <f t="shared" si="0"/>
        <v>347951113</v>
      </c>
      <c r="AA8" s="868">
        <f t="shared" si="0"/>
        <v>495507101</v>
      </c>
      <c r="AB8" s="868">
        <f t="shared" si="0"/>
        <v>218595000</v>
      </c>
      <c r="AC8" s="868">
        <f t="shared" ref="AC8:AC38" si="6">SUM(Z8:AB8)</f>
        <v>1062053214</v>
      </c>
      <c r="AD8" s="868">
        <f t="shared" si="0"/>
        <v>317884841.42000008</v>
      </c>
      <c r="AE8" s="868">
        <f t="shared" si="0"/>
        <v>188802218.79000002</v>
      </c>
      <c r="AF8" s="868">
        <f t="shared" si="0"/>
        <v>0</v>
      </c>
      <c r="AG8" s="868">
        <f t="shared" ref="AG8:AG38" si="7">SUM(AD8:AF8)</f>
        <v>506687060.2100001</v>
      </c>
      <c r="AH8" s="868">
        <f t="shared" si="0"/>
        <v>0</v>
      </c>
      <c r="AI8" s="868">
        <f t="shared" si="0"/>
        <v>108837992.75000003</v>
      </c>
      <c r="AJ8" s="868">
        <f t="shared" si="0"/>
        <v>192137399.43999997</v>
      </c>
      <c r="AK8" s="868">
        <f t="shared" ref="AK8:AK38" si="8">SUM(AH8:AJ8)</f>
        <v>300975392.19</v>
      </c>
      <c r="AL8" s="868">
        <f t="shared" si="0"/>
        <v>317884841.42000008</v>
      </c>
      <c r="AM8" s="868">
        <f t="shared" si="0"/>
        <v>297640211.54000002</v>
      </c>
      <c r="AN8" s="868">
        <f t="shared" si="0"/>
        <v>192137399.43999997</v>
      </c>
      <c r="AO8" s="868">
        <f t="shared" ref="AO8:AO38" si="9">SUM(AL8:AN8)</f>
        <v>807662452.39999998</v>
      </c>
      <c r="AP8" s="868">
        <f t="shared" ref="AP8:AR9" si="10">+Z8-AL8</f>
        <v>30066271.579999924</v>
      </c>
      <c r="AQ8" s="868">
        <f t="shared" si="10"/>
        <v>197866889.45999998</v>
      </c>
      <c r="AR8" s="868">
        <f t="shared" si="10"/>
        <v>26457600.560000032</v>
      </c>
      <c r="AS8" s="868">
        <f t="shared" ref="AS8:AS38" si="11">SUM(AP8:AR8)</f>
        <v>254390761.59999993</v>
      </c>
      <c r="AT8" s="902">
        <f t="shared" ref="AT8:AW38" si="12">IF(Z8=0," ",AL8/Z8)</f>
        <v>0.9135905290810209</v>
      </c>
      <c r="AU8" s="902">
        <f t="shared" si="12"/>
        <v>0.60067799419891665</v>
      </c>
      <c r="AV8" s="902">
        <f t="shared" si="12"/>
        <v>0.87896520707243975</v>
      </c>
      <c r="AW8" s="902">
        <f t="shared" ref="AW8:AW37" si="13">IF(AC8=0," ",AO8/AC8)</f>
        <v>0.76047267853755585</v>
      </c>
      <c r="AX8" s="22">
        <f t="shared" ref="AX8:AZ38" si="14">+J8-N8</f>
        <v>0</v>
      </c>
      <c r="AY8" s="22">
        <f t="shared" si="14"/>
        <v>0</v>
      </c>
      <c r="AZ8" s="22">
        <f t="shared" si="14"/>
        <v>0</v>
      </c>
      <c r="BA8" s="868">
        <f t="shared" ref="BA8:BA38" si="15">SUM(AX8:AZ8)</f>
        <v>0</v>
      </c>
    </row>
    <row r="9" spans="1:53" s="903" customFormat="1">
      <c r="A9" s="905" t="s">
        <v>1093</v>
      </c>
      <c r="B9" s="859">
        <f>+'SUMM BY CLUSTER- CURRENT'!B108</f>
        <v>84998000</v>
      </c>
      <c r="C9" s="859">
        <f>+'SUMM BY CLUSTER- CURRENT'!C108</f>
        <v>171405000</v>
      </c>
      <c r="D9" s="859">
        <f>+'SUMM BY CLUSTER- CURRENT'!D108</f>
        <v>0</v>
      </c>
      <c r="E9" s="859">
        <f t="shared" si="1"/>
        <v>256403000</v>
      </c>
      <c r="F9" s="859">
        <f>+'SUMM BY CLUSTER- CURRENT'!F108</f>
        <v>8332260</v>
      </c>
      <c r="G9" s="859">
        <f>+'SUMM BY CLUSTER- CURRENT'!G108</f>
        <v>-9682260</v>
      </c>
      <c r="H9" s="859">
        <f>+'SUMM BY CLUSTER- CURRENT'!H108</f>
        <v>1350000</v>
      </c>
      <c r="I9" s="859">
        <f t="shared" si="2"/>
        <v>0</v>
      </c>
      <c r="J9" s="859">
        <f>+B9+F9</f>
        <v>93330260</v>
      </c>
      <c r="K9" s="859">
        <f t="shared" ref="K9:L9" si="16">+C9+G9</f>
        <v>161722740</v>
      </c>
      <c r="L9" s="859">
        <f t="shared" si="16"/>
        <v>1350000</v>
      </c>
      <c r="M9" s="859">
        <f t="shared" si="3"/>
        <v>256403000</v>
      </c>
      <c r="N9" s="859">
        <f>+'SUMM BY CLUSTER- CURRENT'!N108</f>
        <v>93330260</v>
      </c>
      <c r="O9" s="859">
        <f>+'SUMM BY CLUSTER- CURRENT'!O108</f>
        <v>161722740</v>
      </c>
      <c r="P9" s="859">
        <f>+'SUMM BY CLUSTER- CURRENT'!P108</f>
        <v>1350000</v>
      </c>
      <c r="Q9" s="859">
        <f t="shared" si="4"/>
        <v>256403000</v>
      </c>
      <c r="R9" s="859">
        <f>+'SUMM BY CLUSTER- CURRENT'!R108</f>
        <v>0</v>
      </c>
      <c r="S9" s="859">
        <f>+'SUMM BY CLUSTER- CURRENT'!S108</f>
        <v>0</v>
      </c>
      <c r="T9" s="859">
        <f>+'SUMM BY CLUSTER- CURRENT'!T108</f>
        <v>0</v>
      </c>
      <c r="U9" s="859">
        <f>SUM('CY-FUR (REG)- Detail'!V204:V206)</f>
        <v>0</v>
      </c>
      <c r="V9" s="859">
        <f>+'SUMM BY CLUSTER- CURRENT'!V108</f>
        <v>0</v>
      </c>
      <c r="W9" s="859">
        <f>+'SUMM BY CLUSTER- CURRENT'!W108</f>
        <v>142357671</v>
      </c>
      <c r="X9" s="859">
        <f>+'SUMM BY CLUSTER- CURRENT'!X108</f>
        <v>15745000</v>
      </c>
      <c r="Y9" s="859">
        <f t="shared" si="5"/>
        <v>158102671</v>
      </c>
      <c r="Z9" s="859">
        <f>+N9+R9+V9</f>
        <v>93330260</v>
      </c>
      <c r="AA9" s="859">
        <f t="shared" ref="AA9:AB9" si="17">+O9+S9+W9</f>
        <v>304080411</v>
      </c>
      <c r="AB9" s="859">
        <f t="shared" si="17"/>
        <v>17095000</v>
      </c>
      <c r="AC9" s="859">
        <f t="shared" si="6"/>
        <v>414505671</v>
      </c>
      <c r="AD9" s="859">
        <f>+'SUMM BY CLUSTER- CURRENT'!AD108</f>
        <v>83932162.290000021</v>
      </c>
      <c r="AE9" s="859">
        <f>+'SUMM BY CLUSTER- CURRENT'!AE108</f>
        <v>70914866.079999998</v>
      </c>
      <c r="AF9" s="859">
        <f>+'SUMM BY CLUSTER- CURRENT'!AF108</f>
        <v>0</v>
      </c>
      <c r="AG9" s="859">
        <f t="shared" si="7"/>
        <v>154847028.37</v>
      </c>
      <c r="AH9" s="859">
        <f>+'SUMM BY CLUSTER- CURRENT'!AH108</f>
        <v>0</v>
      </c>
      <c r="AI9" s="859">
        <f>+'SUMM BY CLUSTER- CURRENT'!AI108</f>
        <v>76478187.140000015</v>
      </c>
      <c r="AJ9" s="859">
        <f>+'SUMM BY CLUSTER- CURRENT'!AJ108</f>
        <v>3882518.3200000003</v>
      </c>
      <c r="AK9" s="859">
        <f t="shared" si="8"/>
        <v>80360705.460000008</v>
      </c>
      <c r="AL9" s="859">
        <f>+AD9+AH9</f>
        <v>83932162.290000021</v>
      </c>
      <c r="AM9" s="859">
        <f t="shared" ref="AM9:AN9" si="18">+AE9+AI9</f>
        <v>147393053.22000003</v>
      </c>
      <c r="AN9" s="859">
        <f t="shared" si="18"/>
        <v>3882518.3200000003</v>
      </c>
      <c r="AO9" s="859">
        <f t="shared" si="9"/>
        <v>235207733.83000004</v>
      </c>
      <c r="AP9" s="859">
        <f>+Z9-AL9</f>
        <v>9398097.7099999785</v>
      </c>
      <c r="AQ9" s="859">
        <f t="shared" si="10"/>
        <v>156687357.77999997</v>
      </c>
      <c r="AR9" s="859">
        <f t="shared" si="10"/>
        <v>13212481.68</v>
      </c>
      <c r="AS9" s="859">
        <f t="shared" si="11"/>
        <v>179297937.16999996</v>
      </c>
      <c r="AT9" s="902">
        <f t="shared" si="12"/>
        <v>0.89930278014868936</v>
      </c>
      <c r="AU9" s="902">
        <f t="shared" si="12"/>
        <v>0.48471735727823662</v>
      </c>
      <c r="AV9" s="902">
        <f t="shared" si="12"/>
        <v>0.22711426264989765</v>
      </c>
      <c r="AW9" s="902">
        <f t="shared" si="13"/>
        <v>0.56744153406287179</v>
      </c>
      <c r="AX9" s="22">
        <f t="shared" si="14"/>
        <v>0</v>
      </c>
      <c r="AY9" s="22">
        <f t="shared" si="14"/>
        <v>0</v>
      </c>
      <c r="AZ9" s="22">
        <f t="shared" si="14"/>
        <v>0</v>
      </c>
      <c r="BA9" s="859">
        <f t="shared" si="15"/>
        <v>0</v>
      </c>
    </row>
    <row r="10" spans="1:53" s="16" customFormat="1">
      <c r="A10" s="905" t="s">
        <v>1031</v>
      </c>
      <c r="B10" s="859">
        <f>+'SUMM BY CLUSTER- CURRENT'!B109</f>
        <v>150073000</v>
      </c>
      <c r="C10" s="859">
        <f>+'SUMM BY CLUSTER- CURRENT'!C109</f>
        <v>54463000</v>
      </c>
      <c r="D10" s="859">
        <f>+'SUMM BY CLUSTER- CURRENT'!D109</f>
        <v>0</v>
      </c>
      <c r="E10" s="859">
        <f t="shared" si="1"/>
        <v>204536000</v>
      </c>
      <c r="F10" s="859">
        <f>+'SUMM BY CLUSTER- CURRENT'!F109</f>
        <v>0</v>
      </c>
      <c r="G10" s="859">
        <f>+'SUMM BY CLUSTER- CURRENT'!G109</f>
        <v>0</v>
      </c>
      <c r="H10" s="859">
        <f>+'SUMM BY CLUSTER- CURRENT'!H109</f>
        <v>0</v>
      </c>
      <c r="I10" s="859">
        <f t="shared" si="2"/>
        <v>0</v>
      </c>
      <c r="J10" s="859">
        <f t="shared" ref="J10:J38" si="19">+B10+F10</f>
        <v>150073000</v>
      </c>
      <c r="K10" s="859">
        <f t="shared" ref="K10:K38" si="20">+C10+G10</f>
        <v>54463000</v>
      </c>
      <c r="L10" s="859">
        <f t="shared" ref="L10:L38" si="21">+D10+H10</f>
        <v>0</v>
      </c>
      <c r="M10" s="859">
        <f t="shared" si="3"/>
        <v>204536000</v>
      </c>
      <c r="N10" s="859">
        <f>+'SUMM BY CLUSTER- CURRENT'!N109</f>
        <v>150073000</v>
      </c>
      <c r="O10" s="859">
        <f>+'SUMM BY CLUSTER- CURRENT'!O109</f>
        <v>54463000</v>
      </c>
      <c r="P10" s="859">
        <f>+'SUMM BY CLUSTER- CURRENT'!P109</f>
        <v>0</v>
      </c>
      <c r="Q10" s="859">
        <f t="shared" si="4"/>
        <v>204536000</v>
      </c>
      <c r="R10" s="859">
        <f>+'SUMM BY CLUSTER- CURRENT'!R109</f>
        <v>0</v>
      </c>
      <c r="S10" s="859">
        <f>+'SUMM BY CLUSTER- CURRENT'!S109</f>
        <v>0</v>
      </c>
      <c r="T10" s="859">
        <f>+'SUMM BY CLUSTER- CURRENT'!T109</f>
        <v>0</v>
      </c>
      <c r="U10" s="859">
        <f>SUM('CY-FUR (REG)- Detail'!V205:V207)</f>
        <v>0</v>
      </c>
      <c r="V10" s="859">
        <f>+'SUMM BY CLUSTER- CURRENT'!V109</f>
        <v>0</v>
      </c>
      <c r="W10" s="859">
        <f>+'SUMM BY CLUSTER- CURRENT'!W109</f>
        <v>25253800</v>
      </c>
      <c r="X10" s="859">
        <f>+'SUMM BY CLUSTER- CURRENT'!X109</f>
        <v>150000000</v>
      </c>
      <c r="Y10" s="859">
        <f t="shared" si="5"/>
        <v>175253800</v>
      </c>
      <c r="Z10" s="859">
        <f t="shared" ref="Z10:Z38" si="22">+N10+R10+V10</f>
        <v>150073000</v>
      </c>
      <c r="AA10" s="859">
        <f t="shared" ref="AA10:AA38" si="23">+O10+S10+W10</f>
        <v>79716800</v>
      </c>
      <c r="AB10" s="859">
        <f t="shared" ref="AB10:AB38" si="24">+P10+T10+X10</f>
        <v>150000000</v>
      </c>
      <c r="AC10" s="859">
        <f t="shared" si="6"/>
        <v>379789800</v>
      </c>
      <c r="AD10" s="859">
        <f>+'SUMM BY CLUSTER- CURRENT'!AD109</f>
        <v>138689701.17000005</v>
      </c>
      <c r="AE10" s="859">
        <f>+'SUMM BY CLUSTER- CURRENT'!AE109</f>
        <v>44679390.319999993</v>
      </c>
      <c r="AF10" s="859">
        <f>+'SUMM BY CLUSTER- CURRENT'!AF109</f>
        <v>0</v>
      </c>
      <c r="AG10" s="859">
        <f t="shared" si="7"/>
        <v>183369091.49000004</v>
      </c>
      <c r="AH10" s="859">
        <f>+'SUMM BY CLUSTER- CURRENT'!AH109</f>
        <v>0</v>
      </c>
      <c r="AI10" s="859">
        <f>+'SUMM BY CLUSTER- CURRENT'!AI109</f>
        <v>18441368.519999996</v>
      </c>
      <c r="AJ10" s="859">
        <f>+'SUMM BY CLUSTER- CURRENT'!AJ109</f>
        <v>148351064.53999999</v>
      </c>
      <c r="AK10" s="859">
        <f t="shared" si="8"/>
        <v>166792433.06</v>
      </c>
      <c r="AL10" s="859">
        <f t="shared" ref="AL10:AL38" si="25">+AD10+AH10</f>
        <v>138689701.17000005</v>
      </c>
      <c r="AM10" s="859">
        <f t="shared" ref="AM10:AM38" si="26">+AE10+AI10</f>
        <v>63120758.839999989</v>
      </c>
      <c r="AN10" s="859">
        <f t="shared" ref="AN10:AN38" si="27">+AF10+AJ10</f>
        <v>148351064.53999999</v>
      </c>
      <c r="AO10" s="859">
        <f t="shared" si="9"/>
        <v>350161524.55000007</v>
      </c>
      <c r="AP10" s="859">
        <f t="shared" ref="AP10:AP38" si="28">+Z10-AL10</f>
        <v>11383298.829999954</v>
      </c>
      <c r="AQ10" s="859">
        <f t="shared" ref="AQ10:AQ38" si="29">+AA10-AM10</f>
        <v>16596041.160000011</v>
      </c>
      <c r="AR10" s="859">
        <f t="shared" ref="AR10:AR38" si="30">+AB10-AN10</f>
        <v>1648935.4600000083</v>
      </c>
      <c r="AS10" s="859">
        <f t="shared" si="11"/>
        <v>29628275.449999973</v>
      </c>
      <c r="AT10" s="886">
        <f t="shared" si="12"/>
        <v>0.92414825564891778</v>
      </c>
      <c r="AU10" s="886">
        <f t="shared" si="12"/>
        <v>0.79181250175621687</v>
      </c>
      <c r="AV10" s="886">
        <f t="shared" si="12"/>
        <v>0.98900709693333333</v>
      </c>
      <c r="AW10" s="886">
        <f t="shared" si="13"/>
        <v>0.92198770095984695</v>
      </c>
      <c r="AX10" s="22">
        <f t="shared" si="14"/>
        <v>0</v>
      </c>
      <c r="AY10" s="22">
        <f t="shared" si="14"/>
        <v>0</v>
      </c>
      <c r="AZ10" s="22">
        <f t="shared" si="14"/>
        <v>0</v>
      </c>
      <c r="BA10" s="859">
        <f t="shared" si="15"/>
        <v>0</v>
      </c>
    </row>
    <row r="11" spans="1:53" s="16" customFormat="1">
      <c r="A11" s="905" t="s">
        <v>1032</v>
      </c>
      <c r="B11" s="859">
        <f>+'SUMM BY CLUSTER- CURRENT'!B110</f>
        <v>14833000</v>
      </c>
      <c r="C11" s="859">
        <f>+'SUMM BY CLUSTER- CURRENT'!C110</f>
        <v>15799000</v>
      </c>
      <c r="D11" s="859">
        <f>+'SUMM BY CLUSTER- CURRENT'!D110</f>
        <v>0</v>
      </c>
      <c r="E11" s="859">
        <f t="shared" si="1"/>
        <v>30632000</v>
      </c>
      <c r="F11" s="859">
        <f>+'SUMM BY CLUSTER- CURRENT'!F110</f>
        <v>0</v>
      </c>
      <c r="G11" s="859">
        <f>+'SUMM BY CLUSTER- CURRENT'!G110</f>
        <v>0</v>
      </c>
      <c r="H11" s="859">
        <f>+'SUMM BY CLUSTER- CURRENT'!H110</f>
        <v>0</v>
      </c>
      <c r="I11" s="859">
        <f t="shared" si="2"/>
        <v>0</v>
      </c>
      <c r="J11" s="859">
        <f t="shared" si="19"/>
        <v>14833000</v>
      </c>
      <c r="K11" s="859">
        <f t="shared" si="20"/>
        <v>15799000</v>
      </c>
      <c r="L11" s="859">
        <f t="shared" si="21"/>
        <v>0</v>
      </c>
      <c r="M11" s="859">
        <f t="shared" si="3"/>
        <v>30632000</v>
      </c>
      <c r="N11" s="859">
        <f>+'SUMM BY CLUSTER- CURRENT'!N110</f>
        <v>14833000</v>
      </c>
      <c r="O11" s="859">
        <f>+'SUMM BY CLUSTER- CURRENT'!O110</f>
        <v>15799000</v>
      </c>
      <c r="P11" s="859">
        <f>+'SUMM BY CLUSTER- CURRENT'!P110</f>
        <v>0</v>
      </c>
      <c r="Q11" s="859">
        <f t="shared" si="4"/>
        <v>30632000</v>
      </c>
      <c r="R11" s="859">
        <f>+'SUMM BY CLUSTER- CURRENT'!R110</f>
        <v>0</v>
      </c>
      <c r="S11" s="859">
        <f>+'SUMM BY CLUSTER- CURRENT'!S110</f>
        <v>0</v>
      </c>
      <c r="T11" s="859">
        <f>+'SUMM BY CLUSTER- CURRENT'!T110</f>
        <v>0</v>
      </c>
      <c r="U11" s="859">
        <f>SUM('CY-FUR (REG)- Detail'!V206:V208)</f>
        <v>0</v>
      </c>
      <c r="V11" s="859">
        <f>+'SUMM BY CLUSTER- CURRENT'!V110</f>
        <v>0</v>
      </c>
      <c r="W11" s="859">
        <f>+'SUMM BY CLUSTER- CURRENT'!W110</f>
        <v>5460000</v>
      </c>
      <c r="X11" s="859">
        <f>+'SUMM BY CLUSTER- CURRENT'!X110</f>
        <v>20000000</v>
      </c>
      <c r="Y11" s="859">
        <f t="shared" si="5"/>
        <v>25460000</v>
      </c>
      <c r="Z11" s="859">
        <f t="shared" si="22"/>
        <v>14833000</v>
      </c>
      <c r="AA11" s="859">
        <f t="shared" si="23"/>
        <v>21259000</v>
      </c>
      <c r="AB11" s="859">
        <f t="shared" si="24"/>
        <v>20000000</v>
      </c>
      <c r="AC11" s="859">
        <f t="shared" si="6"/>
        <v>56092000</v>
      </c>
      <c r="AD11" s="859">
        <f>+'SUMM BY CLUSTER- CURRENT'!AD110</f>
        <v>12313003.390000001</v>
      </c>
      <c r="AE11" s="859">
        <f>+'SUMM BY CLUSTER- CURRENT'!AE110</f>
        <v>14479651.529999999</v>
      </c>
      <c r="AF11" s="859">
        <f>+'SUMM BY CLUSTER- CURRENT'!AF110</f>
        <v>0</v>
      </c>
      <c r="AG11" s="859">
        <f t="shared" si="7"/>
        <v>26792654.920000002</v>
      </c>
      <c r="AH11" s="859">
        <f>+'SUMM BY CLUSTER- CURRENT'!AH110</f>
        <v>0</v>
      </c>
      <c r="AI11" s="859">
        <f>+'SUMM BY CLUSTER- CURRENT'!AI110</f>
        <v>1086888.93</v>
      </c>
      <c r="AJ11" s="859">
        <f>+'SUMM BY CLUSTER- CURRENT'!AJ110</f>
        <v>19990407.359999999</v>
      </c>
      <c r="AK11" s="859">
        <f t="shared" si="8"/>
        <v>21077296.289999999</v>
      </c>
      <c r="AL11" s="859">
        <f t="shared" si="25"/>
        <v>12313003.390000001</v>
      </c>
      <c r="AM11" s="859">
        <f t="shared" si="26"/>
        <v>15566540.459999999</v>
      </c>
      <c r="AN11" s="859">
        <f t="shared" si="27"/>
        <v>19990407.359999999</v>
      </c>
      <c r="AO11" s="859">
        <f t="shared" si="9"/>
        <v>47869951.210000001</v>
      </c>
      <c r="AP11" s="859">
        <f t="shared" si="28"/>
        <v>2519996.6099999994</v>
      </c>
      <c r="AQ11" s="859">
        <f t="shared" si="29"/>
        <v>5692459.540000001</v>
      </c>
      <c r="AR11" s="859">
        <f t="shared" si="30"/>
        <v>9592.640000000596</v>
      </c>
      <c r="AS11" s="859">
        <f t="shared" si="11"/>
        <v>8222048.790000001</v>
      </c>
      <c r="AT11" s="886">
        <f t="shared" si="12"/>
        <v>0.83010877030944519</v>
      </c>
      <c r="AU11" s="886">
        <f t="shared" si="12"/>
        <v>0.73223295827649459</v>
      </c>
      <c r="AV11" s="886">
        <f t="shared" si="12"/>
        <v>0.99952036799999999</v>
      </c>
      <c r="AW11" s="886">
        <f t="shared" si="13"/>
        <v>0.85341851262212087</v>
      </c>
      <c r="AX11" s="22">
        <f t="shared" si="14"/>
        <v>0</v>
      </c>
      <c r="AY11" s="22">
        <f t="shared" si="14"/>
        <v>0</v>
      </c>
      <c r="AZ11" s="22">
        <f t="shared" si="14"/>
        <v>0</v>
      </c>
      <c r="BA11" s="859">
        <f t="shared" si="15"/>
        <v>0</v>
      </c>
    </row>
    <row r="12" spans="1:53" s="16" customFormat="1">
      <c r="A12" s="905" t="s">
        <v>1033</v>
      </c>
      <c r="B12" s="859">
        <f>+'SUMM BY CLUSTER- CURRENT'!B111</f>
        <v>8318000</v>
      </c>
      <c r="C12" s="859">
        <f>+'SUMM BY CLUSTER- CURRENT'!C111</f>
        <v>5667000</v>
      </c>
      <c r="D12" s="859">
        <f>+'SUMM BY CLUSTER- CURRENT'!D111</f>
        <v>0</v>
      </c>
      <c r="E12" s="859">
        <f t="shared" si="1"/>
        <v>13985000</v>
      </c>
      <c r="F12" s="859">
        <f>+'SUMM BY CLUSTER- CURRENT'!F111</f>
        <v>0</v>
      </c>
      <c r="G12" s="859">
        <f>+'SUMM BY CLUSTER- CURRENT'!G111</f>
        <v>0</v>
      </c>
      <c r="H12" s="859">
        <f>+'SUMM BY CLUSTER- CURRENT'!H111</f>
        <v>0</v>
      </c>
      <c r="I12" s="859">
        <f t="shared" si="2"/>
        <v>0</v>
      </c>
      <c r="J12" s="859">
        <f t="shared" si="19"/>
        <v>8318000</v>
      </c>
      <c r="K12" s="859">
        <f t="shared" si="20"/>
        <v>5667000</v>
      </c>
      <c r="L12" s="859">
        <f t="shared" si="21"/>
        <v>0</v>
      </c>
      <c r="M12" s="859">
        <f t="shared" si="3"/>
        <v>13985000</v>
      </c>
      <c r="N12" s="859">
        <f>+'SUMM BY CLUSTER- CURRENT'!N111</f>
        <v>8318000</v>
      </c>
      <c r="O12" s="859">
        <f>+'SUMM BY CLUSTER- CURRENT'!O111</f>
        <v>5667000</v>
      </c>
      <c r="P12" s="859">
        <f>+'SUMM BY CLUSTER- CURRENT'!P111</f>
        <v>0</v>
      </c>
      <c r="Q12" s="859">
        <f t="shared" si="4"/>
        <v>13985000</v>
      </c>
      <c r="R12" s="859">
        <f>+'SUMM BY CLUSTER- CURRENT'!R111</f>
        <v>0</v>
      </c>
      <c r="S12" s="859">
        <f>+'SUMM BY CLUSTER- CURRENT'!S111</f>
        <v>0</v>
      </c>
      <c r="T12" s="859">
        <f>+'SUMM BY CLUSTER- CURRENT'!T111</f>
        <v>0</v>
      </c>
      <c r="U12" s="859">
        <f>SUM('CY-FUR (REG)- Detail'!V207:V209)</f>
        <v>0</v>
      </c>
      <c r="V12" s="859">
        <f>+'SUMM BY CLUSTER- CURRENT'!V111</f>
        <v>0</v>
      </c>
      <c r="W12" s="859">
        <f>+'SUMM BY CLUSTER- CURRENT'!W111</f>
        <v>2363743</v>
      </c>
      <c r="X12" s="859">
        <f>+'SUMM BY CLUSTER- CURRENT'!X111</f>
        <v>0</v>
      </c>
      <c r="Y12" s="859">
        <f t="shared" si="5"/>
        <v>2363743</v>
      </c>
      <c r="Z12" s="859">
        <f t="shared" si="22"/>
        <v>8318000</v>
      </c>
      <c r="AA12" s="859">
        <f t="shared" si="23"/>
        <v>8030743</v>
      </c>
      <c r="AB12" s="859">
        <f t="shared" si="24"/>
        <v>0</v>
      </c>
      <c r="AC12" s="859">
        <f t="shared" si="6"/>
        <v>16348743</v>
      </c>
      <c r="AD12" s="859">
        <f>+'SUMM BY CLUSTER- CURRENT'!AD111</f>
        <v>7658109.0000000009</v>
      </c>
      <c r="AE12" s="859">
        <f>+'SUMM BY CLUSTER- CURRENT'!AE111</f>
        <v>4671423.0299999993</v>
      </c>
      <c r="AF12" s="859">
        <f>+'SUMM BY CLUSTER- CURRENT'!AF111</f>
        <v>0</v>
      </c>
      <c r="AG12" s="859">
        <f t="shared" si="7"/>
        <v>12329532.030000001</v>
      </c>
      <c r="AH12" s="859">
        <f>+'SUMM BY CLUSTER- CURRENT'!AH111</f>
        <v>0</v>
      </c>
      <c r="AI12" s="859">
        <f>+'SUMM BY CLUSTER- CURRENT'!AI111</f>
        <v>1841192.1199999999</v>
      </c>
      <c r="AJ12" s="859">
        <f>+'SUMM BY CLUSTER- CURRENT'!AJ111</f>
        <v>0</v>
      </c>
      <c r="AK12" s="859">
        <f t="shared" si="8"/>
        <v>1841192.1199999999</v>
      </c>
      <c r="AL12" s="859">
        <f t="shared" si="25"/>
        <v>7658109.0000000009</v>
      </c>
      <c r="AM12" s="859">
        <f t="shared" si="26"/>
        <v>6512615.1499999994</v>
      </c>
      <c r="AN12" s="859">
        <f t="shared" si="27"/>
        <v>0</v>
      </c>
      <c r="AO12" s="859">
        <f t="shared" si="9"/>
        <v>14170724.15</v>
      </c>
      <c r="AP12" s="859">
        <f t="shared" si="28"/>
        <v>659890.99999999907</v>
      </c>
      <c r="AQ12" s="859">
        <f t="shared" si="29"/>
        <v>1518127.8500000006</v>
      </c>
      <c r="AR12" s="859">
        <f t="shared" si="30"/>
        <v>0</v>
      </c>
      <c r="AS12" s="859">
        <f t="shared" si="11"/>
        <v>2178018.8499999996</v>
      </c>
      <c r="AT12" s="886">
        <f t="shared" si="12"/>
        <v>0.92066710747775915</v>
      </c>
      <c r="AU12" s="886">
        <f t="shared" si="12"/>
        <v>0.81096047401840643</v>
      </c>
      <c r="AV12" s="886" t="str">
        <f t="shared" si="12"/>
        <v xml:space="preserve"> </v>
      </c>
      <c r="AW12" s="886">
        <f t="shared" si="13"/>
        <v>0.8667775956842676</v>
      </c>
      <c r="AX12" s="22">
        <f t="shared" si="14"/>
        <v>0</v>
      </c>
      <c r="AY12" s="22">
        <f t="shared" si="14"/>
        <v>0</v>
      </c>
      <c r="AZ12" s="22">
        <f t="shared" si="14"/>
        <v>0</v>
      </c>
      <c r="BA12" s="859">
        <f t="shared" si="15"/>
        <v>0</v>
      </c>
    </row>
    <row r="13" spans="1:53" s="16" customFormat="1">
      <c r="A13" s="905" t="s">
        <v>1034</v>
      </c>
      <c r="B13" s="859">
        <f>+'SUMM BY CLUSTER- CURRENT'!B112</f>
        <v>6539000</v>
      </c>
      <c r="C13" s="859">
        <f>+'SUMM BY CLUSTER- CURRENT'!C112</f>
        <v>3643000</v>
      </c>
      <c r="D13" s="859">
        <f>+'SUMM BY CLUSTER- CURRENT'!D112</f>
        <v>0</v>
      </c>
      <c r="E13" s="859">
        <f t="shared" si="1"/>
        <v>10182000</v>
      </c>
      <c r="F13" s="859">
        <f>+'SUMM BY CLUSTER- CURRENT'!F112</f>
        <v>0</v>
      </c>
      <c r="G13" s="859">
        <f>+'SUMM BY CLUSTER- CURRENT'!G112</f>
        <v>0</v>
      </c>
      <c r="H13" s="859">
        <f>+'SUMM BY CLUSTER- CURRENT'!H112</f>
        <v>0</v>
      </c>
      <c r="I13" s="859">
        <f t="shared" si="2"/>
        <v>0</v>
      </c>
      <c r="J13" s="859">
        <f t="shared" si="19"/>
        <v>6539000</v>
      </c>
      <c r="K13" s="859">
        <f t="shared" si="20"/>
        <v>3643000</v>
      </c>
      <c r="L13" s="859">
        <f t="shared" si="21"/>
        <v>0</v>
      </c>
      <c r="M13" s="859">
        <f t="shared" si="3"/>
        <v>10182000</v>
      </c>
      <c r="N13" s="859">
        <f>+'SUMM BY CLUSTER- CURRENT'!N112</f>
        <v>6539000</v>
      </c>
      <c r="O13" s="859">
        <f>+'SUMM BY CLUSTER- CURRENT'!O112</f>
        <v>3643000</v>
      </c>
      <c r="P13" s="859">
        <f>+'SUMM BY CLUSTER- CURRENT'!P112</f>
        <v>0</v>
      </c>
      <c r="Q13" s="859">
        <f t="shared" si="4"/>
        <v>10182000</v>
      </c>
      <c r="R13" s="859">
        <f>+'SUMM BY CLUSTER- CURRENT'!R112</f>
        <v>0</v>
      </c>
      <c r="S13" s="859">
        <f>+'SUMM BY CLUSTER- CURRENT'!S112</f>
        <v>0</v>
      </c>
      <c r="T13" s="859">
        <f>+'SUMM BY CLUSTER- CURRENT'!T112</f>
        <v>0</v>
      </c>
      <c r="U13" s="859">
        <f>SUM('CY-FUR (REG)- Detail'!V208:V210)</f>
        <v>0</v>
      </c>
      <c r="V13" s="859">
        <f>+'SUMM BY CLUSTER- CURRENT'!V112</f>
        <v>0</v>
      </c>
      <c r="W13" s="859">
        <f>+'SUMM BY CLUSTER- CURRENT'!W112</f>
        <v>1652000</v>
      </c>
      <c r="X13" s="859">
        <f>+'SUMM BY CLUSTER- CURRENT'!X112</f>
        <v>0</v>
      </c>
      <c r="Y13" s="859">
        <f t="shared" si="5"/>
        <v>1652000</v>
      </c>
      <c r="Z13" s="859">
        <f t="shared" si="22"/>
        <v>6539000</v>
      </c>
      <c r="AA13" s="859">
        <f t="shared" si="23"/>
        <v>5295000</v>
      </c>
      <c r="AB13" s="859">
        <f t="shared" si="24"/>
        <v>0</v>
      </c>
      <c r="AC13" s="859">
        <f t="shared" si="6"/>
        <v>11834000</v>
      </c>
      <c r="AD13" s="859">
        <f>+'SUMM BY CLUSTER- CURRENT'!AD112</f>
        <v>5991011.46</v>
      </c>
      <c r="AE13" s="859">
        <f>+'SUMM BY CLUSTER- CURRENT'!AE112</f>
        <v>3501579.61</v>
      </c>
      <c r="AF13" s="859">
        <f>+'SUMM BY CLUSTER- CURRENT'!AF112</f>
        <v>0</v>
      </c>
      <c r="AG13" s="859">
        <f t="shared" si="7"/>
        <v>9492591.0700000003</v>
      </c>
      <c r="AH13" s="859">
        <f>+'SUMM BY CLUSTER- CURRENT'!AH112</f>
        <v>0</v>
      </c>
      <c r="AI13" s="859">
        <f>+'SUMM BY CLUSTER- CURRENT'!AI112</f>
        <v>1421528.2000000002</v>
      </c>
      <c r="AJ13" s="859">
        <f>+'SUMM BY CLUSTER- CURRENT'!AJ112</f>
        <v>0</v>
      </c>
      <c r="AK13" s="859">
        <f t="shared" si="8"/>
        <v>1421528.2000000002</v>
      </c>
      <c r="AL13" s="859">
        <f t="shared" si="25"/>
        <v>5991011.46</v>
      </c>
      <c r="AM13" s="859">
        <f t="shared" si="26"/>
        <v>4923107.8100000005</v>
      </c>
      <c r="AN13" s="859">
        <f t="shared" si="27"/>
        <v>0</v>
      </c>
      <c r="AO13" s="859">
        <f t="shared" si="9"/>
        <v>10914119.27</v>
      </c>
      <c r="AP13" s="859">
        <f t="shared" si="28"/>
        <v>547988.54</v>
      </c>
      <c r="AQ13" s="859">
        <f t="shared" si="29"/>
        <v>371892.18999999948</v>
      </c>
      <c r="AR13" s="859">
        <f t="shared" si="30"/>
        <v>0</v>
      </c>
      <c r="AS13" s="859">
        <f t="shared" si="11"/>
        <v>919880.72999999952</v>
      </c>
      <c r="AT13" s="886">
        <f t="shared" si="12"/>
        <v>0.916196889432635</v>
      </c>
      <c r="AU13" s="886">
        <f t="shared" si="12"/>
        <v>0.9297654032105761</v>
      </c>
      <c r="AV13" s="886" t="str">
        <f t="shared" si="12"/>
        <v xml:space="preserve"> </v>
      </c>
      <c r="AW13" s="886">
        <f t="shared" si="13"/>
        <v>0.92226797955044781</v>
      </c>
      <c r="AX13" s="22">
        <f t="shared" si="14"/>
        <v>0</v>
      </c>
      <c r="AY13" s="22">
        <f t="shared" si="14"/>
        <v>0</v>
      </c>
      <c r="AZ13" s="22">
        <f t="shared" si="14"/>
        <v>0</v>
      </c>
      <c r="BA13" s="859">
        <f t="shared" si="15"/>
        <v>0</v>
      </c>
    </row>
    <row r="14" spans="1:53" s="16" customFormat="1">
      <c r="A14" s="905" t="s">
        <v>1035</v>
      </c>
      <c r="B14" s="859">
        <f>+'SUMM BY CLUSTER- CURRENT'!B113</f>
        <v>18361000</v>
      </c>
      <c r="C14" s="859">
        <f>+'SUMM BY CLUSTER- CURRENT'!C113</f>
        <v>11473000</v>
      </c>
      <c r="D14" s="859">
        <f>+'SUMM BY CLUSTER- CURRENT'!D113</f>
        <v>0</v>
      </c>
      <c r="E14" s="859">
        <f t="shared" si="1"/>
        <v>29834000</v>
      </c>
      <c r="F14" s="859">
        <f>+'SUMM BY CLUSTER- CURRENT'!F113</f>
        <v>0</v>
      </c>
      <c r="G14" s="859">
        <f>+'SUMM BY CLUSTER- CURRENT'!G113</f>
        <v>0</v>
      </c>
      <c r="H14" s="859">
        <f>+'SUMM BY CLUSTER- CURRENT'!H113</f>
        <v>0</v>
      </c>
      <c r="I14" s="859">
        <f t="shared" si="2"/>
        <v>0</v>
      </c>
      <c r="J14" s="859">
        <f t="shared" si="19"/>
        <v>18361000</v>
      </c>
      <c r="K14" s="859">
        <f t="shared" si="20"/>
        <v>11473000</v>
      </c>
      <c r="L14" s="859">
        <f t="shared" si="21"/>
        <v>0</v>
      </c>
      <c r="M14" s="859">
        <f t="shared" si="3"/>
        <v>29834000</v>
      </c>
      <c r="N14" s="859">
        <f>+'SUMM BY CLUSTER- CURRENT'!N113</f>
        <v>18361000</v>
      </c>
      <c r="O14" s="859">
        <f>+'SUMM BY CLUSTER- CURRENT'!O113</f>
        <v>11473000</v>
      </c>
      <c r="P14" s="859">
        <f>+'SUMM BY CLUSTER- CURRENT'!P113</f>
        <v>0</v>
      </c>
      <c r="Q14" s="859">
        <f t="shared" si="4"/>
        <v>29834000</v>
      </c>
      <c r="R14" s="859">
        <f>+'SUMM BY CLUSTER- CURRENT'!R113</f>
        <v>0</v>
      </c>
      <c r="S14" s="859">
        <f>+'SUMM BY CLUSTER- CURRENT'!S113</f>
        <v>0</v>
      </c>
      <c r="T14" s="859">
        <f>+'SUMM BY CLUSTER- CURRENT'!T113</f>
        <v>0</v>
      </c>
      <c r="U14" s="859">
        <f>SUM('CY-FUR (REG)- Detail'!V209:V211)</f>
        <v>0</v>
      </c>
      <c r="V14" s="859">
        <f>+'SUMM BY CLUSTER- CURRENT'!V113</f>
        <v>0</v>
      </c>
      <c r="W14" s="859">
        <f>+'SUMM BY CLUSTER- CURRENT'!W113</f>
        <v>2420000</v>
      </c>
      <c r="X14" s="859">
        <f>+'SUMM BY CLUSTER- CURRENT'!X113</f>
        <v>11000000</v>
      </c>
      <c r="Y14" s="859">
        <f t="shared" si="5"/>
        <v>13420000</v>
      </c>
      <c r="Z14" s="859">
        <f t="shared" si="22"/>
        <v>18361000</v>
      </c>
      <c r="AA14" s="859">
        <f t="shared" si="23"/>
        <v>13893000</v>
      </c>
      <c r="AB14" s="859">
        <f t="shared" si="24"/>
        <v>11000000</v>
      </c>
      <c r="AC14" s="859">
        <f t="shared" si="6"/>
        <v>43254000</v>
      </c>
      <c r="AD14" s="859">
        <f>+'SUMM BY CLUSTER- CURRENT'!AD113</f>
        <v>16379073.210000001</v>
      </c>
      <c r="AE14" s="859">
        <f>+'SUMM BY CLUSTER- CURRENT'!AE113</f>
        <v>9387248.8000000007</v>
      </c>
      <c r="AF14" s="859">
        <f>+'SUMM BY CLUSTER- CURRENT'!AF113</f>
        <v>0</v>
      </c>
      <c r="AG14" s="859">
        <f t="shared" si="7"/>
        <v>25766322.010000002</v>
      </c>
      <c r="AH14" s="859">
        <f>+'SUMM BY CLUSTER- CURRENT'!AH113</f>
        <v>0</v>
      </c>
      <c r="AI14" s="859">
        <f>+'SUMM BY CLUSTER- CURRENT'!AI113</f>
        <v>1758946.04</v>
      </c>
      <c r="AJ14" s="859">
        <f>+'SUMM BY CLUSTER- CURRENT'!AJ113</f>
        <v>175000</v>
      </c>
      <c r="AK14" s="859">
        <f t="shared" si="8"/>
        <v>1933946.04</v>
      </c>
      <c r="AL14" s="859">
        <f t="shared" si="25"/>
        <v>16379073.210000001</v>
      </c>
      <c r="AM14" s="859">
        <f t="shared" si="26"/>
        <v>11146194.84</v>
      </c>
      <c r="AN14" s="859">
        <f t="shared" si="27"/>
        <v>175000</v>
      </c>
      <c r="AO14" s="859">
        <f t="shared" si="9"/>
        <v>27700268.050000001</v>
      </c>
      <c r="AP14" s="859">
        <f t="shared" si="28"/>
        <v>1981926.7899999991</v>
      </c>
      <c r="AQ14" s="859">
        <f t="shared" si="29"/>
        <v>2746805.16</v>
      </c>
      <c r="AR14" s="859">
        <f t="shared" si="30"/>
        <v>10825000</v>
      </c>
      <c r="AS14" s="859">
        <f t="shared" si="11"/>
        <v>15553731.949999999</v>
      </c>
      <c r="AT14" s="886">
        <f t="shared" si="12"/>
        <v>0.89205779696094989</v>
      </c>
      <c r="AU14" s="886">
        <f t="shared" si="12"/>
        <v>0.80228855106888364</v>
      </c>
      <c r="AV14" s="886">
        <f t="shared" si="12"/>
        <v>1.5909090909090907E-2</v>
      </c>
      <c r="AW14" s="886">
        <f t="shared" si="13"/>
        <v>0.64040939681879139</v>
      </c>
      <c r="AX14" s="22">
        <f t="shared" si="14"/>
        <v>0</v>
      </c>
      <c r="AY14" s="22">
        <f t="shared" si="14"/>
        <v>0</v>
      </c>
      <c r="AZ14" s="22">
        <f t="shared" si="14"/>
        <v>0</v>
      </c>
      <c r="BA14" s="859">
        <f t="shared" si="15"/>
        <v>0</v>
      </c>
    </row>
    <row r="15" spans="1:53" s="16" customFormat="1">
      <c r="A15" s="905" t="s">
        <v>1036</v>
      </c>
      <c r="B15" s="859">
        <f>+'SUMM BY CLUSTER- CURRENT'!B114</f>
        <v>37392000</v>
      </c>
      <c r="C15" s="859">
        <f>+'SUMM BY CLUSTER- CURRENT'!C114</f>
        <v>29427000</v>
      </c>
      <c r="D15" s="859">
        <f>+'SUMM BY CLUSTER- CURRENT'!D114</f>
        <v>0</v>
      </c>
      <c r="E15" s="859">
        <f t="shared" si="1"/>
        <v>66819000</v>
      </c>
      <c r="F15" s="859">
        <f>+'SUMM BY CLUSTER- CURRENT'!F114</f>
        <v>1422853</v>
      </c>
      <c r="G15" s="859">
        <f>+'SUMM BY CLUSTER- CURRENT'!G114</f>
        <v>-1422853</v>
      </c>
      <c r="H15" s="859">
        <f>+'SUMM BY CLUSTER- CURRENT'!H114</f>
        <v>0</v>
      </c>
      <c r="I15" s="859">
        <f t="shared" si="2"/>
        <v>0</v>
      </c>
      <c r="J15" s="859">
        <f t="shared" si="19"/>
        <v>38814853</v>
      </c>
      <c r="K15" s="859">
        <f t="shared" si="20"/>
        <v>28004147</v>
      </c>
      <c r="L15" s="859">
        <f t="shared" si="21"/>
        <v>0</v>
      </c>
      <c r="M15" s="859">
        <f t="shared" si="3"/>
        <v>66819000</v>
      </c>
      <c r="N15" s="859">
        <f>+'SUMM BY CLUSTER- CURRENT'!N114</f>
        <v>38814853</v>
      </c>
      <c r="O15" s="859">
        <f>+'SUMM BY CLUSTER- CURRENT'!O114</f>
        <v>28004147</v>
      </c>
      <c r="P15" s="859">
        <f>+'SUMM BY CLUSTER- CURRENT'!P114</f>
        <v>0</v>
      </c>
      <c r="Q15" s="859">
        <f t="shared" si="4"/>
        <v>66819000</v>
      </c>
      <c r="R15" s="859">
        <f>+'SUMM BY CLUSTER- CURRENT'!R114</f>
        <v>0</v>
      </c>
      <c r="S15" s="859">
        <f>+'SUMM BY CLUSTER- CURRENT'!S114</f>
        <v>0</v>
      </c>
      <c r="T15" s="859">
        <f>+'SUMM BY CLUSTER- CURRENT'!T114</f>
        <v>0</v>
      </c>
      <c r="U15" s="859">
        <f>SUM('CY-FUR (REG)- Detail'!V210:V212)</f>
        <v>0</v>
      </c>
      <c r="V15" s="859">
        <f>+'SUMM BY CLUSTER- CURRENT'!V114</f>
        <v>0</v>
      </c>
      <c r="W15" s="859">
        <f>+'SUMM BY CLUSTER- CURRENT'!W114</f>
        <v>7220000</v>
      </c>
      <c r="X15" s="859">
        <f>+'SUMM BY CLUSTER- CURRENT'!X114</f>
        <v>20500000</v>
      </c>
      <c r="Y15" s="859">
        <f t="shared" si="5"/>
        <v>27720000</v>
      </c>
      <c r="Z15" s="859">
        <f t="shared" si="22"/>
        <v>38814853</v>
      </c>
      <c r="AA15" s="859">
        <f t="shared" si="23"/>
        <v>35224147</v>
      </c>
      <c r="AB15" s="859">
        <f t="shared" si="24"/>
        <v>20500000</v>
      </c>
      <c r="AC15" s="859">
        <f t="shared" si="6"/>
        <v>94539000</v>
      </c>
      <c r="AD15" s="859">
        <f>+'SUMM BY CLUSTER- CURRENT'!AD114</f>
        <v>36411638</v>
      </c>
      <c r="AE15" s="859">
        <f>+'SUMM BY CLUSTER- CURRENT'!AE114</f>
        <v>22376889.650000002</v>
      </c>
      <c r="AF15" s="859">
        <f>+'SUMM BY CLUSTER- CURRENT'!AF114</f>
        <v>0</v>
      </c>
      <c r="AG15" s="859">
        <f t="shared" si="7"/>
        <v>58788527.650000006</v>
      </c>
      <c r="AH15" s="859">
        <f>+'SUMM BY CLUSTER- CURRENT'!AH114</f>
        <v>0</v>
      </c>
      <c r="AI15" s="859">
        <f>+'SUMM BY CLUSTER- CURRENT'!AI114</f>
        <v>5948855.8100000005</v>
      </c>
      <c r="AJ15" s="859">
        <f>+'SUMM BY CLUSTER- CURRENT'!AJ114</f>
        <v>19738409.219999999</v>
      </c>
      <c r="AK15" s="859">
        <f t="shared" si="8"/>
        <v>25687265.030000001</v>
      </c>
      <c r="AL15" s="859">
        <f t="shared" si="25"/>
        <v>36411638</v>
      </c>
      <c r="AM15" s="859">
        <f t="shared" si="26"/>
        <v>28325745.460000001</v>
      </c>
      <c r="AN15" s="859">
        <f t="shared" si="27"/>
        <v>19738409.219999999</v>
      </c>
      <c r="AO15" s="859">
        <f t="shared" si="9"/>
        <v>84475792.680000007</v>
      </c>
      <c r="AP15" s="859">
        <f t="shared" si="28"/>
        <v>2403215</v>
      </c>
      <c r="AQ15" s="859">
        <f t="shared" si="29"/>
        <v>6898401.5399999991</v>
      </c>
      <c r="AR15" s="859">
        <f t="shared" si="30"/>
        <v>761590.78000000119</v>
      </c>
      <c r="AS15" s="859">
        <f t="shared" si="11"/>
        <v>10063207.32</v>
      </c>
      <c r="AT15" s="886">
        <f t="shared" si="12"/>
        <v>0.93808517064331021</v>
      </c>
      <c r="AU15" s="886">
        <f t="shared" si="12"/>
        <v>0.8041570306869319</v>
      </c>
      <c r="AV15" s="886">
        <f t="shared" si="12"/>
        <v>0.96284923024390234</v>
      </c>
      <c r="AW15" s="886">
        <f t="shared" si="13"/>
        <v>0.89355496334845941</v>
      </c>
      <c r="AX15" s="22">
        <f t="shared" si="14"/>
        <v>0</v>
      </c>
      <c r="AY15" s="22">
        <f t="shared" si="14"/>
        <v>0</v>
      </c>
      <c r="AZ15" s="22">
        <f t="shared" si="14"/>
        <v>0</v>
      </c>
      <c r="BA15" s="859">
        <f t="shared" si="15"/>
        <v>0</v>
      </c>
    </row>
    <row r="16" spans="1:53" s="16" customFormat="1">
      <c r="A16" s="905" t="s">
        <v>1037</v>
      </c>
      <c r="B16" s="859">
        <f>+'SUMM BY CLUSTER- CURRENT'!B115</f>
        <v>17682000</v>
      </c>
      <c r="C16" s="859">
        <f>+'SUMM BY CLUSTER- CURRENT'!C115</f>
        <v>24897000</v>
      </c>
      <c r="D16" s="859">
        <f>+'SUMM BY CLUSTER- CURRENT'!D115</f>
        <v>0</v>
      </c>
      <c r="E16" s="859">
        <f t="shared" si="1"/>
        <v>42579000</v>
      </c>
      <c r="F16" s="859">
        <f>+'SUMM BY CLUSTER- CURRENT'!F115</f>
        <v>0</v>
      </c>
      <c r="G16" s="859">
        <f>+'SUMM BY CLUSTER- CURRENT'!G115</f>
        <v>0</v>
      </c>
      <c r="H16" s="859">
        <f>+'SUMM BY CLUSTER- CURRENT'!H115</f>
        <v>0</v>
      </c>
      <c r="I16" s="859">
        <f t="shared" si="2"/>
        <v>0</v>
      </c>
      <c r="J16" s="859">
        <f t="shared" si="19"/>
        <v>17682000</v>
      </c>
      <c r="K16" s="859">
        <f t="shared" si="20"/>
        <v>24897000</v>
      </c>
      <c r="L16" s="859">
        <f t="shared" si="21"/>
        <v>0</v>
      </c>
      <c r="M16" s="859">
        <f t="shared" si="3"/>
        <v>42579000</v>
      </c>
      <c r="N16" s="859">
        <f>+'SUMM BY CLUSTER- CURRENT'!N115</f>
        <v>17682000</v>
      </c>
      <c r="O16" s="859">
        <f>+'SUMM BY CLUSTER- CURRENT'!O115</f>
        <v>24897000</v>
      </c>
      <c r="P16" s="859">
        <f>+'SUMM BY CLUSTER- CURRENT'!P115</f>
        <v>0</v>
      </c>
      <c r="Q16" s="859">
        <f t="shared" si="4"/>
        <v>42579000</v>
      </c>
      <c r="R16" s="859">
        <f>+'SUMM BY CLUSTER- CURRENT'!R115</f>
        <v>0</v>
      </c>
      <c r="S16" s="859">
        <f>+'SUMM BY CLUSTER- CURRENT'!S115</f>
        <v>0</v>
      </c>
      <c r="T16" s="859">
        <f>+'SUMM BY CLUSTER- CURRENT'!T115</f>
        <v>0</v>
      </c>
      <c r="U16" s="859">
        <f>SUM('CY-FUR (REG)- Detail'!V211:V213)</f>
        <v>0</v>
      </c>
      <c r="V16" s="859">
        <f>+'SUMM BY CLUSTER- CURRENT'!V115</f>
        <v>0</v>
      </c>
      <c r="W16" s="859">
        <f>+'SUMM BY CLUSTER- CURRENT'!W115</f>
        <v>2420000</v>
      </c>
      <c r="X16" s="859">
        <f>+'SUMM BY CLUSTER- CURRENT'!X115</f>
        <v>0</v>
      </c>
      <c r="Y16" s="859">
        <f t="shared" si="5"/>
        <v>2420000</v>
      </c>
      <c r="Z16" s="859">
        <f t="shared" si="22"/>
        <v>17682000</v>
      </c>
      <c r="AA16" s="859">
        <f t="shared" si="23"/>
        <v>27317000</v>
      </c>
      <c r="AB16" s="859">
        <f t="shared" si="24"/>
        <v>0</v>
      </c>
      <c r="AC16" s="859">
        <f t="shared" si="6"/>
        <v>44999000</v>
      </c>
      <c r="AD16" s="859">
        <f>+'SUMM BY CLUSTER- CURRENT'!AD115</f>
        <v>16510142.9</v>
      </c>
      <c r="AE16" s="859">
        <f>+'SUMM BY CLUSTER- CURRENT'!AE115</f>
        <v>18791169.77</v>
      </c>
      <c r="AF16" s="859">
        <f>+'SUMM BY CLUSTER- CURRENT'!AF115</f>
        <v>0</v>
      </c>
      <c r="AG16" s="859">
        <f t="shared" si="7"/>
        <v>35301312.670000002</v>
      </c>
      <c r="AH16" s="859">
        <f>+'SUMM BY CLUSTER- CURRENT'!AH115</f>
        <v>0</v>
      </c>
      <c r="AI16" s="859">
        <f>+'SUMM BY CLUSTER- CURRENT'!AI115</f>
        <v>1861025.99</v>
      </c>
      <c r="AJ16" s="859">
        <f>+'SUMM BY CLUSTER- CURRENT'!AJ115</f>
        <v>0</v>
      </c>
      <c r="AK16" s="859">
        <f t="shared" si="8"/>
        <v>1861025.99</v>
      </c>
      <c r="AL16" s="859">
        <f t="shared" si="25"/>
        <v>16510142.9</v>
      </c>
      <c r="AM16" s="859">
        <f t="shared" si="26"/>
        <v>20652195.759999998</v>
      </c>
      <c r="AN16" s="859">
        <f t="shared" si="27"/>
        <v>0</v>
      </c>
      <c r="AO16" s="859">
        <f t="shared" si="9"/>
        <v>37162338.659999996</v>
      </c>
      <c r="AP16" s="859">
        <f t="shared" si="28"/>
        <v>1171857.0999999996</v>
      </c>
      <c r="AQ16" s="859">
        <f t="shared" si="29"/>
        <v>6664804.2400000021</v>
      </c>
      <c r="AR16" s="859">
        <f t="shared" si="30"/>
        <v>0</v>
      </c>
      <c r="AS16" s="859">
        <f t="shared" si="11"/>
        <v>7836661.3400000017</v>
      </c>
      <c r="AT16" s="886">
        <f t="shared" si="12"/>
        <v>0.9337259868793123</v>
      </c>
      <c r="AU16" s="886">
        <f t="shared" si="12"/>
        <v>0.75601990555331833</v>
      </c>
      <c r="AV16" s="886" t="str">
        <f t="shared" si="12"/>
        <v xml:space="preserve"> </v>
      </c>
      <c r="AW16" s="886">
        <f t="shared" si="13"/>
        <v>0.82584810018000387</v>
      </c>
      <c r="AX16" s="22">
        <f t="shared" si="14"/>
        <v>0</v>
      </c>
      <c r="AY16" s="22">
        <f t="shared" si="14"/>
        <v>0</v>
      </c>
      <c r="AZ16" s="22">
        <f t="shared" si="14"/>
        <v>0</v>
      </c>
      <c r="BA16" s="859">
        <f t="shared" si="15"/>
        <v>0</v>
      </c>
    </row>
    <row r="17" spans="1:54" s="16" customFormat="1">
      <c r="A17" s="905" t="s">
        <v>1038</v>
      </c>
      <c r="B17" s="859">
        <f>+'SUMM BY CLUSTER- CURRENT'!B116</f>
        <v>0</v>
      </c>
      <c r="C17" s="859">
        <f>+'SUMM BY CLUSTER- CURRENT'!C116</f>
        <v>691000</v>
      </c>
      <c r="D17" s="859">
        <f>+'SUMM BY CLUSTER- CURRENT'!D116</f>
        <v>0</v>
      </c>
      <c r="E17" s="859">
        <f t="shared" si="1"/>
        <v>691000</v>
      </c>
      <c r="F17" s="859">
        <f>+'SUMM BY CLUSTER- CURRENT'!F116</f>
        <v>0</v>
      </c>
      <c r="G17" s="859">
        <f>+'SUMM BY CLUSTER- CURRENT'!G116</f>
        <v>0</v>
      </c>
      <c r="H17" s="859">
        <f>+'SUMM BY CLUSTER- CURRENT'!H116</f>
        <v>0</v>
      </c>
      <c r="I17" s="859">
        <f t="shared" si="2"/>
        <v>0</v>
      </c>
      <c r="J17" s="859">
        <f t="shared" si="19"/>
        <v>0</v>
      </c>
      <c r="K17" s="859">
        <f t="shared" si="20"/>
        <v>691000</v>
      </c>
      <c r="L17" s="859">
        <f t="shared" si="21"/>
        <v>0</v>
      </c>
      <c r="M17" s="859">
        <f t="shared" si="3"/>
        <v>691000</v>
      </c>
      <c r="N17" s="859">
        <f>+'SUMM BY CLUSTER- CURRENT'!N116</f>
        <v>0</v>
      </c>
      <c r="O17" s="859">
        <f>+'SUMM BY CLUSTER- CURRENT'!O116</f>
        <v>691000</v>
      </c>
      <c r="P17" s="859">
        <f>+'SUMM BY CLUSTER- CURRENT'!P116</f>
        <v>0</v>
      </c>
      <c r="Q17" s="859">
        <f t="shared" si="4"/>
        <v>691000</v>
      </c>
      <c r="R17" s="859">
        <f>+'SUMM BY CLUSTER- CURRENT'!R116</f>
        <v>0</v>
      </c>
      <c r="S17" s="859">
        <f>+'SUMM BY CLUSTER- CURRENT'!S116</f>
        <v>0</v>
      </c>
      <c r="T17" s="859">
        <f>+'SUMM BY CLUSTER- CURRENT'!T116</f>
        <v>0</v>
      </c>
      <c r="U17" s="859">
        <f>SUM('CY-FUR (REG)- Detail'!V212:V214)</f>
        <v>0</v>
      </c>
      <c r="V17" s="859">
        <f>+'SUMM BY CLUSTER- CURRENT'!V116</f>
        <v>0</v>
      </c>
      <c r="W17" s="859">
        <f>+'SUMM BY CLUSTER- CURRENT'!W116</f>
        <v>0</v>
      </c>
      <c r="X17" s="859">
        <f>+'SUMM BY CLUSTER- CURRENT'!X116</f>
        <v>0</v>
      </c>
      <c r="Y17" s="859">
        <f t="shared" si="5"/>
        <v>0</v>
      </c>
      <c r="Z17" s="859">
        <f t="shared" si="22"/>
        <v>0</v>
      </c>
      <c r="AA17" s="859">
        <f t="shared" si="23"/>
        <v>691000</v>
      </c>
      <c r="AB17" s="859">
        <f t="shared" si="24"/>
        <v>0</v>
      </c>
      <c r="AC17" s="859">
        <f t="shared" si="6"/>
        <v>691000</v>
      </c>
      <c r="AD17" s="859">
        <f>+'SUMM BY CLUSTER- CURRENT'!AD116</f>
        <v>0</v>
      </c>
      <c r="AE17" s="859">
        <f>+'SUMM BY CLUSTER- CURRENT'!AE116</f>
        <v>0</v>
      </c>
      <c r="AF17" s="859">
        <f>+'SUMM BY CLUSTER- CURRENT'!AF116</f>
        <v>0</v>
      </c>
      <c r="AG17" s="859">
        <f t="shared" si="7"/>
        <v>0</v>
      </c>
      <c r="AH17" s="859">
        <f>+'SUMM BY CLUSTER- CURRENT'!AH116</f>
        <v>0</v>
      </c>
      <c r="AI17" s="859">
        <f>+'SUMM BY CLUSTER- CURRENT'!AI116</f>
        <v>0</v>
      </c>
      <c r="AJ17" s="859">
        <f>+'SUMM BY CLUSTER- CURRENT'!AJ116</f>
        <v>0</v>
      </c>
      <c r="AK17" s="859">
        <f t="shared" si="8"/>
        <v>0</v>
      </c>
      <c r="AL17" s="859">
        <f t="shared" si="25"/>
        <v>0</v>
      </c>
      <c r="AM17" s="859">
        <f t="shared" si="26"/>
        <v>0</v>
      </c>
      <c r="AN17" s="859">
        <f t="shared" si="27"/>
        <v>0</v>
      </c>
      <c r="AO17" s="859">
        <f t="shared" si="9"/>
        <v>0</v>
      </c>
      <c r="AP17" s="859">
        <f t="shared" si="28"/>
        <v>0</v>
      </c>
      <c r="AQ17" s="859">
        <f t="shared" si="29"/>
        <v>691000</v>
      </c>
      <c r="AR17" s="859">
        <f t="shared" si="30"/>
        <v>0</v>
      </c>
      <c r="AS17" s="859">
        <f t="shared" si="11"/>
        <v>691000</v>
      </c>
      <c r="AT17" s="886" t="str">
        <f t="shared" si="12"/>
        <v xml:space="preserve"> </v>
      </c>
      <c r="AU17" s="886">
        <f t="shared" si="12"/>
        <v>0</v>
      </c>
      <c r="AV17" s="886" t="str">
        <f t="shared" si="12"/>
        <v xml:space="preserve"> </v>
      </c>
      <c r="AW17" s="886">
        <f t="shared" si="13"/>
        <v>0</v>
      </c>
      <c r="AX17" s="22">
        <f t="shared" si="14"/>
        <v>0</v>
      </c>
      <c r="AY17" s="22">
        <f t="shared" si="14"/>
        <v>0</v>
      </c>
      <c r="AZ17" s="22">
        <f t="shared" si="14"/>
        <v>0</v>
      </c>
      <c r="BA17" s="859">
        <f t="shared" si="15"/>
        <v>0</v>
      </c>
    </row>
    <row r="18" spans="1:54" s="16" customFormat="1">
      <c r="A18" s="592"/>
      <c r="B18" s="859"/>
      <c r="C18" s="859"/>
      <c r="D18" s="859"/>
      <c r="E18" s="860">
        <f t="shared" si="1"/>
        <v>0</v>
      </c>
      <c r="F18" s="859"/>
      <c r="G18" s="859"/>
      <c r="H18" s="859"/>
      <c r="I18" s="860">
        <f t="shared" si="2"/>
        <v>0</v>
      </c>
      <c r="J18" s="859">
        <f t="shared" si="19"/>
        <v>0</v>
      </c>
      <c r="K18" s="859">
        <f t="shared" si="20"/>
        <v>0</v>
      </c>
      <c r="L18" s="859">
        <f t="shared" si="21"/>
        <v>0</v>
      </c>
      <c r="M18" s="860">
        <f t="shared" si="3"/>
        <v>0</v>
      </c>
      <c r="N18" s="859"/>
      <c r="O18" s="859"/>
      <c r="P18" s="859"/>
      <c r="Q18" s="860">
        <f t="shared" si="4"/>
        <v>0</v>
      </c>
      <c r="R18" s="859"/>
      <c r="S18" s="859"/>
      <c r="T18" s="859"/>
      <c r="U18" s="860"/>
      <c r="V18" s="859"/>
      <c r="W18" s="859"/>
      <c r="X18" s="859"/>
      <c r="Y18" s="860">
        <f t="shared" si="5"/>
        <v>0</v>
      </c>
      <c r="Z18" s="860">
        <f t="shared" si="22"/>
        <v>0</v>
      </c>
      <c r="AA18" s="860">
        <f t="shared" si="23"/>
        <v>0</v>
      </c>
      <c r="AB18" s="860">
        <f t="shared" si="24"/>
        <v>0</v>
      </c>
      <c r="AC18" s="860">
        <f t="shared" si="6"/>
        <v>0</v>
      </c>
      <c r="AD18" s="859"/>
      <c r="AE18" s="859"/>
      <c r="AF18" s="859"/>
      <c r="AG18" s="860">
        <f t="shared" si="7"/>
        <v>0</v>
      </c>
      <c r="AH18" s="859"/>
      <c r="AI18" s="859"/>
      <c r="AJ18" s="859"/>
      <c r="AK18" s="860">
        <f t="shared" si="8"/>
        <v>0</v>
      </c>
      <c r="AL18" s="860">
        <f t="shared" si="25"/>
        <v>0</v>
      </c>
      <c r="AM18" s="860">
        <f t="shared" si="26"/>
        <v>0</v>
      </c>
      <c r="AN18" s="860">
        <f t="shared" si="27"/>
        <v>0</v>
      </c>
      <c r="AO18" s="860">
        <f t="shared" si="9"/>
        <v>0</v>
      </c>
      <c r="AP18" s="860">
        <f t="shared" si="28"/>
        <v>0</v>
      </c>
      <c r="AQ18" s="860">
        <f t="shared" si="29"/>
        <v>0</v>
      </c>
      <c r="AR18" s="860">
        <f t="shared" si="30"/>
        <v>0</v>
      </c>
      <c r="AS18" s="860">
        <f t="shared" si="11"/>
        <v>0</v>
      </c>
      <c r="AT18" s="886" t="str">
        <f t="shared" si="12"/>
        <v xml:space="preserve"> </v>
      </c>
      <c r="AU18" s="886" t="str">
        <f t="shared" si="12"/>
        <v xml:space="preserve"> </v>
      </c>
      <c r="AV18" s="886" t="str">
        <f t="shared" si="12"/>
        <v xml:space="preserve"> </v>
      </c>
      <c r="AW18" s="886" t="str">
        <f t="shared" si="13"/>
        <v xml:space="preserve"> </v>
      </c>
      <c r="AX18" s="22">
        <f t="shared" si="14"/>
        <v>0</v>
      </c>
      <c r="AY18" s="22">
        <f t="shared" si="14"/>
        <v>0</v>
      </c>
      <c r="AZ18" s="22">
        <f t="shared" si="14"/>
        <v>0</v>
      </c>
      <c r="BA18" s="860">
        <f t="shared" si="15"/>
        <v>0</v>
      </c>
    </row>
    <row r="19" spans="1:54" s="903" customFormat="1" ht="16.5">
      <c r="A19" s="901" t="s">
        <v>1039</v>
      </c>
      <c r="B19" s="868">
        <f t="shared" ref="B19:AJ19" si="31">SUM(B20:B23)</f>
        <v>370281000</v>
      </c>
      <c r="C19" s="868">
        <f t="shared" si="31"/>
        <v>304245000</v>
      </c>
      <c r="D19" s="868">
        <f t="shared" si="31"/>
        <v>0</v>
      </c>
      <c r="E19" s="868">
        <f t="shared" si="1"/>
        <v>674526000</v>
      </c>
      <c r="F19" s="868">
        <f t="shared" si="31"/>
        <v>0</v>
      </c>
      <c r="G19" s="868">
        <f t="shared" si="31"/>
        <v>0</v>
      </c>
      <c r="H19" s="868">
        <f t="shared" si="31"/>
        <v>0</v>
      </c>
      <c r="I19" s="868">
        <f t="shared" si="2"/>
        <v>0</v>
      </c>
      <c r="J19" s="868">
        <f t="shared" si="19"/>
        <v>370281000</v>
      </c>
      <c r="K19" s="868">
        <f t="shared" si="20"/>
        <v>304245000</v>
      </c>
      <c r="L19" s="868">
        <f t="shared" si="21"/>
        <v>0</v>
      </c>
      <c r="M19" s="868">
        <f t="shared" si="3"/>
        <v>674526000</v>
      </c>
      <c r="N19" s="868">
        <f t="shared" si="31"/>
        <v>370281000</v>
      </c>
      <c r="O19" s="868">
        <f t="shared" si="31"/>
        <v>304245000</v>
      </c>
      <c r="P19" s="868">
        <f t="shared" si="31"/>
        <v>0</v>
      </c>
      <c r="Q19" s="868">
        <f t="shared" si="4"/>
        <v>674526000</v>
      </c>
      <c r="R19" s="868">
        <f t="shared" si="31"/>
        <v>0</v>
      </c>
      <c r="S19" s="868">
        <f t="shared" si="31"/>
        <v>0</v>
      </c>
      <c r="T19" s="868">
        <f t="shared" si="31"/>
        <v>0</v>
      </c>
      <c r="U19" s="868">
        <f t="shared" si="31"/>
        <v>0</v>
      </c>
      <c r="V19" s="868">
        <f t="shared" si="31"/>
        <v>0</v>
      </c>
      <c r="W19" s="868">
        <f t="shared" si="31"/>
        <v>214241681.66</v>
      </c>
      <c r="X19" s="868">
        <f t="shared" si="31"/>
        <v>367765968</v>
      </c>
      <c r="Y19" s="868">
        <f t="shared" si="5"/>
        <v>582007649.65999997</v>
      </c>
      <c r="Z19" s="868">
        <f t="shared" si="22"/>
        <v>370281000</v>
      </c>
      <c r="AA19" s="868">
        <f t="shared" si="23"/>
        <v>518486681.65999997</v>
      </c>
      <c r="AB19" s="868">
        <f t="shared" si="24"/>
        <v>367765968</v>
      </c>
      <c r="AC19" s="868">
        <f t="shared" si="6"/>
        <v>1256533649.6599998</v>
      </c>
      <c r="AD19" s="868">
        <f t="shared" si="31"/>
        <v>342464431.40000004</v>
      </c>
      <c r="AE19" s="868">
        <f t="shared" si="31"/>
        <v>236822968.73999998</v>
      </c>
      <c r="AF19" s="868">
        <f t="shared" si="31"/>
        <v>0</v>
      </c>
      <c r="AG19" s="868">
        <f t="shared" si="7"/>
        <v>579287400.13999999</v>
      </c>
      <c r="AH19" s="868">
        <f t="shared" si="31"/>
        <v>0</v>
      </c>
      <c r="AI19" s="868">
        <f t="shared" si="31"/>
        <v>150138349.23999998</v>
      </c>
      <c r="AJ19" s="868">
        <f t="shared" si="31"/>
        <v>217026257.72999999</v>
      </c>
      <c r="AK19" s="868">
        <f t="shared" si="8"/>
        <v>367164606.96999997</v>
      </c>
      <c r="AL19" s="868">
        <f t="shared" si="25"/>
        <v>342464431.40000004</v>
      </c>
      <c r="AM19" s="868">
        <f t="shared" si="26"/>
        <v>386961317.97999996</v>
      </c>
      <c r="AN19" s="868">
        <f t="shared" si="27"/>
        <v>217026257.72999999</v>
      </c>
      <c r="AO19" s="868">
        <f t="shared" si="9"/>
        <v>946452007.11000001</v>
      </c>
      <c r="AP19" s="868">
        <f t="shared" si="28"/>
        <v>27816568.599999964</v>
      </c>
      <c r="AQ19" s="868">
        <f t="shared" si="29"/>
        <v>131525363.68000001</v>
      </c>
      <c r="AR19" s="868">
        <f t="shared" si="30"/>
        <v>150739710.27000001</v>
      </c>
      <c r="AS19" s="868">
        <f t="shared" si="11"/>
        <v>310081642.54999995</v>
      </c>
      <c r="AT19" s="902">
        <f t="shared" si="12"/>
        <v>0.92487713763331103</v>
      </c>
      <c r="AU19" s="902">
        <f t="shared" si="12"/>
        <v>0.74632836612330122</v>
      </c>
      <c r="AV19" s="902">
        <f t="shared" si="12"/>
        <v>0.59012055658722606</v>
      </c>
      <c r="AW19" s="902">
        <f t="shared" si="13"/>
        <v>0.75322456136856863</v>
      </c>
      <c r="AX19" s="22">
        <f t="shared" si="14"/>
        <v>0</v>
      </c>
      <c r="AY19" s="22">
        <f t="shared" si="14"/>
        <v>0</v>
      </c>
      <c r="AZ19" s="22">
        <f t="shared" si="14"/>
        <v>0</v>
      </c>
      <c r="BA19" s="868">
        <f t="shared" si="15"/>
        <v>0</v>
      </c>
    </row>
    <row r="20" spans="1:54" s="903" customFormat="1">
      <c r="A20" s="905" t="s">
        <v>1094</v>
      </c>
      <c r="B20" s="859">
        <f>+'SUMM BY CLUSTER- CURRENT'!B119</f>
        <v>91437000</v>
      </c>
      <c r="C20" s="859">
        <f>+'SUMM BY CLUSTER- CURRENT'!C119</f>
        <v>168249000</v>
      </c>
      <c r="D20" s="859">
        <f>+'SUMM BY CLUSTER- CURRENT'!D119</f>
        <v>0</v>
      </c>
      <c r="E20" s="859">
        <f t="shared" si="1"/>
        <v>259686000</v>
      </c>
      <c r="F20" s="859">
        <f>+'SUMM BY CLUSTER- CURRENT'!F119</f>
        <v>0</v>
      </c>
      <c r="G20" s="859">
        <f>+'SUMM BY CLUSTER- CURRENT'!G119</f>
        <v>0</v>
      </c>
      <c r="H20" s="859">
        <f>+'SUMM BY CLUSTER- CURRENT'!H119</f>
        <v>0</v>
      </c>
      <c r="I20" s="859">
        <f t="shared" si="2"/>
        <v>0</v>
      </c>
      <c r="J20" s="859">
        <f t="shared" si="19"/>
        <v>91437000</v>
      </c>
      <c r="K20" s="859">
        <f t="shared" si="20"/>
        <v>168249000</v>
      </c>
      <c r="L20" s="859">
        <f t="shared" si="21"/>
        <v>0</v>
      </c>
      <c r="M20" s="859">
        <f t="shared" si="3"/>
        <v>259686000</v>
      </c>
      <c r="N20" s="859">
        <f>+'SUMM BY CLUSTER- CURRENT'!N119</f>
        <v>91437000</v>
      </c>
      <c r="O20" s="859">
        <f>+'SUMM BY CLUSTER- CURRENT'!O119</f>
        <v>168249000</v>
      </c>
      <c r="P20" s="859">
        <f>+'SUMM BY CLUSTER- CURRENT'!P119</f>
        <v>0</v>
      </c>
      <c r="Q20" s="859">
        <f t="shared" si="4"/>
        <v>259686000</v>
      </c>
      <c r="R20" s="859">
        <f>+'SUMM BY CLUSTER- CURRENT'!R119</f>
        <v>0</v>
      </c>
      <c r="S20" s="859">
        <f>+'SUMM BY CLUSTER- CURRENT'!S119</f>
        <v>0</v>
      </c>
      <c r="T20" s="859">
        <f>+'SUMM BY CLUSTER- CURRENT'!T119</f>
        <v>0</v>
      </c>
      <c r="U20" s="859">
        <f>SUM('CY-FUR (REG)- Detail'!V215:V217)</f>
        <v>0</v>
      </c>
      <c r="V20" s="859">
        <f>+'SUMM BY CLUSTER- CURRENT'!V119</f>
        <v>0</v>
      </c>
      <c r="W20" s="859">
        <f>+'SUMM BY CLUSTER- CURRENT'!W119</f>
        <v>167546681.66</v>
      </c>
      <c r="X20" s="859">
        <f>+'SUMM BY CLUSTER- CURRENT'!X119</f>
        <v>56285968</v>
      </c>
      <c r="Y20" s="859">
        <f t="shared" si="5"/>
        <v>223832649.66</v>
      </c>
      <c r="Z20" s="859">
        <f t="shared" si="22"/>
        <v>91437000</v>
      </c>
      <c r="AA20" s="859">
        <f t="shared" si="23"/>
        <v>335795681.65999997</v>
      </c>
      <c r="AB20" s="859">
        <f t="shared" si="24"/>
        <v>56285968</v>
      </c>
      <c r="AC20" s="859">
        <f t="shared" si="6"/>
        <v>483518649.65999997</v>
      </c>
      <c r="AD20" s="859">
        <f>+'SUMM BY CLUSTER- CURRENT'!AD119</f>
        <v>83004298.370000005</v>
      </c>
      <c r="AE20" s="859">
        <f>+'SUMM BY CLUSTER- CURRENT'!AE119</f>
        <v>117979187.27</v>
      </c>
      <c r="AF20" s="859">
        <f>+'SUMM BY CLUSTER- CURRENT'!AF119</f>
        <v>0</v>
      </c>
      <c r="AG20" s="859">
        <f t="shared" si="7"/>
        <v>200983485.63999999</v>
      </c>
      <c r="AH20" s="859">
        <f>+'SUMM BY CLUSTER- CURRENT'!AH119</f>
        <v>0</v>
      </c>
      <c r="AI20" s="859">
        <f>+'SUMM BY CLUSTER- CURRENT'!AI119</f>
        <v>110065596.33999999</v>
      </c>
      <c r="AJ20" s="859">
        <f>+'SUMM BY CLUSTER- CURRENT'!AJ119</f>
        <v>52012389.670000002</v>
      </c>
      <c r="AK20" s="859">
        <f t="shared" si="8"/>
        <v>162077986.00999999</v>
      </c>
      <c r="AL20" s="859">
        <f t="shared" si="25"/>
        <v>83004298.370000005</v>
      </c>
      <c r="AM20" s="859">
        <f t="shared" si="26"/>
        <v>228044783.60999998</v>
      </c>
      <c r="AN20" s="859">
        <f t="shared" si="27"/>
        <v>52012389.670000002</v>
      </c>
      <c r="AO20" s="859">
        <f t="shared" si="9"/>
        <v>363061471.65000004</v>
      </c>
      <c r="AP20" s="859">
        <f t="shared" si="28"/>
        <v>8432701.6299999952</v>
      </c>
      <c r="AQ20" s="859">
        <f t="shared" si="29"/>
        <v>107750898.04999998</v>
      </c>
      <c r="AR20" s="859">
        <f t="shared" si="30"/>
        <v>4273578.3299999982</v>
      </c>
      <c r="AS20" s="859">
        <f t="shared" si="11"/>
        <v>120457178.00999998</v>
      </c>
      <c r="AT20" s="902">
        <f t="shared" si="12"/>
        <v>0.90777582783774624</v>
      </c>
      <c r="AU20" s="902">
        <f t="shared" si="12"/>
        <v>0.67911767799593092</v>
      </c>
      <c r="AV20" s="902">
        <f t="shared" si="12"/>
        <v>0.92407382369261204</v>
      </c>
      <c r="AW20" s="902">
        <f t="shared" si="13"/>
        <v>0.75087377065041261</v>
      </c>
      <c r="AX20" s="22">
        <f t="shared" si="14"/>
        <v>0</v>
      </c>
      <c r="AY20" s="22">
        <f t="shared" si="14"/>
        <v>0</v>
      </c>
      <c r="AZ20" s="22">
        <f t="shared" si="14"/>
        <v>0</v>
      </c>
      <c r="BA20" s="859">
        <f t="shared" si="15"/>
        <v>0</v>
      </c>
    </row>
    <row r="21" spans="1:54" s="903" customFormat="1">
      <c r="A21" s="905" t="s">
        <v>1041</v>
      </c>
      <c r="B21" s="859">
        <f>+'SUMM BY CLUSTER- CURRENT'!B120</f>
        <v>154484000</v>
      </c>
      <c r="C21" s="859">
        <f>+'SUMM BY CLUSTER- CURRENT'!C120</f>
        <v>85131000</v>
      </c>
      <c r="D21" s="859">
        <f>+'SUMM BY CLUSTER- CURRENT'!D120</f>
        <v>0</v>
      </c>
      <c r="E21" s="859">
        <f t="shared" si="1"/>
        <v>239615000</v>
      </c>
      <c r="F21" s="859">
        <f>+'SUMM BY CLUSTER- CURRENT'!F120</f>
        <v>0</v>
      </c>
      <c r="G21" s="859">
        <f>+'SUMM BY CLUSTER- CURRENT'!G120</f>
        <v>0</v>
      </c>
      <c r="H21" s="859">
        <f>+'SUMM BY CLUSTER- CURRENT'!H120</f>
        <v>0</v>
      </c>
      <c r="I21" s="859">
        <f t="shared" si="2"/>
        <v>0</v>
      </c>
      <c r="J21" s="859">
        <f t="shared" si="19"/>
        <v>154484000</v>
      </c>
      <c r="K21" s="859">
        <f t="shared" si="20"/>
        <v>85131000</v>
      </c>
      <c r="L21" s="859">
        <f t="shared" si="21"/>
        <v>0</v>
      </c>
      <c r="M21" s="859">
        <f t="shared" si="3"/>
        <v>239615000</v>
      </c>
      <c r="N21" s="859">
        <f>+'SUMM BY CLUSTER- CURRENT'!N120</f>
        <v>154484000</v>
      </c>
      <c r="O21" s="859">
        <f>+'SUMM BY CLUSTER- CURRENT'!O120</f>
        <v>85131000</v>
      </c>
      <c r="P21" s="859">
        <f>+'SUMM BY CLUSTER- CURRENT'!P120</f>
        <v>0</v>
      </c>
      <c r="Q21" s="859">
        <f t="shared" si="4"/>
        <v>239615000</v>
      </c>
      <c r="R21" s="859">
        <f>+'SUMM BY CLUSTER- CURRENT'!R120</f>
        <v>0</v>
      </c>
      <c r="S21" s="859">
        <f>+'SUMM BY CLUSTER- CURRENT'!S120</f>
        <v>0</v>
      </c>
      <c r="T21" s="859">
        <f>+'SUMM BY CLUSTER- CURRENT'!T120</f>
        <v>0</v>
      </c>
      <c r="U21" s="859">
        <f>SUM('CY-FUR (REG)- Detail'!V216:V218)</f>
        <v>0</v>
      </c>
      <c r="V21" s="859">
        <f>+'SUMM BY CLUSTER- CURRENT'!V120</f>
        <v>0</v>
      </c>
      <c r="W21" s="859">
        <f>+'SUMM BY CLUSTER- CURRENT'!W120</f>
        <v>28031000</v>
      </c>
      <c r="X21" s="859">
        <f>+'SUMM BY CLUSTER- CURRENT'!X120</f>
        <v>185000000</v>
      </c>
      <c r="Y21" s="859">
        <f t="shared" si="5"/>
        <v>213031000</v>
      </c>
      <c r="Z21" s="859">
        <f t="shared" si="22"/>
        <v>154484000</v>
      </c>
      <c r="AA21" s="859">
        <f t="shared" si="23"/>
        <v>113162000</v>
      </c>
      <c r="AB21" s="859">
        <f t="shared" si="24"/>
        <v>185000000</v>
      </c>
      <c r="AC21" s="859">
        <f t="shared" si="6"/>
        <v>452646000</v>
      </c>
      <c r="AD21" s="859">
        <f>+'SUMM BY CLUSTER- CURRENT'!AD120</f>
        <v>145994854.17000005</v>
      </c>
      <c r="AE21" s="859">
        <f>+'SUMM BY CLUSTER- CURRENT'!AE120</f>
        <v>72613813.499999985</v>
      </c>
      <c r="AF21" s="859">
        <f>+'SUMM BY CLUSTER- CURRENT'!AF120</f>
        <v>0</v>
      </c>
      <c r="AG21" s="859">
        <f t="shared" si="7"/>
        <v>218608667.67000002</v>
      </c>
      <c r="AH21" s="859">
        <f>+'SUMM BY CLUSTER- CURRENT'!AH120</f>
        <v>0</v>
      </c>
      <c r="AI21" s="859">
        <f>+'SUMM BY CLUSTER- CURRENT'!AI120</f>
        <v>24615393.029999994</v>
      </c>
      <c r="AJ21" s="859">
        <f>+'SUMM BY CLUSTER- CURRENT'!AJ120</f>
        <v>43251746.239999995</v>
      </c>
      <c r="AK21" s="859">
        <f t="shared" si="8"/>
        <v>67867139.269999981</v>
      </c>
      <c r="AL21" s="859">
        <f t="shared" si="25"/>
        <v>145994854.17000005</v>
      </c>
      <c r="AM21" s="859">
        <f t="shared" si="26"/>
        <v>97229206.529999971</v>
      </c>
      <c r="AN21" s="859">
        <f t="shared" si="27"/>
        <v>43251746.239999995</v>
      </c>
      <c r="AO21" s="859">
        <f t="shared" si="9"/>
        <v>286475806.94</v>
      </c>
      <c r="AP21" s="859">
        <f t="shared" si="28"/>
        <v>8489145.8299999535</v>
      </c>
      <c r="AQ21" s="859">
        <f t="shared" si="29"/>
        <v>15932793.470000029</v>
      </c>
      <c r="AR21" s="859">
        <f t="shared" si="30"/>
        <v>141748253.75999999</v>
      </c>
      <c r="AS21" s="859">
        <f t="shared" si="11"/>
        <v>166170193.05999997</v>
      </c>
      <c r="AT21" s="902">
        <f t="shared" si="12"/>
        <v>0.94504838151523818</v>
      </c>
      <c r="AU21" s="902">
        <f t="shared" si="12"/>
        <v>0.85920367729449787</v>
      </c>
      <c r="AV21" s="902">
        <f t="shared" si="12"/>
        <v>0.23379322291891888</v>
      </c>
      <c r="AW21" s="902">
        <f t="shared" si="13"/>
        <v>0.63289150227771818</v>
      </c>
      <c r="AX21" s="22">
        <f t="shared" si="14"/>
        <v>0</v>
      </c>
      <c r="AY21" s="22">
        <f t="shared" si="14"/>
        <v>0</v>
      </c>
      <c r="AZ21" s="22">
        <f t="shared" si="14"/>
        <v>0</v>
      </c>
      <c r="BA21" s="859">
        <f t="shared" si="15"/>
        <v>0</v>
      </c>
    </row>
    <row r="22" spans="1:54" s="903" customFormat="1">
      <c r="A22" s="905" t="s">
        <v>1042</v>
      </c>
      <c r="B22" s="859">
        <f>+'SUMM BY CLUSTER- CURRENT'!B121</f>
        <v>78777000</v>
      </c>
      <c r="C22" s="859">
        <f>+'SUMM BY CLUSTER- CURRENT'!C121</f>
        <v>26520000</v>
      </c>
      <c r="D22" s="859">
        <f>+'SUMM BY CLUSTER- CURRENT'!D121</f>
        <v>0</v>
      </c>
      <c r="E22" s="859">
        <f t="shared" si="1"/>
        <v>105297000</v>
      </c>
      <c r="F22" s="859">
        <f>+'SUMM BY CLUSTER- CURRENT'!F121</f>
        <v>0</v>
      </c>
      <c r="G22" s="859">
        <f>+'SUMM BY CLUSTER- CURRENT'!G121</f>
        <v>0</v>
      </c>
      <c r="H22" s="859">
        <f>+'SUMM BY CLUSTER- CURRENT'!H121</f>
        <v>0</v>
      </c>
      <c r="I22" s="859">
        <f t="shared" si="2"/>
        <v>0</v>
      </c>
      <c r="J22" s="859">
        <f t="shared" si="19"/>
        <v>78777000</v>
      </c>
      <c r="K22" s="859">
        <f t="shared" si="20"/>
        <v>26520000</v>
      </c>
      <c r="L22" s="859">
        <f t="shared" si="21"/>
        <v>0</v>
      </c>
      <c r="M22" s="859">
        <f t="shared" si="3"/>
        <v>105297000</v>
      </c>
      <c r="N22" s="859">
        <f>+'SUMM BY CLUSTER- CURRENT'!N121</f>
        <v>78777000</v>
      </c>
      <c r="O22" s="859">
        <f>+'SUMM BY CLUSTER- CURRENT'!O121</f>
        <v>26520000</v>
      </c>
      <c r="P22" s="859">
        <f>+'SUMM BY CLUSTER- CURRENT'!P121</f>
        <v>0</v>
      </c>
      <c r="Q22" s="859">
        <f t="shared" si="4"/>
        <v>105297000</v>
      </c>
      <c r="R22" s="859">
        <f>+'SUMM BY CLUSTER- CURRENT'!R121</f>
        <v>0</v>
      </c>
      <c r="S22" s="859">
        <f>+'SUMM BY CLUSTER- CURRENT'!S121</f>
        <v>0</v>
      </c>
      <c r="T22" s="859">
        <f>+'SUMM BY CLUSTER- CURRENT'!T121</f>
        <v>0</v>
      </c>
      <c r="U22" s="859">
        <f>SUM('CY-FUR (REG)- Detail'!V217:V219)</f>
        <v>0</v>
      </c>
      <c r="V22" s="859">
        <f>+'SUMM BY CLUSTER- CURRENT'!V121</f>
        <v>0</v>
      </c>
      <c r="W22" s="859">
        <f>+'SUMM BY CLUSTER- CURRENT'!W121</f>
        <v>12212000</v>
      </c>
      <c r="X22" s="859">
        <f>+'SUMM BY CLUSTER- CURRENT'!X121</f>
        <v>100000000</v>
      </c>
      <c r="Y22" s="859">
        <f t="shared" si="5"/>
        <v>112212000</v>
      </c>
      <c r="Z22" s="859">
        <f t="shared" si="22"/>
        <v>78777000</v>
      </c>
      <c r="AA22" s="859">
        <f t="shared" si="23"/>
        <v>38732000</v>
      </c>
      <c r="AB22" s="859">
        <f t="shared" si="24"/>
        <v>100000000</v>
      </c>
      <c r="AC22" s="859">
        <f t="shared" si="6"/>
        <v>217509000</v>
      </c>
      <c r="AD22" s="859">
        <f>+'SUMM BY CLUSTER- CURRENT'!AD121</f>
        <v>71400655.399999991</v>
      </c>
      <c r="AE22" s="859">
        <f>+'SUMM BY CLUSTER- CURRENT'!AE121</f>
        <v>24484625.690000005</v>
      </c>
      <c r="AF22" s="859">
        <f>+'SUMM BY CLUSTER- CURRENT'!AF121</f>
        <v>0</v>
      </c>
      <c r="AG22" s="859">
        <f t="shared" si="7"/>
        <v>95885281.090000004</v>
      </c>
      <c r="AH22" s="859">
        <f>+'SUMM BY CLUSTER- CURRENT'!AH121</f>
        <v>0</v>
      </c>
      <c r="AI22" s="859">
        <f>+'SUMM BY CLUSTER- CURRENT'!AI121</f>
        <v>9431586.75</v>
      </c>
      <c r="AJ22" s="859">
        <f>+'SUMM BY CLUSTER- CURRENT'!AJ121</f>
        <v>99791217.060000002</v>
      </c>
      <c r="AK22" s="859">
        <f t="shared" si="8"/>
        <v>109222803.81</v>
      </c>
      <c r="AL22" s="859">
        <f t="shared" si="25"/>
        <v>71400655.399999991</v>
      </c>
      <c r="AM22" s="859">
        <f t="shared" si="26"/>
        <v>33916212.440000005</v>
      </c>
      <c r="AN22" s="859">
        <f t="shared" si="27"/>
        <v>99791217.060000002</v>
      </c>
      <c r="AO22" s="859">
        <f t="shared" si="9"/>
        <v>205108084.90000001</v>
      </c>
      <c r="AP22" s="859">
        <f t="shared" si="28"/>
        <v>7376344.6000000089</v>
      </c>
      <c r="AQ22" s="859">
        <f t="shared" si="29"/>
        <v>4815787.5599999949</v>
      </c>
      <c r="AR22" s="859">
        <f t="shared" si="30"/>
        <v>208782.93999999762</v>
      </c>
      <c r="AS22" s="859">
        <f t="shared" si="11"/>
        <v>12400915.100000001</v>
      </c>
      <c r="AT22" s="902">
        <f t="shared" si="12"/>
        <v>0.90636423575409053</v>
      </c>
      <c r="AU22" s="902">
        <f t="shared" si="12"/>
        <v>0.87566385521016232</v>
      </c>
      <c r="AV22" s="902">
        <f t="shared" si="12"/>
        <v>0.99791217060000004</v>
      </c>
      <c r="AW22" s="902">
        <f t="shared" si="13"/>
        <v>0.94298665756359512</v>
      </c>
      <c r="AX22" s="22">
        <f t="shared" si="14"/>
        <v>0</v>
      </c>
      <c r="AY22" s="22">
        <f t="shared" si="14"/>
        <v>0</v>
      </c>
      <c r="AZ22" s="22">
        <f t="shared" si="14"/>
        <v>0</v>
      </c>
      <c r="BA22" s="859">
        <f t="shared" si="15"/>
        <v>0</v>
      </c>
    </row>
    <row r="23" spans="1:54" s="903" customFormat="1">
      <c r="A23" s="905" t="s">
        <v>1043</v>
      </c>
      <c r="B23" s="859">
        <f>+'SUMM BY CLUSTER- CURRENT'!B122</f>
        <v>45583000</v>
      </c>
      <c r="C23" s="859">
        <f>+'SUMM BY CLUSTER- CURRENT'!C122</f>
        <v>24345000</v>
      </c>
      <c r="D23" s="859">
        <f>+'SUMM BY CLUSTER- CURRENT'!D122</f>
        <v>0</v>
      </c>
      <c r="E23" s="859">
        <f t="shared" si="1"/>
        <v>69928000</v>
      </c>
      <c r="F23" s="859">
        <f>+'SUMM BY CLUSTER- CURRENT'!F122</f>
        <v>0</v>
      </c>
      <c r="G23" s="859">
        <f>+'SUMM BY CLUSTER- CURRENT'!G122</f>
        <v>0</v>
      </c>
      <c r="H23" s="859">
        <f>+'SUMM BY CLUSTER- CURRENT'!H122</f>
        <v>0</v>
      </c>
      <c r="I23" s="859">
        <f t="shared" si="2"/>
        <v>0</v>
      </c>
      <c r="J23" s="859">
        <f t="shared" si="19"/>
        <v>45583000</v>
      </c>
      <c r="K23" s="859">
        <f t="shared" si="20"/>
        <v>24345000</v>
      </c>
      <c r="L23" s="859">
        <f t="shared" si="21"/>
        <v>0</v>
      </c>
      <c r="M23" s="859">
        <f t="shared" si="3"/>
        <v>69928000</v>
      </c>
      <c r="N23" s="859">
        <f>+'SUMM BY CLUSTER- CURRENT'!N122</f>
        <v>45583000</v>
      </c>
      <c r="O23" s="859">
        <f>+'SUMM BY CLUSTER- CURRENT'!O122</f>
        <v>24345000</v>
      </c>
      <c r="P23" s="859">
        <f>+'SUMM BY CLUSTER- CURRENT'!P122</f>
        <v>0</v>
      </c>
      <c r="Q23" s="859">
        <f t="shared" si="4"/>
        <v>69928000</v>
      </c>
      <c r="R23" s="859">
        <f>+'SUMM BY CLUSTER- CURRENT'!R122</f>
        <v>0</v>
      </c>
      <c r="S23" s="859">
        <f>+'SUMM BY CLUSTER- CURRENT'!S122</f>
        <v>0</v>
      </c>
      <c r="T23" s="859">
        <f>+'SUMM BY CLUSTER- CURRENT'!T122</f>
        <v>0</v>
      </c>
      <c r="U23" s="859">
        <f>SUM('CY-FUR (REG)- Detail'!V218:V220)</f>
        <v>0</v>
      </c>
      <c r="V23" s="859">
        <f>+'SUMM BY CLUSTER- CURRENT'!V122</f>
        <v>0</v>
      </c>
      <c r="W23" s="859">
        <f>+'SUMM BY CLUSTER- CURRENT'!W122</f>
        <v>6452000</v>
      </c>
      <c r="X23" s="859">
        <f>+'SUMM BY CLUSTER- CURRENT'!X122</f>
        <v>26480000</v>
      </c>
      <c r="Y23" s="859">
        <f t="shared" si="5"/>
        <v>32932000</v>
      </c>
      <c r="Z23" s="859">
        <f t="shared" si="22"/>
        <v>45583000</v>
      </c>
      <c r="AA23" s="859">
        <f t="shared" si="23"/>
        <v>30797000</v>
      </c>
      <c r="AB23" s="859">
        <f t="shared" si="24"/>
        <v>26480000</v>
      </c>
      <c r="AC23" s="859">
        <f t="shared" si="6"/>
        <v>102860000</v>
      </c>
      <c r="AD23" s="859">
        <f>+'SUMM BY CLUSTER- CURRENT'!AD122</f>
        <v>42064623.460000001</v>
      </c>
      <c r="AE23" s="859">
        <f>+'SUMM BY CLUSTER- CURRENT'!AE122</f>
        <v>21745342.280000001</v>
      </c>
      <c r="AF23" s="859">
        <f>+'SUMM BY CLUSTER- CURRENT'!AF122</f>
        <v>0</v>
      </c>
      <c r="AG23" s="859">
        <f t="shared" si="7"/>
        <v>63809965.740000002</v>
      </c>
      <c r="AH23" s="859">
        <f>+'SUMM BY CLUSTER- CURRENT'!AH122</f>
        <v>0</v>
      </c>
      <c r="AI23" s="859">
        <f>+'SUMM BY CLUSTER- CURRENT'!AI122</f>
        <v>6025773.1200000001</v>
      </c>
      <c r="AJ23" s="859">
        <f>+'SUMM BY CLUSTER- CURRENT'!AJ122</f>
        <v>21970904.759999998</v>
      </c>
      <c r="AK23" s="859">
        <f t="shared" si="8"/>
        <v>27996677.879999999</v>
      </c>
      <c r="AL23" s="859">
        <f t="shared" si="25"/>
        <v>42064623.460000001</v>
      </c>
      <c r="AM23" s="859">
        <f t="shared" si="26"/>
        <v>27771115.400000002</v>
      </c>
      <c r="AN23" s="859">
        <f t="shared" si="27"/>
        <v>21970904.759999998</v>
      </c>
      <c r="AO23" s="859">
        <f t="shared" si="9"/>
        <v>91806643.620000005</v>
      </c>
      <c r="AP23" s="859">
        <f t="shared" si="28"/>
        <v>3518376.5399999991</v>
      </c>
      <c r="AQ23" s="859">
        <f t="shared" si="29"/>
        <v>3025884.5999999978</v>
      </c>
      <c r="AR23" s="859">
        <f t="shared" si="30"/>
        <v>4509095.2400000021</v>
      </c>
      <c r="AS23" s="859">
        <f t="shared" si="11"/>
        <v>11053356.379999999</v>
      </c>
      <c r="AT23" s="902">
        <f t="shared" si="12"/>
        <v>0.9228138441963013</v>
      </c>
      <c r="AU23" s="902">
        <f t="shared" si="12"/>
        <v>0.90174742345033609</v>
      </c>
      <c r="AV23" s="902">
        <f t="shared" si="12"/>
        <v>0.82971694712990929</v>
      </c>
      <c r="AW23" s="902">
        <f t="shared" si="13"/>
        <v>0.892539797977834</v>
      </c>
      <c r="AX23" s="22">
        <f t="shared" si="14"/>
        <v>0</v>
      </c>
      <c r="AY23" s="22">
        <f t="shared" si="14"/>
        <v>0</v>
      </c>
      <c r="AZ23" s="22">
        <f t="shared" si="14"/>
        <v>0</v>
      </c>
      <c r="BA23" s="859">
        <f t="shared" si="15"/>
        <v>0</v>
      </c>
    </row>
    <row r="24" spans="1:54" s="903" customFormat="1" ht="16.5">
      <c r="A24" s="901"/>
      <c r="B24" s="868"/>
      <c r="C24" s="868"/>
      <c r="D24" s="868"/>
      <c r="E24" s="860">
        <f t="shared" si="1"/>
        <v>0</v>
      </c>
      <c r="F24" s="868"/>
      <c r="G24" s="868"/>
      <c r="H24" s="868"/>
      <c r="I24" s="860">
        <f t="shared" si="2"/>
        <v>0</v>
      </c>
      <c r="J24" s="859">
        <f t="shared" si="19"/>
        <v>0</v>
      </c>
      <c r="K24" s="859">
        <f t="shared" si="20"/>
        <v>0</v>
      </c>
      <c r="L24" s="859">
        <f t="shared" si="21"/>
        <v>0</v>
      </c>
      <c r="M24" s="860">
        <f t="shared" si="3"/>
        <v>0</v>
      </c>
      <c r="N24" s="868"/>
      <c r="O24" s="868"/>
      <c r="P24" s="868"/>
      <c r="Q24" s="860">
        <f t="shared" si="4"/>
        <v>0</v>
      </c>
      <c r="R24" s="868"/>
      <c r="S24" s="868"/>
      <c r="T24" s="868"/>
      <c r="U24" s="860"/>
      <c r="V24" s="868"/>
      <c r="W24" s="868"/>
      <c r="X24" s="868"/>
      <c r="Y24" s="860">
        <f t="shared" si="5"/>
        <v>0</v>
      </c>
      <c r="Z24" s="860">
        <f t="shared" si="22"/>
        <v>0</v>
      </c>
      <c r="AA24" s="860">
        <f t="shared" si="23"/>
        <v>0</v>
      </c>
      <c r="AB24" s="860">
        <f t="shared" si="24"/>
        <v>0</v>
      </c>
      <c r="AC24" s="860">
        <f t="shared" si="6"/>
        <v>0</v>
      </c>
      <c r="AD24" s="868"/>
      <c r="AE24" s="868"/>
      <c r="AF24" s="868"/>
      <c r="AG24" s="860">
        <f t="shared" si="7"/>
        <v>0</v>
      </c>
      <c r="AH24" s="868"/>
      <c r="AI24" s="868"/>
      <c r="AJ24" s="868"/>
      <c r="AK24" s="860">
        <f t="shared" si="8"/>
        <v>0</v>
      </c>
      <c r="AL24" s="860">
        <f t="shared" si="25"/>
        <v>0</v>
      </c>
      <c r="AM24" s="860">
        <f t="shared" si="26"/>
        <v>0</v>
      </c>
      <c r="AN24" s="860">
        <f t="shared" si="27"/>
        <v>0</v>
      </c>
      <c r="AO24" s="860">
        <f t="shared" si="9"/>
        <v>0</v>
      </c>
      <c r="AP24" s="860">
        <f t="shared" si="28"/>
        <v>0</v>
      </c>
      <c r="AQ24" s="860">
        <f t="shared" si="29"/>
        <v>0</v>
      </c>
      <c r="AR24" s="860">
        <f t="shared" si="30"/>
        <v>0</v>
      </c>
      <c r="AS24" s="860">
        <f t="shared" si="11"/>
        <v>0</v>
      </c>
      <c r="AT24" s="902" t="str">
        <f t="shared" si="12"/>
        <v xml:space="preserve"> </v>
      </c>
      <c r="AU24" s="902" t="str">
        <f t="shared" si="12"/>
        <v xml:space="preserve"> </v>
      </c>
      <c r="AV24" s="902" t="str">
        <f t="shared" si="12"/>
        <v xml:space="preserve"> </v>
      </c>
      <c r="AW24" s="902" t="str">
        <f t="shared" si="13"/>
        <v xml:space="preserve"> </v>
      </c>
      <c r="AX24" s="22">
        <f t="shared" si="14"/>
        <v>0</v>
      </c>
      <c r="AY24" s="22">
        <f t="shared" si="14"/>
        <v>0</v>
      </c>
      <c r="AZ24" s="22">
        <f t="shared" si="14"/>
        <v>0</v>
      </c>
      <c r="BA24" s="860">
        <f t="shared" si="15"/>
        <v>0</v>
      </c>
    </row>
    <row r="25" spans="1:54" s="903" customFormat="1" ht="16.5">
      <c r="A25" s="901" t="s">
        <v>1044</v>
      </c>
      <c r="B25" s="868">
        <f t="shared" ref="B25:AJ25" si="32">SUM(B26:B28)</f>
        <v>424206000</v>
      </c>
      <c r="C25" s="868">
        <f t="shared" si="32"/>
        <v>273244000</v>
      </c>
      <c r="D25" s="868">
        <f t="shared" si="32"/>
        <v>0</v>
      </c>
      <c r="E25" s="868">
        <f t="shared" si="1"/>
        <v>697450000</v>
      </c>
      <c r="F25" s="868">
        <f t="shared" si="32"/>
        <v>0</v>
      </c>
      <c r="G25" s="868">
        <f t="shared" si="32"/>
        <v>0</v>
      </c>
      <c r="H25" s="868">
        <f t="shared" si="32"/>
        <v>0</v>
      </c>
      <c r="I25" s="868">
        <f t="shared" si="2"/>
        <v>0</v>
      </c>
      <c r="J25" s="868">
        <f t="shared" si="19"/>
        <v>424206000</v>
      </c>
      <c r="K25" s="868">
        <f t="shared" si="20"/>
        <v>273244000</v>
      </c>
      <c r="L25" s="868">
        <f t="shared" si="21"/>
        <v>0</v>
      </c>
      <c r="M25" s="868">
        <f t="shared" si="3"/>
        <v>697450000</v>
      </c>
      <c r="N25" s="868">
        <f t="shared" si="32"/>
        <v>424206000</v>
      </c>
      <c r="O25" s="868">
        <f t="shared" si="32"/>
        <v>273244000</v>
      </c>
      <c r="P25" s="868">
        <f t="shared" si="32"/>
        <v>0</v>
      </c>
      <c r="Q25" s="868">
        <f t="shared" si="4"/>
        <v>697450000</v>
      </c>
      <c r="R25" s="868">
        <f t="shared" si="32"/>
        <v>0</v>
      </c>
      <c r="S25" s="868">
        <f t="shared" si="32"/>
        <v>0</v>
      </c>
      <c r="T25" s="868">
        <f t="shared" si="32"/>
        <v>0</v>
      </c>
      <c r="U25" s="868">
        <f t="shared" si="32"/>
        <v>0</v>
      </c>
      <c r="V25" s="868">
        <f t="shared" si="32"/>
        <v>0</v>
      </c>
      <c r="W25" s="868">
        <f t="shared" si="32"/>
        <v>191553986.76999998</v>
      </c>
      <c r="X25" s="868">
        <f t="shared" si="32"/>
        <v>228100000</v>
      </c>
      <c r="Y25" s="868">
        <f t="shared" si="5"/>
        <v>419653986.76999998</v>
      </c>
      <c r="Z25" s="868">
        <f t="shared" si="22"/>
        <v>424206000</v>
      </c>
      <c r="AA25" s="868">
        <f t="shared" si="23"/>
        <v>464797986.76999998</v>
      </c>
      <c r="AB25" s="868">
        <f t="shared" si="24"/>
        <v>228100000</v>
      </c>
      <c r="AC25" s="868">
        <f t="shared" si="6"/>
        <v>1117103986.77</v>
      </c>
      <c r="AD25" s="868">
        <f t="shared" si="32"/>
        <v>382258504.67000002</v>
      </c>
      <c r="AE25" s="868">
        <f t="shared" si="32"/>
        <v>197041996.25999999</v>
      </c>
      <c r="AF25" s="868">
        <f t="shared" si="32"/>
        <v>0</v>
      </c>
      <c r="AG25" s="868">
        <f t="shared" si="7"/>
        <v>579300500.93000007</v>
      </c>
      <c r="AH25" s="868">
        <f t="shared" si="32"/>
        <v>0</v>
      </c>
      <c r="AI25" s="868">
        <f t="shared" si="32"/>
        <v>126531744.58999999</v>
      </c>
      <c r="AJ25" s="868">
        <f t="shared" si="32"/>
        <v>213606240.40000001</v>
      </c>
      <c r="AK25" s="868">
        <f t="shared" si="8"/>
        <v>340137984.99000001</v>
      </c>
      <c r="AL25" s="868">
        <f t="shared" si="25"/>
        <v>382258504.67000002</v>
      </c>
      <c r="AM25" s="868">
        <f t="shared" si="26"/>
        <v>323573740.84999996</v>
      </c>
      <c r="AN25" s="868">
        <f t="shared" si="27"/>
        <v>213606240.40000001</v>
      </c>
      <c r="AO25" s="868">
        <f t="shared" si="9"/>
        <v>919438485.91999996</v>
      </c>
      <c r="AP25" s="868">
        <f t="shared" si="28"/>
        <v>41947495.329999983</v>
      </c>
      <c r="AQ25" s="868">
        <f t="shared" si="29"/>
        <v>141224245.92000002</v>
      </c>
      <c r="AR25" s="868">
        <f t="shared" si="30"/>
        <v>14493759.599999994</v>
      </c>
      <c r="AS25" s="868">
        <f t="shared" si="11"/>
        <v>197665500.84999999</v>
      </c>
      <c r="AT25" s="902">
        <f t="shared" si="12"/>
        <v>0.90111527104755718</v>
      </c>
      <c r="AU25" s="902">
        <f t="shared" si="12"/>
        <v>0.69615994487970267</v>
      </c>
      <c r="AV25" s="902">
        <f t="shared" si="12"/>
        <v>0.93645874791757999</v>
      </c>
      <c r="AW25" s="902">
        <f t="shared" si="13"/>
        <v>0.82305541543940686</v>
      </c>
      <c r="AX25" s="22">
        <f t="shared" si="14"/>
        <v>0</v>
      </c>
      <c r="AY25" s="22">
        <f t="shared" si="14"/>
        <v>0</v>
      </c>
      <c r="AZ25" s="22">
        <f t="shared" si="14"/>
        <v>0</v>
      </c>
      <c r="BA25" s="868">
        <f t="shared" si="15"/>
        <v>0</v>
      </c>
      <c r="BB25" s="609"/>
    </row>
    <row r="26" spans="1:54" s="903" customFormat="1">
      <c r="A26" s="905" t="s">
        <v>1095</v>
      </c>
      <c r="B26" s="859">
        <f>+'SUMM BY CLUSTER- CURRENT'!B125</f>
        <v>77255000</v>
      </c>
      <c r="C26" s="859">
        <f>+'SUMM BY CLUSTER- CURRENT'!C125</f>
        <v>173271000</v>
      </c>
      <c r="D26" s="859">
        <f>+'SUMM BY CLUSTER- CURRENT'!D125</f>
        <v>0</v>
      </c>
      <c r="E26" s="859">
        <f t="shared" si="1"/>
        <v>250526000</v>
      </c>
      <c r="F26" s="859">
        <f>+'SUMM BY CLUSTER- CURRENT'!F125</f>
        <v>0</v>
      </c>
      <c r="G26" s="859">
        <f>+'SUMM BY CLUSTER- CURRENT'!G125</f>
        <v>0</v>
      </c>
      <c r="H26" s="859">
        <f>+'SUMM BY CLUSTER- CURRENT'!H125</f>
        <v>0</v>
      </c>
      <c r="I26" s="859">
        <f t="shared" si="2"/>
        <v>0</v>
      </c>
      <c r="J26" s="859">
        <f t="shared" si="19"/>
        <v>77255000</v>
      </c>
      <c r="K26" s="859">
        <f t="shared" si="20"/>
        <v>173271000</v>
      </c>
      <c r="L26" s="859">
        <f t="shared" si="21"/>
        <v>0</v>
      </c>
      <c r="M26" s="859">
        <f t="shared" si="3"/>
        <v>250526000</v>
      </c>
      <c r="N26" s="859">
        <f>+'SUMM BY CLUSTER- CURRENT'!N125</f>
        <v>77255000</v>
      </c>
      <c r="O26" s="859">
        <f>+'SUMM BY CLUSTER- CURRENT'!O125</f>
        <v>173271000</v>
      </c>
      <c r="P26" s="859">
        <f>+'SUMM BY CLUSTER- CURRENT'!P125</f>
        <v>0</v>
      </c>
      <c r="Q26" s="859">
        <f t="shared" si="4"/>
        <v>250526000</v>
      </c>
      <c r="R26" s="859">
        <f>+'SUMM BY CLUSTER- CURRENT'!R125</f>
        <v>0</v>
      </c>
      <c r="S26" s="859">
        <f>+'SUMM BY CLUSTER- CURRENT'!S125</f>
        <v>0</v>
      </c>
      <c r="T26" s="859">
        <f>+'SUMM BY CLUSTER- CURRENT'!T125</f>
        <v>0</v>
      </c>
      <c r="U26" s="859">
        <f>SUM('CY-FUR (REG)- Detail'!V221:V223)</f>
        <v>0</v>
      </c>
      <c r="V26" s="859">
        <f>+'SUMM BY CLUSTER- CURRENT'!V125</f>
        <v>0</v>
      </c>
      <c r="W26" s="859">
        <f>+'SUMM BY CLUSTER- CURRENT'!W125</f>
        <v>107856391.77</v>
      </c>
      <c r="X26" s="859">
        <f>+'SUMM BY CLUSTER- CURRENT'!X125</f>
        <v>72100000</v>
      </c>
      <c r="Y26" s="859">
        <f t="shared" si="5"/>
        <v>179956391.76999998</v>
      </c>
      <c r="Z26" s="859">
        <f t="shared" si="22"/>
        <v>77255000</v>
      </c>
      <c r="AA26" s="859">
        <f t="shared" si="23"/>
        <v>281127391.76999998</v>
      </c>
      <c r="AB26" s="859">
        <f t="shared" si="24"/>
        <v>72100000</v>
      </c>
      <c r="AC26" s="859">
        <f t="shared" si="6"/>
        <v>430482391.76999998</v>
      </c>
      <c r="AD26" s="859">
        <f>+'SUMM BY CLUSTER- CURRENT'!AD125</f>
        <v>62205069.679999992</v>
      </c>
      <c r="AE26" s="859">
        <f>+'SUMM BY CLUSTER- CURRENT'!AE125</f>
        <v>117966813.33</v>
      </c>
      <c r="AF26" s="859">
        <f>+'SUMM BY CLUSTER- CURRENT'!AF125</f>
        <v>0</v>
      </c>
      <c r="AG26" s="859">
        <f t="shared" si="7"/>
        <v>180171883.00999999</v>
      </c>
      <c r="AH26" s="859">
        <f>+'SUMM BY CLUSTER- CURRENT'!AH125</f>
        <v>0</v>
      </c>
      <c r="AI26" s="859">
        <f>+'SUMM BY CLUSTER- CURRENT'!AI125</f>
        <v>65139989.75999999</v>
      </c>
      <c r="AJ26" s="859">
        <f>+'SUMM BY CLUSTER- CURRENT'!AJ125</f>
        <v>59548445.82</v>
      </c>
      <c r="AK26" s="859">
        <f t="shared" si="8"/>
        <v>124688435.57999998</v>
      </c>
      <c r="AL26" s="859">
        <f t="shared" si="25"/>
        <v>62205069.679999992</v>
      </c>
      <c r="AM26" s="859">
        <f t="shared" si="26"/>
        <v>183106803.08999997</v>
      </c>
      <c r="AN26" s="859">
        <f t="shared" si="27"/>
        <v>59548445.82</v>
      </c>
      <c r="AO26" s="859">
        <f t="shared" si="9"/>
        <v>304860318.58999997</v>
      </c>
      <c r="AP26" s="859">
        <f t="shared" si="28"/>
        <v>15049930.320000008</v>
      </c>
      <c r="AQ26" s="859">
        <f t="shared" si="29"/>
        <v>98020588.680000007</v>
      </c>
      <c r="AR26" s="859">
        <f t="shared" si="30"/>
        <v>12551554.18</v>
      </c>
      <c r="AS26" s="859">
        <f t="shared" si="11"/>
        <v>125622073.18000001</v>
      </c>
      <c r="AT26" s="902">
        <f t="shared" si="12"/>
        <v>0.80519150449809063</v>
      </c>
      <c r="AU26" s="902">
        <f t="shared" si="12"/>
        <v>0.65133035218356083</v>
      </c>
      <c r="AV26" s="902">
        <f t="shared" si="12"/>
        <v>0.8259146438280166</v>
      </c>
      <c r="AW26" s="902">
        <f t="shared" si="13"/>
        <v>0.70818301611946555</v>
      </c>
      <c r="AX26" s="22">
        <f t="shared" si="14"/>
        <v>0</v>
      </c>
      <c r="AY26" s="22">
        <f t="shared" si="14"/>
        <v>0</v>
      </c>
      <c r="AZ26" s="22">
        <f t="shared" si="14"/>
        <v>0</v>
      </c>
      <c r="BA26" s="859">
        <f t="shared" si="15"/>
        <v>0</v>
      </c>
    </row>
    <row r="27" spans="1:54" s="903" customFormat="1">
      <c r="A27" s="905" t="s">
        <v>1046</v>
      </c>
      <c r="B27" s="859">
        <f>+'SUMM BY CLUSTER- CURRENT'!B126</f>
        <v>233325000</v>
      </c>
      <c r="C27" s="859">
        <f>+'SUMM BY CLUSTER- CURRENT'!C126</f>
        <v>63208000</v>
      </c>
      <c r="D27" s="859">
        <f>+'SUMM BY CLUSTER- CURRENT'!D126</f>
        <v>0</v>
      </c>
      <c r="E27" s="859">
        <f t="shared" si="1"/>
        <v>296533000</v>
      </c>
      <c r="F27" s="859">
        <f>+'SUMM BY CLUSTER- CURRENT'!F126</f>
        <v>0</v>
      </c>
      <c r="G27" s="859">
        <f>+'SUMM BY CLUSTER- CURRENT'!G126</f>
        <v>0</v>
      </c>
      <c r="H27" s="859">
        <f>+'SUMM BY CLUSTER- CURRENT'!H126</f>
        <v>0</v>
      </c>
      <c r="I27" s="859">
        <f t="shared" si="2"/>
        <v>0</v>
      </c>
      <c r="J27" s="859">
        <f t="shared" si="19"/>
        <v>233325000</v>
      </c>
      <c r="K27" s="859">
        <f t="shared" si="20"/>
        <v>63208000</v>
      </c>
      <c r="L27" s="859">
        <f t="shared" si="21"/>
        <v>0</v>
      </c>
      <c r="M27" s="859">
        <f t="shared" si="3"/>
        <v>296533000</v>
      </c>
      <c r="N27" s="859">
        <f>+'SUMM BY CLUSTER- CURRENT'!N126</f>
        <v>233325000</v>
      </c>
      <c r="O27" s="859">
        <f>+'SUMM BY CLUSTER- CURRENT'!O126</f>
        <v>63208000</v>
      </c>
      <c r="P27" s="859">
        <f>+'SUMM BY CLUSTER- CURRENT'!P126</f>
        <v>0</v>
      </c>
      <c r="Q27" s="859">
        <f t="shared" si="4"/>
        <v>296533000</v>
      </c>
      <c r="R27" s="859">
        <f>+'SUMM BY CLUSTER- CURRENT'!R126</f>
        <v>0</v>
      </c>
      <c r="S27" s="859">
        <f>+'SUMM BY CLUSTER- CURRENT'!S126</f>
        <v>0</v>
      </c>
      <c r="T27" s="859">
        <f>+'SUMM BY CLUSTER- CURRENT'!T126</f>
        <v>0</v>
      </c>
      <c r="U27" s="859">
        <f>SUM('CY-FUR (REG)- Detail'!V222:V224)</f>
        <v>0</v>
      </c>
      <c r="V27" s="859">
        <f>+'SUMM BY CLUSTER- CURRENT'!V126</f>
        <v>0</v>
      </c>
      <c r="W27" s="859">
        <f>+'SUMM BY CLUSTER- CURRENT'!W126</f>
        <v>44993830</v>
      </c>
      <c r="X27" s="859">
        <f>+'SUMM BY CLUSTER- CURRENT'!X126</f>
        <v>52000000</v>
      </c>
      <c r="Y27" s="859">
        <f t="shared" si="5"/>
        <v>96993830</v>
      </c>
      <c r="Z27" s="859">
        <f t="shared" si="22"/>
        <v>233325000</v>
      </c>
      <c r="AA27" s="859">
        <f t="shared" si="23"/>
        <v>108201830</v>
      </c>
      <c r="AB27" s="859">
        <f t="shared" si="24"/>
        <v>52000000</v>
      </c>
      <c r="AC27" s="859">
        <f t="shared" si="6"/>
        <v>393526830</v>
      </c>
      <c r="AD27" s="859">
        <f>+'SUMM BY CLUSTER- CURRENT'!AD126</f>
        <v>214702095.16000003</v>
      </c>
      <c r="AE27" s="859">
        <f>+'SUMM BY CLUSTER- CURRENT'!AE126</f>
        <v>47845949.980000004</v>
      </c>
      <c r="AF27" s="859">
        <f>+'SUMM BY CLUSTER- CURRENT'!AF126</f>
        <v>0</v>
      </c>
      <c r="AG27" s="859">
        <f t="shared" si="7"/>
        <v>262548045.14000005</v>
      </c>
      <c r="AH27" s="859">
        <f>+'SUMM BY CLUSTER- CURRENT'!AH126</f>
        <v>0</v>
      </c>
      <c r="AI27" s="859">
        <f>+'SUMM BY CLUSTER- CURRENT'!AI126</f>
        <v>32979333.119999997</v>
      </c>
      <c r="AJ27" s="859">
        <f>+'SUMM BY CLUSTER- CURRENT'!AJ126</f>
        <v>50057794.579999998</v>
      </c>
      <c r="AK27" s="859">
        <f t="shared" si="8"/>
        <v>83037127.699999988</v>
      </c>
      <c r="AL27" s="859">
        <f t="shared" si="25"/>
        <v>214702095.16000003</v>
      </c>
      <c r="AM27" s="859">
        <f t="shared" si="26"/>
        <v>80825283.099999994</v>
      </c>
      <c r="AN27" s="859">
        <f t="shared" si="27"/>
        <v>50057794.579999998</v>
      </c>
      <c r="AO27" s="859">
        <f t="shared" si="9"/>
        <v>345585172.83999997</v>
      </c>
      <c r="AP27" s="859">
        <f t="shared" si="28"/>
        <v>18622904.839999974</v>
      </c>
      <c r="AQ27" s="859">
        <f t="shared" si="29"/>
        <v>27376546.900000006</v>
      </c>
      <c r="AR27" s="859">
        <f t="shared" si="30"/>
        <v>1942205.4200000018</v>
      </c>
      <c r="AS27" s="859">
        <f t="shared" si="11"/>
        <v>47941657.159999982</v>
      </c>
      <c r="AT27" s="902">
        <f t="shared" si="12"/>
        <v>0.92018470013929077</v>
      </c>
      <c r="AU27" s="902">
        <f t="shared" si="12"/>
        <v>0.74698628572178483</v>
      </c>
      <c r="AV27" s="902">
        <f t="shared" si="12"/>
        <v>0.96264989576923077</v>
      </c>
      <c r="AW27" s="902">
        <f t="shared" si="13"/>
        <v>0.87817436193613529</v>
      </c>
      <c r="AX27" s="22">
        <f t="shared" si="14"/>
        <v>0</v>
      </c>
      <c r="AY27" s="22">
        <f t="shared" si="14"/>
        <v>0</v>
      </c>
      <c r="AZ27" s="22">
        <f t="shared" si="14"/>
        <v>0</v>
      </c>
      <c r="BA27" s="859">
        <f t="shared" si="15"/>
        <v>0</v>
      </c>
      <c r="BB27" s="609"/>
    </row>
    <row r="28" spans="1:54" s="903" customFormat="1">
      <c r="A28" s="905" t="s">
        <v>1047</v>
      </c>
      <c r="B28" s="859">
        <f>+'SUMM BY CLUSTER- CURRENT'!B127</f>
        <v>113626000</v>
      </c>
      <c r="C28" s="859">
        <f>+'SUMM BY CLUSTER- CURRENT'!C127</f>
        <v>36765000</v>
      </c>
      <c r="D28" s="859">
        <f>+'SUMM BY CLUSTER- CURRENT'!D127</f>
        <v>0</v>
      </c>
      <c r="E28" s="859">
        <f t="shared" si="1"/>
        <v>150391000</v>
      </c>
      <c r="F28" s="859">
        <f>+'SUMM BY CLUSTER- CURRENT'!F127</f>
        <v>0</v>
      </c>
      <c r="G28" s="859">
        <f>+'SUMM BY CLUSTER- CURRENT'!G127</f>
        <v>0</v>
      </c>
      <c r="H28" s="859">
        <f>+'SUMM BY CLUSTER- CURRENT'!H127</f>
        <v>0</v>
      </c>
      <c r="I28" s="859">
        <f t="shared" si="2"/>
        <v>0</v>
      </c>
      <c r="J28" s="859">
        <f t="shared" si="19"/>
        <v>113626000</v>
      </c>
      <c r="K28" s="859">
        <f t="shared" si="20"/>
        <v>36765000</v>
      </c>
      <c r="L28" s="859">
        <f t="shared" si="21"/>
        <v>0</v>
      </c>
      <c r="M28" s="859">
        <f t="shared" si="3"/>
        <v>150391000</v>
      </c>
      <c r="N28" s="859">
        <f>+'SUMM BY CLUSTER- CURRENT'!N127</f>
        <v>113626000</v>
      </c>
      <c r="O28" s="859">
        <f>+'SUMM BY CLUSTER- CURRENT'!O127</f>
        <v>36765000</v>
      </c>
      <c r="P28" s="859">
        <f>+'SUMM BY CLUSTER- CURRENT'!P127</f>
        <v>0</v>
      </c>
      <c r="Q28" s="859">
        <f t="shared" si="4"/>
        <v>150391000</v>
      </c>
      <c r="R28" s="859">
        <f>+'SUMM BY CLUSTER- CURRENT'!R127</f>
        <v>0</v>
      </c>
      <c r="S28" s="859">
        <f>+'SUMM BY CLUSTER- CURRENT'!S127</f>
        <v>0</v>
      </c>
      <c r="T28" s="859">
        <f>+'SUMM BY CLUSTER- CURRENT'!T127</f>
        <v>0</v>
      </c>
      <c r="U28" s="859">
        <f>SUM('CY-FUR (REG)- Detail'!V223:V225)</f>
        <v>0</v>
      </c>
      <c r="V28" s="859">
        <f>+'SUMM BY CLUSTER- CURRENT'!V127</f>
        <v>0</v>
      </c>
      <c r="W28" s="859">
        <f>+'SUMM BY CLUSTER- CURRENT'!W127</f>
        <v>38703765</v>
      </c>
      <c r="X28" s="859">
        <f>+'SUMM BY CLUSTER- CURRENT'!X127</f>
        <v>104000000</v>
      </c>
      <c r="Y28" s="859">
        <f t="shared" si="5"/>
        <v>142703765</v>
      </c>
      <c r="Z28" s="859">
        <f t="shared" si="22"/>
        <v>113626000</v>
      </c>
      <c r="AA28" s="859">
        <f t="shared" si="23"/>
        <v>75468765</v>
      </c>
      <c r="AB28" s="859">
        <f t="shared" si="24"/>
        <v>104000000</v>
      </c>
      <c r="AC28" s="859">
        <f t="shared" si="6"/>
        <v>293094765</v>
      </c>
      <c r="AD28" s="859">
        <f>+'SUMM BY CLUSTER- CURRENT'!AD127</f>
        <v>105351339.83</v>
      </c>
      <c r="AE28" s="859">
        <f>+'SUMM BY CLUSTER- CURRENT'!AE127</f>
        <v>31229232.949999999</v>
      </c>
      <c r="AF28" s="859">
        <f>+'SUMM BY CLUSTER- CURRENT'!AF127</f>
        <v>0</v>
      </c>
      <c r="AG28" s="859">
        <f t="shared" si="7"/>
        <v>136580572.78</v>
      </c>
      <c r="AH28" s="859">
        <f>+'SUMM BY CLUSTER- CURRENT'!AH127</f>
        <v>0</v>
      </c>
      <c r="AI28" s="859">
        <f>+'SUMM BY CLUSTER- CURRENT'!AI127</f>
        <v>28412421.709999997</v>
      </c>
      <c r="AJ28" s="859">
        <f>+'SUMM BY CLUSTER- CURRENT'!AJ127</f>
        <v>104000000</v>
      </c>
      <c r="AK28" s="859">
        <f t="shared" si="8"/>
        <v>132412421.70999999</v>
      </c>
      <c r="AL28" s="859">
        <f t="shared" si="25"/>
        <v>105351339.83</v>
      </c>
      <c r="AM28" s="859">
        <f t="shared" si="26"/>
        <v>59641654.659999996</v>
      </c>
      <c r="AN28" s="859">
        <f t="shared" si="27"/>
        <v>104000000</v>
      </c>
      <c r="AO28" s="859">
        <f t="shared" si="9"/>
        <v>268992994.49000001</v>
      </c>
      <c r="AP28" s="859">
        <f t="shared" si="28"/>
        <v>8274660.1700000018</v>
      </c>
      <c r="AQ28" s="859">
        <f t="shared" si="29"/>
        <v>15827110.340000004</v>
      </c>
      <c r="AR28" s="859">
        <f t="shared" si="30"/>
        <v>0</v>
      </c>
      <c r="AS28" s="859">
        <f t="shared" si="11"/>
        <v>24101770.510000005</v>
      </c>
      <c r="AT28" s="902">
        <f t="shared" si="12"/>
        <v>0.92717634898702761</v>
      </c>
      <c r="AU28" s="902">
        <f t="shared" si="12"/>
        <v>0.79028263759185668</v>
      </c>
      <c r="AV28" s="902">
        <f t="shared" si="12"/>
        <v>1</v>
      </c>
      <c r="AW28" s="902">
        <f t="shared" si="13"/>
        <v>0.91776799387733865</v>
      </c>
      <c r="AX28" s="22">
        <f t="shared" si="14"/>
        <v>0</v>
      </c>
      <c r="AY28" s="22">
        <f t="shared" si="14"/>
        <v>0</v>
      </c>
      <c r="AZ28" s="22">
        <f t="shared" si="14"/>
        <v>0</v>
      </c>
      <c r="BA28" s="859">
        <f t="shared" si="15"/>
        <v>0</v>
      </c>
      <c r="BB28" s="609"/>
    </row>
    <row r="29" spans="1:54" s="903" customFormat="1" ht="16.5">
      <c r="A29" s="901"/>
      <c r="B29" s="868"/>
      <c r="C29" s="868"/>
      <c r="D29" s="868"/>
      <c r="E29" s="860">
        <f t="shared" si="1"/>
        <v>0</v>
      </c>
      <c r="F29" s="868"/>
      <c r="G29" s="868"/>
      <c r="H29" s="868"/>
      <c r="I29" s="860">
        <f t="shared" si="2"/>
        <v>0</v>
      </c>
      <c r="J29" s="859">
        <f t="shared" si="19"/>
        <v>0</v>
      </c>
      <c r="K29" s="859">
        <f t="shared" si="20"/>
        <v>0</v>
      </c>
      <c r="L29" s="859">
        <f t="shared" si="21"/>
        <v>0</v>
      </c>
      <c r="M29" s="860">
        <f t="shared" si="3"/>
        <v>0</v>
      </c>
      <c r="N29" s="868"/>
      <c r="O29" s="868"/>
      <c r="P29" s="868"/>
      <c r="Q29" s="860">
        <f t="shared" si="4"/>
        <v>0</v>
      </c>
      <c r="R29" s="868"/>
      <c r="S29" s="868"/>
      <c r="T29" s="868"/>
      <c r="U29" s="860"/>
      <c r="V29" s="868"/>
      <c r="W29" s="868"/>
      <c r="X29" s="868"/>
      <c r="Y29" s="860">
        <f t="shared" si="5"/>
        <v>0</v>
      </c>
      <c r="Z29" s="860">
        <f t="shared" si="22"/>
        <v>0</v>
      </c>
      <c r="AA29" s="860">
        <f t="shared" si="23"/>
        <v>0</v>
      </c>
      <c r="AB29" s="860">
        <f t="shared" si="24"/>
        <v>0</v>
      </c>
      <c r="AC29" s="860">
        <f t="shared" si="6"/>
        <v>0</v>
      </c>
      <c r="AD29" s="868"/>
      <c r="AE29" s="868"/>
      <c r="AF29" s="868"/>
      <c r="AG29" s="860">
        <f t="shared" si="7"/>
        <v>0</v>
      </c>
      <c r="AH29" s="868"/>
      <c r="AI29" s="868"/>
      <c r="AJ29" s="868"/>
      <c r="AK29" s="860">
        <f t="shared" si="8"/>
        <v>0</v>
      </c>
      <c r="AL29" s="860">
        <f t="shared" si="25"/>
        <v>0</v>
      </c>
      <c r="AM29" s="860">
        <f t="shared" si="26"/>
        <v>0</v>
      </c>
      <c r="AN29" s="860">
        <f t="shared" si="27"/>
        <v>0</v>
      </c>
      <c r="AO29" s="860">
        <f t="shared" si="9"/>
        <v>0</v>
      </c>
      <c r="AP29" s="860">
        <f t="shared" si="28"/>
        <v>0</v>
      </c>
      <c r="AQ29" s="860">
        <f t="shared" si="29"/>
        <v>0</v>
      </c>
      <c r="AR29" s="860">
        <f t="shared" si="30"/>
        <v>0</v>
      </c>
      <c r="AS29" s="860">
        <f t="shared" si="11"/>
        <v>0</v>
      </c>
      <c r="AT29" s="902" t="str">
        <f t="shared" si="12"/>
        <v xml:space="preserve"> </v>
      </c>
      <c r="AU29" s="902" t="str">
        <f t="shared" si="12"/>
        <v xml:space="preserve"> </v>
      </c>
      <c r="AV29" s="902" t="str">
        <f t="shared" si="12"/>
        <v xml:space="preserve"> </v>
      </c>
      <c r="AW29" s="902" t="str">
        <f t="shared" si="13"/>
        <v xml:space="preserve"> </v>
      </c>
      <c r="AX29" s="22">
        <f t="shared" si="14"/>
        <v>0</v>
      </c>
      <c r="AY29" s="22">
        <f t="shared" si="14"/>
        <v>0</v>
      </c>
      <c r="AZ29" s="22">
        <f t="shared" si="14"/>
        <v>0</v>
      </c>
      <c r="BA29" s="860">
        <f t="shared" si="15"/>
        <v>0</v>
      </c>
      <c r="BB29" s="609"/>
    </row>
    <row r="30" spans="1:54" s="903" customFormat="1" ht="16.5">
      <c r="A30" s="901" t="s">
        <v>1048</v>
      </c>
      <c r="B30" s="868">
        <f t="shared" ref="B30:AJ30" si="33">SUM(B31:B33)</f>
        <v>193528000</v>
      </c>
      <c r="C30" s="868">
        <f t="shared" si="33"/>
        <v>209274000</v>
      </c>
      <c r="D30" s="868">
        <f t="shared" si="33"/>
        <v>0</v>
      </c>
      <c r="E30" s="868">
        <f t="shared" si="1"/>
        <v>402802000</v>
      </c>
      <c r="F30" s="868">
        <f t="shared" si="33"/>
        <v>0</v>
      </c>
      <c r="G30" s="868">
        <f t="shared" si="33"/>
        <v>0</v>
      </c>
      <c r="H30" s="868">
        <f t="shared" si="33"/>
        <v>0</v>
      </c>
      <c r="I30" s="868">
        <f t="shared" si="2"/>
        <v>0</v>
      </c>
      <c r="J30" s="868">
        <f t="shared" si="19"/>
        <v>193528000</v>
      </c>
      <c r="K30" s="868">
        <f t="shared" si="20"/>
        <v>209274000</v>
      </c>
      <c r="L30" s="868">
        <f t="shared" si="21"/>
        <v>0</v>
      </c>
      <c r="M30" s="868">
        <f t="shared" si="3"/>
        <v>402802000</v>
      </c>
      <c r="N30" s="868">
        <f t="shared" si="33"/>
        <v>193528000</v>
      </c>
      <c r="O30" s="868">
        <f t="shared" si="33"/>
        <v>209274000</v>
      </c>
      <c r="P30" s="868">
        <f t="shared" si="33"/>
        <v>0</v>
      </c>
      <c r="Q30" s="868">
        <f t="shared" si="4"/>
        <v>402802000</v>
      </c>
      <c r="R30" s="868">
        <f t="shared" si="33"/>
        <v>0</v>
      </c>
      <c r="S30" s="868">
        <f t="shared" si="33"/>
        <v>0</v>
      </c>
      <c r="T30" s="868">
        <f t="shared" si="33"/>
        <v>0</v>
      </c>
      <c r="U30" s="868">
        <f t="shared" si="33"/>
        <v>0</v>
      </c>
      <c r="V30" s="868">
        <f t="shared" si="33"/>
        <v>0</v>
      </c>
      <c r="W30" s="868">
        <f t="shared" si="33"/>
        <v>137856297.57999998</v>
      </c>
      <c r="X30" s="868">
        <f t="shared" si="33"/>
        <v>128257980</v>
      </c>
      <c r="Y30" s="868">
        <f t="shared" si="5"/>
        <v>266114277.57999998</v>
      </c>
      <c r="Z30" s="868">
        <f t="shared" si="22"/>
        <v>193528000</v>
      </c>
      <c r="AA30" s="868">
        <f t="shared" si="23"/>
        <v>347130297.57999998</v>
      </c>
      <c r="AB30" s="868">
        <f t="shared" si="24"/>
        <v>128257980</v>
      </c>
      <c r="AC30" s="868">
        <f t="shared" si="6"/>
        <v>668916277.57999992</v>
      </c>
      <c r="AD30" s="868">
        <f t="shared" si="33"/>
        <v>176529892.00000003</v>
      </c>
      <c r="AE30" s="868">
        <f t="shared" si="33"/>
        <v>148161439.72999999</v>
      </c>
      <c r="AF30" s="868">
        <f t="shared" si="33"/>
        <v>0</v>
      </c>
      <c r="AG30" s="868">
        <f t="shared" si="7"/>
        <v>324691331.73000002</v>
      </c>
      <c r="AH30" s="868">
        <f t="shared" si="33"/>
        <v>0</v>
      </c>
      <c r="AI30" s="868">
        <f t="shared" si="33"/>
        <v>79685626.910000011</v>
      </c>
      <c r="AJ30" s="868">
        <f t="shared" si="33"/>
        <v>108471610.72999999</v>
      </c>
      <c r="AK30" s="868">
        <f t="shared" si="8"/>
        <v>188157237.63999999</v>
      </c>
      <c r="AL30" s="868">
        <f t="shared" si="25"/>
        <v>176529892.00000003</v>
      </c>
      <c r="AM30" s="868">
        <f t="shared" si="26"/>
        <v>227847066.63999999</v>
      </c>
      <c r="AN30" s="868">
        <f t="shared" si="27"/>
        <v>108471610.72999999</v>
      </c>
      <c r="AO30" s="868">
        <f t="shared" si="9"/>
        <v>512848569.37</v>
      </c>
      <c r="AP30" s="868">
        <f t="shared" si="28"/>
        <v>16998107.99999997</v>
      </c>
      <c r="AQ30" s="868">
        <f t="shared" si="29"/>
        <v>119283230.94</v>
      </c>
      <c r="AR30" s="868">
        <f t="shared" si="30"/>
        <v>19786369.270000011</v>
      </c>
      <c r="AS30" s="868">
        <f t="shared" si="11"/>
        <v>156067708.20999998</v>
      </c>
      <c r="AT30" s="902">
        <f t="shared" si="12"/>
        <v>0.91216719027737603</v>
      </c>
      <c r="AU30" s="902">
        <f t="shared" si="12"/>
        <v>0.65637332214567101</v>
      </c>
      <c r="AV30" s="902">
        <f t="shared" si="12"/>
        <v>0.84572991661025687</v>
      </c>
      <c r="AW30" s="902">
        <f t="shared" si="13"/>
        <v>0.76668573715290578</v>
      </c>
      <c r="AX30" s="22">
        <f t="shared" si="14"/>
        <v>0</v>
      </c>
      <c r="AY30" s="22">
        <f t="shared" si="14"/>
        <v>0</v>
      </c>
      <c r="AZ30" s="22">
        <f t="shared" si="14"/>
        <v>0</v>
      </c>
      <c r="BA30" s="868">
        <f t="shared" si="15"/>
        <v>0</v>
      </c>
      <c r="BB30" s="609"/>
    </row>
    <row r="31" spans="1:54" s="16" customFormat="1">
      <c r="A31" s="905" t="s">
        <v>1096</v>
      </c>
      <c r="B31" s="859">
        <f>+'SUMM BY CLUSTER- CURRENT'!B130</f>
        <v>67022000</v>
      </c>
      <c r="C31" s="859">
        <f>+'SUMM BY CLUSTER- CURRENT'!C130</f>
        <v>160267000</v>
      </c>
      <c r="D31" s="859">
        <f>+'SUMM BY CLUSTER- CURRENT'!D130</f>
        <v>0</v>
      </c>
      <c r="E31" s="859">
        <f t="shared" si="1"/>
        <v>227289000</v>
      </c>
      <c r="F31" s="859">
        <f>+'SUMM BY CLUSTER- CURRENT'!F130</f>
        <v>0</v>
      </c>
      <c r="G31" s="859">
        <f>+'SUMM BY CLUSTER- CURRENT'!G130</f>
        <v>0</v>
      </c>
      <c r="H31" s="859">
        <f>+'SUMM BY CLUSTER- CURRENT'!H130</f>
        <v>0</v>
      </c>
      <c r="I31" s="859">
        <f t="shared" si="2"/>
        <v>0</v>
      </c>
      <c r="J31" s="859">
        <f t="shared" si="19"/>
        <v>67022000</v>
      </c>
      <c r="K31" s="859">
        <f t="shared" si="20"/>
        <v>160267000</v>
      </c>
      <c r="L31" s="859">
        <f t="shared" si="21"/>
        <v>0</v>
      </c>
      <c r="M31" s="859">
        <f t="shared" si="3"/>
        <v>227289000</v>
      </c>
      <c r="N31" s="859">
        <f>+'SUMM BY CLUSTER- CURRENT'!N130</f>
        <v>67022000</v>
      </c>
      <c r="O31" s="859">
        <f>+'SUMM BY CLUSTER- CURRENT'!O130</f>
        <v>160267000</v>
      </c>
      <c r="P31" s="859">
        <f>+'SUMM BY CLUSTER- CURRENT'!P130</f>
        <v>0</v>
      </c>
      <c r="Q31" s="859">
        <f t="shared" si="4"/>
        <v>227289000</v>
      </c>
      <c r="R31" s="859">
        <f>+'SUMM BY CLUSTER- CURRENT'!R130</f>
        <v>0</v>
      </c>
      <c r="S31" s="859">
        <f>+'SUMM BY CLUSTER- CURRENT'!S130</f>
        <v>0</v>
      </c>
      <c r="T31" s="859">
        <f>+'SUMM BY CLUSTER- CURRENT'!T130</f>
        <v>0</v>
      </c>
      <c r="U31" s="859">
        <f>SUM('CY-FUR (REG)- Detail'!V226:V228)</f>
        <v>0</v>
      </c>
      <c r="V31" s="859">
        <f>+'SUMM BY CLUSTER- CURRENT'!V130</f>
        <v>0</v>
      </c>
      <c r="W31" s="859">
        <f>+'SUMM BY CLUSTER- CURRENT'!W130</f>
        <v>115654297.58</v>
      </c>
      <c r="X31" s="859">
        <f>+'SUMM BY CLUSTER- CURRENT'!X130</f>
        <v>104357980</v>
      </c>
      <c r="Y31" s="859">
        <f t="shared" si="5"/>
        <v>220012277.57999998</v>
      </c>
      <c r="Z31" s="859">
        <f t="shared" si="22"/>
        <v>67022000</v>
      </c>
      <c r="AA31" s="859">
        <f t="shared" si="23"/>
        <v>275921297.57999998</v>
      </c>
      <c r="AB31" s="859">
        <f t="shared" si="24"/>
        <v>104357980</v>
      </c>
      <c r="AC31" s="859">
        <f t="shared" si="6"/>
        <v>447301277.57999998</v>
      </c>
      <c r="AD31" s="859">
        <f>+'SUMM BY CLUSTER- CURRENT'!AD130</f>
        <v>56892590.170000002</v>
      </c>
      <c r="AE31" s="859">
        <f>+'SUMM BY CLUSTER- CURRENT'!AE130</f>
        <v>105638191.8</v>
      </c>
      <c r="AF31" s="859">
        <f>+'SUMM BY CLUSTER- CURRENT'!AF130</f>
        <v>0</v>
      </c>
      <c r="AG31" s="859">
        <f t="shared" si="7"/>
        <v>162530781.97</v>
      </c>
      <c r="AH31" s="859">
        <f>+'SUMM BY CLUSTER- CURRENT'!AH130</f>
        <v>0</v>
      </c>
      <c r="AI31" s="859">
        <f>+'SUMM BY CLUSTER- CURRENT'!AI130</f>
        <v>59874194.969999999</v>
      </c>
      <c r="AJ31" s="859">
        <f>+'SUMM BY CLUSTER- CURRENT'!AJ130</f>
        <v>84572524.929999992</v>
      </c>
      <c r="AK31" s="859">
        <f t="shared" si="8"/>
        <v>144446719.89999998</v>
      </c>
      <c r="AL31" s="859">
        <f t="shared" si="25"/>
        <v>56892590.170000002</v>
      </c>
      <c r="AM31" s="859">
        <f t="shared" si="26"/>
        <v>165512386.76999998</v>
      </c>
      <c r="AN31" s="859">
        <f t="shared" si="27"/>
        <v>84572524.929999992</v>
      </c>
      <c r="AO31" s="859">
        <f t="shared" si="9"/>
        <v>306977501.87</v>
      </c>
      <c r="AP31" s="859">
        <f t="shared" si="28"/>
        <v>10129409.829999998</v>
      </c>
      <c r="AQ31" s="859">
        <f t="shared" si="29"/>
        <v>110408910.81</v>
      </c>
      <c r="AR31" s="859">
        <f t="shared" si="30"/>
        <v>19785455.070000008</v>
      </c>
      <c r="AS31" s="859">
        <f t="shared" si="11"/>
        <v>140323775.71000001</v>
      </c>
      <c r="AT31" s="886">
        <f t="shared" si="12"/>
        <v>0.84886440526991136</v>
      </c>
      <c r="AU31" s="886">
        <f t="shared" si="12"/>
        <v>0.5998536112349635</v>
      </c>
      <c r="AV31" s="886">
        <f t="shared" si="12"/>
        <v>0.81040783780981573</v>
      </c>
      <c r="AW31" s="886">
        <f t="shared" si="13"/>
        <v>0.68628800599635442</v>
      </c>
      <c r="AX31" s="22">
        <f t="shared" si="14"/>
        <v>0</v>
      </c>
      <c r="AY31" s="22">
        <f t="shared" si="14"/>
        <v>0</v>
      </c>
      <c r="AZ31" s="22">
        <f t="shared" si="14"/>
        <v>0</v>
      </c>
      <c r="BA31" s="859">
        <f t="shared" si="15"/>
        <v>0</v>
      </c>
      <c r="BB31" s="39"/>
    </row>
    <row r="32" spans="1:54" s="16" customFormat="1">
      <c r="A32" s="905" t="s">
        <v>1050</v>
      </c>
      <c r="B32" s="859">
        <f>+'SUMM BY CLUSTER- CURRENT'!B131</f>
        <v>117947000</v>
      </c>
      <c r="C32" s="859">
        <f>+'SUMM BY CLUSTER- CURRENT'!C131</f>
        <v>41998000</v>
      </c>
      <c r="D32" s="859">
        <f>+'SUMM BY CLUSTER- CURRENT'!D131</f>
        <v>0</v>
      </c>
      <c r="E32" s="859">
        <f t="shared" si="1"/>
        <v>159945000</v>
      </c>
      <c r="F32" s="859">
        <f>+'SUMM BY CLUSTER- CURRENT'!F131</f>
        <v>0</v>
      </c>
      <c r="G32" s="859">
        <f>+'SUMM BY CLUSTER- CURRENT'!G131</f>
        <v>0</v>
      </c>
      <c r="H32" s="859">
        <f>+'SUMM BY CLUSTER- CURRENT'!H131</f>
        <v>0</v>
      </c>
      <c r="I32" s="859">
        <f t="shared" si="2"/>
        <v>0</v>
      </c>
      <c r="J32" s="859">
        <f t="shared" si="19"/>
        <v>117947000</v>
      </c>
      <c r="K32" s="859">
        <f t="shared" si="20"/>
        <v>41998000</v>
      </c>
      <c r="L32" s="859">
        <f t="shared" si="21"/>
        <v>0</v>
      </c>
      <c r="M32" s="859">
        <f t="shared" si="3"/>
        <v>159945000</v>
      </c>
      <c r="N32" s="859">
        <f>+'SUMM BY CLUSTER- CURRENT'!N131</f>
        <v>117947000</v>
      </c>
      <c r="O32" s="859">
        <f>+'SUMM BY CLUSTER- CURRENT'!O131</f>
        <v>41998000</v>
      </c>
      <c r="P32" s="859">
        <f>+'SUMM BY CLUSTER- CURRENT'!P131</f>
        <v>0</v>
      </c>
      <c r="Q32" s="859">
        <f t="shared" si="4"/>
        <v>159945000</v>
      </c>
      <c r="R32" s="859">
        <f>+'SUMM BY CLUSTER- CURRENT'!R131</f>
        <v>0</v>
      </c>
      <c r="S32" s="859">
        <f>+'SUMM BY CLUSTER- CURRENT'!S131</f>
        <v>0</v>
      </c>
      <c r="T32" s="859">
        <f>+'SUMM BY CLUSTER- CURRENT'!T131</f>
        <v>0</v>
      </c>
      <c r="U32" s="859">
        <f>SUM('CY-FUR (REG)- Detail'!V227:V229)</f>
        <v>0</v>
      </c>
      <c r="V32" s="859">
        <f>+'SUMM BY CLUSTER- CURRENT'!V131</f>
        <v>0</v>
      </c>
      <c r="W32" s="859">
        <f>+'SUMM BY CLUSTER- CURRENT'!W131</f>
        <v>20084000</v>
      </c>
      <c r="X32" s="859">
        <f>+'SUMM BY CLUSTER- CURRENT'!X131</f>
        <v>0</v>
      </c>
      <c r="Y32" s="859">
        <f t="shared" si="5"/>
        <v>20084000</v>
      </c>
      <c r="Z32" s="859">
        <f t="shared" si="22"/>
        <v>117947000</v>
      </c>
      <c r="AA32" s="859">
        <f t="shared" si="23"/>
        <v>62082000</v>
      </c>
      <c r="AB32" s="859">
        <f t="shared" si="24"/>
        <v>0</v>
      </c>
      <c r="AC32" s="859">
        <f t="shared" si="6"/>
        <v>180029000</v>
      </c>
      <c r="AD32" s="859">
        <f>+'SUMM BY CLUSTER- CURRENT'!AD131</f>
        <v>111642052.28000002</v>
      </c>
      <c r="AE32" s="859">
        <f>+'SUMM BY CLUSTER- CURRENT'!AE131</f>
        <v>36490804.649999999</v>
      </c>
      <c r="AF32" s="859">
        <f>+'SUMM BY CLUSTER- CURRENT'!AF131</f>
        <v>0</v>
      </c>
      <c r="AG32" s="859">
        <f t="shared" si="7"/>
        <v>148132856.93000001</v>
      </c>
      <c r="AH32" s="859">
        <f>+'SUMM BY CLUSTER- CURRENT'!AH131</f>
        <v>0</v>
      </c>
      <c r="AI32" s="859">
        <f>+'SUMM BY CLUSTER- CURRENT'!AI131</f>
        <v>18570259.149999999</v>
      </c>
      <c r="AJ32" s="859">
        <f>+'SUMM BY CLUSTER- CURRENT'!AJ131</f>
        <v>0</v>
      </c>
      <c r="AK32" s="859">
        <f t="shared" si="8"/>
        <v>18570259.149999999</v>
      </c>
      <c r="AL32" s="859">
        <f t="shared" si="25"/>
        <v>111642052.28000002</v>
      </c>
      <c r="AM32" s="859">
        <f t="shared" si="26"/>
        <v>55061063.799999997</v>
      </c>
      <c r="AN32" s="859">
        <f t="shared" si="27"/>
        <v>0</v>
      </c>
      <c r="AO32" s="859">
        <f t="shared" si="9"/>
        <v>166703116.08000001</v>
      </c>
      <c r="AP32" s="859">
        <f t="shared" si="28"/>
        <v>6304947.7199999839</v>
      </c>
      <c r="AQ32" s="859">
        <f t="shared" si="29"/>
        <v>7020936.200000003</v>
      </c>
      <c r="AR32" s="859">
        <f t="shared" si="30"/>
        <v>0</v>
      </c>
      <c r="AS32" s="859">
        <f t="shared" si="11"/>
        <v>13325883.919999987</v>
      </c>
      <c r="AT32" s="886">
        <f t="shared" si="12"/>
        <v>0.94654422986595688</v>
      </c>
      <c r="AU32" s="886">
        <f t="shared" si="12"/>
        <v>0.88690866595792661</v>
      </c>
      <c r="AV32" s="886" t="str">
        <f t="shared" si="12"/>
        <v xml:space="preserve"> </v>
      </c>
      <c r="AW32" s="886">
        <f t="shared" si="13"/>
        <v>0.92597923712290808</v>
      </c>
      <c r="AX32" s="22">
        <f t="shared" si="14"/>
        <v>0</v>
      </c>
      <c r="AY32" s="22">
        <f t="shared" si="14"/>
        <v>0</v>
      </c>
      <c r="AZ32" s="22">
        <f t="shared" si="14"/>
        <v>0</v>
      </c>
      <c r="BA32" s="859">
        <f t="shared" si="15"/>
        <v>0</v>
      </c>
      <c r="BB32" s="39"/>
    </row>
    <row r="33" spans="1:54" s="16" customFormat="1">
      <c r="A33" s="905" t="s">
        <v>1051</v>
      </c>
      <c r="B33" s="859">
        <f>+'SUMM BY CLUSTER- CURRENT'!B132</f>
        <v>8559000</v>
      </c>
      <c r="C33" s="859">
        <f>+'SUMM BY CLUSTER- CURRENT'!C132</f>
        <v>7009000</v>
      </c>
      <c r="D33" s="859">
        <f>+'SUMM BY CLUSTER- CURRENT'!D132</f>
        <v>0</v>
      </c>
      <c r="E33" s="859">
        <f t="shared" si="1"/>
        <v>15568000</v>
      </c>
      <c r="F33" s="859">
        <f>+'SUMM BY CLUSTER- CURRENT'!F132</f>
        <v>0</v>
      </c>
      <c r="G33" s="859">
        <f>+'SUMM BY CLUSTER- CURRENT'!G132</f>
        <v>0</v>
      </c>
      <c r="H33" s="859">
        <f>+'SUMM BY CLUSTER- CURRENT'!H132</f>
        <v>0</v>
      </c>
      <c r="I33" s="859">
        <f t="shared" si="2"/>
        <v>0</v>
      </c>
      <c r="J33" s="859">
        <f t="shared" si="19"/>
        <v>8559000</v>
      </c>
      <c r="K33" s="859">
        <f t="shared" si="20"/>
        <v>7009000</v>
      </c>
      <c r="L33" s="859">
        <f t="shared" si="21"/>
        <v>0</v>
      </c>
      <c r="M33" s="859">
        <f t="shared" si="3"/>
        <v>15568000</v>
      </c>
      <c r="N33" s="859">
        <f>+'SUMM BY CLUSTER- CURRENT'!N132</f>
        <v>8559000</v>
      </c>
      <c r="O33" s="859">
        <f>+'SUMM BY CLUSTER- CURRENT'!O132</f>
        <v>7009000</v>
      </c>
      <c r="P33" s="859">
        <f>+'SUMM BY CLUSTER- CURRENT'!P132</f>
        <v>0</v>
      </c>
      <c r="Q33" s="859">
        <f t="shared" si="4"/>
        <v>15568000</v>
      </c>
      <c r="R33" s="859">
        <f>+'SUMM BY CLUSTER- CURRENT'!R132</f>
        <v>0</v>
      </c>
      <c r="S33" s="859">
        <f>+'SUMM BY CLUSTER- CURRENT'!S132</f>
        <v>0</v>
      </c>
      <c r="T33" s="859">
        <f>+'SUMM BY CLUSTER- CURRENT'!T132</f>
        <v>0</v>
      </c>
      <c r="U33" s="859">
        <f>SUM('CY-FUR (REG)- Detail'!V228:V230)</f>
        <v>0</v>
      </c>
      <c r="V33" s="859">
        <f>+'SUMM BY CLUSTER- CURRENT'!V132</f>
        <v>0</v>
      </c>
      <c r="W33" s="859">
        <f>+'SUMM BY CLUSTER- CURRENT'!W132</f>
        <v>2118000</v>
      </c>
      <c r="X33" s="859">
        <f>+'SUMM BY CLUSTER- CURRENT'!X132</f>
        <v>23900000</v>
      </c>
      <c r="Y33" s="859">
        <f t="shared" si="5"/>
        <v>26018000</v>
      </c>
      <c r="Z33" s="859">
        <f t="shared" si="22"/>
        <v>8559000</v>
      </c>
      <c r="AA33" s="859">
        <f t="shared" si="23"/>
        <v>9127000</v>
      </c>
      <c r="AB33" s="859">
        <f t="shared" si="24"/>
        <v>23900000</v>
      </c>
      <c r="AC33" s="859">
        <f t="shared" si="6"/>
        <v>41586000</v>
      </c>
      <c r="AD33" s="859">
        <f>+'SUMM BY CLUSTER- CURRENT'!AD132</f>
        <v>7995249.5499999998</v>
      </c>
      <c r="AE33" s="859">
        <f>+'SUMM BY CLUSTER- CURRENT'!AE132</f>
        <v>6032443.2800000003</v>
      </c>
      <c r="AF33" s="859">
        <f>+'SUMM BY CLUSTER- CURRENT'!AF132</f>
        <v>0</v>
      </c>
      <c r="AG33" s="859">
        <f t="shared" si="7"/>
        <v>14027692.83</v>
      </c>
      <c r="AH33" s="859">
        <f>+'SUMM BY CLUSTER- CURRENT'!AH132</f>
        <v>0</v>
      </c>
      <c r="AI33" s="859">
        <f>+'SUMM BY CLUSTER- CURRENT'!AI132</f>
        <v>1241172.79</v>
      </c>
      <c r="AJ33" s="859">
        <f>+'SUMM BY CLUSTER- CURRENT'!AJ132</f>
        <v>23899085.800000001</v>
      </c>
      <c r="AK33" s="859">
        <f t="shared" si="8"/>
        <v>25140258.59</v>
      </c>
      <c r="AL33" s="859">
        <f t="shared" si="25"/>
        <v>7995249.5499999998</v>
      </c>
      <c r="AM33" s="859">
        <f t="shared" si="26"/>
        <v>7273616.0700000003</v>
      </c>
      <c r="AN33" s="859">
        <f t="shared" si="27"/>
        <v>23899085.800000001</v>
      </c>
      <c r="AO33" s="859">
        <f t="shared" si="9"/>
        <v>39167951.420000002</v>
      </c>
      <c r="AP33" s="859">
        <f t="shared" si="28"/>
        <v>563750.45000000019</v>
      </c>
      <c r="AQ33" s="859">
        <f t="shared" si="29"/>
        <v>1853383.9299999997</v>
      </c>
      <c r="AR33" s="859">
        <f t="shared" si="30"/>
        <v>914.19999999925494</v>
      </c>
      <c r="AS33" s="859">
        <f t="shared" si="11"/>
        <v>2418048.5799999991</v>
      </c>
      <c r="AT33" s="886">
        <f t="shared" si="12"/>
        <v>0.93413360789811895</v>
      </c>
      <c r="AU33" s="886">
        <f t="shared" si="12"/>
        <v>0.79693393995836537</v>
      </c>
      <c r="AV33" s="886">
        <f t="shared" si="12"/>
        <v>0.99996174895397494</v>
      </c>
      <c r="AW33" s="886">
        <f t="shared" si="13"/>
        <v>0.94185426393497818</v>
      </c>
      <c r="AX33" s="22">
        <f t="shared" si="14"/>
        <v>0</v>
      </c>
      <c r="AY33" s="22">
        <f t="shared" si="14"/>
        <v>0</v>
      </c>
      <c r="AZ33" s="22">
        <f t="shared" si="14"/>
        <v>0</v>
      </c>
      <c r="BA33" s="859">
        <f t="shared" si="15"/>
        <v>0</v>
      </c>
      <c r="BB33" s="39"/>
    </row>
    <row r="34" spans="1:54" s="16" customFormat="1">
      <c r="A34" s="592"/>
      <c r="B34" s="859"/>
      <c r="C34" s="859"/>
      <c r="D34" s="859"/>
      <c r="E34" s="860">
        <f t="shared" si="1"/>
        <v>0</v>
      </c>
      <c r="F34" s="859"/>
      <c r="G34" s="859"/>
      <c r="H34" s="859"/>
      <c r="I34" s="860">
        <f t="shared" si="2"/>
        <v>0</v>
      </c>
      <c r="J34" s="859">
        <f t="shared" si="19"/>
        <v>0</v>
      </c>
      <c r="K34" s="859">
        <f t="shared" si="20"/>
        <v>0</v>
      </c>
      <c r="L34" s="859">
        <f t="shared" si="21"/>
        <v>0</v>
      </c>
      <c r="M34" s="860">
        <f t="shared" si="3"/>
        <v>0</v>
      </c>
      <c r="N34" s="859"/>
      <c r="O34" s="859"/>
      <c r="P34" s="859"/>
      <c r="Q34" s="860">
        <f t="shared" si="4"/>
        <v>0</v>
      </c>
      <c r="R34" s="859"/>
      <c r="S34" s="859"/>
      <c r="T34" s="859"/>
      <c r="U34" s="860"/>
      <c r="V34" s="859"/>
      <c r="W34" s="859"/>
      <c r="X34" s="859"/>
      <c r="Y34" s="860">
        <f t="shared" si="5"/>
        <v>0</v>
      </c>
      <c r="Z34" s="860">
        <f t="shared" si="22"/>
        <v>0</v>
      </c>
      <c r="AA34" s="860">
        <f t="shared" si="23"/>
        <v>0</v>
      </c>
      <c r="AB34" s="860">
        <f t="shared" si="24"/>
        <v>0</v>
      </c>
      <c r="AC34" s="860">
        <f t="shared" si="6"/>
        <v>0</v>
      </c>
      <c r="AD34" s="859"/>
      <c r="AE34" s="859"/>
      <c r="AF34" s="859"/>
      <c r="AG34" s="860">
        <f t="shared" si="7"/>
        <v>0</v>
      </c>
      <c r="AH34" s="859"/>
      <c r="AI34" s="859"/>
      <c r="AJ34" s="859"/>
      <c r="AK34" s="860">
        <f t="shared" si="8"/>
        <v>0</v>
      </c>
      <c r="AL34" s="860">
        <f t="shared" si="25"/>
        <v>0</v>
      </c>
      <c r="AM34" s="860">
        <f t="shared" si="26"/>
        <v>0</v>
      </c>
      <c r="AN34" s="860">
        <f t="shared" si="27"/>
        <v>0</v>
      </c>
      <c r="AO34" s="860">
        <f t="shared" si="9"/>
        <v>0</v>
      </c>
      <c r="AP34" s="860">
        <f t="shared" si="28"/>
        <v>0</v>
      </c>
      <c r="AQ34" s="860">
        <f t="shared" si="29"/>
        <v>0</v>
      </c>
      <c r="AR34" s="860">
        <f t="shared" si="30"/>
        <v>0</v>
      </c>
      <c r="AS34" s="860">
        <f t="shared" si="11"/>
        <v>0</v>
      </c>
      <c r="AT34" s="886" t="str">
        <f t="shared" si="12"/>
        <v xml:space="preserve"> </v>
      </c>
      <c r="AU34" s="886" t="str">
        <f t="shared" si="12"/>
        <v xml:space="preserve"> </v>
      </c>
      <c r="AV34" s="886" t="str">
        <f t="shared" si="12"/>
        <v xml:space="preserve"> </v>
      </c>
      <c r="AW34" s="886" t="str">
        <f t="shared" si="13"/>
        <v xml:space="preserve"> </v>
      </c>
      <c r="AX34" s="22">
        <f t="shared" si="14"/>
        <v>0</v>
      </c>
      <c r="AY34" s="22">
        <f t="shared" si="14"/>
        <v>0</v>
      </c>
      <c r="AZ34" s="22">
        <f t="shared" si="14"/>
        <v>0</v>
      </c>
      <c r="BA34" s="860">
        <f t="shared" si="15"/>
        <v>0</v>
      </c>
      <c r="BB34" s="39"/>
    </row>
    <row r="35" spans="1:54" s="903" customFormat="1" ht="16.5">
      <c r="A35" s="906" t="s">
        <v>57</v>
      </c>
      <c r="B35" s="868">
        <f t="shared" ref="B35:AJ35" si="34">SUM(B36:B38)</f>
        <v>178896000</v>
      </c>
      <c r="C35" s="868">
        <f t="shared" si="34"/>
        <v>203184000</v>
      </c>
      <c r="D35" s="868">
        <f t="shared" si="34"/>
        <v>0</v>
      </c>
      <c r="E35" s="868">
        <f t="shared" si="1"/>
        <v>382080000</v>
      </c>
      <c r="F35" s="868">
        <f t="shared" si="34"/>
        <v>5538457</v>
      </c>
      <c r="G35" s="868">
        <f t="shared" si="34"/>
        <v>-5538457</v>
      </c>
      <c r="H35" s="868">
        <f t="shared" si="34"/>
        <v>0</v>
      </c>
      <c r="I35" s="868">
        <f t="shared" si="2"/>
        <v>0</v>
      </c>
      <c r="J35" s="868">
        <f t="shared" si="19"/>
        <v>184434457</v>
      </c>
      <c r="K35" s="868">
        <f t="shared" si="20"/>
        <v>197645543</v>
      </c>
      <c r="L35" s="868">
        <f t="shared" si="21"/>
        <v>0</v>
      </c>
      <c r="M35" s="868">
        <f t="shared" si="3"/>
        <v>382080000</v>
      </c>
      <c r="N35" s="868">
        <f t="shared" si="34"/>
        <v>184434457</v>
      </c>
      <c r="O35" s="868">
        <f t="shared" si="34"/>
        <v>197645543</v>
      </c>
      <c r="P35" s="868">
        <f t="shared" si="34"/>
        <v>0</v>
      </c>
      <c r="Q35" s="868">
        <f t="shared" si="4"/>
        <v>382080000</v>
      </c>
      <c r="R35" s="868">
        <f t="shared" si="34"/>
        <v>0</v>
      </c>
      <c r="S35" s="868">
        <f t="shared" si="34"/>
        <v>0</v>
      </c>
      <c r="T35" s="868">
        <f t="shared" si="34"/>
        <v>0</v>
      </c>
      <c r="U35" s="868">
        <f t="shared" si="34"/>
        <v>0</v>
      </c>
      <c r="V35" s="868">
        <f t="shared" si="34"/>
        <v>0</v>
      </c>
      <c r="W35" s="868">
        <f t="shared" si="34"/>
        <v>151091069</v>
      </c>
      <c r="X35" s="868">
        <f t="shared" si="34"/>
        <v>115773000</v>
      </c>
      <c r="Y35" s="868">
        <f t="shared" si="5"/>
        <v>266864069</v>
      </c>
      <c r="Z35" s="868">
        <f t="shared" si="22"/>
        <v>184434457</v>
      </c>
      <c r="AA35" s="868">
        <f t="shared" si="23"/>
        <v>348736612</v>
      </c>
      <c r="AB35" s="868">
        <f t="shared" si="24"/>
        <v>115773000</v>
      </c>
      <c r="AC35" s="868">
        <f t="shared" si="6"/>
        <v>648944069</v>
      </c>
      <c r="AD35" s="868">
        <f t="shared" si="34"/>
        <v>168274061.09999999</v>
      </c>
      <c r="AE35" s="868">
        <f t="shared" si="34"/>
        <v>173348412.53</v>
      </c>
      <c r="AF35" s="868">
        <f t="shared" si="34"/>
        <v>0</v>
      </c>
      <c r="AG35" s="868">
        <f t="shared" si="7"/>
        <v>341622473.63</v>
      </c>
      <c r="AH35" s="868">
        <f t="shared" si="34"/>
        <v>0</v>
      </c>
      <c r="AI35" s="868">
        <f t="shared" si="34"/>
        <v>114243668.54000001</v>
      </c>
      <c r="AJ35" s="868">
        <f t="shared" si="34"/>
        <v>95159160.830000013</v>
      </c>
      <c r="AK35" s="868">
        <f t="shared" si="8"/>
        <v>209402829.37</v>
      </c>
      <c r="AL35" s="868">
        <f t="shared" si="25"/>
        <v>168274061.09999999</v>
      </c>
      <c r="AM35" s="868">
        <f t="shared" si="26"/>
        <v>287592081.06999999</v>
      </c>
      <c r="AN35" s="868">
        <f t="shared" si="27"/>
        <v>95159160.830000013</v>
      </c>
      <c r="AO35" s="868">
        <f t="shared" si="9"/>
        <v>551025303</v>
      </c>
      <c r="AP35" s="868">
        <f t="shared" si="28"/>
        <v>16160395.900000006</v>
      </c>
      <c r="AQ35" s="868">
        <f t="shared" si="29"/>
        <v>61144530.930000007</v>
      </c>
      <c r="AR35" s="868">
        <f t="shared" si="30"/>
        <v>20613839.169999987</v>
      </c>
      <c r="AS35" s="868">
        <f t="shared" si="11"/>
        <v>97918766</v>
      </c>
      <c r="AT35" s="902">
        <f t="shared" si="12"/>
        <v>0.91237865113241823</v>
      </c>
      <c r="AU35" s="902">
        <f t="shared" si="12"/>
        <v>0.82466844940846074</v>
      </c>
      <c r="AV35" s="902">
        <f t="shared" si="12"/>
        <v>0.8219460567662582</v>
      </c>
      <c r="AW35" s="902">
        <f t="shared" si="13"/>
        <v>0.84911062343032218</v>
      </c>
      <c r="AX35" s="22">
        <f t="shared" si="14"/>
        <v>0</v>
      </c>
      <c r="AY35" s="22">
        <f t="shared" si="14"/>
        <v>0</v>
      </c>
      <c r="AZ35" s="22">
        <f t="shared" si="14"/>
        <v>0</v>
      </c>
      <c r="BA35" s="868">
        <f t="shared" si="15"/>
        <v>0</v>
      </c>
    </row>
    <row r="36" spans="1:54" s="16" customFormat="1">
      <c r="A36" s="905" t="s">
        <v>1097</v>
      </c>
      <c r="B36" s="859">
        <f>+'SUMM BY CLUSTER- CURRENT'!B135</f>
        <v>66748000</v>
      </c>
      <c r="C36" s="859">
        <f>+'SUMM BY CLUSTER- CURRENT'!C135</f>
        <v>148420000</v>
      </c>
      <c r="D36" s="859">
        <f>+'SUMM BY CLUSTER- CURRENT'!D135</f>
        <v>0</v>
      </c>
      <c r="E36" s="859">
        <f t="shared" si="1"/>
        <v>215168000</v>
      </c>
      <c r="F36" s="859">
        <f>+'SUMM BY CLUSTER- CURRENT'!F135</f>
        <v>5538457</v>
      </c>
      <c r="G36" s="859">
        <f>+'SUMM BY CLUSTER- CURRENT'!G135</f>
        <v>-5538457</v>
      </c>
      <c r="H36" s="859">
        <f>+'SUMM BY CLUSTER- CURRENT'!H135</f>
        <v>0</v>
      </c>
      <c r="I36" s="859">
        <f t="shared" si="2"/>
        <v>0</v>
      </c>
      <c r="J36" s="859">
        <f t="shared" si="19"/>
        <v>72286457</v>
      </c>
      <c r="K36" s="859">
        <f t="shared" si="20"/>
        <v>142881543</v>
      </c>
      <c r="L36" s="859">
        <f t="shared" si="21"/>
        <v>0</v>
      </c>
      <c r="M36" s="859">
        <f t="shared" si="3"/>
        <v>215168000</v>
      </c>
      <c r="N36" s="859">
        <f>+'SUMM BY CLUSTER- CURRENT'!N135</f>
        <v>72286457</v>
      </c>
      <c r="O36" s="859">
        <f>+'SUMM BY CLUSTER- CURRENT'!O135</f>
        <v>142881543</v>
      </c>
      <c r="P36" s="859">
        <f>+'SUMM BY CLUSTER- CURRENT'!P135</f>
        <v>0</v>
      </c>
      <c r="Q36" s="859">
        <f t="shared" si="4"/>
        <v>215168000</v>
      </c>
      <c r="R36" s="859">
        <f>+'SUMM BY CLUSTER- CURRENT'!R135</f>
        <v>0</v>
      </c>
      <c r="S36" s="859">
        <f>+'SUMM BY CLUSTER- CURRENT'!S135</f>
        <v>0</v>
      </c>
      <c r="T36" s="859">
        <f>+'SUMM BY CLUSTER- CURRENT'!T135</f>
        <v>0</v>
      </c>
      <c r="U36" s="859">
        <f>SUM('CY-FUR (REG)- Detail'!V231:V233)</f>
        <v>0</v>
      </c>
      <c r="V36" s="859">
        <f>+'SUMM BY CLUSTER- CURRENT'!V135</f>
        <v>0</v>
      </c>
      <c r="W36" s="859">
        <f>+'SUMM BY CLUSTER- CURRENT'!W135</f>
        <v>131752069</v>
      </c>
      <c r="X36" s="859">
        <f>+'SUMM BY CLUSTER- CURRENT'!X135</f>
        <v>8543000</v>
      </c>
      <c r="Y36" s="859">
        <f t="shared" si="5"/>
        <v>140295069</v>
      </c>
      <c r="Z36" s="859">
        <f t="shared" si="22"/>
        <v>72286457</v>
      </c>
      <c r="AA36" s="859">
        <f t="shared" si="23"/>
        <v>274633612</v>
      </c>
      <c r="AB36" s="859">
        <f t="shared" si="24"/>
        <v>8543000</v>
      </c>
      <c r="AC36" s="859">
        <f t="shared" si="6"/>
        <v>355463069</v>
      </c>
      <c r="AD36" s="859">
        <f>+'SUMM BY CLUSTER- CURRENT'!AD135</f>
        <v>63775743.059999987</v>
      </c>
      <c r="AE36" s="859">
        <f>+'SUMM BY CLUSTER- CURRENT'!AE135</f>
        <v>128424122.17</v>
      </c>
      <c r="AF36" s="859">
        <f>+'SUMM BY CLUSTER- CURRENT'!AF135</f>
        <v>0</v>
      </c>
      <c r="AG36" s="859">
        <f t="shared" si="7"/>
        <v>192199865.22999999</v>
      </c>
      <c r="AH36" s="859">
        <f>+'SUMM BY CLUSTER- CURRENT'!AH135</f>
        <v>0</v>
      </c>
      <c r="AI36" s="859">
        <f>+'SUMM BY CLUSTER- CURRENT'!AI135</f>
        <v>99760848.890000001</v>
      </c>
      <c r="AJ36" s="859">
        <f>+'SUMM BY CLUSTER- CURRENT'!AJ135</f>
        <v>8539701.8100000005</v>
      </c>
      <c r="AK36" s="859">
        <f t="shared" si="8"/>
        <v>108300550.7</v>
      </c>
      <c r="AL36" s="859">
        <f t="shared" si="25"/>
        <v>63775743.059999987</v>
      </c>
      <c r="AM36" s="859">
        <f t="shared" si="26"/>
        <v>228184971.06</v>
      </c>
      <c r="AN36" s="859">
        <f t="shared" si="27"/>
        <v>8539701.8100000005</v>
      </c>
      <c r="AO36" s="859">
        <f t="shared" si="9"/>
        <v>300500415.93000001</v>
      </c>
      <c r="AP36" s="859">
        <f t="shared" si="28"/>
        <v>8510713.9400000125</v>
      </c>
      <c r="AQ36" s="859">
        <f t="shared" si="29"/>
        <v>46448640.939999998</v>
      </c>
      <c r="AR36" s="859">
        <f t="shared" si="30"/>
        <v>3298.1899999994785</v>
      </c>
      <c r="AS36" s="859">
        <f t="shared" si="11"/>
        <v>54962653.070000008</v>
      </c>
      <c r="AT36" s="886">
        <f t="shared" si="12"/>
        <v>0.88226406033428895</v>
      </c>
      <c r="AU36" s="886">
        <f t="shared" si="12"/>
        <v>0.83087051653386113</v>
      </c>
      <c r="AV36" s="886">
        <f t="shared" si="12"/>
        <v>0.99961393070350002</v>
      </c>
      <c r="AW36" s="886">
        <f t="shared" si="13"/>
        <v>0.84537731803018901</v>
      </c>
      <c r="AX36" s="22">
        <f t="shared" si="14"/>
        <v>0</v>
      </c>
      <c r="AY36" s="22">
        <f t="shared" si="14"/>
        <v>0</v>
      </c>
      <c r="AZ36" s="22">
        <f t="shared" si="14"/>
        <v>0</v>
      </c>
      <c r="BA36" s="859">
        <f t="shared" si="15"/>
        <v>0</v>
      </c>
    </row>
    <row r="37" spans="1:54" s="16" customFormat="1">
      <c r="A37" s="907" t="s">
        <v>1053</v>
      </c>
      <c r="B37" s="859">
        <f>+'SUMM BY CLUSTER- CURRENT'!B136</f>
        <v>78144000</v>
      </c>
      <c r="C37" s="859">
        <f>+'SUMM BY CLUSTER- CURRENT'!C136</f>
        <v>37869000</v>
      </c>
      <c r="D37" s="859">
        <f>+'SUMM BY CLUSTER- CURRENT'!D136</f>
        <v>0</v>
      </c>
      <c r="E37" s="859">
        <f t="shared" si="1"/>
        <v>116013000</v>
      </c>
      <c r="F37" s="859">
        <f>+'SUMM BY CLUSTER- CURRENT'!F136</f>
        <v>0</v>
      </c>
      <c r="G37" s="859">
        <f>+'SUMM BY CLUSTER- CURRENT'!G136</f>
        <v>0</v>
      </c>
      <c r="H37" s="859">
        <f>+'SUMM BY CLUSTER- CURRENT'!H136</f>
        <v>0</v>
      </c>
      <c r="I37" s="859">
        <f t="shared" si="2"/>
        <v>0</v>
      </c>
      <c r="J37" s="859">
        <f t="shared" si="19"/>
        <v>78144000</v>
      </c>
      <c r="K37" s="859">
        <f t="shared" si="20"/>
        <v>37869000</v>
      </c>
      <c r="L37" s="859">
        <f t="shared" si="21"/>
        <v>0</v>
      </c>
      <c r="M37" s="859">
        <f t="shared" si="3"/>
        <v>116013000</v>
      </c>
      <c r="N37" s="859">
        <f>+'SUMM BY CLUSTER- CURRENT'!N136</f>
        <v>78144000</v>
      </c>
      <c r="O37" s="859">
        <f>+'SUMM BY CLUSTER- CURRENT'!O136</f>
        <v>37869000</v>
      </c>
      <c r="P37" s="859">
        <f>+'SUMM BY CLUSTER- CURRENT'!P136</f>
        <v>0</v>
      </c>
      <c r="Q37" s="859">
        <f t="shared" si="4"/>
        <v>116013000</v>
      </c>
      <c r="R37" s="859">
        <f>+'SUMM BY CLUSTER- CURRENT'!R136</f>
        <v>0</v>
      </c>
      <c r="S37" s="859">
        <f>+'SUMM BY CLUSTER- CURRENT'!S136</f>
        <v>0</v>
      </c>
      <c r="T37" s="859">
        <f>+'SUMM BY CLUSTER- CURRENT'!T136</f>
        <v>0</v>
      </c>
      <c r="U37" s="859">
        <f>SUM('CY-FUR (REG)- Detail'!V232:V234)</f>
        <v>0</v>
      </c>
      <c r="V37" s="859">
        <f>+'SUMM BY CLUSTER- CURRENT'!V136</f>
        <v>0</v>
      </c>
      <c r="W37" s="859">
        <f>+'SUMM BY CLUSTER- CURRENT'!W136</f>
        <v>14999000</v>
      </c>
      <c r="X37" s="859">
        <f>+'SUMM BY CLUSTER- CURRENT'!X136</f>
        <v>80000000</v>
      </c>
      <c r="Y37" s="859">
        <f t="shared" si="5"/>
        <v>94999000</v>
      </c>
      <c r="Z37" s="859">
        <f t="shared" si="22"/>
        <v>78144000</v>
      </c>
      <c r="AA37" s="859">
        <f t="shared" si="23"/>
        <v>52868000</v>
      </c>
      <c r="AB37" s="859">
        <f t="shared" si="24"/>
        <v>80000000</v>
      </c>
      <c r="AC37" s="859">
        <f t="shared" si="6"/>
        <v>211012000</v>
      </c>
      <c r="AD37" s="859">
        <f>+'SUMM BY CLUSTER- CURRENT'!AD136</f>
        <v>74250528.850000009</v>
      </c>
      <c r="AE37" s="859">
        <f>+'SUMM BY CLUSTER- CURRENT'!AE136</f>
        <v>31369782.43</v>
      </c>
      <c r="AF37" s="859">
        <f>+'SUMM BY CLUSTER- CURRENT'!AF136</f>
        <v>0</v>
      </c>
      <c r="AG37" s="859">
        <f t="shared" si="7"/>
        <v>105620311.28</v>
      </c>
      <c r="AH37" s="859">
        <f>+'SUMM BY CLUSTER- CURRENT'!AH136</f>
        <v>0</v>
      </c>
      <c r="AI37" s="859">
        <f>+'SUMM BY CLUSTER- CURRENT'!AI136</f>
        <v>11013196.09</v>
      </c>
      <c r="AJ37" s="859">
        <f>+'SUMM BY CLUSTER- CURRENT'!AJ136</f>
        <v>79939489.620000005</v>
      </c>
      <c r="AK37" s="859">
        <f t="shared" si="8"/>
        <v>90952685.710000008</v>
      </c>
      <c r="AL37" s="859">
        <f t="shared" si="25"/>
        <v>74250528.850000009</v>
      </c>
      <c r="AM37" s="859">
        <f t="shared" si="26"/>
        <v>42382978.519999996</v>
      </c>
      <c r="AN37" s="859">
        <f t="shared" si="27"/>
        <v>79939489.620000005</v>
      </c>
      <c r="AO37" s="859">
        <f t="shared" si="9"/>
        <v>196572996.99000001</v>
      </c>
      <c r="AP37" s="859">
        <f t="shared" si="28"/>
        <v>3893471.1499999911</v>
      </c>
      <c r="AQ37" s="859">
        <f t="shared" si="29"/>
        <v>10485021.480000004</v>
      </c>
      <c r="AR37" s="859">
        <f t="shared" si="30"/>
        <v>60510.379999995232</v>
      </c>
      <c r="AS37" s="859">
        <f t="shared" si="11"/>
        <v>14439003.00999999</v>
      </c>
      <c r="AT37" s="886">
        <f t="shared" si="12"/>
        <v>0.95017568655303042</v>
      </c>
      <c r="AU37" s="886">
        <f t="shared" si="12"/>
        <v>0.80167546568812886</v>
      </c>
      <c r="AV37" s="886">
        <f t="shared" si="12"/>
        <v>0.99924362025000002</v>
      </c>
      <c r="AW37" s="886">
        <f t="shared" si="13"/>
        <v>0.93157259771956102</v>
      </c>
      <c r="AX37" s="22">
        <f t="shared" si="14"/>
        <v>0</v>
      </c>
      <c r="AY37" s="22">
        <f t="shared" si="14"/>
        <v>0</v>
      </c>
      <c r="AZ37" s="22">
        <f t="shared" si="14"/>
        <v>0</v>
      </c>
      <c r="BA37" s="859">
        <f t="shared" si="15"/>
        <v>0</v>
      </c>
    </row>
    <row r="38" spans="1:54" s="16" customFormat="1">
      <c r="A38" s="907" t="s">
        <v>1054</v>
      </c>
      <c r="B38" s="859">
        <f>+'SUMM BY CLUSTER- CURRENT'!B137</f>
        <v>34004000</v>
      </c>
      <c r="C38" s="859">
        <f>+'SUMM BY CLUSTER- CURRENT'!C137</f>
        <v>16895000</v>
      </c>
      <c r="D38" s="859">
        <f>+'SUMM BY CLUSTER- CURRENT'!D137</f>
        <v>0</v>
      </c>
      <c r="E38" s="859">
        <f t="shared" si="1"/>
        <v>50899000</v>
      </c>
      <c r="F38" s="859">
        <f>+'SUMM BY CLUSTER- CURRENT'!F137</f>
        <v>0</v>
      </c>
      <c r="G38" s="859">
        <f>+'SUMM BY CLUSTER- CURRENT'!G137</f>
        <v>0</v>
      </c>
      <c r="H38" s="859">
        <f>+'SUMM BY CLUSTER- CURRENT'!H137</f>
        <v>0</v>
      </c>
      <c r="I38" s="859">
        <f t="shared" si="2"/>
        <v>0</v>
      </c>
      <c r="J38" s="859">
        <f t="shared" si="19"/>
        <v>34004000</v>
      </c>
      <c r="K38" s="859">
        <f t="shared" si="20"/>
        <v>16895000</v>
      </c>
      <c r="L38" s="859">
        <f t="shared" si="21"/>
        <v>0</v>
      </c>
      <c r="M38" s="859">
        <f t="shared" si="3"/>
        <v>50899000</v>
      </c>
      <c r="N38" s="859">
        <f>+'SUMM BY CLUSTER- CURRENT'!N137</f>
        <v>34004000</v>
      </c>
      <c r="O38" s="859">
        <f>+'SUMM BY CLUSTER- CURRENT'!O137</f>
        <v>16895000</v>
      </c>
      <c r="P38" s="859">
        <f>+'SUMM BY CLUSTER- CURRENT'!P137</f>
        <v>0</v>
      </c>
      <c r="Q38" s="859">
        <f t="shared" si="4"/>
        <v>50899000</v>
      </c>
      <c r="R38" s="859">
        <f>+'SUMM BY CLUSTER- CURRENT'!R137</f>
        <v>0</v>
      </c>
      <c r="S38" s="859">
        <f>+'SUMM BY CLUSTER- CURRENT'!S137</f>
        <v>0</v>
      </c>
      <c r="T38" s="859">
        <f>+'SUMM BY CLUSTER- CURRENT'!T137</f>
        <v>0</v>
      </c>
      <c r="U38" s="859">
        <f>SUM('CY-FUR (REG)- Detail'!V233:V235)</f>
        <v>0</v>
      </c>
      <c r="V38" s="859">
        <f>+'SUMM BY CLUSTER- CURRENT'!V137</f>
        <v>0</v>
      </c>
      <c r="W38" s="859">
        <f>+'SUMM BY CLUSTER- CURRENT'!W137</f>
        <v>4340000</v>
      </c>
      <c r="X38" s="859">
        <f>+'SUMM BY CLUSTER- CURRENT'!X137</f>
        <v>27230000</v>
      </c>
      <c r="Y38" s="859">
        <f t="shared" si="5"/>
        <v>31570000</v>
      </c>
      <c r="Z38" s="859">
        <f t="shared" si="22"/>
        <v>34004000</v>
      </c>
      <c r="AA38" s="859">
        <f t="shared" si="23"/>
        <v>21235000</v>
      </c>
      <c r="AB38" s="859">
        <f t="shared" si="24"/>
        <v>27230000</v>
      </c>
      <c r="AC38" s="859">
        <f t="shared" si="6"/>
        <v>82469000</v>
      </c>
      <c r="AD38" s="859">
        <f>+'SUMM BY CLUSTER- CURRENT'!AD137</f>
        <v>30247789.190000005</v>
      </c>
      <c r="AE38" s="859">
        <f>+'SUMM BY CLUSTER- CURRENT'!AE137</f>
        <v>13554507.93</v>
      </c>
      <c r="AF38" s="859">
        <f>+'SUMM BY CLUSTER- CURRENT'!AF137</f>
        <v>0</v>
      </c>
      <c r="AG38" s="859">
        <f t="shared" si="7"/>
        <v>43802297.120000005</v>
      </c>
      <c r="AH38" s="859">
        <f>+'SUMM BY CLUSTER- CURRENT'!AH137</f>
        <v>0</v>
      </c>
      <c r="AI38" s="859">
        <f>+'SUMM BY CLUSTER- CURRENT'!AI137</f>
        <v>3469623.56</v>
      </c>
      <c r="AJ38" s="859">
        <f>+'SUMM BY CLUSTER- CURRENT'!AJ137</f>
        <v>6679969.4000000004</v>
      </c>
      <c r="AK38" s="859">
        <f t="shared" si="8"/>
        <v>10149592.960000001</v>
      </c>
      <c r="AL38" s="859">
        <f t="shared" si="25"/>
        <v>30247789.190000005</v>
      </c>
      <c r="AM38" s="859">
        <f t="shared" si="26"/>
        <v>17024131.489999998</v>
      </c>
      <c r="AN38" s="859">
        <f t="shared" si="27"/>
        <v>6679969.4000000004</v>
      </c>
      <c r="AO38" s="859">
        <f t="shared" si="9"/>
        <v>53951890.080000006</v>
      </c>
      <c r="AP38" s="859">
        <f t="shared" si="28"/>
        <v>3756210.8099999949</v>
      </c>
      <c r="AQ38" s="859">
        <f t="shared" si="29"/>
        <v>4210868.5100000016</v>
      </c>
      <c r="AR38" s="859">
        <f t="shared" si="30"/>
        <v>20550030.600000001</v>
      </c>
      <c r="AS38" s="859">
        <f t="shared" si="11"/>
        <v>28517109.919999998</v>
      </c>
      <c r="AT38" s="886">
        <f t="shared" si="12"/>
        <v>0.88953620721091653</v>
      </c>
      <c r="AU38" s="886">
        <f t="shared" si="12"/>
        <v>0.80170150647515881</v>
      </c>
      <c r="AV38" s="886">
        <f t="shared" si="12"/>
        <v>0.24531654058024238</v>
      </c>
      <c r="AW38" s="886">
        <f t="shared" si="12"/>
        <v>0.65420812766009051</v>
      </c>
      <c r="AX38" s="22">
        <f t="shared" si="14"/>
        <v>0</v>
      </c>
      <c r="AY38" s="22">
        <f t="shared" si="14"/>
        <v>0</v>
      </c>
      <c r="AZ38" s="22">
        <f t="shared" si="14"/>
        <v>0</v>
      </c>
      <c r="BA38" s="859">
        <f t="shared" si="15"/>
        <v>0</v>
      </c>
    </row>
    <row r="39" spans="1:54" s="925" customFormat="1" ht="16.5">
      <c r="A39" s="921" t="s">
        <v>449</v>
      </c>
      <c r="B39" s="922">
        <f>+B35+B30+B25+B19+B8</f>
        <v>1505107000</v>
      </c>
      <c r="C39" s="922">
        <f t="shared" ref="C39:AS39" si="35">+C35+C30+C25+C19+C8</f>
        <v>1307412000</v>
      </c>
      <c r="D39" s="922">
        <f t="shared" si="35"/>
        <v>0</v>
      </c>
      <c r="E39" s="922">
        <f t="shared" si="35"/>
        <v>2812519000</v>
      </c>
      <c r="F39" s="922">
        <f t="shared" si="35"/>
        <v>15293570</v>
      </c>
      <c r="G39" s="922">
        <f t="shared" si="35"/>
        <v>-16643570</v>
      </c>
      <c r="H39" s="922">
        <f t="shared" si="35"/>
        <v>1350000</v>
      </c>
      <c r="I39" s="922">
        <f t="shared" si="35"/>
        <v>0</v>
      </c>
      <c r="J39" s="922">
        <f t="shared" si="35"/>
        <v>1520400570</v>
      </c>
      <c r="K39" s="922">
        <f t="shared" si="35"/>
        <v>1290768430</v>
      </c>
      <c r="L39" s="922">
        <f t="shared" si="35"/>
        <v>1350000</v>
      </c>
      <c r="M39" s="922">
        <f t="shared" si="35"/>
        <v>2812519000</v>
      </c>
      <c r="N39" s="922">
        <f t="shared" si="35"/>
        <v>1520400570</v>
      </c>
      <c r="O39" s="922">
        <f t="shared" si="35"/>
        <v>1290768430</v>
      </c>
      <c r="P39" s="922">
        <f t="shared" si="35"/>
        <v>1350000</v>
      </c>
      <c r="Q39" s="922">
        <f t="shared" si="35"/>
        <v>2812519000</v>
      </c>
      <c r="R39" s="922">
        <f t="shared" si="35"/>
        <v>0</v>
      </c>
      <c r="S39" s="922">
        <f t="shared" si="35"/>
        <v>0</v>
      </c>
      <c r="T39" s="922">
        <f t="shared" si="35"/>
        <v>0</v>
      </c>
      <c r="U39" s="922">
        <f t="shared" si="35"/>
        <v>0</v>
      </c>
      <c r="V39" s="922">
        <f t="shared" si="35"/>
        <v>0</v>
      </c>
      <c r="W39" s="922">
        <f t="shared" si="35"/>
        <v>883890249.00999999</v>
      </c>
      <c r="X39" s="922">
        <f t="shared" si="35"/>
        <v>1057141948</v>
      </c>
      <c r="Y39" s="922">
        <f t="shared" si="35"/>
        <v>1941032197.0099998</v>
      </c>
      <c r="Z39" s="922">
        <f t="shared" si="35"/>
        <v>1520400570</v>
      </c>
      <c r="AA39" s="922">
        <f t="shared" si="35"/>
        <v>2174658679.0099998</v>
      </c>
      <c r="AB39" s="922">
        <f t="shared" si="35"/>
        <v>1058491948</v>
      </c>
      <c r="AC39" s="922">
        <f t="shared" si="35"/>
        <v>4753551197.0100002</v>
      </c>
      <c r="AD39" s="922">
        <f t="shared" si="35"/>
        <v>1387411730.5900002</v>
      </c>
      <c r="AE39" s="922">
        <f t="shared" si="35"/>
        <v>944177036.04999995</v>
      </c>
      <c r="AF39" s="922">
        <f t="shared" si="35"/>
        <v>0</v>
      </c>
      <c r="AG39" s="922">
        <f t="shared" si="35"/>
        <v>2331588766.6399999</v>
      </c>
      <c r="AH39" s="922">
        <f t="shared" si="35"/>
        <v>0</v>
      </c>
      <c r="AI39" s="922">
        <f t="shared" si="35"/>
        <v>579437382.02999997</v>
      </c>
      <c r="AJ39" s="922">
        <f t="shared" si="35"/>
        <v>826400669.13</v>
      </c>
      <c r="AK39" s="922">
        <f t="shared" si="35"/>
        <v>1405838051.1600001</v>
      </c>
      <c r="AL39" s="922">
        <f t="shared" si="35"/>
        <v>1387411730.5900002</v>
      </c>
      <c r="AM39" s="922">
        <f t="shared" si="35"/>
        <v>1523614418.0799999</v>
      </c>
      <c r="AN39" s="922">
        <f t="shared" si="35"/>
        <v>826400669.13</v>
      </c>
      <c r="AO39" s="922">
        <f t="shared" si="35"/>
        <v>3737426817.8000002</v>
      </c>
      <c r="AP39" s="922">
        <f t="shared" si="35"/>
        <v>132988839.40999985</v>
      </c>
      <c r="AQ39" s="922">
        <f t="shared" si="35"/>
        <v>651044260.93000007</v>
      </c>
      <c r="AR39" s="922">
        <f t="shared" si="35"/>
        <v>232091278.87000003</v>
      </c>
      <c r="AS39" s="922">
        <f t="shared" si="35"/>
        <v>1016124379.2099998</v>
      </c>
      <c r="AT39" s="924">
        <f>IF(Z39=0," ",AL39/Z39)</f>
        <v>0.91253039361199406</v>
      </c>
      <c r="AU39" s="924">
        <f>IF(AA39=0," ",AM39/AA39)</f>
        <v>0.70062232422313564</v>
      </c>
      <c r="AV39" s="924">
        <f>IF(AB39=0," ",AN39/AB39)</f>
        <v>0.78073401568284773</v>
      </c>
      <c r="AW39" s="924">
        <f>IF(AC39=0," ",AO39/AC39)</f>
        <v>0.7862388902323918</v>
      </c>
      <c r="AX39" s="922">
        <f t="shared" ref="AX39:BA39" si="36">+AX35+AX30+AX25+AX19+AX8</f>
        <v>0</v>
      </c>
      <c r="AY39" s="922">
        <f t="shared" si="36"/>
        <v>0</v>
      </c>
      <c r="AZ39" s="922">
        <f t="shared" si="36"/>
        <v>0</v>
      </c>
      <c r="BA39" s="922">
        <f t="shared" si="36"/>
        <v>0</v>
      </c>
    </row>
    <row r="41" spans="1:54" hidden="1">
      <c r="B41" s="852">
        <f>+B39-'SUMM BY CLUSTER- CURRENT'!B106</f>
        <v>0</v>
      </c>
      <c r="C41" s="852">
        <f>+C39-'SUMM BY CLUSTER- CURRENT'!C106</f>
        <v>0</v>
      </c>
      <c r="D41" s="852">
        <f>+D39-'SUMM BY CLUSTER- CURRENT'!D106</f>
        <v>0</v>
      </c>
      <c r="E41" s="852">
        <f>+E39-'SUMM BY CLUSTER- CURRENT'!E106</f>
        <v>0</v>
      </c>
      <c r="F41" s="852">
        <f>+F39-'SUMM BY CLUSTER- CURRENT'!F106</f>
        <v>0</v>
      </c>
      <c r="G41" s="852">
        <f>+G39-'SUMM BY CLUSTER- CURRENT'!G106</f>
        <v>0</v>
      </c>
      <c r="H41" s="852">
        <f>+H39-'SUMM BY CLUSTER- CURRENT'!H106</f>
        <v>0</v>
      </c>
      <c r="I41" s="852">
        <f>+I39-'SUMM BY CLUSTER- CURRENT'!I106</f>
        <v>0</v>
      </c>
      <c r="J41" s="852">
        <f>+J39-'SUMM BY CLUSTER- CURRENT'!J106</f>
        <v>0</v>
      </c>
      <c r="K41" s="852">
        <f>+K39-'SUMM BY CLUSTER- CURRENT'!K106</f>
        <v>0</v>
      </c>
      <c r="L41" s="852">
        <f>+L39-'SUMM BY CLUSTER- CURRENT'!L106</f>
        <v>0</v>
      </c>
      <c r="M41" s="852">
        <f>+M39-'SUMM BY CLUSTER- CURRENT'!M106</f>
        <v>0</v>
      </c>
      <c r="N41" s="852">
        <f>+N39-'SUMM BY CLUSTER- CURRENT'!N106</f>
        <v>0</v>
      </c>
      <c r="O41" s="852">
        <f>+O39-'SUMM BY CLUSTER- CURRENT'!O106</f>
        <v>0</v>
      </c>
      <c r="P41" s="852">
        <f>+P39-'SUMM BY CLUSTER- CURRENT'!P106</f>
        <v>0</v>
      </c>
      <c r="Q41" s="852">
        <f>+Q39-'SUMM BY CLUSTER- CURRENT'!Q106</f>
        <v>0</v>
      </c>
      <c r="R41" s="852">
        <f>+R39-'SUMM BY CLUSTER- CURRENT'!R106</f>
        <v>0</v>
      </c>
      <c r="S41" s="852">
        <f>+S39-'SUMM BY CLUSTER- CURRENT'!S106</f>
        <v>0</v>
      </c>
      <c r="T41" s="852">
        <f>+T39-'SUMM BY CLUSTER- CURRENT'!T106</f>
        <v>0</v>
      </c>
      <c r="U41" s="852">
        <f>+U39-'SUMM BY CLUSTER- CURRENT'!U106</f>
        <v>0</v>
      </c>
      <c r="V41" s="852">
        <f>+V39-'SUMM BY CLUSTER- CURRENT'!V106</f>
        <v>0</v>
      </c>
      <c r="W41" s="852">
        <f>+W39-'SUMM BY CLUSTER- CURRENT'!W106</f>
        <v>0</v>
      </c>
      <c r="X41" s="852">
        <f>+X39-'SUMM BY CLUSTER- CURRENT'!X106</f>
        <v>0</v>
      </c>
      <c r="Y41" s="852">
        <f>+Y39-'SUMM BY CLUSTER- CURRENT'!Y106</f>
        <v>0</v>
      </c>
      <c r="Z41" s="852">
        <f>+Z39-'SUMM BY CLUSTER- CURRENT'!Z106</f>
        <v>0</v>
      </c>
      <c r="AA41" s="852">
        <f>+AA39-'SUMM BY CLUSTER- CURRENT'!AA106</f>
        <v>0</v>
      </c>
      <c r="AB41" s="852">
        <f>+AB39-'SUMM BY CLUSTER- CURRENT'!AB106</f>
        <v>0</v>
      </c>
      <c r="AC41" s="852">
        <f>+AC39-'SUMM BY CLUSTER- CURRENT'!AC106</f>
        <v>0</v>
      </c>
      <c r="AD41" s="852">
        <f>+AD39-'SUMM BY CLUSTER- CURRENT'!AD106</f>
        <v>0</v>
      </c>
      <c r="AE41" s="852">
        <f>+AE39-'SUMM BY CLUSTER- CURRENT'!AE106</f>
        <v>0</v>
      </c>
      <c r="AF41" s="852">
        <f>+AF39-'SUMM BY CLUSTER- CURRENT'!AF106</f>
        <v>0</v>
      </c>
      <c r="AG41" s="852">
        <f>+AG39-'SUMM BY CLUSTER- CURRENT'!AG106</f>
        <v>0</v>
      </c>
      <c r="AH41" s="852">
        <f>+AH39-'SUMM BY CLUSTER- CURRENT'!AH106</f>
        <v>0</v>
      </c>
      <c r="AI41" s="852">
        <f>+AI39-'SUMM BY CLUSTER- CURRENT'!AI106</f>
        <v>0</v>
      </c>
      <c r="AJ41" s="852">
        <f>+AJ39-'SUMM BY CLUSTER- CURRENT'!AJ106</f>
        <v>0</v>
      </c>
      <c r="AK41" s="852">
        <f>+AK39-'SUMM BY CLUSTER- CURRENT'!AK106</f>
        <v>0</v>
      </c>
      <c r="AL41" s="852">
        <f>+AL39-'SUMM BY CLUSTER- CURRENT'!AL106</f>
        <v>0</v>
      </c>
      <c r="AM41" s="852">
        <f>+AM39-'SUMM BY CLUSTER- CURRENT'!AM106</f>
        <v>0</v>
      </c>
      <c r="AN41" s="852">
        <f>+AN39-'SUMM BY CLUSTER- CURRENT'!AN106</f>
        <v>0</v>
      </c>
      <c r="AO41" s="852">
        <f>+AO39-'SUMM BY CLUSTER- CURRENT'!AO106</f>
        <v>0</v>
      </c>
      <c r="AP41" s="852">
        <f>+AP39-'SUMM BY CLUSTER- CURRENT'!AP106</f>
        <v>0</v>
      </c>
      <c r="AQ41" s="852">
        <f>+AQ39-'SUMM BY CLUSTER- CURRENT'!AQ106</f>
        <v>0</v>
      </c>
      <c r="AR41" s="852">
        <f>+AR39-'SUMM BY CLUSTER- CURRENT'!AR106</f>
        <v>0</v>
      </c>
      <c r="AS41" s="852">
        <f>+AS39-'SUMM BY CLUSTER- CURRENT'!AS106</f>
        <v>0</v>
      </c>
      <c r="AT41" s="852">
        <f>+AT39-'SUMM BY CLUSTER- CURRENT'!AT106</f>
        <v>0</v>
      </c>
      <c r="AU41" s="852">
        <f>+AU39-'SUMM BY CLUSTER- CURRENT'!AU106</f>
        <v>0</v>
      </c>
      <c r="AV41" s="852">
        <f>+AV39-'SUMM BY CLUSTER- CURRENT'!AV106</f>
        <v>0</v>
      </c>
      <c r="AW41" s="852">
        <f>+AW39-'SUMM BY CLUSTER- CURRENT'!AW106</f>
        <v>0</v>
      </c>
      <c r="AX41" s="852">
        <f>+AX39-'SUMM BY CLUSTER- CURRENT'!AX106</f>
        <v>0</v>
      </c>
      <c r="AY41" s="852">
        <f>+AY39-'SUMM BY CLUSTER- CURRENT'!AY106</f>
        <v>0</v>
      </c>
      <c r="AZ41" s="852">
        <f>+AZ39-'SUMM BY CLUSTER- CURRENT'!AZ106</f>
        <v>0</v>
      </c>
      <c r="BA41" s="852">
        <f>+BA39-'SUMM BY CLUSTER- CURRENT'!BA106</f>
        <v>0</v>
      </c>
    </row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0">
    <tabColor rgb="FFFFC000"/>
  </sheetPr>
  <dimension ref="A1:AO41"/>
  <sheetViews>
    <sheetView workbookViewId="0">
      <pane xSplit="1" ySplit="7" topLeftCell="C28" activePane="bottomRight" state="frozen"/>
      <selection pane="topRight" activeCell="B1" sqref="B1"/>
      <selection pane="bottomLeft" activeCell="A8" sqref="A8"/>
      <selection pane="bottomRight" activeCell="A41" sqref="A41"/>
    </sheetView>
  </sheetViews>
  <sheetFormatPr defaultRowHeight="15"/>
  <cols>
    <col min="1" max="1" width="33.85546875" style="17" customWidth="1"/>
    <col min="2" max="2" width="10.140625" style="17" hidden="1" customWidth="1"/>
    <col min="3" max="3" width="18.140625" style="17" customWidth="1"/>
    <col min="4" max="4" width="17.140625" style="17" customWidth="1"/>
    <col min="5" max="5" width="18.5703125" style="17" customWidth="1"/>
    <col min="6" max="6" width="19.140625" style="17" hidden="1" customWidth="1"/>
    <col min="7" max="7" width="20.7109375" style="17" hidden="1" customWidth="1"/>
    <col min="8" max="13" width="19.140625" style="17" hidden="1" customWidth="1"/>
    <col min="14" max="14" width="10" style="17" hidden="1" customWidth="1"/>
    <col min="15" max="15" width="19.140625" style="17" customWidth="1"/>
    <col min="16" max="16" width="16.85546875" style="17" customWidth="1"/>
    <col min="17" max="17" width="17.28515625" style="17" customWidth="1"/>
    <col min="18" max="18" width="11.5703125" style="17" hidden="1" customWidth="1"/>
    <col min="19" max="20" width="19.140625" style="17" customWidth="1"/>
    <col min="21" max="21" width="18.28515625" style="17" customWidth="1"/>
    <col min="22" max="28" width="19.140625" style="17" hidden="1" customWidth="1"/>
    <col min="29" max="29" width="18.7109375" style="17" hidden="1" customWidth="1"/>
    <col min="30" max="30" width="16.42578125" style="17" hidden="1" customWidth="1"/>
    <col min="31" max="31" width="16.7109375" style="17" customWidth="1"/>
    <col min="32" max="32" width="16.140625" style="17" customWidth="1"/>
    <col min="33" max="33" width="18.28515625" style="17" customWidth="1"/>
    <col min="34" max="34" width="8.5703125" style="17" hidden="1" customWidth="1"/>
    <col min="35" max="35" width="16" style="17" customWidth="1"/>
    <col min="36" max="36" width="17.5703125" style="17" bestFit="1" customWidth="1"/>
    <col min="37" max="37" width="19.5703125" style="17" customWidth="1"/>
    <col min="38" max="38" width="7.7109375" style="9" hidden="1" customWidth="1"/>
    <col min="39" max="39" width="7.85546875" style="879" customWidth="1"/>
    <col min="40" max="40" width="7" style="879" customWidth="1"/>
    <col min="41" max="41" width="8.5703125" style="879" customWidth="1"/>
    <col min="42" max="54" width="19.140625" style="17" customWidth="1"/>
    <col min="55" max="16384" width="9.140625" style="17"/>
  </cols>
  <sheetData>
    <row r="1" spans="1:41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41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41">
      <c r="A3" s="15" t="s">
        <v>1098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41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41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</row>
    <row r="6" spans="1:41" s="18" customFormat="1">
      <c r="A6" s="1494"/>
      <c r="B6" s="917"/>
      <c r="C6" s="918"/>
      <c r="D6" s="918"/>
      <c r="E6" s="919"/>
      <c r="F6" s="920"/>
      <c r="G6" s="920"/>
      <c r="H6" s="920"/>
      <c r="I6" s="920"/>
      <c r="J6" s="920"/>
      <c r="K6" s="920"/>
      <c r="L6" s="920"/>
      <c r="M6" s="920"/>
      <c r="N6" s="917"/>
      <c r="O6" s="918"/>
      <c r="P6" s="918"/>
      <c r="Q6" s="919"/>
      <c r="R6" s="86"/>
      <c r="S6" s="134"/>
      <c r="T6" s="134"/>
      <c r="U6" s="135"/>
      <c r="V6" s="86"/>
      <c r="W6" s="134"/>
      <c r="X6" s="134"/>
      <c r="Y6" s="135"/>
      <c r="Z6" s="917"/>
      <c r="AA6" s="918"/>
      <c r="AB6" s="918"/>
      <c r="AC6" s="919"/>
      <c r="AD6" s="917"/>
      <c r="AE6" s="918"/>
      <c r="AF6" s="918"/>
      <c r="AG6" s="135"/>
      <c r="AH6" s="917"/>
      <c r="AI6" s="918"/>
      <c r="AJ6" s="918"/>
      <c r="AK6" s="919"/>
      <c r="AL6" s="82"/>
      <c r="AM6" s="881"/>
      <c r="AN6" s="881"/>
      <c r="AO6" s="882"/>
    </row>
    <row r="7" spans="1:41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</row>
    <row r="8" spans="1:41" s="903" customFormat="1" ht="16.5">
      <c r="A8" s="901" t="s">
        <v>1029</v>
      </c>
      <c r="B8" s="912">
        <f>+'CONAP-FUR (REG)-Detail'!C158+'CONAP-FUR (REG)-Detail'!C243</f>
        <v>0</v>
      </c>
      <c r="C8" s="912">
        <f>+'CONAP-FUR (REG)-Detail'!D158+'CONAP-FUR (REG)-Detail'!D243</f>
        <v>2453299.3999999966</v>
      </c>
      <c r="D8" s="912">
        <f>+'CONAP-FUR (REG)-Detail'!E158+'CONAP-FUR (REG)-Detail'!E243</f>
        <v>0</v>
      </c>
      <c r="E8" s="912">
        <f t="shared" ref="E8:AK8" si="0">SUM(E9:E17)</f>
        <v>2453299.3999999966</v>
      </c>
      <c r="F8" s="912">
        <f>+'CONAP-FUR (REG)-Detail'!G158+'CONAP-FUR (REG)-Detail'!G243</f>
        <v>0</v>
      </c>
      <c r="G8" s="912">
        <f>+'CONAP-FUR (REG)-Detail'!H158+'CONAP-FUR (REG)-Detail'!H243</f>
        <v>-5598677.1600000001</v>
      </c>
      <c r="H8" s="912">
        <f>+'CONAP-FUR (REG)-Detail'!I158+'CONAP-FUR (REG)-Detail'!I243</f>
        <v>16623800</v>
      </c>
      <c r="I8" s="912">
        <f t="shared" si="0"/>
        <v>11025122.84</v>
      </c>
      <c r="J8" s="912">
        <f>+'CONAP-FUR (REG)-Detail'!K158+'CONAP-FUR (REG)-Detail'!K243</f>
        <v>0</v>
      </c>
      <c r="K8" s="912">
        <f>+'CONAP-FUR (REG)-Detail'!L158+'CONAP-FUR (REG)-Detail'!L243</f>
        <v>40505393.949999996</v>
      </c>
      <c r="L8" s="912">
        <f>+'CONAP-FUR (REG)-Detail'!M158+'CONAP-FUR (REG)-Detail'!M243</f>
        <v>93588396.060000002</v>
      </c>
      <c r="M8" s="912">
        <f t="shared" si="0"/>
        <v>134093790.01000002</v>
      </c>
      <c r="N8" s="912">
        <f t="shared" si="0"/>
        <v>0</v>
      </c>
      <c r="O8" s="912">
        <f t="shared" si="0"/>
        <v>34906716.790000007</v>
      </c>
      <c r="P8" s="912">
        <f t="shared" si="0"/>
        <v>110212196.06</v>
      </c>
      <c r="Q8" s="912">
        <f t="shared" si="0"/>
        <v>145118912.84999999</v>
      </c>
      <c r="R8" s="912">
        <f t="shared" si="0"/>
        <v>0</v>
      </c>
      <c r="S8" s="912">
        <f t="shared" si="0"/>
        <v>37360016.189999983</v>
      </c>
      <c r="T8" s="912">
        <f t="shared" si="0"/>
        <v>110212196.06</v>
      </c>
      <c r="U8" s="912">
        <f t="shared" si="0"/>
        <v>147572212.25</v>
      </c>
      <c r="V8" s="912">
        <f>+'CONAP-FUR (REG)-Detail'!W158+'CONAP-FUR (REG)-Detail'!W243</f>
        <v>0</v>
      </c>
      <c r="W8" s="912">
        <f>+'CONAP-FUR (REG)-Detail'!X158+'CONAP-FUR (REG)-Detail'!X243</f>
        <v>1746535.52</v>
      </c>
      <c r="X8" s="912">
        <f>+'CONAP-FUR (REG)-Detail'!Y158+'CONAP-FUR (REG)-Detail'!Y243</f>
        <v>0</v>
      </c>
      <c r="Y8" s="912">
        <f t="shared" si="0"/>
        <v>1746535.52</v>
      </c>
      <c r="Z8" s="912">
        <f>+'CONAP-FUR (REG)-Detail'!AA158+'CONAP-FUR (REG)-Detail'!AA243</f>
        <v>0</v>
      </c>
      <c r="AA8" s="912">
        <f>+'CONAP-FUR (REG)-Detail'!AB158+'CONAP-FUR (REG)-Detail'!AB243</f>
        <v>25630588.909999996</v>
      </c>
      <c r="AB8" s="912">
        <f>+'CONAP-FUR (REG)-Detail'!AC158+'CONAP-FUR (REG)-Detail'!AC243</f>
        <v>51548281.080000006</v>
      </c>
      <c r="AC8" s="912">
        <f t="shared" si="0"/>
        <v>77178869.99000001</v>
      </c>
      <c r="AD8" s="912">
        <f t="shared" si="0"/>
        <v>0</v>
      </c>
      <c r="AE8" s="912">
        <f t="shared" si="0"/>
        <v>27377124.429999996</v>
      </c>
      <c r="AF8" s="912">
        <f t="shared" si="0"/>
        <v>51548281.080000006</v>
      </c>
      <c r="AG8" s="912">
        <f t="shared" si="0"/>
        <v>78925405.50999999</v>
      </c>
      <c r="AH8" s="912">
        <f t="shared" si="0"/>
        <v>0</v>
      </c>
      <c r="AI8" s="912">
        <f t="shared" si="0"/>
        <v>9982891.7599999961</v>
      </c>
      <c r="AJ8" s="912">
        <f t="shared" si="0"/>
        <v>58663914.979999997</v>
      </c>
      <c r="AK8" s="912">
        <f t="shared" si="0"/>
        <v>68646806.739999995</v>
      </c>
      <c r="AL8" s="601" t="str">
        <f t="shared" ref="AL8:AM38" si="1">IF(R8=0," ",AD8/R8)</f>
        <v xml:space="preserve"> </v>
      </c>
      <c r="AM8" s="601">
        <f t="shared" si="1"/>
        <v>0.73279209224025788</v>
      </c>
      <c r="AN8" s="601">
        <f t="shared" ref="AN8:AO38" si="2">IF(T8=0," ",AF8/T8)</f>
        <v>0.46771848237137836</v>
      </c>
      <c r="AO8" s="601">
        <f t="shared" si="2"/>
        <v>0.5348256579381867</v>
      </c>
    </row>
    <row r="9" spans="1:41" s="16" customFormat="1">
      <c r="A9" s="905" t="s">
        <v>1093</v>
      </c>
      <c r="B9" s="40">
        <f>+'SUMM BY CLUSTER- CONAP'!B108</f>
        <v>0</v>
      </c>
      <c r="C9" s="40">
        <f>+'SUMM BY CLUSTER- CONAP'!C108</f>
        <v>1058572.8800000001</v>
      </c>
      <c r="D9" s="40">
        <f>+'SUMM BY CLUSTER- CONAP'!D108</f>
        <v>0</v>
      </c>
      <c r="E9" s="40">
        <f t="shared" ref="E9:E38" si="3">SUM(B9:D9)</f>
        <v>1058572.8800000001</v>
      </c>
      <c r="F9" s="40">
        <f>+'SUMM BY CLUSTER- CONAP'!F108</f>
        <v>0</v>
      </c>
      <c r="G9" s="40">
        <f>+'SUMM BY CLUSTER- CONAP'!G108</f>
        <v>-2715517.2</v>
      </c>
      <c r="H9" s="40">
        <f>+'SUMM BY CLUSTER- CONAP'!H108</f>
        <v>2630900</v>
      </c>
      <c r="I9" s="40">
        <f t="shared" ref="I9:I38" si="4">SUM(F9:H9)</f>
        <v>-84617.200000000186</v>
      </c>
      <c r="J9" s="40">
        <f>+'SUMM BY CLUSTER- CONAP'!J108</f>
        <v>0</v>
      </c>
      <c r="K9" s="40">
        <f>+'SUMM BY CLUSTER- CONAP'!K108</f>
        <v>35735771.129999995</v>
      </c>
      <c r="L9" s="40">
        <f>+'SUMM BY CLUSTER- CONAP'!L108</f>
        <v>83588396.060000002</v>
      </c>
      <c r="M9" s="40">
        <f t="shared" ref="M9:M38" si="5">SUM(J9:L9)</f>
        <v>119324167.19</v>
      </c>
      <c r="N9" s="40">
        <f t="shared" ref="N9:P38" si="6">+F9+J9</f>
        <v>0</v>
      </c>
      <c r="O9" s="40">
        <f t="shared" si="6"/>
        <v>33020253.929999996</v>
      </c>
      <c r="P9" s="40">
        <f t="shared" si="6"/>
        <v>86219296.060000002</v>
      </c>
      <c r="Q9" s="40">
        <f t="shared" ref="Q9:Q38" si="7">SUM(N9:P9)</f>
        <v>119239549.98999999</v>
      </c>
      <c r="R9" s="40">
        <f t="shared" ref="R9:T38" si="8">+B9+N9</f>
        <v>0</v>
      </c>
      <c r="S9" s="40">
        <f t="shared" si="8"/>
        <v>34078826.809999995</v>
      </c>
      <c r="T9" s="40">
        <f t="shared" si="8"/>
        <v>86219296.060000002</v>
      </c>
      <c r="U9" s="40">
        <f t="shared" ref="U9:U38" si="9">SUM(R9:T9)</f>
        <v>120298122.87</v>
      </c>
      <c r="V9" s="40">
        <f>+'SUMM BY CLUSTER- CONAP'!V108</f>
        <v>0</v>
      </c>
      <c r="W9" s="40">
        <f>+'SUMM BY CLUSTER- CONAP'!W108</f>
        <v>1045384.83</v>
      </c>
      <c r="X9" s="40">
        <f>+'SUMM BY CLUSTER- CONAP'!X108</f>
        <v>0</v>
      </c>
      <c r="Y9" s="40">
        <f t="shared" ref="Y9" si="10">SUM(V9:X9)</f>
        <v>1045384.83</v>
      </c>
      <c r="Z9" s="40">
        <f>+'SUMM BY CLUSTER- CONAP'!Z108</f>
        <v>0</v>
      </c>
      <c r="AA9" s="40">
        <f>+'SUMM BY CLUSTER- CONAP'!AA108</f>
        <v>24782703.369999997</v>
      </c>
      <c r="AB9" s="40">
        <f>+'SUMM BY CLUSTER- CONAP'!AB108</f>
        <v>38548009.080000006</v>
      </c>
      <c r="AC9" s="40">
        <f t="shared" ref="AC9:AC34" si="11">SUM(Z9:AB9)</f>
        <v>63330712.450000003</v>
      </c>
      <c r="AD9" s="40">
        <f t="shared" ref="AD9:AF38" si="12">+V9+Z9</f>
        <v>0</v>
      </c>
      <c r="AE9" s="40">
        <f t="shared" si="12"/>
        <v>25828088.199999996</v>
      </c>
      <c r="AF9" s="40">
        <f t="shared" si="12"/>
        <v>38548009.080000006</v>
      </c>
      <c r="AG9" s="40">
        <f t="shared" ref="AG9:AG38" si="13">SUM(AD9:AF9)</f>
        <v>64376097.280000001</v>
      </c>
      <c r="AH9" s="40">
        <f t="shared" ref="AH9:AJ38" si="14">+R9-AD9</f>
        <v>0</v>
      </c>
      <c r="AI9" s="40">
        <f t="shared" si="14"/>
        <v>8250738.6099999994</v>
      </c>
      <c r="AJ9" s="40">
        <f t="shared" si="14"/>
        <v>47671286.979999997</v>
      </c>
      <c r="AK9" s="40">
        <f t="shared" ref="AK9:AK38" si="15">SUM(AH9:AJ9)</f>
        <v>55922025.589999996</v>
      </c>
      <c r="AL9" s="600"/>
      <c r="AM9" s="600">
        <f t="shared" si="1"/>
        <v>0.7578925279323605</v>
      </c>
      <c r="AN9" s="600">
        <f t="shared" si="2"/>
        <v>0.44709259807890855</v>
      </c>
      <c r="AO9" s="600">
        <f t="shared" si="2"/>
        <v>0.53513800335494788</v>
      </c>
    </row>
    <row r="10" spans="1:41" s="16" customFormat="1">
      <c r="A10" s="905" t="s">
        <v>1031</v>
      </c>
      <c r="B10" s="40">
        <f>+'SUMM BY CLUSTER- CONAP'!B109</f>
        <v>0</v>
      </c>
      <c r="C10" s="40">
        <f>+'SUMM BY CLUSTER- CONAP'!C109</f>
        <v>340.51999999582767</v>
      </c>
      <c r="D10" s="40">
        <f>+'SUMM BY CLUSTER- CONAP'!D109</f>
        <v>0</v>
      </c>
      <c r="E10" s="40">
        <f t="shared" si="3"/>
        <v>340.51999999582767</v>
      </c>
      <c r="F10" s="40">
        <f>+'SUMM BY CLUSTER- CONAP'!F109</f>
        <v>0</v>
      </c>
      <c r="G10" s="40">
        <f>+'SUMM BY CLUSTER- CONAP'!G109</f>
        <v>-2163146.4</v>
      </c>
      <c r="H10" s="40">
        <f>+'SUMM BY CLUSTER- CONAP'!H109</f>
        <v>0</v>
      </c>
      <c r="I10" s="40">
        <f t="shared" si="4"/>
        <v>-2163146.4</v>
      </c>
      <c r="J10" s="40">
        <f>+'SUMM BY CLUSTER- CONAP'!J109</f>
        <v>0</v>
      </c>
      <c r="K10" s="40">
        <f>+'SUMM BY CLUSTER- CONAP'!K109</f>
        <v>2707859.9000000004</v>
      </c>
      <c r="L10" s="40">
        <f>+'SUMM BY CLUSTER- CONAP'!L109</f>
        <v>0</v>
      </c>
      <c r="M10" s="40">
        <f t="shared" si="5"/>
        <v>2707859.9000000004</v>
      </c>
      <c r="N10" s="40">
        <f t="shared" si="6"/>
        <v>0</v>
      </c>
      <c r="O10" s="40">
        <f t="shared" si="6"/>
        <v>544713.50000000047</v>
      </c>
      <c r="P10" s="40">
        <f t="shared" si="6"/>
        <v>0</v>
      </c>
      <c r="Q10" s="40">
        <f t="shared" si="7"/>
        <v>544713.50000000047</v>
      </c>
      <c r="R10" s="40">
        <f t="shared" si="8"/>
        <v>0</v>
      </c>
      <c r="S10" s="40">
        <f t="shared" si="8"/>
        <v>545054.01999999629</v>
      </c>
      <c r="T10" s="40">
        <f t="shared" si="8"/>
        <v>0</v>
      </c>
      <c r="U10" s="40">
        <f t="shared" si="9"/>
        <v>545054.01999999629</v>
      </c>
      <c r="V10" s="40">
        <f>+'SUMM BY CLUSTER- CONAP'!V109</f>
        <v>0</v>
      </c>
      <c r="W10" s="40">
        <f>+'SUMM BY CLUSTER- CONAP'!W109</f>
        <v>340.52</v>
      </c>
      <c r="X10" s="40">
        <f>+'SUMM BY CLUSTER- CONAP'!X109</f>
        <v>0</v>
      </c>
      <c r="Y10" s="40">
        <f t="shared" ref="Y10:Y38" si="16">SUM(V10:X10)</f>
        <v>340.52</v>
      </c>
      <c r="Z10" s="40">
        <f>+'SUMM BY CLUSTER- CONAP'!Z109</f>
        <v>0</v>
      </c>
      <c r="AA10" s="40">
        <f>+'SUMM BY CLUSTER- CONAP'!AA109</f>
        <v>251542.26</v>
      </c>
      <c r="AB10" s="40">
        <f>+'SUMM BY CLUSTER- CONAP'!AB109</f>
        <v>0</v>
      </c>
      <c r="AC10" s="40">
        <f t="shared" si="11"/>
        <v>251542.26</v>
      </c>
      <c r="AD10" s="40">
        <f t="shared" si="12"/>
        <v>0</v>
      </c>
      <c r="AE10" s="40">
        <f t="shared" si="12"/>
        <v>251882.78</v>
      </c>
      <c r="AF10" s="40">
        <f t="shared" si="12"/>
        <v>0</v>
      </c>
      <c r="AG10" s="40">
        <f t="shared" si="13"/>
        <v>251882.78</v>
      </c>
      <c r="AH10" s="40">
        <f t="shared" si="14"/>
        <v>0</v>
      </c>
      <c r="AI10" s="40">
        <f t="shared" si="14"/>
        <v>293171.23999999627</v>
      </c>
      <c r="AJ10" s="40">
        <f t="shared" si="14"/>
        <v>0</v>
      </c>
      <c r="AK10" s="40">
        <f t="shared" si="15"/>
        <v>293171.23999999627</v>
      </c>
      <c r="AL10" s="600"/>
      <c r="AM10" s="600">
        <f t="shared" si="1"/>
        <v>0.46212443309747853</v>
      </c>
      <c r="AN10" s="600" t="str">
        <f t="shared" si="2"/>
        <v xml:space="preserve"> </v>
      </c>
      <c r="AO10" s="600">
        <f t="shared" si="2"/>
        <v>0.46212443309747853</v>
      </c>
    </row>
    <row r="11" spans="1:41" s="16" customFormat="1">
      <c r="A11" s="905" t="s">
        <v>1032</v>
      </c>
      <c r="B11" s="40">
        <f>+'SUMM BY CLUSTER- CONAP'!B110</f>
        <v>0</v>
      </c>
      <c r="C11" s="40">
        <f>+'SUMM BY CLUSTER- CONAP'!C110</f>
        <v>102.66000000201166</v>
      </c>
      <c r="D11" s="40">
        <f>+'SUMM BY CLUSTER- CONAP'!D110</f>
        <v>0</v>
      </c>
      <c r="E11" s="40">
        <f t="shared" si="3"/>
        <v>102.66000000201166</v>
      </c>
      <c r="F11" s="40">
        <f>+'SUMM BY CLUSTER- CONAP'!F110</f>
        <v>0</v>
      </c>
      <c r="G11" s="40">
        <f>+'SUMM BY CLUSTER- CONAP'!G110</f>
        <v>-158662.85999999999</v>
      </c>
      <c r="H11" s="40">
        <f>+'SUMM BY CLUSTER- CONAP'!H110</f>
        <v>0</v>
      </c>
      <c r="I11" s="40">
        <f t="shared" si="4"/>
        <v>-158662.85999999999</v>
      </c>
      <c r="J11" s="40">
        <f>+'SUMM BY CLUSTER- CONAP'!J110</f>
        <v>0</v>
      </c>
      <c r="K11" s="40">
        <f>+'SUMM BY CLUSTER- CONAP'!K110</f>
        <v>415071.06</v>
      </c>
      <c r="L11" s="40">
        <f>+'SUMM BY CLUSTER- CONAP'!L110</f>
        <v>0</v>
      </c>
      <c r="M11" s="40">
        <f t="shared" si="5"/>
        <v>415071.06</v>
      </c>
      <c r="N11" s="40">
        <f t="shared" si="6"/>
        <v>0</v>
      </c>
      <c r="O11" s="40">
        <f t="shared" si="6"/>
        <v>256408.2</v>
      </c>
      <c r="P11" s="40">
        <f t="shared" si="6"/>
        <v>0</v>
      </c>
      <c r="Q11" s="40">
        <f t="shared" si="7"/>
        <v>256408.2</v>
      </c>
      <c r="R11" s="40">
        <f t="shared" si="8"/>
        <v>0</v>
      </c>
      <c r="S11" s="40">
        <f t="shared" si="8"/>
        <v>256510.86000000202</v>
      </c>
      <c r="T11" s="40">
        <f t="shared" si="8"/>
        <v>0</v>
      </c>
      <c r="U11" s="40">
        <f t="shared" si="9"/>
        <v>256510.86000000202</v>
      </c>
      <c r="V11" s="40">
        <f>+'SUMM BY CLUSTER- CONAP'!V110</f>
        <v>0</v>
      </c>
      <c r="W11" s="40">
        <f>+'SUMM BY CLUSTER- CONAP'!W110</f>
        <v>0</v>
      </c>
      <c r="X11" s="40">
        <f>+'SUMM BY CLUSTER- CONAP'!X110</f>
        <v>0</v>
      </c>
      <c r="Y11" s="40">
        <f t="shared" si="16"/>
        <v>0</v>
      </c>
      <c r="Z11" s="40">
        <f>+'SUMM BY CLUSTER- CONAP'!Z110</f>
        <v>0</v>
      </c>
      <c r="AA11" s="40">
        <f>+'SUMM BY CLUSTER- CONAP'!AA110</f>
        <v>180823.5</v>
      </c>
      <c r="AB11" s="40">
        <f>+'SUMM BY CLUSTER- CONAP'!AB110</f>
        <v>0</v>
      </c>
      <c r="AC11" s="40">
        <f t="shared" si="11"/>
        <v>180823.5</v>
      </c>
      <c r="AD11" s="40">
        <f t="shared" si="12"/>
        <v>0</v>
      </c>
      <c r="AE11" s="40">
        <f t="shared" si="12"/>
        <v>180823.5</v>
      </c>
      <c r="AF11" s="40">
        <f t="shared" si="12"/>
        <v>0</v>
      </c>
      <c r="AG11" s="40">
        <f t="shared" si="13"/>
        <v>180823.5</v>
      </c>
      <c r="AH11" s="40">
        <f t="shared" si="14"/>
        <v>0</v>
      </c>
      <c r="AI11" s="40">
        <f t="shared" si="14"/>
        <v>75687.360000002023</v>
      </c>
      <c r="AJ11" s="40">
        <f t="shared" si="14"/>
        <v>0</v>
      </c>
      <c r="AK11" s="40">
        <f t="shared" si="15"/>
        <v>75687.360000002023</v>
      </c>
      <c r="AL11" s="600"/>
      <c r="AM11" s="600">
        <f t="shared" si="1"/>
        <v>0.7049350659071455</v>
      </c>
      <c r="AN11" s="600" t="str">
        <f t="shared" si="2"/>
        <v xml:space="preserve"> </v>
      </c>
      <c r="AO11" s="600">
        <f t="shared" si="2"/>
        <v>0.7049350659071455</v>
      </c>
    </row>
    <row r="12" spans="1:41" s="16" customFormat="1">
      <c r="A12" s="905" t="s">
        <v>1033</v>
      </c>
      <c r="B12" s="40">
        <f>+'SUMM BY CLUSTER- CONAP'!B111</f>
        <v>0</v>
      </c>
      <c r="C12" s="40">
        <f>+'SUMM BY CLUSTER- CONAP'!C111</f>
        <v>0</v>
      </c>
      <c r="D12" s="40">
        <f>+'SUMM BY CLUSTER- CONAP'!D111</f>
        <v>0</v>
      </c>
      <c r="E12" s="40">
        <f t="shared" si="3"/>
        <v>0</v>
      </c>
      <c r="F12" s="40">
        <f>+'SUMM BY CLUSTER- CONAP'!F111</f>
        <v>0</v>
      </c>
      <c r="G12" s="40">
        <f>+'SUMM BY CLUSTER- CONAP'!G111</f>
        <v>0</v>
      </c>
      <c r="H12" s="40">
        <f>+'SUMM BY CLUSTER- CONAP'!H111</f>
        <v>0</v>
      </c>
      <c r="I12" s="40">
        <f t="shared" si="4"/>
        <v>0</v>
      </c>
      <c r="J12" s="40">
        <f>+'SUMM BY CLUSTER- CONAP'!J111</f>
        <v>0</v>
      </c>
      <c r="K12" s="40">
        <f>+'SUMM BY CLUSTER- CONAP'!K111</f>
        <v>23897.47</v>
      </c>
      <c r="L12" s="40">
        <f>+'SUMM BY CLUSTER- CONAP'!L111</f>
        <v>0</v>
      </c>
      <c r="M12" s="40">
        <f t="shared" si="5"/>
        <v>23897.47</v>
      </c>
      <c r="N12" s="40">
        <f t="shared" si="6"/>
        <v>0</v>
      </c>
      <c r="O12" s="40">
        <f t="shared" si="6"/>
        <v>23897.47</v>
      </c>
      <c r="P12" s="40">
        <f t="shared" si="6"/>
        <v>0</v>
      </c>
      <c r="Q12" s="40">
        <f t="shared" si="7"/>
        <v>23897.47</v>
      </c>
      <c r="R12" s="40">
        <f t="shared" si="8"/>
        <v>0</v>
      </c>
      <c r="S12" s="40">
        <f t="shared" si="8"/>
        <v>23897.47</v>
      </c>
      <c r="T12" s="40">
        <f t="shared" si="8"/>
        <v>0</v>
      </c>
      <c r="U12" s="40">
        <f t="shared" si="9"/>
        <v>23897.47</v>
      </c>
      <c r="V12" s="40">
        <f>+'SUMM BY CLUSTER- CONAP'!V111</f>
        <v>0</v>
      </c>
      <c r="W12" s="40">
        <f>+'SUMM BY CLUSTER- CONAP'!W111</f>
        <v>0</v>
      </c>
      <c r="X12" s="40">
        <f>+'SUMM BY CLUSTER- CONAP'!X111</f>
        <v>0</v>
      </c>
      <c r="Y12" s="40">
        <f t="shared" si="16"/>
        <v>0</v>
      </c>
      <c r="Z12" s="40">
        <f>+'SUMM BY CLUSTER- CONAP'!Z111</f>
        <v>0</v>
      </c>
      <c r="AA12" s="40">
        <f>+'SUMM BY CLUSTER- CONAP'!AA111</f>
        <v>8450</v>
      </c>
      <c r="AB12" s="40">
        <f>+'SUMM BY CLUSTER- CONAP'!AB111</f>
        <v>0</v>
      </c>
      <c r="AC12" s="40">
        <f t="shared" si="11"/>
        <v>8450</v>
      </c>
      <c r="AD12" s="40">
        <f t="shared" si="12"/>
        <v>0</v>
      </c>
      <c r="AE12" s="40">
        <f t="shared" si="12"/>
        <v>8450</v>
      </c>
      <c r="AF12" s="40">
        <f t="shared" si="12"/>
        <v>0</v>
      </c>
      <c r="AG12" s="40">
        <f t="shared" si="13"/>
        <v>8450</v>
      </c>
      <c r="AH12" s="40">
        <f t="shared" si="14"/>
        <v>0</v>
      </c>
      <c r="AI12" s="40">
        <f t="shared" si="14"/>
        <v>15447.470000000001</v>
      </c>
      <c r="AJ12" s="40">
        <f t="shared" si="14"/>
        <v>0</v>
      </c>
      <c r="AK12" s="40">
        <f t="shared" si="15"/>
        <v>15447.470000000001</v>
      </c>
      <c r="AL12" s="600"/>
      <c r="AM12" s="600">
        <f t="shared" si="1"/>
        <v>0.35359391600868206</v>
      </c>
      <c r="AN12" s="600" t="str">
        <f t="shared" si="2"/>
        <v xml:space="preserve"> </v>
      </c>
      <c r="AO12" s="600">
        <f t="shared" si="2"/>
        <v>0.35359391600868206</v>
      </c>
    </row>
    <row r="13" spans="1:41" s="16" customFormat="1">
      <c r="A13" s="905" t="s">
        <v>1034</v>
      </c>
      <c r="B13" s="40">
        <f>+'SUMM BY CLUSTER- CONAP'!B112</f>
        <v>0</v>
      </c>
      <c r="C13" s="40">
        <f>+'SUMM BY CLUSTER- CONAP'!C112</f>
        <v>0</v>
      </c>
      <c r="D13" s="40">
        <f>+'SUMM BY CLUSTER- CONAP'!D112</f>
        <v>0</v>
      </c>
      <c r="E13" s="40">
        <f t="shared" si="3"/>
        <v>0</v>
      </c>
      <c r="F13" s="40">
        <f>+'SUMM BY CLUSTER- CONAP'!F112</f>
        <v>0</v>
      </c>
      <c r="G13" s="40">
        <f>+'SUMM BY CLUSTER- CONAP'!G112</f>
        <v>-363.7</v>
      </c>
      <c r="H13" s="40">
        <f>+'SUMM BY CLUSTER- CONAP'!H112</f>
        <v>0</v>
      </c>
      <c r="I13" s="40">
        <f t="shared" si="4"/>
        <v>-363.7</v>
      </c>
      <c r="J13" s="40">
        <f>+'SUMM BY CLUSTER- CONAP'!J112</f>
        <v>0</v>
      </c>
      <c r="K13" s="40">
        <f>+'SUMM BY CLUSTER- CONAP'!K112</f>
        <v>60363.700000000012</v>
      </c>
      <c r="L13" s="40">
        <f>+'SUMM BY CLUSTER- CONAP'!L112</f>
        <v>0</v>
      </c>
      <c r="M13" s="40">
        <f t="shared" si="5"/>
        <v>60363.700000000012</v>
      </c>
      <c r="N13" s="40">
        <f t="shared" si="6"/>
        <v>0</v>
      </c>
      <c r="O13" s="40">
        <f t="shared" si="6"/>
        <v>60000.000000000015</v>
      </c>
      <c r="P13" s="40">
        <f t="shared" si="6"/>
        <v>0</v>
      </c>
      <c r="Q13" s="40">
        <f t="shared" si="7"/>
        <v>60000.000000000015</v>
      </c>
      <c r="R13" s="40">
        <f t="shared" si="8"/>
        <v>0</v>
      </c>
      <c r="S13" s="40">
        <f t="shared" si="8"/>
        <v>60000.000000000015</v>
      </c>
      <c r="T13" s="40">
        <f t="shared" si="8"/>
        <v>0</v>
      </c>
      <c r="U13" s="40">
        <f t="shared" si="9"/>
        <v>60000.000000000015</v>
      </c>
      <c r="V13" s="40">
        <f>+'SUMM BY CLUSTER- CONAP'!V112</f>
        <v>0</v>
      </c>
      <c r="W13" s="40">
        <f>+'SUMM BY CLUSTER- CONAP'!W112</f>
        <v>0</v>
      </c>
      <c r="X13" s="40">
        <f>+'SUMM BY CLUSTER- CONAP'!X112</f>
        <v>0</v>
      </c>
      <c r="Y13" s="40">
        <f t="shared" si="16"/>
        <v>0</v>
      </c>
      <c r="Z13" s="40">
        <f>+'SUMM BY CLUSTER- CONAP'!Z112</f>
        <v>0</v>
      </c>
      <c r="AA13" s="40">
        <f>+'SUMM BY CLUSTER- CONAP'!AA112</f>
        <v>0</v>
      </c>
      <c r="AB13" s="40">
        <f>+'SUMM BY CLUSTER- CONAP'!AB112</f>
        <v>0</v>
      </c>
      <c r="AC13" s="40">
        <f t="shared" si="11"/>
        <v>0</v>
      </c>
      <c r="AD13" s="40">
        <f t="shared" si="12"/>
        <v>0</v>
      </c>
      <c r="AE13" s="40">
        <f t="shared" si="12"/>
        <v>0</v>
      </c>
      <c r="AF13" s="40">
        <f t="shared" si="12"/>
        <v>0</v>
      </c>
      <c r="AG13" s="40">
        <f t="shared" si="13"/>
        <v>0</v>
      </c>
      <c r="AH13" s="40">
        <f t="shared" si="14"/>
        <v>0</v>
      </c>
      <c r="AI13" s="40">
        <f t="shared" si="14"/>
        <v>60000.000000000015</v>
      </c>
      <c r="AJ13" s="40">
        <f t="shared" si="14"/>
        <v>0</v>
      </c>
      <c r="AK13" s="40">
        <f t="shared" si="15"/>
        <v>60000.000000000015</v>
      </c>
      <c r="AL13" s="600"/>
      <c r="AM13" s="600">
        <f t="shared" si="1"/>
        <v>0</v>
      </c>
      <c r="AN13" s="600" t="str">
        <f t="shared" si="2"/>
        <v xml:space="preserve"> </v>
      </c>
      <c r="AO13" s="600">
        <f t="shared" si="2"/>
        <v>0</v>
      </c>
    </row>
    <row r="14" spans="1:41" s="16" customFormat="1">
      <c r="A14" s="905" t="s">
        <v>1035</v>
      </c>
      <c r="B14" s="40">
        <f>+'SUMM BY CLUSTER- CONAP'!B113</f>
        <v>0</v>
      </c>
      <c r="C14" s="40">
        <f>+'SUMM BY CLUSTER- CONAP'!C113</f>
        <v>48677.38</v>
      </c>
      <c r="D14" s="40">
        <f>+'SUMM BY CLUSTER- CONAP'!D113</f>
        <v>0</v>
      </c>
      <c r="E14" s="40">
        <f t="shared" si="3"/>
        <v>48677.38</v>
      </c>
      <c r="F14" s="40">
        <f>+'SUMM BY CLUSTER- CONAP'!F113</f>
        <v>0</v>
      </c>
      <c r="G14" s="40">
        <f>+'SUMM BY CLUSTER- CONAP'!G113</f>
        <v>0</v>
      </c>
      <c r="H14" s="40">
        <f>+'SUMM BY CLUSTER- CONAP'!H113</f>
        <v>10808000</v>
      </c>
      <c r="I14" s="40">
        <f t="shared" si="4"/>
        <v>10808000</v>
      </c>
      <c r="J14" s="40">
        <f>+'SUMM BY CLUSTER- CONAP'!J113</f>
        <v>0</v>
      </c>
      <c r="K14" s="40">
        <f>+'SUMM BY CLUSTER- CONAP'!K113</f>
        <v>226206.31</v>
      </c>
      <c r="L14" s="40">
        <f>+'SUMM BY CLUSTER- CONAP'!L113</f>
        <v>0</v>
      </c>
      <c r="M14" s="40">
        <f t="shared" si="5"/>
        <v>226206.31</v>
      </c>
      <c r="N14" s="40">
        <f t="shared" si="6"/>
        <v>0</v>
      </c>
      <c r="O14" s="40">
        <f t="shared" si="6"/>
        <v>226206.31</v>
      </c>
      <c r="P14" s="40">
        <f t="shared" si="6"/>
        <v>10808000</v>
      </c>
      <c r="Q14" s="40">
        <f t="shared" si="7"/>
        <v>11034206.310000001</v>
      </c>
      <c r="R14" s="40">
        <f t="shared" si="8"/>
        <v>0</v>
      </c>
      <c r="S14" s="40">
        <f t="shared" si="8"/>
        <v>274883.69</v>
      </c>
      <c r="T14" s="40">
        <f t="shared" si="8"/>
        <v>10808000</v>
      </c>
      <c r="U14" s="40">
        <f t="shared" si="9"/>
        <v>11082883.689999999</v>
      </c>
      <c r="V14" s="40">
        <f>+'SUMM BY CLUSTER- CONAP'!V113</f>
        <v>0</v>
      </c>
      <c r="W14" s="40">
        <f>+'SUMM BY CLUSTER- CONAP'!W113</f>
        <v>48677.38</v>
      </c>
      <c r="X14" s="40">
        <f>+'SUMM BY CLUSTER- CONAP'!X113</f>
        <v>0</v>
      </c>
      <c r="Y14" s="40">
        <f t="shared" si="16"/>
        <v>48677.38</v>
      </c>
      <c r="Z14" s="40">
        <f>+'SUMM BY CLUSTER- CONAP'!Z113</f>
        <v>0</v>
      </c>
      <c r="AA14" s="40">
        <f>+'SUMM BY CLUSTER- CONAP'!AA113</f>
        <v>166206.30999999997</v>
      </c>
      <c r="AB14" s="40">
        <f>+'SUMM BY CLUSTER- CONAP'!AB113</f>
        <v>0</v>
      </c>
      <c r="AC14" s="40">
        <f t="shared" si="11"/>
        <v>166206.30999999997</v>
      </c>
      <c r="AD14" s="40">
        <f t="shared" si="12"/>
        <v>0</v>
      </c>
      <c r="AE14" s="40">
        <f t="shared" si="12"/>
        <v>214883.68999999997</v>
      </c>
      <c r="AF14" s="40">
        <f t="shared" si="12"/>
        <v>0</v>
      </c>
      <c r="AG14" s="40">
        <f t="shared" si="13"/>
        <v>214883.68999999997</v>
      </c>
      <c r="AH14" s="40">
        <f t="shared" si="14"/>
        <v>0</v>
      </c>
      <c r="AI14" s="40">
        <f t="shared" si="14"/>
        <v>60000.000000000029</v>
      </c>
      <c r="AJ14" s="40">
        <f t="shared" si="14"/>
        <v>10808000</v>
      </c>
      <c r="AK14" s="40">
        <f t="shared" si="15"/>
        <v>10868000</v>
      </c>
      <c r="AL14" s="600"/>
      <c r="AM14" s="600">
        <f t="shared" si="1"/>
        <v>0.781725863764416</v>
      </c>
      <c r="AN14" s="600">
        <f t="shared" si="2"/>
        <v>0</v>
      </c>
      <c r="AO14" s="600">
        <f t="shared" si="2"/>
        <v>1.938878869530029E-2</v>
      </c>
    </row>
    <row r="15" spans="1:41" s="16" customFormat="1">
      <c r="A15" s="905" t="s">
        <v>1036</v>
      </c>
      <c r="B15" s="40">
        <f>+'SUMM BY CLUSTER- CONAP'!B114</f>
        <v>0</v>
      </c>
      <c r="C15" s="40">
        <f>+'SUMM BY CLUSTER- CONAP'!C114</f>
        <v>0</v>
      </c>
      <c r="D15" s="40">
        <f>+'SUMM BY CLUSTER- CONAP'!D114</f>
        <v>0</v>
      </c>
      <c r="E15" s="40">
        <f t="shared" si="3"/>
        <v>0</v>
      </c>
      <c r="F15" s="40">
        <f>+'SUMM BY CLUSTER- CONAP'!F114</f>
        <v>0</v>
      </c>
      <c r="G15" s="40">
        <f>+'SUMM BY CLUSTER- CONAP'!G114</f>
        <v>0</v>
      </c>
      <c r="H15" s="40">
        <f>+'SUMM BY CLUSTER- CONAP'!H114</f>
        <v>0</v>
      </c>
      <c r="I15" s="40">
        <f t="shared" si="4"/>
        <v>0</v>
      </c>
      <c r="J15" s="40">
        <f>+'SUMM BY CLUSTER- CONAP'!J114</f>
        <v>0</v>
      </c>
      <c r="K15" s="40">
        <f>+'SUMM BY CLUSTER- CONAP'!K114</f>
        <v>658710.0700000003</v>
      </c>
      <c r="L15" s="40">
        <f>+'SUMM BY CLUSTER- CONAP'!L114</f>
        <v>0</v>
      </c>
      <c r="M15" s="40">
        <f t="shared" si="5"/>
        <v>658710.0700000003</v>
      </c>
      <c r="N15" s="40">
        <f t="shared" si="6"/>
        <v>0</v>
      </c>
      <c r="O15" s="40">
        <f t="shared" si="6"/>
        <v>658710.0700000003</v>
      </c>
      <c r="P15" s="40">
        <f t="shared" si="6"/>
        <v>0</v>
      </c>
      <c r="Q15" s="40">
        <f t="shared" si="7"/>
        <v>658710.0700000003</v>
      </c>
      <c r="R15" s="40">
        <f t="shared" si="8"/>
        <v>0</v>
      </c>
      <c r="S15" s="40">
        <f t="shared" si="8"/>
        <v>658710.0700000003</v>
      </c>
      <c r="T15" s="40">
        <f t="shared" si="8"/>
        <v>0</v>
      </c>
      <c r="U15" s="40">
        <f t="shared" si="9"/>
        <v>658710.0700000003</v>
      </c>
      <c r="V15" s="40">
        <f>+'SUMM BY CLUSTER- CONAP'!V114</f>
        <v>0</v>
      </c>
      <c r="W15" s="40">
        <f>+'SUMM BY CLUSTER- CONAP'!W114</f>
        <v>0</v>
      </c>
      <c r="X15" s="40">
        <f>+'SUMM BY CLUSTER- CONAP'!X114</f>
        <v>0</v>
      </c>
      <c r="Y15" s="40">
        <f t="shared" si="16"/>
        <v>0</v>
      </c>
      <c r="Z15" s="40">
        <f>+'SUMM BY CLUSTER- CONAP'!Z114</f>
        <v>0</v>
      </c>
      <c r="AA15" s="40">
        <f>+'SUMM BY CLUSTER- CONAP'!AA114</f>
        <v>162804.47</v>
      </c>
      <c r="AB15" s="40">
        <f>+'SUMM BY CLUSTER- CONAP'!AB114</f>
        <v>0</v>
      </c>
      <c r="AC15" s="40">
        <f t="shared" si="11"/>
        <v>162804.47</v>
      </c>
      <c r="AD15" s="40">
        <f t="shared" si="12"/>
        <v>0</v>
      </c>
      <c r="AE15" s="40">
        <f t="shared" si="12"/>
        <v>162804.47</v>
      </c>
      <c r="AF15" s="40">
        <f t="shared" si="12"/>
        <v>0</v>
      </c>
      <c r="AG15" s="40">
        <f t="shared" si="13"/>
        <v>162804.47</v>
      </c>
      <c r="AH15" s="40">
        <f t="shared" si="14"/>
        <v>0</v>
      </c>
      <c r="AI15" s="40">
        <f t="shared" si="14"/>
        <v>495905.60000000033</v>
      </c>
      <c r="AJ15" s="40">
        <f t="shared" si="14"/>
        <v>0</v>
      </c>
      <c r="AK15" s="40">
        <f t="shared" si="15"/>
        <v>495905.60000000033</v>
      </c>
      <c r="AL15" s="600"/>
      <c r="AM15" s="600">
        <f t="shared" si="1"/>
        <v>0.24715649177793794</v>
      </c>
      <c r="AN15" s="600" t="str">
        <f t="shared" si="2"/>
        <v xml:space="preserve"> </v>
      </c>
      <c r="AO15" s="600">
        <f t="shared" si="2"/>
        <v>0.24715649177793794</v>
      </c>
    </row>
    <row r="16" spans="1:41" s="16" customFormat="1">
      <c r="A16" s="905" t="s">
        <v>1037</v>
      </c>
      <c r="B16" s="40">
        <f>+'SUMM BY CLUSTER- CONAP'!B115</f>
        <v>0</v>
      </c>
      <c r="C16" s="40">
        <f>+'SUMM BY CLUSTER- CONAP'!C115</f>
        <v>654605.95999999903</v>
      </c>
      <c r="D16" s="40">
        <f>+'SUMM BY CLUSTER- CONAP'!D115</f>
        <v>0</v>
      </c>
      <c r="E16" s="40">
        <f t="shared" si="3"/>
        <v>654605.95999999903</v>
      </c>
      <c r="F16" s="40">
        <f>+'SUMM BY CLUSTER- CONAP'!F115</f>
        <v>0</v>
      </c>
      <c r="G16" s="40">
        <f>+'SUMM BY CLUSTER- CONAP'!G115</f>
        <v>-560987</v>
      </c>
      <c r="H16" s="40">
        <f>+'SUMM BY CLUSTER- CONAP'!H115</f>
        <v>3184900</v>
      </c>
      <c r="I16" s="40">
        <f t="shared" si="4"/>
        <v>2623913</v>
      </c>
      <c r="J16" s="40">
        <f>+'SUMM BY CLUSTER- CONAP'!J115</f>
        <v>0</v>
      </c>
      <c r="K16" s="40">
        <f>+'SUMM BY CLUSTER- CONAP'!K115</f>
        <v>677514.31</v>
      </c>
      <c r="L16" s="40">
        <f>+'SUMM BY CLUSTER- CONAP'!L115</f>
        <v>10000000</v>
      </c>
      <c r="M16" s="40">
        <f t="shared" si="5"/>
        <v>10677514.310000001</v>
      </c>
      <c r="N16" s="40">
        <f t="shared" si="6"/>
        <v>0</v>
      </c>
      <c r="O16" s="40">
        <f t="shared" si="6"/>
        <v>116527.31000000006</v>
      </c>
      <c r="P16" s="40">
        <f t="shared" si="6"/>
        <v>13184900</v>
      </c>
      <c r="Q16" s="40">
        <f t="shared" si="7"/>
        <v>13301427.310000001</v>
      </c>
      <c r="R16" s="40">
        <f t="shared" si="8"/>
        <v>0</v>
      </c>
      <c r="S16" s="40">
        <f t="shared" si="8"/>
        <v>771133.26999999909</v>
      </c>
      <c r="T16" s="40">
        <f t="shared" si="8"/>
        <v>13184900</v>
      </c>
      <c r="U16" s="40">
        <f t="shared" si="9"/>
        <v>13956033.27</v>
      </c>
      <c r="V16" s="40">
        <f>+'SUMM BY CLUSTER- CONAP'!V115</f>
        <v>0</v>
      </c>
      <c r="W16" s="40">
        <f>+'SUMM BY CLUSTER- CONAP'!W115</f>
        <v>652132.79</v>
      </c>
      <c r="X16" s="40">
        <f>+'SUMM BY CLUSTER- CONAP'!X115</f>
        <v>0</v>
      </c>
      <c r="Y16" s="40">
        <f t="shared" si="16"/>
        <v>652132.79</v>
      </c>
      <c r="Z16" s="40">
        <f>+'SUMM BY CLUSTER- CONAP'!Z115</f>
        <v>0</v>
      </c>
      <c r="AA16" s="40">
        <f>+'SUMM BY CLUSTER- CONAP'!AA115</f>
        <v>78059</v>
      </c>
      <c r="AB16" s="40">
        <f>+'SUMM BY CLUSTER- CONAP'!AB115</f>
        <v>13000272</v>
      </c>
      <c r="AC16" s="40">
        <f t="shared" si="11"/>
        <v>13078331</v>
      </c>
      <c r="AD16" s="40">
        <f t="shared" si="12"/>
        <v>0</v>
      </c>
      <c r="AE16" s="40">
        <f t="shared" si="12"/>
        <v>730191.79</v>
      </c>
      <c r="AF16" s="40">
        <f t="shared" si="12"/>
        <v>13000272</v>
      </c>
      <c r="AG16" s="40">
        <f t="shared" si="13"/>
        <v>13730463.789999999</v>
      </c>
      <c r="AH16" s="40">
        <f t="shared" si="14"/>
        <v>0</v>
      </c>
      <c r="AI16" s="40">
        <f t="shared" si="14"/>
        <v>40941.47999999905</v>
      </c>
      <c r="AJ16" s="40">
        <f t="shared" si="14"/>
        <v>184628</v>
      </c>
      <c r="AK16" s="40">
        <f t="shared" si="15"/>
        <v>225569.47999999905</v>
      </c>
      <c r="AL16" s="600"/>
      <c r="AM16" s="600">
        <f t="shared" si="1"/>
        <v>0.94690738735731228</v>
      </c>
      <c r="AN16" s="600">
        <f t="shared" si="2"/>
        <v>0.98599701173311893</v>
      </c>
      <c r="AO16" s="600">
        <f t="shared" si="2"/>
        <v>0.98383713512027182</v>
      </c>
    </row>
    <row r="17" spans="1:41" s="16" customFormat="1">
      <c r="A17" s="905" t="s">
        <v>1038</v>
      </c>
      <c r="B17" s="40">
        <f>+'SUMM BY CLUSTER- CONAP'!B116</f>
        <v>0</v>
      </c>
      <c r="C17" s="40">
        <f>+'SUMM BY CLUSTER- CONAP'!C116</f>
        <v>691000</v>
      </c>
      <c r="D17" s="40">
        <f>+'SUMM BY CLUSTER- CONAP'!D116</f>
        <v>0</v>
      </c>
      <c r="E17" s="40">
        <f t="shared" si="3"/>
        <v>691000</v>
      </c>
      <c r="F17" s="40">
        <f>+'SUMM BY CLUSTER- CONAP'!F116</f>
        <v>0</v>
      </c>
      <c r="G17" s="40">
        <f>+'SUMM BY CLUSTER- CONAP'!G116</f>
        <v>0</v>
      </c>
      <c r="H17" s="40">
        <f>+'SUMM BY CLUSTER- CONAP'!H116</f>
        <v>0</v>
      </c>
      <c r="I17" s="40">
        <f t="shared" si="4"/>
        <v>0</v>
      </c>
      <c r="J17" s="40">
        <f>+'SUMM BY CLUSTER- CONAP'!J116</f>
        <v>0</v>
      </c>
      <c r="K17" s="40">
        <f>+'SUMM BY CLUSTER- CONAP'!K116</f>
        <v>0</v>
      </c>
      <c r="L17" s="40">
        <f>+'SUMM BY CLUSTER- CONAP'!L116</f>
        <v>0</v>
      </c>
      <c r="M17" s="40">
        <f t="shared" si="5"/>
        <v>0</v>
      </c>
      <c r="N17" s="40">
        <f t="shared" si="6"/>
        <v>0</v>
      </c>
      <c r="O17" s="40">
        <f t="shared" si="6"/>
        <v>0</v>
      </c>
      <c r="P17" s="40">
        <f t="shared" si="6"/>
        <v>0</v>
      </c>
      <c r="Q17" s="40">
        <f t="shared" si="7"/>
        <v>0</v>
      </c>
      <c r="R17" s="40">
        <f t="shared" si="8"/>
        <v>0</v>
      </c>
      <c r="S17" s="40">
        <f t="shared" si="8"/>
        <v>691000</v>
      </c>
      <c r="T17" s="40">
        <f t="shared" si="8"/>
        <v>0</v>
      </c>
      <c r="U17" s="40">
        <f t="shared" si="9"/>
        <v>691000</v>
      </c>
      <c r="V17" s="40">
        <f>+'SUMM BY CLUSTER- CONAP'!V116</f>
        <v>0</v>
      </c>
      <c r="W17" s="40">
        <f>+'SUMM BY CLUSTER- CONAP'!W116</f>
        <v>0</v>
      </c>
      <c r="X17" s="40">
        <f>+'SUMM BY CLUSTER- CONAP'!X116</f>
        <v>0</v>
      </c>
      <c r="Y17" s="40">
        <f t="shared" si="16"/>
        <v>0</v>
      </c>
      <c r="Z17" s="40">
        <f>+'SUMM BY CLUSTER- CONAP'!Z116</f>
        <v>0</v>
      </c>
      <c r="AA17" s="40">
        <f>+'SUMM BY CLUSTER- CONAP'!AA116</f>
        <v>0</v>
      </c>
      <c r="AB17" s="40">
        <f>+'SUMM BY CLUSTER- CONAP'!AB116</f>
        <v>0</v>
      </c>
      <c r="AC17" s="40">
        <f t="shared" si="11"/>
        <v>0</v>
      </c>
      <c r="AD17" s="40">
        <f t="shared" si="12"/>
        <v>0</v>
      </c>
      <c r="AE17" s="40">
        <f t="shared" si="12"/>
        <v>0</v>
      </c>
      <c r="AF17" s="40">
        <f t="shared" si="12"/>
        <v>0</v>
      </c>
      <c r="AG17" s="40">
        <f t="shared" si="13"/>
        <v>0</v>
      </c>
      <c r="AH17" s="40">
        <f t="shared" si="14"/>
        <v>0</v>
      </c>
      <c r="AI17" s="40">
        <f t="shared" si="14"/>
        <v>691000</v>
      </c>
      <c r="AJ17" s="40">
        <f t="shared" si="14"/>
        <v>0</v>
      </c>
      <c r="AK17" s="40">
        <f t="shared" si="15"/>
        <v>691000</v>
      </c>
      <c r="AL17" s="600"/>
      <c r="AM17" s="600">
        <f t="shared" si="1"/>
        <v>0</v>
      </c>
      <c r="AN17" s="600" t="str">
        <f t="shared" si="2"/>
        <v xml:space="preserve"> </v>
      </c>
      <c r="AO17" s="600">
        <f t="shared" si="2"/>
        <v>0</v>
      </c>
    </row>
    <row r="18" spans="1:41" s="16" customFormat="1">
      <c r="A18" s="596"/>
      <c r="B18" s="40"/>
      <c r="C18" s="40"/>
      <c r="D18" s="40"/>
      <c r="E18" s="579">
        <f t="shared" si="3"/>
        <v>0</v>
      </c>
      <c r="F18" s="40"/>
      <c r="G18" s="40"/>
      <c r="H18" s="40"/>
      <c r="I18" s="579">
        <f t="shared" si="4"/>
        <v>0</v>
      </c>
      <c r="J18" s="40"/>
      <c r="K18" s="40"/>
      <c r="L18" s="40"/>
      <c r="M18" s="579">
        <f t="shared" si="5"/>
        <v>0</v>
      </c>
      <c r="N18" s="40">
        <f t="shared" si="6"/>
        <v>0</v>
      </c>
      <c r="O18" s="40">
        <f t="shared" si="6"/>
        <v>0</v>
      </c>
      <c r="P18" s="40">
        <f t="shared" si="6"/>
        <v>0</v>
      </c>
      <c r="Q18" s="579">
        <f t="shared" si="7"/>
        <v>0</v>
      </c>
      <c r="R18" s="40">
        <f t="shared" si="8"/>
        <v>0</v>
      </c>
      <c r="S18" s="40">
        <f t="shared" si="8"/>
        <v>0</v>
      </c>
      <c r="T18" s="40">
        <f t="shared" si="8"/>
        <v>0</v>
      </c>
      <c r="U18" s="579">
        <f t="shared" si="9"/>
        <v>0</v>
      </c>
      <c r="V18" s="40"/>
      <c r="W18" s="40"/>
      <c r="X18" s="40"/>
      <c r="Y18" s="579">
        <f t="shared" si="16"/>
        <v>0</v>
      </c>
      <c r="Z18" s="40"/>
      <c r="AA18" s="40"/>
      <c r="AB18" s="40"/>
      <c r="AC18" s="579">
        <f t="shared" si="11"/>
        <v>0</v>
      </c>
      <c r="AD18" s="40">
        <f t="shared" si="12"/>
        <v>0</v>
      </c>
      <c r="AE18" s="40">
        <f t="shared" si="12"/>
        <v>0</v>
      </c>
      <c r="AF18" s="40">
        <f t="shared" si="12"/>
        <v>0</v>
      </c>
      <c r="AG18" s="579">
        <f t="shared" si="13"/>
        <v>0</v>
      </c>
      <c r="AH18" s="579">
        <f t="shared" si="14"/>
        <v>0</v>
      </c>
      <c r="AI18" s="40">
        <f t="shared" si="14"/>
        <v>0</v>
      </c>
      <c r="AJ18" s="40">
        <f t="shared" si="14"/>
        <v>0</v>
      </c>
      <c r="AK18" s="579">
        <f t="shared" si="15"/>
        <v>0</v>
      </c>
      <c r="AL18" s="600"/>
      <c r="AM18" s="600" t="str">
        <f t="shared" si="1"/>
        <v xml:space="preserve"> </v>
      </c>
      <c r="AN18" s="600" t="str">
        <f t="shared" si="2"/>
        <v xml:space="preserve"> </v>
      </c>
      <c r="AO18" s="600" t="str">
        <f t="shared" si="2"/>
        <v xml:space="preserve"> </v>
      </c>
    </row>
    <row r="19" spans="1:41" s="903" customFormat="1" ht="16.5">
      <c r="A19" s="901" t="s">
        <v>1039</v>
      </c>
      <c r="B19" s="912">
        <f>+'CONAP-FUR (REG)-Detail'!C248+'CONAP-FUR (REG)-Detail'!C168</f>
        <v>0</v>
      </c>
      <c r="C19" s="912">
        <f>+'CONAP-FUR (REG)-Detail'!D248+'CONAP-FUR (REG)-Detail'!D168</f>
        <v>275304.17999999318</v>
      </c>
      <c r="D19" s="912">
        <f>+'CONAP-FUR (REG)-Detail'!E248+'CONAP-FUR (REG)-Detail'!E168</f>
        <v>0</v>
      </c>
      <c r="E19" s="912">
        <f t="shared" ref="E19:AK19" si="17">SUM(E20:E23)</f>
        <v>275304.17999999318</v>
      </c>
      <c r="F19" s="912">
        <f>+'CONAP-FUR (REG)-Detail'!G248+'CONAP-FUR (REG)-Detail'!G168</f>
        <v>0</v>
      </c>
      <c r="G19" s="912">
        <f>+'CONAP-FUR (REG)-Detail'!H248+'CONAP-FUR (REG)-Detail'!H168</f>
        <v>-1143423.0299999993</v>
      </c>
      <c r="H19" s="912">
        <f>+'CONAP-FUR (REG)-Detail'!I248+'CONAP-FUR (REG)-Detail'!I168</f>
        <v>2466500</v>
      </c>
      <c r="I19" s="912">
        <f t="shared" si="17"/>
        <v>1323076.9700000009</v>
      </c>
      <c r="J19" s="912">
        <f>+'CONAP-FUR (REG)-Detail'!K248+'CONAP-FUR (REG)-Detail'!K168</f>
        <v>0</v>
      </c>
      <c r="K19" s="912">
        <f>+'CONAP-FUR (REG)-Detail'!L248+'CONAP-FUR (REG)-Detail'!L168</f>
        <v>48932567.469999991</v>
      </c>
      <c r="L19" s="912">
        <f>+'CONAP-FUR (REG)-Detail'!M248+'CONAP-FUR (REG)-Detail'!M168</f>
        <v>5069905.3000000119</v>
      </c>
      <c r="M19" s="912">
        <f t="shared" si="17"/>
        <v>54002472.770000011</v>
      </c>
      <c r="N19" s="912">
        <f t="shared" si="17"/>
        <v>0</v>
      </c>
      <c r="O19" s="912">
        <f t="shared" si="17"/>
        <v>47789144.43999999</v>
      </c>
      <c r="P19" s="912">
        <f t="shared" si="17"/>
        <v>7536405.3000000119</v>
      </c>
      <c r="Q19" s="912">
        <f t="shared" si="17"/>
        <v>55325549.740000002</v>
      </c>
      <c r="R19" s="912">
        <f t="shared" si="17"/>
        <v>0</v>
      </c>
      <c r="S19" s="912">
        <f t="shared" si="17"/>
        <v>48064448.619999982</v>
      </c>
      <c r="T19" s="912">
        <f t="shared" si="17"/>
        <v>7536405.3000000119</v>
      </c>
      <c r="U19" s="912">
        <f t="shared" si="17"/>
        <v>55600853.919999994</v>
      </c>
      <c r="V19" s="912">
        <f>+'CONAP-FUR (REG)-Detail'!W248+'CONAP-FUR (REG)-Detail'!W168</f>
        <v>0</v>
      </c>
      <c r="W19" s="912">
        <f>+'CONAP-FUR (REG)-Detail'!X248+'CONAP-FUR (REG)-Detail'!X168</f>
        <v>273519.86</v>
      </c>
      <c r="X19" s="912">
        <f>+'CONAP-FUR (REG)-Detail'!Y248+'CONAP-FUR (REG)-Detail'!Y168</f>
        <v>0</v>
      </c>
      <c r="Y19" s="912">
        <f t="shared" si="17"/>
        <v>273519.86</v>
      </c>
      <c r="Z19" s="912">
        <f>+'CONAP-FUR (REG)-Detail'!AA248+'CONAP-FUR (REG)-Detail'!AA168</f>
        <v>0</v>
      </c>
      <c r="AA19" s="912">
        <f>+'CONAP-FUR (REG)-Detail'!AB248+'CONAP-FUR (REG)-Detail'!AB168</f>
        <v>43178829.980000004</v>
      </c>
      <c r="AB19" s="912">
        <f>+'CONAP-FUR (REG)-Detail'!AC248+'CONAP-FUR (REG)-Detail'!AC168</f>
        <v>0</v>
      </c>
      <c r="AC19" s="912">
        <f t="shared" si="17"/>
        <v>43178829.980000004</v>
      </c>
      <c r="AD19" s="912">
        <f t="shared" si="17"/>
        <v>0</v>
      </c>
      <c r="AE19" s="912">
        <f t="shared" si="17"/>
        <v>43452349.840000004</v>
      </c>
      <c r="AF19" s="912">
        <f t="shared" si="17"/>
        <v>0</v>
      </c>
      <c r="AG19" s="912">
        <f t="shared" si="17"/>
        <v>43452349.840000004</v>
      </c>
      <c r="AH19" s="912">
        <f t="shared" si="17"/>
        <v>0</v>
      </c>
      <c r="AI19" s="912">
        <f t="shared" si="17"/>
        <v>4612098.7799999835</v>
      </c>
      <c r="AJ19" s="912">
        <f t="shared" si="17"/>
        <v>7536405.3000000119</v>
      </c>
      <c r="AK19" s="912">
        <f t="shared" si="17"/>
        <v>12148504.079999996</v>
      </c>
      <c r="AL19" s="601" t="str">
        <f t="shared" si="1"/>
        <v xml:space="preserve"> </v>
      </c>
      <c r="AM19" s="601">
        <f t="shared" si="1"/>
        <v>0.9040434476537228</v>
      </c>
      <c r="AN19" s="601">
        <f t="shared" si="2"/>
        <v>0</v>
      </c>
      <c r="AO19" s="601">
        <f t="shared" si="2"/>
        <v>0.7815050808845565</v>
      </c>
    </row>
    <row r="20" spans="1:41" s="16" customFormat="1">
      <c r="A20" s="905" t="s">
        <v>1094</v>
      </c>
      <c r="B20" s="40">
        <f>+'SUMM BY CLUSTER- CONAP'!B119</f>
        <v>0</v>
      </c>
      <c r="C20" s="40">
        <f>+'SUMM BY CLUSTER- CONAP'!C119</f>
        <v>275304.17999999318</v>
      </c>
      <c r="D20" s="40">
        <f>+'SUMM BY CLUSTER- CONAP'!D119</f>
        <v>0</v>
      </c>
      <c r="E20" s="40">
        <f t="shared" si="3"/>
        <v>275304.17999999318</v>
      </c>
      <c r="F20" s="40">
        <f>+'SUMM BY CLUSTER- CONAP'!F119</f>
        <v>0</v>
      </c>
      <c r="G20" s="40">
        <f>+'SUMM BY CLUSTER- CONAP'!G119</f>
        <v>-9630848.7899999991</v>
      </c>
      <c r="H20" s="40">
        <f>+'SUMM BY CLUSTER- CONAP'!H119</f>
        <v>2386500</v>
      </c>
      <c r="I20" s="40">
        <f t="shared" si="4"/>
        <v>-7244348.7899999991</v>
      </c>
      <c r="J20" s="40">
        <f>+'SUMM BY CLUSTER- CONAP'!J119</f>
        <v>0</v>
      </c>
      <c r="K20" s="40">
        <f>+'SUMM BY CLUSTER- CONAP'!K119</f>
        <v>42917456.929999992</v>
      </c>
      <c r="L20" s="40">
        <f>+'SUMM BY CLUSTER- CONAP'!L119</f>
        <v>5069905.3000000119</v>
      </c>
      <c r="M20" s="40">
        <f t="shared" si="5"/>
        <v>47987362.230000004</v>
      </c>
      <c r="N20" s="40">
        <f t="shared" si="6"/>
        <v>0</v>
      </c>
      <c r="O20" s="40">
        <f t="shared" si="6"/>
        <v>33286608.139999993</v>
      </c>
      <c r="P20" s="40">
        <f t="shared" si="6"/>
        <v>7456405.3000000119</v>
      </c>
      <c r="Q20" s="40">
        <f t="shared" si="7"/>
        <v>40743013.440000005</v>
      </c>
      <c r="R20" s="40">
        <f t="shared" si="8"/>
        <v>0</v>
      </c>
      <c r="S20" s="40">
        <f t="shared" si="8"/>
        <v>33561912.319999985</v>
      </c>
      <c r="T20" s="40">
        <f t="shared" si="8"/>
        <v>7456405.3000000119</v>
      </c>
      <c r="U20" s="40">
        <f t="shared" si="9"/>
        <v>41018317.619999997</v>
      </c>
      <c r="V20" s="40">
        <f>+'SUMM BY CLUSTER- CONAP'!V119</f>
        <v>0</v>
      </c>
      <c r="W20" s="40">
        <f>+'SUMM BY CLUSTER- CONAP'!W119</f>
        <v>273519.86</v>
      </c>
      <c r="X20" s="40">
        <f>+'SUMM BY CLUSTER- CONAP'!X119</f>
        <v>0</v>
      </c>
      <c r="Y20" s="40">
        <f t="shared" si="16"/>
        <v>273519.86</v>
      </c>
      <c r="Z20" s="40">
        <f>+'SUMM BY CLUSTER- CONAP'!Z119</f>
        <v>0</v>
      </c>
      <c r="AA20" s="40">
        <f>+'SUMM BY CLUSTER- CONAP'!AA119</f>
        <v>33103455.420000002</v>
      </c>
      <c r="AB20" s="40">
        <f>+'SUMM BY CLUSTER- CONAP'!AB119</f>
        <v>0</v>
      </c>
      <c r="AC20" s="40">
        <f t="shared" si="11"/>
        <v>33103455.420000002</v>
      </c>
      <c r="AD20" s="40">
        <f t="shared" si="12"/>
        <v>0</v>
      </c>
      <c r="AE20" s="40">
        <f t="shared" si="12"/>
        <v>33376975.280000001</v>
      </c>
      <c r="AF20" s="40">
        <f t="shared" si="12"/>
        <v>0</v>
      </c>
      <c r="AG20" s="40">
        <f t="shared" si="13"/>
        <v>33376975.280000001</v>
      </c>
      <c r="AH20" s="40">
        <f t="shared" si="14"/>
        <v>0</v>
      </c>
      <c r="AI20" s="40">
        <f t="shared" si="14"/>
        <v>184937.0399999842</v>
      </c>
      <c r="AJ20" s="40">
        <f t="shared" si="14"/>
        <v>7456405.3000000119</v>
      </c>
      <c r="AK20" s="40">
        <f t="shared" si="15"/>
        <v>7641342.3399999961</v>
      </c>
      <c r="AL20" s="600"/>
      <c r="AM20" s="600">
        <f t="shared" si="1"/>
        <v>0.99448967513422115</v>
      </c>
      <c r="AN20" s="600">
        <f t="shared" si="2"/>
        <v>0</v>
      </c>
      <c r="AO20" s="600">
        <f t="shared" si="2"/>
        <v>0.81370902603099016</v>
      </c>
    </row>
    <row r="21" spans="1:41" s="16" customFormat="1">
      <c r="A21" s="905" t="s">
        <v>1041</v>
      </c>
      <c r="B21" s="40">
        <f>+'SUMM BY CLUSTER- CONAP'!B120</f>
        <v>0</v>
      </c>
      <c r="C21" s="40">
        <f>+'SUMM BY CLUSTER- CONAP'!C120</f>
        <v>0</v>
      </c>
      <c r="D21" s="40">
        <f>+'SUMM BY CLUSTER- CONAP'!D120</f>
        <v>0</v>
      </c>
      <c r="E21" s="40">
        <f t="shared" si="3"/>
        <v>0</v>
      </c>
      <c r="F21" s="40">
        <f>+'SUMM BY CLUSTER- CONAP'!F120</f>
        <v>0</v>
      </c>
      <c r="G21" s="40">
        <f>+'SUMM BY CLUSTER- CONAP'!G120</f>
        <v>10000000</v>
      </c>
      <c r="H21" s="40">
        <f>+'SUMM BY CLUSTER- CONAP'!H120</f>
        <v>0</v>
      </c>
      <c r="I21" s="40">
        <f t="shared" si="4"/>
        <v>10000000</v>
      </c>
      <c r="J21" s="40">
        <f>+'SUMM BY CLUSTER- CONAP'!J120</f>
        <v>0</v>
      </c>
      <c r="K21" s="40">
        <f>+'SUMM BY CLUSTER- CONAP'!K120</f>
        <v>3960685.78</v>
      </c>
      <c r="L21" s="40">
        <f>+'SUMM BY CLUSTER- CONAP'!L120</f>
        <v>0</v>
      </c>
      <c r="M21" s="40">
        <f t="shared" si="5"/>
        <v>3960685.78</v>
      </c>
      <c r="N21" s="40">
        <f t="shared" si="6"/>
        <v>0</v>
      </c>
      <c r="O21" s="40">
        <f t="shared" si="6"/>
        <v>13960685.779999999</v>
      </c>
      <c r="P21" s="40">
        <f t="shared" si="6"/>
        <v>0</v>
      </c>
      <c r="Q21" s="40">
        <f t="shared" si="7"/>
        <v>13960685.779999999</v>
      </c>
      <c r="R21" s="40">
        <f t="shared" si="8"/>
        <v>0</v>
      </c>
      <c r="S21" s="40">
        <f t="shared" si="8"/>
        <v>13960685.779999999</v>
      </c>
      <c r="T21" s="40">
        <f t="shared" si="8"/>
        <v>0</v>
      </c>
      <c r="U21" s="40">
        <f t="shared" si="9"/>
        <v>13960685.779999999</v>
      </c>
      <c r="V21" s="40">
        <f>+'SUMM BY CLUSTER- CONAP'!V120</f>
        <v>0</v>
      </c>
      <c r="W21" s="40">
        <f>+'SUMM BY CLUSTER- CONAP'!W120</f>
        <v>0</v>
      </c>
      <c r="X21" s="40">
        <f>+'SUMM BY CLUSTER- CONAP'!X120</f>
        <v>0</v>
      </c>
      <c r="Y21" s="40">
        <f t="shared" si="16"/>
        <v>0</v>
      </c>
      <c r="Z21" s="40">
        <f>+'SUMM BY CLUSTER- CONAP'!Z120</f>
        <v>0</v>
      </c>
      <c r="AA21" s="40">
        <f>+'SUMM BY CLUSTER- CONAP'!AA120</f>
        <v>9739814.0899999999</v>
      </c>
      <c r="AB21" s="40">
        <f>+'SUMM BY CLUSTER- CONAP'!AB120</f>
        <v>0</v>
      </c>
      <c r="AC21" s="40">
        <f t="shared" si="11"/>
        <v>9739814.0899999999</v>
      </c>
      <c r="AD21" s="40">
        <f t="shared" si="12"/>
        <v>0</v>
      </c>
      <c r="AE21" s="40">
        <f t="shared" si="12"/>
        <v>9739814.0899999999</v>
      </c>
      <c r="AF21" s="40">
        <f t="shared" si="12"/>
        <v>0</v>
      </c>
      <c r="AG21" s="40">
        <f t="shared" si="13"/>
        <v>9739814.0899999999</v>
      </c>
      <c r="AH21" s="40">
        <f t="shared" si="14"/>
        <v>0</v>
      </c>
      <c r="AI21" s="40">
        <f t="shared" si="14"/>
        <v>4220871.6899999995</v>
      </c>
      <c r="AJ21" s="40">
        <f t="shared" si="14"/>
        <v>0</v>
      </c>
      <c r="AK21" s="40">
        <f t="shared" si="15"/>
        <v>4220871.6899999995</v>
      </c>
      <c r="AL21" s="600"/>
      <c r="AM21" s="600">
        <f t="shared" si="1"/>
        <v>0.69766014674961052</v>
      </c>
      <c r="AN21" s="600" t="str">
        <f t="shared" si="2"/>
        <v xml:space="preserve"> </v>
      </c>
      <c r="AO21" s="600">
        <f t="shared" si="2"/>
        <v>0.69766014674961052</v>
      </c>
    </row>
    <row r="22" spans="1:41" s="16" customFormat="1">
      <c r="A22" s="905" t="s">
        <v>1042</v>
      </c>
      <c r="B22" s="40">
        <f>+'SUMM BY CLUSTER- CONAP'!B121</f>
        <v>0</v>
      </c>
      <c r="C22" s="40">
        <f>+'SUMM BY CLUSTER- CONAP'!C121</f>
        <v>0</v>
      </c>
      <c r="D22" s="40">
        <f>+'SUMM BY CLUSTER- CONAP'!D121</f>
        <v>0</v>
      </c>
      <c r="E22" s="40">
        <f t="shared" si="3"/>
        <v>0</v>
      </c>
      <c r="F22" s="40">
        <f>+'SUMM BY CLUSTER- CONAP'!F121</f>
        <v>0</v>
      </c>
      <c r="G22" s="40">
        <f>+'SUMM BY CLUSTER- CONAP'!G121</f>
        <v>-1304814.1599999999</v>
      </c>
      <c r="H22" s="40">
        <f>+'SUMM BY CLUSTER- CONAP'!H121</f>
        <v>80000</v>
      </c>
      <c r="I22" s="40">
        <f t="shared" si="4"/>
        <v>-1224814.1599999999</v>
      </c>
      <c r="J22" s="40">
        <f>+'SUMM BY CLUSTER- CONAP'!J121</f>
        <v>0</v>
      </c>
      <c r="K22" s="40">
        <f>+'SUMM BY CLUSTER- CONAP'!K121</f>
        <v>1310396.92</v>
      </c>
      <c r="L22" s="40">
        <f>+'SUMM BY CLUSTER- CONAP'!L121</f>
        <v>0</v>
      </c>
      <c r="M22" s="40">
        <f t="shared" si="5"/>
        <v>1310396.92</v>
      </c>
      <c r="N22" s="40">
        <f t="shared" si="6"/>
        <v>0</v>
      </c>
      <c r="O22" s="40">
        <f t="shared" si="6"/>
        <v>5582.7600000000093</v>
      </c>
      <c r="P22" s="40">
        <f t="shared" si="6"/>
        <v>80000</v>
      </c>
      <c r="Q22" s="40">
        <f t="shared" si="7"/>
        <v>85582.760000000009</v>
      </c>
      <c r="R22" s="40">
        <f t="shared" si="8"/>
        <v>0</v>
      </c>
      <c r="S22" s="40">
        <f t="shared" si="8"/>
        <v>5582.7600000000093</v>
      </c>
      <c r="T22" s="40">
        <f t="shared" si="8"/>
        <v>80000</v>
      </c>
      <c r="U22" s="40">
        <f t="shared" si="9"/>
        <v>85582.760000000009</v>
      </c>
      <c r="V22" s="40">
        <f>+'SUMM BY CLUSTER- CONAP'!V121</f>
        <v>0</v>
      </c>
      <c r="W22" s="40">
        <f>+'SUMM BY CLUSTER- CONAP'!W121</f>
        <v>0</v>
      </c>
      <c r="X22" s="40">
        <f>+'SUMM BY CLUSTER- CONAP'!X121</f>
        <v>0</v>
      </c>
      <c r="Y22" s="40">
        <f t="shared" si="16"/>
        <v>0</v>
      </c>
      <c r="Z22" s="40">
        <f>+'SUMM BY CLUSTER- CONAP'!Z121</f>
        <v>0</v>
      </c>
      <c r="AA22" s="40">
        <f>+'SUMM BY CLUSTER- CONAP'!AA121</f>
        <v>0</v>
      </c>
      <c r="AB22" s="40">
        <f>+'SUMM BY CLUSTER- CONAP'!AB121</f>
        <v>0</v>
      </c>
      <c r="AC22" s="40">
        <f t="shared" si="11"/>
        <v>0</v>
      </c>
      <c r="AD22" s="40">
        <f t="shared" si="12"/>
        <v>0</v>
      </c>
      <c r="AE22" s="40">
        <f t="shared" si="12"/>
        <v>0</v>
      </c>
      <c r="AF22" s="40">
        <f t="shared" si="12"/>
        <v>0</v>
      </c>
      <c r="AG22" s="40">
        <f t="shared" si="13"/>
        <v>0</v>
      </c>
      <c r="AH22" s="40">
        <f t="shared" si="14"/>
        <v>0</v>
      </c>
      <c r="AI22" s="40">
        <f t="shared" si="14"/>
        <v>5582.7600000000093</v>
      </c>
      <c r="AJ22" s="40">
        <f t="shared" si="14"/>
        <v>80000</v>
      </c>
      <c r="AK22" s="40">
        <f t="shared" si="15"/>
        <v>85582.760000000009</v>
      </c>
      <c r="AL22" s="600"/>
      <c r="AM22" s="600">
        <f t="shared" si="1"/>
        <v>0</v>
      </c>
      <c r="AN22" s="600">
        <f t="shared" si="2"/>
        <v>0</v>
      </c>
      <c r="AO22" s="600">
        <f t="shared" si="2"/>
        <v>0</v>
      </c>
    </row>
    <row r="23" spans="1:41" s="16" customFormat="1">
      <c r="A23" s="905" t="s">
        <v>1043</v>
      </c>
      <c r="B23" s="40">
        <f>+'SUMM BY CLUSTER- CONAP'!B122</f>
        <v>0</v>
      </c>
      <c r="C23" s="40">
        <f>+'SUMM BY CLUSTER- CONAP'!C122</f>
        <v>0</v>
      </c>
      <c r="D23" s="40">
        <f>+'SUMM BY CLUSTER- CONAP'!D122</f>
        <v>0</v>
      </c>
      <c r="E23" s="40">
        <f t="shared" si="3"/>
        <v>0</v>
      </c>
      <c r="F23" s="40">
        <f>+'SUMM BY CLUSTER- CONAP'!F122</f>
        <v>0</v>
      </c>
      <c r="G23" s="40">
        <f>+'SUMM BY CLUSTER- CONAP'!G122</f>
        <v>-207760.08</v>
      </c>
      <c r="H23" s="40">
        <f>+'SUMM BY CLUSTER- CONAP'!H122</f>
        <v>0</v>
      </c>
      <c r="I23" s="40">
        <f t="shared" si="4"/>
        <v>-207760.08</v>
      </c>
      <c r="J23" s="40">
        <f>+'SUMM BY CLUSTER- CONAP'!J122</f>
        <v>0</v>
      </c>
      <c r="K23" s="40">
        <f>+'SUMM BY CLUSTER- CONAP'!K122</f>
        <v>744027.84000000008</v>
      </c>
      <c r="L23" s="40">
        <f>+'SUMM BY CLUSTER- CONAP'!L122</f>
        <v>0</v>
      </c>
      <c r="M23" s="40">
        <f t="shared" si="5"/>
        <v>744027.84000000008</v>
      </c>
      <c r="N23" s="40">
        <f t="shared" si="6"/>
        <v>0</v>
      </c>
      <c r="O23" s="40">
        <f t="shared" si="6"/>
        <v>536267.76000000013</v>
      </c>
      <c r="P23" s="40">
        <f t="shared" si="6"/>
        <v>0</v>
      </c>
      <c r="Q23" s="40">
        <f t="shared" si="7"/>
        <v>536267.76000000013</v>
      </c>
      <c r="R23" s="40">
        <f t="shared" si="8"/>
        <v>0</v>
      </c>
      <c r="S23" s="40">
        <f t="shared" si="8"/>
        <v>536267.76000000013</v>
      </c>
      <c r="T23" s="40">
        <f t="shared" si="8"/>
        <v>0</v>
      </c>
      <c r="U23" s="40">
        <f t="shared" si="9"/>
        <v>536267.76000000013</v>
      </c>
      <c r="V23" s="40">
        <f>+'SUMM BY CLUSTER- CONAP'!V122</f>
        <v>0</v>
      </c>
      <c r="W23" s="40">
        <f>+'SUMM BY CLUSTER- CONAP'!W122</f>
        <v>0</v>
      </c>
      <c r="X23" s="40">
        <f>+'SUMM BY CLUSTER- CONAP'!X122</f>
        <v>0</v>
      </c>
      <c r="Y23" s="40">
        <f t="shared" si="16"/>
        <v>0</v>
      </c>
      <c r="Z23" s="40">
        <f>+'SUMM BY CLUSTER- CONAP'!Z122</f>
        <v>0</v>
      </c>
      <c r="AA23" s="40">
        <f>+'SUMM BY CLUSTER- CONAP'!AA122</f>
        <v>335560.47</v>
      </c>
      <c r="AB23" s="40">
        <f>+'SUMM BY CLUSTER- CONAP'!AB122</f>
        <v>0</v>
      </c>
      <c r="AC23" s="40">
        <f t="shared" si="11"/>
        <v>335560.47</v>
      </c>
      <c r="AD23" s="40">
        <f t="shared" si="12"/>
        <v>0</v>
      </c>
      <c r="AE23" s="40">
        <f t="shared" si="12"/>
        <v>335560.47</v>
      </c>
      <c r="AF23" s="40">
        <f t="shared" si="12"/>
        <v>0</v>
      </c>
      <c r="AG23" s="40">
        <f t="shared" si="13"/>
        <v>335560.47</v>
      </c>
      <c r="AH23" s="40">
        <f t="shared" si="14"/>
        <v>0</v>
      </c>
      <c r="AI23" s="40">
        <f t="shared" si="14"/>
        <v>200707.29000000015</v>
      </c>
      <c r="AJ23" s="40">
        <f t="shared" si="14"/>
        <v>0</v>
      </c>
      <c r="AK23" s="40">
        <f t="shared" si="15"/>
        <v>200707.29000000015</v>
      </c>
      <c r="AL23" s="600"/>
      <c r="AM23" s="600">
        <f t="shared" si="1"/>
        <v>0.62573306663074413</v>
      </c>
      <c r="AN23" s="600" t="str">
        <f t="shared" si="2"/>
        <v xml:space="preserve"> </v>
      </c>
      <c r="AO23" s="600">
        <f t="shared" si="2"/>
        <v>0.62573306663074413</v>
      </c>
    </row>
    <row r="24" spans="1:41" s="16" customFormat="1">
      <c r="A24" s="596"/>
      <c r="B24" s="40"/>
      <c r="C24" s="40"/>
      <c r="D24" s="40"/>
      <c r="E24" s="579">
        <f t="shared" si="3"/>
        <v>0</v>
      </c>
      <c r="F24" s="40"/>
      <c r="G24" s="40"/>
      <c r="H24" s="40"/>
      <c r="I24" s="579">
        <f t="shared" si="4"/>
        <v>0</v>
      </c>
      <c r="J24" s="40"/>
      <c r="K24" s="40"/>
      <c r="L24" s="40"/>
      <c r="M24" s="579">
        <f t="shared" si="5"/>
        <v>0</v>
      </c>
      <c r="N24" s="40">
        <f t="shared" si="6"/>
        <v>0</v>
      </c>
      <c r="O24" s="40">
        <f t="shared" si="6"/>
        <v>0</v>
      </c>
      <c r="P24" s="40">
        <f t="shared" si="6"/>
        <v>0</v>
      </c>
      <c r="Q24" s="579">
        <f t="shared" si="7"/>
        <v>0</v>
      </c>
      <c r="R24" s="40">
        <f t="shared" si="8"/>
        <v>0</v>
      </c>
      <c r="S24" s="40">
        <f t="shared" si="8"/>
        <v>0</v>
      </c>
      <c r="T24" s="40">
        <f t="shared" si="8"/>
        <v>0</v>
      </c>
      <c r="U24" s="579">
        <f t="shared" si="9"/>
        <v>0</v>
      </c>
      <c r="V24" s="40"/>
      <c r="W24" s="40"/>
      <c r="X24" s="40"/>
      <c r="Y24" s="579">
        <f t="shared" si="16"/>
        <v>0</v>
      </c>
      <c r="Z24" s="40"/>
      <c r="AA24" s="40"/>
      <c r="AB24" s="40"/>
      <c r="AC24" s="579">
        <f t="shared" si="11"/>
        <v>0</v>
      </c>
      <c r="AD24" s="40">
        <f t="shared" si="12"/>
        <v>0</v>
      </c>
      <c r="AE24" s="40">
        <f t="shared" si="12"/>
        <v>0</v>
      </c>
      <c r="AF24" s="40">
        <f t="shared" si="12"/>
        <v>0</v>
      </c>
      <c r="AG24" s="579">
        <f t="shared" si="13"/>
        <v>0</v>
      </c>
      <c r="AH24" s="579">
        <f t="shared" si="14"/>
        <v>0</v>
      </c>
      <c r="AI24" s="40">
        <f t="shared" si="14"/>
        <v>0</v>
      </c>
      <c r="AJ24" s="40">
        <f t="shared" si="14"/>
        <v>0</v>
      </c>
      <c r="AK24" s="579">
        <f t="shared" si="15"/>
        <v>0</v>
      </c>
      <c r="AL24" s="600"/>
      <c r="AM24" s="600" t="str">
        <f t="shared" si="1"/>
        <v xml:space="preserve"> </v>
      </c>
      <c r="AN24" s="600" t="str">
        <f t="shared" si="2"/>
        <v xml:space="preserve"> </v>
      </c>
      <c r="AO24" s="600" t="str">
        <f t="shared" si="2"/>
        <v xml:space="preserve"> </v>
      </c>
    </row>
    <row r="25" spans="1:41" s="903" customFormat="1" ht="16.5">
      <c r="A25" s="901" t="s">
        <v>1044</v>
      </c>
      <c r="B25" s="912">
        <f>+'CONAP-FUR (REG)-Detail'!C173+'CONAP-FUR (REG)-Detail'!C253</f>
        <v>0</v>
      </c>
      <c r="C25" s="912">
        <f>+'CONAP-FUR (REG)-Detail'!D173+'CONAP-FUR (REG)-Detail'!D253</f>
        <v>4999967.57</v>
      </c>
      <c r="D25" s="912">
        <f>+'CONAP-FUR (REG)-Detail'!E173+'CONAP-FUR (REG)-Detail'!E253</f>
        <v>0</v>
      </c>
      <c r="E25" s="912">
        <f t="shared" ref="E25:AK25" si="18">SUM(E26:E28)</f>
        <v>4999967.57</v>
      </c>
      <c r="F25" s="912">
        <f>+'CONAP-FUR (REG)-Detail'!G173+'CONAP-FUR (REG)-Detail'!G253</f>
        <v>0</v>
      </c>
      <c r="G25" s="912">
        <f>+'CONAP-FUR (REG)-Detail'!H173+'CONAP-FUR (REG)-Detail'!H253</f>
        <v>3003001.1700000004</v>
      </c>
      <c r="H25" s="912">
        <f>+'CONAP-FUR (REG)-Detail'!I173+'CONAP-FUR (REG)-Detail'!I253</f>
        <v>1701000</v>
      </c>
      <c r="I25" s="912">
        <f t="shared" si="18"/>
        <v>4704001.17</v>
      </c>
      <c r="J25" s="912">
        <f>+'CONAP-FUR (REG)-Detail'!K173+'CONAP-FUR (REG)-Detail'!K253</f>
        <v>0</v>
      </c>
      <c r="K25" s="912">
        <f>+'CONAP-FUR (REG)-Detail'!L173+'CONAP-FUR (REG)-Detail'!L253</f>
        <v>48406739.989999995</v>
      </c>
      <c r="L25" s="912">
        <f>+'CONAP-FUR (REG)-Detail'!M173+'CONAP-FUR (REG)-Detail'!M253</f>
        <v>109604126.20999999</v>
      </c>
      <c r="M25" s="912">
        <f t="shared" si="18"/>
        <v>158010866.20000002</v>
      </c>
      <c r="N25" s="912">
        <f t="shared" si="18"/>
        <v>0</v>
      </c>
      <c r="O25" s="912">
        <f t="shared" si="18"/>
        <v>51409741.159999996</v>
      </c>
      <c r="P25" s="912">
        <f t="shared" si="18"/>
        <v>111305126.20999999</v>
      </c>
      <c r="Q25" s="912">
        <f t="shared" si="18"/>
        <v>162714867.36999997</v>
      </c>
      <c r="R25" s="912">
        <f t="shared" si="18"/>
        <v>0</v>
      </c>
      <c r="S25" s="912">
        <f t="shared" si="18"/>
        <v>56409708.729999989</v>
      </c>
      <c r="T25" s="912">
        <f t="shared" si="18"/>
        <v>111305126.20999999</v>
      </c>
      <c r="U25" s="912">
        <f t="shared" si="18"/>
        <v>167714834.94</v>
      </c>
      <c r="V25" s="912">
        <f>+'CONAP-FUR (REG)-Detail'!W173+'CONAP-FUR (REG)-Detail'!W253</f>
        <v>0</v>
      </c>
      <c r="W25" s="912">
        <f>+'CONAP-FUR (REG)-Detail'!X173+'CONAP-FUR (REG)-Detail'!X253</f>
        <v>1806178.22</v>
      </c>
      <c r="X25" s="912">
        <f>+'CONAP-FUR (REG)-Detail'!Y173+'CONAP-FUR (REG)-Detail'!Y253</f>
        <v>0</v>
      </c>
      <c r="Y25" s="912">
        <f t="shared" si="18"/>
        <v>1806178.22</v>
      </c>
      <c r="Z25" s="912">
        <f>+'CONAP-FUR (REG)-Detail'!AA173+'CONAP-FUR (REG)-Detail'!AA253</f>
        <v>0</v>
      </c>
      <c r="AA25" s="912">
        <f>+'CONAP-FUR (REG)-Detail'!AB173+'CONAP-FUR (REG)-Detail'!AB253</f>
        <v>51887761.590000004</v>
      </c>
      <c r="AB25" s="912">
        <f>+'CONAP-FUR (REG)-Detail'!AC173+'CONAP-FUR (REG)-Detail'!AC253</f>
        <v>101697422</v>
      </c>
      <c r="AC25" s="912">
        <f t="shared" si="18"/>
        <v>153585183.59000003</v>
      </c>
      <c r="AD25" s="912">
        <f t="shared" si="18"/>
        <v>0</v>
      </c>
      <c r="AE25" s="912">
        <f t="shared" si="18"/>
        <v>53693939.810000002</v>
      </c>
      <c r="AF25" s="912">
        <f t="shared" si="18"/>
        <v>101697422</v>
      </c>
      <c r="AG25" s="912">
        <f t="shared" si="18"/>
        <v>155391361.81</v>
      </c>
      <c r="AH25" s="912">
        <f t="shared" si="18"/>
        <v>0</v>
      </c>
      <c r="AI25" s="912">
        <f t="shared" si="18"/>
        <v>2715768.9199999897</v>
      </c>
      <c r="AJ25" s="912">
        <f t="shared" si="18"/>
        <v>9607704.2099999934</v>
      </c>
      <c r="AK25" s="912">
        <f t="shared" si="18"/>
        <v>12323473.129999984</v>
      </c>
      <c r="AL25" s="601" t="str">
        <f t="shared" si="1"/>
        <v xml:space="preserve"> </v>
      </c>
      <c r="AM25" s="601">
        <f t="shared" si="1"/>
        <v>0.95185635627018084</v>
      </c>
      <c r="AN25" s="601">
        <f t="shared" si="2"/>
        <v>0.91368138613963668</v>
      </c>
      <c r="AO25" s="601">
        <f t="shared" si="2"/>
        <v>0.92652126966342174</v>
      </c>
    </row>
    <row r="26" spans="1:41" s="16" customFormat="1">
      <c r="A26" s="905" t="s">
        <v>1095</v>
      </c>
      <c r="B26" s="40">
        <f>+'SUMM BY CLUSTER- CONAP'!B125</f>
        <v>0</v>
      </c>
      <c r="C26" s="40">
        <f>+'SUMM BY CLUSTER- CONAP'!C125</f>
        <v>3724504.16</v>
      </c>
      <c r="D26" s="40">
        <f>+'SUMM BY CLUSTER- CONAP'!D125</f>
        <v>0</v>
      </c>
      <c r="E26" s="40">
        <f t="shared" si="3"/>
        <v>3724504.16</v>
      </c>
      <c r="F26" s="40">
        <f>+'SUMM BY CLUSTER- CONAP'!F125</f>
        <v>0</v>
      </c>
      <c r="G26" s="40">
        <f>+'SUMM BY CLUSTER- CONAP'!G125</f>
        <v>-3210433.82</v>
      </c>
      <c r="H26" s="40">
        <f>+'SUMM BY CLUSTER- CONAP'!H125</f>
        <v>1701000</v>
      </c>
      <c r="I26" s="40">
        <f t="shared" si="4"/>
        <v>-1509433.8199999998</v>
      </c>
      <c r="J26" s="40">
        <f>+'SUMM BY CLUSTER- CONAP'!J125</f>
        <v>0</v>
      </c>
      <c r="K26" s="40">
        <f>+'SUMM BY CLUSTER- CONAP'!K125</f>
        <v>40267064.139999993</v>
      </c>
      <c r="L26" s="40">
        <f>+'SUMM BY CLUSTER- CONAP'!L125</f>
        <v>109604126.20999999</v>
      </c>
      <c r="M26" s="40">
        <f t="shared" si="5"/>
        <v>149871190.34999999</v>
      </c>
      <c r="N26" s="40">
        <f t="shared" si="6"/>
        <v>0</v>
      </c>
      <c r="O26" s="40">
        <f t="shared" si="6"/>
        <v>37056630.319999993</v>
      </c>
      <c r="P26" s="40">
        <f t="shared" si="6"/>
        <v>111305126.20999999</v>
      </c>
      <c r="Q26" s="40">
        <f t="shared" si="7"/>
        <v>148361756.52999997</v>
      </c>
      <c r="R26" s="40">
        <f t="shared" si="8"/>
        <v>0</v>
      </c>
      <c r="S26" s="40">
        <f t="shared" si="8"/>
        <v>40781134.479999989</v>
      </c>
      <c r="T26" s="40">
        <f t="shared" si="8"/>
        <v>111305126.20999999</v>
      </c>
      <c r="U26" s="40">
        <f t="shared" si="9"/>
        <v>152086260.69</v>
      </c>
      <c r="V26" s="40">
        <f>+'SUMM BY CLUSTER- CONAP'!V125</f>
        <v>0</v>
      </c>
      <c r="W26" s="40">
        <f>+'SUMM BY CLUSTER- CONAP'!W125</f>
        <v>1507804.72</v>
      </c>
      <c r="X26" s="40">
        <f>+'SUMM BY CLUSTER- CONAP'!X125</f>
        <v>0</v>
      </c>
      <c r="Y26" s="40">
        <f t="shared" si="16"/>
        <v>1507804.72</v>
      </c>
      <c r="Z26" s="40">
        <f>+'SUMM BY CLUSTER- CONAP'!Z125</f>
        <v>0</v>
      </c>
      <c r="AA26" s="40">
        <f>+'SUMM BY CLUSTER- CONAP'!AA125</f>
        <v>38664403.859999999</v>
      </c>
      <c r="AB26" s="40">
        <f>+'SUMM BY CLUSTER- CONAP'!AB125</f>
        <v>101697422</v>
      </c>
      <c r="AC26" s="40">
        <f t="shared" si="11"/>
        <v>140361825.86000001</v>
      </c>
      <c r="AD26" s="40">
        <f t="shared" si="12"/>
        <v>0</v>
      </c>
      <c r="AE26" s="40">
        <f t="shared" si="12"/>
        <v>40172208.579999998</v>
      </c>
      <c r="AF26" s="40">
        <f t="shared" si="12"/>
        <v>101697422</v>
      </c>
      <c r="AG26" s="40">
        <f t="shared" si="13"/>
        <v>141869630.57999998</v>
      </c>
      <c r="AH26" s="40">
        <f t="shared" si="14"/>
        <v>0</v>
      </c>
      <c r="AI26" s="40">
        <f t="shared" si="14"/>
        <v>608925.89999999106</v>
      </c>
      <c r="AJ26" s="40">
        <f t="shared" si="14"/>
        <v>9607704.2099999934</v>
      </c>
      <c r="AK26" s="40">
        <f t="shared" si="15"/>
        <v>10216630.109999985</v>
      </c>
      <c r="AL26" s="600"/>
      <c r="AM26" s="600">
        <f t="shared" si="1"/>
        <v>0.98506844138191829</v>
      </c>
      <c r="AN26" s="600">
        <f t="shared" si="2"/>
        <v>0.91368138613963668</v>
      </c>
      <c r="AO26" s="600">
        <f t="shared" si="2"/>
        <v>0.93282345122006294</v>
      </c>
    </row>
    <row r="27" spans="1:41" s="16" customFormat="1">
      <c r="A27" s="905" t="s">
        <v>1046</v>
      </c>
      <c r="B27" s="40">
        <f>+'SUMM BY CLUSTER- CONAP'!B126</f>
        <v>0</v>
      </c>
      <c r="C27" s="40">
        <f>+'SUMM BY CLUSTER- CONAP'!C126</f>
        <v>965223.62</v>
      </c>
      <c r="D27" s="40">
        <f>+'SUMM BY CLUSTER- CONAP'!D126</f>
        <v>0</v>
      </c>
      <c r="E27" s="40">
        <f t="shared" si="3"/>
        <v>965223.62</v>
      </c>
      <c r="F27" s="40">
        <f>+'SUMM BY CLUSTER- CONAP'!F126</f>
        <v>0</v>
      </c>
      <c r="G27" s="40">
        <f>+'SUMM BY CLUSTER- CONAP'!G126</f>
        <v>0</v>
      </c>
      <c r="H27" s="40">
        <f>+'SUMM BY CLUSTER- CONAP'!H126</f>
        <v>0</v>
      </c>
      <c r="I27" s="40">
        <f t="shared" si="4"/>
        <v>0</v>
      </c>
      <c r="J27" s="40">
        <f>+'SUMM BY CLUSTER- CONAP'!J126</f>
        <v>0</v>
      </c>
      <c r="K27" s="40">
        <f>+'SUMM BY CLUSTER- CONAP'!K126</f>
        <v>1001351.02</v>
      </c>
      <c r="L27" s="40">
        <f>+'SUMM BY CLUSTER- CONAP'!L126</f>
        <v>0</v>
      </c>
      <c r="M27" s="40">
        <f t="shared" si="5"/>
        <v>1001351.02</v>
      </c>
      <c r="N27" s="40">
        <f t="shared" si="6"/>
        <v>0</v>
      </c>
      <c r="O27" s="40">
        <f t="shared" si="6"/>
        <v>1001351.02</v>
      </c>
      <c r="P27" s="40">
        <f t="shared" si="6"/>
        <v>0</v>
      </c>
      <c r="Q27" s="40">
        <f t="shared" si="7"/>
        <v>1001351.02</v>
      </c>
      <c r="R27" s="40">
        <f t="shared" si="8"/>
        <v>0</v>
      </c>
      <c r="S27" s="40">
        <f t="shared" si="8"/>
        <v>1966574.6400000001</v>
      </c>
      <c r="T27" s="40">
        <f t="shared" si="8"/>
        <v>0</v>
      </c>
      <c r="U27" s="40">
        <f t="shared" si="9"/>
        <v>1966574.6400000001</v>
      </c>
      <c r="V27" s="40">
        <f>+'SUMM BY CLUSTER- CONAP'!V126</f>
        <v>0</v>
      </c>
      <c r="W27" s="40">
        <f>+'SUMM BY CLUSTER- CONAP'!W126</f>
        <v>0</v>
      </c>
      <c r="X27" s="40">
        <f>+'SUMM BY CLUSTER- CONAP'!X126</f>
        <v>0</v>
      </c>
      <c r="Y27" s="40">
        <f t="shared" si="16"/>
        <v>0</v>
      </c>
      <c r="Z27" s="40">
        <f>+'SUMM BY CLUSTER- CONAP'!Z126</f>
        <v>0</v>
      </c>
      <c r="AA27" s="40">
        <f>+'SUMM BY CLUSTER- CONAP'!AA126</f>
        <v>697535.52</v>
      </c>
      <c r="AB27" s="40">
        <f>+'SUMM BY CLUSTER- CONAP'!AB126</f>
        <v>0</v>
      </c>
      <c r="AC27" s="40">
        <f t="shared" si="11"/>
        <v>697535.52</v>
      </c>
      <c r="AD27" s="40">
        <f t="shared" si="12"/>
        <v>0</v>
      </c>
      <c r="AE27" s="40">
        <f t="shared" si="12"/>
        <v>697535.52</v>
      </c>
      <c r="AF27" s="40">
        <f t="shared" si="12"/>
        <v>0</v>
      </c>
      <c r="AG27" s="40">
        <f t="shared" si="13"/>
        <v>697535.52</v>
      </c>
      <c r="AH27" s="40">
        <f t="shared" si="14"/>
        <v>0</v>
      </c>
      <c r="AI27" s="40">
        <f t="shared" si="14"/>
        <v>1269039.1200000001</v>
      </c>
      <c r="AJ27" s="40">
        <f t="shared" si="14"/>
        <v>0</v>
      </c>
      <c r="AK27" s="40">
        <f t="shared" si="15"/>
        <v>1269039.1200000001</v>
      </c>
      <c r="AL27" s="600"/>
      <c r="AM27" s="600">
        <f t="shared" si="1"/>
        <v>0.35469567531899016</v>
      </c>
      <c r="AN27" s="600" t="str">
        <f t="shared" si="2"/>
        <v xml:space="preserve"> </v>
      </c>
      <c r="AO27" s="600">
        <f t="shared" si="2"/>
        <v>0.35469567531899016</v>
      </c>
    </row>
    <row r="28" spans="1:41" s="16" customFormat="1">
      <c r="A28" s="905" t="s">
        <v>1047</v>
      </c>
      <c r="B28" s="40">
        <f>+'SUMM BY CLUSTER- CONAP'!B127</f>
        <v>0</v>
      </c>
      <c r="C28" s="40">
        <f>+'SUMM BY CLUSTER- CONAP'!C127</f>
        <v>310239.78999999998</v>
      </c>
      <c r="D28" s="40">
        <f>+'SUMM BY CLUSTER- CONAP'!D127</f>
        <v>0</v>
      </c>
      <c r="E28" s="40">
        <f t="shared" si="3"/>
        <v>310239.78999999998</v>
      </c>
      <c r="F28" s="40">
        <f>+'SUMM BY CLUSTER- CONAP'!F127</f>
        <v>0</v>
      </c>
      <c r="G28" s="40">
        <f>+'SUMM BY CLUSTER- CONAP'!G127</f>
        <v>6213434.9900000002</v>
      </c>
      <c r="H28" s="40">
        <f>+'SUMM BY CLUSTER- CONAP'!H127</f>
        <v>0</v>
      </c>
      <c r="I28" s="40">
        <f t="shared" si="4"/>
        <v>6213434.9900000002</v>
      </c>
      <c r="J28" s="40">
        <f>+'SUMM BY CLUSTER- CONAP'!J127</f>
        <v>0</v>
      </c>
      <c r="K28" s="40">
        <f>+'SUMM BY CLUSTER- CONAP'!K127</f>
        <v>7138324.8300000001</v>
      </c>
      <c r="L28" s="40">
        <f>+'SUMM BY CLUSTER- CONAP'!L127</f>
        <v>0</v>
      </c>
      <c r="M28" s="40">
        <f t="shared" si="5"/>
        <v>7138324.8300000001</v>
      </c>
      <c r="N28" s="40">
        <f t="shared" si="6"/>
        <v>0</v>
      </c>
      <c r="O28" s="40">
        <f t="shared" si="6"/>
        <v>13351759.82</v>
      </c>
      <c r="P28" s="40">
        <f t="shared" si="6"/>
        <v>0</v>
      </c>
      <c r="Q28" s="40">
        <f t="shared" si="7"/>
        <v>13351759.82</v>
      </c>
      <c r="R28" s="40">
        <f t="shared" si="8"/>
        <v>0</v>
      </c>
      <c r="S28" s="40">
        <f t="shared" si="8"/>
        <v>13661999.609999999</v>
      </c>
      <c r="T28" s="40">
        <f t="shared" si="8"/>
        <v>0</v>
      </c>
      <c r="U28" s="40">
        <f t="shared" si="9"/>
        <v>13661999.609999999</v>
      </c>
      <c r="V28" s="40">
        <f>+'SUMM BY CLUSTER- CONAP'!V127</f>
        <v>0</v>
      </c>
      <c r="W28" s="40">
        <f>+'SUMM BY CLUSTER- CONAP'!W127</f>
        <v>298373.5</v>
      </c>
      <c r="X28" s="40">
        <f>+'SUMM BY CLUSTER- CONAP'!X127</f>
        <v>0</v>
      </c>
      <c r="Y28" s="40">
        <f t="shared" si="16"/>
        <v>298373.5</v>
      </c>
      <c r="Z28" s="40">
        <f>+'SUMM BY CLUSTER- CONAP'!Z127</f>
        <v>0</v>
      </c>
      <c r="AA28" s="40">
        <f>+'SUMM BY CLUSTER- CONAP'!AA127</f>
        <v>12525822.210000001</v>
      </c>
      <c r="AB28" s="40">
        <f>+'SUMM BY CLUSTER- CONAP'!AB127</f>
        <v>0</v>
      </c>
      <c r="AC28" s="40">
        <f t="shared" si="11"/>
        <v>12525822.210000001</v>
      </c>
      <c r="AD28" s="40">
        <f t="shared" si="12"/>
        <v>0</v>
      </c>
      <c r="AE28" s="40">
        <f t="shared" si="12"/>
        <v>12824195.710000001</v>
      </c>
      <c r="AF28" s="40">
        <f t="shared" si="12"/>
        <v>0</v>
      </c>
      <c r="AG28" s="40">
        <f t="shared" si="13"/>
        <v>12824195.710000001</v>
      </c>
      <c r="AH28" s="40">
        <f t="shared" si="14"/>
        <v>0</v>
      </c>
      <c r="AI28" s="40">
        <f t="shared" si="14"/>
        <v>837803.89999999851</v>
      </c>
      <c r="AJ28" s="40">
        <f t="shared" si="14"/>
        <v>0</v>
      </c>
      <c r="AK28" s="40">
        <f t="shared" si="15"/>
        <v>837803.89999999851</v>
      </c>
      <c r="AL28" s="600"/>
      <c r="AM28" s="600">
        <f t="shared" si="1"/>
        <v>0.93867633407142237</v>
      </c>
      <c r="AN28" s="600" t="str">
        <f t="shared" si="2"/>
        <v xml:space="preserve"> </v>
      </c>
      <c r="AO28" s="600">
        <f t="shared" si="2"/>
        <v>0.93867633407142237</v>
      </c>
    </row>
    <row r="29" spans="1:41" s="16" customFormat="1">
      <c r="A29" s="596"/>
      <c r="B29" s="40"/>
      <c r="C29" s="40"/>
      <c r="D29" s="40"/>
      <c r="E29" s="579">
        <f t="shared" si="3"/>
        <v>0</v>
      </c>
      <c r="F29" s="40"/>
      <c r="G29" s="40"/>
      <c r="H29" s="40"/>
      <c r="I29" s="579">
        <f t="shared" si="4"/>
        <v>0</v>
      </c>
      <c r="J29" s="40"/>
      <c r="K29" s="40"/>
      <c r="L29" s="40"/>
      <c r="M29" s="579">
        <f t="shared" si="5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579">
        <f t="shared" si="7"/>
        <v>0</v>
      </c>
      <c r="R29" s="40">
        <f t="shared" si="8"/>
        <v>0</v>
      </c>
      <c r="S29" s="40">
        <f t="shared" si="8"/>
        <v>0</v>
      </c>
      <c r="T29" s="40">
        <f t="shared" si="8"/>
        <v>0</v>
      </c>
      <c r="U29" s="579">
        <f t="shared" si="9"/>
        <v>0</v>
      </c>
      <c r="V29" s="40"/>
      <c r="W29" s="40"/>
      <c r="X29" s="40"/>
      <c r="Y29" s="579">
        <f t="shared" si="16"/>
        <v>0</v>
      </c>
      <c r="Z29" s="40"/>
      <c r="AA29" s="40"/>
      <c r="AB29" s="40"/>
      <c r="AC29" s="579">
        <f t="shared" si="11"/>
        <v>0</v>
      </c>
      <c r="AD29" s="40">
        <f t="shared" si="12"/>
        <v>0</v>
      </c>
      <c r="AE29" s="40">
        <f t="shared" si="12"/>
        <v>0</v>
      </c>
      <c r="AF29" s="40">
        <f t="shared" si="12"/>
        <v>0</v>
      </c>
      <c r="AG29" s="579">
        <f t="shared" si="13"/>
        <v>0</v>
      </c>
      <c r="AH29" s="579">
        <f t="shared" si="14"/>
        <v>0</v>
      </c>
      <c r="AI29" s="40">
        <f t="shared" si="14"/>
        <v>0</v>
      </c>
      <c r="AJ29" s="40">
        <f t="shared" si="14"/>
        <v>0</v>
      </c>
      <c r="AK29" s="579">
        <f t="shared" si="15"/>
        <v>0</v>
      </c>
      <c r="AL29" s="600"/>
      <c r="AM29" s="600" t="str">
        <f t="shared" si="1"/>
        <v xml:space="preserve"> </v>
      </c>
      <c r="AN29" s="600" t="str">
        <f t="shared" si="2"/>
        <v xml:space="preserve"> </v>
      </c>
      <c r="AO29" s="600" t="str">
        <f t="shared" si="2"/>
        <v xml:space="preserve"> </v>
      </c>
    </row>
    <row r="30" spans="1:41" s="903" customFormat="1" ht="16.5">
      <c r="A30" s="901" t="s">
        <v>1048</v>
      </c>
      <c r="B30" s="912">
        <f>+'CONAP-FUR (REG)-Detail'!C258+'CONAP-FUR (REG)-Detail'!C177</f>
        <v>0</v>
      </c>
      <c r="C30" s="912">
        <f>+'CONAP-FUR (REG)-Detail'!D258+'CONAP-FUR (REG)-Detail'!D177</f>
        <v>7424593.6599999992</v>
      </c>
      <c r="D30" s="912">
        <f>+'CONAP-FUR (REG)-Detail'!E258+'CONAP-FUR (REG)-Detail'!E177</f>
        <v>0</v>
      </c>
      <c r="E30" s="912">
        <f t="shared" ref="E30:AK30" si="19">SUM(E31:E33)</f>
        <v>7424593.6599999992</v>
      </c>
      <c r="F30" s="912">
        <f>+'CONAP-FUR (REG)-Detail'!G258+'CONAP-FUR (REG)-Detail'!G177</f>
        <v>0</v>
      </c>
      <c r="G30" s="912">
        <f>+'CONAP-FUR (REG)-Detail'!H258+'CONAP-FUR (REG)-Detail'!H177</f>
        <v>-4352607.8499999996</v>
      </c>
      <c r="H30" s="912">
        <f>+'CONAP-FUR (REG)-Detail'!I258+'CONAP-FUR (REG)-Detail'!I177</f>
        <v>0</v>
      </c>
      <c r="I30" s="912">
        <f t="shared" si="19"/>
        <v>-4352607.8499999996</v>
      </c>
      <c r="J30" s="912">
        <f>+'CONAP-FUR (REG)-Detail'!K258+'CONAP-FUR (REG)-Detail'!K177</f>
        <v>0</v>
      </c>
      <c r="K30" s="912">
        <f>+'CONAP-FUR (REG)-Detail'!L258+'CONAP-FUR (REG)-Detail'!L177</f>
        <v>28463446.169999998</v>
      </c>
      <c r="L30" s="912">
        <f>+'CONAP-FUR (REG)-Detail'!M258+'CONAP-FUR (REG)-Detail'!M177</f>
        <v>188462</v>
      </c>
      <c r="M30" s="912">
        <f t="shared" si="19"/>
        <v>28651908.169999998</v>
      </c>
      <c r="N30" s="912">
        <f t="shared" si="19"/>
        <v>0</v>
      </c>
      <c r="O30" s="912">
        <f t="shared" si="19"/>
        <v>24110838.32</v>
      </c>
      <c r="P30" s="912">
        <f t="shared" si="19"/>
        <v>188462</v>
      </c>
      <c r="Q30" s="912">
        <f t="shared" si="19"/>
        <v>24299300.32</v>
      </c>
      <c r="R30" s="912">
        <f t="shared" si="19"/>
        <v>0</v>
      </c>
      <c r="S30" s="912">
        <f t="shared" si="19"/>
        <v>31535431.979999997</v>
      </c>
      <c r="T30" s="912">
        <f t="shared" si="19"/>
        <v>188462</v>
      </c>
      <c r="U30" s="912">
        <f t="shared" si="19"/>
        <v>31723893.979999997</v>
      </c>
      <c r="V30" s="912">
        <f>+'CONAP-FUR (REG)-Detail'!W258+'CONAP-FUR (REG)-Detail'!W177</f>
        <v>0</v>
      </c>
      <c r="W30" s="912">
        <f>+'CONAP-FUR (REG)-Detail'!X258+'CONAP-FUR (REG)-Detail'!X177</f>
        <v>6586430.6600000001</v>
      </c>
      <c r="X30" s="912">
        <f>+'CONAP-FUR (REG)-Detail'!Y258+'CONAP-FUR (REG)-Detail'!Y177</f>
        <v>0</v>
      </c>
      <c r="Y30" s="912">
        <f t="shared" si="19"/>
        <v>6586430.6600000001</v>
      </c>
      <c r="Z30" s="912">
        <f>+'CONAP-FUR (REG)-Detail'!AA258+'CONAP-FUR (REG)-Detail'!AA177</f>
        <v>0</v>
      </c>
      <c r="AA30" s="912">
        <f>+'CONAP-FUR (REG)-Detail'!AB258+'CONAP-FUR (REG)-Detail'!AB177</f>
        <v>23502287.350000001</v>
      </c>
      <c r="AB30" s="912">
        <f>+'CONAP-FUR (REG)-Detail'!AC258+'CONAP-FUR (REG)-Detail'!AC177</f>
        <v>187980</v>
      </c>
      <c r="AC30" s="912">
        <f t="shared" si="19"/>
        <v>23690267.350000001</v>
      </c>
      <c r="AD30" s="912">
        <f t="shared" si="19"/>
        <v>0</v>
      </c>
      <c r="AE30" s="912">
        <f t="shared" si="19"/>
        <v>30088718.010000002</v>
      </c>
      <c r="AF30" s="912">
        <f t="shared" si="19"/>
        <v>187980</v>
      </c>
      <c r="AG30" s="912">
        <f t="shared" si="19"/>
        <v>30276698.010000002</v>
      </c>
      <c r="AH30" s="912">
        <f t="shared" si="19"/>
        <v>0</v>
      </c>
      <c r="AI30" s="912">
        <f t="shared" si="19"/>
        <v>1446713.9699999944</v>
      </c>
      <c r="AJ30" s="912">
        <f t="shared" si="19"/>
        <v>482</v>
      </c>
      <c r="AK30" s="912">
        <f t="shared" si="19"/>
        <v>1447195.9699999944</v>
      </c>
      <c r="AL30" s="601" t="str">
        <f t="shared" si="1"/>
        <v xml:space="preserve"> </v>
      </c>
      <c r="AM30" s="601">
        <f t="shared" si="1"/>
        <v>0.95412417464528432</v>
      </c>
      <c r="AN30" s="601">
        <f t="shared" si="2"/>
        <v>0.99744245524296671</v>
      </c>
      <c r="AO30" s="601">
        <f t="shared" si="2"/>
        <v>0.95438151536780558</v>
      </c>
    </row>
    <row r="31" spans="1:41" s="16" customFormat="1">
      <c r="A31" s="905" t="s">
        <v>1096</v>
      </c>
      <c r="B31" s="40">
        <f>+'SUMM BY CLUSTER- CONAP'!B130</f>
        <v>0</v>
      </c>
      <c r="C31" s="40">
        <f>+'SUMM BY CLUSTER- CONAP'!C130</f>
        <v>6648543.8699999992</v>
      </c>
      <c r="D31" s="40">
        <f>+'SUMM BY CLUSTER- CONAP'!D130</f>
        <v>0</v>
      </c>
      <c r="E31" s="40">
        <f t="shared" si="3"/>
        <v>6648543.8699999992</v>
      </c>
      <c r="F31" s="40">
        <f>+'SUMM BY CLUSTER- CONAP'!F130</f>
        <v>0</v>
      </c>
      <c r="G31" s="40">
        <f>+'SUMM BY CLUSTER- CONAP'!G130</f>
        <v>-4809202.29</v>
      </c>
      <c r="H31" s="40">
        <f>+'SUMM BY CLUSTER- CONAP'!H130</f>
        <v>0</v>
      </c>
      <c r="I31" s="40">
        <f t="shared" si="4"/>
        <v>-4809202.29</v>
      </c>
      <c r="J31" s="40">
        <f>+'SUMM BY CLUSTER- CONAP'!J130</f>
        <v>0</v>
      </c>
      <c r="K31" s="40">
        <f>+'SUMM BY CLUSTER- CONAP'!K130</f>
        <v>28420040.609999999</v>
      </c>
      <c r="L31" s="40">
        <f>+'SUMM BY CLUSTER- CONAP'!L130</f>
        <v>188462</v>
      </c>
      <c r="M31" s="40">
        <f t="shared" si="5"/>
        <v>28608502.609999999</v>
      </c>
      <c r="N31" s="40">
        <f t="shared" si="6"/>
        <v>0</v>
      </c>
      <c r="O31" s="40">
        <f t="shared" si="6"/>
        <v>23610838.32</v>
      </c>
      <c r="P31" s="40">
        <f t="shared" si="6"/>
        <v>188462</v>
      </c>
      <c r="Q31" s="40">
        <f t="shared" si="7"/>
        <v>23799300.32</v>
      </c>
      <c r="R31" s="40">
        <f t="shared" si="8"/>
        <v>0</v>
      </c>
      <c r="S31" s="40">
        <f t="shared" si="8"/>
        <v>30259382.189999998</v>
      </c>
      <c r="T31" s="40">
        <f t="shared" si="8"/>
        <v>188462</v>
      </c>
      <c r="U31" s="40">
        <f t="shared" si="9"/>
        <v>30447844.189999998</v>
      </c>
      <c r="V31" s="40">
        <f>+'SUMM BY CLUSTER- CONAP'!V130</f>
        <v>0</v>
      </c>
      <c r="W31" s="40">
        <f>+'SUMM BY CLUSTER- CONAP'!W130</f>
        <v>5860510.4199999999</v>
      </c>
      <c r="X31" s="40">
        <f>+'SUMM BY CLUSTER- CONAP'!X130</f>
        <v>0</v>
      </c>
      <c r="Y31" s="40">
        <f t="shared" si="16"/>
        <v>5860510.4199999999</v>
      </c>
      <c r="Z31" s="40">
        <f>+'SUMM BY CLUSTER- CONAP'!Z130</f>
        <v>0</v>
      </c>
      <c r="AA31" s="40">
        <f>+'SUMM BY CLUSTER- CONAP'!AA130</f>
        <v>23002287.350000001</v>
      </c>
      <c r="AB31" s="40">
        <f>+'SUMM BY CLUSTER- CONAP'!AB130</f>
        <v>187980</v>
      </c>
      <c r="AC31" s="40">
        <f t="shared" si="11"/>
        <v>23190267.350000001</v>
      </c>
      <c r="AD31" s="40">
        <f t="shared" si="12"/>
        <v>0</v>
      </c>
      <c r="AE31" s="40">
        <f t="shared" si="12"/>
        <v>28862797.770000003</v>
      </c>
      <c r="AF31" s="40">
        <f t="shared" si="12"/>
        <v>187980</v>
      </c>
      <c r="AG31" s="40">
        <f t="shared" si="13"/>
        <v>29050777.770000003</v>
      </c>
      <c r="AH31" s="40">
        <f t="shared" si="14"/>
        <v>0</v>
      </c>
      <c r="AI31" s="40">
        <f t="shared" si="14"/>
        <v>1396584.4199999943</v>
      </c>
      <c r="AJ31" s="40">
        <f t="shared" si="14"/>
        <v>482</v>
      </c>
      <c r="AK31" s="40">
        <f t="shared" si="15"/>
        <v>1397066.4199999943</v>
      </c>
      <c r="AL31" s="600"/>
      <c r="AM31" s="600">
        <f t="shared" si="1"/>
        <v>0.95384623482294584</v>
      </c>
      <c r="AN31" s="600">
        <f t="shared" si="2"/>
        <v>0.99744245524296671</v>
      </c>
      <c r="AO31" s="600">
        <f t="shared" si="2"/>
        <v>0.95411608088631661</v>
      </c>
    </row>
    <row r="32" spans="1:41" s="16" customFormat="1">
      <c r="A32" s="905" t="s">
        <v>1050</v>
      </c>
      <c r="B32" s="40">
        <f>+'SUMM BY CLUSTER- CONAP'!B131</f>
        <v>0</v>
      </c>
      <c r="C32" s="40">
        <f>+'SUMM BY CLUSTER- CONAP'!C131</f>
        <v>738534.55</v>
      </c>
      <c r="D32" s="40">
        <f>+'SUMM BY CLUSTER- CONAP'!D131</f>
        <v>0</v>
      </c>
      <c r="E32" s="40">
        <f t="shared" si="3"/>
        <v>738534.55</v>
      </c>
      <c r="F32" s="40">
        <f>+'SUMM BY CLUSTER- CONAP'!F131</f>
        <v>0</v>
      </c>
      <c r="G32" s="40">
        <f>+'SUMM BY CLUSTER- CONAP'!G131</f>
        <v>481100</v>
      </c>
      <c r="H32" s="40">
        <f>+'SUMM BY CLUSTER- CONAP'!H131</f>
        <v>0</v>
      </c>
      <c r="I32" s="40">
        <f t="shared" si="4"/>
        <v>481100</v>
      </c>
      <c r="J32" s="40">
        <f>+'SUMM BY CLUSTER- CONAP'!J131</f>
        <v>0</v>
      </c>
      <c r="K32" s="40">
        <f>+'SUMM BY CLUSTER- CONAP'!K131</f>
        <v>18900</v>
      </c>
      <c r="L32" s="40">
        <f>+'SUMM BY CLUSTER- CONAP'!L131</f>
        <v>0</v>
      </c>
      <c r="M32" s="40">
        <f t="shared" si="5"/>
        <v>18900</v>
      </c>
      <c r="N32" s="40">
        <f t="shared" si="6"/>
        <v>0</v>
      </c>
      <c r="O32" s="40">
        <f t="shared" si="6"/>
        <v>500000</v>
      </c>
      <c r="P32" s="40">
        <f t="shared" si="6"/>
        <v>0</v>
      </c>
      <c r="Q32" s="40">
        <f t="shared" si="7"/>
        <v>500000</v>
      </c>
      <c r="R32" s="40">
        <f t="shared" si="8"/>
        <v>0</v>
      </c>
      <c r="S32" s="40">
        <f t="shared" si="8"/>
        <v>1238534.55</v>
      </c>
      <c r="T32" s="40">
        <f t="shared" si="8"/>
        <v>0</v>
      </c>
      <c r="U32" s="40">
        <f t="shared" si="9"/>
        <v>1238534.55</v>
      </c>
      <c r="V32" s="40">
        <f>+'SUMM BY CLUSTER- CONAP'!V131</f>
        <v>0</v>
      </c>
      <c r="W32" s="40">
        <f>+'SUMM BY CLUSTER- CONAP'!W131</f>
        <v>688405</v>
      </c>
      <c r="X32" s="40">
        <f>+'SUMM BY CLUSTER- CONAP'!X131</f>
        <v>0</v>
      </c>
      <c r="Y32" s="40">
        <f t="shared" si="16"/>
        <v>688405</v>
      </c>
      <c r="Z32" s="40">
        <f>+'SUMM BY CLUSTER- CONAP'!Z131</f>
        <v>0</v>
      </c>
      <c r="AA32" s="40">
        <f>+'SUMM BY CLUSTER- CONAP'!AA131</f>
        <v>500000</v>
      </c>
      <c r="AB32" s="40">
        <f>+'SUMM BY CLUSTER- CONAP'!AB131</f>
        <v>0</v>
      </c>
      <c r="AC32" s="40">
        <f t="shared" si="11"/>
        <v>500000</v>
      </c>
      <c r="AD32" s="40">
        <f t="shared" si="12"/>
        <v>0</v>
      </c>
      <c r="AE32" s="40">
        <f t="shared" si="12"/>
        <v>1188405</v>
      </c>
      <c r="AF32" s="40">
        <f t="shared" si="12"/>
        <v>0</v>
      </c>
      <c r="AG32" s="40">
        <f t="shared" si="13"/>
        <v>1188405</v>
      </c>
      <c r="AH32" s="40">
        <f t="shared" si="14"/>
        <v>0</v>
      </c>
      <c r="AI32" s="40">
        <f t="shared" si="14"/>
        <v>50129.550000000047</v>
      </c>
      <c r="AJ32" s="40">
        <f t="shared" si="14"/>
        <v>0</v>
      </c>
      <c r="AK32" s="40">
        <f t="shared" si="15"/>
        <v>50129.550000000047</v>
      </c>
      <c r="AL32" s="600"/>
      <c r="AM32" s="600">
        <f t="shared" si="1"/>
        <v>0.95952510973553373</v>
      </c>
      <c r="AN32" s="600" t="str">
        <f t="shared" si="2"/>
        <v xml:space="preserve"> </v>
      </c>
      <c r="AO32" s="600">
        <f t="shared" si="2"/>
        <v>0.95952510973553373</v>
      </c>
    </row>
    <row r="33" spans="1:41" s="16" customFormat="1">
      <c r="A33" s="905" t="s">
        <v>1051</v>
      </c>
      <c r="B33" s="40">
        <f>+'SUMM BY CLUSTER- CONAP'!B132</f>
        <v>0</v>
      </c>
      <c r="C33" s="40">
        <f>+'SUMM BY CLUSTER- CONAP'!C132</f>
        <v>37515.24</v>
      </c>
      <c r="D33" s="40">
        <f>+'SUMM BY CLUSTER- CONAP'!D132</f>
        <v>0</v>
      </c>
      <c r="E33" s="40">
        <f t="shared" si="3"/>
        <v>37515.24</v>
      </c>
      <c r="F33" s="40">
        <f>+'SUMM BY CLUSTER- CONAP'!F132</f>
        <v>0</v>
      </c>
      <c r="G33" s="40">
        <f>+'SUMM BY CLUSTER- CONAP'!G132</f>
        <v>-24505.56</v>
      </c>
      <c r="H33" s="40">
        <f>+'SUMM BY CLUSTER- CONAP'!H132</f>
        <v>0</v>
      </c>
      <c r="I33" s="40">
        <f t="shared" si="4"/>
        <v>-24505.56</v>
      </c>
      <c r="J33" s="40">
        <f>+'SUMM BY CLUSTER- CONAP'!J132</f>
        <v>0</v>
      </c>
      <c r="K33" s="40">
        <f>+'SUMM BY CLUSTER- CONAP'!K132</f>
        <v>24505.56</v>
      </c>
      <c r="L33" s="40">
        <f>+'SUMM BY CLUSTER- CONAP'!L132</f>
        <v>0</v>
      </c>
      <c r="M33" s="40">
        <f t="shared" si="5"/>
        <v>24505.56</v>
      </c>
      <c r="N33" s="40">
        <f t="shared" si="6"/>
        <v>0</v>
      </c>
      <c r="O33" s="40">
        <f t="shared" si="6"/>
        <v>0</v>
      </c>
      <c r="P33" s="40">
        <f t="shared" si="6"/>
        <v>0</v>
      </c>
      <c r="Q33" s="40">
        <f t="shared" si="7"/>
        <v>0</v>
      </c>
      <c r="R33" s="40">
        <f t="shared" si="8"/>
        <v>0</v>
      </c>
      <c r="S33" s="40">
        <f t="shared" si="8"/>
        <v>37515.24</v>
      </c>
      <c r="T33" s="40">
        <f t="shared" si="8"/>
        <v>0</v>
      </c>
      <c r="U33" s="40">
        <f t="shared" si="9"/>
        <v>37515.24</v>
      </c>
      <c r="V33" s="40">
        <f>+'SUMM BY CLUSTER- CONAP'!V132</f>
        <v>0</v>
      </c>
      <c r="W33" s="40">
        <f>+'SUMM BY CLUSTER- CONAP'!W132</f>
        <v>37515.24</v>
      </c>
      <c r="X33" s="40">
        <f>+'SUMM BY CLUSTER- CONAP'!X132</f>
        <v>0</v>
      </c>
      <c r="Y33" s="40">
        <f t="shared" si="16"/>
        <v>37515.24</v>
      </c>
      <c r="Z33" s="40">
        <f>+'SUMM BY CLUSTER- CONAP'!Z132</f>
        <v>0</v>
      </c>
      <c r="AA33" s="40">
        <f>+'SUMM BY CLUSTER- CONAP'!AA132</f>
        <v>0</v>
      </c>
      <c r="AB33" s="40">
        <f>+'SUMM BY CLUSTER- CONAP'!AB132</f>
        <v>0</v>
      </c>
      <c r="AC33" s="40">
        <f t="shared" si="11"/>
        <v>0</v>
      </c>
      <c r="AD33" s="40">
        <f t="shared" si="12"/>
        <v>0</v>
      </c>
      <c r="AE33" s="40">
        <f t="shared" si="12"/>
        <v>37515.24</v>
      </c>
      <c r="AF33" s="40">
        <f t="shared" si="12"/>
        <v>0</v>
      </c>
      <c r="AG33" s="40">
        <f t="shared" si="13"/>
        <v>37515.24</v>
      </c>
      <c r="AH33" s="40">
        <f t="shared" si="14"/>
        <v>0</v>
      </c>
      <c r="AI33" s="40">
        <f t="shared" si="14"/>
        <v>0</v>
      </c>
      <c r="AJ33" s="40">
        <f t="shared" si="14"/>
        <v>0</v>
      </c>
      <c r="AK33" s="40">
        <f t="shared" si="15"/>
        <v>0</v>
      </c>
      <c r="AL33" s="600"/>
      <c r="AM33" s="600">
        <f t="shared" si="1"/>
        <v>1</v>
      </c>
      <c r="AN33" s="600" t="str">
        <f t="shared" si="2"/>
        <v xml:space="preserve"> </v>
      </c>
      <c r="AO33" s="600">
        <f t="shared" si="2"/>
        <v>1</v>
      </c>
    </row>
    <row r="34" spans="1:41" s="16" customFormat="1">
      <c r="A34" s="596"/>
      <c r="B34" s="40"/>
      <c r="C34" s="40"/>
      <c r="D34" s="40"/>
      <c r="E34" s="579">
        <f t="shared" si="3"/>
        <v>0</v>
      </c>
      <c r="F34" s="40"/>
      <c r="G34" s="40"/>
      <c r="H34" s="40"/>
      <c r="I34" s="579">
        <f t="shared" si="4"/>
        <v>0</v>
      </c>
      <c r="J34" s="40"/>
      <c r="K34" s="40"/>
      <c r="L34" s="40"/>
      <c r="M34" s="579">
        <f t="shared" si="5"/>
        <v>0</v>
      </c>
      <c r="N34" s="40">
        <f t="shared" si="6"/>
        <v>0</v>
      </c>
      <c r="O34" s="40">
        <f t="shared" si="6"/>
        <v>0</v>
      </c>
      <c r="P34" s="40">
        <f t="shared" si="6"/>
        <v>0</v>
      </c>
      <c r="Q34" s="579">
        <f t="shared" si="7"/>
        <v>0</v>
      </c>
      <c r="R34" s="40">
        <f t="shared" si="8"/>
        <v>0</v>
      </c>
      <c r="S34" s="40">
        <f t="shared" si="8"/>
        <v>0</v>
      </c>
      <c r="T34" s="40">
        <f t="shared" si="8"/>
        <v>0</v>
      </c>
      <c r="U34" s="579">
        <f t="shared" si="9"/>
        <v>0</v>
      </c>
      <c r="V34" s="40"/>
      <c r="W34" s="40"/>
      <c r="X34" s="40"/>
      <c r="Y34" s="579">
        <f t="shared" si="16"/>
        <v>0</v>
      </c>
      <c r="Z34" s="40"/>
      <c r="AA34" s="40"/>
      <c r="AB34" s="40"/>
      <c r="AC34" s="579">
        <f t="shared" si="11"/>
        <v>0</v>
      </c>
      <c r="AD34" s="40">
        <f t="shared" si="12"/>
        <v>0</v>
      </c>
      <c r="AE34" s="40">
        <f t="shared" si="12"/>
        <v>0</v>
      </c>
      <c r="AF34" s="40">
        <f t="shared" si="12"/>
        <v>0</v>
      </c>
      <c r="AG34" s="579">
        <f t="shared" si="13"/>
        <v>0</v>
      </c>
      <c r="AH34" s="579">
        <f t="shared" si="14"/>
        <v>0</v>
      </c>
      <c r="AI34" s="40">
        <f t="shared" si="14"/>
        <v>0</v>
      </c>
      <c r="AJ34" s="40">
        <f t="shared" si="14"/>
        <v>0</v>
      </c>
      <c r="AK34" s="579">
        <f t="shared" si="15"/>
        <v>0</v>
      </c>
      <c r="AL34" s="600"/>
      <c r="AM34" s="600" t="str">
        <f t="shared" si="1"/>
        <v xml:space="preserve"> </v>
      </c>
      <c r="AN34" s="600" t="str">
        <f t="shared" si="2"/>
        <v xml:space="preserve"> </v>
      </c>
      <c r="AO34" s="600" t="str">
        <f t="shared" si="2"/>
        <v xml:space="preserve"> </v>
      </c>
    </row>
    <row r="35" spans="1:41" s="903" customFormat="1" ht="16.5">
      <c r="A35" s="906" t="s">
        <v>57</v>
      </c>
      <c r="B35" s="912">
        <f>+'CONAP-FUR (REG)-Detail'!C181+'CONAP-FUR (REG)-Detail'!C263</f>
        <v>0</v>
      </c>
      <c r="C35" s="912">
        <f>+'CONAP-FUR (REG)-Detail'!D181+'CONAP-FUR (REG)-Detail'!D263</f>
        <v>10482159.610000005</v>
      </c>
      <c r="D35" s="912">
        <f>+'CONAP-FUR (REG)-Detail'!E181+'CONAP-FUR (REG)-Detail'!E263</f>
        <v>0</v>
      </c>
      <c r="E35" s="912">
        <f t="shared" ref="E35:AK35" si="20">SUM(E36:E38)</f>
        <v>10482159.610000005</v>
      </c>
      <c r="F35" s="912">
        <f>+'CONAP-FUR (REG)-Detail'!G181+'CONAP-FUR (REG)-Detail'!G263</f>
        <v>0</v>
      </c>
      <c r="G35" s="912">
        <f>+'CONAP-FUR (REG)-Detail'!H181+'CONAP-FUR (REG)-Detail'!H263</f>
        <v>-6466971.2799999993</v>
      </c>
      <c r="H35" s="912">
        <f>+'CONAP-FUR (REG)-Detail'!I181+'CONAP-FUR (REG)-Detail'!I263</f>
        <v>12600100</v>
      </c>
      <c r="I35" s="912">
        <f t="shared" si="20"/>
        <v>6133128.7200000007</v>
      </c>
      <c r="J35" s="912">
        <f>+'CONAP-FUR (REG)-Detail'!K181+'CONAP-FUR (REG)-Detail'!K263</f>
        <v>0</v>
      </c>
      <c r="K35" s="912">
        <f>+'CONAP-FUR (REG)-Detail'!L181+'CONAP-FUR (REG)-Detail'!L263</f>
        <v>44804711.439999998</v>
      </c>
      <c r="L35" s="912">
        <f>+'CONAP-FUR (REG)-Detail'!M181+'CONAP-FUR (REG)-Detail'!M263</f>
        <v>63807114.149999999</v>
      </c>
      <c r="M35" s="912">
        <f t="shared" si="20"/>
        <v>108611825.59</v>
      </c>
      <c r="N35" s="912">
        <f t="shared" si="20"/>
        <v>0</v>
      </c>
      <c r="O35" s="912">
        <f t="shared" si="20"/>
        <v>38337740.160000004</v>
      </c>
      <c r="P35" s="912">
        <f t="shared" si="20"/>
        <v>76407214.150000006</v>
      </c>
      <c r="Q35" s="912">
        <f t="shared" si="20"/>
        <v>114744954.31000002</v>
      </c>
      <c r="R35" s="912">
        <f t="shared" si="20"/>
        <v>0</v>
      </c>
      <c r="S35" s="912">
        <f t="shared" si="20"/>
        <v>48819899.770000003</v>
      </c>
      <c r="T35" s="912">
        <f t="shared" si="20"/>
        <v>76407214.150000006</v>
      </c>
      <c r="U35" s="912">
        <f t="shared" si="20"/>
        <v>125227113.92000002</v>
      </c>
      <c r="V35" s="912">
        <f>+'CONAP-FUR (REG)-Detail'!W181+'CONAP-FUR (REG)-Detail'!W263</f>
        <v>0</v>
      </c>
      <c r="W35" s="912">
        <f>+'CONAP-FUR (REG)-Detail'!X181+'CONAP-FUR (REG)-Detail'!X263</f>
        <v>9904009.0399999991</v>
      </c>
      <c r="X35" s="912">
        <f>+'CONAP-FUR (REG)-Detail'!Y181+'CONAP-FUR (REG)-Detail'!Y263</f>
        <v>0</v>
      </c>
      <c r="Y35" s="912">
        <f t="shared" si="20"/>
        <v>9904009.0399999991</v>
      </c>
      <c r="Z35" s="912">
        <f>+'CONAP-FUR (REG)-Detail'!AA181+'CONAP-FUR (REG)-Detail'!AA263</f>
        <v>0</v>
      </c>
      <c r="AA35" s="912">
        <f>+'CONAP-FUR (REG)-Detail'!AB181+'CONAP-FUR (REG)-Detail'!AB263</f>
        <v>36539518.869999997</v>
      </c>
      <c r="AB35" s="912">
        <f>+'CONAP-FUR (REG)-Detail'!AC181+'CONAP-FUR (REG)-Detail'!AC263</f>
        <v>37465258.5</v>
      </c>
      <c r="AC35" s="912">
        <f t="shared" si="20"/>
        <v>74004777.370000005</v>
      </c>
      <c r="AD35" s="912">
        <f t="shared" si="20"/>
        <v>0</v>
      </c>
      <c r="AE35" s="912">
        <f t="shared" si="20"/>
        <v>46443527.909999996</v>
      </c>
      <c r="AF35" s="912">
        <f t="shared" si="20"/>
        <v>37465258.5</v>
      </c>
      <c r="AG35" s="912">
        <f t="shared" si="20"/>
        <v>83908786.409999996</v>
      </c>
      <c r="AH35" s="912">
        <f t="shared" si="20"/>
        <v>0</v>
      </c>
      <c r="AI35" s="912">
        <f t="shared" si="20"/>
        <v>2376371.8600000106</v>
      </c>
      <c r="AJ35" s="912">
        <f t="shared" si="20"/>
        <v>38941955.650000006</v>
      </c>
      <c r="AK35" s="912">
        <f t="shared" si="20"/>
        <v>41318327.51000002</v>
      </c>
      <c r="AL35" s="601" t="str">
        <f t="shared" si="1"/>
        <v xml:space="preserve"> </v>
      </c>
      <c r="AM35" s="601">
        <f t="shared" si="1"/>
        <v>0.9513237046533165</v>
      </c>
      <c r="AN35" s="601">
        <f t="shared" si="2"/>
        <v>0.49033666410673599</v>
      </c>
      <c r="AO35" s="601">
        <f t="shared" si="2"/>
        <v>0.67005286461847402</v>
      </c>
    </row>
    <row r="36" spans="1:41" s="16" customFormat="1">
      <c r="A36" s="905" t="s">
        <v>1097</v>
      </c>
      <c r="B36" s="40">
        <f>+'SUMM BY CLUSTER- CONAP'!B135</f>
        <v>0</v>
      </c>
      <c r="C36" s="40">
        <f>+'SUMM BY CLUSTER- CONAP'!C135</f>
        <v>9904040.8400000054</v>
      </c>
      <c r="D36" s="40">
        <f>+'SUMM BY CLUSTER- CONAP'!D135</f>
        <v>0</v>
      </c>
      <c r="E36" s="40">
        <f t="shared" si="3"/>
        <v>9904040.8400000054</v>
      </c>
      <c r="F36" s="40">
        <f>+'SUMM BY CLUSTER- CONAP'!F135</f>
        <v>0</v>
      </c>
      <c r="G36" s="40">
        <f>+'SUMM BY CLUSTER- CONAP'!G135</f>
        <v>-6085707.5099999998</v>
      </c>
      <c r="H36" s="40">
        <f>+'SUMM BY CLUSTER- CONAP'!H135</f>
        <v>12600100</v>
      </c>
      <c r="I36" s="40">
        <f t="shared" si="4"/>
        <v>6514392.4900000002</v>
      </c>
      <c r="J36" s="40">
        <f>+'SUMM BY CLUSTER- CONAP'!J135</f>
        <v>0</v>
      </c>
      <c r="K36" s="40">
        <f>+'SUMM BY CLUSTER- CONAP'!K135</f>
        <v>39580503.469999999</v>
      </c>
      <c r="L36" s="40">
        <f>+'SUMM BY CLUSTER- CONAP'!L135</f>
        <v>63807114.149999999</v>
      </c>
      <c r="M36" s="40">
        <f t="shared" si="5"/>
        <v>103387617.62</v>
      </c>
      <c r="N36" s="40">
        <f t="shared" si="6"/>
        <v>0</v>
      </c>
      <c r="O36" s="40">
        <f t="shared" si="6"/>
        <v>33494795.960000001</v>
      </c>
      <c r="P36" s="40">
        <f t="shared" si="6"/>
        <v>76407214.150000006</v>
      </c>
      <c r="Q36" s="40">
        <f t="shared" si="7"/>
        <v>109902010.11000001</v>
      </c>
      <c r="R36" s="40">
        <f t="shared" si="8"/>
        <v>0</v>
      </c>
      <c r="S36" s="40">
        <f t="shared" si="8"/>
        <v>43398836.800000004</v>
      </c>
      <c r="T36" s="40">
        <f t="shared" si="8"/>
        <v>76407214.150000006</v>
      </c>
      <c r="U36" s="40">
        <f t="shared" si="9"/>
        <v>119806050.95000002</v>
      </c>
      <c r="V36" s="40">
        <f>+'SUMM BY CLUSTER- CONAP'!V135</f>
        <v>0</v>
      </c>
      <c r="W36" s="40">
        <f>+'SUMM BY CLUSTER- CONAP'!W135</f>
        <v>9904009.0399999991</v>
      </c>
      <c r="X36" s="40">
        <f>+'SUMM BY CLUSTER- CONAP'!X135</f>
        <v>0</v>
      </c>
      <c r="Y36" s="40">
        <f t="shared" si="16"/>
        <v>9904009.0399999991</v>
      </c>
      <c r="Z36" s="40">
        <f>+'SUMM BY CLUSTER- CONAP'!Z135</f>
        <v>0</v>
      </c>
      <c r="AA36" s="40">
        <f>+'SUMM BY CLUSTER- CONAP'!AA135</f>
        <v>32302925.059999999</v>
      </c>
      <c r="AB36" s="40">
        <f>+'SUMM BY CLUSTER- CONAP'!AB135</f>
        <v>37465258.5</v>
      </c>
      <c r="AC36" s="40">
        <f t="shared" ref="AC36:AC38" si="21">SUM(Z36:AB36)</f>
        <v>69768183.560000002</v>
      </c>
      <c r="AD36" s="40">
        <f t="shared" si="12"/>
        <v>0</v>
      </c>
      <c r="AE36" s="40">
        <f t="shared" si="12"/>
        <v>42206934.099999994</v>
      </c>
      <c r="AF36" s="40">
        <f t="shared" si="12"/>
        <v>37465258.5</v>
      </c>
      <c r="AG36" s="40">
        <f t="shared" si="13"/>
        <v>79672192.599999994</v>
      </c>
      <c r="AH36" s="40">
        <f t="shared" si="14"/>
        <v>0</v>
      </c>
      <c r="AI36" s="40">
        <f t="shared" si="14"/>
        <v>1191902.7000000104</v>
      </c>
      <c r="AJ36" s="40">
        <f t="shared" si="14"/>
        <v>38941955.650000006</v>
      </c>
      <c r="AK36" s="40">
        <f t="shared" si="15"/>
        <v>40133858.350000016</v>
      </c>
      <c r="AL36" s="600"/>
      <c r="AM36" s="600">
        <f t="shared" si="1"/>
        <v>0.97253606806346449</v>
      </c>
      <c r="AN36" s="600">
        <f t="shared" si="2"/>
        <v>0.49033666410673599</v>
      </c>
      <c r="AO36" s="600">
        <f t="shared" si="2"/>
        <v>0.66500975508532933</v>
      </c>
    </row>
    <row r="37" spans="1:41" s="16" customFormat="1">
      <c r="A37" s="907" t="s">
        <v>1053</v>
      </c>
      <c r="B37" s="40">
        <f>+'SUMM BY CLUSTER- CONAP'!B136</f>
        <v>0</v>
      </c>
      <c r="C37" s="40">
        <f>+'SUMM BY CLUSTER- CONAP'!C136</f>
        <v>0</v>
      </c>
      <c r="D37" s="40">
        <f>+'SUMM BY CLUSTER- CONAP'!D136</f>
        <v>0</v>
      </c>
      <c r="E37" s="40">
        <f t="shared" si="3"/>
        <v>0</v>
      </c>
      <c r="F37" s="40">
        <f>+'SUMM BY CLUSTER- CONAP'!F136</f>
        <v>0</v>
      </c>
      <c r="G37" s="40">
        <f>+'SUMM BY CLUSTER- CONAP'!G136</f>
        <v>80000</v>
      </c>
      <c r="H37" s="40">
        <f>+'SUMM BY CLUSTER- CONAP'!H136</f>
        <v>0</v>
      </c>
      <c r="I37" s="40">
        <f t="shared" si="4"/>
        <v>80000</v>
      </c>
      <c r="J37" s="40">
        <f>+'SUMM BY CLUSTER- CONAP'!J136</f>
        <v>0</v>
      </c>
      <c r="K37" s="40">
        <f>+'SUMM BY CLUSTER- CONAP'!K136</f>
        <v>3197393.39</v>
      </c>
      <c r="L37" s="40">
        <f>+'SUMM BY CLUSTER- CONAP'!L136</f>
        <v>0</v>
      </c>
      <c r="M37" s="40">
        <f t="shared" si="5"/>
        <v>3197393.39</v>
      </c>
      <c r="N37" s="40">
        <f t="shared" si="6"/>
        <v>0</v>
      </c>
      <c r="O37" s="40">
        <f t="shared" si="6"/>
        <v>3277393.39</v>
      </c>
      <c r="P37" s="40">
        <f t="shared" si="6"/>
        <v>0</v>
      </c>
      <c r="Q37" s="40">
        <f t="shared" si="7"/>
        <v>3277393.39</v>
      </c>
      <c r="R37" s="40">
        <f t="shared" si="8"/>
        <v>0</v>
      </c>
      <c r="S37" s="40">
        <f t="shared" si="8"/>
        <v>3277393.39</v>
      </c>
      <c r="T37" s="40">
        <f t="shared" si="8"/>
        <v>0</v>
      </c>
      <c r="U37" s="40">
        <f t="shared" si="9"/>
        <v>3277393.39</v>
      </c>
      <c r="V37" s="40">
        <f>+'SUMM BY CLUSTER- CONAP'!V136</f>
        <v>0</v>
      </c>
      <c r="W37" s="40">
        <f>+'SUMM BY CLUSTER- CONAP'!W136</f>
        <v>0</v>
      </c>
      <c r="X37" s="40">
        <f>+'SUMM BY CLUSTER- CONAP'!X136</f>
        <v>0</v>
      </c>
      <c r="Y37" s="40">
        <f t="shared" si="16"/>
        <v>0</v>
      </c>
      <c r="Z37" s="40">
        <f>+'SUMM BY CLUSTER- CONAP'!Z136</f>
        <v>0</v>
      </c>
      <c r="AA37" s="40">
        <f>+'SUMM BY CLUSTER- CONAP'!AA136</f>
        <v>3277393.39</v>
      </c>
      <c r="AB37" s="40">
        <f>+'SUMM BY CLUSTER- CONAP'!AB136</f>
        <v>0</v>
      </c>
      <c r="AC37" s="40">
        <f t="shared" si="21"/>
        <v>3277393.39</v>
      </c>
      <c r="AD37" s="40">
        <f t="shared" si="12"/>
        <v>0</v>
      </c>
      <c r="AE37" s="40">
        <f t="shared" si="12"/>
        <v>3277393.39</v>
      </c>
      <c r="AF37" s="40">
        <f t="shared" si="12"/>
        <v>0</v>
      </c>
      <c r="AG37" s="40">
        <f t="shared" si="13"/>
        <v>3277393.39</v>
      </c>
      <c r="AH37" s="40">
        <f t="shared" si="14"/>
        <v>0</v>
      </c>
      <c r="AI37" s="40">
        <f t="shared" si="14"/>
        <v>0</v>
      </c>
      <c r="AJ37" s="40">
        <f t="shared" si="14"/>
        <v>0</v>
      </c>
      <c r="AK37" s="40">
        <f t="shared" si="15"/>
        <v>0</v>
      </c>
      <c r="AL37" s="600"/>
      <c r="AM37" s="600">
        <f t="shared" si="1"/>
        <v>1</v>
      </c>
      <c r="AN37" s="600" t="str">
        <f t="shared" si="2"/>
        <v xml:space="preserve"> </v>
      </c>
      <c r="AO37" s="600">
        <f t="shared" si="2"/>
        <v>1</v>
      </c>
    </row>
    <row r="38" spans="1:41" s="16" customFormat="1">
      <c r="A38" s="907" t="s">
        <v>1054</v>
      </c>
      <c r="B38" s="40">
        <f>+'SUMM BY CLUSTER- CONAP'!B137</f>
        <v>0</v>
      </c>
      <c r="C38" s="40">
        <f>+'SUMM BY CLUSTER- CONAP'!C137</f>
        <v>578118.77</v>
      </c>
      <c r="D38" s="40">
        <f>+'SUMM BY CLUSTER- CONAP'!D137</f>
        <v>0</v>
      </c>
      <c r="E38" s="40">
        <f t="shared" si="3"/>
        <v>578118.77</v>
      </c>
      <c r="F38" s="40">
        <f>+'SUMM BY CLUSTER- CONAP'!F137</f>
        <v>0</v>
      </c>
      <c r="G38" s="40">
        <f>+'SUMM BY CLUSTER- CONAP'!G137</f>
        <v>-461263.77</v>
      </c>
      <c r="H38" s="40">
        <f>+'SUMM BY CLUSTER- CONAP'!H137</f>
        <v>0</v>
      </c>
      <c r="I38" s="40">
        <f t="shared" si="4"/>
        <v>-461263.77</v>
      </c>
      <c r="J38" s="40">
        <f>+'SUMM BY CLUSTER- CONAP'!J137</f>
        <v>0</v>
      </c>
      <c r="K38" s="40">
        <f>+'SUMM BY CLUSTER- CONAP'!K137</f>
        <v>2026814.58</v>
      </c>
      <c r="L38" s="40">
        <f>+'SUMM BY CLUSTER- CONAP'!L137</f>
        <v>0</v>
      </c>
      <c r="M38" s="40">
        <f t="shared" si="5"/>
        <v>2026814.58</v>
      </c>
      <c r="N38" s="40">
        <f t="shared" si="6"/>
        <v>0</v>
      </c>
      <c r="O38" s="40">
        <f t="shared" si="6"/>
        <v>1565550.81</v>
      </c>
      <c r="P38" s="40">
        <f t="shared" si="6"/>
        <v>0</v>
      </c>
      <c r="Q38" s="40">
        <f t="shared" si="7"/>
        <v>1565550.81</v>
      </c>
      <c r="R38" s="40">
        <f t="shared" si="8"/>
        <v>0</v>
      </c>
      <c r="S38" s="40">
        <f t="shared" si="8"/>
        <v>2143669.58</v>
      </c>
      <c r="T38" s="40">
        <f t="shared" si="8"/>
        <v>0</v>
      </c>
      <c r="U38" s="40">
        <f t="shared" si="9"/>
        <v>2143669.58</v>
      </c>
      <c r="V38" s="40">
        <f>+'SUMM BY CLUSTER- CONAP'!V137</f>
        <v>0</v>
      </c>
      <c r="W38" s="40">
        <f>+'SUMM BY CLUSTER- CONAP'!W137</f>
        <v>0</v>
      </c>
      <c r="X38" s="40">
        <f>+'SUMM BY CLUSTER- CONAP'!X137</f>
        <v>0</v>
      </c>
      <c r="Y38" s="40">
        <f t="shared" si="16"/>
        <v>0</v>
      </c>
      <c r="Z38" s="40">
        <f>+'SUMM BY CLUSTER- CONAP'!Z137</f>
        <v>0</v>
      </c>
      <c r="AA38" s="40">
        <f>+'SUMM BY CLUSTER- CONAP'!AA137</f>
        <v>959200.42</v>
      </c>
      <c r="AB38" s="40">
        <f>+'SUMM BY CLUSTER- CONAP'!AB137</f>
        <v>0</v>
      </c>
      <c r="AC38" s="40">
        <f t="shared" si="21"/>
        <v>959200.42</v>
      </c>
      <c r="AD38" s="40">
        <f t="shared" si="12"/>
        <v>0</v>
      </c>
      <c r="AE38" s="40">
        <f t="shared" si="12"/>
        <v>959200.42</v>
      </c>
      <c r="AF38" s="40">
        <f t="shared" si="12"/>
        <v>0</v>
      </c>
      <c r="AG38" s="40">
        <f t="shared" si="13"/>
        <v>959200.42</v>
      </c>
      <c r="AH38" s="40">
        <f t="shared" si="14"/>
        <v>0</v>
      </c>
      <c r="AI38" s="40">
        <f t="shared" si="14"/>
        <v>1184469.1600000001</v>
      </c>
      <c r="AJ38" s="40">
        <f t="shared" si="14"/>
        <v>0</v>
      </c>
      <c r="AK38" s="40">
        <f t="shared" si="15"/>
        <v>1184469.1600000001</v>
      </c>
      <c r="AL38" s="600"/>
      <c r="AM38" s="600">
        <f t="shared" si="1"/>
        <v>0.44745721493141682</v>
      </c>
      <c r="AN38" s="600" t="str">
        <f t="shared" si="2"/>
        <v xml:space="preserve"> </v>
      </c>
      <c r="AO38" s="600">
        <f t="shared" si="2"/>
        <v>0.44745721493141682</v>
      </c>
    </row>
    <row r="39" spans="1:41" s="932" customFormat="1" ht="16.5">
      <c r="A39" s="933" t="s">
        <v>449</v>
      </c>
      <c r="B39" s="928">
        <f>+B35+B30+B25+B19+B8</f>
        <v>0</v>
      </c>
      <c r="C39" s="928">
        <f t="shared" ref="C39:AK39" si="22">+C8+C19+C25+C30+C35</f>
        <v>25635324.419999994</v>
      </c>
      <c r="D39" s="928">
        <f t="shared" si="22"/>
        <v>0</v>
      </c>
      <c r="E39" s="928">
        <f t="shared" si="22"/>
        <v>25635324.419999994</v>
      </c>
      <c r="F39" s="928">
        <f t="shared" si="22"/>
        <v>0</v>
      </c>
      <c r="G39" s="928">
        <f t="shared" si="22"/>
        <v>-14558678.149999999</v>
      </c>
      <c r="H39" s="928">
        <f t="shared" si="22"/>
        <v>33391400</v>
      </c>
      <c r="I39" s="928">
        <f t="shared" si="22"/>
        <v>18832721.850000001</v>
      </c>
      <c r="J39" s="928">
        <f t="shared" si="22"/>
        <v>0</v>
      </c>
      <c r="K39" s="928">
        <f t="shared" si="22"/>
        <v>211112859.01999995</v>
      </c>
      <c r="L39" s="928">
        <f t="shared" si="22"/>
        <v>272258003.71999997</v>
      </c>
      <c r="M39" s="928">
        <f t="shared" si="22"/>
        <v>483370862.74000001</v>
      </c>
      <c r="N39" s="928">
        <f t="shared" si="22"/>
        <v>0</v>
      </c>
      <c r="O39" s="928">
        <f t="shared" si="22"/>
        <v>196554180.86999997</v>
      </c>
      <c r="P39" s="928">
        <f t="shared" si="22"/>
        <v>305649403.72000003</v>
      </c>
      <c r="Q39" s="928">
        <f t="shared" si="22"/>
        <v>502203584.58999997</v>
      </c>
      <c r="R39" s="928">
        <f t="shared" si="22"/>
        <v>0</v>
      </c>
      <c r="S39" s="928">
        <f t="shared" si="22"/>
        <v>222189505.28999996</v>
      </c>
      <c r="T39" s="928">
        <f t="shared" si="22"/>
        <v>305649403.72000003</v>
      </c>
      <c r="U39" s="928">
        <f t="shared" si="22"/>
        <v>527838909.01000005</v>
      </c>
      <c r="V39" s="928">
        <f t="shared" si="22"/>
        <v>0</v>
      </c>
      <c r="W39" s="928">
        <f t="shared" si="22"/>
        <v>20316673.299999997</v>
      </c>
      <c r="X39" s="928">
        <f t="shared" si="22"/>
        <v>0</v>
      </c>
      <c r="Y39" s="928">
        <f t="shared" si="22"/>
        <v>20316673.299999997</v>
      </c>
      <c r="Z39" s="928">
        <f t="shared" si="22"/>
        <v>0</v>
      </c>
      <c r="AA39" s="928">
        <f t="shared" si="22"/>
        <v>180738986.70000002</v>
      </c>
      <c r="AB39" s="928">
        <f t="shared" si="22"/>
        <v>190898941.58000001</v>
      </c>
      <c r="AC39" s="928">
        <f t="shared" si="22"/>
        <v>371637928.28000009</v>
      </c>
      <c r="AD39" s="928">
        <f t="shared" si="22"/>
        <v>0</v>
      </c>
      <c r="AE39" s="928">
        <f t="shared" si="22"/>
        <v>201055660</v>
      </c>
      <c r="AF39" s="928">
        <f t="shared" si="22"/>
        <v>190898941.58000001</v>
      </c>
      <c r="AG39" s="928">
        <f t="shared" si="22"/>
        <v>391954601.57999992</v>
      </c>
      <c r="AH39" s="928">
        <f t="shared" si="22"/>
        <v>0</v>
      </c>
      <c r="AI39" s="928">
        <f t="shared" si="22"/>
        <v>21133845.289999977</v>
      </c>
      <c r="AJ39" s="928">
        <f t="shared" si="22"/>
        <v>114750462.14000002</v>
      </c>
      <c r="AK39" s="928">
        <f t="shared" si="22"/>
        <v>135884307.43000001</v>
      </c>
      <c r="AL39" s="930" t="str">
        <f>IF(R39=0," ",AD39/R39)</f>
        <v xml:space="preserve"> </v>
      </c>
      <c r="AM39" s="930">
        <f>IF(S39=0," ",AE39/S39)</f>
        <v>0.90488369258297674</v>
      </c>
      <c r="AN39" s="930">
        <f>IF(T39=0," ",AF39/T39)</f>
        <v>0.62456834286802387</v>
      </c>
      <c r="AO39" s="930">
        <f>IF(U39=0," ",AG39/U39)</f>
        <v>0.7425648145475654</v>
      </c>
    </row>
    <row r="41" spans="1:41" hidden="1">
      <c r="C41" s="30">
        <f>+C39-'SUMM BY CLUSTER- CONAP'!C106</f>
        <v>0</v>
      </c>
      <c r="D41" s="30">
        <f>+D39-'SUMM BY CLUSTER- CONAP'!D106</f>
        <v>0</v>
      </c>
      <c r="E41" s="30">
        <f>+E39-'SUMM BY CLUSTER- CONAP'!E106</f>
        <v>0</v>
      </c>
      <c r="F41" s="30">
        <f>+F39-'SUMM BY CLUSTER- CONAP'!F106</f>
        <v>0</v>
      </c>
      <c r="G41" s="30">
        <f>+G39-'SUMM BY CLUSTER- CONAP'!G106</f>
        <v>0</v>
      </c>
      <c r="H41" s="30">
        <f>+H39-'SUMM BY CLUSTER- CONAP'!H106</f>
        <v>0</v>
      </c>
      <c r="I41" s="30">
        <f>+I39-'SUMM BY CLUSTER- CONAP'!I106</f>
        <v>0</v>
      </c>
      <c r="J41" s="30">
        <f>+J39-'SUMM BY CLUSTER- CONAP'!J106</f>
        <v>0</v>
      </c>
      <c r="K41" s="30">
        <f>+K39-'SUMM BY CLUSTER- CONAP'!K106</f>
        <v>0</v>
      </c>
      <c r="L41" s="30">
        <f>+L39-'SUMM BY CLUSTER- CONAP'!L106</f>
        <v>0</v>
      </c>
      <c r="M41" s="30">
        <f>+M39-'SUMM BY CLUSTER- CONAP'!M106</f>
        <v>0</v>
      </c>
      <c r="N41" s="30">
        <f>+N39-'SUMM BY CLUSTER- CONAP'!N106</f>
        <v>0</v>
      </c>
      <c r="O41" s="30">
        <f>+O39-'SUMM BY CLUSTER- CONAP'!O106</f>
        <v>0</v>
      </c>
      <c r="P41" s="30">
        <f>+P39-'SUMM BY CLUSTER- CONAP'!P106</f>
        <v>0</v>
      </c>
      <c r="Q41" s="30">
        <f>+Q39-'SUMM BY CLUSTER- CONAP'!Q106</f>
        <v>0</v>
      </c>
      <c r="R41" s="30">
        <f>+R39-'SUMM BY CLUSTER- CONAP'!R106</f>
        <v>0</v>
      </c>
      <c r="S41" s="30">
        <f>+S39-'SUMM BY CLUSTER- CONAP'!S106</f>
        <v>0</v>
      </c>
      <c r="T41" s="30">
        <f>+T39-'SUMM BY CLUSTER- CONAP'!T106</f>
        <v>0</v>
      </c>
      <c r="U41" s="30">
        <f>+U39-'SUMM BY CLUSTER- CONAP'!U106</f>
        <v>0</v>
      </c>
      <c r="V41" s="30">
        <f>+V39-'SUMM BY CLUSTER- CONAP'!V106</f>
        <v>0</v>
      </c>
      <c r="W41" s="30">
        <f>+W39-'SUMM BY CLUSTER- CONAP'!W106</f>
        <v>0</v>
      </c>
      <c r="X41" s="30">
        <f>+X39-'SUMM BY CLUSTER- CONAP'!X106</f>
        <v>0</v>
      </c>
      <c r="Y41" s="30">
        <f>+Y39-'SUMM BY CLUSTER- CONAP'!Y106</f>
        <v>0</v>
      </c>
      <c r="Z41" s="30">
        <f>+Z39-'SUMM BY CLUSTER- CONAP'!Z106</f>
        <v>0</v>
      </c>
      <c r="AA41" s="30">
        <f>+AA39-'SUMM BY CLUSTER- CONAP'!AA106</f>
        <v>0</v>
      </c>
      <c r="AB41" s="30">
        <f>+AB39-'SUMM BY CLUSTER- CONAP'!AB106</f>
        <v>0</v>
      </c>
      <c r="AC41" s="30">
        <f>+AC39-'SUMM BY CLUSTER- CONAP'!AC106</f>
        <v>0</v>
      </c>
      <c r="AD41" s="30">
        <f>+AD39-'SUMM BY CLUSTER- CONAP'!AD106</f>
        <v>0</v>
      </c>
      <c r="AE41" s="30">
        <f>+AE39-'SUMM BY CLUSTER- CONAP'!AE106</f>
        <v>0</v>
      </c>
      <c r="AF41" s="30">
        <f>+AF39-'SUMM BY CLUSTER- CONAP'!AF106</f>
        <v>0</v>
      </c>
      <c r="AG41" s="30">
        <f>+AG39-'SUMM BY CLUSTER- CONAP'!AG106</f>
        <v>0</v>
      </c>
      <c r="AH41" s="30">
        <f>+AH39-'SUMM BY CLUSTER- CONAP'!AH106</f>
        <v>0</v>
      </c>
      <c r="AI41" s="30">
        <f>+AI39-'SUMM BY CLUSTER- CONAP'!AI106</f>
        <v>0</v>
      </c>
      <c r="AJ41" s="30">
        <f>+AJ39-'SUMM BY CLUSTER- CONAP'!AJ106</f>
        <v>0</v>
      </c>
      <c r="AK41" s="30">
        <f>+AK39-'SUMM BY CLUSTER- CONAP'!AK106</f>
        <v>0</v>
      </c>
      <c r="AL41" s="30" t="e">
        <f>+AL39-'SUMM BY CLUSTER- CONAP'!AL106</f>
        <v>#VALUE!</v>
      </c>
      <c r="AM41" s="30">
        <f>+AM39-'SUMM BY CLUSTER- CONAP'!AM106</f>
        <v>0</v>
      </c>
      <c r="AN41" s="30">
        <f>+AN39-'SUMM BY CLUSTER- CONAP'!AN106</f>
        <v>0</v>
      </c>
      <c r="AO41" s="30">
        <f>+AO39-'SUMM BY CLUSTER- CONAP'!AO106</f>
        <v>0</v>
      </c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5">
    <tabColor rgb="FF92D050"/>
  </sheetPr>
  <dimension ref="A1:BA37"/>
  <sheetViews>
    <sheetView workbookViewId="0">
      <pane xSplit="1" ySplit="7" topLeftCell="B22" activePane="bottomRight" state="frozen"/>
      <selection pane="topRight" activeCell="B1" sqref="B1"/>
      <selection pane="bottomLeft" activeCell="A8" sqref="A8"/>
      <selection pane="bottomRight" activeCell="A45" sqref="A45"/>
    </sheetView>
  </sheetViews>
  <sheetFormatPr defaultRowHeight="15"/>
  <cols>
    <col min="1" max="1" width="60.28515625" style="17" bestFit="1" customWidth="1"/>
    <col min="2" max="3" width="16.5703125" style="852" bestFit="1" customWidth="1"/>
    <col min="4" max="4" width="5.28515625" style="852" bestFit="1" customWidth="1"/>
    <col min="5" max="5" width="16.5703125" style="852" bestFit="1" customWidth="1"/>
    <col min="6" max="6" width="5.28515625" style="852" hidden="1" customWidth="1"/>
    <col min="7" max="7" width="7.7109375" style="852" hidden="1" customWidth="1"/>
    <col min="8" max="8" width="5.28515625" style="852" hidden="1" customWidth="1"/>
    <col min="9" max="9" width="8.28515625" style="852" hidden="1" customWidth="1"/>
    <col min="10" max="11" width="16.5703125" style="852" hidden="1" customWidth="1"/>
    <col min="12" max="12" width="5.28515625" style="852" hidden="1" customWidth="1"/>
    <col min="13" max="13" width="16.85546875" style="852" hidden="1" customWidth="1"/>
    <col min="14" max="15" width="16.85546875" style="852" bestFit="1" customWidth="1"/>
    <col min="16" max="16" width="5.28515625" style="852" bestFit="1" customWidth="1"/>
    <col min="17" max="17" width="16.85546875" style="852" bestFit="1" customWidth="1"/>
    <col min="18" max="19" width="17.7109375" style="852" hidden="1" customWidth="1"/>
    <col min="20" max="20" width="5.28515625" style="852" hidden="1" customWidth="1"/>
    <col min="21" max="21" width="17.7109375" style="852" hidden="1" customWidth="1"/>
    <col min="22" max="22" width="17.7109375" style="852" bestFit="1" customWidth="1"/>
    <col min="23" max="23" width="16" style="852" bestFit="1" customWidth="1"/>
    <col min="24" max="24" width="16.85546875" style="852" bestFit="1" customWidth="1"/>
    <col min="25" max="25" width="16.5703125" style="852" bestFit="1" customWidth="1"/>
    <col min="26" max="29" width="16.85546875" style="852" bestFit="1" customWidth="1"/>
    <col min="30" max="30" width="16.85546875" style="852" hidden="1" customWidth="1"/>
    <col min="31" max="31" width="15.140625" style="852" hidden="1" customWidth="1"/>
    <col min="32" max="32" width="17.7109375" style="852" hidden="1" customWidth="1"/>
    <col min="33" max="33" width="16.85546875" style="852" hidden="1" customWidth="1"/>
    <col min="34" max="35" width="17.7109375" style="852" hidden="1" customWidth="1"/>
    <col min="36" max="37" width="16.5703125" style="852" hidden="1" customWidth="1"/>
    <col min="38" max="39" width="16.5703125" style="852" bestFit="1" customWidth="1"/>
    <col min="40" max="41" width="16.85546875" style="852" bestFit="1" customWidth="1"/>
    <col min="42" max="43" width="15.28515625" style="852" bestFit="1" customWidth="1"/>
    <col min="44" max="44" width="16" style="852" bestFit="1" customWidth="1"/>
    <col min="45" max="45" width="16.5703125" style="852" bestFit="1" customWidth="1"/>
    <col min="46" max="49" width="17.7109375" style="879" bestFit="1" customWidth="1"/>
    <col min="50" max="51" width="16" style="17" bestFit="1" customWidth="1"/>
    <col min="52" max="52" width="15" style="17" bestFit="1" customWidth="1"/>
    <col min="53" max="53" width="17.7109375" style="17" bestFit="1" customWidth="1"/>
    <col min="54" max="54" width="20" style="17" customWidth="1"/>
    <col min="55" max="55" width="5.7109375" style="17" bestFit="1" customWidth="1"/>
    <col min="56" max="16384" width="9.140625" style="17"/>
  </cols>
  <sheetData>
    <row r="1" spans="1:53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910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3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3">
      <c r="A3" s="15" t="s">
        <v>1098</v>
      </c>
      <c r="B3" s="189"/>
      <c r="C3" s="908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3">
      <c r="A4" s="16"/>
      <c r="B4" s="189"/>
      <c r="C4" s="90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3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535" t="s">
        <v>52</v>
      </c>
      <c r="AU5" s="1536"/>
      <c r="AV5" s="1536"/>
      <c r="AW5" s="1537"/>
      <c r="AX5" s="1499" t="s">
        <v>58</v>
      </c>
      <c r="AY5" s="1500"/>
      <c r="AZ5" s="1500"/>
      <c r="BA5" s="1501"/>
    </row>
    <row r="6" spans="1:53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880"/>
      <c r="AU6" s="881"/>
      <c r="AV6" s="881"/>
      <c r="AW6" s="882"/>
      <c r="AX6" s="913"/>
      <c r="AY6" s="914"/>
      <c r="AZ6" s="914"/>
      <c r="BA6" s="915"/>
    </row>
    <row r="7" spans="1:53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883" t="s">
        <v>1</v>
      </c>
      <c r="AU7" s="883" t="s">
        <v>2</v>
      </c>
      <c r="AV7" s="883" t="s">
        <v>3</v>
      </c>
      <c r="AW7" s="883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3" s="903" customFormat="1" ht="16.5">
      <c r="A8" s="901" t="s">
        <v>115</v>
      </c>
      <c r="B8" s="868">
        <f>SUM(B9:B13)</f>
        <v>336145000</v>
      </c>
      <c r="C8" s="868">
        <f>SUM(C9:C13)</f>
        <v>247569000</v>
      </c>
      <c r="D8" s="868">
        <f t="shared" ref="D8:AN8" si="0">SUM(D9:D13)</f>
        <v>0</v>
      </c>
      <c r="E8" s="868">
        <f t="shared" ref="E8:E34" si="1">SUM(B8:D8)</f>
        <v>583714000</v>
      </c>
      <c r="F8" s="868">
        <f t="shared" si="0"/>
        <v>0</v>
      </c>
      <c r="G8" s="868">
        <f t="shared" si="0"/>
        <v>0</v>
      </c>
      <c r="H8" s="868">
        <f t="shared" si="0"/>
        <v>0</v>
      </c>
      <c r="I8" s="868">
        <f t="shared" si="0"/>
        <v>0</v>
      </c>
      <c r="J8" s="868">
        <f t="shared" si="0"/>
        <v>336145000</v>
      </c>
      <c r="K8" s="868">
        <f t="shared" si="0"/>
        <v>247569000</v>
      </c>
      <c r="L8" s="868">
        <f t="shared" si="0"/>
        <v>0</v>
      </c>
      <c r="M8" s="868">
        <f t="shared" ref="M8:M34" si="2">SUM(J8:L8)</f>
        <v>583714000</v>
      </c>
      <c r="N8" s="868">
        <f t="shared" si="0"/>
        <v>336145000</v>
      </c>
      <c r="O8" s="868">
        <f t="shared" si="0"/>
        <v>247569000</v>
      </c>
      <c r="P8" s="868">
        <f t="shared" si="0"/>
        <v>0</v>
      </c>
      <c r="Q8" s="868">
        <f t="shared" ref="Q8:Q34" si="3">SUM(N8:P8)</f>
        <v>583714000</v>
      </c>
      <c r="R8" s="868">
        <f t="shared" si="0"/>
        <v>0</v>
      </c>
      <c r="S8" s="868">
        <f t="shared" si="0"/>
        <v>0</v>
      </c>
      <c r="T8" s="868">
        <f t="shared" si="0"/>
        <v>0</v>
      </c>
      <c r="U8" s="868">
        <f t="shared" ref="U8:U34" si="4">SUM(R8:T8)</f>
        <v>0</v>
      </c>
      <c r="V8" s="868">
        <f t="shared" si="0"/>
        <v>0</v>
      </c>
      <c r="W8" s="868">
        <f t="shared" si="0"/>
        <v>152669232</v>
      </c>
      <c r="X8" s="868">
        <f t="shared" si="0"/>
        <v>64550000</v>
      </c>
      <c r="Y8" s="868">
        <f t="shared" ref="Y8:Y34" si="5">SUM(V8:X8)</f>
        <v>217219232</v>
      </c>
      <c r="Z8" s="868">
        <f t="shared" si="0"/>
        <v>336145000</v>
      </c>
      <c r="AA8" s="868">
        <f t="shared" si="0"/>
        <v>400238232</v>
      </c>
      <c r="AB8" s="868">
        <f t="shared" si="0"/>
        <v>64550000</v>
      </c>
      <c r="AC8" s="868">
        <f t="shared" ref="AC8:AC34" si="6">SUM(Z8:AB8)</f>
        <v>800933232</v>
      </c>
      <c r="AD8" s="868">
        <f t="shared" si="0"/>
        <v>311023533.09999996</v>
      </c>
      <c r="AE8" s="868">
        <f t="shared" si="0"/>
        <v>225438953.56000006</v>
      </c>
      <c r="AF8" s="868">
        <f t="shared" si="0"/>
        <v>0</v>
      </c>
      <c r="AG8" s="868">
        <f t="shared" ref="AG8:AG34" si="7">SUM(AD8:AF8)</f>
        <v>536462486.66000003</v>
      </c>
      <c r="AH8" s="868">
        <f t="shared" si="0"/>
        <v>0</v>
      </c>
      <c r="AI8" s="868">
        <f t="shared" si="0"/>
        <v>135713638.26999998</v>
      </c>
      <c r="AJ8" s="868">
        <f t="shared" si="0"/>
        <v>59739805.579999998</v>
      </c>
      <c r="AK8" s="868">
        <f t="shared" ref="AK8:AK34" si="8">SUM(AH8:AJ8)</f>
        <v>195453443.84999996</v>
      </c>
      <c r="AL8" s="868">
        <f t="shared" si="0"/>
        <v>311023533.09999996</v>
      </c>
      <c r="AM8" s="868">
        <f t="shared" si="0"/>
        <v>361152591.83000004</v>
      </c>
      <c r="AN8" s="868">
        <f t="shared" si="0"/>
        <v>59739805.579999998</v>
      </c>
      <c r="AO8" s="868">
        <f t="shared" ref="AO8:AO34" si="9">SUM(AL8:AN8)</f>
        <v>731915930.51000011</v>
      </c>
      <c r="AP8" s="868">
        <f t="shared" ref="AP8:AR28" si="10">+Z8-AL8</f>
        <v>25121466.900000036</v>
      </c>
      <c r="AQ8" s="868">
        <f t="shared" si="10"/>
        <v>39085640.169999957</v>
      </c>
      <c r="AR8" s="868">
        <f t="shared" si="10"/>
        <v>4810194.4200000018</v>
      </c>
      <c r="AS8" s="868">
        <f t="shared" ref="AS8:AS34" si="11">SUM(AP8:AR8)</f>
        <v>69017301.489999995</v>
      </c>
      <c r="AT8" s="902">
        <f t="shared" ref="AT8:AW21" si="12">IF(Z8=0," ",AL8/Z8)</f>
        <v>0.92526598075235378</v>
      </c>
      <c r="AU8" s="902">
        <f t="shared" si="12"/>
        <v>0.9023440614988526</v>
      </c>
      <c r="AV8" s="902">
        <f t="shared" si="12"/>
        <v>0.92548110890782331</v>
      </c>
      <c r="AW8" s="902">
        <f t="shared" si="12"/>
        <v>0.91382889517811905</v>
      </c>
      <c r="AX8" s="22">
        <f t="shared" ref="AX8:AZ28" si="13">+J8-N8</f>
        <v>0</v>
      </c>
      <c r="AY8" s="22">
        <f t="shared" si="13"/>
        <v>0</v>
      </c>
      <c r="AZ8" s="22">
        <f t="shared" si="13"/>
        <v>0</v>
      </c>
      <c r="BA8" s="868">
        <f t="shared" ref="BA8:BA34" si="14">SUM(AX8:AZ8)</f>
        <v>0</v>
      </c>
    </row>
    <row r="9" spans="1:53" s="16" customFormat="1">
      <c r="A9" s="899" t="s">
        <v>1083</v>
      </c>
      <c r="B9" s="859">
        <f>+'SUMM BY CLUSTER- CURRENT'!B57</f>
        <v>51923000</v>
      </c>
      <c r="C9" s="859">
        <f>+'SUMM BY CLUSTER- CURRENT'!C57</f>
        <v>117949000</v>
      </c>
      <c r="D9" s="859">
        <f>+'SUMM BY CLUSTER- CURRENT'!D57</f>
        <v>0</v>
      </c>
      <c r="E9" s="859">
        <f t="shared" si="1"/>
        <v>169872000</v>
      </c>
      <c r="F9" s="859">
        <f>+'SUMM BY CLUSTER- CURRENT'!F57</f>
        <v>0</v>
      </c>
      <c r="G9" s="859">
        <f>+'SUMM BY CLUSTER- CURRENT'!G57</f>
        <v>0</v>
      </c>
      <c r="H9" s="859">
        <f>+'SUMM BY CLUSTER- CURRENT'!H57</f>
        <v>0</v>
      </c>
      <c r="I9" s="859">
        <f>SUM('CY-FUR (REG)- Detail'!J119:J121)</f>
        <v>0</v>
      </c>
      <c r="J9" s="859">
        <f>+'SUMM BY CLUSTER- CURRENT'!J57</f>
        <v>51923000</v>
      </c>
      <c r="K9" s="859">
        <f>+'SUMM BY CLUSTER- CURRENT'!K57</f>
        <v>117949000</v>
      </c>
      <c r="L9" s="859">
        <f>+'SUMM BY CLUSTER- CURRENT'!L57</f>
        <v>0</v>
      </c>
      <c r="M9" s="859">
        <f t="shared" si="2"/>
        <v>169872000</v>
      </c>
      <c r="N9" s="859">
        <f>+'SUMM BY CLUSTER- CURRENT'!N57</f>
        <v>51923000</v>
      </c>
      <c r="O9" s="859">
        <f>+'SUMM BY CLUSTER- CURRENT'!O57</f>
        <v>117949000</v>
      </c>
      <c r="P9" s="859">
        <f>+'SUMM BY CLUSTER- CURRENT'!P57</f>
        <v>0</v>
      </c>
      <c r="Q9" s="859">
        <f t="shared" si="3"/>
        <v>169872000</v>
      </c>
      <c r="R9" s="859">
        <f>+'SUMM BY CLUSTER- CURRENT'!R57</f>
        <v>0</v>
      </c>
      <c r="S9" s="859">
        <f>+'SUMM BY CLUSTER- CURRENT'!S57</f>
        <v>0</v>
      </c>
      <c r="T9" s="859">
        <f>+'SUMM BY CLUSTER- CURRENT'!T57</f>
        <v>0</v>
      </c>
      <c r="U9" s="859">
        <f t="shared" si="4"/>
        <v>0</v>
      </c>
      <c r="V9" s="859">
        <f>+'SUMM BY CLUSTER- CURRENT'!V57</f>
        <v>0</v>
      </c>
      <c r="W9" s="859">
        <f>+'SUMM BY CLUSTER- CURRENT'!W57</f>
        <v>109923232</v>
      </c>
      <c r="X9" s="859">
        <f>+'SUMM BY CLUSTER- CURRENT'!X57</f>
        <v>35750000</v>
      </c>
      <c r="Y9" s="859">
        <f t="shared" si="5"/>
        <v>145673232</v>
      </c>
      <c r="Z9" s="859">
        <f>+N9+V9</f>
        <v>51923000</v>
      </c>
      <c r="AA9" s="859">
        <f t="shared" ref="AA9:AB9" si="15">+O9+W9</f>
        <v>227872232</v>
      </c>
      <c r="AB9" s="859">
        <f t="shared" si="15"/>
        <v>35750000</v>
      </c>
      <c r="AC9" s="859">
        <f t="shared" si="6"/>
        <v>315545232</v>
      </c>
      <c r="AD9" s="859">
        <f>+'SUMM BY CLUSTER- CURRENT'!AD57</f>
        <v>47682582.600000001</v>
      </c>
      <c r="AE9" s="859">
        <f>+'SUMM BY CLUSTER- CURRENT'!AE57</f>
        <v>104082131.29000002</v>
      </c>
      <c r="AF9" s="859">
        <f>+'SUMM BY CLUSTER- CURRENT'!AF57</f>
        <v>0</v>
      </c>
      <c r="AG9" s="859">
        <f t="shared" si="7"/>
        <v>151764713.89000002</v>
      </c>
      <c r="AH9" s="859">
        <f>+'SUMM BY CLUSTER- CURRENT'!AH57</f>
        <v>0</v>
      </c>
      <c r="AI9" s="859">
        <f>+'SUMM BY CLUSTER- CURRENT'!AI57</f>
        <v>97804242.659999996</v>
      </c>
      <c r="AJ9" s="859">
        <f>+'SUMM BY CLUSTER- CURRENT'!AJ57</f>
        <v>32069235.32</v>
      </c>
      <c r="AK9" s="859">
        <f t="shared" si="8"/>
        <v>129873477.97999999</v>
      </c>
      <c r="AL9" s="859">
        <f>+AD9+AH9</f>
        <v>47682582.600000001</v>
      </c>
      <c r="AM9" s="859">
        <f t="shared" ref="AM9:AN9" si="16">+AE9+AI9</f>
        <v>201886373.95000002</v>
      </c>
      <c r="AN9" s="859">
        <f t="shared" si="16"/>
        <v>32069235.32</v>
      </c>
      <c r="AO9" s="859">
        <f t="shared" si="9"/>
        <v>281638191.87</v>
      </c>
      <c r="AP9" s="859">
        <f t="shared" si="10"/>
        <v>4240417.3999999985</v>
      </c>
      <c r="AQ9" s="859">
        <f t="shared" si="10"/>
        <v>25985858.049999982</v>
      </c>
      <c r="AR9" s="859">
        <f t="shared" si="10"/>
        <v>3680764.6799999997</v>
      </c>
      <c r="AS9" s="859">
        <f t="shared" si="11"/>
        <v>33907040.12999998</v>
      </c>
      <c r="AT9" s="886">
        <f t="shared" si="12"/>
        <v>0.91833258093715697</v>
      </c>
      <c r="AU9" s="886">
        <f t="shared" si="12"/>
        <v>0.88596303366177598</v>
      </c>
      <c r="AV9" s="886">
        <f t="shared" si="12"/>
        <v>0.89704154741258746</v>
      </c>
      <c r="AW9" s="886">
        <f t="shared" si="12"/>
        <v>0.89254459680759812</v>
      </c>
      <c r="AX9" s="22">
        <f t="shared" si="13"/>
        <v>0</v>
      </c>
      <c r="AY9" s="22">
        <f t="shared" si="13"/>
        <v>0</v>
      </c>
      <c r="AZ9" s="22">
        <f t="shared" si="13"/>
        <v>0</v>
      </c>
      <c r="BA9" s="859">
        <f t="shared" si="14"/>
        <v>0</v>
      </c>
    </row>
    <row r="10" spans="1:53" s="16" customFormat="1">
      <c r="A10" s="899" t="s">
        <v>989</v>
      </c>
      <c r="B10" s="859">
        <f>+'SUMM BY CLUSTER- CURRENT'!B58</f>
        <v>229323000</v>
      </c>
      <c r="C10" s="859">
        <f>+'SUMM BY CLUSTER- CURRENT'!C58</f>
        <v>97777000</v>
      </c>
      <c r="D10" s="859">
        <f>+'SUMM BY CLUSTER- CURRENT'!D58</f>
        <v>0</v>
      </c>
      <c r="E10" s="859">
        <f t="shared" si="1"/>
        <v>327100000</v>
      </c>
      <c r="F10" s="859">
        <f>+'SUMM BY CLUSTER- CURRENT'!F58</f>
        <v>0</v>
      </c>
      <c r="G10" s="859">
        <f>+'SUMM BY CLUSTER- CURRENT'!G58</f>
        <v>0</v>
      </c>
      <c r="H10" s="859">
        <f>+'SUMM BY CLUSTER- CURRENT'!H58</f>
        <v>0</v>
      </c>
      <c r="I10" s="859">
        <f>SUM('CY-FUR (REG)- Detail'!J120:J122)</f>
        <v>0</v>
      </c>
      <c r="J10" s="859">
        <f>+'SUMM BY CLUSTER- CURRENT'!J58</f>
        <v>229323000</v>
      </c>
      <c r="K10" s="859">
        <f>+'SUMM BY CLUSTER- CURRENT'!K58</f>
        <v>97777000</v>
      </c>
      <c r="L10" s="859">
        <f>+'SUMM BY CLUSTER- CURRENT'!L58</f>
        <v>0</v>
      </c>
      <c r="M10" s="859">
        <f t="shared" si="2"/>
        <v>327100000</v>
      </c>
      <c r="N10" s="859">
        <f>+'SUMM BY CLUSTER- CURRENT'!N58</f>
        <v>229323000</v>
      </c>
      <c r="O10" s="859">
        <f>+'SUMM BY CLUSTER- CURRENT'!O58</f>
        <v>97777000</v>
      </c>
      <c r="P10" s="859">
        <f>+'SUMM BY CLUSTER- CURRENT'!P58</f>
        <v>0</v>
      </c>
      <c r="Q10" s="859">
        <f t="shared" si="3"/>
        <v>327100000</v>
      </c>
      <c r="R10" s="859">
        <f>+'SUMM BY CLUSTER- CURRENT'!R58</f>
        <v>0</v>
      </c>
      <c r="S10" s="859">
        <f>+'SUMM BY CLUSTER- CURRENT'!S58</f>
        <v>0</v>
      </c>
      <c r="T10" s="859">
        <f>+'SUMM BY CLUSTER- CURRENT'!T58</f>
        <v>0</v>
      </c>
      <c r="U10" s="859">
        <f t="shared" si="4"/>
        <v>0</v>
      </c>
      <c r="V10" s="859">
        <f>+'SUMM BY CLUSTER- CURRENT'!V58</f>
        <v>0</v>
      </c>
      <c r="W10" s="859">
        <f>+'SUMM BY CLUSTER- CURRENT'!W58</f>
        <v>35560000</v>
      </c>
      <c r="X10" s="859">
        <f>+'SUMM BY CLUSTER- CURRENT'!X58</f>
        <v>28800000</v>
      </c>
      <c r="Y10" s="859">
        <f t="shared" si="5"/>
        <v>64360000</v>
      </c>
      <c r="Z10" s="859">
        <f t="shared" ref="Z10:Z34" si="17">+N10+V10</f>
        <v>229323000</v>
      </c>
      <c r="AA10" s="859">
        <f t="shared" ref="AA10:AA34" si="18">+O10+W10</f>
        <v>133337000</v>
      </c>
      <c r="AB10" s="859">
        <f t="shared" ref="AB10:AB34" si="19">+P10+X10</f>
        <v>28800000</v>
      </c>
      <c r="AC10" s="859">
        <f t="shared" si="6"/>
        <v>391460000</v>
      </c>
      <c r="AD10" s="859">
        <f>+'SUMM BY CLUSTER- CURRENT'!AD58</f>
        <v>213359977.38</v>
      </c>
      <c r="AE10" s="859">
        <f>+'SUMM BY CLUSTER- CURRENT'!AE58</f>
        <v>91943587.220000014</v>
      </c>
      <c r="AF10" s="859">
        <f>+'SUMM BY CLUSTER- CURRENT'!AF58</f>
        <v>0</v>
      </c>
      <c r="AG10" s="859">
        <f t="shared" si="7"/>
        <v>305303564.60000002</v>
      </c>
      <c r="AH10" s="859">
        <f>+'SUMM BY CLUSTER- CURRENT'!AH58</f>
        <v>0</v>
      </c>
      <c r="AI10" s="859">
        <f>+'SUMM BY CLUSTER- CURRENT'!AI58</f>
        <v>32227452.66</v>
      </c>
      <c r="AJ10" s="859">
        <f>+'SUMM BY CLUSTER- CURRENT'!AJ58</f>
        <v>27670570.260000002</v>
      </c>
      <c r="AK10" s="859">
        <f t="shared" si="8"/>
        <v>59898022.920000002</v>
      </c>
      <c r="AL10" s="859">
        <f t="shared" ref="AL10:AL34" si="20">+AD10+AH10</f>
        <v>213359977.38</v>
      </c>
      <c r="AM10" s="859">
        <f t="shared" ref="AM10:AM34" si="21">+AE10+AI10</f>
        <v>124171039.88000001</v>
      </c>
      <c r="AN10" s="859">
        <f t="shared" ref="AN10:AN34" si="22">+AF10+AJ10</f>
        <v>27670570.260000002</v>
      </c>
      <c r="AO10" s="859">
        <f t="shared" si="9"/>
        <v>365201587.51999998</v>
      </c>
      <c r="AP10" s="859">
        <f t="shared" ref="AP10:AP13" si="23">+Z10-AL10</f>
        <v>15963022.620000005</v>
      </c>
      <c r="AQ10" s="859">
        <f t="shared" ref="AQ10:AQ13" si="24">+AA10-AM10</f>
        <v>9165960.1199999899</v>
      </c>
      <c r="AR10" s="859">
        <f t="shared" ref="AR10:AR13" si="25">+AB10-AN10</f>
        <v>1129429.7399999984</v>
      </c>
      <c r="AS10" s="859">
        <f t="shared" si="11"/>
        <v>26258412.479999993</v>
      </c>
      <c r="AT10" s="886">
        <f t="shared" ref="AT10:AT13" si="26">IF(Z10=0," ",AL10/Z10)</f>
        <v>0.93039066024777273</v>
      </c>
      <c r="AU10" s="886">
        <f t="shared" ref="AU10:AU13" si="27">IF(AA10=0," ",AM10/AA10)</f>
        <v>0.93125718952728809</v>
      </c>
      <c r="AV10" s="886">
        <f t="shared" ref="AV10:AV13" si="28">IF(AB10=0," ",AN10/AB10)</f>
        <v>0.96078368958333338</v>
      </c>
      <c r="AW10" s="886">
        <f t="shared" ref="AW10:AW13" si="29">IF(AC10=0," ",AO10/AC10)</f>
        <v>0.93292185030399011</v>
      </c>
      <c r="AX10" s="22">
        <f t="shared" ref="AX10:AX13" si="30">+J10-N10</f>
        <v>0</v>
      </c>
      <c r="AY10" s="22">
        <f t="shared" ref="AY10:AY13" si="31">+K10-O10</f>
        <v>0</v>
      </c>
      <c r="AZ10" s="22">
        <f t="shared" ref="AZ10:AZ13" si="32">+L10-P10</f>
        <v>0</v>
      </c>
      <c r="BA10" s="859">
        <f t="shared" si="14"/>
        <v>0</v>
      </c>
    </row>
    <row r="11" spans="1:53" s="16" customFormat="1">
      <c r="A11" s="899" t="s">
        <v>990</v>
      </c>
      <c r="B11" s="859">
        <f>+'SUMM BY CLUSTER- CURRENT'!B59</f>
        <v>26754000</v>
      </c>
      <c r="C11" s="859">
        <f>+'SUMM BY CLUSTER- CURRENT'!C59</f>
        <v>16686000</v>
      </c>
      <c r="D11" s="859">
        <f>+'SUMM BY CLUSTER- CURRENT'!D59</f>
        <v>0</v>
      </c>
      <c r="E11" s="859">
        <f t="shared" si="1"/>
        <v>43440000</v>
      </c>
      <c r="F11" s="859">
        <f>+'SUMM BY CLUSTER- CURRENT'!F59</f>
        <v>0</v>
      </c>
      <c r="G11" s="859">
        <f>+'SUMM BY CLUSTER- CURRENT'!G59</f>
        <v>0</v>
      </c>
      <c r="H11" s="859">
        <f>+'SUMM BY CLUSTER- CURRENT'!H59</f>
        <v>0</v>
      </c>
      <c r="I11" s="859">
        <f>SUM('CY-FUR (REG)- Detail'!J121:J123)</f>
        <v>0</v>
      </c>
      <c r="J11" s="859">
        <f>+'SUMM BY CLUSTER- CURRENT'!J59</f>
        <v>26754000</v>
      </c>
      <c r="K11" s="859">
        <f>+'SUMM BY CLUSTER- CURRENT'!K59</f>
        <v>16686000</v>
      </c>
      <c r="L11" s="859">
        <f>+'SUMM BY CLUSTER- CURRENT'!L59</f>
        <v>0</v>
      </c>
      <c r="M11" s="859">
        <f t="shared" si="2"/>
        <v>43440000</v>
      </c>
      <c r="N11" s="859">
        <f>+'SUMM BY CLUSTER- CURRENT'!N59</f>
        <v>26754000</v>
      </c>
      <c r="O11" s="859">
        <f>+'SUMM BY CLUSTER- CURRENT'!O59</f>
        <v>16686000</v>
      </c>
      <c r="P11" s="859">
        <f>+'SUMM BY CLUSTER- CURRENT'!P59</f>
        <v>0</v>
      </c>
      <c r="Q11" s="859">
        <f t="shared" si="3"/>
        <v>43440000</v>
      </c>
      <c r="R11" s="859">
        <f>+'SUMM BY CLUSTER- CURRENT'!R59</f>
        <v>0</v>
      </c>
      <c r="S11" s="859">
        <f>+'SUMM BY CLUSTER- CURRENT'!S59</f>
        <v>0</v>
      </c>
      <c r="T11" s="859">
        <f>+'SUMM BY CLUSTER- CURRENT'!T59</f>
        <v>0</v>
      </c>
      <c r="U11" s="859">
        <f t="shared" si="4"/>
        <v>0</v>
      </c>
      <c r="V11" s="859">
        <f>+'SUMM BY CLUSTER- CURRENT'!V59</f>
        <v>0</v>
      </c>
      <c r="W11" s="859">
        <f>+'SUMM BY CLUSTER- CURRENT'!W59</f>
        <v>4190000</v>
      </c>
      <c r="X11" s="859">
        <f>+'SUMM BY CLUSTER- CURRENT'!X59</f>
        <v>0</v>
      </c>
      <c r="Y11" s="859">
        <f t="shared" si="5"/>
        <v>4190000</v>
      </c>
      <c r="Z11" s="859">
        <f t="shared" si="17"/>
        <v>26754000</v>
      </c>
      <c r="AA11" s="859">
        <f t="shared" si="18"/>
        <v>20876000</v>
      </c>
      <c r="AB11" s="859">
        <f t="shared" si="19"/>
        <v>0</v>
      </c>
      <c r="AC11" s="859">
        <f t="shared" si="6"/>
        <v>47630000</v>
      </c>
      <c r="AD11" s="859">
        <f>+'SUMM BY CLUSTER- CURRENT'!AD59</f>
        <v>25239304.550000001</v>
      </c>
      <c r="AE11" s="859">
        <f>+'SUMM BY CLUSTER- CURRENT'!AE59</f>
        <v>15745799.550000001</v>
      </c>
      <c r="AF11" s="859">
        <f>+'SUMM BY CLUSTER- CURRENT'!AF59</f>
        <v>0</v>
      </c>
      <c r="AG11" s="859">
        <f t="shared" si="7"/>
        <v>40985104.100000001</v>
      </c>
      <c r="AH11" s="859">
        <f>+'SUMM BY CLUSTER- CURRENT'!AH59</f>
        <v>0</v>
      </c>
      <c r="AI11" s="859">
        <f>+'SUMM BY CLUSTER- CURRENT'!AI59</f>
        <v>3413817.95</v>
      </c>
      <c r="AJ11" s="859">
        <f>+'SUMM BY CLUSTER- CURRENT'!AJ59</f>
        <v>0</v>
      </c>
      <c r="AK11" s="859">
        <f t="shared" si="8"/>
        <v>3413817.95</v>
      </c>
      <c r="AL11" s="859">
        <f t="shared" si="20"/>
        <v>25239304.550000001</v>
      </c>
      <c r="AM11" s="859">
        <f t="shared" si="21"/>
        <v>19159617.5</v>
      </c>
      <c r="AN11" s="859">
        <f t="shared" si="22"/>
        <v>0</v>
      </c>
      <c r="AO11" s="859">
        <f t="shared" si="9"/>
        <v>44398922.049999997</v>
      </c>
      <c r="AP11" s="859">
        <f t="shared" si="23"/>
        <v>1514695.4499999993</v>
      </c>
      <c r="AQ11" s="859">
        <f t="shared" si="24"/>
        <v>1716382.5</v>
      </c>
      <c r="AR11" s="859">
        <f t="shared" si="25"/>
        <v>0</v>
      </c>
      <c r="AS11" s="859">
        <f t="shared" si="11"/>
        <v>3231077.9499999993</v>
      </c>
      <c r="AT11" s="886">
        <f t="shared" si="26"/>
        <v>0.94338433692158186</v>
      </c>
      <c r="AU11" s="886">
        <f t="shared" si="27"/>
        <v>0.91778202241808771</v>
      </c>
      <c r="AV11" s="886" t="str">
        <f t="shared" si="28"/>
        <v xml:space="preserve"> </v>
      </c>
      <c r="AW11" s="886">
        <f t="shared" si="29"/>
        <v>0.93216296556791933</v>
      </c>
      <c r="AX11" s="22">
        <f t="shared" si="30"/>
        <v>0</v>
      </c>
      <c r="AY11" s="22">
        <f t="shared" si="31"/>
        <v>0</v>
      </c>
      <c r="AZ11" s="22">
        <f t="shared" si="32"/>
        <v>0</v>
      </c>
      <c r="BA11" s="859">
        <f t="shared" si="14"/>
        <v>0</v>
      </c>
    </row>
    <row r="12" spans="1:53" s="16" customFormat="1">
      <c r="A12" s="899" t="s">
        <v>991</v>
      </c>
      <c r="B12" s="859">
        <f>+'SUMM BY CLUSTER- CURRENT'!B60</f>
        <v>11833000</v>
      </c>
      <c r="C12" s="859">
        <f>+'SUMM BY CLUSTER- CURRENT'!C60</f>
        <v>4695000</v>
      </c>
      <c r="D12" s="859">
        <f>+'SUMM BY CLUSTER- CURRENT'!D60</f>
        <v>0</v>
      </c>
      <c r="E12" s="859">
        <f t="shared" si="1"/>
        <v>16528000</v>
      </c>
      <c r="F12" s="859">
        <f>+'SUMM BY CLUSTER- CURRENT'!F60</f>
        <v>0</v>
      </c>
      <c r="G12" s="859">
        <f>+'SUMM BY CLUSTER- CURRENT'!G60</f>
        <v>0</v>
      </c>
      <c r="H12" s="859">
        <f>+'SUMM BY CLUSTER- CURRENT'!H60</f>
        <v>0</v>
      </c>
      <c r="I12" s="859">
        <f>SUM('CY-FUR (REG)- Detail'!J122:J124)</f>
        <v>0</v>
      </c>
      <c r="J12" s="859">
        <f>+'SUMM BY CLUSTER- CURRENT'!J60</f>
        <v>11833000</v>
      </c>
      <c r="K12" s="859">
        <f>+'SUMM BY CLUSTER- CURRENT'!K60</f>
        <v>4695000</v>
      </c>
      <c r="L12" s="859">
        <f>+'SUMM BY CLUSTER- CURRENT'!L60</f>
        <v>0</v>
      </c>
      <c r="M12" s="859">
        <f t="shared" si="2"/>
        <v>16528000</v>
      </c>
      <c r="N12" s="859">
        <f>+'SUMM BY CLUSTER- CURRENT'!N60</f>
        <v>11833000</v>
      </c>
      <c r="O12" s="859">
        <f>+'SUMM BY CLUSTER- CURRENT'!O60</f>
        <v>4695000</v>
      </c>
      <c r="P12" s="859">
        <f>+'SUMM BY CLUSTER- CURRENT'!P60</f>
        <v>0</v>
      </c>
      <c r="Q12" s="859">
        <f t="shared" si="3"/>
        <v>16528000</v>
      </c>
      <c r="R12" s="859">
        <f>+'SUMM BY CLUSTER- CURRENT'!R60</f>
        <v>0</v>
      </c>
      <c r="S12" s="859">
        <f>+'SUMM BY CLUSTER- CURRENT'!S60</f>
        <v>0</v>
      </c>
      <c r="T12" s="859">
        <f>+'SUMM BY CLUSTER- CURRENT'!T60</f>
        <v>0</v>
      </c>
      <c r="U12" s="859">
        <f t="shared" si="4"/>
        <v>0</v>
      </c>
      <c r="V12" s="859">
        <f>+'SUMM BY CLUSTER- CURRENT'!V60</f>
        <v>0</v>
      </c>
      <c r="W12" s="859">
        <f>+'SUMM BY CLUSTER- CURRENT'!W60</f>
        <v>826000</v>
      </c>
      <c r="X12" s="859">
        <f>+'SUMM BY CLUSTER- CURRENT'!X60</f>
        <v>0</v>
      </c>
      <c r="Y12" s="859">
        <f t="shared" si="5"/>
        <v>826000</v>
      </c>
      <c r="Z12" s="859">
        <f t="shared" si="17"/>
        <v>11833000</v>
      </c>
      <c r="AA12" s="859">
        <f t="shared" si="18"/>
        <v>5521000</v>
      </c>
      <c r="AB12" s="859">
        <f t="shared" si="19"/>
        <v>0</v>
      </c>
      <c r="AC12" s="859">
        <f t="shared" si="6"/>
        <v>17354000</v>
      </c>
      <c r="AD12" s="859">
        <f>+'SUMM BY CLUSTER- CURRENT'!AD60</f>
        <v>10355513.009999998</v>
      </c>
      <c r="AE12" s="859">
        <f>+'SUMM BY CLUSTER- CURRENT'!AE60</f>
        <v>4694154.3499999996</v>
      </c>
      <c r="AF12" s="859">
        <f>+'SUMM BY CLUSTER- CURRENT'!AF60</f>
        <v>0</v>
      </c>
      <c r="AG12" s="859">
        <f t="shared" si="7"/>
        <v>15049667.359999998</v>
      </c>
      <c r="AH12" s="859">
        <f>+'SUMM BY CLUSTER- CURRENT'!AH60</f>
        <v>0</v>
      </c>
      <c r="AI12" s="859">
        <f>+'SUMM BY CLUSTER- CURRENT'!AI60</f>
        <v>754000</v>
      </c>
      <c r="AJ12" s="859">
        <f>+'SUMM BY CLUSTER- CURRENT'!AJ60</f>
        <v>0</v>
      </c>
      <c r="AK12" s="859">
        <f t="shared" si="8"/>
        <v>754000</v>
      </c>
      <c r="AL12" s="859">
        <f t="shared" si="20"/>
        <v>10355513.009999998</v>
      </c>
      <c r="AM12" s="859">
        <f t="shared" si="21"/>
        <v>5448154.3499999996</v>
      </c>
      <c r="AN12" s="859">
        <f t="shared" si="22"/>
        <v>0</v>
      </c>
      <c r="AO12" s="859">
        <f t="shared" si="9"/>
        <v>15803667.359999998</v>
      </c>
      <c r="AP12" s="859">
        <f t="shared" si="23"/>
        <v>1477486.9900000021</v>
      </c>
      <c r="AQ12" s="859">
        <f t="shared" si="24"/>
        <v>72845.650000000373</v>
      </c>
      <c r="AR12" s="859">
        <f t="shared" si="25"/>
        <v>0</v>
      </c>
      <c r="AS12" s="859">
        <f t="shared" si="11"/>
        <v>1550332.6400000025</v>
      </c>
      <c r="AT12" s="886">
        <f t="shared" si="26"/>
        <v>0.87513842727964153</v>
      </c>
      <c r="AU12" s="886">
        <f t="shared" si="27"/>
        <v>0.98680571454446653</v>
      </c>
      <c r="AV12" s="886" t="str">
        <f t="shared" si="28"/>
        <v xml:space="preserve"> </v>
      </c>
      <c r="AW12" s="886">
        <f t="shared" si="29"/>
        <v>0.91066424801198553</v>
      </c>
      <c r="AX12" s="22">
        <f t="shared" si="30"/>
        <v>0</v>
      </c>
      <c r="AY12" s="22">
        <f t="shared" si="31"/>
        <v>0</v>
      </c>
      <c r="AZ12" s="22">
        <f t="shared" si="32"/>
        <v>0</v>
      </c>
      <c r="BA12" s="859">
        <f t="shared" si="14"/>
        <v>0</v>
      </c>
    </row>
    <row r="13" spans="1:53" s="16" customFormat="1">
      <c r="A13" s="899" t="s">
        <v>992</v>
      </c>
      <c r="B13" s="859">
        <f>+'SUMM BY CLUSTER- CURRENT'!B61</f>
        <v>16312000</v>
      </c>
      <c r="C13" s="859">
        <f>+'SUMM BY CLUSTER- CURRENT'!C61</f>
        <v>10462000</v>
      </c>
      <c r="D13" s="859">
        <f>+'SUMM BY CLUSTER- CURRENT'!D61</f>
        <v>0</v>
      </c>
      <c r="E13" s="859">
        <f t="shared" si="1"/>
        <v>26774000</v>
      </c>
      <c r="F13" s="859">
        <f>+'SUMM BY CLUSTER- CURRENT'!F61</f>
        <v>0</v>
      </c>
      <c r="G13" s="859">
        <f>+'SUMM BY CLUSTER- CURRENT'!G61</f>
        <v>0</v>
      </c>
      <c r="H13" s="859">
        <f>+'SUMM BY CLUSTER- CURRENT'!H61</f>
        <v>0</v>
      </c>
      <c r="I13" s="859">
        <f>SUM('CY-FUR (REG)- Detail'!J123:J125)</f>
        <v>0</v>
      </c>
      <c r="J13" s="859">
        <f>+'SUMM BY CLUSTER- CURRENT'!J61</f>
        <v>16312000</v>
      </c>
      <c r="K13" s="859">
        <f>+'SUMM BY CLUSTER- CURRENT'!K61</f>
        <v>10462000</v>
      </c>
      <c r="L13" s="859">
        <f>+'SUMM BY CLUSTER- CURRENT'!L61</f>
        <v>0</v>
      </c>
      <c r="M13" s="859">
        <f t="shared" si="2"/>
        <v>26774000</v>
      </c>
      <c r="N13" s="859">
        <f>+'SUMM BY CLUSTER- CURRENT'!N61</f>
        <v>16312000</v>
      </c>
      <c r="O13" s="859">
        <f>+'SUMM BY CLUSTER- CURRENT'!O61</f>
        <v>10462000</v>
      </c>
      <c r="P13" s="859">
        <f>+'SUMM BY CLUSTER- CURRENT'!P61</f>
        <v>0</v>
      </c>
      <c r="Q13" s="859">
        <f t="shared" si="3"/>
        <v>26774000</v>
      </c>
      <c r="R13" s="859">
        <f>+'SUMM BY CLUSTER- CURRENT'!R61</f>
        <v>0</v>
      </c>
      <c r="S13" s="859">
        <f>+'SUMM BY CLUSTER- CURRENT'!S61</f>
        <v>0</v>
      </c>
      <c r="T13" s="859">
        <f>+'SUMM BY CLUSTER- CURRENT'!T61</f>
        <v>0</v>
      </c>
      <c r="U13" s="859">
        <f t="shared" si="4"/>
        <v>0</v>
      </c>
      <c r="V13" s="859">
        <f>+'SUMM BY CLUSTER- CURRENT'!V61</f>
        <v>0</v>
      </c>
      <c r="W13" s="859">
        <f>+'SUMM BY CLUSTER- CURRENT'!W61</f>
        <v>2170000</v>
      </c>
      <c r="X13" s="859">
        <f>+'SUMM BY CLUSTER- CURRENT'!X61</f>
        <v>0</v>
      </c>
      <c r="Y13" s="859">
        <f t="shared" si="5"/>
        <v>2170000</v>
      </c>
      <c r="Z13" s="859">
        <f t="shared" si="17"/>
        <v>16312000</v>
      </c>
      <c r="AA13" s="859">
        <f t="shared" si="18"/>
        <v>12632000</v>
      </c>
      <c r="AB13" s="859">
        <f t="shared" si="19"/>
        <v>0</v>
      </c>
      <c r="AC13" s="859">
        <f t="shared" si="6"/>
        <v>28944000</v>
      </c>
      <c r="AD13" s="859">
        <f>+'SUMM BY CLUSTER- CURRENT'!AD61</f>
        <v>14386155.559999999</v>
      </c>
      <c r="AE13" s="859">
        <f>+'SUMM BY CLUSTER- CURRENT'!AE61</f>
        <v>8973281.1499999985</v>
      </c>
      <c r="AF13" s="859">
        <f>+'SUMM BY CLUSTER- CURRENT'!AF61</f>
        <v>0</v>
      </c>
      <c r="AG13" s="859">
        <f t="shared" si="7"/>
        <v>23359436.709999997</v>
      </c>
      <c r="AH13" s="859">
        <f>+'SUMM BY CLUSTER- CURRENT'!AH61</f>
        <v>0</v>
      </c>
      <c r="AI13" s="859">
        <f>+'SUMM BY CLUSTER- CURRENT'!AI61</f>
        <v>1514125</v>
      </c>
      <c r="AJ13" s="859">
        <f>+'SUMM BY CLUSTER- CURRENT'!AJ61</f>
        <v>0</v>
      </c>
      <c r="AK13" s="859">
        <f t="shared" si="8"/>
        <v>1514125</v>
      </c>
      <c r="AL13" s="859">
        <f t="shared" si="20"/>
        <v>14386155.559999999</v>
      </c>
      <c r="AM13" s="859">
        <f t="shared" si="21"/>
        <v>10487406.149999999</v>
      </c>
      <c r="AN13" s="859">
        <f t="shared" si="22"/>
        <v>0</v>
      </c>
      <c r="AO13" s="859">
        <f t="shared" si="9"/>
        <v>24873561.709999997</v>
      </c>
      <c r="AP13" s="859">
        <f t="shared" si="23"/>
        <v>1925844.4400000013</v>
      </c>
      <c r="AQ13" s="859">
        <f t="shared" si="24"/>
        <v>2144593.8500000015</v>
      </c>
      <c r="AR13" s="859">
        <f t="shared" si="25"/>
        <v>0</v>
      </c>
      <c r="AS13" s="859">
        <f t="shared" si="11"/>
        <v>4070438.2900000028</v>
      </c>
      <c r="AT13" s="886">
        <f t="shared" si="26"/>
        <v>0.8819369519372241</v>
      </c>
      <c r="AU13" s="886">
        <f t="shared" si="27"/>
        <v>0.83022531269791</v>
      </c>
      <c r="AV13" s="886" t="str">
        <f t="shared" si="28"/>
        <v xml:space="preserve"> </v>
      </c>
      <c r="AW13" s="886">
        <f t="shared" si="29"/>
        <v>0.85936849467938081</v>
      </c>
      <c r="AX13" s="22">
        <f t="shared" si="30"/>
        <v>0</v>
      </c>
      <c r="AY13" s="22">
        <f t="shared" si="31"/>
        <v>0</v>
      </c>
      <c r="AZ13" s="22">
        <f t="shared" si="32"/>
        <v>0</v>
      </c>
      <c r="BA13" s="859">
        <f t="shared" si="14"/>
        <v>0</v>
      </c>
    </row>
    <row r="14" spans="1:53" s="16" customFormat="1">
      <c r="A14" s="592"/>
      <c r="B14" s="859"/>
      <c r="C14" s="859"/>
      <c r="D14" s="859"/>
      <c r="E14" s="860">
        <f t="shared" si="1"/>
        <v>0</v>
      </c>
      <c r="F14" s="859"/>
      <c r="G14" s="859"/>
      <c r="H14" s="859"/>
      <c r="I14" s="860"/>
      <c r="J14" s="859"/>
      <c r="K14" s="859"/>
      <c r="L14" s="859"/>
      <c r="M14" s="860">
        <f t="shared" si="2"/>
        <v>0</v>
      </c>
      <c r="N14" s="859"/>
      <c r="O14" s="859"/>
      <c r="P14" s="859"/>
      <c r="Q14" s="860">
        <f t="shared" si="3"/>
        <v>0</v>
      </c>
      <c r="R14" s="859"/>
      <c r="S14" s="859"/>
      <c r="T14" s="859"/>
      <c r="U14" s="860">
        <f t="shared" si="4"/>
        <v>0</v>
      </c>
      <c r="V14" s="859"/>
      <c r="W14" s="859"/>
      <c r="X14" s="859"/>
      <c r="Y14" s="860">
        <f t="shared" si="5"/>
        <v>0</v>
      </c>
      <c r="Z14" s="860">
        <f t="shared" si="17"/>
        <v>0</v>
      </c>
      <c r="AA14" s="860">
        <f t="shared" si="18"/>
        <v>0</v>
      </c>
      <c r="AB14" s="860">
        <f t="shared" si="19"/>
        <v>0</v>
      </c>
      <c r="AC14" s="860">
        <f t="shared" si="6"/>
        <v>0</v>
      </c>
      <c r="AD14" s="859"/>
      <c r="AE14" s="859"/>
      <c r="AF14" s="859"/>
      <c r="AG14" s="860">
        <f t="shared" si="7"/>
        <v>0</v>
      </c>
      <c r="AH14" s="859"/>
      <c r="AI14" s="859"/>
      <c r="AJ14" s="859"/>
      <c r="AK14" s="860">
        <f t="shared" si="8"/>
        <v>0</v>
      </c>
      <c r="AL14" s="860">
        <f t="shared" si="20"/>
        <v>0</v>
      </c>
      <c r="AM14" s="860">
        <f t="shared" si="21"/>
        <v>0</v>
      </c>
      <c r="AN14" s="860">
        <f t="shared" si="22"/>
        <v>0</v>
      </c>
      <c r="AO14" s="860">
        <f t="shared" si="9"/>
        <v>0</v>
      </c>
      <c r="AP14" s="860">
        <f t="shared" si="10"/>
        <v>0</v>
      </c>
      <c r="AQ14" s="860">
        <f t="shared" si="10"/>
        <v>0</v>
      </c>
      <c r="AR14" s="860">
        <f t="shared" si="10"/>
        <v>0</v>
      </c>
      <c r="AS14" s="860">
        <f t="shared" si="11"/>
        <v>0</v>
      </c>
      <c r="AT14" s="886" t="str">
        <f t="shared" si="12"/>
        <v xml:space="preserve"> </v>
      </c>
      <c r="AU14" s="886" t="str">
        <f t="shared" si="12"/>
        <v xml:space="preserve"> </v>
      </c>
      <c r="AV14" s="886" t="str">
        <f t="shared" si="12"/>
        <v xml:space="preserve"> </v>
      </c>
      <c r="AW14" s="886" t="str">
        <f t="shared" si="12"/>
        <v xml:space="preserve"> </v>
      </c>
      <c r="AX14" s="22">
        <f t="shared" si="13"/>
        <v>0</v>
      </c>
      <c r="AY14" s="22">
        <f t="shared" si="13"/>
        <v>0</v>
      </c>
      <c r="AZ14" s="22">
        <f t="shared" si="13"/>
        <v>0</v>
      </c>
      <c r="BA14" s="860">
        <f t="shared" si="14"/>
        <v>0</v>
      </c>
    </row>
    <row r="15" spans="1:53" s="903" customFormat="1" ht="16.5">
      <c r="A15" s="901" t="s">
        <v>994</v>
      </c>
      <c r="B15" s="868">
        <f>SUM(B16:B19)</f>
        <v>408702000</v>
      </c>
      <c r="C15" s="868">
        <f>SUM(C16:C19)</f>
        <v>248619000</v>
      </c>
      <c r="D15" s="868">
        <f t="shared" ref="D15:AJ15" si="33">SUM(D16:D19)</f>
        <v>0</v>
      </c>
      <c r="E15" s="868">
        <f t="shared" si="1"/>
        <v>657321000</v>
      </c>
      <c r="F15" s="868">
        <f t="shared" si="33"/>
        <v>0</v>
      </c>
      <c r="G15" s="868">
        <f t="shared" si="33"/>
        <v>0</v>
      </c>
      <c r="H15" s="868">
        <f t="shared" si="33"/>
        <v>0</v>
      </c>
      <c r="I15" s="868">
        <f t="shared" si="33"/>
        <v>0</v>
      </c>
      <c r="J15" s="868">
        <f t="shared" si="33"/>
        <v>408702000</v>
      </c>
      <c r="K15" s="868">
        <f t="shared" si="33"/>
        <v>248619000</v>
      </c>
      <c r="L15" s="868">
        <f t="shared" si="33"/>
        <v>0</v>
      </c>
      <c r="M15" s="868">
        <f t="shared" si="2"/>
        <v>657321000</v>
      </c>
      <c r="N15" s="868">
        <f t="shared" si="33"/>
        <v>408702000</v>
      </c>
      <c r="O15" s="868">
        <f t="shared" si="33"/>
        <v>248619000</v>
      </c>
      <c r="P15" s="868">
        <f t="shared" si="33"/>
        <v>0</v>
      </c>
      <c r="Q15" s="868">
        <f t="shared" si="3"/>
        <v>657321000</v>
      </c>
      <c r="R15" s="868">
        <f t="shared" si="33"/>
        <v>0</v>
      </c>
      <c r="S15" s="868">
        <f t="shared" si="33"/>
        <v>0</v>
      </c>
      <c r="T15" s="868">
        <f t="shared" si="33"/>
        <v>0</v>
      </c>
      <c r="U15" s="868">
        <f t="shared" si="4"/>
        <v>0</v>
      </c>
      <c r="V15" s="868">
        <f t="shared" si="33"/>
        <v>0</v>
      </c>
      <c r="W15" s="868">
        <f t="shared" si="33"/>
        <v>217675441</v>
      </c>
      <c r="X15" s="868">
        <f t="shared" si="33"/>
        <v>298230229</v>
      </c>
      <c r="Y15" s="868">
        <f t="shared" si="5"/>
        <v>515905670</v>
      </c>
      <c r="Z15" s="868">
        <f t="shared" si="17"/>
        <v>408702000</v>
      </c>
      <c r="AA15" s="868">
        <f t="shared" si="18"/>
        <v>466294441</v>
      </c>
      <c r="AB15" s="868">
        <f t="shared" si="19"/>
        <v>298230229</v>
      </c>
      <c r="AC15" s="868">
        <f t="shared" si="6"/>
        <v>1173226670</v>
      </c>
      <c r="AD15" s="868">
        <f t="shared" si="33"/>
        <v>371304829.38999999</v>
      </c>
      <c r="AE15" s="868">
        <f t="shared" si="33"/>
        <v>206249063</v>
      </c>
      <c r="AF15" s="868">
        <f t="shared" si="33"/>
        <v>0</v>
      </c>
      <c r="AG15" s="868">
        <f t="shared" si="7"/>
        <v>577553892.38999999</v>
      </c>
      <c r="AH15" s="868">
        <f t="shared" si="33"/>
        <v>0</v>
      </c>
      <c r="AI15" s="868">
        <f t="shared" si="33"/>
        <v>181987002.38</v>
      </c>
      <c r="AJ15" s="868">
        <f t="shared" si="33"/>
        <v>294070135.32000005</v>
      </c>
      <c r="AK15" s="868">
        <f t="shared" si="8"/>
        <v>476057137.70000005</v>
      </c>
      <c r="AL15" s="868">
        <f t="shared" si="20"/>
        <v>371304829.38999999</v>
      </c>
      <c r="AM15" s="868">
        <f t="shared" si="21"/>
        <v>388236065.38</v>
      </c>
      <c r="AN15" s="868">
        <f t="shared" si="22"/>
        <v>294070135.32000005</v>
      </c>
      <c r="AO15" s="868">
        <f t="shared" si="9"/>
        <v>1053611030.09</v>
      </c>
      <c r="AP15" s="868">
        <f t="shared" si="10"/>
        <v>37397170.610000014</v>
      </c>
      <c r="AQ15" s="868">
        <f t="shared" si="10"/>
        <v>78058375.620000005</v>
      </c>
      <c r="AR15" s="868">
        <f t="shared" si="10"/>
        <v>4160093.6799999475</v>
      </c>
      <c r="AS15" s="868">
        <f t="shared" si="11"/>
        <v>119615639.90999997</v>
      </c>
      <c r="AT15" s="902">
        <f t="shared" si="12"/>
        <v>0.90849770588350431</v>
      </c>
      <c r="AU15" s="902">
        <f t="shared" si="12"/>
        <v>0.8325985284049312</v>
      </c>
      <c r="AV15" s="902">
        <f t="shared" si="12"/>
        <v>0.98605073102767204</v>
      </c>
      <c r="AW15" s="902">
        <f t="shared" si="12"/>
        <v>0.89804558405580737</v>
      </c>
      <c r="AX15" s="22">
        <f t="shared" si="13"/>
        <v>0</v>
      </c>
      <c r="AY15" s="22">
        <f t="shared" si="13"/>
        <v>0</v>
      </c>
      <c r="AZ15" s="22">
        <f t="shared" si="13"/>
        <v>0</v>
      </c>
      <c r="BA15" s="868">
        <f t="shared" si="14"/>
        <v>0</v>
      </c>
    </row>
    <row r="16" spans="1:53" s="903" customFormat="1">
      <c r="A16" s="899" t="s">
        <v>1084</v>
      </c>
      <c r="B16" s="859">
        <f>+'SUMM BY CLUSTER- CURRENT'!B64</f>
        <v>91471000</v>
      </c>
      <c r="C16" s="859">
        <f>+'SUMM BY CLUSTER- CURRENT'!C64</f>
        <v>141856000</v>
      </c>
      <c r="D16" s="859">
        <f>+'SUMM BY CLUSTER- CURRENT'!D64</f>
        <v>0</v>
      </c>
      <c r="E16" s="859">
        <f t="shared" si="1"/>
        <v>233327000</v>
      </c>
      <c r="F16" s="859">
        <f>+'SUMM BY CLUSTER- CURRENT'!F64</f>
        <v>0</v>
      </c>
      <c r="G16" s="859">
        <f>+'SUMM BY CLUSTER- CURRENT'!G64</f>
        <v>0</v>
      </c>
      <c r="H16" s="859">
        <f>+'SUMM BY CLUSTER- CURRENT'!H64</f>
        <v>0</v>
      </c>
      <c r="I16" s="859">
        <f>SUM('CY-FUR (REG)- Detail'!J126:J128)</f>
        <v>0</v>
      </c>
      <c r="J16" s="859">
        <f>+'SUMM BY CLUSTER- CURRENT'!J64</f>
        <v>91471000</v>
      </c>
      <c r="K16" s="859">
        <f>+'SUMM BY CLUSTER- CURRENT'!K64</f>
        <v>141856000</v>
      </c>
      <c r="L16" s="859">
        <f>+'SUMM BY CLUSTER- CURRENT'!L64</f>
        <v>0</v>
      </c>
      <c r="M16" s="859">
        <f t="shared" si="2"/>
        <v>233327000</v>
      </c>
      <c r="N16" s="859">
        <f>+'SUMM BY CLUSTER- CURRENT'!N64</f>
        <v>91471000</v>
      </c>
      <c r="O16" s="859">
        <f>+'SUMM BY CLUSTER- CURRENT'!O64</f>
        <v>141856000</v>
      </c>
      <c r="P16" s="859">
        <f>+'SUMM BY CLUSTER- CURRENT'!P64</f>
        <v>0</v>
      </c>
      <c r="Q16" s="859">
        <f t="shared" si="3"/>
        <v>233327000</v>
      </c>
      <c r="R16" s="859">
        <f>+'SUMM BY CLUSTER- CURRENT'!R64</f>
        <v>0</v>
      </c>
      <c r="S16" s="859">
        <f>+'SUMM BY CLUSTER- CURRENT'!S64</f>
        <v>0</v>
      </c>
      <c r="T16" s="859">
        <f>+'SUMM BY CLUSTER- CURRENT'!T64</f>
        <v>0</v>
      </c>
      <c r="U16" s="859">
        <f t="shared" si="4"/>
        <v>0</v>
      </c>
      <c r="V16" s="859">
        <f>+'SUMM BY CLUSTER- CURRENT'!V64</f>
        <v>0</v>
      </c>
      <c r="W16" s="859">
        <f>+'SUMM BY CLUSTER- CURRENT'!W64</f>
        <v>145265571</v>
      </c>
      <c r="X16" s="859">
        <f>+'SUMM BY CLUSTER- CURRENT'!X64</f>
        <v>15600000</v>
      </c>
      <c r="Y16" s="859">
        <f t="shared" si="5"/>
        <v>160865571</v>
      </c>
      <c r="Z16" s="859">
        <f t="shared" si="17"/>
        <v>91471000</v>
      </c>
      <c r="AA16" s="859">
        <f t="shared" si="18"/>
        <v>287121571</v>
      </c>
      <c r="AB16" s="859">
        <f t="shared" si="19"/>
        <v>15600000</v>
      </c>
      <c r="AC16" s="859">
        <f t="shared" si="6"/>
        <v>394192571</v>
      </c>
      <c r="AD16" s="859">
        <f>+'SUMM BY CLUSTER- CURRENT'!AD64</f>
        <v>79934733.930000007</v>
      </c>
      <c r="AE16" s="859">
        <f>+'SUMM BY CLUSTER- CURRENT'!AE64</f>
        <v>108539086.07000001</v>
      </c>
      <c r="AF16" s="859">
        <f>+'SUMM BY CLUSTER- CURRENT'!AF64</f>
        <v>0</v>
      </c>
      <c r="AG16" s="859">
        <f t="shared" si="7"/>
        <v>188473820</v>
      </c>
      <c r="AH16" s="859">
        <f>+'SUMM BY CLUSTER- CURRENT'!AH64</f>
        <v>0</v>
      </c>
      <c r="AI16" s="859">
        <f>+'SUMM BY CLUSTER- CURRENT'!AI64</f>
        <v>119511632.09999999</v>
      </c>
      <c r="AJ16" s="859">
        <f>+'SUMM BY CLUSTER- CURRENT'!AJ64</f>
        <v>15206602.370000001</v>
      </c>
      <c r="AK16" s="859">
        <f t="shared" si="8"/>
        <v>134718234.47</v>
      </c>
      <c r="AL16" s="859">
        <f t="shared" si="20"/>
        <v>79934733.930000007</v>
      </c>
      <c r="AM16" s="859">
        <f t="shared" si="21"/>
        <v>228050718.17000002</v>
      </c>
      <c r="AN16" s="859">
        <f t="shared" si="22"/>
        <v>15206602.370000001</v>
      </c>
      <c r="AO16" s="859">
        <f t="shared" si="9"/>
        <v>323192054.47000003</v>
      </c>
      <c r="AP16" s="859">
        <f t="shared" ref="AP16:AP19" si="34">+Z16-AL16</f>
        <v>11536266.069999993</v>
      </c>
      <c r="AQ16" s="859">
        <f t="shared" ref="AQ16:AQ19" si="35">+AA16-AM16</f>
        <v>59070852.829999983</v>
      </c>
      <c r="AR16" s="859">
        <f t="shared" ref="AR16:AR19" si="36">+AB16-AN16</f>
        <v>393397.62999999896</v>
      </c>
      <c r="AS16" s="859">
        <f t="shared" si="11"/>
        <v>71000516.529999971</v>
      </c>
      <c r="AT16" s="886">
        <f t="shared" ref="AT16:AT19" si="37">IF(Z16=0," ",AL16/Z16)</f>
        <v>0.87388061713548559</v>
      </c>
      <c r="AU16" s="886">
        <f t="shared" ref="AU16:AU19" si="38">IF(AA16=0," ",AM16/AA16)</f>
        <v>0.79426536075201404</v>
      </c>
      <c r="AV16" s="886">
        <f t="shared" ref="AV16:AV19" si="39">IF(AB16=0," ",AN16/AB16)</f>
        <v>0.97478220320512832</v>
      </c>
      <c r="AW16" s="886">
        <f t="shared" ref="AW16:AW19" si="40">IF(AC16=0," ",AO16/AC16)</f>
        <v>0.81988367677786611</v>
      </c>
      <c r="AX16" s="22">
        <f t="shared" ref="AX16:AX19" si="41">+J16-N16</f>
        <v>0</v>
      </c>
      <c r="AY16" s="22">
        <f t="shared" ref="AY16:AY19" si="42">+K16-O16</f>
        <v>0</v>
      </c>
      <c r="AZ16" s="22">
        <f t="shared" ref="AZ16:AZ19" si="43">+L16-P16</f>
        <v>0</v>
      </c>
      <c r="BA16" s="859">
        <f t="shared" si="14"/>
        <v>0</v>
      </c>
    </row>
    <row r="17" spans="1:53" s="903" customFormat="1">
      <c r="A17" s="899" t="s">
        <v>995</v>
      </c>
      <c r="B17" s="859">
        <f>+'SUMM BY CLUSTER- CURRENT'!B65</f>
        <v>80499000</v>
      </c>
      <c r="C17" s="859">
        <f>+'SUMM BY CLUSTER- CURRENT'!C65</f>
        <v>32754000</v>
      </c>
      <c r="D17" s="859">
        <f>+'SUMM BY CLUSTER- CURRENT'!D65</f>
        <v>0</v>
      </c>
      <c r="E17" s="859">
        <f t="shared" si="1"/>
        <v>113253000</v>
      </c>
      <c r="F17" s="859">
        <f>+'SUMM BY CLUSTER- CURRENT'!F65</f>
        <v>0</v>
      </c>
      <c r="G17" s="859">
        <f>+'SUMM BY CLUSTER- CURRENT'!G65</f>
        <v>0</v>
      </c>
      <c r="H17" s="859">
        <f>+'SUMM BY CLUSTER- CURRENT'!H65</f>
        <v>0</v>
      </c>
      <c r="I17" s="859">
        <f>SUM('CY-FUR (REG)- Detail'!J127:J129)</f>
        <v>0</v>
      </c>
      <c r="J17" s="859">
        <f>+'SUMM BY CLUSTER- CURRENT'!J65</f>
        <v>80499000</v>
      </c>
      <c r="K17" s="859">
        <f>+'SUMM BY CLUSTER- CURRENT'!K65</f>
        <v>32754000</v>
      </c>
      <c r="L17" s="859">
        <f>+'SUMM BY CLUSTER- CURRENT'!L65</f>
        <v>0</v>
      </c>
      <c r="M17" s="859">
        <f t="shared" si="2"/>
        <v>113253000</v>
      </c>
      <c r="N17" s="859">
        <f>+'SUMM BY CLUSTER- CURRENT'!N65</f>
        <v>80499000</v>
      </c>
      <c r="O17" s="859">
        <f>+'SUMM BY CLUSTER- CURRENT'!O65</f>
        <v>32754000</v>
      </c>
      <c r="P17" s="859">
        <f>+'SUMM BY CLUSTER- CURRENT'!P65</f>
        <v>0</v>
      </c>
      <c r="Q17" s="859">
        <f t="shared" si="3"/>
        <v>113253000</v>
      </c>
      <c r="R17" s="859">
        <f>+'SUMM BY CLUSTER- CURRENT'!R65</f>
        <v>0</v>
      </c>
      <c r="S17" s="859">
        <f>+'SUMM BY CLUSTER- CURRENT'!S65</f>
        <v>0</v>
      </c>
      <c r="T17" s="859">
        <f>+'SUMM BY CLUSTER- CURRENT'!T65</f>
        <v>0</v>
      </c>
      <c r="U17" s="859">
        <f t="shared" si="4"/>
        <v>0</v>
      </c>
      <c r="V17" s="859">
        <f>+'SUMM BY CLUSTER- CURRENT'!V65</f>
        <v>0</v>
      </c>
      <c r="W17" s="859">
        <f>+'SUMM BY CLUSTER- CURRENT'!W65</f>
        <v>17161820</v>
      </c>
      <c r="X17" s="859">
        <f>+'SUMM BY CLUSTER- CURRENT'!X65</f>
        <v>152810229</v>
      </c>
      <c r="Y17" s="859">
        <f t="shared" si="5"/>
        <v>169972049</v>
      </c>
      <c r="Z17" s="859">
        <f t="shared" si="17"/>
        <v>80499000</v>
      </c>
      <c r="AA17" s="859">
        <f t="shared" si="18"/>
        <v>49915820</v>
      </c>
      <c r="AB17" s="859">
        <f t="shared" si="19"/>
        <v>152810229</v>
      </c>
      <c r="AC17" s="859">
        <f t="shared" si="6"/>
        <v>283225049</v>
      </c>
      <c r="AD17" s="859">
        <f>+'SUMM BY CLUSTER- CURRENT'!AD65</f>
        <v>72316478.269999996</v>
      </c>
      <c r="AE17" s="859">
        <f>+'SUMM BY CLUSTER- CURRENT'!AE65</f>
        <v>28102333.619999997</v>
      </c>
      <c r="AF17" s="859">
        <f>+'SUMM BY CLUSTER- CURRENT'!AF65</f>
        <v>0</v>
      </c>
      <c r="AG17" s="859">
        <f t="shared" si="7"/>
        <v>100418811.88999999</v>
      </c>
      <c r="AH17" s="859">
        <f>+'SUMM BY CLUSTER- CURRENT'!AH65</f>
        <v>0</v>
      </c>
      <c r="AI17" s="859">
        <f>+'SUMM BY CLUSTER- CURRENT'!AI65</f>
        <v>15147136.390000001</v>
      </c>
      <c r="AJ17" s="859">
        <f>+'SUMM BY CLUSTER- CURRENT'!AJ65</f>
        <v>152591060.67000002</v>
      </c>
      <c r="AK17" s="859">
        <f t="shared" si="8"/>
        <v>167738197.06</v>
      </c>
      <c r="AL17" s="859">
        <f t="shared" si="20"/>
        <v>72316478.269999996</v>
      </c>
      <c r="AM17" s="859">
        <f t="shared" si="21"/>
        <v>43249470.009999998</v>
      </c>
      <c r="AN17" s="859">
        <f t="shared" si="22"/>
        <v>152591060.67000002</v>
      </c>
      <c r="AO17" s="859">
        <f t="shared" si="9"/>
        <v>268157008.95000002</v>
      </c>
      <c r="AP17" s="859">
        <f t="shared" si="34"/>
        <v>8182521.7300000042</v>
      </c>
      <c r="AQ17" s="859">
        <f t="shared" si="35"/>
        <v>6666349.9900000021</v>
      </c>
      <c r="AR17" s="859">
        <f t="shared" si="36"/>
        <v>219168.32999998331</v>
      </c>
      <c r="AS17" s="859">
        <f t="shared" si="11"/>
        <v>15068040.04999999</v>
      </c>
      <c r="AT17" s="886">
        <f t="shared" si="37"/>
        <v>0.89835250462738658</v>
      </c>
      <c r="AU17" s="886">
        <f t="shared" si="38"/>
        <v>0.86644815230922778</v>
      </c>
      <c r="AV17" s="886">
        <f t="shared" si="39"/>
        <v>0.99856574830471601</v>
      </c>
      <c r="AW17" s="886">
        <f t="shared" si="40"/>
        <v>0.94679834956970921</v>
      </c>
      <c r="AX17" s="22">
        <f t="shared" si="41"/>
        <v>0</v>
      </c>
      <c r="AY17" s="22">
        <f t="shared" si="42"/>
        <v>0</v>
      </c>
      <c r="AZ17" s="22">
        <f t="shared" si="43"/>
        <v>0</v>
      </c>
      <c r="BA17" s="859">
        <f t="shared" si="14"/>
        <v>0</v>
      </c>
    </row>
    <row r="18" spans="1:53" s="903" customFormat="1">
      <c r="A18" s="899" t="s">
        <v>996</v>
      </c>
      <c r="B18" s="859">
        <f>+'SUMM BY CLUSTER- CURRENT'!B66</f>
        <v>120480000</v>
      </c>
      <c r="C18" s="859">
        <f>+'SUMM BY CLUSTER- CURRENT'!C66</f>
        <v>45549000</v>
      </c>
      <c r="D18" s="859">
        <f>+'SUMM BY CLUSTER- CURRENT'!D66</f>
        <v>0</v>
      </c>
      <c r="E18" s="859">
        <f t="shared" si="1"/>
        <v>166029000</v>
      </c>
      <c r="F18" s="859">
        <f>+'SUMM BY CLUSTER- CURRENT'!F66</f>
        <v>0</v>
      </c>
      <c r="G18" s="859">
        <f>+'SUMM BY CLUSTER- CURRENT'!G66</f>
        <v>0</v>
      </c>
      <c r="H18" s="859">
        <f>+'SUMM BY CLUSTER- CURRENT'!H66</f>
        <v>0</v>
      </c>
      <c r="I18" s="859">
        <f>SUM('CY-FUR (REG)- Detail'!J128:J130)</f>
        <v>0</v>
      </c>
      <c r="J18" s="859">
        <f>+'SUMM BY CLUSTER- CURRENT'!J66</f>
        <v>120480000</v>
      </c>
      <c r="K18" s="859">
        <f>+'SUMM BY CLUSTER- CURRENT'!K66</f>
        <v>45549000</v>
      </c>
      <c r="L18" s="859">
        <f>+'SUMM BY CLUSTER- CURRENT'!L66</f>
        <v>0</v>
      </c>
      <c r="M18" s="859">
        <f t="shared" si="2"/>
        <v>166029000</v>
      </c>
      <c r="N18" s="859">
        <f>+'SUMM BY CLUSTER- CURRENT'!N66</f>
        <v>120480000</v>
      </c>
      <c r="O18" s="859">
        <f>+'SUMM BY CLUSTER- CURRENT'!O66</f>
        <v>45549000</v>
      </c>
      <c r="P18" s="859">
        <f>+'SUMM BY CLUSTER- CURRENT'!P66</f>
        <v>0</v>
      </c>
      <c r="Q18" s="859">
        <f t="shared" si="3"/>
        <v>166029000</v>
      </c>
      <c r="R18" s="859">
        <f>+'SUMM BY CLUSTER- CURRENT'!R66</f>
        <v>0</v>
      </c>
      <c r="S18" s="859">
        <f>+'SUMM BY CLUSTER- CURRENT'!S66</f>
        <v>0</v>
      </c>
      <c r="T18" s="859">
        <f>+'SUMM BY CLUSTER- CURRENT'!T66</f>
        <v>0</v>
      </c>
      <c r="U18" s="859">
        <f t="shared" si="4"/>
        <v>0</v>
      </c>
      <c r="V18" s="859">
        <f>+'SUMM BY CLUSTER- CURRENT'!V66</f>
        <v>0</v>
      </c>
      <c r="W18" s="859">
        <f>+'SUMM BY CLUSTER- CURRENT'!W66</f>
        <v>36206180</v>
      </c>
      <c r="X18" s="859">
        <f>+'SUMM BY CLUSTER- CURRENT'!X66</f>
        <v>129820000</v>
      </c>
      <c r="Y18" s="859">
        <f t="shared" si="5"/>
        <v>166026180</v>
      </c>
      <c r="Z18" s="859">
        <f t="shared" si="17"/>
        <v>120480000</v>
      </c>
      <c r="AA18" s="859">
        <f t="shared" si="18"/>
        <v>81755180</v>
      </c>
      <c r="AB18" s="859">
        <f t="shared" si="19"/>
        <v>129820000</v>
      </c>
      <c r="AC18" s="859">
        <f t="shared" si="6"/>
        <v>332055180</v>
      </c>
      <c r="AD18" s="859">
        <f>+'SUMM BY CLUSTER- CURRENT'!AD66</f>
        <v>111141874.48000003</v>
      </c>
      <c r="AE18" s="859">
        <f>+'SUMM BY CLUSTER- CURRENT'!AE66</f>
        <v>41730245.310000002</v>
      </c>
      <c r="AF18" s="859">
        <f>+'SUMM BY CLUSTER- CURRENT'!AF66</f>
        <v>0</v>
      </c>
      <c r="AG18" s="859">
        <f t="shared" si="7"/>
        <v>152872119.79000002</v>
      </c>
      <c r="AH18" s="859">
        <f>+'SUMM BY CLUSTER- CURRENT'!AH66</f>
        <v>0</v>
      </c>
      <c r="AI18" s="859">
        <f>+'SUMM BY CLUSTER- CURRENT'!AI66</f>
        <v>31294444.890000001</v>
      </c>
      <c r="AJ18" s="859">
        <f>+'SUMM BY CLUSTER- CURRENT'!AJ66</f>
        <v>126272472.28</v>
      </c>
      <c r="AK18" s="859">
        <f t="shared" si="8"/>
        <v>157566917.17000002</v>
      </c>
      <c r="AL18" s="859">
        <f t="shared" si="20"/>
        <v>111141874.48000003</v>
      </c>
      <c r="AM18" s="859">
        <f t="shared" si="21"/>
        <v>73024690.200000003</v>
      </c>
      <c r="AN18" s="859">
        <f t="shared" si="22"/>
        <v>126272472.28</v>
      </c>
      <c r="AO18" s="859">
        <f t="shared" si="9"/>
        <v>310439036.96000004</v>
      </c>
      <c r="AP18" s="859">
        <f t="shared" si="34"/>
        <v>9338125.519999966</v>
      </c>
      <c r="AQ18" s="859">
        <f t="shared" si="35"/>
        <v>8730489.799999997</v>
      </c>
      <c r="AR18" s="859">
        <f t="shared" si="36"/>
        <v>3547527.7199999988</v>
      </c>
      <c r="AS18" s="859">
        <f t="shared" si="11"/>
        <v>21616143.039999962</v>
      </c>
      <c r="AT18" s="886">
        <f t="shared" si="37"/>
        <v>0.92249231806108922</v>
      </c>
      <c r="AU18" s="886">
        <f t="shared" si="38"/>
        <v>0.8932117842563615</v>
      </c>
      <c r="AV18" s="886">
        <f t="shared" si="39"/>
        <v>0.97267348852256974</v>
      </c>
      <c r="AW18" s="886">
        <f t="shared" si="40"/>
        <v>0.93490195503048634</v>
      </c>
      <c r="AX18" s="22">
        <f t="shared" si="41"/>
        <v>0</v>
      </c>
      <c r="AY18" s="22">
        <f t="shared" si="42"/>
        <v>0</v>
      </c>
      <c r="AZ18" s="22">
        <f t="shared" si="43"/>
        <v>0</v>
      </c>
      <c r="BA18" s="859">
        <f t="shared" si="14"/>
        <v>0</v>
      </c>
    </row>
    <row r="19" spans="1:53" s="903" customFormat="1">
      <c r="A19" s="899" t="s">
        <v>997</v>
      </c>
      <c r="B19" s="859">
        <f>+'SUMM BY CLUSTER- CURRENT'!B67</f>
        <v>116252000</v>
      </c>
      <c r="C19" s="859">
        <f>+'SUMM BY CLUSTER- CURRENT'!C67</f>
        <v>28460000</v>
      </c>
      <c r="D19" s="859">
        <f>+'SUMM BY CLUSTER- CURRENT'!D67</f>
        <v>0</v>
      </c>
      <c r="E19" s="859">
        <f t="shared" si="1"/>
        <v>144712000</v>
      </c>
      <c r="F19" s="859">
        <f>+'SUMM BY CLUSTER- CURRENT'!F67</f>
        <v>0</v>
      </c>
      <c r="G19" s="859">
        <f>+'SUMM BY CLUSTER- CURRENT'!G67</f>
        <v>0</v>
      </c>
      <c r="H19" s="859">
        <f>+'SUMM BY CLUSTER- CURRENT'!H67</f>
        <v>0</v>
      </c>
      <c r="I19" s="859">
        <f>SUM('CY-FUR (REG)- Detail'!J129:J131)</f>
        <v>0</v>
      </c>
      <c r="J19" s="859">
        <f>+'SUMM BY CLUSTER- CURRENT'!J67</f>
        <v>116252000</v>
      </c>
      <c r="K19" s="859">
        <f>+'SUMM BY CLUSTER- CURRENT'!K67</f>
        <v>28460000</v>
      </c>
      <c r="L19" s="859">
        <f>+'SUMM BY CLUSTER- CURRENT'!L67</f>
        <v>0</v>
      </c>
      <c r="M19" s="859">
        <f t="shared" si="2"/>
        <v>144712000</v>
      </c>
      <c r="N19" s="859">
        <f>+'SUMM BY CLUSTER- CURRENT'!N67</f>
        <v>116252000</v>
      </c>
      <c r="O19" s="859">
        <f>+'SUMM BY CLUSTER- CURRENT'!O67</f>
        <v>28460000</v>
      </c>
      <c r="P19" s="859">
        <f>+'SUMM BY CLUSTER- CURRENT'!P67</f>
        <v>0</v>
      </c>
      <c r="Q19" s="859">
        <f t="shared" si="3"/>
        <v>144712000</v>
      </c>
      <c r="R19" s="859">
        <f>+'SUMM BY CLUSTER- CURRENT'!R67</f>
        <v>0</v>
      </c>
      <c r="S19" s="859">
        <f>+'SUMM BY CLUSTER- CURRENT'!S67</f>
        <v>0</v>
      </c>
      <c r="T19" s="859">
        <f>+'SUMM BY CLUSTER- CURRENT'!T67</f>
        <v>0</v>
      </c>
      <c r="U19" s="859">
        <f t="shared" si="4"/>
        <v>0</v>
      </c>
      <c r="V19" s="859">
        <f>+'SUMM BY CLUSTER- CURRENT'!V67</f>
        <v>0</v>
      </c>
      <c r="W19" s="859">
        <f>+'SUMM BY CLUSTER- CURRENT'!W67</f>
        <v>19041870</v>
      </c>
      <c r="X19" s="859">
        <f>+'SUMM BY CLUSTER- CURRENT'!X67</f>
        <v>0</v>
      </c>
      <c r="Y19" s="859">
        <f t="shared" si="5"/>
        <v>19041870</v>
      </c>
      <c r="Z19" s="859">
        <f t="shared" si="17"/>
        <v>116252000</v>
      </c>
      <c r="AA19" s="859">
        <f t="shared" si="18"/>
        <v>47501870</v>
      </c>
      <c r="AB19" s="859">
        <f t="shared" si="19"/>
        <v>0</v>
      </c>
      <c r="AC19" s="859">
        <f t="shared" si="6"/>
        <v>163753870</v>
      </c>
      <c r="AD19" s="859">
        <f>+'SUMM BY CLUSTER- CURRENT'!AD67</f>
        <v>107911742.70999998</v>
      </c>
      <c r="AE19" s="859">
        <f>+'SUMM BY CLUSTER- CURRENT'!AE67</f>
        <v>27877398</v>
      </c>
      <c r="AF19" s="859">
        <f>+'SUMM BY CLUSTER- CURRENT'!AF67</f>
        <v>0</v>
      </c>
      <c r="AG19" s="859">
        <f t="shared" si="7"/>
        <v>135789140.70999998</v>
      </c>
      <c r="AH19" s="859">
        <f>+'SUMM BY CLUSTER- CURRENT'!AH67</f>
        <v>0</v>
      </c>
      <c r="AI19" s="859">
        <f>+'SUMM BY CLUSTER- CURRENT'!AI67</f>
        <v>16033789</v>
      </c>
      <c r="AJ19" s="859">
        <f>+'SUMM BY CLUSTER- CURRENT'!AJ67</f>
        <v>0</v>
      </c>
      <c r="AK19" s="859">
        <f t="shared" si="8"/>
        <v>16033789</v>
      </c>
      <c r="AL19" s="859">
        <f t="shared" si="20"/>
        <v>107911742.70999998</v>
      </c>
      <c r="AM19" s="859">
        <f t="shared" si="21"/>
        <v>43911187</v>
      </c>
      <c r="AN19" s="859">
        <f t="shared" si="22"/>
        <v>0</v>
      </c>
      <c r="AO19" s="859">
        <f t="shared" si="9"/>
        <v>151822929.70999998</v>
      </c>
      <c r="AP19" s="859">
        <f t="shared" si="34"/>
        <v>8340257.2900000215</v>
      </c>
      <c r="AQ19" s="859">
        <f t="shared" si="35"/>
        <v>3590683</v>
      </c>
      <c r="AR19" s="859">
        <f t="shared" si="36"/>
        <v>0</v>
      </c>
      <c r="AS19" s="859">
        <f t="shared" si="11"/>
        <v>11930940.290000021</v>
      </c>
      <c r="AT19" s="886">
        <f t="shared" si="37"/>
        <v>0.92825708555551711</v>
      </c>
      <c r="AU19" s="886">
        <f t="shared" si="38"/>
        <v>0.92440964955695426</v>
      </c>
      <c r="AV19" s="886" t="str">
        <f t="shared" si="39"/>
        <v xml:space="preserve"> </v>
      </c>
      <c r="AW19" s="886">
        <f t="shared" si="40"/>
        <v>0.92714101785808167</v>
      </c>
      <c r="AX19" s="22">
        <f t="shared" si="41"/>
        <v>0</v>
      </c>
      <c r="AY19" s="22">
        <f t="shared" si="42"/>
        <v>0</v>
      </c>
      <c r="AZ19" s="22">
        <f t="shared" si="43"/>
        <v>0</v>
      </c>
      <c r="BA19" s="859">
        <f t="shared" si="14"/>
        <v>0</v>
      </c>
    </row>
    <row r="20" spans="1:53" s="903" customFormat="1" ht="16.5">
      <c r="A20" s="901"/>
      <c r="B20" s="868"/>
      <c r="C20" s="868"/>
      <c r="D20" s="868"/>
      <c r="E20" s="860">
        <f t="shared" si="1"/>
        <v>0</v>
      </c>
      <c r="F20" s="868"/>
      <c r="G20" s="868"/>
      <c r="H20" s="868"/>
      <c r="I20" s="860"/>
      <c r="J20" s="868"/>
      <c r="K20" s="868"/>
      <c r="L20" s="868"/>
      <c r="M20" s="860">
        <f t="shared" si="2"/>
        <v>0</v>
      </c>
      <c r="N20" s="868"/>
      <c r="O20" s="868"/>
      <c r="P20" s="868"/>
      <c r="Q20" s="860">
        <f t="shared" si="3"/>
        <v>0</v>
      </c>
      <c r="R20" s="868"/>
      <c r="S20" s="868"/>
      <c r="T20" s="868"/>
      <c r="U20" s="860">
        <f t="shared" si="4"/>
        <v>0</v>
      </c>
      <c r="V20" s="868"/>
      <c r="W20" s="868"/>
      <c r="X20" s="868"/>
      <c r="Y20" s="860">
        <f t="shared" si="5"/>
        <v>0</v>
      </c>
      <c r="Z20" s="860">
        <f t="shared" si="17"/>
        <v>0</v>
      </c>
      <c r="AA20" s="860">
        <f t="shared" si="18"/>
        <v>0</v>
      </c>
      <c r="AB20" s="860">
        <f t="shared" si="19"/>
        <v>0</v>
      </c>
      <c r="AC20" s="860">
        <f t="shared" si="6"/>
        <v>0</v>
      </c>
      <c r="AD20" s="868"/>
      <c r="AE20" s="868"/>
      <c r="AF20" s="868"/>
      <c r="AG20" s="860">
        <f t="shared" si="7"/>
        <v>0</v>
      </c>
      <c r="AH20" s="868"/>
      <c r="AI20" s="868"/>
      <c r="AJ20" s="868"/>
      <c r="AK20" s="860">
        <f t="shared" si="8"/>
        <v>0</v>
      </c>
      <c r="AL20" s="860">
        <f t="shared" si="20"/>
        <v>0</v>
      </c>
      <c r="AM20" s="860">
        <f t="shared" si="21"/>
        <v>0</v>
      </c>
      <c r="AN20" s="860">
        <f t="shared" si="22"/>
        <v>0</v>
      </c>
      <c r="AO20" s="860">
        <f t="shared" si="9"/>
        <v>0</v>
      </c>
      <c r="AP20" s="860">
        <f t="shared" si="10"/>
        <v>0</v>
      </c>
      <c r="AQ20" s="860">
        <f t="shared" si="10"/>
        <v>0</v>
      </c>
      <c r="AR20" s="860">
        <f t="shared" si="10"/>
        <v>0</v>
      </c>
      <c r="AS20" s="860">
        <f t="shared" si="11"/>
        <v>0</v>
      </c>
      <c r="AT20" s="902" t="str">
        <f t="shared" si="12"/>
        <v xml:space="preserve"> </v>
      </c>
      <c r="AU20" s="902" t="str">
        <f t="shared" si="12"/>
        <v xml:space="preserve"> </v>
      </c>
      <c r="AV20" s="902" t="str">
        <f t="shared" si="12"/>
        <v xml:space="preserve"> </v>
      </c>
      <c r="AW20" s="902" t="str">
        <f t="shared" si="12"/>
        <v xml:space="preserve"> </v>
      </c>
      <c r="AX20" s="22">
        <f t="shared" si="13"/>
        <v>0</v>
      </c>
      <c r="AY20" s="22">
        <f t="shared" si="13"/>
        <v>0</v>
      </c>
      <c r="AZ20" s="22">
        <f t="shared" si="13"/>
        <v>0</v>
      </c>
      <c r="BA20" s="860">
        <f t="shared" si="14"/>
        <v>0</v>
      </c>
    </row>
    <row r="21" spans="1:53" s="903" customFormat="1" ht="16.5">
      <c r="A21" s="901" t="s">
        <v>998</v>
      </c>
      <c r="B21" s="868">
        <f>SUM(B22:B26)</f>
        <v>339824000</v>
      </c>
      <c r="C21" s="868">
        <f>SUM(C22:C26)</f>
        <v>223470000</v>
      </c>
      <c r="D21" s="868">
        <f t="shared" ref="D21:AJ21" si="44">SUM(D22:D26)</f>
        <v>0</v>
      </c>
      <c r="E21" s="868">
        <f t="shared" si="1"/>
        <v>563294000</v>
      </c>
      <c r="F21" s="868">
        <f t="shared" si="44"/>
        <v>0</v>
      </c>
      <c r="G21" s="868">
        <f t="shared" si="44"/>
        <v>0</v>
      </c>
      <c r="H21" s="868">
        <f t="shared" si="44"/>
        <v>0</v>
      </c>
      <c r="I21" s="868">
        <f t="shared" si="44"/>
        <v>0</v>
      </c>
      <c r="J21" s="868">
        <f t="shared" si="44"/>
        <v>339824000</v>
      </c>
      <c r="K21" s="868">
        <f t="shared" si="44"/>
        <v>223470000</v>
      </c>
      <c r="L21" s="868">
        <f t="shared" si="44"/>
        <v>0</v>
      </c>
      <c r="M21" s="868">
        <f t="shared" si="2"/>
        <v>563294000</v>
      </c>
      <c r="N21" s="868">
        <f t="shared" si="44"/>
        <v>339824000</v>
      </c>
      <c r="O21" s="868">
        <f t="shared" si="44"/>
        <v>223470000</v>
      </c>
      <c r="P21" s="868">
        <f t="shared" si="44"/>
        <v>0</v>
      </c>
      <c r="Q21" s="868">
        <f t="shared" si="3"/>
        <v>563294000</v>
      </c>
      <c r="R21" s="868">
        <f t="shared" si="44"/>
        <v>0</v>
      </c>
      <c r="S21" s="868">
        <f t="shared" si="44"/>
        <v>0</v>
      </c>
      <c r="T21" s="868">
        <f t="shared" si="44"/>
        <v>0</v>
      </c>
      <c r="U21" s="868">
        <f t="shared" si="4"/>
        <v>0</v>
      </c>
      <c r="V21" s="868">
        <f t="shared" si="44"/>
        <v>0</v>
      </c>
      <c r="W21" s="868">
        <f t="shared" si="44"/>
        <v>167639684</v>
      </c>
      <c r="X21" s="868">
        <f t="shared" si="44"/>
        <v>412488500</v>
      </c>
      <c r="Y21" s="868">
        <f t="shared" si="5"/>
        <v>580128184</v>
      </c>
      <c r="Z21" s="868">
        <f t="shared" si="17"/>
        <v>339824000</v>
      </c>
      <c r="AA21" s="868">
        <f t="shared" si="18"/>
        <v>391109684</v>
      </c>
      <c r="AB21" s="868">
        <f t="shared" si="19"/>
        <v>412488500</v>
      </c>
      <c r="AC21" s="868">
        <f t="shared" si="6"/>
        <v>1143422184</v>
      </c>
      <c r="AD21" s="868">
        <f t="shared" si="44"/>
        <v>303830308.55000001</v>
      </c>
      <c r="AE21" s="868">
        <f t="shared" si="44"/>
        <v>171208628.93999997</v>
      </c>
      <c r="AF21" s="868">
        <f t="shared" si="44"/>
        <v>0</v>
      </c>
      <c r="AG21" s="868">
        <f t="shared" si="7"/>
        <v>475038937.49000001</v>
      </c>
      <c r="AH21" s="868">
        <f t="shared" si="44"/>
        <v>0</v>
      </c>
      <c r="AI21" s="868">
        <f t="shared" si="44"/>
        <v>127209037.57999998</v>
      </c>
      <c r="AJ21" s="868">
        <f t="shared" si="44"/>
        <v>401602644.66000003</v>
      </c>
      <c r="AK21" s="868">
        <f t="shared" si="8"/>
        <v>528811682.24000001</v>
      </c>
      <c r="AL21" s="868">
        <f t="shared" si="20"/>
        <v>303830308.55000001</v>
      </c>
      <c r="AM21" s="868">
        <f t="shared" si="21"/>
        <v>298417666.51999998</v>
      </c>
      <c r="AN21" s="868">
        <f t="shared" si="22"/>
        <v>401602644.66000003</v>
      </c>
      <c r="AO21" s="868">
        <f t="shared" si="9"/>
        <v>1003850619.73</v>
      </c>
      <c r="AP21" s="868">
        <f t="shared" si="10"/>
        <v>35993691.449999988</v>
      </c>
      <c r="AQ21" s="868">
        <f t="shared" si="10"/>
        <v>92692017.480000019</v>
      </c>
      <c r="AR21" s="868">
        <f t="shared" si="10"/>
        <v>10885855.339999974</v>
      </c>
      <c r="AS21" s="868">
        <f t="shared" si="11"/>
        <v>139571564.26999998</v>
      </c>
      <c r="AT21" s="902">
        <f t="shared" si="12"/>
        <v>0.89408137315198455</v>
      </c>
      <c r="AU21" s="902">
        <f t="shared" si="12"/>
        <v>0.76300249962616618</v>
      </c>
      <c r="AV21" s="902">
        <f t="shared" si="12"/>
        <v>0.97360931192021116</v>
      </c>
      <c r="AW21" s="902">
        <f t="shared" si="12"/>
        <v>0.87793523142804442</v>
      </c>
      <c r="AX21" s="22">
        <f t="shared" si="13"/>
        <v>0</v>
      </c>
      <c r="AY21" s="22">
        <f t="shared" si="13"/>
        <v>0</v>
      </c>
      <c r="AZ21" s="22">
        <f t="shared" si="13"/>
        <v>0</v>
      </c>
      <c r="BA21" s="868">
        <f t="shared" si="14"/>
        <v>0</v>
      </c>
    </row>
    <row r="22" spans="1:53" s="903" customFormat="1">
      <c r="A22" s="905" t="s">
        <v>1085</v>
      </c>
      <c r="B22" s="859">
        <f>+'SUMM BY CLUSTER- CURRENT'!B70</f>
        <v>85096000</v>
      </c>
      <c r="C22" s="859">
        <f>+'SUMM BY CLUSTER- CURRENT'!C70</f>
        <v>115691000</v>
      </c>
      <c r="D22" s="859">
        <f>+'SUMM BY CLUSTER- CURRENT'!D70</f>
        <v>0</v>
      </c>
      <c r="E22" s="859">
        <f t="shared" si="1"/>
        <v>200787000</v>
      </c>
      <c r="F22" s="859">
        <f>+'SUMM BY CLUSTER- CURRENT'!F70</f>
        <v>0</v>
      </c>
      <c r="G22" s="859">
        <f>+'SUMM BY CLUSTER- CURRENT'!G70</f>
        <v>0</v>
      </c>
      <c r="H22" s="859">
        <f>+'SUMM BY CLUSTER- CURRENT'!H70</f>
        <v>0</v>
      </c>
      <c r="I22" s="859">
        <f>SUM('CY-FUR (REG)- Detail'!J132:J134)</f>
        <v>0</v>
      </c>
      <c r="J22" s="859">
        <f>+'SUMM BY CLUSTER- CURRENT'!J70</f>
        <v>85096000</v>
      </c>
      <c r="K22" s="859">
        <f>+'SUMM BY CLUSTER- CURRENT'!K70</f>
        <v>115691000</v>
      </c>
      <c r="L22" s="859">
        <f>+'SUMM BY CLUSTER- CURRENT'!L70</f>
        <v>0</v>
      </c>
      <c r="M22" s="859">
        <f t="shared" si="2"/>
        <v>200787000</v>
      </c>
      <c r="N22" s="859">
        <f>+'SUMM BY CLUSTER- CURRENT'!N70</f>
        <v>85096000</v>
      </c>
      <c r="O22" s="859">
        <f>+'SUMM BY CLUSTER- CURRENT'!O70</f>
        <v>115691000</v>
      </c>
      <c r="P22" s="859">
        <f>+'SUMM BY CLUSTER- CURRENT'!P70</f>
        <v>0</v>
      </c>
      <c r="Q22" s="859">
        <f t="shared" si="3"/>
        <v>200787000</v>
      </c>
      <c r="R22" s="859">
        <f>+'SUMM BY CLUSTER- CURRENT'!R70</f>
        <v>0</v>
      </c>
      <c r="S22" s="859">
        <f>+'SUMM BY CLUSTER- CURRENT'!S70</f>
        <v>0</v>
      </c>
      <c r="T22" s="859">
        <f>+'SUMM BY CLUSTER- CURRENT'!T70</f>
        <v>0</v>
      </c>
      <c r="U22" s="859">
        <f t="shared" si="4"/>
        <v>0</v>
      </c>
      <c r="V22" s="859">
        <f>+'SUMM BY CLUSTER- CURRENT'!V70</f>
        <v>0</v>
      </c>
      <c r="W22" s="859">
        <f>+'SUMM BY CLUSTER- CURRENT'!W70</f>
        <v>122944284</v>
      </c>
      <c r="X22" s="859">
        <f>+'SUMM BY CLUSTER- CURRENT'!X70</f>
        <v>22358500</v>
      </c>
      <c r="Y22" s="859">
        <f t="shared" si="5"/>
        <v>145302784</v>
      </c>
      <c r="Z22" s="859">
        <f t="shared" si="17"/>
        <v>85096000</v>
      </c>
      <c r="AA22" s="859">
        <f t="shared" si="18"/>
        <v>238635284</v>
      </c>
      <c r="AB22" s="859">
        <f t="shared" si="19"/>
        <v>22358500</v>
      </c>
      <c r="AC22" s="859">
        <f t="shared" si="6"/>
        <v>346089784</v>
      </c>
      <c r="AD22" s="859">
        <f>+'SUMM BY CLUSTER- CURRENT'!AD70</f>
        <v>72702359.780000001</v>
      </c>
      <c r="AE22" s="859">
        <f>+'SUMM BY CLUSTER- CURRENT'!AE70</f>
        <v>78399278.129999995</v>
      </c>
      <c r="AF22" s="859">
        <f>+'SUMM BY CLUSTER- CURRENT'!AF70</f>
        <v>0</v>
      </c>
      <c r="AG22" s="859">
        <f t="shared" si="7"/>
        <v>151101637.91</v>
      </c>
      <c r="AH22" s="859">
        <f>+'SUMM BY CLUSTER- CURRENT'!AH70</f>
        <v>0</v>
      </c>
      <c r="AI22" s="859">
        <f>+'SUMM BY CLUSTER- CURRENT'!AI70</f>
        <v>91068860.539999992</v>
      </c>
      <c r="AJ22" s="859">
        <f>+'SUMM BY CLUSTER- CURRENT'!AJ70</f>
        <v>21686351.640000001</v>
      </c>
      <c r="AK22" s="859">
        <f t="shared" si="8"/>
        <v>112755212.17999999</v>
      </c>
      <c r="AL22" s="859">
        <f t="shared" si="20"/>
        <v>72702359.780000001</v>
      </c>
      <c r="AM22" s="859">
        <f t="shared" si="21"/>
        <v>169468138.66999999</v>
      </c>
      <c r="AN22" s="859">
        <f t="shared" si="22"/>
        <v>21686351.640000001</v>
      </c>
      <c r="AO22" s="859">
        <f t="shared" si="9"/>
        <v>263856850.08999997</v>
      </c>
      <c r="AP22" s="859">
        <f t="shared" ref="AP22:AP26" si="45">+Z22-AL22</f>
        <v>12393640.219999999</v>
      </c>
      <c r="AQ22" s="859">
        <f t="shared" ref="AQ22:AQ26" si="46">+AA22-AM22</f>
        <v>69167145.330000013</v>
      </c>
      <c r="AR22" s="859">
        <f t="shared" ref="AR22:AR26" si="47">+AB22-AN22</f>
        <v>672148.3599999994</v>
      </c>
      <c r="AS22" s="859">
        <f t="shared" si="11"/>
        <v>82232933.910000011</v>
      </c>
      <c r="AT22" s="886">
        <f t="shared" ref="AT22:AT26" si="48">IF(Z22=0," ",AL22/Z22)</f>
        <v>0.85435695896399366</v>
      </c>
      <c r="AU22" s="886">
        <f t="shared" ref="AU22:AU26" si="49">IF(AA22=0," ",AM22/AA22)</f>
        <v>0.71015541301930851</v>
      </c>
      <c r="AV22" s="886">
        <f t="shared" ref="AV22:AV26" si="50">IF(AB22=0," ",AN22/AB22)</f>
        <v>0.96993768097144262</v>
      </c>
      <c r="AW22" s="886">
        <f t="shared" ref="AW22:AW26" si="51">IF(AC22=0," ",AO22/AC22)</f>
        <v>0.76239421759412573</v>
      </c>
      <c r="AX22" s="22">
        <f t="shared" ref="AX22:AX26" si="52">+J22-N22</f>
        <v>0</v>
      </c>
      <c r="AY22" s="22">
        <f t="shared" ref="AY22:AY26" si="53">+K22-O22</f>
        <v>0</v>
      </c>
      <c r="AZ22" s="22">
        <f t="shared" ref="AZ22:AZ26" si="54">+L22-P22</f>
        <v>0</v>
      </c>
      <c r="BA22" s="859">
        <f t="shared" si="14"/>
        <v>0</v>
      </c>
    </row>
    <row r="23" spans="1:53" s="16" customFormat="1">
      <c r="A23" s="905" t="s">
        <v>1000</v>
      </c>
      <c r="B23" s="859">
        <f>+'SUMM BY CLUSTER- CURRENT'!B71</f>
        <v>124554000</v>
      </c>
      <c r="C23" s="859">
        <f>+'SUMM BY CLUSTER- CURRENT'!C71</f>
        <v>62413000</v>
      </c>
      <c r="D23" s="859">
        <f>+'SUMM BY CLUSTER- CURRENT'!D71</f>
        <v>0</v>
      </c>
      <c r="E23" s="859">
        <f t="shared" si="1"/>
        <v>186967000</v>
      </c>
      <c r="F23" s="859">
        <f>+'SUMM BY CLUSTER- CURRENT'!F71</f>
        <v>0</v>
      </c>
      <c r="G23" s="859">
        <f>+'SUMM BY CLUSTER- CURRENT'!G71</f>
        <v>0</v>
      </c>
      <c r="H23" s="859">
        <f>+'SUMM BY CLUSTER- CURRENT'!H71</f>
        <v>0</v>
      </c>
      <c r="I23" s="859">
        <f>SUM('CY-FUR (REG)- Detail'!J133:J135)</f>
        <v>0</v>
      </c>
      <c r="J23" s="859">
        <f>+'SUMM BY CLUSTER- CURRENT'!J71</f>
        <v>124554000</v>
      </c>
      <c r="K23" s="859">
        <f>+'SUMM BY CLUSTER- CURRENT'!K71</f>
        <v>62413000</v>
      </c>
      <c r="L23" s="859">
        <f>+'SUMM BY CLUSTER- CURRENT'!L71</f>
        <v>0</v>
      </c>
      <c r="M23" s="859">
        <f t="shared" si="2"/>
        <v>186967000</v>
      </c>
      <c r="N23" s="859">
        <f>+'SUMM BY CLUSTER- CURRENT'!N71</f>
        <v>124554000</v>
      </c>
      <c r="O23" s="859">
        <f>+'SUMM BY CLUSTER- CURRENT'!O71</f>
        <v>62413000</v>
      </c>
      <c r="P23" s="859">
        <f>+'SUMM BY CLUSTER- CURRENT'!P71</f>
        <v>0</v>
      </c>
      <c r="Q23" s="859">
        <f t="shared" si="3"/>
        <v>186967000</v>
      </c>
      <c r="R23" s="859">
        <f>+'SUMM BY CLUSTER- CURRENT'!R71</f>
        <v>0</v>
      </c>
      <c r="S23" s="859">
        <f>+'SUMM BY CLUSTER- CURRENT'!S71</f>
        <v>0</v>
      </c>
      <c r="T23" s="859">
        <f>+'SUMM BY CLUSTER- CURRENT'!T71</f>
        <v>0</v>
      </c>
      <c r="U23" s="859">
        <f t="shared" si="4"/>
        <v>0</v>
      </c>
      <c r="V23" s="859">
        <f>+'SUMM BY CLUSTER- CURRENT'!V71</f>
        <v>0</v>
      </c>
      <c r="W23" s="859">
        <f>+'SUMM BY CLUSTER- CURRENT'!W71</f>
        <v>23384000</v>
      </c>
      <c r="X23" s="859">
        <f>+'SUMM BY CLUSTER- CURRENT'!X71</f>
        <v>44130000</v>
      </c>
      <c r="Y23" s="859">
        <f t="shared" si="5"/>
        <v>67514000</v>
      </c>
      <c r="Z23" s="859">
        <f t="shared" si="17"/>
        <v>124554000</v>
      </c>
      <c r="AA23" s="859">
        <f t="shared" si="18"/>
        <v>85797000</v>
      </c>
      <c r="AB23" s="859">
        <f t="shared" si="19"/>
        <v>44130000</v>
      </c>
      <c r="AC23" s="859">
        <f t="shared" si="6"/>
        <v>254481000</v>
      </c>
      <c r="AD23" s="859">
        <f>+'SUMM BY CLUSTER- CURRENT'!AD71</f>
        <v>112718064.14</v>
      </c>
      <c r="AE23" s="859">
        <f>+'SUMM BY CLUSTER- CURRENT'!AE71</f>
        <v>58537225.75</v>
      </c>
      <c r="AF23" s="859">
        <f>+'SUMM BY CLUSTER- CURRENT'!AF71</f>
        <v>0</v>
      </c>
      <c r="AG23" s="859">
        <f t="shared" si="7"/>
        <v>171255289.88999999</v>
      </c>
      <c r="AH23" s="859">
        <f>+'SUMM BY CLUSTER- CURRENT'!AH71</f>
        <v>0</v>
      </c>
      <c r="AI23" s="859">
        <f>+'SUMM BY CLUSTER- CURRENT'!AI71</f>
        <v>18378141.779999997</v>
      </c>
      <c r="AJ23" s="859">
        <f>+'SUMM BY CLUSTER- CURRENT'!AJ71</f>
        <v>37563939.250000007</v>
      </c>
      <c r="AK23" s="859">
        <f t="shared" si="8"/>
        <v>55942081.030000001</v>
      </c>
      <c r="AL23" s="859">
        <f t="shared" si="20"/>
        <v>112718064.14</v>
      </c>
      <c r="AM23" s="859">
        <f t="shared" si="21"/>
        <v>76915367.530000001</v>
      </c>
      <c r="AN23" s="859">
        <f t="shared" si="22"/>
        <v>37563939.250000007</v>
      </c>
      <c r="AO23" s="859">
        <f t="shared" si="9"/>
        <v>227197370.92000002</v>
      </c>
      <c r="AP23" s="859">
        <f t="shared" si="45"/>
        <v>11835935.859999999</v>
      </c>
      <c r="AQ23" s="859">
        <f t="shared" si="46"/>
        <v>8881632.4699999988</v>
      </c>
      <c r="AR23" s="859">
        <f t="shared" si="47"/>
        <v>6566060.7499999925</v>
      </c>
      <c r="AS23" s="859">
        <f t="shared" si="11"/>
        <v>27283629.079999991</v>
      </c>
      <c r="AT23" s="886">
        <f t="shared" si="48"/>
        <v>0.90497345841964127</v>
      </c>
      <c r="AU23" s="886">
        <f t="shared" si="49"/>
        <v>0.89648085049593806</v>
      </c>
      <c r="AV23" s="886">
        <f t="shared" si="50"/>
        <v>0.85121095060049867</v>
      </c>
      <c r="AW23" s="886">
        <f t="shared" si="51"/>
        <v>0.89278716650751933</v>
      </c>
      <c r="AX23" s="22">
        <f t="shared" si="52"/>
        <v>0</v>
      </c>
      <c r="AY23" s="22">
        <f t="shared" si="53"/>
        <v>0</v>
      </c>
      <c r="AZ23" s="22">
        <f t="shared" si="54"/>
        <v>0</v>
      </c>
      <c r="BA23" s="859">
        <f t="shared" si="14"/>
        <v>0</v>
      </c>
    </row>
    <row r="24" spans="1:53" s="16" customFormat="1">
      <c r="A24" s="905" t="s">
        <v>1001</v>
      </c>
      <c r="B24" s="859">
        <f>+'SUMM BY CLUSTER- CURRENT'!B72</f>
        <v>86436000</v>
      </c>
      <c r="C24" s="859">
        <f>+'SUMM BY CLUSTER- CURRENT'!C72</f>
        <v>28587000</v>
      </c>
      <c r="D24" s="859">
        <f>+'SUMM BY CLUSTER- CURRENT'!D72</f>
        <v>0</v>
      </c>
      <c r="E24" s="859">
        <f t="shared" si="1"/>
        <v>115023000</v>
      </c>
      <c r="F24" s="859">
        <f>+'SUMM BY CLUSTER- CURRENT'!F72</f>
        <v>0</v>
      </c>
      <c r="G24" s="859">
        <f>+'SUMM BY CLUSTER- CURRENT'!G72</f>
        <v>0</v>
      </c>
      <c r="H24" s="859">
        <f>+'SUMM BY CLUSTER- CURRENT'!H72</f>
        <v>0</v>
      </c>
      <c r="I24" s="859">
        <f>SUM('CY-FUR (REG)- Detail'!J134:J136)</f>
        <v>0</v>
      </c>
      <c r="J24" s="859">
        <f>+'SUMM BY CLUSTER- CURRENT'!J72</f>
        <v>86436000</v>
      </c>
      <c r="K24" s="859">
        <f>+'SUMM BY CLUSTER- CURRENT'!K72</f>
        <v>28587000</v>
      </c>
      <c r="L24" s="859">
        <f>+'SUMM BY CLUSTER- CURRENT'!L72</f>
        <v>0</v>
      </c>
      <c r="M24" s="859">
        <f t="shared" si="2"/>
        <v>115023000</v>
      </c>
      <c r="N24" s="859">
        <f>+'SUMM BY CLUSTER- CURRENT'!N72</f>
        <v>86436000</v>
      </c>
      <c r="O24" s="859">
        <f>+'SUMM BY CLUSTER- CURRENT'!O72</f>
        <v>28587000</v>
      </c>
      <c r="P24" s="859">
        <f>+'SUMM BY CLUSTER- CURRENT'!P72</f>
        <v>0</v>
      </c>
      <c r="Q24" s="859">
        <f t="shared" si="3"/>
        <v>115023000</v>
      </c>
      <c r="R24" s="859">
        <f>+'SUMM BY CLUSTER- CURRENT'!R72</f>
        <v>0</v>
      </c>
      <c r="S24" s="859">
        <f>+'SUMM BY CLUSTER- CURRENT'!S72</f>
        <v>0</v>
      </c>
      <c r="T24" s="859">
        <f>+'SUMM BY CLUSTER- CURRENT'!T72</f>
        <v>0</v>
      </c>
      <c r="U24" s="859">
        <f t="shared" si="4"/>
        <v>0</v>
      </c>
      <c r="V24" s="859">
        <f>+'SUMM BY CLUSTER- CURRENT'!V72</f>
        <v>0</v>
      </c>
      <c r="W24" s="859">
        <f>+'SUMM BY CLUSTER- CURRENT'!W72</f>
        <v>13933400</v>
      </c>
      <c r="X24" s="859">
        <f>+'SUMM BY CLUSTER- CURRENT'!X72</f>
        <v>100000000</v>
      </c>
      <c r="Y24" s="859">
        <f t="shared" si="5"/>
        <v>113933400</v>
      </c>
      <c r="Z24" s="859">
        <f t="shared" si="17"/>
        <v>86436000</v>
      </c>
      <c r="AA24" s="859">
        <f t="shared" si="18"/>
        <v>42520400</v>
      </c>
      <c r="AB24" s="859">
        <f t="shared" si="19"/>
        <v>100000000</v>
      </c>
      <c r="AC24" s="859">
        <f t="shared" si="6"/>
        <v>228956400</v>
      </c>
      <c r="AD24" s="859">
        <f>+'SUMM BY CLUSTER- CURRENT'!AD72</f>
        <v>79120486.75</v>
      </c>
      <c r="AE24" s="859">
        <f>+'SUMM BY CLUSTER- CURRENT'!AE72</f>
        <v>20143649.919999998</v>
      </c>
      <c r="AF24" s="859">
        <f>+'SUMM BY CLUSTER- CURRENT'!AF72</f>
        <v>0</v>
      </c>
      <c r="AG24" s="859">
        <f t="shared" si="7"/>
        <v>99264136.670000002</v>
      </c>
      <c r="AH24" s="859">
        <f>+'SUMM BY CLUSTER- CURRENT'!AH72</f>
        <v>0</v>
      </c>
      <c r="AI24" s="859">
        <f>+'SUMM BY CLUSTER- CURRENT'!AI72</f>
        <v>12615063.07</v>
      </c>
      <c r="AJ24" s="859">
        <f>+'SUMM BY CLUSTER- CURRENT'!AJ72</f>
        <v>96715086</v>
      </c>
      <c r="AK24" s="859">
        <f t="shared" si="8"/>
        <v>109330149.06999999</v>
      </c>
      <c r="AL24" s="859">
        <f t="shared" si="20"/>
        <v>79120486.75</v>
      </c>
      <c r="AM24" s="859">
        <f t="shared" si="21"/>
        <v>32758712.989999998</v>
      </c>
      <c r="AN24" s="859">
        <f t="shared" si="22"/>
        <v>96715086</v>
      </c>
      <c r="AO24" s="859">
        <f t="shared" si="9"/>
        <v>208594285.74000001</v>
      </c>
      <c r="AP24" s="859">
        <f t="shared" si="45"/>
        <v>7315513.25</v>
      </c>
      <c r="AQ24" s="859">
        <f t="shared" si="46"/>
        <v>9761687.0100000016</v>
      </c>
      <c r="AR24" s="859">
        <f t="shared" si="47"/>
        <v>3284914</v>
      </c>
      <c r="AS24" s="859">
        <f t="shared" si="11"/>
        <v>20362114.260000002</v>
      </c>
      <c r="AT24" s="886">
        <f t="shared" si="48"/>
        <v>0.915364972349484</v>
      </c>
      <c r="AU24" s="886">
        <f t="shared" si="49"/>
        <v>0.77042344357061543</v>
      </c>
      <c r="AV24" s="886">
        <f t="shared" si="50"/>
        <v>0.96715085999999995</v>
      </c>
      <c r="AW24" s="886">
        <f t="shared" si="51"/>
        <v>0.91106553798015699</v>
      </c>
      <c r="AX24" s="22">
        <f t="shared" si="52"/>
        <v>0</v>
      </c>
      <c r="AY24" s="22">
        <f t="shared" si="53"/>
        <v>0</v>
      </c>
      <c r="AZ24" s="22">
        <f t="shared" si="54"/>
        <v>0</v>
      </c>
      <c r="BA24" s="859">
        <f t="shared" si="14"/>
        <v>0</v>
      </c>
    </row>
    <row r="25" spans="1:53" s="16" customFormat="1">
      <c r="A25" s="905" t="s">
        <v>1002</v>
      </c>
      <c r="B25" s="859">
        <f>+'SUMM BY CLUSTER- CURRENT'!B73</f>
        <v>17591000</v>
      </c>
      <c r="C25" s="859">
        <f>+'SUMM BY CLUSTER- CURRENT'!C73</f>
        <v>7003000</v>
      </c>
      <c r="D25" s="859">
        <f>+'SUMM BY CLUSTER- CURRENT'!D73</f>
        <v>0</v>
      </c>
      <c r="E25" s="859">
        <f t="shared" si="1"/>
        <v>24594000</v>
      </c>
      <c r="F25" s="859">
        <f>+'SUMM BY CLUSTER- CURRENT'!F73</f>
        <v>0</v>
      </c>
      <c r="G25" s="859">
        <f>+'SUMM BY CLUSTER- CURRENT'!G73</f>
        <v>0</v>
      </c>
      <c r="H25" s="859">
        <f>+'SUMM BY CLUSTER- CURRENT'!H73</f>
        <v>0</v>
      </c>
      <c r="I25" s="859">
        <f>SUM('CY-FUR (REG)- Detail'!J135:J137)</f>
        <v>0</v>
      </c>
      <c r="J25" s="859">
        <f>+'SUMM BY CLUSTER- CURRENT'!J73</f>
        <v>17591000</v>
      </c>
      <c r="K25" s="859">
        <f>+'SUMM BY CLUSTER- CURRENT'!K73</f>
        <v>7003000</v>
      </c>
      <c r="L25" s="859">
        <f>+'SUMM BY CLUSTER- CURRENT'!L73</f>
        <v>0</v>
      </c>
      <c r="M25" s="859">
        <f t="shared" si="2"/>
        <v>24594000</v>
      </c>
      <c r="N25" s="859">
        <f>+'SUMM BY CLUSTER- CURRENT'!N73</f>
        <v>17591000</v>
      </c>
      <c r="O25" s="859">
        <f>+'SUMM BY CLUSTER- CURRENT'!O73</f>
        <v>7003000</v>
      </c>
      <c r="P25" s="859">
        <f>+'SUMM BY CLUSTER- CURRENT'!P73</f>
        <v>0</v>
      </c>
      <c r="Q25" s="859">
        <f t="shared" si="3"/>
        <v>24594000</v>
      </c>
      <c r="R25" s="859">
        <f>+'SUMM BY CLUSTER- CURRENT'!R73</f>
        <v>0</v>
      </c>
      <c r="S25" s="859">
        <f>+'SUMM BY CLUSTER- CURRENT'!S73</f>
        <v>0</v>
      </c>
      <c r="T25" s="859">
        <f>+'SUMM BY CLUSTER- CURRENT'!T73</f>
        <v>0</v>
      </c>
      <c r="U25" s="859">
        <f t="shared" si="4"/>
        <v>0</v>
      </c>
      <c r="V25" s="859">
        <f>+'SUMM BY CLUSTER- CURRENT'!V73</f>
        <v>0</v>
      </c>
      <c r="W25" s="859">
        <f>+'SUMM BY CLUSTER- CURRENT'!W73</f>
        <v>3572000</v>
      </c>
      <c r="X25" s="859">
        <f>+'SUMM BY CLUSTER- CURRENT'!X73</f>
        <v>95000000</v>
      </c>
      <c r="Y25" s="859">
        <f t="shared" si="5"/>
        <v>98572000</v>
      </c>
      <c r="Z25" s="859">
        <f t="shared" si="17"/>
        <v>17591000</v>
      </c>
      <c r="AA25" s="859">
        <f t="shared" si="18"/>
        <v>10575000</v>
      </c>
      <c r="AB25" s="859">
        <f t="shared" si="19"/>
        <v>95000000</v>
      </c>
      <c r="AC25" s="859">
        <f t="shared" si="6"/>
        <v>123166000</v>
      </c>
      <c r="AD25" s="859">
        <f>+'SUMM BY CLUSTER- CURRENT'!AD73</f>
        <v>15901788.83</v>
      </c>
      <c r="AE25" s="859">
        <f>+'SUMM BY CLUSTER- CURRENT'!AE73</f>
        <v>5830192.04</v>
      </c>
      <c r="AF25" s="859">
        <f>+'SUMM BY CLUSTER- CURRENT'!AF73</f>
        <v>0</v>
      </c>
      <c r="AG25" s="859">
        <f t="shared" si="7"/>
        <v>21731980.870000001</v>
      </c>
      <c r="AH25" s="859">
        <f>+'SUMM BY CLUSTER- CURRENT'!AH73</f>
        <v>0</v>
      </c>
      <c r="AI25" s="859">
        <f>+'SUMM BY CLUSTER- CURRENT'!AI73</f>
        <v>3144372.21</v>
      </c>
      <c r="AJ25" s="859">
        <f>+'SUMM BY CLUSTER- CURRENT'!AJ73</f>
        <v>95000000</v>
      </c>
      <c r="AK25" s="859">
        <f t="shared" si="8"/>
        <v>98144372.209999993</v>
      </c>
      <c r="AL25" s="859">
        <f t="shared" si="20"/>
        <v>15901788.83</v>
      </c>
      <c r="AM25" s="859">
        <f t="shared" si="21"/>
        <v>8974564.25</v>
      </c>
      <c r="AN25" s="859">
        <f t="shared" si="22"/>
        <v>95000000</v>
      </c>
      <c r="AO25" s="859">
        <f t="shared" si="9"/>
        <v>119876353.08</v>
      </c>
      <c r="AP25" s="859">
        <f t="shared" si="45"/>
        <v>1689211.17</v>
      </c>
      <c r="AQ25" s="859">
        <f t="shared" si="46"/>
        <v>1600435.75</v>
      </c>
      <c r="AR25" s="859">
        <f t="shared" si="47"/>
        <v>0</v>
      </c>
      <c r="AS25" s="859">
        <f t="shared" si="11"/>
        <v>3289646.92</v>
      </c>
      <c r="AT25" s="886">
        <f t="shared" si="48"/>
        <v>0.90397298789153546</v>
      </c>
      <c r="AU25" s="886">
        <f t="shared" si="49"/>
        <v>0.84865855791962175</v>
      </c>
      <c r="AV25" s="886">
        <f t="shared" si="50"/>
        <v>1</v>
      </c>
      <c r="AW25" s="886">
        <f t="shared" si="51"/>
        <v>0.97329094945033534</v>
      </c>
      <c r="AX25" s="22">
        <f t="shared" si="52"/>
        <v>0</v>
      </c>
      <c r="AY25" s="22">
        <f t="shared" si="53"/>
        <v>0</v>
      </c>
      <c r="AZ25" s="22">
        <f t="shared" si="54"/>
        <v>0</v>
      </c>
      <c r="BA25" s="859">
        <f t="shared" si="14"/>
        <v>0</v>
      </c>
    </row>
    <row r="26" spans="1:53" s="16" customFormat="1">
      <c r="A26" s="905" t="s">
        <v>1003</v>
      </c>
      <c r="B26" s="859">
        <f>+'SUMM BY CLUSTER- CURRENT'!B74</f>
        <v>26147000</v>
      </c>
      <c r="C26" s="859">
        <f>+'SUMM BY CLUSTER- CURRENT'!C74</f>
        <v>9776000</v>
      </c>
      <c r="D26" s="859">
        <f>+'SUMM BY CLUSTER- CURRENT'!D74</f>
        <v>0</v>
      </c>
      <c r="E26" s="859">
        <f t="shared" si="1"/>
        <v>35923000</v>
      </c>
      <c r="F26" s="859">
        <f>+'SUMM BY CLUSTER- CURRENT'!F74</f>
        <v>0</v>
      </c>
      <c r="G26" s="859">
        <f>+'SUMM BY CLUSTER- CURRENT'!G74</f>
        <v>0</v>
      </c>
      <c r="H26" s="859">
        <f>+'SUMM BY CLUSTER- CURRENT'!H74</f>
        <v>0</v>
      </c>
      <c r="I26" s="859">
        <f>SUM('CY-FUR (REG)- Detail'!J136:J138)</f>
        <v>0</v>
      </c>
      <c r="J26" s="859">
        <f>+'SUMM BY CLUSTER- CURRENT'!J74</f>
        <v>26147000</v>
      </c>
      <c r="K26" s="859">
        <f>+'SUMM BY CLUSTER- CURRENT'!K74</f>
        <v>9776000</v>
      </c>
      <c r="L26" s="859">
        <f>+'SUMM BY CLUSTER- CURRENT'!L74</f>
        <v>0</v>
      </c>
      <c r="M26" s="859">
        <f t="shared" si="2"/>
        <v>35923000</v>
      </c>
      <c r="N26" s="859">
        <f>+'SUMM BY CLUSTER- CURRENT'!N74</f>
        <v>26147000</v>
      </c>
      <c r="O26" s="859">
        <f>+'SUMM BY CLUSTER- CURRENT'!O74</f>
        <v>9776000</v>
      </c>
      <c r="P26" s="859">
        <f>+'SUMM BY CLUSTER- CURRENT'!P74</f>
        <v>0</v>
      </c>
      <c r="Q26" s="859">
        <f t="shared" si="3"/>
        <v>35923000</v>
      </c>
      <c r="R26" s="859">
        <f>+'SUMM BY CLUSTER- CURRENT'!R74</f>
        <v>0</v>
      </c>
      <c r="S26" s="859">
        <f>+'SUMM BY CLUSTER- CURRENT'!S74</f>
        <v>0</v>
      </c>
      <c r="T26" s="859">
        <f>+'SUMM BY CLUSTER- CURRENT'!T74</f>
        <v>0</v>
      </c>
      <c r="U26" s="859">
        <f t="shared" si="4"/>
        <v>0</v>
      </c>
      <c r="V26" s="859">
        <f>+'SUMM BY CLUSTER- CURRENT'!V74</f>
        <v>0</v>
      </c>
      <c r="W26" s="859">
        <f>+'SUMM BY CLUSTER- CURRENT'!W74</f>
        <v>3806000</v>
      </c>
      <c r="X26" s="859">
        <f>+'SUMM BY CLUSTER- CURRENT'!X74</f>
        <v>151000000</v>
      </c>
      <c r="Y26" s="859">
        <f t="shared" si="5"/>
        <v>154806000</v>
      </c>
      <c r="Z26" s="859">
        <f t="shared" si="17"/>
        <v>26147000</v>
      </c>
      <c r="AA26" s="859">
        <f t="shared" si="18"/>
        <v>13582000</v>
      </c>
      <c r="AB26" s="859">
        <f t="shared" si="19"/>
        <v>151000000</v>
      </c>
      <c r="AC26" s="859">
        <f t="shared" si="6"/>
        <v>190729000</v>
      </c>
      <c r="AD26" s="859">
        <f>+'SUMM BY CLUSTER- CURRENT'!AD74</f>
        <v>23387609.050000001</v>
      </c>
      <c r="AE26" s="859">
        <f>+'SUMM BY CLUSTER- CURRENT'!AE74</f>
        <v>8298283.1000000006</v>
      </c>
      <c r="AF26" s="859">
        <f>+'SUMM BY CLUSTER- CURRENT'!AF74</f>
        <v>0</v>
      </c>
      <c r="AG26" s="859">
        <f t="shared" si="7"/>
        <v>31685892.150000002</v>
      </c>
      <c r="AH26" s="859">
        <f>+'SUMM BY CLUSTER- CURRENT'!AH74</f>
        <v>0</v>
      </c>
      <c r="AI26" s="859">
        <f>+'SUMM BY CLUSTER- CURRENT'!AI74</f>
        <v>2002599.98</v>
      </c>
      <c r="AJ26" s="859">
        <f>+'SUMM BY CLUSTER- CURRENT'!AJ74</f>
        <v>150637267.77000001</v>
      </c>
      <c r="AK26" s="859">
        <f t="shared" si="8"/>
        <v>152639867.75</v>
      </c>
      <c r="AL26" s="859">
        <f t="shared" si="20"/>
        <v>23387609.050000001</v>
      </c>
      <c r="AM26" s="859">
        <f t="shared" si="21"/>
        <v>10300883.08</v>
      </c>
      <c r="AN26" s="859">
        <f t="shared" si="22"/>
        <v>150637267.77000001</v>
      </c>
      <c r="AO26" s="859">
        <f t="shared" si="9"/>
        <v>184325759.90000001</v>
      </c>
      <c r="AP26" s="859">
        <f t="shared" si="45"/>
        <v>2759390.9499999993</v>
      </c>
      <c r="AQ26" s="859">
        <f t="shared" si="46"/>
        <v>3281116.92</v>
      </c>
      <c r="AR26" s="859">
        <f t="shared" si="47"/>
        <v>362732.22999998927</v>
      </c>
      <c r="AS26" s="859">
        <f t="shared" si="11"/>
        <v>6403240.0999999885</v>
      </c>
      <c r="AT26" s="886">
        <f t="shared" si="48"/>
        <v>0.89446625043025974</v>
      </c>
      <c r="AU26" s="886">
        <f t="shared" si="49"/>
        <v>0.75842166691208956</v>
      </c>
      <c r="AV26" s="886">
        <f t="shared" si="50"/>
        <v>0.99759779980132457</v>
      </c>
      <c r="AW26" s="886">
        <f t="shared" si="51"/>
        <v>0.96642754851123847</v>
      </c>
      <c r="AX26" s="22">
        <f t="shared" si="52"/>
        <v>0</v>
      </c>
      <c r="AY26" s="22">
        <f t="shared" si="53"/>
        <v>0</v>
      </c>
      <c r="AZ26" s="22">
        <f t="shared" si="54"/>
        <v>0</v>
      </c>
      <c r="BA26" s="859">
        <f t="shared" si="14"/>
        <v>0</v>
      </c>
    </row>
    <row r="27" spans="1:53" s="16" customFormat="1">
      <c r="A27" s="592"/>
      <c r="B27" s="859"/>
      <c r="C27" s="859"/>
      <c r="D27" s="859"/>
      <c r="E27" s="860">
        <f t="shared" si="1"/>
        <v>0</v>
      </c>
      <c r="F27" s="859"/>
      <c r="G27" s="859"/>
      <c r="H27" s="859"/>
      <c r="I27" s="860"/>
      <c r="J27" s="859"/>
      <c r="K27" s="859"/>
      <c r="L27" s="859"/>
      <c r="M27" s="860">
        <f t="shared" si="2"/>
        <v>0</v>
      </c>
      <c r="N27" s="859"/>
      <c r="O27" s="859"/>
      <c r="P27" s="859"/>
      <c r="Q27" s="860">
        <f t="shared" si="3"/>
        <v>0</v>
      </c>
      <c r="R27" s="859"/>
      <c r="S27" s="859"/>
      <c r="T27" s="859"/>
      <c r="U27" s="860">
        <f t="shared" si="4"/>
        <v>0</v>
      </c>
      <c r="V27" s="859"/>
      <c r="W27" s="859"/>
      <c r="X27" s="859"/>
      <c r="Y27" s="860">
        <f t="shared" si="5"/>
        <v>0</v>
      </c>
      <c r="Z27" s="860">
        <f t="shared" si="17"/>
        <v>0</v>
      </c>
      <c r="AA27" s="860">
        <f t="shared" si="18"/>
        <v>0</v>
      </c>
      <c r="AB27" s="860">
        <f t="shared" si="19"/>
        <v>0</v>
      </c>
      <c r="AC27" s="860">
        <f t="shared" si="6"/>
        <v>0</v>
      </c>
      <c r="AD27" s="859"/>
      <c r="AE27" s="859"/>
      <c r="AF27" s="859"/>
      <c r="AG27" s="860">
        <f t="shared" si="7"/>
        <v>0</v>
      </c>
      <c r="AH27" s="859"/>
      <c r="AI27" s="859"/>
      <c r="AJ27" s="859"/>
      <c r="AK27" s="860">
        <f t="shared" si="8"/>
        <v>0</v>
      </c>
      <c r="AL27" s="860">
        <f t="shared" si="20"/>
        <v>0</v>
      </c>
      <c r="AM27" s="860">
        <f t="shared" si="21"/>
        <v>0</v>
      </c>
      <c r="AN27" s="860">
        <f t="shared" si="22"/>
        <v>0</v>
      </c>
      <c r="AO27" s="860">
        <f t="shared" si="9"/>
        <v>0</v>
      </c>
      <c r="AP27" s="860">
        <f t="shared" si="10"/>
        <v>0</v>
      </c>
      <c r="AQ27" s="860">
        <f t="shared" si="10"/>
        <v>0</v>
      </c>
      <c r="AR27" s="860">
        <f t="shared" si="10"/>
        <v>0</v>
      </c>
      <c r="AS27" s="860">
        <f t="shared" si="11"/>
        <v>0</v>
      </c>
      <c r="AT27" s="886" t="str">
        <f t="shared" ref="AT27:AV34" si="55">IF(Z27=0," ",AL27/Z27)</f>
        <v xml:space="preserve"> </v>
      </c>
      <c r="AU27" s="886" t="str">
        <f t="shared" si="55"/>
        <v xml:space="preserve"> </v>
      </c>
      <c r="AV27" s="886" t="str">
        <f t="shared" si="55"/>
        <v xml:space="preserve"> </v>
      </c>
      <c r="AW27" s="886" t="str">
        <f t="shared" ref="AW27:AW34" si="56">IF(AC27=0," ",AO27/AC27)</f>
        <v xml:space="preserve"> </v>
      </c>
      <c r="AX27" s="22">
        <f t="shared" si="13"/>
        <v>0</v>
      </c>
      <c r="AY27" s="22">
        <f t="shared" si="13"/>
        <v>0</v>
      </c>
      <c r="AZ27" s="22">
        <f t="shared" si="13"/>
        <v>0</v>
      </c>
      <c r="BA27" s="860">
        <f t="shared" si="14"/>
        <v>0</v>
      </c>
    </row>
    <row r="28" spans="1:53" s="903" customFormat="1" ht="16.5">
      <c r="A28" s="901" t="s">
        <v>1010</v>
      </c>
      <c r="B28" s="868">
        <f>SUM(B29:B34)</f>
        <v>441423000</v>
      </c>
      <c r="C28" s="868">
        <f>SUM(C29:C34)</f>
        <v>349381000</v>
      </c>
      <c r="D28" s="868">
        <f t="shared" ref="D28:AJ28" si="57">SUM(D29:D34)</f>
        <v>0</v>
      </c>
      <c r="E28" s="868">
        <f t="shared" si="1"/>
        <v>790804000</v>
      </c>
      <c r="F28" s="868">
        <f t="shared" si="57"/>
        <v>0</v>
      </c>
      <c r="G28" s="868">
        <f t="shared" si="57"/>
        <v>0</v>
      </c>
      <c r="H28" s="868">
        <f t="shared" si="57"/>
        <v>0</v>
      </c>
      <c r="I28" s="868">
        <f t="shared" si="57"/>
        <v>0</v>
      </c>
      <c r="J28" s="868">
        <f t="shared" si="57"/>
        <v>441423000</v>
      </c>
      <c r="K28" s="868">
        <f t="shared" si="57"/>
        <v>349381000</v>
      </c>
      <c r="L28" s="868">
        <f t="shared" si="57"/>
        <v>0</v>
      </c>
      <c r="M28" s="868">
        <f t="shared" si="2"/>
        <v>790804000</v>
      </c>
      <c r="N28" s="868">
        <f t="shared" si="57"/>
        <v>441423000</v>
      </c>
      <c r="O28" s="868">
        <f t="shared" si="57"/>
        <v>349381000</v>
      </c>
      <c r="P28" s="868">
        <f t="shared" si="57"/>
        <v>0</v>
      </c>
      <c r="Q28" s="868">
        <f t="shared" si="3"/>
        <v>790804000</v>
      </c>
      <c r="R28" s="868">
        <f t="shared" si="57"/>
        <v>0</v>
      </c>
      <c r="S28" s="868">
        <f t="shared" si="57"/>
        <v>0</v>
      </c>
      <c r="T28" s="868">
        <f t="shared" si="57"/>
        <v>0</v>
      </c>
      <c r="U28" s="868">
        <f t="shared" si="4"/>
        <v>0</v>
      </c>
      <c r="V28" s="868">
        <f t="shared" si="57"/>
        <v>827006</v>
      </c>
      <c r="W28" s="868">
        <f t="shared" si="57"/>
        <v>255789950</v>
      </c>
      <c r="X28" s="868">
        <f t="shared" si="57"/>
        <v>327292000</v>
      </c>
      <c r="Y28" s="868">
        <f t="shared" si="5"/>
        <v>583908956</v>
      </c>
      <c r="Z28" s="868">
        <f t="shared" si="17"/>
        <v>442250006</v>
      </c>
      <c r="AA28" s="868">
        <f t="shared" si="18"/>
        <v>605170950</v>
      </c>
      <c r="AB28" s="868">
        <f t="shared" si="19"/>
        <v>327292000</v>
      </c>
      <c r="AC28" s="868">
        <f t="shared" si="6"/>
        <v>1374712956</v>
      </c>
      <c r="AD28" s="868">
        <f t="shared" si="57"/>
        <v>386886712.24000001</v>
      </c>
      <c r="AE28" s="868">
        <f t="shared" si="57"/>
        <v>218789753.56999999</v>
      </c>
      <c r="AF28" s="868">
        <f t="shared" si="57"/>
        <v>0</v>
      </c>
      <c r="AG28" s="868">
        <f t="shared" si="7"/>
        <v>605676465.80999994</v>
      </c>
      <c r="AH28" s="868">
        <f t="shared" si="57"/>
        <v>763888.76999999979</v>
      </c>
      <c r="AI28" s="868">
        <f t="shared" si="57"/>
        <v>186549292.82000002</v>
      </c>
      <c r="AJ28" s="868">
        <f t="shared" si="57"/>
        <v>316797794.56999999</v>
      </c>
      <c r="AK28" s="868">
        <f t="shared" si="8"/>
        <v>504110976.16000003</v>
      </c>
      <c r="AL28" s="868">
        <f t="shared" si="20"/>
        <v>387650601.00999999</v>
      </c>
      <c r="AM28" s="868">
        <f t="shared" si="21"/>
        <v>405339046.38999999</v>
      </c>
      <c r="AN28" s="868">
        <f t="shared" si="22"/>
        <v>316797794.56999999</v>
      </c>
      <c r="AO28" s="868">
        <f t="shared" si="9"/>
        <v>1109787441.97</v>
      </c>
      <c r="AP28" s="868">
        <f t="shared" si="10"/>
        <v>54599404.99000001</v>
      </c>
      <c r="AQ28" s="868">
        <f t="shared" si="10"/>
        <v>199831903.61000001</v>
      </c>
      <c r="AR28" s="868">
        <f t="shared" si="10"/>
        <v>10494205.430000007</v>
      </c>
      <c r="AS28" s="868">
        <f t="shared" si="11"/>
        <v>264925514.03000003</v>
      </c>
      <c r="AT28" s="902">
        <f t="shared" si="55"/>
        <v>0.87654176540587769</v>
      </c>
      <c r="AU28" s="902">
        <f t="shared" si="55"/>
        <v>0.66979263692350066</v>
      </c>
      <c r="AV28" s="902">
        <f t="shared" si="55"/>
        <v>0.96793626049521531</v>
      </c>
      <c r="AW28" s="902">
        <f t="shared" si="56"/>
        <v>0.80728666819227968</v>
      </c>
      <c r="AX28" s="22">
        <f t="shared" si="13"/>
        <v>0</v>
      </c>
      <c r="AY28" s="22">
        <f t="shared" si="13"/>
        <v>0</v>
      </c>
      <c r="AZ28" s="22">
        <f t="shared" si="13"/>
        <v>0</v>
      </c>
      <c r="BA28" s="868">
        <f t="shared" si="14"/>
        <v>0</v>
      </c>
    </row>
    <row r="29" spans="1:53" s="903" customFormat="1">
      <c r="A29" s="905" t="s">
        <v>1086</v>
      </c>
      <c r="B29" s="859">
        <f>+'SUMM BY CLUSTER- CURRENT'!B77</f>
        <v>87622000</v>
      </c>
      <c r="C29" s="859">
        <f>+'SUMM BY CLUSTER- CURRENT'!C77</f>
        <v>180582000</v>
      </c>
      <c r="D29" s="859">
        <f>+'SUMM BY CLUSTER- CURRENT'!D77</f>
        <v>0</v>
      </c>
      <c r="E29" s="859">
        <f t="shared" si="1"/>
        <v>268204000</v>
      </c>
      <c r="F29" s="859">
        <f>+'SUMM BY CLUSTER- CURRENT'!F77</f>
        <v>0</v>
      </c>
      <c r="G29" s="859">
        <f>+'SUMM BY CLUSTER- CURRENT'!G77</f>
        <v>0</v>
      </c>
      <c r="H29" s="859">
        <f>+'SUMM BY CLUSTER- CURRENT'!H77</f>
        <v>0</v>
      </c>
      <c r="I29" s="859">
        <f>SUM('CY-FUR (REG)- Detail'!J139:J141)</f>
        <v>0</v>
      </c>
      <c r="J29" s="859">
        <f>+'SUMM BY CLUSTER- CURRENT'!J77</f>
        <v>87622000</v>
      </c>
      <c r="K29" s="859">
        <f>+'SUMM BY CLUSTER- CURRENT'!K77</f>
        <v>180582000</v>
      </c>
      <c r="L29" s="859">
        <f>+'SUMM BY CLUSTER- CURRENT'!L77</f>
        <v>0</v>
      </c>
      <c r="M29" s="859">
        <f t="shared" si="2"/>
        <v>268204000</v>
      </c>
      <c r="N29" s="859">
        <f>+'SUMM BY CLUSTER- CURRENT'!N77</f>
        <v>87622000</v>
      </c>
      <c r="O29" s="859">
        <f>+'SUMM BY CLUSTER- CURRENT'!O77</f>
        <v>180582000</v>
      </c>
      <c r="P29" s="859">
        <f>+'SUMM BY CLUSTER- CURRENT'!P77</f>
        <v>0</v>
      </c>
      <c r="Q29" s="859">
        <f t="shared" si="3"/>
        <v>268204000</v>
      </c>
      <c r="R29" s="859">
        <f>+'SUMM BY CLUSTER- CURRENT'!R77</f>
        <v>0</v>
      </c>
      <c r="S29" s="859">
        <f>+'SUMM BY CLUSTER- CURRENT'!S77</f>
        <v>0</v>
      </c>
      <c r="T29" s="859">
        <f>+'SUMM BY CLUSTER- CURRENT'!T77</f>
        <v>0</v>
      </c>
      <c r="U29" s="859">
        <f t="shared" si="4"/>
        <v>0</v>
      </c>
      <c r="V29" s="859">
        <f>+'SUMM BY CLUSTER- CURRENT'!V77</f>
        <v>0</v>
      </c>
      <c r="W29" s="859">
        <f>+'SUMM BY CLUSTER- CURRENT'!W77</f>
        <v>191506950</v>
      </c>
      <c r="X29" s="859">
        <f>+'SUMM BY CLUSTER- CURRENT'!X77</f>
        <v>3000000</v>
      </c>
      <c r="Y29" s="859">
        <f t="shared" si="5"/>
        <v>194506950</v>
      </c>
      <c r="Z29" s="859">
        <f t="shared" si="17"/>
        <v>87622000</v>
      </c>
      <c r="AA29" s="859">
        <f t="shared" si="18"/>
        <v>372088950</v>
      </c>
      <c r="AB29" s="859">
        <f t="shared" si="19"/>
        <v>3000000</v>
      </c>
      <c r="AC29" s="859">
        <f t="shared" si="6"/>
        <v>462710950</v>
      </c>
      <c r="AD29" s="859">
        <f>+'SUMM BY CLUSTER- CURRENT'!AD77</f>
        <v>71750097.140000001</v>
      </c>
      <c r="AE29" s="859">
        <f>+'SUMM BY CLUSTER- CURRENT'!AE77</f>
        <v>96482847.400000006</v>
      </c>
      <c r="AF29" s="859">
        <f>+'SUMM BY CLUSTER- CURRENT'!AF77</f>
        <v>0</v>
      </c>
      <c r="AG29" s="859">
        <f t="shared" si="7"/>
        <v>168232944.54000002</v>
      </c>
      <c r="AH29" s="859">
        <f>+'SUMM BY CLUSTER- CURRENT'!AH77</f>
        <v>0</v>
      </c>
      <c r="AI29" s="859">
        <f>+'SUMM BY CLUSTER- CURRENT'!AI77</f>
        <v>132681824.97</v>
      </c>
      <c r="AJ29" s="859">
        <f>+'SUMM BY CLUSTER- CURRENT'!AJ77</f>
        <v>999094.71</v>
      </c>
      <c r="AK29" s="859">
        <f t="shared" si="8"/>
        <v>133680919.67999999</v>
      </c>
      <c r="AL29" s="859">
        <f t="shared" si="20"/>
        <v>71750097.140000001</v>
      </c>
      <c r="AM29" s="859">
        <f t="shared" si="21"/>
        <v>229164672.37</v>
      </c>
      <c r="AN29" s="859">
        <f t="shared" si="22"/>
        <v>999094.71</v>
      </c>
      <c r="AO29" s="859">
        <f t="shared" si="9"/>
        <v>301913864.21999997</v>
      </c>
      <c r="AP29" s="859">
        <f t="shared" ref="AP29:AP34" si="58">+Z29-AL29</f>
        <v>15871902.859999999</v>
      </c>
      <c r="AQ29" s="859">
        <f t="shared" ref="AQ29:AQ34" si="59">+AA29-AM29</f>
        <v>142924277.63</v>
      </c>
      <c r="AR29" s="859">
        <f t="shared" ref="AR29:AR34" si="60">+AB29-AN29</f>
        <v>2000905.29</v>
      </c>
      <c r="AS29" s="859">
        <f t="shared" si="11"/>
        <v>160797085.78</v>
      </c>
      <c r="AT29" s="886">
        <f t="shared" si="55"/>
        <v>0.81885938622720322</v>
      </c>
      <c r="AU29" s="886">
        <f t="shared" si="55"/>
        <v>0.61588679903017818</v>
      </c>
      <c r="AV29" s="886">
        <f t="shared" si="55"/>
        <v>0.33303157</v>
      </c>
      <c r="AW29" s="886">
        <f t="shared" si="56"/>
        <v>0.6524891278669761</v>
      </c>
      <c r="AX29" s="22">
        <f t="shared" ref="AX29:AX34" si="61">+J29-N29</f>
        <v>0</v>
      </c>
      <c r="AY29" s="22">
        <f t="shared" ref="AY29:AY34" si="62">+K29-O29</f>
        <v>0</v>
      </c>
      <c r="AZ29" s="22">
        <f t="shared" ref="AZ29:AZ34" si="63">+L29-P29</f>
        <v>0</v>
      </c>
      <c r="BA29" s="859">
        <f t="shared" si="14"/>
        <v>0</v>
      </c>
    </row>
    <row r="30" spans="1:53" s="903" customFormat="1">
      <c r="A30" s="905" t="s">
        <v>1004</v>
      </c>
      <c r="B30" s="859">
        <f>+'SUMM BY CLUSTER- CURRENT'!B78</f>
        <v>146749000</v>
      </c>
      <c r="C30" s="859">
        <f>+'SUMM BY CLUSTER- CURRENT'!C78</f>
        <v>65891000</v>
      </c>
      <c r="D30" s="859">
        <f>+'SUMM BY CLUSTER- CURRENT'!D78</f>
        <v>0</v>
      </c>
      <c r="E30" s="859">
        <f t="shared" si="1"/>
        <v>212640000</v>
      </c>
      <c r="F30" s="859">
        <f>+'SUMM BY CLUSTER- CURRENT'!F78</f>
        <v>0</v>
      </c>
      <c r="G30" s="859">
        <f>+'SUMM BY CLUSTER- CURRENT'!G78</f>
        <v>0</v>
      </c>
      <c r="H30" s="859">
        <f>+'SUMM BY CLUSTER- CURRENT'!H78</f>
        <v>0</v>
      </c>
      <c r="I30" s="859">
        <f>SUM('CY-FUR (REG)- Detail'!J140:J142)</f>
        <v>0</v>
      </c>
      <c r="J30" s="859">
        <f>+'SUMM BY CLUSTER- CURRENT'!J78</f>
        <v>146749000</v>
      </c>
      <c r="K30" s="859">
        <f>+'SUMM BY CLUSTER- CURRENT'!K78</f>
        <v>65891000</v>
      </c>
      <c r="L30" s="859">
        <f>+'SUMM BY CLUSTER- CURRENT'!L78</f>
        <v>0</v>
      </c>
      <c r="M30" s="859">
        <f t="shared" si="2"/>
        <v>212640000</v>
      </c>
      <c r="N30" s="859">
        <f>+'SUMM BY CLUSTER- CURRENT'!N78</f>
        <v>146749000</v>
      </c>
      <c r="O30" s="859">
        <f>+'SUMM BY CLUSTER- CURRENT'!O78</f>
        <v>65891000</v>
      </c>
      <c r="P30" s="859">
        <f>+'SUMM BY CLUSTER- CURRENT'!P78</f>
        <v>0</v>
      </c>
      <c r="Q30" s="859">
        <f t="shared" si="3"/>
        <v>212640000</v>
      </c>
      <c r="R30" s="859">
        <f>+'SUMM BY CLUSTER- CURRENT'!R78</f>
        <v>0</v>
      </c>
      <c r="S30" s="859">
        <f>+'SUMM BY CLUSTER- CURRENT'!S78</f>
        <v>0</v>
      </c>
      <c r="T30" s="859">
        <f>+'SUMM BY CLUSTER- CURRENT'!T78</f>
        <v>0</v>
      </c>
      <c r="U30" s="859">
        <f t="shared" si="4"/>
        <v>0</v>
      </c>
      <c r="V30" s="859">
        <f>+'SUMM BY CLUSTER- CURRENT'!V78</f>
        <v>0</v>
      </c>
      <c r="W30" s="859">
        <f>+'SUMM BY CLUSTER- CURRENT'!W78</f>
        <v>23095000</v>
      </c>
      <c r="X30" s="859">
        <f>+'SUMM BY CLUSTER- CURRENT'!X78</f>
        <v>54292000</v>
      </c>
      <c r="Y30" s="859">
        <f t="shared" si="5"/>
        <v>77387000</v>
      </c>
      <c r="Z30" s="859">
        <f t="shared" si="17"/>
        <v>146749000</v>
      </c>
      <c r="AA30" s="859">
        <f t="shared" si="18"/>
        <v>88986000</v>
      </c>
      <c r="AB30" s="859">
        <f t="shared" si="19"/>
        <v>54292000</v>
      </c>
      <c r="AC30" s="859">
        <f t="shared" si="6"/>
        <v>290027000</v>
      </c>
      <c r="AD30" s="859">
        <f>+'SUMM BY CLUSTER- CURRENT'!AD78</f>
        <v>128935466.89</v>
      </c>
      <c r="AE30" s="859">
        <f>+'SUMM BY CLUSTER- CURRENT'!AE78</f>
        <v>51088599.540000007</v>
      </c>
      <c r="AF30" s="859">
        <f>+'SUMM BY CLUSTER- CURRENT'!AF78</f>
        <v>0</v>
      </c>
      <c r="AG30" s="859">
        <f t="shared" si="7"/>
        <v>180024066.43000001</v>
      </c>
      <c r="AH30" s="859">
        <f>+'SUMM BY CLUSTER- CURRENT'!AH78</f>
        <v>0</v>
      </c>
      <c r="AI30" s="859">
        <f>+'SUMM BY CLUSTER- CURRENT'!AI78</f>
        <v>19249475.559999999</v>
      </c>
      <c r="AJ30" s="859">
        <f>+'SUMM BY CLUSTER- CURRENT'!AJ78</f>
        <v>53456776.759999998</v>
      </c>
      <c r="AK30" s="859">
        <f t="shared" si="8"/>
        <v>72706252.319999993</v>
      </c>
      <c r="AL30" s="859">
        <f t="shared" si="20"/>
        <v>128935466.89</v>
      </c>
      <c r="AM30" s="859">
        <f t="shared" si="21"/>
        <v>70338075.100000009</v>
      </c>
      <c r="AN30" s="859">
        <f t="shared" si="22"/>
        <v>53456776.759999998</v>
      </c>
      <c r="AO30" s="859">
        <f t="shared" si="9"/>
        <v>252730318.75</v>
      </c>
      <c r="AP30" s="859">
        <f t="shared" si="58"/>
        <v>17813533.109999999</v>
      </c>
      <c r="AQ30" s="859">
        <f t="shared" si="59"/>
        <v>18647924.899999991</v>
      </c>
      <c r="AR30" s="859">
        <f t="shared" si="60"/>
        <v>835223.24000000209</v>
      </c>
      <c r="AS30" s="859">
        <f t="shared" si="11"/>
        <v>37296681.249999993</v>
      </c>
      <c r="AT30" s="886">
        <f t="shared" si="55"/>
        <v>0.8786122351089275</v>
      </c>
      <c r="AU30" s="886">
        <f t="shared" si="55"/>
        <v>0.79043978940507509</v>
      </c>
      <c r="AV30" s="886">
        <f t="shared" si="55"/>
        <v>0.98461609003168049</v>
      </c>
      <c r="AW30" s="886">
        <f t="shared" si="56"/>
        <v>0.87140272715988509</v>
      </c>
      <c r="AX30" s="22">
        <f t="shared" si="61"/>
        <v>0</v>
      </c>
      <c r="AY30" s="22">
        <f t="shared" si="62"/>
        <v>0</v>
      </c>
      <c r="AZ30" s="22">
        <f t="shared" si="63"/>
        <v>0</v>
      </c>
      <c r="BA30" s="859">
        <f t="shared" si="14"/>
        <v>0</v>
      </c>
    </row>
    <row r="31" spans="1:53" s="903" customFormat="1">
      <c r="A31" s="905" t="s">
        <v>1005</v>
      </c>
      <c r="B31" s="859">
        <f>+'SUMM BY CLUSTER- CURRENT'!B79</f>
        <v>13165000</v>
      </c>
      <c r="C31" s="859">
        <f>+'SUMM BY CLUSTER- CURRENT'!C79</f>
        <v>3633000</v>
      </c>
      <c r="D31" s="859">
        <f>+'SUMM BY CLUSTER- CURRENT'!D79</f>
        <v>0</v>
      </c>
      <c r="E31" s="859">
        <f t="shared" si="1"/>
        <v>16798000</v>
      </c>
      <c r="F31" s="859">
        <f>+'SUMM BY CLUSTER- CURRENT'!F79</f>
        <v>0</v>
      </c>
      <c r="G31" s="859">
        <f>+'SUMM BY CLUSTER- CURRENT'!G79</f>
        <v>0</v>
      </c>
      <c r="H31" s="859">
        <f>+'SUMM BY CLUSTER- CURRENT'!H79</f>
        <v>0</v>
      </c>
      <c r="I31" s="859">
        <f>SUM('CY-FUR (REG)- Detail'!J141:J143)</f>
        <v>0</v>
      </c>
      <c r="J31" s="859">
        <f>+'SUMM BY CLUSTER- CURRENT'!J79</f>
        <v>13165000</v>
      </c>
      <c r="K31" s="859">
        <f>+'SUMM BY CLUSTER- CURRENT'!K79</f>
        <v>3633000</v>
      </c>
      <c r="L31" s="859">
        <f>+'SUMM BY CLUSTER- CURRENT'!L79</f>
        <v>0</v>
      </c>
      <c r="M31" s="859">
        <f t="shared" si="2"/>
        <v>16798000</v>
      </c>
      <c r="N31" s="859">
        <f>+'SUMM BY CLUSTER- CURRENT'!N79</f>
        <v>13165000</v>
      </c>
      <c r="O31" s="859">
        <f>+'SUMM BY CLUSTER- CURRENT'!O79</f>
        <v>3633000</v>
      </c>
      <c r="P31" s="859">
        <f>+'SUMM BY CLUSTER- CURRENT'!P79</f>
        <v>0</v>
      </c>
      <c r="Q31" s="859">
        <f t="shared" si="3"/>
        <v>16798000</v>
      </c>
      <c r="R31" s="859">
        <f>+'SUMM BY CLUSTER- CURRENT'!R79</f>
        <v>0</v>
      </c>
      <c r="S31" s="859">
        <f>+'SUMM BY CLUSTER- CURRENT'!S79</f>
        <v>0</v>
      </c>
      <c r="T31" s="859">
        <f>+'SUMM BY CLUSTER- CURRENT'!T79</f>
        <v>0</v>
      </c>
      <c r="U31" s="859">
        <f t="shared" si="4"/>
        <v>0</v>
      </c>
      <c r="V31" s="859">
        <f>+'SUMM BY CLUSTER- CURRENT'!V79</f>
        <v>0</v>
      </c>
      <c r="W31" s="859">
        <f>+'SUMM BY CLUSTER- CURRENT'!W79</f>
        <v>1786000</v>
      </c>
      <c r="X31" s="859">
        <f>+'SUMM BY CLUSTER- CURRENT'!X79</f>
        <v>0</v>
      </c>
      <c r="Y31" s="859">
        <f t="shared" si="5"/>
        <v>1786000</v>
      </c>
      <c r="Z31" s="859">
        <f t="shared" si="17"/>
        <v>13165000</v>
      </c>
      <c r="AA31" s="859">
        <f t="shared" si="18"/>
        <v>5419000</v>
      </c>
      <c r="AB31" s="859">
        <f t="shared" si="19"/>
        <v>0</v>
      </c>
      <c r="AC31" s="859">
        <f t="shared" si="6"/>
        <v>18584000</v>
      </c>
      <c r="AD31" s="859">
        <f>+'SUMM BY CLUSTER- CURRENT'!AD79</f>
        <v>11900577.4</v>
      </c>
      <c r="AE31" s="859">
        <f>+'SUMM BY CLUSTER- CURRENT'!AE79</f>
        <v>2176244.88</v>
      </c>
      <c r="AF31" s="859">
        <f>+'SUMM BY CLUSTER- CURRENT'!AF79</f>
        <v>0</v>
      </c>
      <c r="AG31" s="859">
        <f t="shared" si="7"/>
        <v>14076822.280000001</v>
      </c>
      <c r="AH31" s="859">
        <f>+'SUMM BY CLUSTER- CURRENT'!AH79</f>
        <v>0</v>
      </c>
      <c r="AI31" s="859">
        <f>+'SUMM BY CLUSTER- CURRENT'!AI79</f>
        <v>1360386.05</v>
      </c>
      <c r="AJ31" s="859">
        <f>+'SUMM BY CLUSTER- CURRENT'!AJ79</f>
        <v>0</v>
      </c>
      <c r="AK31" s="859">
        <f t="shared" si="8"/>
        <v>1360386.05</v>
      </c>
      <c r="AL31" s="859">
        <f t="shared" si="20"/>
        <v>11900577.4</v>
      </c>
      <c r="AM31" s="859">
        <f t="shared" si="21"/>
        <v>3536630.9299999997</v>
      </c>
      <c r="AN31" s="859">
        <f t="shared" si="22"/>
        <v>0</v>
      </c>
      <c r="AO31" s="859">
        <f t="shared" si="9"/>
        <v>15437208.33</v>
      </c>
      <c r="AP31" s="859">
        <f t="shared" si="58"/>
        <v>1264422.5999999996</v>
      </c>
      <c r="AQ31" s="859">
        <f t="shared" si="59"/>
        <v>1882369.0700000003</v>
      </c>
      <c r="AR31" s="859">
        <f t="shared" si="60"/>
        <v>0</v>
      </c>
      <c r="AS31" s="859">
        <f t="shared" si="11"/>
        <v>3146791.67</v>
      </c>
      <c r="AT31" s="886">
        <f t="shared" si="55"/>
        <v>0.9039557462969996</v>
      </c>
      <c r="AU31" s="886">
        <f t="shared" si="55"/>
        <v>0.65263534415943891</v>
      </c>
      <c r="AV31" s="886" t="str">
        <f t="shared" si="55"/>
        <v xml:space="preserve"> </v>
      </c>
      <c r="AW31" s="886">
        <f t="shared" si="56"/>
        <v>0.83067199365045197</v>
      </c>
      <c r="AX31" s="22">
        <f t="shared" si="61"/>
        <v>0</v>
      </c>
      <c r="AY31" s="22">
        <f t="shared" si="62"/>
        <v>0</v>
      </c>
      <c r="AZ31" s="22">
        <f t="shared" si="63"/>
        <v>0</v>
      </c>
      <c r="BA31" s="859">
        <f t="shared" si="14"/>
        <v>0</v>
      </c>
    </row>
    <row r="32" spans="1:53" s="903" customFormat="1">
      <c r="A32" s="905" t="s">
        <v>1006</v>
      </c>
      <c r="B32" s="859">
        <f>+'SUMM BY CLUSTER- CURRENT'!B80</f>
        <v>116247000</v>
      </c>
      <c r="C32" s="859">
        <f>+'SUMM BY CLUSTER- CURRENT'!C80</f>
        <v>42240000</v>
      </c>
      <c r="D32" s="859">
        <f>+'SUMM BY CLUSTER- CURRENT'!D80</f>
        <v>0</v>
      </c>
      <c r="E32" s="859">
        <f t="shared" si="1"/>
        <v>158487000</v>
      </c>
      <c r="F32" s="859">
        <f>+'SUMM BY CLUSTER- CURRENT'!F80</f>
        <v>0</v>
      </c>
      <c r="G32" s="859">
        <f>+'SUMM BY CLUSTER- CURRENT'!G80</f>
        <v>0</v>
      </c>
      <c r="H32" s="859">
        <f>+'SUMM BY CLUSTER- CURRENT'!H80</f>
        <v>0</v>
      </c>
      <c r="I32" s="859">
        <f>SUM('CY-FUR (REG)- Detail'!J142:J144)</f>
        <v>0</v>
      </c>
      <c r="J32" s="859">
        <f>+'SUMM BY CLUSTER- CURRENT'!J80</f>
        <v>116247000</v>
      </c>
      <c r="K32" s="859">
        <f>+'SUMM BY CLUSTER- CURRENT'!K80</f>
        <v>42240000</v>
      </c>
      <c r="L32" s="859">
        <f>+'SUMM BY CLUSTER- CURRENT'!L80</f>
        <v>0</v>
      </c>
      <c r="M32" s="859">
        <f t="shared" si="2"/>
        <v>158487000</v>
      </c>
      <c r="N32" s="859">
        <f>+'SUMM BY CLUSTER- CURRENT'!N80</f>
        <v>116247000</v>
      </c>
      <c r="O32" s="859">
        <f>+'SUMM BY CLUSTER- CURRENT'!O80</f>
        <v>42240000</v>
      </c>
      <c r="P32" s="859">
        <f>+'SUMM BY CLUSTER- CURRENT'!P80</f>
        <v>0</v>
      </c>
      <c r="Q32" s="859">
        <f t="shared" si="3"/>
        <v>158487000</v>
      </c>
      <c r="R32" s="859">
        <f>+'SUMM BY CLUSTER- CURRENT'!R80</f>
        <v>0</v>
      </c>
      <c r="S32" s="859">
        <f>+'SUMM BY CLUSTER- CURRENT'!S80</f>
        <v>0</v>
      </c>
      <c r="T32" s="859">
        <f>+'SUMM BY CLUSTER- CURRENT'!T80</f>
        <v>0</v>
      </c>
      <c r="U32" s="859">
        <f t="shared" si="4"/>
        <v>0</v>
      </c>
      <c r="V32" s="859">
        <f>+'SUMM BY CLUSTER- CURRENT'!V80</f>
        <v>0</v>
      </c>
      <c r="W32" s="859">
        <f>+'SUMM BY CLUSTER- CURRENT'!W80</f>
        <v>18972000</v>
      </c>
      <c r="X32" s="859">
        <f>+'SUMM BY CLUSTER- CURRENT'!X80</f>
        <v>250000000</v>
      </c>
      <c r="Y32" s="859">
        <f t="shared" si="5"/>
        <v>268972000</v>
      </c>
      <c r="Z32" s="859">
        <f t="shared" si="17"/>
        <v>116247000</v>
      </c>
      <c r="AA32" s="859">
        <f t="shared" si="18"/>
        <v>61212000</v>
      </c>
      <c r="AB32" s="859">
        <f t="shared" si="19"/>
        <v>250000000</v>
      </c>
      <c r="AC32" s="859">
        <f t="shared" si="6"/>
        <v>427459000</v>
      </c>
      <c r="AD32" s="859">
        <f>+'SUMM BY CLUSTER- CURRENT'!AD80</f>
        <v>105172288.81</v>
      </c>
      <c r="AE32" s="859">
        <f>+'SUMM BY CLUSTER- CURRENT'!AE80</f>
        <v>25785276.439999998</v>
      </c>
      <c r="AF32" s="859">
        <f>+'SUMM BY CLUSTER- CURRENT'!AF80</f>
        <v>0</v>
      </c>
      <c r="AG32" s="859">
        <f t="shared" si="7"/>
        <v>130957565.25</v>
      </c>
      <c r="AH32" s="859">
        <f>+'SUMM BY CLUSTER- CURRENT'!AH80</f>
        <v>0</v>
      </c>
      <c r="AI32" s="859">
        <f>+'SUMM BY CLUSTER- CURRENT'!AI80</f>
        <v>15312851.430000002</v>
      </c>
      <c r="AJ32" s="859">
        <f>+'SUMM BY CLUSTER- CURRENT'!AJ80</f>
        <v>244815134.41999999</v>
      </c>
      <c r="AK32" s="859">
        <f t="shared" si="8"/>
        <v>260127985.84999999</v>
      </c>
      <c r="AL32" s="859">
        <f t="shared" si="20"/>
        <v>105172288.81</v>
      </c>
      <c r="AM32" s="859">
        <f t="shared" si="21"/>
        <v>41098127.869999997</v>
      </c>
      <c r="AN32" s="859">
        <f t="shared" si="22"/>
        <v>244815134.41999999</v>
      </c>
      <c r="AO32" s="859">
        <f t="shared" si="9"/>
        <v>391085551.10000002</v>
      </c>
      <c r="AP32" s="859">
        <f t="shared" si="58"/>
        <v>11074711.189999998</v>
      </c>
      <c r="AQ32" s="859">
        <f t="shared" si="59"/>
        <v>20113872.130000003</v>
      </c>
      <c r="AR32" s="859">
        <f t="shared" si="60"/>
        <v>5184865.5800000131</v>
      </c>
      <c r="AS32" s="859">
        <f t="shared" si="11"/>
        <v>36373448.900000013</v>
      </c>
      <c r="AT32" s="886">
        <f t="shared" si="55"/>
        <v>0.90473120863334111</v>
      </c>
      <c r="AU32" s="886">
        <f t="shared" si="55"/>
        <v>0.67140638877997771</v>
      </c>
      <c r="AV32" s="886">
        <f t="shared" si="55"/>
        <v>0.97926053767999999</v>
      </c>
      <c r="AW32" s="886">
        <f t="shared" si="56"/>
        <v>0.91490774811151487</v>
      </c>
      <c r="AX32" s="22">
        <f t="shared" si="61"/>
        <v>0</v>
      </c>
      <c r="AY32" s="22">
        <f t="shared" si="62"/>
        <v>0</v>
      </c>
      <c r="AZ32" s="22">
        <f t="shared" si="63"/>
        <v>0</v>
      </c>
      <c r="BA32" s="859">
        <f t="shared" si="14"/>
        <v>0</v>
      </c>
    </row>
    <row r="33" spans="1:53" s="903" customFormat="1">
      <c r="A33" s="905" t="s">
        <v>1007</v>
      </c>
      <c r="B33" s="859">
        <f>+'SUMM BY CLUSTER- CURRENT'!B81</f>
        <v>21038000</v>
      </c>
      <c r="C33" s="859">
        <f>+'SUMM BY CLUSTER- CURRENT'!C81</f>
        <v>39648000</v>
      </c>
      <c r="D33" s="859">
        <f>+'SUMM BY CLUSTER- CURRENT'!D81</f>
        <v>0</v>
      </c>
      <c r="E33" s="859">
        <f t="shared" si="1"/>
        <v>60686000</v>
      </c>
      <c r="F33" s="859">
        <f>+'SUMM BY CLUSTER- CURRENT'!F81</f>
        <v>0</v>
      </c>
      <c r="G33" s="859">
        <f>+'SUMM BY CLUSTER- CURRENT'!G81</f>
        <v>0</v>
      </c>
      <c r="H33" s="859">
        <f>+'SUMM BY CLUSTER- CURRENT'!H81</f>
        <v>0</v>
      </c>
      <c r="I33" s="859">
        <f>SUM('CY-FUR (REG)- Detail'!J143:J145)</f>
        <v>0</v>
      </c>
      <c r="J33" s="859">
        <f>+'SUMM BY CLUSTER- CURRENT'!J81</f>
        <v>21038000</v>
      </c>
      <c r="K33" s="859">
        <f>+'SUMM BY CLUSTER- CURRENT'!K81</f>
        <v>39648000</v>
      </c>
      <c r="L33" s="859">
        <f>+'SUMM BY CLUSTER- CURRENT'!L81</f>
        <v>0</v>
      </c>
      <c r="M33" s="859">
        <f t="shared" si="2"/>
        <v>60686000</v>
      </c>
      <c r="N33" s="859">
        <f>+'SUMM BY CLUSTER- CURRENT'!N81</f>
        <v>21038000</v>
      </c>
      <c r="O33" s="859">
        <f>+'SUMM BY CLUSTER- CURRENT'!O81</f>
        <v>39648000</v>
      </c>
      <c r="P33" s="859">
        <f>+'SUMM BY CLUSTER- CURRENT'!P81</f>
        <v>0</v>
      </c>
      <c r="Q33" s="859">
        <f t="shared" si="3"/>
        <v>60686000</v>
      </c>
      <c r="R33" s="859">
        <f>+'SUMM BY CLUSTER- CURRENT'!R81</f>
        <v>0</v>
      </c>
      <c r="S33" s="859">
        <f>+'SUMM BY CLUSTER- CURRENT'!S81</f>
        <v>0</v>
      </c>
      <c r="T33" s="859">
        <f>+'SUMM BY CLUSTER- CURRENT'!T81</f>
        <v>0</v>
      </c>
      <c r="U33" s="859">
        <f t="shared" si="4"/>
        <v>0</v>
      </c>
      <c r="V33" s="859">
        <f>+'SUMM BY CLUSTER- CURRENT'!V81</f>
        <v>0</v>
      </c>
      <c r="W33" s="859">
        <f>+'SUMM BY CLUSTER- CURRENT'!W81</f>
        <v>6970000</v>
      </c>
      <c r="X33" s="859">
        <f>+'SUMM BY CLUSTER- CURRENT'!X81</f>
        <v>20000000</v>
      </c>
      <c r="Y33" s="859">
        <f t="shared" si="5"/>
        <v>26970000</v>
      </c>
      <c r="Z33" s="859">
        <f t="shared" si="17"/>
        <v>21038000</v>
      </c>
      <c r="AA33" s="859">
        <f t="shared" si="18"/>
        <v>46618000</v>
      </c>
      <c r="AB33" s="859">
        <f t="shared" si="19"/>
        <v>20000000</v>
      </c>
      <c r="AC33" s="859">
        <f t="shared" si="6"/>
        <v>87656000</v>
      </c>
      <c r="AD33" s="859">
        <f>+'SUMM BY CLUSTER- CURRENT'!AD81</f>
        <v>19154232.379999999</v>
      </c>
      <c r="AE33" s="859">
        <f>+'SUMM BY CLUSTER- CURRENT'!AE81</f>
        <v>30090472.549999997</v>
      </c>
      <c r="AF33" s="859">
        <f>+'SUMM BY CLUSTER- CURRENT'!AF81</f>
        <v>0</v>
      </c>
      <c r="AG33" s="859">
        <f t="shared" si="7"/>
        <v>49244704.929999992</v>
      </c>
      <c r="AH33" s="859">
        <f>+'SUMM BY CLUSTER- CURRENT'!AH81</f>
        <v>0</v>
      </c>
      <c r="AI33" s="859">
        <f>+'SUMM BY CLUSTER- CURRENT'!AI81</f>
        <v>5324104.37</v>
      </c>
      <c r="AJ33" s="859">
        <f>+'SUMM BY CLUSTER- CURRENT'!AJ81</f>
        <v>17526788.68</v>
      </c>
      <c r="AK33" s="859">
        <f t="shared" si="8"/>
        <v>22850893.050000001</v>
      </c>
      <c r="AL33" s="859">
        <f t="shared" si="20"/>
        <v>19154232.379999999</v>
      </c>
      <c r="AM33" s="859">
        <f t="shared" si="21"/>
        <v>35414576.919999994</v>
      </c>
      <c r="AN33" s="859">
        <f t="shared" si="22"/>
        <v>17526788.68</v>
      </c>
      <c r="AO33" s="859">
        <f t="shared" si="9"/>
        <v>72095597.979999989</v>
      </c>
      <c r="AP33" s="859">
        <f t="shared" si="58"/>
        <v>1883767.620000001</v>
      </c>
      <c r="AQ33" s="859">
        <f t="shared" si="59"/>
        <v>11203423.080000006</v>
      </c>
      <c r="AR33" s="859">
        <f t="shared" si="60"/>
        <v>2473211.3200000003</v>
      </c>
      <c r="AS33" s="859">
        <f t="shared" si="11"/>
        <v>15560402.020000007</v>
      </c>
      <c r="AT33" s="886">
        <f t="shared" si="55"/>
        <v>0.91045880692080994</v>
      </c>
      <c r="AU33" s="886">
        <f t="shared" si="55"/>
        <v>0.75967602471148477</v>
      </c>
      <c r="AV33" s="886">
        <f t="shared" si="55"/>
        <v>0.87633943400000003</v>
      </c>
      <c r="AW33" s="886">
        <f t="shared" si="56"/>
        <v>0.82248332093638754</v>
      </c>
      <c r="AX33" s="22">
        <f t="shared" si="61"/>
        <v>0</v>
      </c>
      <c r="AY33" s="22">
        <f t="shared" si="62"/>
        <v>0</v>
      </c>
      <c r="AZ33" s="22">
        <f t="shared" si="63"/>
        <v>0</v>
      </c>
      <c r="BA33" s="859">
        <f t="shared" si="14"/>
        <v>0</v>
      </c>
    </row>
    <row r="34" spans="1:53" s="903" customFormat="1">
      <c r="A34" s="905" t="s">
        <v>1008</v>
      </c>
      <c r="B34" s="859">
        <f>+'SUMM BY CLUSTER- CURRENT'!B82</f>
        <v>56602000</v>
      </c>
      <c r="C34" s="859">
        <f>+'SUMM BY CLUSTER- CURRENT'!C82</f>
        <v>17387000</v>
      </c>
      <c r="D34" s="859">
        <f>+'SUMM BY CLUSTER- CURRENT'!D82</f>
        <v>0</v>
      </c>
      <c r="E34" s="859">
        <f t="shared" si="1"/>
        <v>73989000</v>
      </c>
      <c r="F34" s="859">
        <f>+'SUMM BY CLUSTER- CURRENT'!F82</f>
        <v>0</v>
      </c>
      <c r="G34" s="859">
        <f>+'SUMM BY CLUSTER- CURRENT'!G82</f>
        <v>0</v>
      </c>
      <c r="H34" s="859">
        <f>+'SUMM BY CLUSTER- CURRENT'!H82</f>
        <v>0</v>
      </c>
      <c r="I34" s="859">
        <f>SUM('CY-FUR (REG)- Detail'!J144:J146)</f>
        <v>0</v>
      </c>
      <c r="J34" s="859">
        <f>+'SUMM BY CLUSTER- CURRENT'!J82</f>
        <v>56602000</v>
      </c>
      <c r="K34" s="859">
        <f>+'SUMM BY CLUSTER- CURRENT'!K82</f>
        <v>17387000</v>
      </c>
      <c r="L34" s="859">
        <f>+'SUMM BY CLUSTER- CURRENT'!L82</f>
        <v>0</v>
      </c>
      <c r="M34" s="859">
        <f t="shared" si="2"/>
        <v>73989000</v>
      </c>
      <c r="N34" s="859">
        <f>+'SUMM BY CLUSTER- CURRENT'!N82</f>
        <v>56602000</v>
      </c>
      <c r="O34" s="859">
        <f>+'SUMM BY CLUSTER- CURRENT'!O82</f>
        <v>17387000</v>
      </c>
      <c r="P34" s="859">
        <f>+'SUMM BY CLUSTER- CURRENT'!P82</f>
        <v>0</v>
      </c>
      <c r="Q34" s="859">
        <f t="shared" si="3"/>
        <v>73989000</v>
      </c>
      <c r="R34" s="859">
        <f>+'SUMM BY CLUSTER- CURRENT'!R82</f>
        <v>0</v>
      </c>
      <c r="S34" s="859">
        <f>+'SUMM BY CLUSTER- CURRENT'!S82</f>
        <v>0</v>
      </c>
      <c r="T34" s="859">
        <f>+'SUMM BY CLUSTER- CURRENT'!T82</f>
        <v>0</v>
      </c>
      <c r="U34" s="859">
        <f t="shared" si="4"/>
        <v>0</v>
      </c>
      <c r="V34" s="859">
        <f>+'SUMM BY CLUSTER- CURRENT'!V82</f>
        <v>827006</v>
      </c>
      <c r="W34" s="859">
        <f>+'SUMM BY CLUSTER- CURRENT'!W82</f>
        <v>13460000</v>
      </c>
      <c r="X34" s="859">
        <f>+'SUMM BY CLUSTER- CURRENT'!X82</f>
        <v>0</v>
      </c>
      <c r="Y34" s="859">
        <f t="shared" si="5"/>
        <v>14287006</v>
      </c>
      <c r="Z34" s="859">
        <f t="shared" si="17"/>
        <v>57429006</v>
      </c>
      <c r="AA34" s="859">
        <f t="shared" si="18"/>
        <v>30847000</v>
      </c>
      <c r="AB34" s="859">
        <f t="shared" si="19"/>
        <v>0</v>
      </c>
      <c r="AC34" s="859">
        <f t="shared" si="6"/>
        <v>88276006</v>
      </c>
      <c r="AD34" s="859">
        <f>+'SUMM BY CLUSTER- CURRENT'!AD82</f>
        <v>49974049.61999999</v>
      </c>
      <c r="AE34" s="859">
        <f>+'SUMM BY CLUSTER- CURRENT'!AE82</f>
        <v>13166312.760000002</v>
      </c>
      <c r="AF34" s="859">
        <f>+'SUMM BY CLUSTER- CURRENT'!AF82</f>
        <v>0</v>
      </c>
      <c r="AG34" s="859">
        <f t="shared" si="7"/>
        <v>63140362.379999995</v>
      </c>
      <c r="AH34" s="859">
        <f>+'SUMM BY CLUSTER- CURRENT'!AH82</f>
        <v>763888.76999999979</v>
      </c>
      <c r="AI34" s="859">
        <f>+'SUMM BY CLUSTER- CURRENT'!AI82</f>
        <v>12620650.439999999</v>
      </c>
      <c r="AJ34" s="859">
        <f>+'SUMM BY CLUSTER- CURRENT'!AJ82</f>
        <v>0</v>
      </c>
      <c r="AK34" s="859">
        <f t="shared" si="8"/>
        <v>13384539.209999999</v>
      </c>
      <c r="AL34" s="859">
        <f t="shared" si="20"/>
        <v>50737938.389999993</v>
      </c>
      <c r="AM34" s="859">
        <f t="shared" si="21"/>
        <v>25786963.200000003</v>
      </c>
      <c r="AN34" s="859">
        <f t="shared" si="22"/>
        <v>0</v>
      </c>
      <c r="AO34" s="859">
        <f t="shared" si="9"/>
        <v>76524901.590000004</v>
      </c>
      <c r="AP34" s="859">
        <f t="shared" si="58"/>
        <v>6691067.6100000069</v>
      </c>
      <c r="AQ34" s="859">
        <f t="shared" si="59"/>
        <v>5060036.799999997</v>
      </c>
      <c r="AR34" s="859">
        <f t="shared" si="60"/>
        <v>0</v>
      </c>
      <c r="AS34" s="859">
        <f t="shared" si="11"/>
        <v>11751104.410000004</v>
      </c>
      <c r="AT34" s="886">
        <f t="shared" si="55"/>
        <v>0.88348975411484565</v>
      </c>
      <c r="AU34" s="886">
        <f t="shared" si="55"/>
        <v>0.83596340649009637</v>
      </c>
      <c r="AV34" s="886" t="str">
        <f t="shared" si="55"/>
        <v xml:space="preserve"> </v>
      </c>
      <c r="AW34" s="886">
        <f t="shared" si="56"/>
        <v>0.86688223739982073</v>
      </c>
      <c r="AX34" s="22">
        <f t="shared" si="61"/>
        <v>0</v>
      </c>
      <c r="AY34" s="22">
        <f t="shared" si="62"/>
        <v>0</v>
      </c>
      <c r="AZ34" s="22">
        <f t="shared" si="63"/>
        <v>0</v>
      </c>
      <c r="BA34" s="859">
        <f t="shared" si="14"/>
        <v>0</v>
      </c>
    </row>
    <row r="35" spans="1:53" s="925" customFormat="1" ht="23.25" customHeight="1">
      <c r="A35" s="921" t="s">
        <v>1057</v>
      </c>
      <c r="B35" s="922">
        <f>+B28+B21+B15+B8</f>
        <v>1526094000</v>
      </c>
      <c r="C35" s="922">
        <f t="shared" ref="C35:AS35" si="64">+C28+C21+C15+C8</f>
        <v>1069039000</v>
      </c>
      <c r="D35" s="922">
        <f t="shared" si="64"/>
        <v>0</v>
      </c>
      <c r="E35" s="922">
        <f t="shared" si="64"/>
        <v>2595133000</v>
      </c>
      <c r="F35" s="922">
        <f t="shared" si="64"/>
        <v>0</v>
      </c>
      <c r="G35" s="922">
        <f t="shared" si="64"/>
        <v>0</v>
      </c>
      <c r="H35" s="922">
        <f t="shared" si="64"/>
        <v>0</v>
      </c>
      <c r="I35" s="922">
        <f t="shared" si="64"/>
        <v>0</v>
      </c>
      <c r="J35" s="922">
        <f t="shared" si="64"/>
        <v>1526094000</v>
      </c>
      <c r="K35" s="922">
        <f t="shared" si="64"/>
        <v>1069039000</v>
      </c>
      <c r="L35" s="922">
        <f t="shared" si="64"/>
        <v>0</v>
      </c>
      <c r="M35" s="922">
        <f t="shared" si="64"/>
        <v>2595133000</v>
      </c>
      <c r="N35" s="922">
        <f t="shared" si="64"/>
        <v>1526094000</v>
      </c>
      <c r="O35" s="922">
        <f t="shared" si="64"/>
        <v>1069039000</v>
      </c>
      <c r="P35" s="922">
        <f t="shared" si="64"/>
        <v>0</v>
      </c>
      <c r="Q35" s="922">
        <f t="shared" si="64"/>
        <v>2595133000</v>
      </c>
      <c r="R35" s="922">
        <f t="shared" si="64"/>
        <v>0</v>
      </c>
      <c r="S35" s="922">
        <f t="shared" si="64"/>
        <v>0</v>
      </c>
      <c r="T35" s="922">
        <f t="shared" si="64"/>
        <v>0</v>
      </c>
      <c r="U35" s="922">
        <f t="shared" si="64"/>
        <v>0</v>
      </c>
      <c r="V35" s="922">
        <f t="shared" si="64"/>
        <v>827006</v>
      </c>
      <c r="W35" s="922">
        <f t="shared" si="64"/>
        <v>793774307</v>
      </c>
      <c r="X35" s="922">
        <f t="shared" si="64"/>
        <v>1102560729</v>
      </c>
      <c r="Y35" s="922">
        <f t="shared" si="64"/>
        <v>1897162042</v>
      </c>
      <c r="Z35" s="922">
        <f t="shared" si="64"/>
        <v>1526921006</v>
      </c>
      <c r="AA35" s="922">
        <f t="shared" si="64"/>
        <v>1862813307</v>
      </c>
      <c r="AB35" s="922">
        <f t="shared" si="64"/>
        <v>1102560729</v>
      </c>
      <c r="AC35" s="922">
        <f t="shared" si="64"/>
        <v>4492295042</v>
      </c>
      <c r="AD35" s="922">
        <f t="shared" si="64"/>
        <v>1373045383.28</v>
      </c>
      <c r="AE35" s="922">
        <f t="shared" si="64"/>
        <v>821686399.07000005</v>
      </c>
      <c r="AF35" s="922">
        <f t="shared" si="64"/>
        <v>0</v>
      </c>
      <c r="AG35" s="922">
        <f t="shared" si="64"/>
        <v>2194731782.3499999</v>
      </c>
      <c r="AH35" s="922">
        <f t="shared" si="64"/>
        <v>763888.76999999979</v>
      </c>
      <c r="AI35" s="922">
        <f t="shared" si="64"/>
        <v>631458971.04999995</v>
      </c>
      <c r="AJ35" s="922">
        <f t="shared" si="64"/>
        <v>1072210380.1300001</v>
      </c>
      <c r="AK35" s="922">
        <f t="shared" si="64"/>
        <v>1704433239.95</v>
      </c>
      <c r="AL35" s="922">
        <f t="shared" si="64"/>
        <v>1373809272.05</v>
      </c>
      <c r="AM35" s="922">
        <f t="shared" si="64"/>
        <v>1453145370.1199999</v>
      </c>
      <c r="AN35" s="922">
        <f t="shared" si="64"/>
        <v>1072210380.1300001</v>
      </c>
      <c r="AO35" s="922">
        <f t="shared" si="64"/>
        <v>3899165022.3000002</v>
      </c>
      <c r="AP35" s="922">
        <f t="shared" si="64"/>
        <v>153111733.95000005</v>
      </c>
      <c r="AQ35" s="922">
        <f t="shared" si="64"/>
        <v>409667936.88</v>
      </c>
      <c r="AR35" s="922">
        <f t="shared" si="64"/>
        <v>30350348.86999993</v>
      </c>
      <c r="AS35" s="922">
        <f t="shared" si="64"/>
        <v>593130019.69999993</v>
      </c>
      <c r="AT35" s="924">
        <f>IF(Z35=0," ",AL35/Z35)</f>
        <v>0.89972517677839847</v>
      </c>
      <c r="AU35" s="924">
        <f>IF(AA35=0," ",AM35/AA35)</f>
        <v>0.78008105517575621</v>
      </c>
      <c r="AV35" s="924">
        <f>IF(AB35=0," ",AN35/AB35)</f>
        <v>0.9724728551709555</v>
      </c>
      <c r="AW35" s="924">
        <f>IF(AC35=0," ",AO35/AC35)</f>
        <v>0.86796726079773823</v>
      </c>
      <c r="AX35" s="922">
        <f t="shared" ref="AX35:BA35" si="65">+AX8+AX15+AX21+AX28</f>
        <v>0</v>
      </c>
      <c r="AY35" s="922">
        <f t="shared" si="65"/>
        <v>0</v>
      </c>
      <c r="AZ35" s="922">
        <f t="shared" si="65"/>
        <v>0</v>
      </c>
      <c r="BA35" s="922">
        <f t="shared" si="65"/>
        <v>0</v>
      </c>
    </row>
    <row r="37" spans="1:53" hidden="1">
      <c r="B37" s="852">
        <f>+B35-'SUMM BY CLUSTER- CURRENT'!B55</f>
        <v>0</v>
      </c>
      <c r="C37" s="852">
        <f>+C35-'SUMM BY CLUSTER- CURRENT'!C55</f>
        <v>0</v>
      </c>
      <c r="D37" s="852">
        <f>+D35-'SUMM BY CLUSTER- CURRENT'!D55</f>
        <v>0</v>
      </c>
      <c r="E37" s="852">
        <f>+E35-'SUMM BY CLUSTER- CURRENT'!E55</f>
        <v>0</v>
      </c>
      <c r="F37" s="852">
        <f>+F35-'SUMM BY CLUSTER- CURRENT'!F55</f>
        <v>0</v>
      </c>
      <c r="G37" s="852">
        <f>+G35-'SUMM BY CLUSTER- CURRENT'!G55</f>
        <v>0</v>
      </c>
      <c r="H37" s="852">
        <f>+H35-'SUMM BY CLUSTER- CURRENT'!H55</f>
        <v>0</v>
      </c>
      <c r="I37" s="852">
        <f>+I35-'SUMM BY CLUSTER- CURRENT'!I55</f>
        <v>0</v>
      </c>
      <c r="J37" s="852">
        <f>+J35-'SUMM BY CLUSTER- CURRENT'!J55</f>
        <v>0</v>
      </c>
      <c r="K37" s="852">
        <f>+K35-'SUMM BY CLUSTER- CURRENT'!K55</f>
        <v>0</v>
      </c>
      <c r="L37" s="852">
        <f>+L35-'SUMM BY CLUSTER- CURRENT'!L55</f>
        <v>0</v>
      </c>
      <c r="M37" s="852">
        <f>+M35-'SUMM BY CLUSTER- CURRENT'!M55</f>
        <v>0</v>
      </c>
      <c r="N37" s="852">
        <f>+N35-'SUMM BY CLUSTER- CURRENT'!N55</f>
        <v>0</v>
      </c>
      <c r="O37" s="852">
        <f>+O35-'SUMM BY CLUSTER- CURRENT'!O55</f>
        <v>0</v>
      </c>
      <c r="P37" s="852">
        <f>+P35-'SUMM BY CLUSTER- CURRENT'!P55</f>
        <v>0</v>
      </c>
      <c r="Q37" s="852">
        <f>+Q35-'SUMM BY CLUSTER- CURRENT'!Q55</f>
        <v>0</v>
      </c>
      <c r="R37" s="852">
        <f>+R35-'SUMM BY CLUSTER- CURRENT'!R55</f>
        <v>0</v>
      </c>
      <c r="S37" s="852">
        <f>+S35-'SUMM BY CLUSTER- CURRENT'!S55</f>
        <v>0</v>
      </c>
      <c r="T37" s="852">
        <f>+T35-'SUMM BY CLUSTER- CURRENT'!T55</f>
        <v>0</v>
      </c>
      <c r="U37" s="852">
        <f>+U35-'SUMM BY CLUSTER- CURRENT'!U55</f>
        <v>0</v>
      </c>
      <c r="V37" s="852">
        <f>+V35-'SUMM BY CLUSTER- CURRENT'!V55</f>
        <v>0</v>
      </c>
      <c r="W37" s="852">
        <f>+W35-'SUMM BY CLUSTER- CURRENT'!W55</f>
        <v>0</v>
      </c>
      <c r="X37" s="852">
        <f>+X35-'SUMM BY CLUSTER- CURRENT'!X55</f>
        <v>0</v>
      </c>
      <c r="Y37" s="852">
        <f>+Y35-'SUMM BY CLUSTER- CURRENT'!Y55</f>
        <v>0</v>
      </c>
      <c r="Z37" s="852">
        <f>+Z35-'SUMM BY CLUSTER- CURRENT'!Z55</f>
        <v>0</v>
      </c>
      <c r="AA37" s="852">
        <f>+AA35-'SUMM BY CLUSTER- CURRENT'!AA55</f>
        <v>0</v>
      </c>
      <c r="AB37" s="852">
        <f>+AB35-'SUMM BY CLUSTER- CURRENT'!AB55</f>
        <v>0</v>
      </c>
      <c r="AC37" s="852">
        <f>+AC35-'SUMM BY CLUSTER- CURRENT'!AC55</f>
        <v>0</v>
      </c>
      <c r="AD37" s="852">
        <f>+AD35-'SUMM BY CLUSTER- CURRENT'!AD55</f>
        <v>0</v>
      </c>
      <c r="AE37" s="852">
        <f>+AE35-'SUMM BY CLUSTER- CURRENT'!AE55</f>
        <v>0</v>
      </c>
      <c r="AF37" s="852">
        <f>+AF35-'SUMM BY CLUSTER- CURRENT'!AF55</f>
        <v>0</v>
      </c>
      <c r="AG37" s="852">
        <f>+AG35-'SUMM BY CLUSTER- CURRENT'!AG55</f>
        <v>0</v>
      </c>
      <c r="AH37" s="852">
        <f>+AH35-'SUMM BY CLUSTER- CURRENT'!AH55</f>
        <v>0</v>
      </c>
      <c r="AI37" s="852">
        <f>+AI35-'SUMM BY CLUSTER- CURRENT'!AI55</f>
        <v>0</v>
      </c>
      <c r="AJ37" s="852">
        <f>+AJ35-'SUMM BY CLUSTER- CURRENT'!AJ55</f>
        <v>0</v>
      </c>
      <c r="AK37" s="852">
        <f>+AK35-'SUMM BY CLUSTER- CURRENT'!AK55</f>
        <v>0</v>
      </c>
      <c r="AL37" s="852">
        <f>+AL35-'SUMM BY CLUSTER- CURRENT'!AL55</f>
        <v>0</v>
      </c>
      <c r="AM37" s="852">
        <f>+AM35-'SUMM BY CLUSTER- CURRENT'!AM55</f>
        <v>0</v>
      </c>
      <c r="AN37" s="852">
        <f>+AN35-'SUMM BY CLUSTER- CURRENT'!AN55</f>
        <v>0</v>
      </c>
      <c r="AO37" s="852">
        <f>+AO35-'SUMM BY CLUSTER- CURRENT'!AO55</f>
        <v>0</v>
      </c>
      <c r="AP37" s="852">
        <f>+AP35-'SUMM BY CLUSTER- CURRENT'!AP55</f>
        <v>0</v>
      </c>
      <c r="AQ37" s="852">
        <f>+AQ35-'SUMM BY CLUSTER- CURRENT'!AQ55</f>
        <v>0</v>
      </c>
      <c r="AR37" s="852">
        <f>+AR35-'SUMM BY CLUSTER- CURRENT'!AR55</f>
        <v>4.4703483581542969E-8</v>
      </c>
      <c r="AS37" s="852">
        <f>+AS35-'SUMM BY CLUSTER- CURRENT'!AS55</f>
        <v>0</v>
      </c>
      <c r="AT37" s="852">
        <f>+AT35-'SUMM BY CLUSTER- CURRENT'!AT55</f>
        <v>0</v>
      </c>
      <c r="AU37" s="852">
        <f>+AU35-'SUMM BY CLUSTER- CURRENT'!AU55</f>
        <v>0</v>
      </c>
      <c r="AV37" s="852">
        <f>+AV35-'SUMM BY CLUSTER- CURRENT'!AV55</f>
        <v>0</v>
      </c>
      <c r="AW37" s="852">
        <f>+AW35-'SUMM BY CLUSTER- CURRENT'!AW55</f>
        <v>0</v>
      </c>
      <c r="AX37" s="852">
        <f>+AX35-'SUMM BY CLUSTER- CURRENT'!AX55</f>
        <v>0</v>
      </c>
      <c r="AY37" s="852">
        <f>+AY35-'SUMM BY CLUSTER- CURRENT'!AY55</f>
        <v>0</v>
      </c>
      <c r="AZ37" s="852">
        <f>+AZ35-'SUMM BY CLUSTER- CURRENT'!AZ55</f>
        <v>0</v>
      </c>
      <c r="BA37" s="852">
        <f>+BA35-'SUMM BY CLUSTER- CURRENT'!BA55</f>
        <v>0</v>
      </c>
    </row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0">
    <tabColor rgb="FFFFC000"/>
  </sheetPr>
  <dimension ref="A1:BL37"/>
  <sheetViews>
    <sheetView workbookViewId="0">
      <pane xSplit="1" ySplit="7" topLeftCell="U32" activePane="bottomRight" state="frozen"/>
      <selection pane="topRight" activeCell="B1" sqref="B1"/>
      <selection pane="bottomLeft" activeCell="A8" sqref="A8"/>
      <selection pane="bottomRight" activeCell="AP37" sqref="AP37"/>
    </sheetView>
  </sheetViews>
  <sheetFormatPr defaultRowHeight="15"/>
  <cols>
    <col min="1" max="1" width="33.85546875" style="17" customWidth="1"/>
    <col min="2" max="2" width="10.140625" style="17" hidden="1" customWidth="1"/>
    <col min="3" max="3" width="18.140625" style="17" customWidth="1"/>
    <col min="4" max="4" width="17.140625" style="17" customWidth="1"/>
    <col min="5" max="5" width="18.5703125" style="17" customWidth="1"/>
    <col min="6" max="6" width="19.140625" style="17" hidden="1" customWidth="1"/>
    <col min="7" max="7" width="20.7109375" style="17" hidden="1" customWidth="1"/>
    <col min="8" max="13" width="19.140625" style="17" hidden="1" customWidth="1"/>
    <col min="14" max="14" width="10" style="17" hidden="1" customWidth="1"/>
    <col min="15" max="15" width="19.140625" style="17" customWidth="1"/>
    <col min="16" max="16" width="16.85546875" style="17" customWidth="1"/>
    <col min="17" max="17" width="17.28515625" style="17" customWidth="1"/>
    <col min="18" max="18" width="11.5703125" style="17" hidden="1" customWidth="1"/>
    <col min="19" max="20" width="19.140625" style="17" customWidth="1"/>
    <col min="21" max="21" width="18.28515625" style="17" customWidth="1"/>
    <col min="22" max="28" width="19.140625" style="17" hidden="1" customWidth="1"/>
    <col min="29" max="29" width="18.7109375" style="17" hidden="1" customWidth="1"/>
    <col min="30" max="30" width="16.42578125" style="17" hidden="1" customWidth="1"/>
    <col min="31" max="31" width="16.7109375" style="17" customWidth="1"/>
    <col min="32" max="32" width="16.140625" style="17" customWidth="1"/>
    <col min="33" max="33" width="18.28515625" style="17" customWidth="1"/>
    <col min="34" max="34" width="8.5703125" style="17" hidden="1" customWidth="1"/>
    <col min="35" max="35" width="16" style="17" customWidth="1"/>
    <col min="36" max="36" width="17.5703125" style="17" bestFit="1" customWidth="1"/>
    <col min="37" max="37" width="19.5703125" style="17" customWidth="1"/>
    <col min="38" max="38" width="7.7109375" style="9" hidden="1" customWidth="1"/>
    <col min="39" max="39" width="7.85546875" style="879" customWidth="1"/>
    <col min="40" max="40" width="7" style="879" customWidth="1"/>
    <col min="41" max="41" width="8.5703125" style="879" customWidth="1"/>
    <col min="42" max="54" width="19.140625" style="17" customWidth="1"/>
    <col min="55" max="16384" width="9.140625" style="17"/>
  </cols>
  <sheetData>
    <row r="1" spans="1:41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41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41">
      <c r="A3" s="15" t="s">
        <v>1098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41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41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</row>
    <row r="6" spans="1:41" s="18" customFormat="1">
      <c r="A6" s="1494"/>
      <c r="B6" s="913"/>
      <c r="C6" s="914"/>
      <c r="D6" s="914"/>
      <c r="E6" s="915"/>
      <c r="F6" s="916"/>
      <c r="G6" s="916"/>
      <c r="H6" s="916"/>
      <c r="I6" s="916"/>
      <c r="J6" s="916"/>
      <c r="K6" s="916"/>
      <c r="L6" s="916"/>
      <c r="M6" s="916"/>
      <c r="N6" s="913"/>
      <c r="O6" s="914"/>
      <c r="P6" s="914"/>
      <c r="Q6" s="915"/>
      <c r="R6" s="86"/>
      <c r="S6" s="134"/>
      <c r="T6" s="134"/>
      <c r="U6" s="135"/>
      <c r="V6" s="86"/>
      <c r="W6" s="134"/>
      <c r="X6" s="134"/>
      <c r="Y6" s="135"/>
      <c r="Z6" s="913"/>
      <c r="AA6" s="914"/>
      <c r="AB6" s="914"/>
      <c r="AC6" s="915"/>
      <c r="AD6" s="913"/>
      <c r="AE6" s="914"/>
      <c r="AF6" s="914"/>
      <c r="AG6" s="135"/>
      <c r="AH6" s="913"/>
      <c r="AI6" s="914"/>
      <c r="AJ6" s="914"/>
      <c r="AK6" s="915"/>
      <c r="AL6" s="82"/>
      <c r="AM6" s="881"/>
      <c r="AN6" s="881"/>
      <c r="AO6" s="882"/>
    </row>
    <row r="7" spans="1:41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</row>
    <row r="8" spans="1:41" s="903" customFormat="1" ht="16.5">
      <c r="A8" s="901" t="s">
        <v>115</v>
      </c>
      <c r="B8" s="912">
        <f>+'CONAP-FUR (REG)-Detail'!C198+'CONAP-FUR (REG)-Detail'!C109</f>
        <v>0</v>
      </c>
      <c r="C8" s="912">
        <f>SUM(C9:C13)</f>
        <v>229891.40000000002</v>
      </c>
      <c r="D8" s="912">
        <f t="shared" ref="D8:AK8" si="0">SUM(D9:D13)</f>
        <v>1237960</v>
      </c>
      <c r="E8" s="912">
        <f t="shared" si="0"/>
        <v>1467851.4000000001</v>
      </c>
      <c r="F8" s="912">
        <f t="shared" si="0"/>
        <v>0</v>
      </c>
      <c r="G8" s="912">
        <f t="shared" si="0"/>
        <v>-2174467.6500000004</v>
      </c>
      <c r="H8" s="912">
        <f t="shared" si="0"/>
        <v>11498400</v>
      </c>
      <c r="I8" s="912">
        <f t="shared" si="0"/>
        <v>9323932.3499999996</v>
      </c>
      <c r="J8" s="912">
        <f t="shared" si="0"/>
        <v>0</v>
      </c>
      <c r="K8" s="912">
        <f t="shared" si="0"/>
        <v>9978574.569999991</v>
      </c>
      <c r="L8" s="912">
        <f t="shared" si="0"/>
        <v>140564542.78</v>
      </c>
      <c r="M8" s="912">
        <f t="shared" si="0"/>
        <v>150543117.34999999</v>
      </c>
      <c r="N8" s="912">
        <f t="shared" si="0"/>
        <v>0</v>
      </c>
      <c r="O8" s="912">
        <f t="shared" si="0"/>
        <v>7804106.9199999915</v>
      </c>
      <c r="P8" s="912">
        <f t="shared" si="0"/>
        <v>152062942.78</v>
      </c>
      <c r="Q8" s="912">
        <f t="shared" si="0"/>
        <v>159867049.69999999</v>
      </c>
      <c r="R8" s="912">
        <f t="shared" si="0"/>
        <v>0</v>
      </c>
      <c r="S8" s="912">
        <f t="shared" si="0"/>
        <v>8033998.3199999919</v>
      </c>
      <c r="T8" s="912">
        <f t="shared" si="0"/>
        <v>153300902.78</v>
      </c>
      <c r="U8" s="912">
        <f t="shared" si="0"/>
        <v>161334901.09999999</v>
      </c>
      <c r="V8" s="912">
        <f t="shared" si="0"/>
        <v>0</v>
      </c>
      <c r="W8" s="912">
        <f t="shared" si="0"/>
        <v>229891.40000000002</v>
      </c>
      <c r="X8" s="912">
        <f t="shared" si="0"/>
        <v>1188000.03</v>
      </c>
      <c r="Y8" s="912">
        <f t="shared" si="0"/>
        <v>1417891.4300000002</v>
      </c>
      <c r="Z8" s="912">
        <f t="shared" si="0"/>
        <v>0</v>
      </c>
      <c r="AA8" s="912">
        <f t="shared" si="0"/>
        <v>7556806.3700000001</v>
      </c>
      <c r="AB8" s="912">
        <f t="shared" si="0"/>
        <v>123544037.11</v>
      </c>
      <c r="AC8" s="912">
        <f t="shared" si="0"/>
        <v>131100843.48</v>
      </c>
      <c r="AD8" s="912">
        <f t="shared" si="0"/>
        <v>0</v>
      </c>
      <c r="AE8" s="912">
        <f t="shared" si="0"/>
        <v>7786697.7700000005</v>
      </c>
      <c r="AF8" s="912">
        <f t="shared" si="0"/>
        <v>124732037.14</v>
      </c>
      <c r="AG8" s="912">
        <f t="shared" si="0"/>
        <v>132518734.91</v>
      </c>
      <c r="AH8" s="912">
        <f t="shared" si="0"/>
        <v>0</v>
      </c>
      <c r="AI8" s="912">
        <f t="shared" si="0"/>
        <v>247300.54999999143</v>
      </c>
      <c r="AJ8" s="912">
        <f t="shared" si="0"/>
        <v>28568865.640000001</v>
      </c>
      <c r="AK8" s="912">
        <f t="shared" si="0"/>
        <v>28816166.18999999</v>
      </c>
      <c r="AL8" s="601" t="str">
        <f t="shared" ref="AL8:AO34" si="1">IF(R8=0," ",AD8/R8)</f>
        <v xml:space="preserve"> </v>
      </c>
      <c r="AM8" s="601">
        <f t="shared" si="1"/>
        <v>0.96921824723508387</v>
      </c>
      <c r="AN8" s="601">
        <f t="shared" si="1"/>
        <v>0.81364189563189471</v>
      </c>
      <c r="AO8" s="601">
        <f t="shared" si="1"/>
        <v>0.82138913531090885</v>
      </c>
    </row>
    <row r="9" spans="1:41" s="16" customFormat="1">
      <c r="A9" s="899" t="s">
        <v>1083</v>
      </c>
      <c r="B9" s="40">
        <f>+'SUMM BY CLUSTER- CONAP'!B57</f>
        <v>0</v>
      </c>
      <c r="C9" s="40">
        <f>+'SUMM BY CLUSTER- CONAP'!C57</f>
        <v>226908.83000000002</v>
      </c>
      <c r="D9" s="40">
        <f>+'SUMM BY CLUSTER- CONAP'!D57</f>
        <v>1237960</v>
      </c>
      <c r="E9" s="40">
        <f t="shared" ref="E9:E25" si="2">SUM(B9:D9)</f>
        <v>1464868.83</v>
      </c>
      <c r="F9" s="40">
        <f>+'SUMM BY CLUSTER- CONAP'!F57</f>
        <v>0</v>
      </c>
      <c r="G9" s="40">
        <f>+'SUMM BY CLUSTER- CONAP'!G57</f>
        <v>-1586949.1200000001</v>
      </c>
      <c r="H9" s="40">
        <f>+'SUMM BY CLUSTER- CONAP'!H57</f>
        <v>11498400</v>
      </c>
      <c r="I9" s="40">
        <f t="shared" ref="I9:I25" si="3">SUM(F9:H9)</f>
        <v>9911450.879999999</v>
      </c>
      <c r="J9" s="40">
        <f>+'SUMM BY CLUSTER- CONAP'!J57</f>
        <v>0</v>
      </c>
      <c r="K9" s="40">
        <f>+'SUMM BY CLUSTER- CONAP'!K57</f>
        <v>9391056.0399999917</v>
      </c>
      <c r="L9" s="40">
        <f>+'SUMM BY CLUSTER- CONAP'!L57</f>
        <v>140564542.78</v>
      </c>
      <c r="M9" s="40">
        <f t="shared" ref="M9:M25" si="4">SUM(J9:L9)</f>
        <v>149955598.81999999</v>
      </c>
      <c r="N9" s="40">
        <f t="shared" ref="N9:P25" si="5">+F9+J9</f>
        <v>0</v>
      </c>
      <c r="O9" s="40">
        <f t="shared" si="5"/>
        <v>7804106.9199999915</v>
      </c>
      <c r="P9" s="40">
        <f t="shared" si="5"/>
        <v>152062942.78</v>
      </c>
      <c r="Q9" s="40">
        <f t="shared" ref="Q9:Q25" si="6">SUM(N9:P9)</f>
        <v>159867049.69999999</v>
      </c>
      <c r="R9" s="40">
        <f t="shared" ref="R9:T34" si="7">+B9+N9</f>
        <v>0</v>
      </c>
      <c r="S9" s="40">
        <f t="shared" si="7"/>
        <v>8031015.7499999916</v>
      </c>
      <c r="T9" s="40">
        <f t="shared" si="7"/>
        <v>153300902.78</v>
      </c>
      <c r="U9" s="40">
        <f t="shared" ref="U9:U25" si="8">SUM(R9:T9)</f>
        <v>161331918.53</v>
      </c>
      <c r="V9" s="40">
        <f>+'SUMM BY CLUSTER- CONAP'!V57</f>
        <v>0</v>
      </c>
      <c r="W9" s="40">
        <f>+'SUMM BY CLUSTER- CONAP'!W57</f>
        <v>226908.83000000002</v>
      </c>
      <c r="X9" s="40">
        <f>+'SUMM BY CLUSTER- CONAP'!X57</f>
        <v>1188000.03</v>
      </c>
      <c r="Y9" s="40">
        <f t="shared" ref="Y9:Y34" si="9">SUM(V9:X9)</f>
        <v>1414908.86</v>
      </c>
      <c r="Z9" s="40">
        <f>+'SUMM BY CLUSTER- CONAP'!Z57</f>
        <v>0</v>
      </c>
      <c r="AA9" s="40">
        <f>+'SUMM BY CLUSTER- CONAP'!AA57</f>
        <v>7556806.3700000001</v>
      </c>
      <c r="AB9" s="40">
        <f>+'SUMM BY CLUSTER- CONAP'!AB57</f>
        <v>123544037.11</v>
      </c>
      <c r="AC9" s="40">
        <f t="shared" ref="AC9:AC34" si="10">SUM(Z9:AB9)</f>
        <v>131100843.48</v>
      </c>
      <c r="AD9" s="40">
        <f t="shared" ref="AD9:AF34" si="11">+V9+Z9</f>
        <v>0</v>
      </c>
      <c r="AE9" s="40">
        <f t="shared" si="11"/>
        <v>7783715.2000000002</v>
      </c>
      <c r="AF9" s="40">
        <f t="shared" si="11"/>
        <v>124732037.14</v>
      </c>
      <c r="AG9" s="40">
        <f t="shared" ref="AG9:AG25" si="12">SUM(AD9:AF9)</f>
        <v>132515752.34</v>
      </c>
      <c r="AH9" s="40">
        <f t="shared" ref="AH9:AJ25" si="13">+R9-AD9</f>
        <v>0</v>
      </c>
      <c r="AI9" s="40">
        <f t="shared" si="13"/>
        <v>247300.54999999143</v>
      </c>
      <c r="AJ9" s="40">
        <f t="shared" si="13"/>
        <v>28568865.640000001</v>
      </c>
      <c r="AK9" s="40">
        <f t="shared" ref="AK9:AK25" si="14">SUM(AH9:AJ9)</f>
        <v>28816166.18999999</v>
      </c>
      <c r="AL9" s="600"/>
      <c r="AM9" s="600">
        <f t="shared" si="1"/>
        <v>0.96920681546415943</v>
      </c>
      <c r="AN9" s="600">
        <f t="shared" si="1"/>
        <v>0.81364189563189471</v>
      </c>
      <c r="AO9" s="600">
        <f t="shared" si="1"/>
        <v>0.82138583330215853</v>
      </c>
    </row>
    <row r="10" spans="1:41" s="16" customFormat="1">
      <c r="A10" s="899" t="s">
        <v>989</v>
      </c>
      <c r="B10" s="40">
        <f>+'SUMM BY CLUSTER- CONAP'!B58</f>
        <v>0</v>
      </c>
      <c r="C10" s="40">
        <f>+'SUMM BY CLUSTER- CONAP'!C58</f>
        <v>0</v>
      </c>
      <c r="D10" s="40">
        <f>+'SUMM BY CLUSTER- CONAP'!D58</f>
        <v>0</v>
      </c>
      <c r="E10" s="40">
        <f t="shared" si="2"/>
        <v>0</v>
      </c>
      <c r="F10" s="40">
        <f>+'SUMM BY CLUSTER- CONAP'!F58</f>
        <v>0</v>
      </c>
      <c r="G10" s="40">
        <f>+'SUMM BY CLUSTER- CONAP'!G58</f>
        <v>0</v>
      </c>
      <c r="H10" s="40">
        <f>+'SUMM BY CLUSTER- CONAP'!H58</f>
        <v>0</v>
      </c>
      <c r="I10" s="40">
        <f t="shared" si="3"/>
        <v>0</v>
      </c>
      <c r="J10" s="40">
        <f>+'SUMM BY CLUSTER- CONAP'!J58</f>
        <v>0</v>
      </c>
      <c r="K10" s="40">
        <f>+'SUMM BY CLUSTER- CONAP'!K58</f>
        <v>0</v>
      </c>
      <c r="L10" s="40">
        <f>+'SUMM BY CLUSTER- CONAP'!L58</f>
        <v>0</v>
      </c>
      <c r="M10" s="40">
        <f t="shared" si="4"/>
        <v>0</v>
      </c>
      <c r="N10" s="40">
        <f t="shared" si="5"/>
        <v>0</v>
      </c>
      <c r="O10" s="40">
        <f t="shared" si="5"/>
        <v>0</v>
      </c>
      <c r="P10" s="40">
        <f t="shared" si="5"/>
        <v>0</v>
      </c>
      <c r="Q10" s="40">
        <f t="shared" si="6"/>
        <v>0</v>
      </c>
      <c r="R10" s="40">
        <f t="shared" si="7"/>
        <v>0</v>
      </c>
      <c r="S10" s="40">
        <f t="shared" si="7"/>
        <v>0</v>
      </c>
      <c r="T10" s="40">
        <f t="shared" si="7"/>
        <v>0</v>
      </c>
      <c r="U10" s="40">
        <f t="shared" si="8"/>
        <v>0</v>
      </c>
      <c r="V10" s="40">
        <f>+'SUMM BY CLUSTER- CONAP'!V58</f>
        <v>0</v>
      </c>
      <c r="W10" s="40">
        <f>+'SUMM BY CLUSTER- CONAP'!W58</f>
        <v>0</v>
      </c>
      <c r="X10" s="40">
        <f>+'SUMM BY CLUSTER- CONAP'!X58</f>
        <v>0</v>
      </c>
      <c r="Y10" s="40">
        <f t="shared" si="9"/>
        <v>0</v>
      </c>
      <c r="Z10" s="40">
        <f>+'SUMM BY CLUSTER- CONAP'!Z58</f>
        <v>0</v>
      </c>
      <c r="AA10" s="40">
        <f>+'SUMM BY CLUSTER- CONAP'!AA58</f>
        <v>0</v>
      </c>
      <c r="AB10" s="40">
        <f>+'SUMM BY CLUSTER- CONAP'!AB58</f>
        <v>0</v>
      </c>
      <c r="AC10" s="40">
        <f t="shared" si="10"/>
        <v>0</v>
      </c>
      <c r="AD10" s="40">
        <f t="shared" si="11"/>
        <v>0</v>
      </c>
      <c r="AE10" s="40">
        <f t="shared" si="11"/>
        <v>0</v>
      </c>
      <c r="AF10" s="40">
        <f t="shared" si="11"/>
        <v>0</v>
      </c>
      <c r="AG10" s="40">
        <f t="shared" si="12"/>
        <v>0</v>
      </c>
      <c r="AH10" s="40">
        <f t="shared" si="13"/>
        <v>0</v>
      </c>
      <c r="AI10" s="40">
        <f t="shared" si="13"/>
        <v>0</v>
      </c>
      <c r="AJ10" s="40">
        <f t="shared" si="13"/>
        <v>0</v>
      </c>
      <c r="AK10" s="40">
        <f t="shared" si="14"/>
        <v>0</v>
      </c>
      <c r="AL10" s="600"/>
      <c r="AM10" s="600" t="str">
        <f t="shared" si="1"/>
        <v xml:space="preserve"> </v>
      </c>
      <c r="AN10" s="600" t="str">
        <f t="shared" si="1"/>
        <v xml:space="preserve"> </v>
      </c>
      <c r="AO10" s="600" t="str">
        <f t="shared" si="1"/>
        <v xml:space="preserve"> </v>
      </c>
    </row>
    <row r="11" spans="1:41" s="16" customFormat="1">
      <c r="A11" s="899" t="s">
        <v>990</v>
      </c>
      <c r="B11" s="40">
        <f>+'SUMM BY CLUSTER- CONAP'!B59</f>
        <v>0</v>
      </c>
      <c r="C11" s="40">
        <f>+'SUMM BY CLUSTER- CONAP'!C59</f>
        <v>0</v>
      </c>
      <c r="D11" s="40">
        <f>+'SUMM BY CLUSTER- CONAP'!D59</f>
        <v>0</v>
      </c>
      <c r="E11" s="40">
        <f t="shared" si="2"/>
        <v>0</v>
      </c>
      <c r="F11" s="40">
        <f>+'SUMM BY CLUSTER- CONAP'!F59</f>
        <v>0</v>
      </c>
      <c r="G11" s="40">
        <f>+'SUMM BY CLUSTER- CONAP'!G59</f>
        <v>0</v>
      </c>
      <c r="H11" s="40">
        <f>+'SUMM BY CLUSTER- CONAP'!H59</f>
        <v>0</v>
      </c>
      <c r="I11" s="40">
        <f t="shared" si="3"/>
        <v>0</v>
      </c>
      <c r="J11" s="40">
        <f>+'SUMM BY CLUSTER- CONAP'!J59</f>
        <v>0</v>
      </c>
      <c r="K11" s="40">
        <f>+'SUMM BY CLUSTER- CONAP'!K59</f>
        <v>0</v>
      </c>
      <c r="L11" s="40">
        <f>+'SUMM BY CLUSTER- CONAP'!L59</f>
        <v>0</v>
      </c>
      <c r="M11" s="40">
        <f t="shared" si="4"/>
        <v>0</v>
      </c>
      <c r="N11" s="40">
        <f t="shared" si="5"/>
        <v>0</v>
      </c>
      <c r="O11" s="40">
        <f t="shared" si="5"/>
        <v>0</v>
      </c>
      <c r="P11" s="40">
        <f t="shared" si="5"/>
        <v>0</v>
      </c>
      <c r="Q11" s="40">
        <f t="shared" si="6"/>
        <v>0</v>
      </c>
      <c r="R11" s="40">
        <f t="shared" si="7"/>
        <v>0</v>
      </c>
      <c r="S11" s="40">
        <f t="shared" si="7"/>
        <v>0</v>
      </c>
      <c r="T11" s="40">
        <f t="shared" si="7"/>
        <v>0</v>
      </c>
      <c r="U11" s="40">
        <f t="shared" si="8"/>
        <v>0</v>
      </c>
      <c r="V11" s="40">
        <f>+'SUMM BY CLUSTER- CONAP'!V59</f>
        <v>0</v>
      </c>
      <c r="W11" s="40">
        <f>+'SUMM BY CLUSTER- CONAP'!W59</f>
        <v>0</v>
      </c>
      <c r="X11" s="40">
        <f>+'SUMM BY CLUSTER- CONAP'!X59</f>
        <v>0</v>
      </c>
      <c r="Y11" s="40">
        <f t="shared" si="9"/>
        <v>0</v>
      </c>
      <c r="Z11" s="40">
        <f>+'SUMM BY CLUSTER- CONAP'!Z59</f>
        <v>0</v>
      </c>
      <c r="AA11" s="40">
        <f>+'SUMM BY CLUSTER- CONAP'!AA59</f>
        <v>0</v>
      </c>
      <c r="AB11" s="40">
        <f>+'SUMM BY CLUSTER- CONAP'!AB59</f>
        <v>0</v>
      </c>
      <c r="AC11" s="40">
        <f t="shared" si="10"/>
        <v>0</v>
      </c>
      <c r="AD11" s="40">
        <f t="shared" si="11"/>
        <v>0</v>
      </c>
      <c r="AE11" s="40">
        <f t="shared" si="11"/>
        <v>0</v>
      </c>
      <c r="AF11" s="40">
        <f t="shared" si="11"/>
        <v>0</v>
      </c>
      <c r="AG11" s="40">
        <f t="shared" si="12"/>
        <v>0</v>
      </c>
      <c r="AH11" s="40">
        <f t="shared" si="13"/>
        <v>0</v>
      </c>
      <c r="AI11" s="40">
        <f t="shared" si="13"/>
        <v>0</v>
      </c>
      <c r="AJ11" s="40">
        <f t="shared" si="13"/>
        <v>0</v>
      </c>
      <c r="AK11" s="40">
        <f t="shared" si="14"/>
        <v>0</v>
      </c>
      <c r="AL11" s="600"/>
      <c r="AM11" s="600" t="str">
        <f t="shared" si="1"/>
        <v xml:space="preserve"> </v>
      </c>
      <c r="AN11" s="600" t="str">
        <f t="shared" si="1"/>
        <v xml:space="preserve"> </v>
      </c>
      <c r="AO11" s="600" t="str">
        <f t="shared" si="1"/>
        <v xml:space="preserve"> </v>
      </c>
    </row>
    <row r="12" spans="1:41" s="16" customFormat="1">
      <c r="A12" s="899" t="s">
        <v>991</v>
      </c>
      <c r="B12" s="40">
        <f>+'SUMM BY CLUSTER- CONAP'!B60</f>
        <v>0</v>
      </c>
      <c r="C12" s="40">
        <f>+'SUMM BY CLUSTER- CONAP'!C60</f>
        <v>2982.57</v>
      </c>
      <c r="D12" s="40">
        <f>+'SUMM BY CLUSTER- CONAP'!D60</f>
        <v>0</v>
      </c>
      <c r="E12" s="40">
        <f t="shared" si="2"/>
        <v>2982.57</v>
      </c>
      <c r="F12" s="40">
        <f>+'SUMM BY CLUSTER- CONAP'!F60</f>
        <v>0</v>
      </c>
      <c r="G12" s="40">
        <f>+'SUMM BY CLUSTER- CONAP'!G60</f>
        <v>0</v>
      </c>
      <c r="H12" s="40">
        <f>+'SUMM BY CLUSTER- CONAP'!H60</f>
        <v>0</v>
      </c>
      <c r="I12" s="40">
        <f t="shared" si="3"/>
        <v>0</v>
      </c>
      <c r="J12" s="40">
        <f>+'SUMM BY CLUSTER- CONAP'!J60</f>
        <v>0</v>
      </c>
      <c r="K12" s="40">
        <f>+'SUMM BY CLUSTER- CONAP'!K60</f>
        <v>0</v>
      </c>
      <c r="L12" s="40">
        <f>+'SUMM BY CLUSTER- CONAP'!L60</f>
        <v>0</v>
      </c>
      <c r="M12" s="40">
        <f t="shared" si="4"/>
        <v>0</v>
      </c>
      <c r="N12" s="40">
        <f t="shared" si="5"/>
        <v>0</v>
      </c>
      <c r="O12" s="40">
        <f t="shared" si="5"/>
        <v>0</v>
      </c>
      <c r="P12" s="40">
        <f t="shared" si="5"/>
        <v>0</v>
      </c>
      <c r="Q12" s="40">
        <f t="shared" si="6"/>
        <v>0</v>
      </c>
      <c r="R12" s="40">
        <f t="shared" si="7"/>
        <v>0</v>
      </c>
      <c r="S12" s="40">
        <f t="shared" si="7"/>
        <v>2982.57</v>
      </c>
      <c r="T12" s="40">
        <f t="shared" si="7"/>
        <v>0</v>
      </c>
      <c r="U12" s="40">
        <f t="shared" si="8"/>
        <v>2982.57</v>
      </c>
      <c r="V12" s="40">
        <f>+'SUMM BY CLUSTER- CONAP'!V60</f>
        <v>0</v>
      </c>
      <c r="W12" s="40">
        <f>+'SUMM BY CLUSTER- CONAP'!W60</f>
        <v>2982.57</v>
      </c>
      <c r="X12" s="40">
        <f>+'SUMM BY CLUSTER- CONAP'!X60</f>
        <v>0</v>
      </c>
      <c r="Y12" s="40">
        <f t="shared" si="9"/>
        <v>2982.57</v>
      </c>
      <c r="Z12" s="40">
        <f>+'SUMM BY CLUSTER- CONAP'!Z60</f>
        <v>0</v>
      </c>
      <c r="AA12" s="40">
        <f>+'SUMM BY CLUSTER- CONAP'!AA60</f>
        <v>0</v>
      </c>
      <c r="AB12" s="40">
        <f>+'SUMM BY CLUSTER- CONAP'!AB60</f>
        <v>0</v>
      </c>
      <c r="AC12" s="40">
        <f t="shared" si="10"/>
        <v>0</v>
      </c>
      <c r="AD12" s="40">
        <f t="shared" si="11"/>
        <v>0</v>
      </c>
      <c r="AE12" s="40">
        <f t="shared" si="11"/>
        <v>2982.57</v>
      </c>
      <c r="AF12" s="40">
        <f t="shared" si="11"/>
        <v>0</v>
      </c>
      <c r="AG12" s="40">
        <f t="shared" si="12"/>
        <v>2982.57</v>
      </c>
      <c r="AH12" s="40">
        <f t="shared" si="13"/>
        <v>0</v>
      </c>
      <c r="AI12" s="40">
        <f t="shared" si="13"/>
        <v>0</v>
      </c>
      <c r="AJ12" s="40">
        <f t="shared" si="13"/>
        <v>0</v>
      </c>
      <c r="AK12" s="40">
        <f t="shared" si="14"/>
        <v>0</v>
      </c>
      <c r="AL12" s="600"/>
      <c r="AM12" s="600">
        <f t="shared" si="1"/>
        <v>1</v>
      </c>
      <c r="AN12" s="600" t="str">
        <f t="shared" si="1"/>
        <v xml:space="preserve"> </v>
      </c>
      <c r="AO12" s="600">
        <f t="shared" si="1"/>
        <v>1</v>
      </c>
    </row>
    <row r="13" spans="1:41" s="16" customFormat="1">
      <c r="A13" s="899" t="s">
        <v>992</v>
      </c>
      <c r="B13" s="40">
        <f>+'SUMM BY CLUSTER- CONAP'!B61</f>
        <v>0</v>
      </c>
      <c r="C13" s="40">
        <f>+'SUMM BY CLUSTER- CONAP'!C61</f>
        <v>0</v>
      </c>
      <c r="D13" s="40">
        <f>+'SUMM BY CLUSTER- CONAP'!D61</f>
        <v>0</v>
      </c>
      <c r="E13" s="40">
        <f t="shared" si="2"/>
        <v>0</v>
      </c>
      <c r="F13" s="40">
        <f>+'SUMM BY CLUSTER- CONAP'!F61</f>
        <v>0</v>
      </c>
      <c r="G13" s="40">
        <f>+'SUMM BY CLUSTER- CONAP'!G61</f>
        <v>-587518.53</v>
      </c>
      <c r="H13" s="40">
        <f>+'SUMM BY CLUSTER- CONAP'!H61</f>
        <v>0</v>
      </c>
      <c r="I13" s="40">
        <f t="shared" si="3"/>
        <v>-587518.53</v>
      </c>
      <c r="J13" s="40">
        <f>+'SUMM BY CLUSTER- CONAP'!J61</f>
        <v>0</v>
      </c>
      <c r="K13" s="40">
        <f>+'SUMM BY CLUSTER- CONAP'!K61</f>
        <v>587518.53</v>
      </c>
      <c r="L13" s="40">
        <f>+'SUMM BY CLUSTER- CONAP'!L61</f>
        <v>0</v>
      </c>
      <c r="M13" s="40">
        <f t="shared" si="4"/>
        <v>587518.53</v>
      </c>
      <c r="N13" s="40">
        <f t="shared" si="5"/>
        <v>0</v>
      </c>
      <c r="O13" s="40">
        <f t="shared" si="5"/>
        <v>0</v>
      </c>
      <c r="P13" s="40">
        <f t="shared" si="5"/>
        <v>0</v>
      </c>
      <c r="Q13" s="40">
        <f t="shared" si="6"/>
        <v>0</v>
      </c>
      <c r="R13" s="40">
        <f t="shared" si="7"/>
        <v>0</v>
      </c>
      <c r="S13" s="40">
        <f t="shared" si="7"/>
        <v>0</v>
      </c>
      <c r="T13" s="40">
        <f t="shared" si="7"/>
        <v>0</v>
      </c>
      <c r="U13" s="40">
        <f t="shared" si="8"/>
        <v>0</v>
      </c>
      <c r="V13" s="40">
        <f>+'SUMM BY CLUSTER- CONAP'!V61</f>
        <v>0</v>
      </c>
      <c r="W13" s="40">
        <f>+'SUMM BY CLUSTER- CONAP'!W61</f>
        <v>0</v>
      </c>
      <c r="X13" s="40">
        <f>+'SUMM BY CLUSTER- CONAP'!X61</f>
        <v>0</v>
      </c>
      <c r="Y13" s="40">
        <f t="shared" si="9"/>
        <v>0</v>
      </c>
      <c r="Z13" s="40">
        <f>+'SUMM BY CLUSTER- CONAP'!Z61</f>
        <v>0</v>
      </c>
      <c r="AA13" s="40">
        <f>+'SUMM BY CLUSTER- CONAP'!AA61</f>
        <v>0</v>
      </c>
      <c r="AB13" s="40">
        <f>+'SUMM BY CLUSTER- CONAP'!AB61</f>
        <v>0</v>
      </c>
      <c r="AC13" s="40">
        <f t="shared" si="10"/>
        <v>0</v>
      </c>
      <c r="AD13" s="40">
        <f t="shared" si="11"/>
        <v>0</v>
      </c>
      <c r="AE13" s="40">
        <f t="shared" si="11"/>
        <v>0</v>
      </c>
      <c r="AF13" s="40">
        <f t="shared" si="11"/>
        <v>0</v>
      </c>
      <c r="AG13" s="40">
        <f t="shared" si="12"/>
        <v>0</v>
      </c>
      <c r="AH13" s="40">
        <f t="shared" si="13"/>
        <v>0</v>
      </c>
      <c r="AI13" s="40">
        <f t="shared" si="13"/>
        <v>0</v>
      </c>
      <c r="AJ13" s="40">
        <f t="shared" si="13"/>
        <v>0</v>
      </c>
      <c r="AK13" s="40">
        <f t="shared" si="14"/>
        <v>0</v>
      </c>
      <c r="AL13" s="600"/>
      <c r="AM13" s="600" t="str">
        <f t="shared" si="1"/>
        <v xml:space="preserve"> </v>
      </c>
      <c r="AN13" s="600" t="str">
        <f t="shared" si="1"/>
        <v xml:space="preserve"> </v>
      </c>
      <c r="AO13" s="600" t="str">
        <f t="shared" si="1"/>
        <v xml:space="preserve"> </v>
      </c>
    </row>
    <row r="14" spans="1:41" s="16" customFormat="1">
      <c r="A14" s="592"/>
      <c r="B14" s="40"/>
      <c r="C14" s="40"/>
      <c r="D14" s="40"/>
      <c r="E14" s="579">
        <f t="shared" si="2"/>
        <v>0</v>
      </c>
      <c r="F14" s="40"/>
      <c r="G14" s="40"/>
      <c r="H14" s="40"/>
      <c r="I14" s="579">
        <f t="shared" si="3"/>
        <v>0</v>
      </c>
      <c r="J14" s="40"/>
      <c r="K14" s="40"/>
      <c r="L14" s="40"/>
      <c r="M14" s="579">
        <f t="shared" si="4"/>
        <v>0</v>
      </c>
      <c r="N14" s="40">
        <f t="shared" si="5"/>
        <v>0</v>
      </c>
      <c r="O14" s="40">
        <f t="shared" si="5"/>
        <v>0</v>
      </c>
      <c r="P14" s="40">
        <f t="shared" si="5"/>
        <v>0</v>
      </c>
      <c r="Q14" s="579">
        <f t="shared" si="6"/>
        <v>0</v>
      </c>
      <c r="R14" s="40">
        <f t="shared" si="7"/>
        <v>0</v>
      </c>
      <c r="S14" s="40">
        <f t="shared" si="7"/>
        <v>0</v>
      </c>
      <c r="T14" s="40">
        <f t="shared" si="7"/>
        <v>0</v>
      </c>
      <c r="U14" s="579">
        <f t="shared" si="8"/>
        <v>0</v>
      </c>
      <c r="V14" s="40"/>
      <c r="W14" s="40"/>
      <c r="X14" s="40"/>
      <c r="Y14" s="579">
        <f t="shared" si="9"/>
        <v>0</v>
      </c>
      <c r="Z14" s="40"/>
      <c r="AA14" s="40"/>
      <c r="AB14" s="40"/>
      <c r="AC14" s="579">
        <f t="shared" si="10"/>
        <v>0</v>
      </c>
      <c r="AD14" s="40">
        <f t="shared" si="11"/>
        <v>0</v>
      </c>
      <c r="AE14" s="40">
        <f t="shared" si="11"/>
        <v>0</v>
      </c>
      <c r="AF14" s="40">
        <f t="shared" si="11"/>
        <v>0</v>
      </c>
      <c r="AG14" s="579">
        <f t="shared" si="12"/>
        <v>0</v>
      </c>
      <c r="AH14" s="579">
        <f t="shared" si="13"/>
        <v>0</v>
      </c>
      <c r="AI14" s="40">
        <f t="shared" si="13"/>
        <v>0</v>
      </c>
      <c r="AJ14" s="40">
        <f t="shared" si="13"/>
        <v>0</v>
      </c>
      <c r="AK14" s="579">
        <f t="shared" si="14"/>
        <v>0</v>
      </c>
      <c r="AL14" s="600"/>
      <c r="AM14" s="600" t="str">
        <f t="shared" si="1"/>
        <v xml:space="preserve"> </v>
      </c>
      <c r="AN14" s="600" t="str">
        <f t="shared" si="1"/>
        <v xml:space="preserve"> </v>
      </c>
      <c r="AO14" s="600" t="str">
        <f t="shared" si="1"/>
        <v xml:space="preserve"> </v>
      </c>
    </row>
    <row r="15" spans="1:41" s="903" customFormat="1" ht="16.5">
      <c r="A15" s="901" t="s">
        <v>994</v>
      </c>
      <c r="B15" s="912">
        <f>SUM(B16:B19)</f>
        <v>0</v>
      </c>
      <c r="C15" s="912">
        <f t="shared" ref="C15:D15" si="15">SUM(C16:C19)</f>
        <v>2548615.1400000025</v>
      </c>
      <c r="D15" s="912">
        <f t="shared" si="15"/>
        <v>0</v>
      </c>
      <c r="E15" s="912">
        <f t="shared" ref="E15:AK15" si="16">SUM(E16:E19)</f>
        <v>2548615.1400000025</v>
      </c>
      <c r="F15" s="912">
        <f t="shared" si="16"/>
        <v>0</v>
      </c>
      <c r="G15" s="912">
        <f t="shared" si="16"/>
        <v>-4170606.4000000004</v>
      </c>
      <c r="H15" s="912">
        <f t="shared" si="16"/>
        <v>8133000</v>
      </c>
      <c r="I15" s="912">
        <f t="shared" si="16"/>
        <v>3962393.6000000006</v>
      </c>
      <c r="J15" s="912">
        <f t="shared" si="16"/>
        <v>0</v>
      </c>
      <c r="K15" s="912">
        <f t="shared" si="16"/>
        <v>12704407.78999999</v>
      </c>
      <c r="L15" s="912">
        <f t="shared" si="16"/>
        <v>78473191.560000002</v>
      </c>
      <c r="M15" s="912">
        <f t="shared" si="16"/>
        <v>91177599.349999994</v>
      </c>
      <c r="N15" s="912">
        <f t="shared" si="16"/>
        <v>0</v>
      </c>
      <c r="O15" s="912">
        <f t="shared" si="16"/>
        <v>8533801.3899999894</v>
      </c>
      <c r="P15" s="912">
        <f t="shared" si="16"/>
        <v>86606191.560000002</v>
      </c>
      <c r="Q15" s="912">
        <f t="shared" si="16"/>
        <v>95139992.949999988</v>
      </c>
      <c r="R15" s="912">
        <f t="shared" si="16"/>
        <v>0</v>
      </c>
      <c r="S15" s="912">
        <f t="shared" si="16"/>
        <v>11082416.52999999</v>
      </c>
      <c r="T15" s="912">
        <f t="shared" si="16"/>
        <v>86606191.560000002</v>
      </c>
      <c r="U15" s="912">
        <f t="shared" si="16"/>
        <v>97688608.089999989</v>
      </c>
      <c r="V15" s="912">
        <f t="shared" si="16"/>
        <v>0</v>
      </c>
      <c r="W15" s="912">
        <f t="shared" si="16"/>
        <v>2545377.87</v>
      </c>
      <c r="X15" s="912">
        <f t="shared" si="16"/>
        <v>0</v>
      </c>
      <c r="Y15" s="912">
        <f t="shared" si="16"/>
        <v>2545377.87</v>
      </c>
      <c r="Z15" s="912">
        <f t="shared" si="16"/>
        <v>0</v>
      </c>
      <c r="AA15" s="912">
        <f t="shared" si="16"/>
        <v>7368299.1799999997</v>
      </c>
      <c r="AB15" s="912">
        <f t="shared" si="16"/>
        <v>80297091.36999999</v>
      </c>
      <c r="AC15" s="912">
        <f t="shared" si="16"/>
        <v>87665390.549999997</v>
      </c>
      <c r="AD15" s="912">
        <f t="shared" si="16"/>
        <v>0</v>
      </c>
      <c r="AE15" s="912">
        <f t="shared" si="16"/>
        <v>9913677.0499999989</v>
      </c>
      <c r="AF15" s="912">
        <f t="shared" si="16"/>
        <v>80297091.36999999</v>
      </c>
      <c r="AG15" s="912">
        <f t="shared" si="16"/>
        <v>90210768.419999987</v>
      </c>
      <c r="AH15" s="912">
        <f t="shared" si="16"/>
        <v>0</v>
      </c>
      <c r="AI15" s="912">
        <f t="shared" si="16"/>
        <v>1168739.4799999921</v>
      </c>
      <c r="AJ15" s="912">
        <f t="shared" si="16"/>
        <v>6309100.1900000125</v>
      </c>
      <c r="AK15" s="912">
        <f t="shared" si="16"/>
        <v>7477839.6700000046</v>
      </c>
      <c r="AL15" s="601" t="str">
        <f t="shared" si="1"/>
        <v xml:space="preserve"> </v>
      </c>
      <c r="AM15" s="601">
        <f t="shared" si="1"/>
        <v>0.89454109788815239</v>
      </c>
      <c r="AN15" s="601">
        <f t="shared" si="1"/>
        <v>0.92715185743239703</v>
      </c>
      <c r="AO15" s="601">
        <f t="shared" si="1"/>
        <v>0.92345228562259063</v>
      </c>
    </row>
    <row r="16" spans="1:41" s="16" customFormat="1">
      <c r="A16" s="899" t="s">
        <v>1084</v>
      </c>
      <c r="B16" s="40">
        <f>+'SUMM BY CLUSTER- CONAP'!B64</f>
        <v>0</v>
      </c>
      <c r="C16" s="40">
        <f>+'SUMM BY CLUSTER- CONAP'!C64</f>
        <v>2545834.6800000006</v>
      </c>
      <c r="D16" s="40">
        <f>+'SUMM BY CLUSTER- CONAP'!D64</f>
        <v>0</v>
      </c>
      <c r="E16" s="40">
        <f t="shared" si="2"/>
        <v>2545834.6800000006</v>
      </c>
      <c r="F16" s="40">
        <f>+'SUMM BY CLUSTER- CONAP'!F64</f>
        <v>0</v>
      </c>
      <c r="G16" s="40">
        <f>+'SUMM BY CLUSTER- CONAP'!G64</f>
        <v>-406414.93</v>
      </c>
      <c r="H16" s="40">
        <f>+'SUMM BY CLUSTER- CONAP'!H64</f>
        <v>8133000</v>
      </c>
      <c r="I16" s="40">
        <f t="shared" si="3"/>
        <v>7726585.0700000003</v>
      </c>
      <c r="J16" s="40">
        <f>+'SUMM BY CLUSTER- CONAP'!J64</f>
        <v>0</v>
      </c>
      <c r="K16" s="40">
        <f>+'SUMM BY CLUSTER- CONAP'!K64</f>
        <v>8221812.9799999893</v>
      </c>
      <c r="L16" s="40">
        <f>+'SUMM BY CLUSTER- CONAP'!L64</f>
        <v>78473191.560000002</v>
      </c>
      <c r="M16" s="40">
        <f t="shared" si="4"/>
        <v>86695004.539999992</v>
      </c>
      <c r="N16" s="40">
        <f t="shared" si="5"/>
        <v>0</v>
      </c>
      <c r="O16" s="40">
        <f t="shared" si="5"/>
        <v>7815398.0499999896</v>
      </c>
      <c r="P16" s="40">
        <f t="shared" si="5"/>
        <v>86606191.560000002</v>
      </c>
      <c r="Q16" s="40">
        <f t="shared" si="6"/>
        <v>94421589.609999985</v>
      </c>
      <c r="R16" s="40">
        <f t="shared" si="7"/>
        <v>0</v>
      </c>
      <c r="S16" s="40">
        <f t="shared" si="7"/>
        <v>10361232.729999989</v>
      </c>
      <c r="T16" s="40">
        <f t="shared" si="7"/>
        <v>86606191.560000002</v>
      </c>
      <c r="U16" s="40">
        <f t="shared" si="8"/>
        <v>96967424.289999992</v>
      </c>
      <c r="V16" s="40">
        <f>+'SUMM BY CLUSTER- CONAP'!V64</f>
        <v>0</v>
      </c>
      <c r="W16" s="40">
        <f>+'SUMM BY CLUSTER- CONAP'!W64</f>
        <v>2545377.87</v>
      </c>
      <c r="X16" s="40">
        <f>+'SUMM BY CLUSTER- CONAP'!X64</f>
        <v>0</v>
      </c>
      <c r="Y16" s="40">
        <f t="shared" si="9"/>
        <v>2545377.87</v>
      </c>
      <c r="Z16" s="40">
        <f>+'SUMM BY CLUSTER- CONAP'!Z64</f>
        <v>0</v>
      </c>
      <c r="AA16" s="40">
        <f>+'SUMM BY CLUSTER- CONAP'!AA64</f>
        <v>6651585.3099999996</v>
      </c>
      <c r="AB16" s="40">
        <f>+'SUMM BY CLUSTER- CONAP'!AB64</f>
        <v>80297091.36999999</v>
      </c>
      <c r="AC16" s="40">
        <f t="shared" si="10"/>
        <v>86948676.679999992</v>
      </c>
      <c r="AD16" s="40">
        <f t="shared" si="11"/>
        <v>0</v>
      </c>
      <c r="AE16" s="40">
        <f t="shared" si="11"/>
        <v>9196963.1799999997</v>
      </c>
      <c r="AF16" s="40">
        <f t="shared" si="11"/>
        <v>80297091.36999999</v>
      </c>
      <c r="AG16" s="40">
        <f t="shared" si="12"/>
        <v>89494054.549999982</v>
      </c>
      <c r="AH16" s="40">
        <f t="shared" si="13"/>
        <v>0</v>
      </c>
      <c r="AI16" s="40">
        <f t="shared" si="13"/>
        <v>1164269.5499999896</v>
      </c>
      <c r="AJ16" s="40">
        <f t="shared" si="13"/>
        <v>6309100.1900000125</v>
      </c>
      <c r="AK16" s="40">
        <f t="shared" si="14"/>
        <v>7473369.7400000021</v>
      </c>
      <c r="AL16" s="600"/>
      <c r="AM16" s="600">
        <f t="shared" si="1"/>
        <v>0.88763213988727852</v>
      </c>
      <c r="AN16" s="600">
        <f t="shared" si="1"/>
        <v>0.92715185743239703</v>
      </c>
      <c r="AO16" s="600">
        <f t="shared" si="1"/>
        <v>0.92292906824409982</v>
      </c>
    </row>
    <row r="17" spans="1:41" s="16" customFormat="1">
      <c r="A17" s="899" t="s">
        <v>995</v>
      </c>
      <c r="B17" s="40">
        <f>+'SUMM BY CLUSTER- CONAP'!B65</f>
        <v>0</v>
      </c>
      <c r="C17" s="40">
        <f>+'SUMM BY CLUSTER- CONAP'!C65</f>
        <v>0</v>
      </c>
      <c r="D17" s="40">
        <f>+'SUMM BY CLUSTER- CONAP'!D65</f>
        <v>0</v>
      </c>
      <c r="E17" s="40">
        <f t="shared" si="2"/>
        <v>0</v>
      </c>
      <c r="F17" s="40">
        <f>+'SUMM BY CLUSTER- CONAP'!F65</f>
        <v>0</v>
      </c>
      <c r="G17" s="40">
        <f>+'SUMM BY CLUSTER- CONAP'!G65</f>
        <v>0</v>
      </c>
      <c r="H17" s="40">
        <f>+'SUMM BY CLUSTER- CONAP'!H65</f>
        <v>0</v>
      </c>
      <c r="I17" s="40">
        <f t="shared" si="3"/>
        <v>0</v>
      </c>
      <c r="J17" s="40">
        <f>+'SUMM BY CLUSTER- CONAP'!J65</f>
        <v>0</v>
      </c>
      <c r="K17" s="40">
        <f>+'SUMM BY CLUSTER- CONAP'!K65</f>
        <v>0</v>
      </c>
      <c r="L17" s="40">
        <f>+'SUMM BY CLUSTER- CONAP'!L65</f>
        <v>0</v>
      </c>
      <c r="M17" s="40">
        <f t="shared" si="4"/>
        <v>0</v>
      </c>
      <c r="N17" s="40">
        <f t="shared" si="5"/>
        <v>0</v>
      </c>
      <c r="O17" s="40">
        <f t="shared" si="5"/>
        <v>0</v>
      </c>
      <c r="P17" s="40">
        <f t="shared" si="5"/>
        <v>0</v>
      </c>
      <c r="Q17" s="40">
        <f t="shared" si="6"/>
        <v>0</v>
      </c>
      <c r="R17" s="40">
        <f t="shared" si="7"/>
        <v>0</v>
      </c>
      <c r="S17" s="40">
        <f t="shared" si="7"/>
        <v>0</v>
      </c>
      <c r="T17" s="40">
        <f t="shared" si="7"/>
        <v>0</v>
      </c>
      <c r="U17" s="40">
        <f t="shared" si="8"/>
        <v>0</v>
      </c>
      <c r="V17" s="40">
        <f>+'SUMM BY CLUSTER- CONAP'!V65</f>
        <v>0</v>
      </c>
      <c r="W17" s="40">
        <f>+'SUMM BY CLUSTER- CONAP'!W65</f>
        <v>0</v>
      </c>
      <c r="X17" s="40">
        <f>+'SUMM BY CLUSTER- CONAP'!X65</f>
        <v>0</v>
      </c>
      <c r="Y17" s="40">
        <f t="shared" si="9"/>
        <v>0</v>
      </c>
      <c r="Z17" s="40">
        <f>+'SUMM BY CLUSTER- CONAP'!Z65</f>
        <v>0</v>
      </c>
      <c r="AA17" s="40">
        <f>+'SUMM BY CLUSTER- CONAP'!AA65</f>
        <v>0</v>
      </c>
      <c r="AB17" s="40">
        <f>+'SUMM BY CLUSTER- CONAP'!AB65</f>
        <v>0</v>
      </c>
      <c r="AC17" s="40">
        <f t="shared" si="10"/>
        <v>0</v>
      </c>
      <c r="AD17" s="40">
        <f t="shared" si="11"/>
        <v>0</v>
      </c>
      <c r="AE17" s="40">
        <f t="shared" si="11"/>
        <v>0</v>
      </c>
      <c r="AF17" s="40">
        <f t="shared" si="11"/>
        <v>0</v>
      </c>
      <c r="AG17" s="40">
        <f t="shared" si="12"/>
        <v>0</v>
      </c>
      <c r="AH17" s="40">
        <f t="shared" si="13"/>
        <v>0</v>
      </c>
      <c r="AI17" s="40">
        <f t="shared" si="13"/>
        <v>0</v>
      </c>
      <c r="AJ17" s="40">
        <f t="shared" si="13"/>
        <v>0</v>
      </c>
      <c r="AK17" s="40">
        <f t="shared" si="14"/>
        <v>0</v>
      </c>
      <c r="AL17" s="600"/>
      <c r="AM17" s="600" t="str">
        <f t="shared" si="1"/>
        <v xml:space="preserve"> </v>
      </c>
      <c r="AN17" s="600" t="str">
        <f t="shared" si="1"/>
        <v xml:space="preserve"> </v>
      </c>
      <c r="AO17" s="600" t="str">
        <f t="shared" si="1"/>
        <v xml:space="preserve"> </v>
      </c>
    </row>
    <row r="18" spans="1:41" s="16" customFormat="1">
      <c r="A18" s="899" t="s">
        <v>996</v>
      </c>
      <c r="B18" s="40">
        <f>+'SUMM BY CLUSTER- CONAP'!B66</f>
        <v>0</v>
      </c>
      <c r="C18" s="40">
        <f>+'SUMM BY CLUSTER- CONAP'!C66</f>
        <v>2299.79</v>
      </c>
      <c r="D18" s="40">
        <f>+'SUMM BY CLUSTER- CONAP'!D66</f>
        <v>0</v>
      </c>
      <c r="E18" s="40">
        <f t="shared" si="2"/>
        <v>2299.79</v>
      </c>
      <c r="F18" s="40">
        <f>+'SUMM BY CLUSTER- CONAP'!F66</f>
        <v>0</v>
      </c>
      <c r="G18" s="40">
        <f>+'SUMM BY CLUSTER- CONAP'!G66</f>
        <v>-2723934.42</v>
      </c>
      <c r="H18" s="40">
        <f>+'SUMM BY CLUSTER- CONAP'!H66</f>
        <v>0</v>
      </c>
      <c r="I18" s="40">
        <f t="shared" si="3"/>
        <v>-2723934.42</v>
      </c>
      <c r="J18" s="40">
        <f>+'SUMM BY CLUSTER- CONAP'!J66</f>
        <v>0</v>
      </c>
      <c r="K18" s="40">
        <f>+'SUMM BY CLUSTER- CONAP'!K66</f>
        <v>2863482.4299999997</v>
      </c>
      <c r="L18" s="40">
        <f>+'SUMM BY CLUSTER- CONAP'!L66</f>
        <v>0</v>
      </c>
      <c r="M18" s="40">
        <f t="shared" si="4"/>
        <v>2863482.4299999997</v>
      </c>
      <c r="N18" s="40">
        <f t="shared" si="5"/>
        <v>0</v>
      </c>
      <c r="O18" s="40">
        <f t="shared" si="5"/>
        <v>139548.00999999978</v>
      </c>
      <c r="P18" s="40">
        <f t="shared" si="5"/>
        <v>0</v>
      </c>
      <c r="Q18" s="40">
        <f t="shared" si="6"/>
        <v>139548.00999999978</v>
      </c>
      <c r="R18" s="40">
        <f t="shared" si="7"/>
        <v>0</v>
      </c>
      <c r="S18" s="40">
        <f t="shared" si="7"/>
        <v>141847.79999999978</v>
      </c>
      <c r="T18" s="40">
        <f t="shared" si="7"/>
        <v>0</v>
      </c>
      <c r="U18" s="40">
        <f t="shared" si="8"/>
        <v>141847.79999999978</v>
      </c>
      <c r="V18" s="40">
        <f>+'SUMM BY CLUSTER- CONAP'!V66</f>
        <v>0</v>
      </c>
      <c r="W18" s="40">
        <f>+'SUMM BY CLUSTER- CONAP'!W66</f>
        <v>0</v>
      </c>
      <c r="X18" s="40">
        <f>+'SUMM BY CLUSTER- CONAP'!X66</f>
        <v>0</v>
      </c>
      <c r="Y18" s="40">
        <f t="shared" si="9"/>
        <v>0</v>
      </c>
      <c r="Z18" s="40">
        <f>+'SUMM BY CLUSTER- CONAP'!Z66</f>
        <v>0</v>
      </c>
      <c r="AA18" s="40">
        <f>+'SUMM BY CLUSTER- CONAP'!AA66</f>
        <v>139548.01</v>
      </c>
      <c r="AB18" s="40">
        <f>+'SUMM BY CLUSTER- CONAP'!AB66</f>
        <v>0</v>
      </c>
      <c r="AC18" s="40">
        <f t="shared" si="10"/>
        <v>139548.01</v>
      </c>
      <c r="AD18" s="40">
        <f t="shared" si="11"/>
        <v>0</v>
      </c>
      <c r="AE18" s="40">
        <f t="shared" si="11"/>
        <v>139548.01</v>
      </c>
      <c r="AF18" s="40">
        <f t="shared" si="11"/>
        <v>0</v>
      </c>
      <c r="AG18" s="40">
        <f t="shared" si="12"/>
        <v>139548.01</v>
      </c>
      <c r="AH18" s="40">
        <f t="shared" si="13"/>
        <v>0</v>
      </c>
      <c r="AI18" s="40">
        <f t="shared" si="13"/>
        <v>2299.7899999997753</v>
      </c>
      <c r="AJ18" s="40">
        <f t="shared" si="13"/>
        <v>0</v>
      </c>
      <c r="AK18" s="40">
        <f t="shared" si="14"/>
        <v>2299.7899999997753</v>
      </c>
      <c r="AL18" s="600"/>
      <c r="AM18" s="600">
        <f t="shared" si="1"/>
        <v>0.98378691809108232</v>
      </c>
      <c r="AN18" s="600" t="str">
        <f t="shared" si="1"/>
        <v xml:space="preserve"> </v>
      </c>
      <c r="AO18" s="600">
        <f t="shared" si="1"/>
        <v>0.98378691809108232</v>
      </c>
    </row>
    <row r="19" spans="1:41" s="16" customFormat="1">
      <c r="A19" s="899" t="s">
        <v>997</v>
      </c>
      <c r="B19" s="40">
        <f>+'SUMM BY CLUSTER- CONAP'!B67</f>
        <v>0</v>
      </c>
      <c r="C19" s="40">
        <f>+'SUMM BY CLUSTER- CONAP'!C67</f>
        <v>480.67000000178814</v>
      </c>
      <c r="D19" s="40">
        <f>+'SUMM BY CLUSTER- CONAP'!D67</f>
        <v>0</v>
      </c>
      <c r="E19" s="40">
        <f t="shared" si="2"/>
        <v>480.67000000178814</v>
      </c>
      <c r="F19" s="40">
        <f>+'SUMM BY CLUSTER- CONAP'!F67</f>
        <v>0</v>
      </c>
      <c r="G19" s="40">
        <f>+'SUMM BY CLUSTER- CONAP'!G67</f>
        <v>-1040257.05</v>
      </c>
      <c r="H19" s="40">
        <f>+'SUMM BY CLUSTER- CONAP'!H67</f>
        <v>0</v>
      </c>
      <c r="I19" s="40">
        <f t="shared" si="3"/>
        <v>-1040257.05</v>
      </c>
      <c r="J19" s="40">
        <f>+'SUMM BY CLUSTER- CONAP'!J67</f>
        <v>0</v>
      </c>
      <c r="K19" s="40">
        <f>+'SUMM BY CLUSTER- CONAP'!K67</f>
        <v>1619112.3800000008</v>
      </c>
      <c r="L19" s="40">
        <f>+'SUMM BY CLUSTER- CONAP'!L67</f>
        <v>0</v>
      </c>
      <c r="M19" s="40">
        <f t="shared" si="4"/>
        <v>1619112.3800000008</v>
      </c>
      <c r="N19" s="40">
        <f t="shared" si="5"/>
        <v>0</v>
      </c>
      <c r="O19" s="40">
        <f t="shared" si="5"/>
        <v>578855.33000000077</v>
      </c>
      <c r="P19" s="40">
        <f t="shared" si="5"/>
        <v>0</v>
      </c>
      <c r="Q19" s="40">
        <f t="shared" si="6"/>
        <v>578855.33000000077</v>
      </c>
      <c r="R19" s="40">
        <f t="shared" si="7"/>
        <v>0</v>
      </c>
      <c r="S19" s="40">
        <f t="shared" si="7"/>
        <v>579336.00000000256</v>
      </c>
      <c r="T19" s="40">
        <f t="shared" si="7"/>
        <v>0</v>
      </c>
      <c r="U19" s="40">
        <f t="shared" si="8"/>
        <v>579336.00000000256</v>
      </c>
      <c r="V19" s="40">
        <f>+'SUMM BY CLUSTER- CONAP'!V67</f>
        <v>0</v>
      </c>
      <c r="W19" s="40">
        <f>+'SUMM BY CLUSTER- CONAP'!W67</f>
        <v>0</v>
      </c>
      <c r="X19" s="40">
        <f>+'SUMM BY CLUSTER- CONAP'!X67</f>
        <v>0</v>
      </c>
      <c r="Y19" s="40">
        <f t="shared" si="9"/>
        <v>0</v>
      </c>
      <c r="Z19" s="40">
        <f>+'SUMM BY CLUSTER- CONAP'!Z67</f>
        <v>0</v>
      </c>
      <c r="AA19" s="40">
        <f>+'SUMM BY CLUSTER- CONAP'!AA67</f>
        <v>577165.86</v>
      </c>
      <c r="AB19" s="40">
        <f>+'SUMM BY CLUSTER- CONAP'!AB67</f>
        <v>0</v>
      </c>
      <c r="AC19" s="40">
        <f t="shared" si="10"/>
        <v>577165.86</v>
      </c>
      <c r="AD19" s="40">
        <f t="shared" si="11"/>
        <v>0</v>
      </c>
      <c r="AE19" s="40">
        <f t="shared" si="11"/>
        <v>577165.86</v>
      </c>
      <c r="AF19" s="40">
        <f t="shared" si="11"/>
        <v>0</v>
      </c>
      <c r="AG19" s="40">
        <f t="shared" si="12"/>
        <v>577165.86</v>
      </c>
      <c r="AH19" s="40">
        <f t="shared" si="13"/>
        <v>0</v>
      </c>
      <c r="AI19" s="40">
        <f t="shared" si="13"/>
        <v>2170.1400000025751</v>
      </c>
      <c r="AJ19" s="40">
        <f t="shared" si="13"/>
        <v>0</v>
      </c>
      <c r="AK19" s="40">
        <f t="shared" si="14"/>
        <v>2170.1400000025751</v>
      </c>
      <c r="AL19" s="600"/>
      <c r="AM19" s="600">
        <f t="shared" si="1"/>
        <v>0.99625409089025618</v>
      </c>
      <c r="AN19" s="600" t="str">
        <f t="shared" si="1"/>
        <v xml:space="preserve"> </v>
      </c>
      <c r="AO19" s="600">
        <f t="shared" si="1"/>
        <v>0.99625409089025618</v>
      </c>
    </row>
    <row r="20" spans="1:41" s="16" customFormat="1" ht="16.5">
      <c r="A20" s="901"/>
      <c r="B20" s="40"/>
      <c r="C20" s="40"/>
      <c r="D20" s="40"/>
      <c r="E20" s="579">
        <f t="shared" si="2"/>
        <v>0</v>
      </c>
      <c r="F20" s="40"/>
      <c r="G20" s="40"/>
      <c r="H20" s="40"/>
      <c r="I20" s="579">
        <f t="shared" si="3"/>
        <v>0</v>
      </c>
      <c r="J20" s="40"/>
      <c r="K20" s="40"/>
      <c r="L20" s="40"/>
      <c r="M20" s="579">
        <f t="shared" si="4"/>
        <v>0</v>
      </c>
      <c r="N20" s="40">
        <f t="shared" si="5"/>
        <v>0</v>
      </c>
      <c r="O20" s="40">
        <f t="shared" si="5"/>
        <v>0</v>
      </c>
      <c r="P20" s="40">
        <f t="shared" si="5"/>
        <v>0</v>
      </c>
      <c r="Q20" s="579">
        <f t="shared" si="6"/>
        <v>0</v>
      </c>
      <c r="R20" s="40">
        <f t="shared" si="7"/>
        <v>0</v>
      </c>
      <c r="S20" s="40">
        <f t="shared" si="7"/>
        <v>0</v>
      </c>
      <c r="T20" s="40">
        <f t="shared" si="7"/>
        <v>0</v>
      </c>
      <c r="U20" s="579">
        <f t="shared" si="8"/>
        <v>0</v>
      </c>
      <c r="V20" s="40"/>
      <c r="W20" s="40"/>
      <c r="X20" s="40"/>
      <c r="Y20" s="579">
        <f t="shared" si="9"/>
        <v>0</v>
      </c>
      <c r="Z20" s="40"/>
      <c r="AA20" s="40"/>
      <c r="AB20" s="40"/>
      <c r="AC20" s="579">
        <f t="shared" si="10"/>
        <v>0</v>
      </c>
      <c r="AD20" s="40">
        <f t="shared" si="11"/>
        <v>0</v>
      </c>
      <c r="AE20" s="40">
        <f t="shared" si="11"/>
        <v>0</v>
      </c>
      <c r="AF20" s="40">
        <f t="shared" si="11"/>
        <v>0</v>
      </c>
      <c r="AG20" s="579">
        <f t="shared" si="12"/>
        <v>0</v>
      </c>
      <c r="AH20" s="579">
        <f t="shared" si="13"/>
        <v>0</v>
      </c>
      <c r="AI20" s="40">
        <f t="shared" si="13"/>
        <v>0</v>
      </c>
      <c r="AJ20" s="40">
        <f t="shared" si="13"/>
        <v>0</v>
      </c>
      <c r="AK20" s="579">
        <f t="shared" si="14"/>
        <v>0</v>
      </c>
      <c r="AL20" s="600"/>
      <c r="AM20" s="600" t="str">
        <f t="shared" si="1"/>
        <v xml:space="preserve"> </v>
      </c>
      <c r="AN20" s="600" t="str">
        <f t="shared" si="1"/>
        <v xml:space="preserve"> </v>
      </c>
      <c r="AO20" s="600" t="str">
        <f t="shared" si="1"/>
        <v xml:space="preserve"> </v>
      </c>
    </row>
    <row r="21" spans="1:41" s="903" customFormat="1" ht="16.5">
      <c r="A21" s="901" t="s">
        <v>998</v>
      </c>
      <c r="B21" s="912">
        <f>SUM(B22:B26)</f>
        <v>0</v>
      </c>
      <c r="C21" s="912">
        <f t="shared" ref="C21:D21" si="17">SUM(C22:C26)</f>
        <v>2752747.4599999981</v>
      </c>
      <c r="D21" s="912">
        <f t="shared" si="17"/>
        <v>0</v>
      </c>
      <c r="E21" s="912">
        <f t="shared" ref="E21:AK21" si="18">SUM(E22:E26)</f>
        <v>2752747.4599999981</v>
      </c>
      <c r="F21" s="912">
        <f t="shared" si="18"/>
        <v>0</v>
      </c>
      <c r="G21" s="912">
        <f t="shared" si="18"/>
        <v>-3648864.24</v>
      </c>
      <c r="H21" s="912">
        <f t="shared" si="18"/>
        <v>12615500</v>
      </c>
      <c r="I21" s="912">
        <f t="shared" si="18"/>
        <v>8966635.7599999998</v>
      </c>
      <c r="J21" s="912">
        <f t="shared" si="18"/>
        <v>0</v>
      </c>
      <c r="K21" s="912">
        <f t="shared" si="18"/>
        <v>32289782.530000001</v>
      </c>
      <c r="L21" s="912">
        <f t="shared" si="18"/>
        <v>7284803.5800000001</v>
      </c>
      <c r="M21" s="912">
        <f t="shared" si="18"/>
        <v>39574586.110000007</v>
      </c>
      <c r="N21" s="912">
        <f t="shared" si="18"/>
        <v>0</v>
      </c>
      <c r="O21" s="912">
        <f t="shared" si="18"/>
        <v>28640918.290000003</v>
      </c>
      <c r="P21" s="912">
        <f t="shared" si="18"/>
        <v>19900303.579999998</v>
      </c>
      <c r="Q21" s="912">
        <f t="shared" si="18"/>
        <v>48541221.870000005</v>
      </c>
      <c r="R21" s="912">
        <f t="shared" si="18"/>
        <v>0</v>
      </c>
      <c r="S21" s="912">
        <f t="shared" si="18"/>
        <v>31393665.75</v>
      </c>
      <c r="T21" s="912">
        <f t="shared" si="18"/>
        <v>19900303.579999998</v>
      </c>
      <c r="U21" s="912">
        <f t="shared" si="18"/>
        <v>51293969.329999998</v>
      </c>
      <c r="V21" s="912">
        <f t="shared" si="18"/>
        <v>0</v>
      </c>
      <c r="W21" s="912">
        <f t="shared" si="18"/>
        <v>2752736.46</v>
      </c>
      <c r="X21" s="912">
        <f t="shared" si="18"/>
        <v>0</v>
      </c>
      <c r="Y21" s="912">
        <f t="shared" si="18"/>
        <v>2752736.46</v>
      </c>
      <c r="Z21" s="912">
        <f t="shared" si="18"/>
        <v>0</v>
      </c>
      <c r="AA21" s="912">
        <f t="shared" si="18"/>
        <v>29663416.479999997</v>
      </c>
      <c r="AB21" s="912">
        <f t="shared" si="18"/>
        <v>10941703.109999999</v>
      </c>
      <c r="AC21" s="912">
        <f t="shared" si="18"/>
        <v>40605119.590000004</v>
      </c>
      <c r="AD21" s="912">
        <f t="shared" si="18"/>
        <v>0</v>
      </c>
      <c r="AE21" s="912">
        <f t="shared" si="18"/>
        <v>32416152.939999998</v>
      </c>
      <c r="AF21" s="912">
        <f t="shared" si="18"/>
        <v>10941703.109999999</v>
      </c>
      <c r="AG21" s="912">
        <f t="shared" si="18"/>
        <v>43357856.050000004</v>
      </c>
      <c r="AH21" s="912">
        <f t="shared" si="18"/>
        <v>0</v>
      </c>
      <c r="AI21" s="912">
        <f t="shared" si="18"/>
        <v>-1022487.1899999997</v>
      </c>
      <c r="AJ21" s="912">
        <f t="shared" si="18"/>
        <v>8958600.4699999988</v>
      </c>
      <c r="AK21" s="912">
        <f t="shared" si="18"/>
        <v>7936113.2799999993</v>
      </c>
      <c r="AL21" s="601" t="str">
        <f t="shared" si="1"/>
        <v xml:space="preserve"> </v>
      </c>
      <c r="AM21" s="601">
        <f t="shared" si="1"/>
        <v>1.0325698565482113</v>
      </c>
      <c r="AN21" s="601">
        <f t="shared" si="1"/>
        <v>0.54982593938901114</v>
      </c>
      <c r="AO21" s="601">
        <f t="shared" si="1"/>
        <v>0.84528174786117705</v>
      </c>
    </row>
    <row r="22" spans="1:41" s="16" customFormat="1">
      <c r="A22" s="905" t="s">
        <v>1085</v>
      </c>
      <c r="B22" s="40">
        <f>+'SUMM BY CLUSTER- CONAP'!B70</f>
        <v>0</v>
      </c>
      <c r="C22" s="40">
        <f>+'SUMM BY CLUSTER- CONAP'!C70</f>
        <v>1418736.4599999981</v>
      </c>
      <c r="D22" s="40">
        <f>+'SUMM BY CLUSTER- CONAP'!D70</f>
        <v>0</v>
      </c>
      <c r="E22" s="40">
        <f t="shared" si="2"/>
        <v>1418736.4599999981</v>
      </c>
      <c r="F22" s="40">
        <f>+'SUMM BY CLUSTER- CONAP'!F70</f>
        <v>0</v>
      </c>
      <c r="G22" s="40">
        <f>+'SUMM BY CLUSTER- CONAP'!G70</f>
        <v>-3000000</v>
      </c>
      <c r="H22" s="40">
        <f>+'SUMM BY CLUSTER- CONAP'!H70</f>
        <v>12615500</v>
      </c>
      <c r="I22" s="40">
        <f t="shared" si="3"/>
        <v>9615500</v>
      </c>
      <c r="J22" s="40">
        <f>+'SUMM BY CLUSTER- CONAP'!J70</f>
        <v>0</v>
      </c>
      <c r="K22" s="40">
        <f>+'SUMM BY CLUSTER- CONAP'!K70</f>
        <v>30625215.920000002</v>
      </c>
      <c r="L22" s="40">
        <f>+'SUMM BY CLUSTER- CONAP'!L70</f>
        <v>7284803.5800000001</v>
      </c>
      <c r="M22" s="40">
        <f t="shared" si="4"/>
        <v>37910019.5</v>
      </c>
      <c r="N22" s="40">
        <f t="shared" si="5"/>
        <v>0</v>
      </c>
      <c r="O22" s="40">
        <f t="shared" si="5"/>
        <v>27625215.920000002</v>
      </c>
      <c r="P22" s="40">
        <f t="shared" si="5"/>
        <v>19900303.579999998</v>
      </c>
      <c r="Q22" s="40">
        <f t="shared" si="6"/>
        <v>47525519.5</v>
      </c>
      <c r="R22" s="40">
        <f t="shared" si="7"/>
        <v>0</v>
      </c>
      <c r="S22" s="40">
        <f t="shared" si="7"/>
        <v>29043952.379999999</v>
      </c>
      <c r="T22" s="40">
        <f t="shared" si="7"/>
        <v>19900303.579999998</v>
      </c>
      <c r="U22" s="40">
        <f t="shared" si="8"/>
        <v>48944255.959999993</v>
      </c>
      <c r="V22" s="40">
        <f>+'SUMM BY CLUSTER- CONAP'!V70</f>
        <v>0</v>
      </c>
      <c r="W22" s="40">
        <f>+'SUMM BY CLUSTER- CONAP'!W70</f>
        <v>1418736.46</v>
      </c>
      <c r="X22" s="40">
        <f>+'SUMM BY CLUSTER- CONAP'!X70</f>
        <v>0</v>
      </c>
      <c r="Y22" s="40">
        <f t="shared" si="9"/>
        <v>1418736.46</v>
      </c>
      <c r="Z22" s="40">
        <f>+'SUMM BY CLUSTER- CONAP'!Z70</f>
        <v>0</v>
      </c>
      <c r="AA22" s="40">
        <f>+'SUMM BY CLUSTER- CONAP'!AA70</f>
        <v>28747224.509999998</v>
      </c>
      <c r="AB22" s="40">
        <f>+'SUMM BY CLUSTER- CONAP'!AB70</f>
        <v>10941703.109999999</v>
      </c>
      <c r="AC22" s="40">
        <f t="shared" si="10"/>
        <v>39688927.619999997</v>
      </c>
      <c r="AD22" s="40">
        <f t="shared" si="11"/>
        <v>0</v>
      </c>
      <c r="AE22" s="40">
        <f t="shared" si="11"/>
        <v>30165960.969999999</v>
      </c>
      <c r="AF22" s="40">
        <f t="shared" si="11"/>
        <v>10941703.109999999</v>
      </c>
      <c r="AG22" s="40">
        <f t="shared" si="12"/>
        <v>41107664.079999998</v>
      </c>
      <c r="AH22" s="40">
        <f t="shared" si="13"/>
        <v>0</v>
      </c>
      <c r="AI22" s="40">
        <f t="shared" si="13"/>
        <v>-1122008.5899999999</v>
      </c>
      <c r="AJ22" s="40">
        <f t="shared" si="13"/>
        <v>8958600.4699999988</v>
      </c>
      <c r="AK22" s="40">
        <f t="shared" si="14"/>
        <v>7836591.879999999</v>
      </c>
      <c r="AL22" s="600"/>
      <c r="AM22" s="600">
        <f t="shared" si="1"/>
        <v>1.0386314016536065</v>
      </c>
      <c r="AN22" s="600">
        <f t="shared" si="1"/>
        <v>0.54982593938901114</v>
      </c>
      <c r="AO22" s="600">
        <f t="shared" si="1"/>
        <v>0.83988740402133188</v>
      </c>
    </row>
    <row r="23" spans="1:41" s="16" customFormat="1">
      <c r="A23" s="905" t="s">
        <v>1000</v>
      </c>
      <c r="B23" s="40">
        <f>+'SUMM BY CLUSTER- CONAP'!B71</f>
        <v>0</v>
      </c>
      <c r="C23" s="40">
        <f>+'SUMM BY CLUSTER- CONAP'!C71</f>
        <v>1334000</v>
      </c>
      <c r="D23" s="40">
        <f>+'SUMM BY CLUSTER- CONAP'!D71</f>
        <v>0</v>
      </c>
      <c r="E23" s="40">
        <f t="shared" si="2"/>
        <v>1334000</v>
      </c>
      <c r="F23" s="40">
        <f>+'SUMM BY CLUSTER- CONAP'!F71</f>
        <v>0</v>
      </c>
      <c r="G23" s="40">
        <f>+'SUMM BY CLUSTER- CONAP'!G71</f>
        <v>0</v>
      </c>
      <c r="H23" s="40">
        <f>+'SUMM BY CLUSTER- CONAP'!H71</f>
        <v>0</v>
      </c>
      <c r="I23" s="40">
        <f t="shared" si="3"/>
        <v>0</v>
      </c>
      <c r="J23" s="40">
        <f>+'SUMM BY CLUSTER- CONAP'!J71</f>
        <v>0</v>
      </c>
      <c r="K23" s="40">
        <f>+'SUMM BY CLUSTER- CONAP'!K71</f>
        <v>490614.1</v>
      </c>
      <c r="L23" s="40">
        <f>+'SUMM BY CLUSTER- CONAP'!L71</f>
        <v>0</v>
      </c>
      <c r="M23" s="40">
        <f t="shared" si="4"/>
        <v>490614.1</v>
      </c>
      <c r="N23" s="40">
        <f t="shared" si="5"/>
        <v>0</v>
      </c>
      <c r="O23" s="40">
        <f t="shared" si="5"/>
        <v>490614.1</v>
      </c>
      <c r="P23" s="40">
        <f t="shared" si="5"/>
        <v>0</v>
      </c>
      <c r="Q23" s="40">
        <f t="shared" si="6"/>
        <v>490614.1</v>
      </c>
      <c r="R23" s="40">
        <f t="shared" si="7"/>
        <v>0</v>
      </c>
      <c r="S23" s="40">
        <f t="shared" si="7"/>
        <v>1824614.1</v>
      </c>
      <c r="T23" s="40">
        <f t="shared" si="7"/>
        <v>0</v>
      </c>
      <c r="U23" s="40">
        <f t="shared" si="8"/>
        <v>1824614.1</v>
      </c>
      <c r="V23" s="40">
        <f>+'SUMM BY CLUSTER- CONAP'!V71</f>
        <v>0</v>
      </c>
      <c r="W23" s="40">
        <f>+'SUMM BY CLUSTER- CONAP'!W71</f>
        <v>1334000</v>
      </c>
      <c r="X23" s="40">
        <f>+'SUMM BY CLUSTER- CONAP'!X71</f>
        <v>0</v>
      </c>
      <c r="Y23" s="40">
        <f t="shared" si="9"/>
        <v>1334000</v>
      </c>
      <c r="Z23" s="40">
        <f>+'SUMM BY CLUSTER- CONAP'!Z71</f>
        <v>0</v>
      </c>
      <c r="AA23" s="40">
        <f>+'SUMM BY CLUSTER- CONAP'!AA71</f>
        <v>395409.19999999995</v>
      </c>
      <c r="AB23" s="40">
        <f>+'SUMM BY CLUSTER- CONAP'!AB71</f>
        <v>0</v>
      </c>
      <c r="AC23" s="40">
        <f t="shared" si="10"/>
        <v>395409.19999999995</v>
      </c>
      <c r="AD23" s="40">
        <f t="shared" si="11"/>
        <v>0</v>
      </c>
      <c r="AE23" s="40">
        <f t="shared" si="11"/>
        <v>1729409.2</v>
      </c>
      <c r="AF23" s="40">
        <f t="shared" si="11"/>
        <v>0</v>
      </c>
      <c r="AG23" s="40">
        <f t="shared" si="12"/>
        <v>1729409.2</v>
      </c>
      <c r="AH23" s="40">
        <f t="shared" si="13"/>
        <v>0</v>
      </c>
      <c r="AI23" s="40">
        <f t="shared" si="13"/>
        <v>95204.90000000014</v>
      </c>
      <c r="AJ23" s="40">
        <f t="shared" si="13"/>
        <v>0</v>
      </c>
      <c r="AK23" s="40">
        <f t="shared" si="14"/>
        <v>95204.90000000014</v>
      </c>
      <c r="AL23" s="600"/>
      <c r="AM23" s="600">
        <f t="shared" si="1"/>
        <v>0.94782189834003794</v>
      </c>
      <c r="AN23" s="600" t="str">
        <f t="shared" si="1"/>
        <v xml:space="preserve"> </v>
      </c>
      <c r="AO23" s="600">
        <f t="shared" si="1"/>
        <v>0.94782189834003794</v>
      </c>
    </row>
    <row r="24" spans="1:41" s="16" customFormat="1">
      <c r="A24" s="905" t="s">
        <v>1001</v>
      </c>
      <c r="B24" s="40">
        <f>+'SUMM BY CLUSTER- CONAP'!B72</f>
        <v>0</v>
      </c>
      <c r="C24" s="40">
        <f>+'SUMM BY CLUSTER- CONAP'!C72</f>
        <v>0</v>
      </c>
      <c r="D24" s="40">
        <f>+'SUMM BY CLUSTER- CONAP'!D72</f>
        <v>0</v>
      </c>
      <c r="E24" s="40">
        <f t="shared" si="2"/>
        <v>0</v>
      </c>
      <c r="F24" s="40">
        <f>+'SUMM BY CLUSTER- CONAP'!F72</f>
        <v>0</v>
      </c>
      <c r="G24" s="40">
        <f>+'SUMM BY CLUSTER- CONAP'!G72</f>
        <v>0</v>
      </c>
      <c r="H24" s="40">
        <f>+'SUMM BY CLUSTER- CONAP'!H72</f>
        <v>0</v>
      </c>
      <c r="I24" s="40">
        <f t="shared" si="3"/>
        <v>0</v>
      </c>
      <c r="J24" s="40">
        <f>+'SUMM BY CLUSTER- CONAP'!J72</f>
        <v>0</v>
      </c>
      <c r="K24" s="40">
        <f>+'SUMM BY CLUSTER- CONAP'!K72</f>
        <v>145088.27000000002</v>
      </c>
      <c r="L24" s="40">
        <f>+'SUMM BY CLUSTER- CONAP'!L72</f>
        <v>0</v>
      </c>
      <c r="M24" s="40">
        <f t="shared" si="4"/>
        <v>145088.27000000002</v>
      </c>
      <c r="N24" s="40">
        <f t="shared" si="5"/>
        <v>0</v>
      </c>
      <c r="O24" s="40">
        <f t="shared" si="5"/>
        <v>145088.27000000002</v>
      </c>
      <c r="P24" s="40">
        <f t="shared" si="5"/>
        <v>0</v>
      </c>
      <c r="Q24" s="40">
        <f t="shared" si="6"/>
        <v>145088.27000000002</v>
      </c>
      <c r="R24" s="40">
        <f t="shared" si="7"/>
        <v>0</v>
      </c>
      <c r="S24" s="40">
        <f t="shared" si="7"/>
        <v>145088.27000000002</v>
      </c>
      <c r="T24" s="40">
        <f t="shared" si="7"/>
        <v>0</v>
      </c>
      <c r="U24" s="40">
        <f t="shared" si="8"/>
        <v>145088.27000000002</v>
      </c>
      <c r="V24" s="40">
        <f>+'SUMM BY CLUSTER- CONAP'!V72</f>
        <v>0</v>
      </c>
      <c r="W24" s="40">
        <f>+'SUMM BY CLUSTER- CONAP'!W72</f>
        <v>0</v>
      </c>
      <c r="X24" s="40">
        <f>+'SUMM BY CLUSTER- CONAP'!X72</f>
        <v>0</v>
      </c>
      <c r="Y24" s="40">
        <f t="shared" si="9"/>
        <v>0</v>
      </c>
      <c r="Z24" s="40">
        <f>+'SUMM BY CLUSTER- CONAP'!Z72</f>
        <v>0</v>
      </c>
      <c r="AA24" s="40">
        <f>+'SUMM BY CLUSTER- CONAP'!AA72</f>
        <v>145088.27000000002</v>
      </c>
      <c r="AB24" s="40">
        <f>+'SUMM BY CLUSTER- CONAP'!AB72</f>
        <v>0</v>
      </c>
      <c r="AC24" s="40">
        <f t="shared" si="10"/>
        <v>145088.27000000002</v>
      </c>
      <c r="AD24" s="40">
        <f t="shared" si="11"/>
        <v>0</v>
      </c>
      <c r="AE24" s="40">
        <f t="shared" si="11"/>
        <v>145088.27000000002</v>
      </c>
      <c r="AF24" s="40">
        <f t="shared" si="11"/>
        <v>0</v>
      </c>
      <c r="AG24" s="40">
        <f t="shared" si="12"/>
        <v>145088.27000000002</v>
      </c>
      <c r="AH24" s="40">
        <f t="shared" si="13"/>
        <v>0</v>
      </c>
      <c r="AI24" s="40">
        <f t="shared" si="13"/>
        <v>0</v>
      </c>
      <c r="AJ24" s="40">
        <f t="shared" si="13"/>
        <v>0</v>
      </c>
      <c r="AK24" s="40">
        <f t="shared" si="14"/>
        <v>0</v>
      </c>
      <c r="AL24" s="600"/>
      <c r="AM24" s="600">
        <f t="shared" si="1"/>
        <v>1</v>
      </c>
      <c r="AN24" s="600" t="str">
        <f t="shared" si="1"/>
        <v xml:space="preserve"> </v>
      </c>
      <c r="AO24" s="600">
        <f t="shared" si="1"/>
        <v>1</v>
      </c>
    </row>
    <row r="25" spans="1:41" s="16" customFormat="1">
      <c r="A25" s="905" t="s">
        <v>1002</v>
      </c>
      <c r="B25" s="40">
        <f>+'SUMM BY CLUSTER- CONAP'!B73</f>
        <v>0</v>
      </c>
      <c r="C25" s="40">
        <f>+'SUMM BY CLUSTER- CONAP'!C73</f>
        <v>11</v>
      </c>
      <c r="D25" s="40">
        <f>+'SUMM BY CLUSTER- CONAP'!D73</f>
        <v>0</v>
      </c>
      <c r="E25" s="40">
        <f t="shared" si="2"/>
        <v>11</v>
      </c>
      <c r="F25" s="40">
        <f>+'SUMM BY CLUSTER- CONAP'!F73</f>
        <v>0</v>
      </c>
      <c r="G25" s="40">
        <f>+'SUMM BY CLUSTER- CONAP'!G73</f>
        <v>0</v>
      </c>
      <c r="H25" s="40">
        <f>+'SUMM BY CLUSTER- CONAP'!H73</f>
        <v>0</v>
      </c>
      <c r="I25" s="40">
        <f t="shared" si="3"/>
        <v>0</v>
      </c>
      <c r="J25" s="40">
        <f>+'SUMM BY CLUSTER- CONAP'!J73</f>
        <v>0</v>
      </c>
      <c r="K25" s="40">
        <f>+'SUMM BY CLUSTER- CONAP'!K73</f>
        <v>0</v>
      </c>
      <c r="L25" s="40">
        <f>+'SUMM BY CLUSTER- CONAP'!L73</f>
        <v>0</v>
      </c>
      <c r="M25" s="40">
        <f t="shared" si="4"/>
        <v>0</v>
      </c>
      <c r="N25" s="40">
        <f t="shared" si="5"/>
        <v>0</v>
      </c>
      <c r="O25" s="40">
        <f t="shared" si="5"/>
        <v>0</v>
      </c>
      <c r="P25" s="40">
        <f t="shared" si="5"/>
        <v>0</v>
      </c>
      <c r="Q25" s="40">
        <f t="shared" si="6"/>
        <v>0</v>
      </c>
      <c r="R25" s="40">
        <f t="shared" si="7"/>
        <v>0</v>
      </c>
      <c r="S25" s="40">
        <f t="shared" si="7"/>
        <v>11</v>
      </c>
      <c r="T25" s="40">
        <f t="shared" si="7"/>
        <v>0</v>
      </c>
      <c r="U25" s="40">
        <f t="shared" si="8"/>
        <v>11</v>
      </c>
      <c r="V25" s="40">
        <f>+'SUMM BY CLUSTER- CONAP'!V73</f>
        <v>0</v>
      </c>
      <c r="W25" s="40">
        <f>+'SUMM BY CLUSTER- CONAP'!W73</f>
        <v>0</v>
      </c>
      <c r="X25" s="40">
        <f>+'SUMM BY CLUSTER- CONAP'!X73</f>
        <v>0</v>
      </c>
      <c r="Y25" s="40">
        <f t="shared" si="9"/>
        <v>0</v>
      </c>
      <c r="Z25" s="40">
        <f>+'SUMM BY CLUSTER- CONAP'!Z73</f>
        <v>0</v>
      </c>
      <c r="AA25" s="40">
        <f>+'SUMM BY CLUSTER- CONAP'!AA73</f>
        <v>0</v>
      </c>
      <c r="AB25" s="40">
        <f>+'SUMM BY CLUSTER- CONAP'!AB73</f>
        <v>0</v>
      </c>
      <c r="AC25" s="40">
        <f t="shared" si="10"/>
        <v>0</v>
      </c>
      <c r="AD25" s="40">
        <f t="shared" si="11"/>
        <v>0</v>
      </c>
      <c r="AE25" s="40">
        <f t="shared" si="11"/>
        <v>0</v>
      </c>
      <c r="AF25" s="40">
        <f t="shared" si="11"/>
        <v>0</v>
      </c>
      <c r="AG25" s="40">
        <f t="shared" si="12"/>
        <v>0</v>
      </c>
      <c r="AH25" s="40">
        <f t="shared" si="13"/>
        <v>0</v>
      </c>
      <c r="AI25" s="40">
        <f t="shared" si="13"/>
        <v>11</v>
      </c>
      <c r="AJ25" s="40">
        <f t="shared" si="13"/>
        <v>0</v>
      </c>
      <c r="AK25" s="40">
        <f t="shared" si="14"/>
        <v>11</v>
      </c>
      <c r="AL25" s="600"/>
      <c r="AM25" s="600">
        <f t="shared" si="1"/>
        <v>0</v>
      </c>
      <c r="AN25" s="600" t="str">
        <f t="shared" si="1"/>
        <v xml:space="preserve"> </v>
      </c>
      <c r="AO25" s="600">
        <f t="shared" si="1"/>
        <v>0</v>
      </c>
    </row>
    <row r="26" spans="1:41" s="16" customFormat="1">
      <c r="A26" s="905" t="s">
        <v>1003</v>
      </c>
      <c r="B26" s="40">
        <f>+'SUMM BY CLUSTER- CONAP'!B74</f>
        <v>0</v>
      </c>
      <c r="C26" s="40">
        <f>+'SUMM BY CLUSTER- CONAP'!C74</f>
        <v>0</v>
      </c>
      <c r="D26" s="40">
        <f>+'SUMM BY CLUSTER- CONAP'!D74</f>
        <v>0</v>
      </c>
      <c r="E26" s="40">
        <f t="shared" ref="E26:E34" si="19">SUM(B26:D26)</f>
        <v>0</v>
      </c>
      <c r="F26" s="40">
        <f>+'SUMM BY CLUSTER- CONAP'!F74</f>
        <v>0</v>
      </c>
      <c r="G26" s="40">
        <f>+'SUMM BY CLUSTER- CONAP'!G74</f>
        <v>-648864.24</v>
      </c>
      <c r="H26" s="40">
        <f>+'SUMM BY CLUSTER- CONAP'!H74</f>
        <v>0</v>
      </c>
      <c r="I26" s="40">
        <f t="shared" ref="I26:I34" si="20">SUM(F26:H26)</f>
        <v>-648864.24</v>
      </c>
      <c r="J26" s="40">
        <f>+'SUMM BY CLUSTER- CONAP'!J74</f>
        <v>0</v>
      </c>
      <c r="K26" s="40">
        <f>+'SUMM BY CLUSTER- CONAP'!K74</f>
        <v>1028864.24</v>
      </c>
      <c r="L26" s="40">
        <f>+'SUMM BY CLUSTER- CONAP'!L74</f>
        <v>0</v>
      </c>
      <c r="M26" s="40">
        <f t="shared" ref="M26:M34" si="21">SUM(J26:L26)</f>
        <v>1028864.24</v>
      </c>
      <c r="N26" s="40">
        <f t="shared" ref="N26:P34" si="22">+F26+J26</f>
        <v>0</v>
      </c>
      <c r="O26" s="40">
        <f t="shared" si="22"/>
        <v>380000</v>
      </c>
      <c r="P26" s="40">
        <f t="shared" si="22"/>
        <v>0</v>
      </c>
      <c r="Q26" s="40">
        <f t="shared" ref="Q26:Q34" si="23">SUM(N26:P26)</f>
        <v>380000</v>
      </c>
      <c r="R26" s="40">
        <f t="shared" si="7"/>
        <v>0</v>
      </c>
      <c r="S26" s="40">
        <f t="shared" si="7"/>
        <v>380000</v>
      </c>
      <c r="T26" s="40">
        <f t="shared" si="7"/>
        <v>0</v>
      </c>
      <c r="U26" s="40">
        <f t="shared" ref="U26:U34" si="24">SUM(R26:T26)</f>
        <v>380000</v>
      </c>
      <c r="V26" s="40">
        <f>+'SUMM BY CLUSTER- CONAP'!V74</f>
        <v>0</v>
      </c>
      <c r="W26" s="40">
        <f>+'SUMM BY CLUSTER- CONAP'!W74</f>
        <v>0</v>
      </c>
      <c r="X26" s="40">
        <f>+'SUMM BY CLUSTER- CONAP'!X74</f>
        <v>0</v>
      </c>
      <c r="Y26" s="40">
        <f t="shared" si="9"/>
        <v>0</v>
      </c>
      <c r="Z26" s="40">
        <f>+'SUMM BY CLUSTER- CONAP'!Z74</f>
        <v>0</v>
      </c>
      <c r="AA26" s="40">
        <f>+'SUMM BY CLUSTER- CONAP'!AA74</f>
        <v>375694.5</v>
      </c>
      <c r="AB26" s="40">
        <f>+'SUMM BY CLUSTER- CONAP'!AB74</f>
        <v>0</v>
      </c>
      <c r="AC26" s="40">
        <f t="shared" si="10"/>
        <v>375694.5</v>
      </c>
      <c r="AD26" s="40">
        <f t="shared" si="11"/>
        <v>0</v>
      </c>
      <c r="AE26" s="40">
        <f t="shared" si="11"/>
        <v>375694.5</v>
      </c>
      <c r="AF26" s="40">
        <f t="shared" si="11"/>
        <v>0</v>
      </c>
      <c r="AG26" s="40">
        <f t="shared" ref="AG26:AG34" si="25">SUM(AD26:AF26)</f>
        <v>375694.5</v>
      </c>
      <c r="AH26" s="40">
        <f t="shared" ref="AH26:AJ34" si="26">+R26-AD26</f>
        <v>0</v>
      </c>
      <c r="AI26" s="40">
        <f t="shared" si="26"/>
        <v>4305.5</v>
      </c>
      <c r="AJ26" s="40">
        <f t="shared" si="26"/>
        <v>0</v>
      </c>
      <c r="AK26" s="40">
        <f t="shared" ref="AK26:AK34" si="27">SUM(AH26:AJ26)</f>
        <v>4305.5</v>
      </c>
      <c r="AL26" s="600"/>
      <c r="AM26" s="600">
        <f t="shared" si="1"/>
        <v>0.98866973684210524</v>
      </c>
      <c r="AN26" s="600" t="str">
        <f t="shared" si="1"/>
        <v xml:space="preserve"> </v>
      </c>
      <c r="AO26" s="600">
        <f t="shared" si="1"/>
        <v>0.98866973684210524</v>
      </c>
    </row>
    <row r="27" spans="1:41" s="16" customFormat="1">
      <c r="A27" s="596"/>
      <c r="B27" s="40"/>
      <c r="C27" s="40"/>
      <c r="D27" s="40"/>
      <c r="E27" s="579">
        <f t="shared" si="19"/>
        <v>0</v>
      </c>
      <c r="F27" s="40"/>
      <c r="G27" s="40"/>
      <c r="H27" s="40"/>
      <c r="I27" s="579">
        <f t="shared" si="20"/>
        <v>0</v>
      </c>
      <c r="J27" s="40"/>
      <c r="K27" s="40"/>
      <c r="L27" s="40"/>
      <c r="M27" s="579">
        <f t="shared" si="21"/>
        <v>0</v>
      </c>
      <c r="N27" s="40">
        <f t="shared" si="22"/>
        <v>0</v>
      </c>
      <c r="O27" s="40">
        <f t="shared" si="22"/>
        <v>0</v>
      </c>
      <c r="P27" s="40">
        <f t="shared" si="22"/>
        <v>0</v>
      </c>
      <c r="Q27" s="579">
        <f t="shared" si="23"/>
        <v>0</v>
      </c>
      <c r="R27" s="40">
        <f t="shared" si="7"/>
        <v>0</v>
      </c>
      <c r="S27" s="40">
        <f t="shared" si="7"/>
        <v>0</v>
      </c>
      <c r="T27" s="40">
        <f t="shared" si="7"/>
        <v>0</v>
      </c>
      <c r="U27" s="579">
        <f t="shared" si="24"/>
        <v>0</v>
      </c>
      <c r="V27" s="40"/>
      <c r="W27" s="40"/>
      <c r="X27" s="40"/>
      <c r="Y27" s="579">
        <f t="shared" si="9"/>
        <v>0</v>
      </c>
      <c r="Z27" s="40"/>
      <c r="AA27" s="40"/>
      <c r="AB27" s="40"/>
      <c r="AC27" s="579">
        <f t="shared" si="10"/>
        <v>0</v>
      </c>
      <c r="AD27" s="40">
        <f t="shared" si="11"/>
        <v>0</v>
      </c>
      <c r="AE27" s="40">
        <f t="shared" si="11"/>
        <v>0</v>
      </c>
      <c r="AF27" s="40">
        <f t="shared" si="11"/>
        <v>0</v>
      </c>
      <c r="AG27" s="579">
        <f t="shared" si="25"/>
        <v>0</v>
      </c>
      <c r="AH27" s="579">
        <f t="shared" si="26"/>
        <v>0</v>
      </c>
      <c r="AI27" s="40">
        <f t="shared" si="26"/>
        <v>0</v>
      </c>
      <c r="AJ27" s="40">
        <f t="shared" si="26"/>
        <v>0</v>
      </c>
      <c r="AK27" s="579">
        <f t="shared" si="27"/>
        <v>0</v>
      </c>
      <c r="AL27" s="600"/>
      <c r="AM27" s="600" t="str">
        <f t="shared" si="1"/>
        <v xml:space="preserve"> </v>
      </c>
      <c r="AN27" s="600" t="str">
        <f t="shared" si="1"/>
        <v xml:space="preserve"> </v>
      </c>
      <c r="AO27" s="600" t="str">
        <f t="shared" si="1"/>
        <v xml:space="preserve"> </v>
      </c>
    </row>
    <row r="28" spans="1:41" s="903" customFormat="1" ht="16.5">
      <c r="A28" s="901" t="s">
        <v>1010</v>
      </c>
      <c r="B28" s="912">
        <f>SUM(B29:B34)</f>
        <v>0</v>
      </c>
      <c r="C28" s="912">
        <f t="shared" ref="C28:D28" si="28">SUM(C29:C34)</f>
        <v>6671193.79</v>
      </c>
      <c r="D28" s="912">
        <f t="shared" si="28"/>
        <v>0</v>
      </c>
      <c r="E28" s="912">
        <f t="shared" ref="E28:AK28" si="29">SUM(E29:E34)</f>
        <v>6671193.79</v>
      </c>
      <c r="F28" s="912">
        <f t="shared" si="29"/>
        <v>0</v>
      </c>
      <c r="G28" s="912">
        <f t="shared" si="29"/>
        <v>-13417578.82</v>
      </c>
      <c r="H28" s="912">
        <f t="shared" si="29"/>
        <v>6913000</v>
      </c>
      <c r="I28" s="912">
        <f t="shared" si="29"/>
        <v>-6504578.8200000003</v>
      </c>
      <c r="J28" s="912">
        <f t="shared" si="29"/>
        <v>0</v>
      </c>
      <c r="K28" s="912">
        <f t="shared" si="29"/>
        <v>67003665.539999999</v>
      </c>
      <c r="L28" s="912">
        <f t="shared" si="29"/>
        <v>21871993.719999999</v>
      </c>
      <c r="M28" s="912">
        <f t="shared" si="29"/>
        <v>88875659.25999999</v>
      </c>
      <c r="N28" s="912">
        <f t="shared" si="29"/>
        <v>0</v>
      </c>
      <c r="O28" s="912">
        <f t="shared" si="29"/>
        <v>53586086.719999999</v>
      </c>
      <c r="P28" s="912">
        <f t="shared" si="29"/>
        <v>28784993.719999999</v>
      </c>
      <c r="Q28" s="912">
        <f t="shared" si="29"/>
        <v>82371080.439999998</v>
      </c>
      <c r="R28" s="912">
        <f t="shared" si="29"/>
        <v>0</v>
      </c>
      <c r="S28" s="912">
        <f t="shared" si="29"/>
        <v>60257280.50999999</v>
      </c>
      <c r="T28" s="912">
        <f t="shared" si="29"/>
        <v>28784993.719999999</v>
      </c>
      <c r="U28" s="912">
        <f t="shared" si="29"/>
        <v>89042274.230000004</v>
      </c>
      <c r="V28" s="912">
        <f t="shared" si="29"/>
        <v>0</v>
      </c>
      <c r="W28" s="912">
        <f t="shared" si="29"/>
        <v>6376741.4000000004</v>
      </c>
      <c r="X28" s="912">
        <f t="shared" si="29"/>
        <v>0</v>
      </c>
      <c r="Y28" s="912">
        <f t="shared" si="29"/>
        <v>6376741.4000000004</v>
      </c>
      <c r="Z28" s="912">
        <f t="shared" si="29"/>
        <v>0</v>
      </c>
      <c r="AA28" s="912">
        <f t="shared" si="29"/>
        <v>26411848.420000006</v>
      </c>
      <c r="AB28" s="912">
        <f t="shared" si="29"/>
        <v>11021183.379999999</v>
      </c>
      <c r="AC28" s="912">
        <f t="shared" si="29"/>
        <v>37433031.800000004</v>
      </c>
      <c r="AD28" s="912">
        <f t="shared" si="29"/>
        <v>0</v>
      </c>
      <c r="AE28" s="912">
        <f t="shared" si="29"/>
        <v>32788589.820000004</v>
      </c>
      <c r="AF28" s="912">
        <f t="shared" si="29"/>
        <v>11021183.379999999</v>
      </c>
      <c r="AG28" s="912">
        <f t="shared" si="29"/>
        <v>43809773.199999996</v>
      </c>
      <c r="AH28" s="912">
        <f t="shared" si="29"/>
        <v>0</v>
      </c>
      <c r="AI28" s="912">
        <f t="shared" si="29"/>
        <v>27468690.689999998</v>
      </c>
      <c r="AJ28" s="912">
        <f t="shared" si="29"/>
        <v>17763810.34</v>
      </c>
      <c r="AK28" s="912">
        <f t="shared" si="29"/>
        <v>45232501.030000001</v>
      </c>
      <c r="AL28" s="601" t="str">
        <f t="shared" si="1"/>
        <v xml:space="preserve"> </v>
      </c>
      <c r="AM28" s="601">
        <f t="shared" si="1"/>
        <v>0.54414320630614221</v>
      </c>
      <c r="AN28" s="601">
        <f t="shared" si="1"/>
        <v>0.38287947835619673</v>
      </c>
      <c r="AO28" s="601">
        <f t="shared" si="1"/>
        <v>0.49201094175601889</v>
      </c>
    </row>
    <row r="29" spans="1:41" s="16" customFormat="1">
      <c r="A29" s="905" t="s">
        <v>1086</v>
      </c>
      <c r="B29" s="40">
        <f>+'SUMM BY CLUSTER- CONAP'!B77</f>
        <v>0</v>
      </c>
      <c r="C29" s="40">
        <f>+'SUMM BY CLUSTER- CONAP'!C77</f>
        <v>3891496.9800000004</v>
      </c>
      <c r="D29" s="40">
        <f>+'SUMM BY CLUSTER- CONAP'!D77</f>
        <v>0</v>
      </c>
      <c r="E29" s="40">
        <f t="shared" si="19"/>
        <v>3891496.9800000004</v>
      </c>
      <c r="F29" s="40">
        <f>+'SUMM BY CLUSTER- CONAP'!F77</f>
        <v>0</v>
      </c>
      <c r="G29" s="40">
        <f>+'SUMM BY CLUSTER- CONAP'!G77</f>
        <v>-800000</v>
      </c>
      <c r="H29" s="40">
        <f>+'SUMM BY CLUSTER- CONAP'!H77</f>
        <v>6913000</v>
      </c>
      <c r="I29" s="40">
        <f t="shared" si="20"/>
        <v>6113000</v>
      </c>
      <c r="J29" s="40">
        <f>+'SUMM BY CLUSTER- CONAP'!J77</f>
        <v>0</v>
      </c>
      <c r="K29" s="40">
        <f>+'SUMM BY CLUSTER- CONAP'!K77</f>
        <v>50705095.57</v>
      </c>
      <c r="L29" s="40">
        <f>+'SUMM BY CLUSTER- CONAP'!L77</f>
        <v>21871993.719999999</v>
      </c>
      <c r="M29" s="40">
        <f t="shared" si="21"/>
        <v>72577089.289999992</v>
      </c>
      <c r="N29" s="40">
        <f t="shared" si="22"/>
        <v>0</v>
      </c>
      <c r="O29" s="40">
        <f t="shared" si="22"/>
        <v>49905095.57</v>
      </c>
      <c r="P29" s="40">
        <f t="shared" si="22"/>
        <v>28784993.719999999</v>
      </c>
      <c r="Q29" s="40">
        <f t="shared" si="23"/>
        <v>78690089.289999992</v>
      </c>
      <c r="R29" s="40">
        <f t="shared" si="7"/>
        <v>0</v>
      </c>
      <c r="S29" s="40">
        <f t="shared" si="7"/>
        <v>53796592.549999997</v>
      </c>
      <c r="T29" s="40">
        <f t="shared" si="7"/>
        <v>28784993.719999999</v>
      </c>
      <c r="U29" s="40">
        <f t="shared" si="24"/>
        <v>82581586.269999996</v>
      </c>
      <c r="V29" s="40">
        <f>+'SUMM BY CLUSTER- CONAP'!V77</f>
        <v>0</v>
      </c>
      <c r="W29" s="40">
        <f>+'SUMM BY CLUSTER- CONAP'!W77</f>
        <v>3597243.27</v>
      </c>
      <c r="X29" s="40">
        <f>+'SUMM BY CLUSTER- CONAP'!X77</f>
        <v>0</v>
      </c>
      <c r="Y29" s="40">
        <f t="shared" si="9"/>
        <v>3597243.27</v>
      </c>
      <c r="Z29" s="40">
        <f>+'SUMM BY CLUSTER- CONAP'!Z77</f>
        <v>0</v>
      </c>
      <c r="AA29" s="40">
        <f>+'SUMM BY CLUSTER- CONAP'!AA77</f>
        <v>23708217.900000002</v>
      </c>
      <c r="AB29" s="40">
        <f>+'SUMM BY CLUSTER- CONAP'!AB77</f>
        <v>11021183.379999999</v>
      </c>
      <c r="AC29" s="40">
        <f t="shared" si="10"/>
        <v>34729401.280000001</v>
      </c>
      <c r="AD29" s="40">
        <f t="shared" si="11"/>
        <v>0</v>
      </c>
      <c r="AE29" s="40">
        <f t="shared" si="11"/>
        <v>27305461.170000002</v>
      </c>
      <c r="AF29" s="40">
        <f t="shared" si="11"/>
        <v>11021183.379999999</v>
      </c>
      <c r="AG29" s="40">
        <f t="shared" si="25"/>
        <v>38326644.549999997</v>
      </c>
      <c r="AH29" s="40">
        <f t="shared" si="26"/>
        <v>0</v>
      </c>
      <c r="AI29" s="40">
        <f t="shared" si="26"/>
        <v>26491131.379999995</v>
      </c>
      <c r="AJ29" s="40">
        <f t="shared" si="26"/>
        <v>17763810.34</v>
      </c>
      <c r="AK29" s="40">
        <f t="shared" si="27"/>
        <v>44254941.719999999</v>
      </c>
      <c r="AL29" s="600"/>
      <c r="AM29" s="600">
        <f t="shared" si="1"/>
        <v>0.50756860008599192</v>
      </c>
      <c r="AN29" s="600">
        <f t="shared" si="1"/>
        <v>0.38287947835619673</v>
      </c>
      <c r="AO29" s="600">
        <f t="shared" si="1"/>
        <v>0.4641064222802801</v>
      </c>
    </row>
    <row r="30" spans="1:41" s="903" customFormat="1">
      <c r="A30" s="905" t="s">
        <v>1004</v>
      </c>
      <c r="B30" s="40">
        <f>+'SUMM BY CLUSTER- CONAP'!B78</f>
        <v>0</v>
      </c>
      <c r="C30" s="40">
        <f>+'SUMM BY CLUSTER- CONAP'!C78</f>
        <v>0</v>
      </c>
      <c r="D30" s="40">
        <f>+'SUMM BY CLUSTER- CONAP'!D78</f>
        <v>0</v>
      </c>
      <c r="E30" s="40">
        <f t="shared" si="19"/>
        <v>0</v>
      </c>
      <c r="F30" s="40">
        <f>+'SUMM BY CLUSTER- CONAP'!F78</f>
        <v>0</v>
      </c>
      <c r="G30" s="40">
        <f>+'SUMM BY CLUSTER- CONAP'!G78</f>
        <v>-2724466.02</v>
      </c>
      <c r="H30" s="40">
        <f>+'SUMM BY CLUSTER- CONAP'!H78</f>
        <v>0</v>
      </c>
      <c r="I30" s="40">
        <f t="shared" si="20"/>
        <v>-2724466.02</v>
      </c>
      <c r="J30" s="40">
        <f>+'SUMM BY CLUSTER- CONAP'!J78</f>
        <v>0</v>
      </c>
      <c r="K30" s="40">
        <f>+'SUMM BY CLUSTER- CONAP'!K78</f>
        <v>3018415.92</v>
      </c>
      <c r="L30" s="40">
        <f>+'SUMM BY CLUSTER- CONAP'!L78</f>
        <v>0</v>
      </c>
      <c r="M30" s="40">
        <f t="shared" si="21"/>
        <v>3018415.92</v>
      </c>
      <c r="N30" s="40">
        <f t="shared" si="22"/>
        <v>0</v>
      </c>
      <c r="O30" s="40">
        <f t="shared" si="22"/>
        <v>293949.89999999991</v>
      </c>
      <c r="P30" s="40">
        <f t="shared" si="22"/>
        <v>0</v>
      </c>
      <c r="Q30" s="40">
        <f t="shared" si="23"/>
        <v>293949.89999999991</v>
      </c>
      <c r="R30" s="40">
        <f t="shared" si="7"/>
        <v>0</v>
      </c>
      <c r="S30" s="40">
        <f t="shared" si="7"/>
        <v>293949.89999999991</v>
      </c>
      <c r="T30" s="40">
        <f t="shared" si="7"/>
        <v>0</v>
      </c>
      <c r="U30" s="40">
        <f t="shared" si="24"/>
        <v>293949.89999999991</v>
      </c>
      <c r="V30" s="40">
        <f>+'SUMM BY CLUSTER- CONAP'!V78</f>
        <v>0</v>
      </c>
      <c r="W30" s="40">
        <f>+'SUMM BY CLUSTER- CONAP'!W78</f>
        <v>0</v>
      </c>
      <c r="X30" s="40">
        <f>+'SUMM BY CLUSTER- CONAP'!X78</f>
        <v>0</v>
      </c>
      <c r="Y30" s="40">
        <f t="shared" si="9"/>
        <v>0</v>
      </c>
      <c r="Z30" s="40">
        <f>+'SUMM BY CLUSTER- CONAP'!Z78</f>
        <v>0</v>
      </c>
      <c r="AA30" s="40">
        <f>+'SUMM BY CLUSTER- CONAP'!AA78</f>
        <v>111802.29999999999</v>
      </c>
      <c r="AB30" s="40">
        <f>+'SUMM BY CLUSTER- CONAP'!AB78</f>
        <v>0</v>
      </c>
      <c r="AC30" s="40">
        <f t="shared" si="10"/>
        <v>111802.29999999999</v>
      </c>
      <c r="AD30" s="40">
        <f t="shared" si="11"/>
        <v>0</v>
      </c>
      <c r="AE30" s="40">
        <f t="shared" si="11"/>
        <v>111802.29999999999</v>
      </c>
      <c r="AF30" s="40">
        <f t="shared" si="11"/>
        <v>0</v>
      </c>
      <c r="AG30" s="40">
        <f t="shared" si="25"/>
        <v>111802.29999999999</v>
      </c>
      <c r="AH30" s="40">
        <f t="shared" si="26"/>
        <v>0</v>
      </c>
      <c r="AI30" s="40">
        <f t="shared" si="26"/>
        <v>182147.59999999992</v>
      </c>
      <c r="AJ30" s="40">
        <f t="shared" si="26"/>
        <v>0</v>
      </c>
      <c r="AK30" s="40">
        <f t="shared" si="27"/>
        <v>182147.59999999992</v>
      </c>
      <c r="AL30" s="601"/>
      <c r="AM30" s="601">
        <f t="shared" si="1"/>
        <v>0.38034474582233241</v>
      </c>
      <c r="AN30" s="601" t="str">
        <f t="shared" si="1"/>
        <v xml:space="preserve"> </v>
      </c>
      <c r="AO30" s="601">
        <f t="shared" si="1"/>
        <v>0.38034474582233241</v>
      </c>
    </row>
    <row r="31" spans="1:41" s="903" customFormat="1">
      <c r="A31" s="905" t="s">
        <v>1005</v>
      </c>
      <c r="B31" s="40">
        <f>+'SUMM BY CLUSTER- CONAP'!B79</f>
        <v>0</v>
      </c>
      <c r="C31" s="40">
        <f>+'SUMM BY CLUSTER- CONAP'!C79</f>
        <v>0</v>
      </c>
      <c r="D31" s="40">
        <f>+'SUMM BY CLUSTER- CONAP'!D79</f>
        <v>0</v>
      </c>
      <c r="E31" s="40">
        <f t="shared" si="19"/>
        <v>0</v>
      </c>
      <c r="F31" s="40">
        <f>+'SUMM BY CLUSTER- CONAP'!F79</f>
        <v>0</v>
      </c>
      <c r="G31" s="40">
        <f>+'SUMM BY CLUSTER- CONAP'!G79</f>
        <v>0</v>
      </c>
      <c r="H31" s="40">
        <f>+'SUMM BY CLUSTER- CONAP'!H79</f>
        <v>0</v>
      </c>
      <c r="I31" s="40">
        <f t="shared" si="20"/>
        <v>0</v>
      </c>
      <c r="J31" s="40">
        <f>+'SUMM BY CLUSTER- CONAP'!J79</f>
        <v>0</v>
      </c>
      <c r="K31" s="40">
        <f>+'SUMM BY CLUSTER- CONAP'!K79</f>
        <v>2155124</v>
      </c>
      <c r="L31" s="40">
        <f>+'SUMM BY CLUSTER- CONAP'!L79</f>
        <v>0</v>
      </c>
      <c r="M31" s="40">
        <f t="shared" si="21"/>
        <v>2155124</v>
      </c>
      <c r="N31" s="40">
        <f t="shared" si="22"/>
        <v>0</v>
      </c>
      <c r="O31" s="40">
        <f t="shared" si="22"/>
        <v>2155124</v>
      </c>
      <c r="P31" s="40">
        <f t="shared" si="22"/>
        <v>0</v>
      </c>
      <c r="Q31" s="40">
        <f t="shared" si="23"/>
        <v>2155124</v>
      </c>
      <c r="R31" s="40">
        <f t="shared" si="7"/>
        <v>0</v>
      </c>
      <c r="S31" s="40">
        <f t="shared" si="7"/>
        <v>2155124</v>
      </c>
      <c r="T31" s="40">
        <f t="shared" si="7"/>
        <v>0</v>
      </c>
      <c r="U31" s="40">
        <f t="shared" si="24"/>
        <v>2155124</v>
      </c>
      <c r="V31" s="40">
        <f>+'SUMM BY CLUSTER- CONAP'!V79</f>
        <v>0</v>
      </c>
      <c r="W31" s="40">
        <f>+'SUMM BY CLUSTER- CONAP'!W79</f>
        <v>0</v>
      </c>
      <c r="X31" s="40">
        <f>+'SUMM BY CLUSTER- CONAP'!X79</f>
        <v>0</v>
      </c>
      <c r="Y31" s="40">
        <f t="shared" si="9"/>
        <v>0</v>
      </c>
      <c r="Z31" s="40">
        <f>+'SUMM BY CLUSTER- CONAP'!Z79</f>
        <v>0</v>
      </c>
      <c r="AA31" s="40">
        <f>+'SUMM BY CLUSTER- CONAP'!AA79</f>
        <v>1673295.78</v>
      </c>
      <c r="AB31" s="40">
        <f>+'SUMM BY CLUSTER- CONAP'!AB79</f>
        <v>0</v>
      </c>
      <c r="AC31" s="40">
        <f t="shared" si="10"/>
        <v>1673295.78</v>
      </c>
      <c r="AD31" s="40">
        <f t="shared" si="11"/>
        <v>0</v>
      </c>
      <c r="AE31" s="40">
        <f t="shared" si="11"/>
        <v>1673295.78</v>
      </c>
      <c r="AF31" s="40">
        <f t="shared" si="11"/>
        <v>0</v>
      </c>
      <c r="AG31" s="40">
        <f t="shared" si="25"/>
        <v>1673295.78</v>
      </c>
      <c r="AH31" s="40">
        <f t="shared" si="26"/>
        <v>0</v>
      </c>
      <c r="AI31" s="40">
        <f t="shared" si="26"/>
        <v>481828.22</v>
      </c>
      <c r="AJ31" s="40">
        <f t="shared" si="26"/>
        <v>0</v>
      </c>
      <c r="AK31" s="40">
        <f t="shared" si="27"/>
        <v>481828.22</v>
      </c>
      <c r="AL31" s="601"/>
      <c r="AM31" s="601">
        <f t="shared" si="1"/>
        <v>0.77642668356901967</v>
      </c>
      <c r="AN31" s="601" t="str">
        <f t="shared" si="1"/>
        <v xml:space="preserve"> </v>
      </c>
      <c r="AO31" s="601">
        <f t="shared" si="1"/>
        <v>0.77642668356901967</v>
      </c>
    </row>
    <row r="32" spans="1:41" s="903" customFormat="1">
      <c r="A32" s="905" t="s">
        <v>1006</v>
      </c>
      <c r="B32" s="40">
        <f>+'SUMM BY CLUSTER- CONAP'!B80</f>
        <v>0</v>
      </c>
      <c r="C32" s="40">
        <f>+'SUMM BY CLUSTER- CONAP'!C80</f>
        <v>5049.78</v>
      </c>
      <c r="D32" s="40">
        <f>+'SUMM BY CLUSTER- CONAP'!D80</f>
        <v>0</v>
      </c>
      <c r="E32" s="40">
        <f t="shared" si="19"/>
        <v>5049.78</v>
      </c>
      <c r="F32" s="40">
        <f>+'SUMM BY CLUSTER- CONAP'!F80</f>
        <v>0</v>
      </c>
      <c r="G32" s="40">
        <f>+'SUMM BY CLUSTER- CONAP'!G80</f>
        <v>-3272578.66</v>
      </c>
      <c r="H32" s="40">
        <f>+'SUMM BY CLUSTER- CONAP'!H80</f>
        <v>0</v>
      </c>
      <c r="I32" s="40">
        <f t="shared" si="20"/>
        <v>-3272578.66</v>
      </c>
      <c r="J32" s="40">
        <f>+'SUMM BY CLUSTER- CONAP'!J80</f>
        <v>0</v>
      </c>
      <c r="K32" s="40">
        <f>+'SUMM BY CLUSTER- CONAP'!K80</f>
        <v>3688110.86</v>
      </c>
      <c r="L32" s="40">
        <f>+'SUMM BY CLUSTER- CONAP'!L80</f>
        <v>0</v>
      </c>
      <c r="M32" s="40">
        <f t="shared" si="21"/>
        <v>3688110.86</v>
      </c>
      <c r="N32" s="40">
        <f t="shared" si="22"/>
        <v>0</v>
      </c>
      <c r="O32" s="40">
        <f t="shared" si="22"/>
        <v>415532.19999999972</v>
      </c>
      <c r="P32" s="40">
        <f t="shared" si="22"/>
        <v>0</v>
      </c>
      <c r="Q32" s="40">
        <f t="shared" si="23"/>
        <v>415532.19999999972</v>
      </c>
      <c r="R32" s="40">
        <f t="shared" si="7"/>
        <v>0</v>
      </c>
      <c r="S32" s="40">
        <f t="shared" si="7"/>
        <v>420581.97999999975</v>
      </c>
      <c r="T32" s="40">
        <f t="shared" si="7"/>
        <v>0</v>
      </c>
      <c r="U32" s="40">
        <f t="shared" si="24"/>
        <v>420581.97999999975</v>
      </c>
      <c r="V32" s="40">
        <f>+'SUMM BY CLUSTER- CONAP'!V80</f>
        <v>0</v>
      </c>
      <c r="W32" s="40">
        <f>+'SUMM BY CLUSTER- CONAP'!W80</f>
        <v>4851.1000000000004</v>
      </c>
      <c r="X32" s="40">
        <f>+'SUMM BY CLUSTER- CONAP'!X80</f>
        <v>0</v>
      </c>
      <c r="Y32" s="40">
        <f t="shared" si="9"/>
        <v>4851.1000000000004</v>
      </c>
      <c r="Z32" s="40">
        <f>+'SUMM BY CLUSTER- CONAP'!Z80</f>
        <v>0</v>
      </c>
      <c r="AA32" s="40">
        <f>+'SUMM BY CLUSTER- CONAP'!AA80</f>
        <v>338502.78000000009</v>
      </c>
      <c r="AB32" s="40">
        <f>+'SUMM BY CLUSTER- CONAP'!AB80</f>
        <v>0</v>
      </c>
      <c r="AC32" s="40">
        <f t="shared" si="10"/>
        <v>338502.78000000009</v>
      </c>
      <c r="AD32" s="40">
        <f t="shared" si="11"/>
        <v>0</v>
      </c>
      <c r="AE32" s="40">
        <f t="shared" si="11"/>
        <v>343353.88000000006</v>
      </c>
      <c r="AF32" s="40">
        <f t="shared" si="11"/>
        <v>0</v>
      </c>
      <c r="AG32" s="40">
        <f t="shared" si="25"/>
        <v>343353.88000000006</v>
      </c>
      <c r="AH32" s="40">
        <f t="shared" si="26"/>
        <v>0</v>
      </c>
      <c r="AI32" s="40">
        <f t="shared" si="26"/>
        <v>77228.099999999686</v>
      </c>
      <c r="AJ32" s="40">
        <f t="shared" si="26"/>
        <v>0</v>
      </c>
      <c r="AK32" s="40">
        <f t="shared" si="27"/>
        <v>77228.099999999686</v>
      </c>
      <c r="AL32" s="601"/>
      <c r="AM32" s="601">
        <f t="shared" si="1"/>
        <v>0.81637801029896784</v>
      </c>
      <c r="AN32" s="601" t="str">
        <f t="shared" si="1"/>
        <v xml:space="preserve"> </v>
      </c>
      <c r="AO32" s="601">
        <f t="shared" si="1"/>
        <v>0.81637801029896784</v>
      </c>
    </row>
    <row r="33" spans="1:64" s="903" customFormat="1">
      <c r="A33" s="905" t="s">
        <v>1007</v>
      </c>
      <c r="B33" s="40">
        <f>+'SUMM BY CLUSTER- CONAP'!B81</f>
        <v>0</v>
      </c>
      <c r="C33" s="40">
        <f>+'SUMM BY CLUSTER- CONAP'!C81</f>
        <v>0</v>
      </c>
      <c r="D33" s="40">
        <f>+'SUMM BY CLUSTER- CONAP'!D81</f>
        <v>0</v>
      </c>
      <c r="E33" s="40">
        <f t="shared" si="19"/>
        <v>0</v>
      </c>
      <c r="F33" s="40">
        <f>+'SUMM BY CLUSTER- CONAP'!F81</f>
        <v>0</v>
      </c>
      <c r="G33" s="40">
        <f>+'SUMM BY CLUSTER- CONAP'!G81</f>
        <v>-3987389.48</v>
      </c>
      <c r="H33" s="40">
        <f>+'SUMM BY CLUSTER- CONAP'!H81</f>
        <v>0</v>
      </c>
      <c r="I33" s="40">
        <f t="shared" si="20"/>
        <v>-3987389.48</v>
      </c>
      <c r="J33" s="40">
        <f>+'SUMM BY CLUSTER- CONAP'!J81</f>
        <v>0</v>
      </c>
      <c r="K33" s="40">
        <f>+'SUMM BY CLUSTER- CONAP'!K81</f>
        <v>4367389.4800000004</v>
      </c>
      <c r="L33" s="40">
        <f>+'SUMM BY CLUSTER- CONAP'!L81</f>
        <v>0</v>
      </c>
      <c r="M33" s="40">
        <f t="shared" si="21"/>
        <v>4367389.4800000004</v>
      </c>
      <c r="N33" s="40">
        <f t="shared" si="22"/>
        <v>0</v>
      </c>
      <c r="O33" s="40">
        <f t="shared" si="22"/>
        <v>380000.00000000047</v>
      </c>
      <c r="P33" s="40">
        <f t="shared" si="22"/>
        <v>0</v>
      </c>
      <c r="Q33" s="40">
        <f t="shared" si="23"/>
        <v>380000.00000000047</v>
      </c>
      <c r="R33" s="40">
        <f t="shared" si="7"/>
        <v>0</v>
      </c>
      <c r="S33" s="40">
        <f t="shared" si="7"/>
        <v>380000.00000000047</v>
      </c>
      <c r="T33" s="40">
        <f t="shared" si="7"/>
        <v>0</v>
      </c>
      <c r="U33" s="40">
        <f t="shared" si="24"/>
        <v>380000.00000000047</v>
      </c>
      <c r="V33" s="40">
        <f>+'SUMM BY CLUSTER- CONAP'!V81</f>
        <v>0</v>
      </c>
      <c r="W33" s="40">
        <f>+'SUMM BY CLUSTER- CONAP'!W81</f>
        <v>0</v>
      </c>
      <c r="X33" s="40">
        <f>+'SUMM BY CLUSTER- CONAP'!X81</f>
        <v>0</v>
      </c>
      <c r="Y33" s="40">
        <f t="shared" si="9"/>
        <v>0</v>
      </c>
      <c r="Z33" s="40">
        <f>+'SUMM BY CLUSTER- CONAP'!Z81</f>
        <v>0</v>
      </c>
      <c r="AA33" s="40">
        <f>+'SUMM BY CLUSTER- CONAP'!AA81</f>
        <v>164924.63999999998</v>
      </c>
      <c r="AB33" s="40">
        <f>+'SUMM BY CLUSTER- CONAP'!AB81</f>
        <v>0</v>
      </c>
      <c r="AC33" s="40">
        <f t="shared" si="10"/>
        <v>164924.63999999998</v>
      </c>
      <c r="AD33" s="40">
        <f t="shared" si="11"/>
        <v>0</v>
      </c>
      <c r="AE33" s="40">
        <f t="shared" si="11"/>
        <v>164924.63999999998</v>
      </c>
      <c r="AF33" s="40">
        <f t="shared" si="11"/>
        <v>0</v>
      </c>
      <c r="AG33" s="40">
        <f t="shared" si="25"/>
        <v>164924.63999999998</v>
      </c>
      <c r="AH33" s="40">
        <f t="shared" si="26"/>
        <v>0</v>
      </c>
      <c r="AI33" s="40">
        <f t="shared" si="26"/>
        <v>215075.36000000048</v>
      </c>
      <c r="AJ33" s="40">
        <f t="shared" si="26"/>
        <v>0</v>
      </c>
      <c r="AK33" s="40">
        <f t="shared" si="27"/>
        <v>215075.36000000048</v>
      </c>
      <c r="AL33" s="601"/>
      <c r="AM33" s="601">
        <f t="shared" si="1"/>
        <v>0.43401221052631522</v>
      </c>
      <c r="AN33" s="601" t="str">
        <f t="shared" si="1"/>
        <v xml:space="preserve"> </v>
      </c>
      <c r="AO33" s="601">
        <f t="shared" si="1"/>
        <v>0.43401221052631522</v>
      </c>
    </row>
    <row r="34" spans="1:64" s="903" customFormat="1">
      <c r="A34" s="905" t="s">
        <v>1008</v>
      </c>
      <c r="B34" s="40">
        <f>+'SUMM BY CLUSTER- CONAP'!B82</f>
        <v>0</v>
      </c>
      <c r="C34" s="40">
        <f>+'SUMM BY CLUSTER- CONAP'!C82</f>
        <v>2774647.03</v>
      </c>
      <c r="D34" s="40">
        <f>+'SUMM BY CLUSTER- CONAP'!D82</f>
        <v>0</v>
      </c>
      <c r="E34" s="40">
        <f t="shared" si="19"/>
        <v>2774647.03</v>
      </c>
      <c r="F34" s="40">
        <f>+'SUMM BY CLUSTER- CONAP'!F82</f>
        <v>0</v>
      </c>
      <c r="G34" s="40">
        <f>+'SUMM BY CLUSTER- CONAP'!G82</f>
        <v>-2633144.66</v>
      </c>
      <c r="H34" s="40">
        <f>+'SUMM BY CLUSTER- CONAP'!H82</f>
        <v>0</v>
      </c>
      <c r="I34" s="40">
        <f t="shared" si="20"/>
        <v>-2633144.66</v>
      </c>
      <c r="J34" s="40">
        <f>+'SUMM BY CLUSTER- CONAP'!J82</f>
        <v>0</v>
      </c>
      <c r="K34" s="40">
        <f>+'SUMM BY CLUSTER- CONAP'!K82</f>
        <v>3069529.71</v>
      </c>
      <c r="L34" s="40">
        <f>+'SUMM BY CLUSTER- CONAP'!L82</f>
        <v>0</v>
      </c>
      <c r="M34" s="40">
        <f t="shared" si="21"/>
        <v>3069529.71</v>
      </c>
      <c r="N34" s="40">
        <f t="shared" si="22"/>
        <v>0</v>
      </c>
      <c r="O34" s="40">
        <f t="shared" si="22"/>
        <v>436385.04999999981</v>
      </c>
      <c r="P34" s="40">
        <f t="shared" si="22"/>
        <v>0</v>
      </c>
      <c r="Q34" s="40">
        <f t="shared" si="23"/>
        <v>436385.04999999981</v>
      </c>
      <c r="R34" s="40">
        <f t="shared" si="7"/>
        <v>0</v>
      </c>
      <c r="S34" s="40">
        <f t="shared" si="7"/>
        <v>3211032.0799999996</v>
      </c>
      <c r="T34" s="40">
        <f t="shared" si="7"/>
        <v>0</v>
      </c>
      <c r="U34" s="40">
        <f t="shared" si="24"/>
        <v>3211032.0799999996</v>
      </c>
      <c r="V34" s="40">
        <f>+'SUMM BY CLUSTER- CONAP'!V82</f>
        <v>0</v>
      </c>
      <c r="W34" s="40">
        <f>+'SUMM BY CLUSTER- CONAP'!W82</f>
        <v>2774647.0300000003</v>
      </c>
      <c r="X34" s="40">
        <f>+'SUMM BY CLUSTER- CONAP'!X82</f>
        <v>0</v>
      </c>
      <c r="Y34" s="40">
        <f t="shared" si="9"/>
        <v>2774647.0300000003</v>
      </c>
      <c r="Z34" s="40">
        <f>+'SUMM BY CLUSTER- CONAP'!Z82</f>
        <v>0</v>
      </c>
      <c r="AA34" s="40">
        <f>+'SUMM BY CLUSTER- CONAP'!AA82</f>
        <v>415105.02</v>
      </c>
      <c r="AB34" s="40">
        <f>+'SUMM BY CLUSTER- CONAP'!AB82</f>
        <v>0</v>
      </c>
      <c r="AC34" s="40">
        <f t="shared" si="10"/>
        <v>415105.02</v>
      </c>
      <c r="AD34" s="40">
        <f t="shared" si="11"/>
        <v>0</v>
      </c>
      <c r="AE34" s="40">
        <f t="shared" si="11"/>
        <v>3189752.0500000003</v>
      </c>
      <c r="AF34" s="40">
        <f t="shared" si="11"/>
        <v>0</v>
      </c>
      <c r="AG34" s="40">
        <f t="shared" si="25"/>
        <v>3189752.0500000003</v>
      </c>
      <c r="AH34" s="40">
        <f t="shared" si="26"/>
        <v>0</v>
      </c>
      <c r="AI34" s="40">
        <f t="shared" si="26"/>
        <v>21280.029999999329</v>
      </c>
      <c r="AJ34" s="40">
        <f t="shared" si="26"/>
        <v>0</v>
      </c>
      <c r="AK34" s="40">
        <f t="shared" si="27"/>
        <v>21280.029999999329</v>
      </c>
      <c r="AL34" s="601"/>
      <c r="AM34" s="601">
        <f t="shared" si="1"/>
        <v>0.993372837931909</v>
      </c>
      <c r="AN34" s="601" t="str">
        <f t="shared" si="1"/>
        <v xml:space="preserve"> </v>
      </c>
      <c r="AO34" s="601">
        <f t="shared" si="1"/>
        <v>0.993372837931909</v>
      </c>
    </row>
    <row r="35" spans="1:64" s="932" customFormat="1" ht="16.5">
      <c r="A35" s="933" t="s">
        <v>440</v>
      </c>
      <c r="B35" s="928">
        <f>SUM(B8:B28)</f>
        <v>0</v>
      </c>
      <c r="C35" s="928">
        <f t="shared" ref="C35:AK35" si="30">+C8+C15+C21+C28</f>
        <v>12202447.789999999</v>
      </c>
      <c r="D35" s="928">
        <f t="shared" si="30"/>
        <v>1237960</v>
      </c>
      <c r="E35" s="928">
        <f t="shared" si="30"/>
        <v>13440407.790000001</v>
      </c>
      <c r="F35" s="928">
        <f t="shared" si="30"/>
        <v>0</v>
      </c>
      <c r="G35" s="928">
        <f t="shared" si="30"/>
        <v>-23411517.109999999</v>
      </c>
      <c r="H35" s="928">
        <f t="shared" si="30"/>
        <v>39159900</v>
      </c>
      <c r="I35" s="928">
        <f t="shared" si="30"/>
        <v>15748382.890000001</v>
      </c>
      <c r="J35" s="928">
        <f t="shared" si="30"/>
        <v>0</v>
      </c>
      <c r="K35" s="928">
        <f t="shared" si="30"/>
        <v>121976430.42999998</v>
      </c>
      <c r="L35" s="928">
        <f t="shared" si="30"/>
        <v>248194531.64000002</v>
      </c>
      <c r="M35" s="928">
        <f t="shared" si="30"/>
        <v>370170962.06999999</v>
      </c>
      <c r="N35" s="928">
        <f t="shared" si="30"/>
        <v>0</v>
      </c>
      <c r="O35" s="928">
        <f t="shared" si="30"/>
        <v>98564913.319999978</v>
      </c>
      <c r="P35" s="928">
        <f t="shared" si="30"/>
        <v>287354431.63999999</v>
      </c>
      <c r="Q35" s="928">
        <f t="shared" si="30"/>
        <v>385919344.95999998</v>
      </c>
      <c r="R35" s="928">
        <f t="shared" si="30"/>
        <v>0</v>
      </c>
      <c r="S35" s="928">
        <f t="shared" si="30"/>
        <v>110767361.10999997</v>
      </c>
      <c r="T35" s="928">
        <f t="shared" si="30"/>
        <v>288592391.63999999</v>
      </c>
      <c r="U35" s="928">
        <f t="shared" si="30"/>
        <v>399359752.75</v>
      </c>
      <c r="V35" s="928">
        <f t="shared" si="30"/>
        <v>0</v>
      </c>
      <c r="W35" s="928">
        <f t="shared" si="30"/>
        <v>11904747.130000001</v>
      </c>
      <c r="X35" s="928">
        <f t="shared" si="30"/>
        <v>1188000.03</v>
      </c>
      <c r="Y35" s="928">
        <f t="shared" si="30"/>
        <v>13092747.16</v>
      </c>
      <c r="Z35" s="928">
        <f t="shared" si="30"/>
        <v>0</v>
      </c>
      <c r="AA35" s="928">
        <f t="shared" si="30"/>
        <v>71000370.450000003</v>
      </c>
      <c r="AB35" s="928">
        <f t="shared" si="30"/>
        <v>225804014.96999997</v>
      </c>
      <c r="AC35" s="928">
        <f t="shared" si="30"/>
        <v>296804385.42000002</v>
      </c>
      <c r="AD35" s="928">
        <f t="shared" si="30"/>
        <v>0</v>
      </c>
      <c r="AE35" s="928">
        <f t="shared" si="30"/>
        <v>82905117.579999998</v>
      </c>
      <c r="AF35" s="928">
        <f t="shared" si="30"/>
        <v>226992015</v>
      </c>
      <c r="AG35" s="928">
        <f t="shared" si="30"/>
        <v>309897132.57999998</v>
      </c>
      <c r="AH35" s="928">
        <f t="shared" si="30"/>
        <v>0</v>
      </c>
      <c r="AI35" s="928">
        <f t="shared" si="30"/>
        <v>27862243.529999983</v>
      </c>
      <c r="AJ35" s="928">
        <f t="shared" si="30"/>
        <v>61600376.640000015</v>
      </c>
      <c r="AK35" s="928">
        <f t="shared" si="30"/>
        <v>89462620.169999987</v>
      </c>
      <c r="AL35" s="930" t="str">
        <f>IF(R35=0," ",AD35/R35)</f>
        <v xml:space="preserve"> </v>
      </c>
      <c r="AM35" s="930">
        <f>IF(S35=0," ",AE35/S35)</f>
        <v>0.7484616113375604</v>
      </c>
      <c r="AN35" s="930">
        <f>IF(T35=0," ",AF35/T35)</f>
        <v>0.78654885428565835</v>
      </c>
      <c r="AO35" s="930">
        <f>IF(U35=0," ",AG35/U35)</f>
        <v>0.77598488692473777</v>
      </c>
      <c r="AP35" s="931"/>
      <c r="AQ35" s="931"/>
      <c r="AR35" s="931"/>
      <c r="AS35" s="931"/>
      <c r="AT35" s="931"/>
      <c r="AU35" s="931"/>
      <c r="AV35" s="931"/>
      <c r="AW35" s="931"/>
      <c r="AX35" s="931"/>
      <c r="AY35" s="931"/>
      <c r="AZ35" s="931"/>
      <c r="BA35" s="931"/>
      <c r="BB35" s="931"/>
      <c r="BC35" s="931"/>
      <c r="BD35" s="931"/>
      <c r="BE35" s="931"/>
      <c r="BF35" s="931"/>
      <c r="BG35" s="931"/>
      <c r="BH35" s="931"/>
      <c r="BI35" s="931"/>
      <c r="BJ35" s="931"/>
      <c r="BK35" s="931"/>
      <c r="BL35" s="931"/>
    </row>
    <row r="37" spans="1:64" hidden="1">
      <c r="C37" s="30">
        <f>+C35-'SUMM BY CLUSTER- CONAP'!C55</f>
        <v>0</v>
      </c>
      <c r="D37" s="30">
        <f>+D35-'SUMM BY CLUSTER- CONAP'!D55</f>
        <v>0</v>
      </c>
      <c r="E37" s="30">
        <f>+E35-'SUMM BY CLUSTER- CONAP'!E55</f>
        <v>0</v>
      </c>
      <c r="F37" s="30">
        <f>+F35-'SUMM BY CLUSTER- CONAP'!F55</f>
        <v>0</v>
      </c>
      <c r="G37" s="30">
        <f>+G35-'SUMM BY CLUSTER- CONAP'!G55</f>
        <v>0</v>
      </c>
      <c r="H37" s="30">
        <f>+H35-'SUMM BY CLUSTER- CONAP'!H55</f>
        <v>0</v>
      </c>
      <c r="I37" s="30">
        <f>+I35-'SUMM BY CLUSTER- CONAP'!I55</f>
        <v>0</v>
      </c>
      <c r="J37" s="30">
        <f>+J35-'SUMM BY CLUSTER- CONAP'!J55</f>
        <v>0</v>
      </c>
      <c r="K37" s="30">
        <f>+K35-'SUMM BY CLUSTER- CONAP'!K55</f>
        <v>0</v>
      </c>
      <c r="L37" s="30">
        <f>+L35-'SUMM BY CLUSTER- CONAP'!L55</f>
        <v>0</v>
      </c>
      <c r="M37" s="30">
        <f>+M35-'SUMM BY CLUSTER- CONAP'!M55</f>
        <v>0</v>
      </c>
      <c r="N37" s="30">
        <f>+N35-'SUMM BY CLUSTER- CONAP'!N55</f>
        <v>0</v>
      </c>
      <c r="O37" s="30">
        <f>+O35-'SUMM BY CLUSTER- CONAP'!O55</f>
        <v>0</v>
      </c>
      <c r="P37" s="30">
        <f>+P35-'SUMM BY CLUSTER- CONAP'!P55</f>
        <v>0</v>
      </c>
      <c r="Q37" s="30">
        <f>+Q35-'SUMM BY CLUSTER- CONAP'!Q55</f>
        <v>0</v>
      </c>
      <c r="R37" s="30">
        <f>+R35-'SUMM BY CLUSTER- CONAP'!R55</f>
        <v>0</v>
      </c>
      <c r="S37" s="30">
        <f>+S35-'SUMM BY CLUSTER- CONAP'!S55</f>
        <v>0</v>
      </c>
      <c r="T37" s="30">
        <f>+T35-'SUMM BY CLUSTER- CONAP'!T55</f>
        <v>0</v>
      </c>
      <c r="U37" s="30">
        <f>+U35-'SUMM BY CLUSTER- CONAP'!U55</f>
        <v>0</v>
      </c>
      <c r="V37" s="30">
        <f>+V35-'SUMM BY CLUSTER- CONAP'!V55</f>
        <v>0</v>
      </c>
      <c r="W37" s="30">
        <f>+W35-'SUMM BY CLUSTER- CONAP'!W55</f>
        <v>0</v>
      </c>
      <c r="X37" s="30">
        <f>+X35-'SUMM BY CLUSTER- CONAP'!X55</f>
        <v>0</v>
      </c>
      <c r="Y37" s="30">
        <f>+Y35-'SUMM BY CLUSTER- CONAP'!Y55</f>
        <v>0</v>
      </c>
      <c r="Z37" s="30">
        <f>+Z35-'SUMM BY CLUSTER- CONAP'!Z55</f>
        <v>0</v>
      </c>
      <c r="AA37" s="30">
        <f>+AA35-'SUMM BY CLUSTER- CONAP'!AA55</f>
        <v>0</v>
      </c>
      <c r="AB37" s="30">
        <f>+AB35-'SUMM BY CLUSTER- CONAP'!AB55</f>
        <v>0</v>
      </c>
      <c r="AC37" s="30">
        <f>+AC35-'SUMM BY CLUSTER- CONAP'!AC55</f>
        <v>0</v>
      </c>
      <c r="AD37" s="30">
        <f>+AD35-'SUMM BY CLUSTER- CONAP'!AD55</f>
        <v>0</v>
      </c>
      <c r="AE37" s="30">
        <f>+AE35-'SUMM BY CLUSTER- CONAP'!AE55</f>
        <v>0</v>
      </c>
      <c r="AF37" s="30">
        <f>+AF35-'SUMM BY CLUSTER- CONAP'!AF55</f>
        <v>0</v>
      </c>
      <c r="AG37" s="30">
        <f>+AG35-'SUMM BY CLUSTER- CONAP'!AG55</f>
        <v>0</v>
      </c>
      <c r="AH37" s="30">
        <f>+AH35-'SUMM BY CLUSTER- CONAP'!AH55</f>
        <v>0</v>
      </c>
      <c r="AI37" s="30">
        <f>+AI35-'SUMM BY CLUSTER- CONAP'!AI55</f>
        <v>0</v>
      </c>
      <c r="AJ37" s="30">
        <f>+AJ35-'SUMM BY CLUSTER- CONAP'!AJ55</f>
        <v>0</v>
      </c>
      <c r="AK37" s="30">
        <f>+AK35-'SUMM BY CLUSTER- CONAP'!AK55</f>
        <v>0</v>
      </c>
      <c r="AL37" s="30" t="e">
        <f>+AL35-'SUMM BY CLUSTER- CONAP'!AL55</f>
        <v>#VALUE!</v>
      </c>
      <c r="AM37" s="30">
        <f>+AM35-'SUMM BY CLUSTER- CONAP'!AM55</f>
        <v>0</v>
      </c>
      <c r="AN37" s="30">
        <f>+AN35-'SUMM BY CLUSTER- CONAP'!AN55</f>
        <v>0</v>
      </c>
      <c r="AO37" s="30">
        <f>+AO35-'SUMM BY CLUSTER- CONAP'!AO55</f>
        <v>0</v>
      </c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 filterMode="1">
    <tabColor theme="7" tint="-0.249977111117893"/>
  </sheetPr>
  <dimension ref="A1:XFD2132"/>
  <sheetViews>
    <sheetView tabSelected="1" workbookViewId="0">
      <pane xSplit="5" ySplit="7" topLeftCell="J1840" activePane="bottomRight" state="frozen"/>
      <selection activeCell="C1" sqref="C1"/>
      <selection pane="topRight" activeCell="F1" sqref="F1"/>
      <selection pane="bottomLeft" activeCell="C7" sqref="C7"/>
      <selection pane="bottomRight" activeCell="V2071" sqref="V2071"/>
    </sheetView>
  </sheetViews>
  <sheetFormatPr defaultColWidth="9.140625" defaultRowHeight="12"/>
  <cols>
    <col min="1" max="1" width="1" style="316" hidden="1" customWidth="1"/>
    <col min="2" max="2" width="7.140625" style="239" hidden="1" customWidth="1"/>
    <col min="3" max="3" width="1.5703125" style="516" customWidth="1"/>
    <col min="4" max="4" width="0.140625" style="755" customWidth="1"/>
    <col min="5" max="5" width="33.28515625" style="518" customWidth="1"/>
    <col min="6" max="6" width="15" style="236" customWidth="1"/>
    <col min="7" max="7" width="15.42578125" style="236" customWidth="1"/>
    <col min="8" max="8" width="15.5703125" style="236" customWidth="1"/>
    <col min="9" max="9" width="14.85546875" style="236" customWidth="1"/>
    <col min="10" max="10" width="14.140625" style="236" customWidth="1"/>
    <col min="11" max="11" width="15.28515625" style="236" customWidth="1"/>
    <col min="12" max="12" width="13.85546875" style="236" customWidth="1"/>
    <col min="13" max="13" width="17" style="236" customWidth="1"/>
    <col min="14" max="14" width="12.85546875" style="236" customWidth="1"/>
    <col min="15" max="15" width="15.42578125" style="236" customWidth="1"/>
    <col min="16" max="16" width="15" style="236" customWidth="1"/>
    <col min="17" max="17" width="15.5703125" style="236" customWidth="1"/>
    <col min="18" max="18" width="0.85546875" style="95" customWidth="1"/>
    <col min="19" max="19" width="5.42578125" style="377" customWidth="1"/>
    <col min="20" max="20" width="5.140625" style="377" customWidth="1"/>
    <col min="21" max="21" width="5" style="377" customWidth="1"/>
    <col min="22" max="22" width="5.28515625" style="377" customWidth="1"/>
    <col min="23" max="23" width="14.85546875" style="93" hidden="1" customWidth="1"/>
    <col min="24" max="24" width="6.5703125" style="237" hidden="1" customWidth="1"/>
    <col min="25" max="25" width="0" style="610" hidden="1" customWidth="1"/>
    <col min="26" max="26" width="0" style="238" hidden="1" customWidth="1"/>
    <col min="27" max="27" width="9.140625" style="236"/>
    <col min="28" max="28" width="13.5703125" style="236" bestFit="1" customWidth="1"/>
    <col min="29" max="16384" width="9.140625" style="236"/>
  </cols>
  <sheetData>
    <row r="1" spans="1:26" ht="12.75" customHeight="1">
      <c r="A1" s="235"/>
      <c r="B1" s="235"/>
      <c r="C1" s="516" t="s">
        <v>48</v>
      </c>
      <c r="D1" s="517"/>
      <c r="F1" s="95"/>
      <c r="G1" s="95"/>
      <c r="H1" s="95"/>
      <c r="J1" s="95"/>
      <c r="K1" s="95"/>
      <c r="L1" s="95"/>
      <c r="N1" s="95"/>
      <c r="O1" s="95"/>
      <c r="P1" s="95"/>
      <c r="W1" s="236"/>
    </row>
    <row r="2" spans="1:26" ht="15.75" customHeight="1">
      <c r="A2" s="235"/>
      <c r="B2" s="235"/>
      <c r="C2" s="516" t="s">
        <v>734</v>
      </c>
      <c r="D2" s="517"/>
      <c r="F2" s="95"/>
      <c r="G2" s="95"/>
      <c r="H2" s="95"/>
      <c r="J2" s="95"/>
      <c r="K2" s="95"/>
      <c r="L2" s="95"/>
      <c r="N2" s="95"/>
      <c r="O2" s="95"/>
      <c r="P2" s="95"/>
      <c r="W2" s="236"/>
    </row>
    <row r="3" spans="1:26" ht="12.75" customHeight="1">
      <c r="A3" s="235"/>
      <c r="B3" s="235"/>
      <c r="C3" s="516" t="s">
        <v>765</v>
      </c>
      <c r="D3" s="517"/>
      <c r="F3" s="95"/>
      <c r="H3" s="95"/>
      <c r="J3" s="95"/>
      <c r="K3" s="95"/>
      <c r="L3" s="611"/>
      <c r="N3" s="95"/>
      <c r="O3" s="95"/>
      <c r="P3" s="95"/>
      <c r="W3" s="236"/>
    </row>
    <row r="4" spans="1:26" s="240" customFormat="1" ht="12.75" customHeight="1">
      <c r="A4" s="239"/>
      <c r="B4" s="239"/>
      <c r="C4" s="516" t="s">
        <v>1115</v>
      </c>
      <c r="E4" s="519"/>
      <c r="M4" s="110"/>
      <c r="R4" s="110"/>
      <c r="S4" s="139"/>
      <c r="T4" s="139"/>
      <c r="U4" s="139"/>
      <c r="V4" s="139"/>
      <c r="X4" s="520"/>
      <c r="Y4" s="612"/>
      <c r="Z4" s="241"/>
    </row>
    <row r="5" spans="1:26" ht="9" customHeight="1">
      <c r="A5" s="235"/>
      <c r="B5" s="235"/>
      <c r="C5" s="613"/>
      <c r="D5" s="614"/>
      <c r="E5" s="615"/>
      <c r="F5" s="616"/>
      <c r="G5" s="616"/>
      <c r="H5" s="616"/>
      <c r="J5" s="616"/>
      <c r="K5" s="616"/>
      <c r="L5" s="616"/>
      <c r="N5" s="616"/>
      <c r="O5" s="616"/>
      <c r="P5" s="616"/>
      <c r="S5" s="1000"/>
      <c r="T5" s="1000"/>
      <c r="U5" s="1000"/>
      <c r="W5" s="236"/>
    </row>
    <row r="6" spans="1:26" s="244" customFormat="1" ht="18" customHeight="1">
      <c r="A6" s="242" t="s">
        <v>91</v>
      </c>
      <c r="B6" s="243" t="s">
        <v>92</v>
      </c>
      <c r="C6" s="617" t="s">
        <v>0</v>
      </c>
      <c r="D6" s="618"/>
      <c r="E6" s="619"/>
      <c r="F6" s="1437" t="s">
        <v>49</v>
      </c>
      <c r="G6" s="1438"/>
      <c r="H6" s="1438"/>
      <c r="I6" s="1439"/>
      <c r="J6" s="1437" t="s">
        <v>93</v>
      </c>
      <c r="K6" s="1438"/>
      <c r="L6" s="1438"/>
      <c r="M6" s="1439"/>
      <c r="N6" s="1437" t="s">
        <v>94</v>
      </c>
      <c r="O6" s="1438"/>
      <c r="P6" s="1438"/>
      <c r="Q6" s="1439"/>
      <c r="R6" s="620"/>
      <c r="S6" s="1440" t="s">
        <v>52</v>
      </c>
      <c r="T6" s="1441"/>
      <c r="U6" s="1441"/>
      <c r="V6" s="1442"/>
      <c r="X6" s="520"/>
      <c r="Y6" s="612"/>
      <c r="Z6" s="241"/>
    </row>
    <row r="7" spans="1:26" s="245" customFormat="1" ht="18" customHeight="1" thickBot="1">
      <c r="A7" s="242"/>
      <c r="B7" s="242"/>
      <c r="C7" s="621"/>
      <c r="D7" s="622"/>
      <c r="E7" s="623"/>
      <c r="F7" s="624" t="s">
        <v>1</v>
      </c>
      <c r="G7" s="624" t="s">
        <v>2</v>
      </c>
      <c r="H7" s="624" t="s">
        <v>3</v>
      </c>
      <c r="I7" s="624" t="s">
        <v>4</v>
      </c>
      <c r="J7" s="624" t="s">
        <v>1</v>
      </c>
      <c r="K7" s="624" t="s">
        <v>2</v>
      </c>
      <c r="L7" s="624" t="s">
        <v>3</v>
      </c>
      <c r="M7" s="624" t="s">
        <v>4</v>
      </c>
      <c r="N7" s="624" t="s">
        <v>1</v>
      </c>
      <c r="O7" s="624" t="s">
        <v>2</v>
      </c>
      <c r="P7" s="624" t="s">
        <v>3</v>
      </c>
      <c r="Q7" s="624" t="s">
        <v>4</v>
      </c>
      <c r="R7" s="625"/>
      <c r="S7" s="1001" t="s">
        <v>1</v>
      </c>
      <c r="T7" s="1001" t="s">
        <v>2</v>
      </c>
      <c r="U7" s="1001" t="s">
        <v>3</v>
      </c>
      <c r="V7" s="1001" t="s">
        <v>4</v>
      </c>
      <c r="W7" s="1411" t="s">
        <v>95</v>
      </c>
      <c r="X7" s="1377"/>
      <c r="Y7" s="1378"/>
      <c r="Z7" s="1379"/>
    </row>
    <row r="8" spans="1:26" ht="15" customHeight="1">
      <c r="A8" s="246" t="s">
        <v>59</v>
      </c>
      <c r="B8" s="235" t="s">
        <v>281</v>
      </c>
      <c r="C8" s="1450" t="s">
        <v>59</v>
      </c>
      <c r="D8" s="1451"/>
      <c r="E8" s="1452"/>
      <c r="F8" s="404"/>
      <c r="G8" s="404"/>
      <c r="H8" s="404"/>
      <c r="I8" s="103">
        <f>SUM(F8:H8)</f>
        <v>0</v>
      </c>
      <c r="J8" s="404">
        <v>0</v>
      </c>
      <c r="K8" s="404">
        <v>0</v>
      </c>
      <c r="L8" s="404">
        <v>0</v>
      </c>
      <c r="M8" s="103">
        <f>SUM(J8:L8)</f>
        <v>0</v>
      </c>
      <c r="N8" s="103">
        <f>+F8-J8</f>
        <v>0</v>
      </c>
      <c r="O8" s="103">
        <f>+G8-K8</f>
        <v>0</v>
      </c>
      <c r="P8" s="103">
        <f>+H8-L8</f>
        <v>0</v>
      </c>
      <c r="Q8" s="103">
        <f>SUM(N8:P8)</f>
        <v>0</v>
      </c>
      <c r="S8" s="730" t="str">
        <f t="shared" ref="S8:V23" si="0">IF(F8=0,"",J8/F8)</f>
        <v/>
      </c>
      <c r="T8" s="730" t="str">
        <f t="shared" si="0"/>
        <v/>
      </c>
      <c r="U8" s="730" t="str">
        <f t="shared" si="0"/>
        <v/>
      </c>
      <c r="V8" s="730" t="str">
        <f t="shared" si="0"/>
        <v/>
      </c>
      <c r="X8" s="237" t="s">
        <v>598</v>
      </c>
      <c r="Y8" s="610" t="s">
        <v>598</v>
      </c>
      <c r="Z8" s="241" t="s">
        <v>598</v>
      </c>
    </row>
    <row r="9" spans="1:26" s="252" customFormat="1" ht="14.25" customHeight="1">
      <c r="A9" s="249" t="s">
        <v>59</v>
      </c>
      <c r="B9" s="249" t="s">
        <v>281</v>
      </c>
      <c r="C9" s="386"/>
      <c r="D9" s="386"/>
      <c r="E9" s="387" t="s">
        <v>428</v>
      </c>
      <c r="F9" s="250"/>
      <c r="G9" s="250"/>
      <c r="H9" s="250"/>
      <c r="I9" s="388"/>
      <c r="J9" s="250"/>
      <c r="K9" s="250"/>
      <c r="L9" s="250"/>
      <c r="M9" s="388"/>
      <c r="N9" s="388"/>
      <c r="O9" s="388"/>
      <c r="P9" s="388"/>
      <c r="Q9" s="388"/>
      <c r="R9" s="627"/>
      <c r="S9" s="1002" t="str">
        <f t="shared" si="0"/>
        <v/>
      </c>
      <c r="T9" s="1002" t="str">
        <f t="shared" si="0"/>
        <v/>
      </c>
      <c r="U9" s="1002" t="str">
        <f t="shared" si="0"/>
        <v/>
      </c>
      <c r="V9" s="1002" t="str">
        <f t="shared" si="0"/>
        <v/>
      </c>
      <c r="X9" s="247" t="s">
        <v>598</v>
      </c>
      <c r="Y9" s="1380" t="s">
        <v>598</v>
      </c>
      <c r="Z9" s="253" t="s">
        <v>598</v>
      </c>
    </row>
    <row r="10" spans="1:26" ht="12" hidden="1" customHeight="1">
      <c r="A10" s="246" t="s">
        <v>59</v>
      </c>
      <c r="B10" s="235" t="s">
        <v>281</v>
      </c>
      <c r="C10" s="411"/>
      <c r="D10" s="386"/>
      <c r="E10" s="447" t="s">
        <v>766</v>
      </c>
      <c r="F10" s="404">
        <v>539291371</v>
      </c>
      <c r="G10" s="404">
        <v>11821875629</v>
      </c>
      <c r="H10" s="404">
        <v>11017892000</v>
      </c>
      <c r="I10" s="103">
        <f>SUM(F10:H10)</f>
        <v>23379059000</v>
      </c>
      <c r="J10" s="404">
        <v>444139018.09000003</v>
      </c>
      <c r="K10" s="404">
        <v>5604845475.2300005</v>
      </c>
      <c r="L10" s="404">
        <v>1210608291.3899992</v>
      </c>
      <c r="M10" s="103">
        <f>SUM(J10:L10)</f>
        <v>7259592784.71</v>
      </c>
      <c r="N10" s="103">
        <f t="shared" ref="N10:P12" si="1">+F10-J10</f>
        <v>95152352.909999967</v>
      </c>
      <c r="O10" s="103">
        <f t="shared" si="1"/>
        <v>6217030153.7699995</v>
      </c>
      <c r="P10" s="103">
        <f t="shared" si="1"/>
        <v>9807283708.6100006</v>
      </c>
      <c r="Q10" s="103">
        <f>SUM(N10:P10)</f>
        <v>16119466215.290001</v>
      </c>
      <c r="R10" s="236"/>
      <c r="S10" s="730">
        <f t="shared" si="0"/>
        <v>0.8235604016182192</v>
      </c>
      <c r="T10" s="730">
        <f t="shared" si="0"/>
        <v>0.47410797162176782</v>
      </c>
      <c r="U10" s="730">
        <f t="shared" si="0"/>
        <v>0.10987657996556865</v>
      </c>
      <c r="V10" s="730">
        <f t="shared" si="0"/>
        <v>0.31051689397379084</v>
      </c>
      <c r="W10" s="522"/>
      <c r="X10" s="237" t="s">
        <v>598</v>
      </c>
    </row>
    <row r="11" spans="1:26" ht="12" hidden="1" customHeight="1">
      <c r="A11" s="246" t="s">
        <v>59</v>
      </c>
      <c r="B11" s="235" t="s">
        <v>281</v>
      </c>
      <c r="C11" s="411"/>
      <c r="D11" s="386" t="s">
        <v>98</v>
      </c>
      <c r="E11" s="447" t="s">
        <v>50</v>
      </c>
      <c r="F11" s="104">
        <v>-827006</v>
      </c>
      <c r="G11" s="104">
        <v>-3959941354.46</v>
      </c>
      <c r="H11" s="104">
        <v>-5745606586.1000004</v>
      </c>
      <c r="I11" s="103">
        <f>SUM(F11:H11)</f>
        <v>-9706374946.5600014</v>
      </c>
      <c r="J11" s="104"/>
      <c r="K11" s="104"/>
      <c r="L11" s="104"/>
      <c r="M11" s="103">
        <f>SUM(J11:L11)</f>
        <v>0</v>
      </c>
      <c r="N11" s="103">
        <f t="shared" si="1"/>
        <v>-827006</v>
      </c>
      <c r="O11" s="103">
        <f t="shared" si="1"/>
        <v>-3959941354.46</v>
      </c>
      <c r="P11" s="103">
        <f t="shared" si="1"/>
        <v>-5745606586.1000004</v>
      </c>
      <c r="Q11" s="103">
        <f>SUM(N11:P11)</f>
        <v>-9706374946.5600014</v>
      </c>
      <c r="R11" s="276"/>
      <c r="S11" s="730">
        <f t="shared" si="0"/>
        <v>0</v>
      </c>
      <c r="T11" s="730">
        <f t="shared" si="0"/>
        <v>0</v>
      </c>
      <c r="U11" s="730">
        <f t="shared" si="0"/>
        <v>0</v>
      </c>
      <c r="V11" s="730">
        <f t="shared" si="0"/>
        <v>0</v>
      </c>
      <c r="W11" s="254"/>
      <c r="X11" s="237" t="s">
        <v>598</v>
      </c>
    </row>
    <row r="12" spans="1:26" s="256" customFormat="1" ht="12" customHeight="1">
      <c r="A12" s="246" t="s">
        <v>59</v>
      </c>
      <c r="B12" s="246" t="s">
        <v>281</v>
      </c>
      <c r="C12" s="389"/>
      <c r="D12" s="389" t="s">
        <v>98</v>
      </c>
      <c r="E12" s="390" t="s">
        <v>767</v>
      </c>
      <c r="F12" s="391">
        <f>+F10+F11</f>
        <v>538464365</v>
      </c>
      <c r="G12" s="391">
        <f t="shared" ref="G12:M12" si="2">+G10+G11</f>
        <v>7861934274.54</v>
      </c>
      <c r="H12" s="391">
        <f t="shared" si="2"/>
        <v>5272285413.8999996</v>
      </c>
      <c r="I12" s="391">
        <f t="shared" si="2"/>
        <v>13672684053.439999</v>
      </c>
      <c r="J12" s="391">
        <f t="shared" si="2"/>
        <v>444139018.09000003</v>
      </c>
      <c r="K12" s="391">
        <f t="shared" si="2"/>
        <v>5604845475.2300005</v>
      </c>
      <c r="L12" s="391">
        <f t="shared" si="2"/>
        <v>1210608291.3899992</v>
      </c>
      <c r="M12" s="391">
        <f t="shared" si="2"/>
        <v>7259592784.71</v>
      </c>
      <c r="N12" s="391">
        <f t="shared" si="1"/>
        <v>94325346.909999967</v>
      </c>
      <c r="O12" s="391">
        <f t="shared" si="1"/>
        <v>2257088799.3099995</v>
      </c>
      <c r="P12" s="391">
        <f t="shared" si="1"/>
        <v>4061677122.5100002</v>
      </c>
      <c r="Q12" s="391">
        <f>SUM(N12:P12)</f>
        <v>6413091268.7299995</v>
      </c>
      <c r="R12" s="101">
        <f>+Q12-'OSEC-CY'!$J$300</f>
        <v>0</v>
      </c>
      <c r="S12" s="254">
        <f t="shared" si="0"/>
        <v>0.82482527528075145</v>
      </c>
      <c r="T12" s="254">
        <f t="shared" si="0"/>
        <v>0.71290922558086878</v>
      </c>
      <c r="U12" s="254">
        <f t="shared" si="0"/>
        <v>0.22961736635090313</v>
      </c>
      <c r="V12" s="254">
        <f t="shared" si="0"/>
        <v>0.53095593786382511</v>
      </c>
      <c r="W12" s="254"/>
      <c r="X12" s="247" t="s">
        <v>598</v>
      </c>
      <c r="Y12" s="628" t="s">
        <v>598</v>
      </c>
      <c r="Z12" s="255" t="s">
        <v>598</v>
      </c>
    </row>
    <row r="13" spans="1:26" ht="12" hidden="1" customHeight="1">
      <c r="A13" s="246"/>
      <c r="B13" s="235"/>
      <c r="C13" s="1003"/>
      <c r="D13" s="392"/>
      <c r="E13" s="1004"/>
      <c r="F13" s="1005"/>
      <c r="G13" s="1005"/>
      <c r="H13" s="1005"/>
      <c r="I13" s="1005"/>
      <c r="J13" s="1005"/>
      <c r="K13" s="1005"/>
      <c r="L13" s="1005"/>
      <c r="M13" s="1005"/>
      <c r="N13" s="1005"/>
      <c r="O13" s="1005"/>
      <c r="P13" s="1005"/>
      <c r="Q13" s="1005"/>
      <c r="R13" s="276"/>
      <c r="S13" s="730" t="str">
        <f t="shared" si="0"/>
        <v/>
      </c>
      <c r="T13" s="730" t="str">
        <f t="shared" si="0"/>
        <v/>
      </c>
      <c r="U13" s="730" t="str">
        <f t="shared" si="0"/>
        <v/>
      </c>
      <c r="V13" s="730" t="str">
        <f t="shared" si="0"/>
        <v/>
      </c>
      <c r="W13" s="254"/>
    </row>
    <row r="14" spans="1:26" s="256" customFormat="1" ht="12" customHeight="1">
      <c r="A14" s="246" t="s">
        <v>59</v>
      </c>
      <c r="B14" s="246" t="s">
        <v>281</v>
      </c>
      <c r="C14" s="389"/>
      <c r="D14" s="390"/>
      <c r="E14" s="389" t="s">
        <v>99</v>
      </c>
      <c r="F14" s="393">
        <f t="shared" ref="F14:Q14" si="3">+F17+F21+F22+F19+F20</f>
        <v>33177922</v>
      </c>
      <c r="G14" s="393">
        <f t="shared" si="3"/>
        <v>391845750.34000003</v>
      </c>
      <c r="H14" s="393">
        <f t="shared" si="3"/>
        <v>0</v>
      </c>
      <c r="I14" s="393">
        <f t="shared" si="3"/>
        <v>425023672.34000003</v>
      </c>
      <c r="J14" s="393">
        <f t="shared" si="3"/>
        <v>29752313.02</v>
      </c>
      <c r="K14" s="393">
        <f t="shared" si="3"/>
        <v>179620486.58000001</v>
      </c>
      <c r="L14" s="393">
        <f t="shared" si="3"/>
        <v>0</v>
      </c>
      <c r="M14" s="393">
        <f t="shared" si="3"/>
        <v>209372799.60000002</v>
      </c>
      <c r="N14" s="393">
        <f t="shared" si="3"/>
        <v>3425608.9800000004</v>
      </c>
      <c r="O14" s="393">
        <f t="shared" si="3"/>
        <v>212225263.76000002</v>
      </c>
      <c r="P14" s="393">
        <f t="shared" si="3"/>
        <v>0</v>
      </c>
      <c r="Q14" s="393">
        <f t="shared" si="3"/>
        <v>215650872.74000001</v>
      </c>
      <c r="R14" s="101"/>
      <c r="S14" s="254">
        <f t="shared" si="0"/>
        <v>0.89675034560633426</v>
      </c>
      <c r="T14" s="254">
        <f t="shared" si="0"/>
        <v>0.45839590304129979</v>
      </c>
      <c r="U14" s="254" t="str">
        <f t="shared" si="0"/>
        <v/>
      </c>
      <c r="V14" s="254">
        <f t="shared" si="0"/>
        <v>0.49261444297274598</v>
      </c>
      <c r="W14" s="522"/>
      <c r="X14" s="247" t="s">
        <v>598</v>
      </c>
      <c r="Y14" s="628" t="s">
        <v>598</v>
      </c>
      <c r="Z14" s="255" t="s">
        <v>598</v>
      </c>
    </row>
    <row r="15" spans="1:26" ht="12" hidden="1" customHeight="1">
      <c r="A15" s="246" t="s">
        <v>59</v>
      </c>
      <c r="B15" s="235" t="s">
        <v>281</v>
      </c>
      <c r="C15" s="728"/>
      <c r="D15" s="394" t="s">
        <v>286</v>
      </c>
      <c r="E15" s="729" t="s">
        <v>286</v>
      </c>
      <c r="F15" s="404">
        <v>33263332</v>
      </c>
      <c r="G15" s="404"/>
      <c r="H15" s="404"/>
      <c r="I15" s="103">
        <f>SUM(F15:H15)</f>
        <v>33263332</v>
      </c>
      <c r="J15" s="404">
        <v>29752313.02</v>
      </c>
      <c r="K15" s="404"/>
      <c r="L15" s="404"/>
      <c r="M15" s="103">
        <f>SUM(J15:L15)</f>
        <v>29752313.02</v>
      </c>
      <c r="N15" s="103">
        <f t="shared" ref="N15:P16" si="4">+F15-J15</f>
        <v>3511018.9800000004</v>
      </c>
      <c r="O15" s="103">
        <f t="shared" si="4"/>
        <v>0</v>
      </c>
      <c r="P15" s="103">
        <f t="shared" si="4"/>
        <v>0</v>
      </c>
      <c r="Q15" s="103">
        <f>SUM(N15:P15)</f>
        <v>3511018.9800000004</v>
      </c>
      <c r="R15" s="276"/>
      <c r="S15" s="730">
        <f t="shared" si="0"/>
        <v>0.89444776668795534</v>
      </c>
      <c r="T15" s="730" t="str">
        <f t="shared" si="0"/>
        <v/>
      </c>
      <c r="U15" s="730" t="str">
        <f t="shared" si="0"/>
        <v/>
      </c>
      <c r="V15" s="730">
        <f t="shared" si="0"/>
        <v>0.89444776668795534</v>
      </c>
      <c r="X15" s="237" t="s">
        <v>598</v>
      </c>
    </row>
    <row r="16" spans="1:26" ht="12" hidden="1" customHeight="1">
      <c r="A16" s="246" t="s">
        <v>59</v>
      </c>
      <c r="B16" s="235" t="s">
        <v>281</v>
      </c>
      <c r="C16" s="411"/>
      <c r="D16" s="386" t="s">
        <v>98</v>
      </c>
      <c r="E16" s="447" t="s">
        <v>760</v>
      </c>
      <c r="F16" s="104">
        <v>-85410</v>
      </c>
      <c r="G16" s="104"/>
      <c r="H16" s="104"/>
      <c r="I16" s="103">
        <f>SUM(F16:H16)</f>
        <v>-85410</v>
      </c>
      <c r="J16" s="104"/>
      <c r="K16" s="104"/>
      <c r="L16" s="104"/>
      <c r="M16" s="103">
        <f>SUM(J16:L16)</f>
        <v>0</v>
      </c>
      <c r="N16" s="103">
        <f t="shared" si="4"/>
        <v>-85410</v>
      </c>
      <c r="O16" s="103">
        <f t="shared" si="4"/>
        <v>0</v>
      </c>
      <c r="P16" s="103">
        <f t="shared" si="4"/>
        <v>0</v>
      </c>
      <c r="Q16" s="103">
        <f>SUM(N16:P16)</f>
        <v>-85410</v>
      </c>
      <c r="R16" s="276"/>
      <c r="S16" s="730">
        <f t="shared" si="0"/>
        <v>0</v>
      </c>
      <c r="T16" s="730" t="str">
        <f t="shared" si="0"/>
        <v/>
      </c>
      <c r="U16" s="730" t="str">
        <f t="shared" si="0"/>
        <v/>
      </c>
      <c r="V16" s="730">
        <f t="shared" si="0"/>
        <v>0</v>
      </c>
      <c r="W16" s="254"/>
      <c r="X16" s="237" t="s">
        <v>598</v>
      </c>
    </row>
    <row r="17" spans="1:26" s="258" customFormat="1" ht="11.25" customHeight="1">
      <c r="A17" s="630" t="s">
        <v>59</v>
      </c>
      <c r="B17" s="630" t="s">
        <v>281</v>
      </c>
      <c r="C17" s="631"/>
      <c r="D17" s="631" t="s">
        <v>98</v>
      </c>
      <c r="E17" s="632" t="s">
        <v>768</v>
      </c>
      <c r="F17" s="633">
        <f>SUM(F15:F16)</f>
        <v>33177922</v>
      </c>
      <c r="G17" s="633">
        <f t="shared" ref="G17:Q17" si="5">SUM(G15:G16)</f>
        <v>0</v>
      </c>
      <c r="H17" s="633">
        <f t="shared" si="5"/>
        <v>0</v>
      </c>
      <c r="I17" s="633">
        <f t="shared" si="5"/>
        <v>33177922</v>
      </c>
      <c r="J17" s="633">
        <f t="shared" si="5"/>
        <v>29752313.02</v>
      </c>
      <c r="K17" s="633">
        <f t="shared" si="5"/>
        <v>0</v>
      </c>
      <c r="L17" s="633">
        <f t="shared" si="5"/>
        <v>0</v>
      </c>
      <c r="M17" s="633">
        <f t="shared" si="5"/>
        <v>29752313.02</v>
      </c>
      <c r="N17" s="633">
        <f t="shared" si="5"/>
        <v>3425608.9800000004</v>
      </c>
      <c r="O17" s="633">
        <f t="shared" si="5"/>
        <v>0</v>
      </c>
      <c r="P17" s="633">
        <f t="shared" si="5"/>
        <v>0</v>
      </c>
      <c r="Q17" s="633">
        <f t="shared" si="5"/>
        <v>3425608.9800000004</v>
      </c>
      <c r="R17" s="634">
        <f>+Q17-[1]saob!$T$27</f>
        <v>0</v>
      </c>
      <c r="S17" s="257">
        <f t="shared" si="0"/>
        <v>0.89675034560633426</v>
      </c>
      <c r="T17" s="257" t="str">
        <f t="shared" si="0"/>
        <v/>
      </c>
      <c r="U17" s="257" t="str">
        <f t="shared" si="0"/>
        <v/>
      </c>
      <c r="V17" s="257">
        <f t="shared" si="0"/>
        <v>0.89675034560633426</v>
      </c>
      <c r="W17" s="257"/>
      <c r="X17" s="247" t="s">
        <v>598</v>
      </c>
      <c r="Y17" s="635" t="s">
        <v>598</v>
      </c>
      <c r="Z17" s="636"/>
    </row>
    <row r="18" spans="1:26" s="258" customFormat="1" ht="11.25" hidden="1" customHeight="1">
      <c r="A18" s="630"/>
      <c r="B18" s="630"/>
      <c r="C18" s="631"/>
      <c r="D18" s="631"/>
      <c r="E18" s="632"/>
      <c r="F18" s="633"/>
      <c r="G18" s="633"/>
      <c r="H18" s="633"/>
      <c r="I18" s="633"/>
      <c r="J18" s="633"/>
      <c r="K18" s="633"/>
      <c r="L18" s="633"/>
      <c r="M18" s="633"/>
      <c r="N18" s="633"/>
      <c r="O18" s="633"/>
      <c r="P18" s="633"/>
      <c r="Q18" s="633"/>
      <c r="R18" s="634"/>
      <c r="S18" s="257" t="str">
        <f t="shared" si="0"/>
        <v/>
      </c>
      <c r="T18" s="257" t="str">
        <f t="shared" si="0"/>
        <v/>
      </c>
      <c r="U18" s="257" t="str">
        <f t="shared" si="0"/>
        <v/>
      </c>
      <c r="V18" s="257" t="str">
        <f t="shared" si="0"/>
        <v/>
      </c>
      <c r="W18" s="257"/>
      <c r="X18" s="247"/>
      <c r="Y18" s="635"/>
      <c r="Z18" s="636"/>
    </row>
    <row r="19" spans="1:26" ht="12.75">
      <c r="A19" s="246" t="s">
        <v>59</v>
      </c>
      <c r="B19" s="235" t="s">
        <v>281</v>
      </c>
      <c r="C19" s="411"/>
      <c r="D19" s="386"/>
      <c r="E19" s="1006" t="s">
        <v>940</v>
      </c>
      <c r="F19" s="404"/>
      <c r="G19" s="404">
        <v>95007690</v>
      </c>
      <c r="H19" s="404"/>
      <c r="I19" s="103">
        <f>SUM(F19:H19)</f>
        <v>95007690</v>
      </c>
      <c r="J19" s="404"/>
      <c r="K19" s="404">
        <v>95007690</v>
      </c>
      <c r="L19" s="404"/>
      <c r="M19" s="103">
        <f>SUM(J19:L19)</f>
        <v>95007690</v>
      </c>
      <c r="N19" s="103">
        <f t="shared" ref="N19:P22" si="6">+F19-J19</f>
        <v>0</v>
      </c>
      <c r="O19" s="103">
        <f t="shared" si="6"/>
        <v>0</v>
      </c>
      <c r="P19" s="103">
        <f t="shared" si="6"/>
        <v>0</v>
      </c>
      <c r="Q19" s="103">
        <f>SUM(N19:P19)</f>
        <v>0</v>
      </c>
      <c r="R19" s="147"/>
      <c r="S19" s="730" t="str">
        <f t="shared" si="0"/>
        <v/>
      </c>
      <c r="T19" s="730">
        <f t="shared" si="0"/>
        <v>1</v>
      </c>
      <c r="U19" s="730" t="str">
        <f t="shared" si="0"/>
        <v/>
      </c>
      <c r="V19" s="730">
        <f t="shared" si="0"/>
        <v>1</v>
      </c>
      <c r="X19" s="237" t="s">
        <v>598</v>
      </c>
      <c r="Y19" s="637" t="s">
        <v>598</v>
      </c>
    </row>
    <row r="20" spans="1:26" ht="12.75">
      <c r="A20" s="246" t="s">
        <v>59</v>
      </c>
      <c r="B20" s="235" t="s">
        <v>281</v>
      </c>
      <c r="C20" s="411"/>
      <c r="D20" s="386"/>
      <c r="E20" s="1006" t="s">
        <v>955</v>
      </c>
      <c r="F20" s="404"/>
      <c r="G20" s="404">
        <v>12930755</v>
      </c>
      <c r="H20" s="404"/>
      <c r="I20" s="103">
        <f>SUM(F20:H20)</f>
        <v>12930755</v>
      </c>
      <c r="J20" s="404"/>
      <c r="K20" s="404">
        <v>12930754.550000001</v>
      </c>
      <c r="L20" s="404"/>
      <c r="M20" s="103">
        <f>SUM(J20:L20)</f>
        <v>12930754.550000001</v>
      </c>
      <c r="N20" s="103">
        <f t="shared" si="6"/>
        <v>0</v>
      </c>
      <c r="O20" s="103">
        <f t="shared" si="6"/>
        <v>0.44999999925494194</v>
      </c>
      <c r="P20" s="103">
        <f t="shared" si="6"/>
        <v>0</v>
      </c>
      <c r="Q20" s="103">
        <f>SUM(N20:P20)</f>
        <v>0.44999999925494194</v>
      </c>
      <c r="R20" s="147"/>
      <c r="S20" s="730" t="str">
        <f t="shared" si="0"/>
        <v/>
      </c>
      <c r="T20" s="730">
        <f t="shared" si="0"/>
        <v>0.99999996519924794</v>
      </c>
      <c r="U20" s="730" t="str">
        <f t="shared" si="0"/>
        <v/>
      </c>
      <c r="V20" s="730">
        <f t="shared" si="0"/>
        <v>0.99999996519924794</v>
      </c>
      <c r="X20" s="237" t="s">
        <v>598</v>
      </c>
      <c r="Y20" s="637" t="s">
        <v>598</v>
      </c>
    </row>
    <row r="21" spans="1:26" ht="24">
      <c r="A21" s="246" t="s">
        <v>59</v>
      </c>
      <c r="B21" s="235" t="s">
        <v>281</v>
      </c>
      <c r="C21" s="411"/>
      <c r="D21" s="386"/>
      <c r="E21" s="1006" t="s">
        <v>769</v>
      </c>
      <c r="F21" s="404"/>
      <c r="G21" s="404">
        <v>6073530.1100000003</v>
      </c>
      <c r="H21" s="404"/>
      <c r="I21" s="103">
        <f>SUM(F21:H21)</f>
        <v>6073530.1100000003</v>
      </c>
      <c r="J21" s="404"/>
      <c r="K21" s="404">
        <v>4038276.77</v>
      </c>
      <c r="L21" s="404"/>
      <c r="M21" s="103">
        <f>SUM(J21:L21)</f>
        <v>4038276.77</v>
      </c>
      <c r="N21" s="103">
        <f t="shared" si="6"/>
        <v>0</v>
      </c>
      <c r="O21" s="103">
        <f t="shared" si="6"/>
        <v>2035253.3400000003</v>
      </c>
      <c r="P21" s="103">
        <f t="shared" si="6"/>
        <v>0</v>
      </c>
      <c r="Q21" s="103">
        <f>SUM(N21:P21)</f>
        <v>2035253.3400000003</v>
      </c>
      <c r="R21" s="147"/>
      <c r="S21" s="730" t="str">
        <f t="shared" si="0"/>
        <v/>
      </c>
      <c r="T21" s="730">
        <f t="shared" si="0"/>
        <v>0.66489779368196789</v>
      </c>
      <c r="U21" s="730" t="str">
        <f t="shared" si="0"/>
        <v/>
      </c>
      <c r="V21" s="730">
        <f t="shared" si="0"/>
        <v>0.66489779368196789</v>
      </c>
      <c r="X21" s="237" t="s">
        <v>598</v>
      </c>
      <c r="Y21" s="637" t="s">
        <v>598</v>
      </c>
    </row>
    <row r="22" spans="1:26" ht="36">
      <c r="A22" s="246" t="s">
        <v>59</v>
      </c>
      <c r="B22" s="235" t="s">
        <v>281</v>
      </c>
      <c r="C22" s="411"/>
      <c r="D22" s="386"/>
      <c r="E22" s="1006" t="s">
        <v>882</v>
      </c>
      <c r="F22" s="404"/>
      <c r="G22" s="404">
        <v>277833775.23000002</v>
      </c>
      <c r="H22" s="404"/>
      <c r="I22" s="103">
        <f>SUM(F22:H22)</f>
        <v>277833775.23000002</v>
      </c>
      <c r="J22" s="404"/>
      <c r="K22" s="404">
        <v>67643765.260000005</v>
      </c>
      <c r="L22" s="404"/>
      <c r="M22" s="103">
        <f>SUM(J22:L22)</f>
        <v>67643765.260000005</v>
      </c>
      <c r="N22" s="103">
        <f t="shared" si="6"/>
        <v>0</v>
      </c>
      <c r="O22" s="103">
        <f t="shared" si="6"/>
        <v>210190009.97000003</v>
      </c>
      <c r="P22" s="103">
        <f t="shared" si="6"/>
        <v>0</v>
      </c>
      <c r="Q22" s="103">
        <f>SUM(N22:P22)</f>
        <v>210190009.97000003</v>
      </c>
      <c r="R22" s="147"/>
      <c r="S22" s="730" t="str">
        <f t="shared" si="0"/>
        <v/>
      </c>
      <c r="T22" s="730">
        <f t="shared" si="0"/>
        <v>0.24346847392474963</v>
      </c>
      <c r="U22" s="730" t="str">
        <f t="shared" si="0"/>
        <v/>
      </c>
      <c r="V22" s="730">
        <f t="shared" si="0"/>
        <v>0.24346847392474963</v>
      </c>
      <c r="X22" s="237" t="s">
        <v>598</v>
      </c>
      <c r="Y22" s="637" t="s">
        <v>598</v>
      </c>
    </row>
    <row r="23" spans="1:26" ht="12.75" hidden="1" customHeight="1">
      <c r="A23" s="246" t="s">
        <v>59</v>
      </c>
      <c r="B23" s="235" t="s">
        <v>281</v>
      </c>
      <c r="C23" s="411"/>
      <c r="D23" s="386"/>
      <c r="E23" s="728"/>
      <c r="F23" s="404"/>
      <c r="G23" s="404"/>
      <c r="H23" s="404"/>
      <c r="I23" s="103"/>
      <c r="J23" s="404"/>
      <c r="K23" s="404"/>
      <c r="L23" s="404"/>
      <c r="M23" s="103"/>
      <c r="N23" s="103"/>
      <c r="O23" s="103"/>
      <c r="P23" s="103"/>
      <c r="Q23" s="103"/>
      <c r="R23" s="1007"/>
      <c r="S23" s="730" t="str">
        <f t="shared" si="0"/>
        <v/>
      </c>
      <c r="T23" s="730" t="str">
        <f t="shared" si="0"/>
        <v/>
      </c>
      <c r="U23" s="730" t="str">
        <f t="shared" si="0"/>
        <v/>
      </c>
      <c r="V23" s="730" t="str">
        <f t="shared" si="0"/>
        <v/>
      </c>
      <c r="X23" s="237" t="s">
        <v>598</v>
      </c>
      <c r="Y23" s="637"/>
    </row>
    <row r="24" spans="1:26" s="256" customFormat="1" ht="11.25" customHeight="1">
      <c r="A24" s="246" t="s">
        <v>59</v>
      </c>
      <c r="B24" s="246" t="s">
        <v>281</v>
      </c>
      <c r="C24" s="389"/>
      <c r="D24" s="389"/>
      <c r="E24" s="389" t="s">
        <v>100</v>
      </c>
      <c r="F24" s="393">
        <f>+F25+F31+F26+F27</f>
        <v>111176972</v>
      </c>
      <c r="G24" s="393">
        <f t="shared" ref="G24:Q24" si="7">+G25+G31+G26+G27</f>
        <v>7190000</v>
      </c>
      <c r="H24" s="393">
        <f t="shared" si="7"/>
        <v>22473109</v>
      </c>
      <c r="I24" s="393">
        <f t="shared" si="7"/>
        <v>140840081</v>
      </c>
      <c r="J24" s="393">
        <f t="shared" si="7"/>
        <v>30776326.540000007</v>
      </c>
      <c r="K24" s="393">
        <f t="shared" si="7"/>
        <v>0</v>
      </c>
      <c r="L24" s="393">
        <f t="shared" si="7"/>
        <v>0</v>
      </c>
      <c r="M24" s="393">
        <f t="shared" si="7"/>
        <v>30776326.540000007</v>
      </c>
      <c r="N24" s="393">
        <f t="shared" si="7"/>
        <v>80400645.459999993</v>
      </c>
      <c r="O24" s="393">
        <f t="shared" si="7"/>
        <v>7190000</v>
      </c>
      <c r="P24" s="393">
        <f t="shared" si="7"/>
        <v>22473109</v>
      </c>
      <c r="Q24" s="393">
        <f t="shared" si="7"/>
        <v>110063754.45999999</v>
      </c>
      <c r="R24" s="101"/>
      <c r="S24" s="254">
        <f t="shared" ref="S24:V87" si="8">IF(F24=0,"",J24/F24)</f>
        <v>0.27682285266772699</v>
      </c>
      <c r="T24" s="254">
        <f t="shared" si="8"/>
        <v>0</v>
      </c>
      <c r="U24" s="254">
        <f t="shared" si="8"/>
        <v>0</v>
      </c>
      <c r="V24" s="254">
        <f t="shared" si="8"/>
        <v>0.21851965947108484</v>
      </c>
      <c r="W24" s="522"/>
      <c r="X24" s="247" t="s">
        <v>598</v>
      </c>
      <c r="Y24" s="629" t="s">
        <v>598</v>
      </c>
      <c r="Z24" s="255" t="s">
        <v>598</v>
      </c>
    </row>
    <row r="25" spans="1:26" ht="11.25" customHeight="1">
      <c r="A25" s="246" t="s">
        <v>59</v>
      </c>
      <c r="B25" s="235" t="s">
        <v>281</v>
      </c>
      <c r="C25" s="728"/>
      <c r="D25" s="394" t="s">
        <v>289</v>
      </c>
      <c r="E25" s="729" t="s">
        <v>289</v>
      </c>
      <c r="F25" s="404">
        <v>95016097</v>
      </c>
      <c r="G25" s="404">
        <v>0</v>
      </c>
      <c r="H25" s="404"/>
      <c r="I25" s="103">
        <f>SUM(F25:H25)</f>
        <v>95016097</v>
      </c>
      <c r="J25" s="404">
        <v>21652897.670000002</v>
      </c>
      <c r="K25" s="404"/>
      <c r="L25" s="404"/>
      <c r="M25" s="103">
        <f>SUM(J25:L25)</f>
        <v>21652897.670000002</v>
      </c>
      <c r="N25" s="103">
        <f t="shared" ref="N25:P30" si="9">+F25-J25</f>
        <v>73363199.329999998</v>
      </c>
      <c r="O25" s="103">
        <f t="shared" si="9"/>
        <v>0</v>
      </c>
      <c r="P25" s="103">
        <f t="shared" si="9"/>
        <v>0</v>
      </c>
      <c r="Q25" s="103">
        <f t="shared" ref="Q25:Q30" si="10">SUM(N25:P25)</f>
        <v>73363199.329999998</v>
      </c>
      <c r="S25" s="730">
        <f t="shared" si="8"/>
        <v>0.22788662504207052</v>
      </c>
      <c r="T25" s="730" t="str">
        <f t="shared" si="8"/>
        <v/>
      </c>
      <c r="U25" s="730" t="str">
        <f t="shared" si="8"/>
        <v/>
      </c>
      <c r="V25" s="730">
        <f t="shared" si="8"/>
        <v>0.22788662504207052</v>
      </c>
      <c r="X25" s="237" t="s">
        <v>598</v>
      </c>
      <c r="Y25" s="610" t="s">
        <v>598</v>
      </c>
    </row>
    <row r="26" spans="1:26" ht="11.25" customHeight="1">
      <c r="A26" s="246" t="s">
        <v>59</v>
      </c>
      <c r="B26" s="235" t="s">
        <v>281</v>
      </c>
      <c r="C26" s="728"/>
      <c r="D26" s="394" t="s">
        <v>289</v>
      </c>
      <c r="E26" s="729" t="s">
        <v>1068</v>
      </c>
      <c r="F26" s="404"/>
      <c r="G26" s="404">
        <v>0</v>
      </c>
      <c r="H26" s="404">
        <v>22473109</v>
      </c>
      <c r="I26" s="103">
        <f>SUM(F26:H26)</f>
        <v>22473109</v>
      </c>
      <c r="J26" s="404"/>
      <c r="K26" s="404"/>
      <c r="L26" s="404"/>
      <c r="M26" s="103">
        <f>SUM(J26:L26)</f>
        <v>0</v>
      </c>
      <c r="N26" s="103">
        <f t="shared" si="9"/>
        <v>0</v>
      </c>
      <c r="O26" s="103">
        <f t="shared" si="9"/>
        <v>0</v>
      </c>
      <c r="P26" s="103">
        <f t="shared" si="9"/>
        <v>22473109</v>
      </c>
      <c r="Q26" s="103">
        <f t="shared" si="10"/>
        <v>22473109</v>
      </c>
      <c r="S26" s="730" t="str">
        <f t="shared" si="8"/>
        <v/>
      </c>
      <c r="T26" s="730" t="str">
        <f t="shared" si="8"/>
        <v/>
      </c>
      <c r="U26" s="730">
        <f t="shared" si="8"/>
        <v>0</v>
      </c>
      <c r="V26" s="730">
        <f t="shared" si="8"/>
        <v>0</v>
      </c>
      <c r="X26" s="237" t="s">
        <v>598</v>
      </c>
      <c r="Y26" s="610" t="s">
        <v>598</v>
      </c>
    </row>
    <row r="27" spans="1:26" ht="11.25" customHeight="1">
      <c r="A27" s="246" t="s">
        <v>59</v>
      </c>
      <c r="B27" s="235" t="s">
        <v>281</v>
      </c>
      <c r="C27" s="728"/>
      <c r="D27" s="394" t="s">
        <v>289</v>
      </c>
      <c r="E27" s="729" t="s">
        <v>1076</v>
      </c>
      <c r="F27" s="404"/>
      <c r="G27" s="404">
        <v>7190000</v>
      </c>
      <c r="H27" s="404"/>
      <c r="I27" s="103">
        <f>SUM(F27:H27)</f>
        <v>7190000</v>
      </c>
      <c r="J27" s="404"/>
      <c r="K27" s="404"/>
      <c r="L27" s="404"/>
      <c r="M27" s="103">
        <f>SUM(J27:L27)</f>
        <v>0</v>
      </c>
      <c r="N27" s="103">
        <f t="shared" si="9"/>
        <v>0</v>
      </c>
      <c r="O27" s="103">
        <f t="shared" si="9"/>
        <v>7190000</v>
      </c>
      <c r="P27" s="103">
        <f t="shared" si="9"/>
        <v>0</v>
      </c>
      <c r="Q27" s="103">
        <f t="shared" si="10"/>
        <v>7190000</v>
      </c>
      <c r="S27" s="730" t="str">
        <f t="shared" si="8"/>
        <v/>
      </c>
      <c r="T27" s="730">
        <f t="shared" si="8"/>
        <v>0</v>
      </c>
      <c r="U27" s="730" t="str">
        <f t="shared" si="8"/>
        <v/>
      </c>
      <c r="V27" s="730">
        <f t="shared" si="8"/>
        <v>0</v>
      </c>
      <c r="X27" s="237" t="s">
        <v>598</v>
      </c>
      <c r="Y27" s="610" t="s">
        <v>598</v>
      </c>
    </row>
    <row r="28" spans="1:26" ht="11.25" hidden="1" customHeight="1">
      <c r="A28" s="246" t="s">
        <v>59</v>
      </c>
      <c r="B28" s="235" t="s">
        <v>281</v>
      </c>
      <c r="C28" s="410"/>
      <c r="D28" s="396"/>
      <c r="E28" s="728"/>
      <c r="F28" s="404"/>
      <c r="G28" s="404"/>
      <c r="H28" s="404"/>
      <c r="I28" s="103"/>
      <c r="J28" s="404"/>
      <c r="K28" s="404"/>
      <c r="L28" s="404"/>
      <c r="M28" s="103"/>
      <c r="N28" s="103">
        <f t="shared" si="9"/>
        <v>0</v>
      </c>
      <c r="O28" s="103">
        <f t="shared" si="9"/>
        <v>0</v>
      </c>
      <c r="P28" s="103">
        <f t="shared" si="9"/>
        <v>0</v>
      </c>
      <c r="Q28" s="103">
        <f t="shared" si="10"/>
        <v>0</v>
      </c>
      <c r="R28" s="276"/>
      <c r="S28" s="730" t="str">
        <f t="shared" si="8"/>
        <v/>
      </c>
      <c r="T28" s="730" t="str">
        <f t="shared" si="8"/>
        <v/>
      </c>
      <c r="U28" s="730" t="str">
        <f t="shared" si="8"/>
        <v/>
      </c>
      <c r="V28" s="730" t="str">
        <f t="shared" si="8"/>
        <v/>
      </c>
      <c r="X28" s="237" t="s">
        <v>598</v>
      </c>
    </row>
    <row r="29" spans="1:26" ht="11.25" hidden="1" customHeight="1">
      <c r="A29" s="246" t="s">
        <v>59</v>
      </c>
      <c r="B29" s="235" t="s">
        <v>281</v>
      </c>
      <c r="C29" s="728"/>
      <c r="D29" s="394" t="s">
        <v>288</v>
      </c>
      <c r="E29" s="729" t="s">
        <v>288</v>
      </c>
      <c r="F29" s="404">
        <v>234339625</v>
      </c>
      <c r="G29" s="404"/>
      <c r="H29" s="404"/>
      <c r="I29" s="103">
        <f>SUM(F29:H29)</f>
        <v>234339625</v>
      </c>
      <c r="J29" s="404">
        <v>9123428.8700000048</v>
      </c>
      <c r="K29" s="404"/>
      <c r="L29" s="404"/>
      <c r="M29" s="103">
        <f>SUM(J29:L29)</f>
        <v>9123428.8700000048</v>
      </c>
      <c r="N29" s="103">
        <f t="shared" si="9"/>
        <v>225216196.13</v>
      </c>
      <c r="O29" s="103">
        <f t="shared" si="9"/>
        <v>0</v>
      </c>
      <c r="P29" s="103">
        <f t="shared" si="9"/>
        <v>0</v>
      </c>
      <c r="Q29" s="103">
        <f t="shared" si="10"/>
        <v>225216196.13</v>
      </c>
      <c r="R29" s="276"/>
      <c r="S29" s="730">
        <f t="shared" si="8"/>
        <v>3.8932506058247746E-2</v>
      </c>
      <c r="T29" s="730" t="str">
        <f t="shared" si="8"/>
        <v/>
      </c>
      <c r="U29" s="730" t="str">
        <f t="shared" si="8"/>
        <v/>
      </c>
      <c r="V29" s="730">
        <f t="shared" si="8"/>
        <v>3.8932506058247746E-2</v>
      </c>
      <c r="X29" s="237" t="s">
        <v>598</v>
      </c>
    </row>
    <row r="30" spans="1:26" ht="11.25" hidden="1" customHeight="1">
      <c r="A30" s="246" t="s">
        <v>59</v>
      </c>
      <c r="B30" s="235" t="s">
        <v>281</v>
      </c>
      <c r="C30" s="728"/>
      <c r="D30" s="394" t="s">
        <v>761</v>
      </c>
      <c r="E30" s="729" t="s">
        <v>761</v>
      </c>
      <c r="F30" s="104">
        <f>-218883750+705000</f>
        <v>-218178750</v>
      </c>
      <c r="G30" s="104"/>
      <c r="H30" s="104"/>
      <c r="I30" s="103">
        <f>SUM(F30:H30)</f>
        <v>-218178750</v>
      </c>
      <c r="J30" s="104"/>
      <c r="K30" s="104"/>
      <c r="L30" s="104"/>
      <c r="M30" s="103">
        <f>SUM(J30:L30)</f>
        <v>0</v>
      </c>
      <c r="N30" s="103">
        <f t="shared" si="9"/>
        <v>-218178750</v>
      </c>
      <c r="O30" s="103">
        <f t="shared" si="9"/>
        <v>0</v>
      </c>
      <c r="P30" s="103">
        <f t="shared" si="9"/>
        <v>0</v>
      </c>
      <c r="Q30" s="103">
        <f t="shared" si="10"/>
        <v>-218178750</v>
      </c>
      <c r="R30" s="276"/>
      <c r="S30" s="730">
        <f t="shared" si="8"/>
        <v>0</v>
      </c>
      <c r="T30" s="730" t="str">
        <f t="shared" si="8"/>
        <v/>
      </c>
      <c r="U30" s="730" t="str">
        <f t="shared" si="8"/>
        <v/>
      </c>
      <c r="V30" s="730">
        <f t="shared" si="8"/>
        <v>0</v>
      </c>
      <c r="W30" s="254"/>
      <c r="X30" s="237" t="s">
        <v>598</v>
      </c>
    </row>
    <row r="31" spans="1:26" s="258" customFormat="1" ht="11.25" customHeight="1">
      <c r="A31" s="630" t="s">
        <v>59</v>
      </c>
      <c r="B31" s="630" t="s">
        <v>281</v>
      </c>
      <c r="C31" s="631"/>
      <c r="D31" s="631" t="s">
        <v>98</v>
      </c>
      <c r="E31" s="398" t="s">
        <v>770</v>
      </c>
      <c r="F31" s="633">
        <f>SUM(F29:F30)</f>
        <v>16160875</v>
      </c>
      <c r="G31" s="633">
        <f t="shared" ref="G31:Q31" si="11">SUM(G29:G30)</f>
        <v>0</v>
      </c>
      <c r="H31" s="633">
        <f t="shared" si="11"/>
        <v>0</v>
      </c>
      <c r="I31" s="633">
        <f t="shared" si="11"/>
        <v>16160875</v>
      </c>
      <c r="J31" s="633">
        <f t="shared" si="11"/>
        <v>9123428.8700000048</v>
      </c>
      <c r="K31" s="633">
        <f t="shared" si="11"/>
        <v>0</v>
      </c>
      <c r="L31" s="633">
        <f t="shared" si="11"/>
        <v>0</v>
      </c>
      <c r="M31" s="633">
        <f t="shared" si="11"/>
        <v>9123428.8700000048</v>
      </c>
      <c r="N31" s="633">
        <f t="shared" si="11"/>
        <v>7037446.1299999952</v>
      </c>
      <c r="O31" s="633">
        <f t="shared" si="11"/>
        <v>0</v>
      </c>
      <c r="P31" s="633">
        <f t="shared" si="11"/>
        <v>0</v>
      </c>
      <c r="Q31" s="633">
        <f t="shared" si="11"/>
        <v>7037446.1299999952</v>
      </c>
      <c r="R31" s="634"/>
      <c r="S31" s="257">
        <f t="shared" si="8"/>
        <v>0.56453805069341878</v>
      </c>
      <c r="T31" s="257" t="str">
        <f t="shared" si="8"/>
        <v/>
      </c>
      <c r="U31" s="257" t="str">
        <f t="shared" si="8"/>
        <v/>
      </c>
      <c r="V31" s="257">
        <f t="shared" si="8"/>
        <v>0.56453805069341878</v>
      </c>
      <c r="W31" s="257"/>
      <c r="X31" s="247" t="s">
        <v>598</v>
      </c>
      <c r="Y31" s="635" t="s">
        <v>598</v>
      </c>
      <c r="Z31" s="636"/>
    </row>
    <row r="32" spans="1:26" s="259" customFormat="1" ht="12.75" customHeight="1" thickBot="1">
      <c r="A32" s="235" t="s">
        <v>59</v>
      </c>
      <c r="B32" s="235" t="s">
        <v>281</v>
      </c>
      <c r="C32" s="1453" t="s">
        <v>281</v>
      </c>
      <c r="D32" s="1454"/>
      <c r="E32" s="1455"/>
      <c r="F32" s="399">
        <f>+F24+F14+F12</f>
        <v>682819259</v>
      </c>
      <c r="G32" s="399">
        <f t="shared" ref="G32:Q32" si="12">+G24+G14+G12</f>
        <v>8260970024.8800001</v>
      </c>
      <c r="H32" s="399">
        <f t="shared" si="12"/>
        <v>5294758522.8999996</v>
      </c>
      <c r="I32" s="399">
        <f t="shared" si="12"/>
        <v>14238547806.779999</v>
      </c>
      <c r="J32" s="399">
        <f t="shared" si="12"/>
        <v>504667657.65000004</v>
      </c>
      <c r="K32" s="399">
        <f t="shared" si="12"/>
        <v>5784465961.8100004</v>
      </c>
      <c r="L32" s="399">
        <f t="shared" si="12"/>
        <v>1210608291.3899992</v>
      </c>
      <c r="M32" s="399">
        <f t="shared" si="12"/>
        <v>7499741910.8500004</v>
      </c>
      <c r="N32" s="399">
        <f t="shared" si="12"/>
        <v>178151601.34999996</v>
      </c>
      <c r="O32" s="399">
        <f t="shared" si="12"/>
        <v>2476504063.0699997</v>
      </c>
      <c r="P32" s="399">
        <f t="shared" si="12"/>
        <v>4084150231.5100002</v>
      </c>
      <c r="Q32" s="399">
        <f t="shared" si="12"/>
        <v>6738805895.9299994</v>
      </c>
      <c r="R32" s="638">
        <f>+Q32-'OSEC-CY'!$J$359-Q17</f>
        <v>-4.5821070671081543E-7</v>
      </c>
      <c r="S32" s="1008">
        <f t="shared" si="8"/>
        <v>0.73909405893016855</v>
      </c>
      <c r="T32" s="1008">
        <f t="shared" si="8"/>
        <v>0.70021631169083276</v>
      </c>
      <c r="U32" s="1008">
        <f t="shared" si="8"/>
        <v>0.22864277684318929</v>
      </c>
      <c r="V32" s="1008">
        <f t="shared" si="8"/>
        <v>0.52672098395307088</v>
      </c>
      <c r="X32" s="237" t="s">
        <v>598</v>
      </c>
      <c r="Y32" s="610" t="s">
        <v>598</v>
      </c>
      <c r="Z32" s="241" t="s">
        <v>598</v>
      </c>
    </row>
    <row r="33" spans="1:26" s="260" customFormat="1" ht="12" hidden="1" customHeight="1">
      <c r="A33" s="246"/>
      <c r="B33" s="246"/>
      <c r="C33" s="400"/>
      <c r="D33" s="400"/>
      <c r="E33" s="400"/>
      <c r="F33" s="401"/>
      <c r="G33" s="401"/>
      <c r="H33" s="401"/>
      <c r="I33" s="401"/>
      <c r="J33" s="401"/>
      <c r="K33" s="401"/>
      <c r="L33" s="401"/>
      <c r="M33" s="401"/>
      <c r="N33" s="401"/>
      <c r="O33" s="401"/>
      <c r="P33" s="401"/>
      <c r="Q33" s="401"/>
      <c r="R33" s="639"/>
      <c r="S33" s="254" t="str">
        <f t="shared" si="8"/>
        <v/>
      </c>
      <c r="T33" s="254" t="str">
        <f t="shared" si="8"/>
        <v/>
      </c>
      <c r="U33" s="254" t="str">
        <f t="shared" si="8"/>
        <v/>
      </c>
      <c r="V33" s="254" t="str">
        <f t="shared" si="8"/>
        <v/>
      </c>
      <c r="X33" s="247"/>
      <c r="Y33" s="629"/>
      <c r="Z33" s="261"/>
    </row>
    <row r="34" spans="1:26" s="252" customFormat="1" ht="11.25" customHeight="1">
      <c r="A34" s="249" t="s">
        <v>59</v>
      </c>
      <c r="B34" s="249" t="s">
        <v>283</v>
      </c>
      <c r="C34" s="396"/>
      <c r="D34" s="396" t="s">
        <v>98</v>
      </c>
      <c r="E34" s="402" t="s">
        <v>84</v>
      </c>
      <c r="F34" s="250"/>
      <c r="G34" s="250"/>
      <c r="H34" s="250"/>
      <c r="I34" s="388">
        <f>SUM(F34:H34)</f>
        <v>0</v>
      </c>
      <c r="J34" s="250">
        <v>0</v>
      </c>
      <c r="K34" s="250">
        <v>0</v>
      </c>
      <c r="L34" s="250">
        <v>0</v>
      </c>
      <c r="M34" s="388">
        <f>SUM(J34:L34)</f>
        <v>0</v>
      </c>
      <c r="N34" s="388">
        <f>+F34-J34</f>
        <v>0</v>
      </c>
      <c r="O34" s="388">
        <f>+G34-K34</f>
        <v>0</v>
      </c>
      <c r="P34" s="388">
        <f>+H34-L34</f>
        <v>0</v>
      </c>
      <c r="Q34" s="388">
        <f>SUM(N34:P34)</f>
        <v>0</v>
      </c>
      <c r="R34" s="627"/>
      <c r="S34" s="1002" t="str">
        <f t="shared" si="8"/>
        <v/>
      </c>
      <c r="T34" s="1002" t="str">
        <f t="shared" si="8"/>
        <v/>
      </c>
      <c r="U34" s="1002" t="str">
        <f t="shared" si="8"/>
        <v/>
      </c>
      <c r="V34" s="1002" t="str">
        <f t="shared" si="8"/>
        <v/>
      </c>
      <c r="X34" s="247" t="s">
        <v>598</v>
      </c>
      <c r="Y34" s="1380" t="s">
        <v>598</v>
      </c>
      <c r="Z34" s="253" t="s">
        <v>598</v>
      </c>
    </row>
    <row r="35" spans="1:26" s="256" customFormat="1" ht="11.25" customHeight="1">
      <c r="A35" s="262" t="s">
        <v>59</v>
      </c>
      <c r="B35" s="262" t="s">
        <v>283</v>
      </c>
      <c r="C35" s="389"/>
      <c r="D35" s="389" t="s">
        <v>98</v>
      </c>
      <c r="E35" s="390" t="s">
        <v>766</v>
      </c>
      <c r="F35" s="393">
        <f>SUM(F36:F37)</f>
        <v>0</v>
      </c>
      <c r="G35" s="393">
        <f t="shared" ref="G35:Q35" si="13">SUM(G36:G37)</f>
        <v>223684000</v>
      </c>
      <c r="H35" s="393">
        <f t="shared" si="13"/>
        <v>46176000</v>
      </c>
      <c r="I35" s="393">
        <f t="shared" si="13"/>
        <v>269860000</v>
      </c>
      <c r="J35" s="393">
        <f t="shared" si="13"/>
        <v>0</v>
      </c>
      <c r="K35" s="393">
        <f t="shared" si="13"/>
        <v>32337772.780000001</v>
      </c>
      <c r="L35" s="393">
        <f t="shared" si="13"/>
        <v>0</v>
      </c>
      <c r="M35" s="393">
        <f t="shared" si="13"/>
        <v>32337772.780000001</v>
      </c>
      <c r="N35" s="393">
        <f t="shared" si="13"/>
        <v>0</v>
      </c>
      <c r="O35" s="393">
        <f t="shared" si="13"/>
        <v>191346227.22</v>
      </c>
      <c r="P35" s="393">
        <f t="shared" si="13"/>
        <v>46176000</v>
      </c>
      <c r="Q35" s="393">
        <f t="shared" si="13"/>
        <v>237522227.22</v>
      </c>
      <c r="R35" s="640"/>
      <c r="S35" s="297" t="str">
        <f t="shared" si="8"/>
        <v/>
      </c>
      <c r="T35" s="297">
        <f t="shared" si="8"/>
        <v>0.144569002610826</v>
      </c>
      <c r="U35" s="297">
        <f t="shared" si="8"/>
        <v>0</v>
      </c>
      <c r="V35" s="297">
        <f t="shared" si="8"/>
        <v>0.11983166375157489</v>
      </c>
      <c r="X35" s="247" t="s">
        <v>598</v>
      </c>
      <c r="Y35" s="628" t="s">
        <v>598</v>
      </c>
      <c r="Z35" s="255" t="s">
        <v>598</v>
      </c>
    </row>
    <row r="36" spans="1:26" ht="11.25" customHeight="1">
      <c r="A36" s="246" t="s">
        <v>59</v>
      </c>
      <c r="B36" s="235" t="s">
        <v>283</v>
      </c>
      <c r="C36" s="411"/>
      <c r="D36" s="386"/>
      <c r="E36" s="729" t="s">
        <v>421</v>
      </c>
      <c r="F36" s="404"/>
      <c r="G36" s="404">
        <v>37553000</v>
      </c>
      <c r="H36" s="404">
        <v>6887000</v>
      </c>
      <c r="I36" s="103">
        <f>SUM(F36:H36)</f>
        <v>44440000</v>
      </c>
      <c r="J36" s="404"/>
      <c r="K36" s="404">
        <v>15285290.899999999</v>
      </c>
      <c r="L36" s="404">
        <v>0</v>
      </c>
      <c r="M36" s="103">
        <f>SUM(J36:L36)</f>
        <v>15285290.899999999</v>
      </c>
      <c r="N36" s="103">
        <f t="shared" ref="N36:P37" si="14">+F36-J36</f>
        <v>0</v>
      </c>
      <c r="O36" s="103">
        <f t="shared" si="14"/>
        <v>22267709.100000001</v>
      </c>
      <c r="P36" s="103">
        <f t="shared" si="14"/>
        <v>6887000</v>
      </c>
      <c r="Q36" s="103">
        <f>SUM(N36:P36)</f>
        <v>29154709.100000001</v>
      </c>
      <c r="S36" s="730" t="str">
        <f t="shared" si="8"/>
        <v/>
      </c>
      <c r="T36" s="730">
        <f t="shared" si="8"/>
        <v>0.40703248475487974</v>
      </c>
      <c r="U36" s="730">
        <f t="shared" si="8"/>
        <v>0</v>
      </c>
      <c r="V36" s="730">
        <f t="shared" si="8"/>
        <v>0.34395344059405936</v>
      </c>
      <c r="X36" s="237" t="s">
        <v>598</v>
      </c>
      <c r="Y36" s="610" t="s">
        <v>598</v>
      </c>
    </row>
    <row r="37" spans="1:26" ht="11.25" customHeight="1">
      <c r="A37" s="246" t="s">
        <v>59</v>
      </c>
      <c r="B37" s="235" t="s">
        <v>283</v>
      </c>
      <c r="C37" s="411"/>
      <c r="D37" s="386"/>
      <c r="E37" s="729" t="s">
        <v>422</v>
      </c>
      <c r="F37" s="404"/>
      <c r="G37" s="404">
        <v>186131000</v>
      </c>
      <c r="H37" s="404">
        <v>39289000</v>
      </c>
      <c r="I37" s="103">
        <f>SUM(F37:H37)</f>
        <v>225420000</v>
      </c>
      <c r="J37" s="404"/>
      <c r="K37" s="404">
        <v>17052481.880000003</v>
      </c>
      <c r="L37" s="404">
        <v>0</v>
      </c>
      <c r="M37" s="103">
        <f>SUM(J37:L37)</f>
        <v>17052481.880000003</v>
      </c>
      <c r="N37" s="103">
        <f t="shared" si="14"/>
        <v>0</v>
      </c>
      <c r="O37" s="103">
        <f t="shared" si="14"/>
        <v>169078518.12</v>
      </c>
      <c r="P37" s="103">
        <f t="shared" si="14"/>
        <v>39289000</v>
      </c>
      <c r="Q37" s="103">
        <f>SUM(N37:P37)</f>
        <v>208367518.12</v>
      </c>
      <c r="S37" s="730" t="str">
        <f t="shared" si="8"/>
        <v/>
      </c>
      <c r="T37" s="730">
        <f t="shared" si="8"/>
        <v>9.1615485222773227E-2</v>
      </c>
      <c r="U37" s="730">
        <f t="shared" si="8"/>
        <v>0</v>
      </c>
      <c r="V37" s="730">
        <f t="shared" si="8"/>
        <v>7.5647599503149685E-2</v>
      </c>
      <c r="X37" s="237" t="s">
        <v>598</v>
      </c>
      <c r="Y37" s="610" t="s">
        <v>598</v>
      </c>
    </row>
    <row r="38" spans="1:26" s="259" customFormat="1" ht="12.75" customHeight="1" thickBot="1">
      <c r="A38" s="235" t="s">
        <v>59</v>
      </c>
      <c r="B38" s="235" t="s">
        <v>283</v>
      </c>
      <c r="C38" s="1453" t="s">
        <v>771</v>
      </c>
      <c r="D38" s="1454"/>
      <c r="E38" s="1455"/>
      <c r="F38" s="399">
        <f>SUM(F36:F37)</f>
        <v>0</v>
      </c>
      <c r="G38" s="399">
        <f t="shared" ref="G38:P38" si="15">SUM(G36:G37)</f>
        <v>223684000</v>
      </c>
      <c r="H38" s="399">
        <f t="shared" si="15"/>
        <v>46176000</v>
      </c>
      <c r="I38" s="399">
        <f t="shared" si="15"/>
        <v>269860000</v>
      </c>
      <c r="J38" s="399">
        <f t="shared" si="15"/>
        <v>0</v>
      </c>
      <c r="K38" s="399">
        <f>SUM(K36:K37)</f>
        <v>32337772.780000001</v>
      </c>
      <c r="L38" s="399">
        <f t="shared" si="15"/>
        <v>0</v>
      </c>
      <c r="M38" s="399">
        <f t="shared" si="15"/>
        <v>32337772.780000001</v>
      </c>
      <c r="N38" s="399">
        <f t="shared" si="15"/>
        <v>0</v>
      </c>
      <c r="O38" s="399">
        <f t="shared" si="15"/>
        <v>191346227.22</v>
      </c>
      <c r="P38" s="399">
        <f t="shared" si="15"/>
        <v>46176000</v>
      </c>
      <c r="Q38" s="399">
        <f>SUM(Q36:Q37)</f>
        <v>237522227.22</v>
      </c>
      <c r="R38" s="638">
        <f>+Q38-'[2]FAPS BAR CURRENT'!$K$22-'[2]FAPS BAR CURRENT'!$L$22</f>
        <v>0</v>
      </c>
      <c r="S38" s="1008" t="str">
        <f t="shared" si="8"/>
        <v/>
      </c>
      <c r="T38" s="1008">
        <f t="shared" si="8"/>
        <v>0.144569002610826</v>
      </c>
      <c r="U38" s="1008">
        <f t="shared" si="8"/>
        <v>0</v>
      </c>
      <c r="V38" s="1008">
        <f t="shared" si="8"/>
        <v>0.11983166375157489</v>
      </c>
      <c r="X38" s="237" t="s">
        <v>598</v>
      </c>
      <c r="Y38" s="610" t="s">
        <v>598</v>
      </c>
      <c r="Z38" s="241" t="s">
        <v>598</v>
      </c>
    </row>
    <row r="39" spans="1:26" s="266" customFormat="1" ht="19.5" customHeight="1" thickBot="1">
      <c r="A39" s="264" t="s">
        <v>59</v>
      </c>
      <c r="B39" s="1009" t="s">
        <v>772</v>
      </c>
      <c r="C39" s="1456" t="s">
        <v>87</v>
      </c>
      <c r="D39" s="1457"/>
      <c r="E39" s="1458"/>
      <c r="F39" s="403">
        <f>+F38+F32</f>
        <v>682819259</v>
      </c>
      <c r="G39" s="403">
        <f t="shared" ref="G39:Q39" si="16">+G38+G32</f>
        <v>8484654024.8800001</v>
      </c>
      <c r="H39" s="403">
        <f t="shared" si="16"/>
        <v>5340934522.8999996</v>
      </c>
      <c r="I39" s="403">
        <f t="shared" si="16"/>
        <v>14508407806.779999</v>
      </c>
      <c r="J39" s="403">
        <f t="shared" si="16"/>
        <v>504667657.65000004</v>
      </c>
      <c r="K39" s="403">
        <f t="shared" si="16"/>
        <v>5816803734.5900002</v>
      </c>
      <c r="L39" s="403">
        <f t="shared" si="16"/>
        <v>1210608291.3899992</v>
      </c>
      <c r="M39" s="403">
        <f t="shared" si="16"/>
        <v>7532079683.6300001</v>
      </c>
      <c r="N39" s="403">
        <f t="shared" si="16"/>
        <v>178151601.34999996</v>
      </c>
      <c r="O39" s="403">
        <f t="shared" si="16"/>
        <v>2667850290.2899995</v>
      </c>
      <c r="P39" s="403">
        <f t="shared" si="16"/>
        <v>4130326231.5100002</v>
      </c>
      <c r="Q39" s="403">
        <f t="shared" si="16"/>
        <v>6976328123.1499996</v>
      </c>
      <c r="R39" s="641"/>
      <c r="S39" s="1010">
        <f t="shared" si="8"/>
        <v>0.73909405893016855</v>
      </c>
      <c r="T39" s="1010">
        <f t="shared" si="8"/>
        <v>0.68556758089759218</v>
      </c>
      <c r="U39" s="1010">
        <f t="shared" si="8"/>
        <v>0.22666600502203271</v>
      </c>
      <c r="V39" s="1010">
        <f t="shared" si="8"/>
        <v>0.51915274122017341</v>
      </c>
      <c r="W39" s="642"/>
      <c r="X39" s="237" t="s">
        <v>598</v>
      </c>
      <c r="Y39" s="610" t="s">
        <v>598</v>
      </c>
      <c r="Z39" s="241" t="s">
        <v>598</v>
      </c>
    </row>
    <row r="40" spans="1:26" s="260" customFormat="1">
      <c r="A40" s="246" t="s">
        <v>59</v>
      </c>
      <c r="B40" s="246" t="s">
        <v>772</v>
      </c>
      <c r="C40" s="400"/>
      <c r="D40" s="400"/>
      <c r="E40" s="400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639"/>
      <c r="S40" s="1011" t="str">
        <f t="shared" si="8"/>
        <v/>
      </c>
      <c r="T40" s="1011" t="str">
        <f t="shared" si="8"/>
        <v/>
      </c>
      <c r="U40" s="1011" t="str">
        <f t="shared" si="8"/>
        <v/>
      </c>
      <c r="V40" s="1011" t="str">
        <f t="shared" si="8"/>
        <v/>
      </c>
      <c r="X40" s="247" t="s">
        <v>598</v>
      </c>
      <c r="Y40" s="629" t="s">
        <v>598</v>
      </c>
      <c r="Z40" s="261" t="s">
        <v>598</v>
      </c>
    </row>
    <row r="41" spans="1:26" ht="12.75" customHeight="1">
      <c r="A41" s="246" t="s">
        <v>773</v>
      </c>
      <c r="B41" s="235" t="s">
        <v>773</v>
      </c>
      <c r="C41" s="1459" t="s">
        <v>774</v>
      </c>
      <c r="D41" s="1460"/>
      <c r="E41" s="1461"/>
      <c r="F41" s="404"/>
      <c r="G41" s="404"/>
      <c r="H41" s="404"/>
      <c r="I41" s="103"/>
      <c r="J41" s="404"/>
      <c r="K41" s="404"/>
      <c r="L41" s="404"/>
      <c r="M41" s="103"/>
      <c r="N41" s="103"/>
      <c r="O41" s="103"/>
      <c r="P41" s="103"/>
      <c r="Q41" s="103"/>
      <c r="S41" s="730" t="str">
        <f t="shared" si="8"/>
        <v/>
      </c>
      <c r="T41" s="730" t="str">
        <f t="shared" si="8"/>
        <v/>
      </c>
      <c r="U41" s="730" t="str">
        <f t="shared" si="8"/>
        <v/>
      </c>
      <c r="V41" s="730" t="str">
        <f t="shared" si="8"/>
        <v/>
      </c>
      <c r="W41" s="268"/>
      <c r="X41" s="237" t="s">
        <v>598</v>
      </c>
      <c r="Y41" s="610" t="s">
        <v>598</v>
      </c>
      <c r="Z41" s="241" t="s">
        <v>598</v>
      </c>
    </row>
    <row r="42" spans="1:26" ht="11.25" customHeight="1">
      <c r="A42" s="528" t="s">
        <v>96</v>
      </c>
      <c r="B42" s="528" t="s">
        <v>97</v>
      </c>
      <c r="C42" s="803"/>
      <c r="D42" s="643"/>
      <c r="E42" s="803" t="s">
        <v>97</v>
      </c>
      <c r="F42" s="804"/>
      <c r="G42" s="804"/>
      <c r="H42" s="804"/>
      <c r="I42" s="804"/>
      <c r="J42" s="804"/>
      <c r="K42" s="804"/>
      <c r="L42" s="804"/>
      <c r="M42" s="804"/>
      <c r="N42" s="804"/>
      <c r="O42" s="804"/>
      <c r="P42" s="804"/>
      <c r="Q42" s="804"/>
      <c r="S42" s="1012" t="str">
        <f t="shared" si="8"/>
        <v/>
      </c>
      <c r="T42" s="1012" t="str">
        <f t="shared" si="8"/>
        <v/>
      </c>
      <c r="U42" s="1012" t="str">
        <f t="shared" si="8"/>
        <v/>
      </c>
      <c r="V42" s="1012" t="str">
        <f t="shared" si="8"/>
        <v/>
      </c>
      <c r="W42" s="644"/>
      <c r="X42" s="270"/>
      <c r="Y42" s="236" t="s">
        <v>598</v>
      </c>
      <c r="Z42" s="240" t="s">
        <v>598</v>
      </c>
    </row>
    <row r="43" spans="1:26" ht="11.25" customHeight="1">
      <c r="A43" s="528" t="s">
        <v>96</v>
      </c>
      <c r="B43" s="1013" t="s">
        <v>97</v>
      </c>
      <c r="C43" s="461"/>
      <c r="D43" s="645" t="s">
        <v>766</v>
      </c>
      <c r="E43" s="447" t="s">
        <v>766</v>
      </c>
      <c r="F43" s="103">
        <f>SUM(F44:F46)</f>
        <v>69090000</v>
      </c>
      <c r="G43" s="103">
        <f t="shared" ref="G43:M43" si="17">SUM(G44:G46)</f>
        <v>213374000</v>
      </c>
      <c r="H43" s="103">
        <f t="shared" si="17"/>
        <v>0</v>
      </c>
      <c r="I43" s="103">
        <f t="shared" si="17"/>
        <v>282464000</v>
      </c>
      <c r="J43" s="103">
        <f t="shared" si="17"/>
        <v>62486005.729999997</v>
      </c>
      <c r="K43" s="103">
        <f t="shared" si="17"/>
        <v>168894553.37999997</v>
      </c>
      <c r="L43" s="103">
        <f t="shared" si="17"/>
        <v>0</v>
      </c>
      <c r="M43" s="103">
        <f t="shared" si="17"/>
        <v>231380559.10999995</v>
      </c>
      <c r="N43" s="103">
        <f t="shared" ref="N43:P58" si="18">+F43-J43</f>
        <v>6603994.2700000033</v>
      </c>
      <c r="O43" s="103">
        <f t="shared" si="18"/>
        <v>44479446.620000035</v>
      </c>
      <c r="P43" s="103">
        <f t="shared" si="18"/>
        <v>0</v>
      </c>
      <c r="Q43" s="103">
        <f>SUM(N43:P43)</f>
        <v>51083440.890000038</v>
      </c>
      <c r="R43" s="95">
        <f>Q43-'[3]ncr-SAOB'!F179</f>
        <v>0</v>
      </c>
      <c r="S43" s="730">
        <f t="shared" si="8"/>
        <v>0.90441461470545659</v>
      </c>
      <c r="T43" s="730">
        <f t="shared" si="8"/>
        <v>0.79154233121186257</v>
      </c>
      <c r="U43" s="730" t="str">
        <f t="shared" si="8"/>
        <v/>
      </c>
      <c r="V43" s="730">
        <f t="shared" si="8"/>
        <v>0.81915061427296909</v>
      </c>
      <c r="W43" s="646"/>
      <c r="X43" s="236"/>
      <c r="Y43" s="236" t="s">
        <v>688</v>
      </c>
      <c r="Z43" s="236"/>
    </row>
    <row r="44" spans="1:26" ht="11.25" hidden="1" customHeight="1">
      <c r="A44" s="528" t="s">
        <v>96</v>
      </c>
      <c r="B44" s="1013" t="s">
        <v>97</v>
      </c>
      <c r="C44" s="411"/>
      <c r="D44" s="647" t="s">
        <v>98</v>
      </c>
      <c r="E44" s="459" t="s">
        <v>775</v>
      </c>
      <c r="F44" s="103">
        <f>+'[3]ncr-SAOB'!C14</f>
        <v>50651000</v>
      </c>
      <c r="G44" s="103">
        <f>+'[3]ncr-SAOB'!C50</f>
        <v>10324000</v>
      </c>
      <c r="H44" s="103">
        <f>+'[3]ncr-SAOB'!C142</f>
        <v>0</v>
      </c>
      <c r="I44" s="103">
        <f>SUM(F44:H44)</f>
        <v>60975000</v>
      </c>
      <c r="J44" s="103">
        <f>+'[3]ncr-SAOB'!C15</f>
        <v>45454578.409999996</v>
      </c>
      <c r="K44" s="103">
        <f>+'[3]ncr-SAOB'!C51</f>
        <v>10320622.889999999</v>
      </c>
      <c r="L44" s="103">
        <f>+'[3]ncr-SAOB'!C143</f>
        <v>0</v>
      </c>
      <c r="M44" s="103">
        <f>SUM(J44:L44)</f>
        <v>55775201.299999997</v>
      </c>
      <c r="N44" s="103">
        <f t="shared" si="18"/>
        <v>5196421.5900000036</v>
      </c>
      <c r="O44" s="103">
        <f t="shared" si="18"/>
        <v>3377.1100000012666</v>
      </c>
      <c r="P44" s="103">
        <f t="shared" si="18"/>
        <v>0</v>
      </c>
      <c r="Q44" s="103">
        <f>SUM(N44:P44)</f>
        <v>5199798.7000000048</v>
      </c>
      <c r="R44" s="276">
        <f>Q44-'[3]ncr-SAOB'!C179</f>
        <v>0</v>
      </c>
      <c r="S44" s="730">
        <f t="shared" si="8"/>
        <v>0.89740732483070418</v>
      </c>
      <c r="T44" s="730">
        <f t="shared" si="8"/>
        <v>0.999672887446726</v>
      </c>
      <c r="U44" s="730" t="str">
        <f t="shared" si="8"/>
        <v/>
      </c>
      <c r="V44" s="730">
        <f t="shared" si="8"/>
        <v>0.91472244854448537</v>
      </c>
      <c r="W44" s="531"/>
      <c r="X44" s="236"/>
      <c r="Y44" s="236"/>
      <c r="Z44" s="236"/>
    </row>
    <row r="45" spans="1:26" ht="11.25" hidden="1" customHeight="1">
      <c r="A45" s="528" t="s">
        <v>96</v>
      </c>
      <c r="B45" s="1013" t="s">
        <v>97</v>
      </c>
      <c r="C45" s="406" t="s">
        <v>776</v>
      </c>
      <c r="D45" s="647" t="s">
        <v>98</v>
      </c>
      <c r="E45" s="406" t="s">
        <v>776</v>
      </c>
      <c r="F45" s="103">
        <f>+'[3]ncr-SAOB'!D14</f>
        <v>0</v>
      </c>
      <c r="G45" s="103">
        <f>+'[3]ncr-SAOB'!D50</f>
        <v>7375000</v>
      </c>
      <c r="H45" s="103">
        <f>+'[3]ncr-SAOB'!D142</f>
        <v>0</v>
      </c>
      <c r="I45" s="103">
        <f>SUM(F45:H45)</f>
        <v>7375000</v>
      </c>
      <c r="J45" s="103">
        <f>+'[3]ncr-SAOB'!D15</f>
        <v>0</v>
      </c>
      <c r="K45" s="103">
        <f>+'[3]ncr-SAOB'!D51</f>
        <v>4772290.49</v>
      </c>
      <c r="L45" s="103">
        <f>+'[3]ncr-SAOB'!D143</f>
        <v>0</v>
      </c>
      <c r="M45" s="103">
        <f>SUM(J45:L45)</f>
        <v>4772290.49</v>
      </c>
      <c r="N45" s="103">
        <f t="shared" si="18"/>
        <v>0</v>
      </c>
      <c r="O45" s="103">
        <f t="shared" si="18"/>
        <v>2602709.5099999998</v>
      </c>
      <c r="P45" s="103">
        <f t="shared" si="18"/>
        <v>0</v>
      </c>
      <c r="Q45" s="103">
        <f t="shared" ref="Q45:Q113" si="19">SUM(N45:P45)</f>
        <v>2602709.5099999998</v>
      </c>
      <c r="R45" s="276">
        <f>Q45-'[3]ncr-SAOB'!D179</f>
        <v>0</v>
      </c>
      <c r="S45" s="730" t="str">
        <f t="shared" si="8"/>
        <v/>
      </c>
      <c r="T45" s="730">
        <f t="shared" si="8"/>
        <v>0.64709023593220338</v>
      </c>
      <c r="U45" s="730" t="str">
        <f t="shared" si="8"/>
        <v/>
      </c>
      <c r="V45" s="730">
        <f t="shared" si="8"/>
        <v>0.64709023593220338</v>
      </c>
      <c r="W45" s="531"/>
      <c r="X45" s="236"/>
      <c r="Y45" s="236"/>
      <c r="Z45" s="236"/>
    </row>
    <row r="46" spans="1:26" ht="12" hidden="1" customHeight="1">
      <c r="A46" s="528" t="s">
        <v>96</v>
      </c>
      <c r="B46" s="1013" t="s">
        <v>97</v>
      </c>
      <c r="C46" s="411"/>
      <c r="D46" s="647" t="s">
        <v>98</v>
      </c>
      <c r="E46" s="406" t="s">
        <v>777</v>
      </c>
      <c r="F46" s="103">
        <f>+'[3]ncr-SAOB'!E14</f>
        <v>18439000</v>
      </c>
      <c r="G46" s="103">
        <f>+'[3]ncr-SAOB'!E50</f>
        <v>195675000</v>
      </c>
      <c r="H46" s="103">
        <f>+'[3]ncr-SAOB'!E142</f>
        <v>0</v>
      </c>
      <c r="I46" s="103">
        <f>SUM(F46:H46)</f>
        <v>214114000</v>
      </c>
      <c r="J46" s="103">
        <f>+'[3]ncr-SAOB'!E15</f>
        <v>17031427.32</v>
      </c>
      <c r="K46" s="103">
        <f>+'[3]ncr-SAOB'!E51</f>
        <v>153801639.99999997</v>
      </c>
      <c r="L46" s="103">
        <f>+'[3]ncr-SAOB'!E143</f>
        <v>0</v>
      </c>
      <c r="M46" s="103">
        <f>SUM(J46:L46)</f>
        <v>170833067.31999996</v>
      </c>
      <c r="N46" s="103">
        <f t="shared" si="18"/>
        <v>1407572.6799999997</v>
      </c>
      <c r="O46" s="103">
        <f t="shared" si="18"/>
        <v>41873360.00000003</v>
      </c>
      <c r="P46" s="103">
        <f t="shared" si="18"/>
        <v>0</v>
      </c>
      <c r="Q46" s="103">
        <f t="shared" si="19"/>
        <v>43280932.68000003</v>
      </c>
      <c r="R46" s="276">
        <f>Q46-'[3]ncr-SAOB'!E179</f>
        <v>0</v>
      </c>
      <c r="S46" s="730">
        <f t="shared" si="8"/>
        <v>0.92366328542762621</v>
      </c>
      <c r="T46" s="730">
        <f t="shared" si="8"/>
        <v>0.78600557046122377</v>
      </c>
      <c r="U46" s="730" t="str">
        <f t="shared" si="8"/>
        <v/>
      </c>
      <c r="V46" s="730">
        <f t="shared" si="8"/>
        <v>0.79786033290676917</v>
      </c>
      <c r="W46" s="648"/>
      <c r="X46" s="236"/>
      <c r="Y46" s="236"/>
      <c r="Z46" s="236"/>
    </row>
    <row r="47" spans="1:26" ht="11.25" customHeight="1">
      <c r="A47" s="528" t="s">
        <v>96</v>
      </c>
      <c r="B47" s="1013" t="s">
        <v>97</v>
      </c>
      <c r="C47" s="728"/>
      <c r="D47" s="649" t="s">
        <v>50</v>
      </c>
      <c r="E47" s="447" t="s">
        <v>50</v>
      </c>
      <c r="F47" s="103"/>
      <c r="G47" s="103">
        <f>+'[3]ncr-SAOB'!D387</f>
        <v>82281414</v>
      </c>
      <c r="H47" s="103">
        <f>+'[3]ncr-SAOB'!E387</f>
        <v>146598000</v>
      </c>
      <c r="I47" s="103">
        <f>SUM(F47:H47)</f>
        <v>228879414</v>
      </c>
      <c r="J47" s="103"/>
      <c r="K47" s="103">
        <f>+'[3]ncr-SAOB'!H387</f>
        <v>58364371.490000002</v>
      </c>
      <c r="L47" s="103">
        <f>+'[3]ncr-SAOB'!I387</f>
        <v>45987665.68</v>
      </c>
      <c r="M47" s="103">
        <f>SUM(J47:L47)</f>
        <v>104352037.17</v>
      </c>
      <c r="N47" s="103">
        <f t="shared" si="18"/>
        <v>0</v>
      </c>
      <c r="O47" s="103">
        <f t="shared" si="18"/>
        <v>23917042.509999998</v>
      </c>
      <c r="P47" s="103">
        <f t="shared" si="18"/>
        <v>100610334.31999999</v>
      </c>
      <c r="Q47" s="103">
        <f t="shared" si="19"/>
        <v>124527376.82999998</v>
      </c>
      <c r="R47" s="95">
        <f>Q47-'[3]ncr-SAOB'!X179+Q55</f>
        <v>-1.4901161193847656E-8</v>
      </c>
      <c r="S47" s="730" t="str">
        <f t="shared" si="8"/>
        <v/>
      </c>
      <c r="T47" s="730">
        <f t="shared" si="8"/>
        <v>0.70932630654597162</v>
      </c>
      <c r="U47" s="730">
        <f t="shared" si="8"/>
        <v>0.31369913423102636</v>
      </c>
      <c r="V47" s="730">
        <f t="shared" si="8"/>
        <v>0.45592583162590589</v>
      </c>
      <c r="W47" s="646"/>
      <c r="X47" s="236"/>
      <c r="Y47" s="236" t="s">
        <v>688</v>
      </c>
      <c r="Z47" s="236"/>
    </row>
    <row r="48" spans="1:26" s="256" customFormat="1" ht="11.25" customHeight="1">
      <c r="A48" s="528" t="s">
        <v>96</v>
      </c>
      <c r="B48" s="528" t="s">
        <v>97</v>
      </c>
      <c r="C48" s="389"/>
      <c r="D48" s="650" t="s">
        <v>98</v>
      </c>
      <c r="E48" s="390" t="s">
        <v>767</v>
      </c>
      <c r="F48" s="391">
        <f>+F43+F47</f>
        <v>69090000</v>
      </c>
      <c r="G48" s="391">
        <f t="shared" ref="G48:M48" si="20">+G43+G47</f>
        <v>295655414</v>
      </c>
      <c r="H48" s="391">
        <f t="shared" si="20"/>
        <v>146598000</v>
      </c>
      <c r="I48" s="391">
        <f t="shared" si="20"/>
        <v>511343414</v>
      </c>
      <c r="J48" s="391">
        <f t="shared" si="20"/>
        <v>62486005.729999997</v>
      </c>
      <c r="K48" s="391">
        <f t="shared" si="20"/>
        <v>227258924.86999997</v>
      </c>
      <c r="L48" s="391">
        <f t="shared" si="20"/>
        <v>45987665.68</v>
      </c>
      <c r="M48" s="391">
        <f t="shared" si="20"/>
        <v>335732596.27999997</v>
      </c>
      <c r="N48" s="391">
        <f t="shared" si="18"/>
        <v>6603994.2700000033</v>
      </c>
      <c r="O48" s="391">
        <f t="shared" si="18"/>
        <v>68396489.130000025</v>
      </c>
      <c r="P48" s="391">
        <f t="shared" si="18"/>
        <v>100610334.31999999</v>
      </c>
      <c r="Q48" s="391">
        <f t="shared" si="19"/>
        <v>175610817.72000003</v>
      </c>
      <c r="R48" s="101"/>
      <c r="S48" s="254">
        <f t="shared" si="8"/>
        <v>0.90441461470545659</v>
      </c>
      <c r="T48" s="254">
        <f t="shared" si="8"/>
        <v>0.7686614690911765</v>
      </c>
      <c r="U48" s="254">
        <f t="shared" si="8"/>
        <v>0.31369913423102636</v>
      </c>
      <c r="V48" s="254">
        <f t="shared" si="8"/>
        <v>0.65656970851295637</v>
      </c>
      <c r="W48" s="531"/>
      <c r="Y48" s="256" t="s">
        <v>598</v>
      </c>
      <c r="Z48" s="256" t="s">
        <v>598</v>
      </c>
    </row>
    <row r="49" spans="1:26" ht="11.25" hidden="1" customHeight="1">
      <c r="A49" s="528" t="s">
        <v>96</v>
      </c>
      <c r="B49" s="1013" t="s">
        <v>97</v>
      </c>
      <c r="C49" s="410"/>
      <c r="D49" s="651"/>
      <c r="E49" s="806"/>
      <c r="F49" s="807"/>
      <c r="G49" s="807"/>
      <c r="H49" s="807"/>
      <c r="I49" s="807"/>
      <c r="J49" s="807"/>
      <c r="K49" s="807"/>
      <c r="L49" s="807"/>
      <c r="M49" s="807"/>
      <c r="N49" s="807">
        <f t="shared" si="18"/>
        <v>0</v>
      </c>
      <c r="O49" s="807">
        <f t="shared" si="18"/>
        <v>0</v>
      </c>
      <c r="P49" s="807">
        <f t="shared" si="18"/>
        <v>0</v>
      </c>
      <c r="Q49" s="807">
        <f t="shared" si="19"/>
        <v>0</v>
      </c>
      <c r="R49" s="276"/>
      <c r="S49" s="730" t="str">
        <f t="shared" si="8"/>
        <v/>
      </c>
      <c r="T49" s="730" t="str">
        <f t="shared" si="8"/>
        <v/>
      </c>
      <c r="U49" s="730" t="str">
        <f t="shared" si="8"/>
        <v/>
      </c>
      <c r="V49" s="730" t="str">
        <f t="shared" si="8"/>
        <v/>
      </c>
      <c r="W49" s="531"/>
      <c r="X49" s="236"/>
      <c r="Y49" s="236"/>
      <c r="Z49" s="236"/>
    </row>
    <row r="50" spans="1:26" s="256" customFormat="1" ht="11.25" customHeight="1">
      <c r="A50" s="528" t="s">
        <v>96</v>
      </c>
      <c r="B50" s="528" t="s">
        <v>97</v>
      </c>
      <c r="C50" s="389"/>
      <c r="D50" s="650" t="s">
        <v>98</v>
      </c>
      <c r="E50" s="390" t="s">
        <v>99</v>
      </c>
      <c r="F50" s="391">
        <f>+F51</f>
        <v>6136000</v>
      </c>
      <c r="G50" s="391">
        <f t="shared" ref="G50:M50" si="21">+G51</f>
        <v>0</v>
      </c>
      <c r="H50" s="391">
        <f t="shared" si="21"/>
        <v>0</v>
      </c>
      <c r="I50" s="391">
        <f t="shared" si="21"/>
        <v>6136000</v>
      </c>
      <c r="J50" s="391">
        <f t="shared" si="21"/>
        <v>5174820</v>
      </c>
      <c r="K50" s="391">
        <f t="shared" si="21"/>
        <v>0</v>
      </c>
      <c r="L50" s="391">
        <f t="shared" si="21"/>
        <v>0</v>
      </c>
      <c r="M50" s="391">
        <f t="shared" si="21"/>
        <v>5174820</v>
      </c>
      <c r="N50" s="391">
        <f t="shared" si="18"/>
        <v>961180</v>
      </c>
      <c r="O50" s="391">
        <f t="shared" si="18"/>
        <v>0</v>
      </c>
      <c r="P50" s="391">
        <f t="shared" si="18"/>
        <v>0</v>
      </c>
      <c r="Q50" s="391">
        <f t="shared" si="19"/>
        <v>961180</v>
      </c>
      <c r="R50" s="101"/>
      <c r="S50" s="254">
        <f t="shared" si="8"/>
        <v>0.84335397653194266</v>
      </c>
      <c r="T50" s="254" t="str">
        <f t="shared" si="8"/>
        <v/>
      </c>
      <c r="U50" s="254" t="str">
        <f t="shared" si="8"/>
        <v/>
      </c>
      <c r="V50" s="254">
        <f t="shared" si="8"/>
        <v>0.84335397653194266</v>
      </c>
      <c r="W50" s="531"/>
      <c r="Y50" s="256" t="s">
        <v>598</v>
      </c>
      <c r="Z50" s="256" t="s">
        <v>598</v>
      </c>
    </row>
    <row r="51" spans="1:26" ht="11.25" customHeight="1">
      <c r="A51" s="528" t="s">
        <v>96</v>
      </c>
      <c r="B51" s="1013" t="s">
        <v>97</v>
      </c>
      <c r="C51" s="728"/>
      <c r="D51" s="649" t="s">
        <v>286</v>
      </c>
      <c r="E51" s="729" t="s">
        <v>286</v>
      </c>
      <c r="F51" s="103">
        <f>SUM('[3]ncr-SAOB'!AD14)</f>
        <v>6136000</v>
      </c>
      <c r="G51" s="103">
        <f>SUM('[3]ncr-SAOB'!AD50)</f>
        <v>0</v>
      </c>
      <c r="H51" s="103">
        <f>SUM('[3]ncr-SAOB'!AD142)</f>
        <v>0</v>
      </c>
      <c r="I51" s="103">
        <f>SUM(F51:H51)</f>
        <v>6136000</v>
      </c>
      <c r="J51" s="103">
        <f>SUM('[3]ncr-SAOB'!AD15)</f>
        <v>5174820</v>
      </c>
      <c r="K51" s="103">
        <f>SUM('[3]ncr-SAOB'!AD51)</f>
        <v>0</v>
      </c>
      <c r="L51" s="103">
        <f>SUM('[3]ncr-SAOB'!AD143)</f>
        <v>0</v>
      </c>
      <c r="M51" s="103">
        <f>SUM(J51:L51)</f>
        <v>5174820</v>
      </c>
      <c r="N51" s="103">
        <f t="shared" si="18"/>
        <v>961180</v>
      </c>
      <c r="O51" s="103">
        <f t="shared" si="18"/>
        <v>0</v>
      </c>
      <c r="P51" s="103">
        <f t="shared" si="18"/>
        <v>0</v>
      </c>
      <c r="Q51" s="103">
        <f t="shared" si="19"/>
        <v>961180</v>
      </c>
      <c r="S51" s="730">
        <f t="shared" si="8"/>
        <v>0.84335397653194266</v>
      </c>
      <c r="T51" s="730" t="str">
        <f t="shared" si="8"/>
        <v/>
      </c>
      <c r="U51" s="730" t="str">
        <f t="shared" si="8"/>
        <v/>
      </c>
      <c r="V51" s="730">
        <f t="shared" si="8"/>
        <v>0.84335397653194266</v>
      </c>
      <c r="W51" s="531"/>
      <c r="X51" s="236"/>
      <c r="Y51" s="236" t="s">
        <v>598</v>
      </c>
      <c r="Z51" s="236"/>
    </row>
    <row r="52" spans="1:26" ht="11.25" hidden="1" customHeight="1">
      <c r="A52" s="528" t="s">
        <v>96</v>
      </c>
      <c r="B52" s="1013" t="s">
        <v>97</v>
      </c>
      <c r="C52" s="410"/>
      <c r="D52" s="651"/>
      <c r="E52" s="1014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276"/>
      <c r="S52" s="730" t="str">
        <f t="shared" si="8"/>
        <v/>
      </c>
      <c r="T52" s="730" t="str">
        <f t="shared" si="8"/>
        <v/>
      </c>
      <c r="U52" s="730" t="str">
        <f t="shared" si="8"/>
        <v/>
      </c>
      <c r="V52" s="730" t="str">
        <f t="shared" si="8"/>
        <v/>
      </c>
      <c r="W52" s="531"/>
      <c r="X52" s="236"/>
      <c r="Y52" s="236"/>
      <c r="Z52" s="236"/>
    </row>
    <row r="53" spans="1:26" s="272" customFormat="1" ht="11.25" customHeight="1">
      <c r="A53" s="528" t="s">
        <v>96</v>
      </c>
      <c r="B53" s="528" t="s">
        <v>97</v>
      </c>
      <c r="C53" s="389"/>
      <c r="D53" s="650" t="s">
        <v>98</v>
      </c>
      <c r="E53" s="390" t="s">
        <v>100</v>
      </c>
      <c r="F53" s="391">
        <f t="shared" ref="F53:M53" si="22">SUM(F54:F58)</f>
        <v>2069929</v>
      </c>
      <c r="G53" s="391">
        <f t="shared" si="22"/>
        <v>0</v>
      </c>
      <c r="H53" s="391">
        <f t="shared" si="22"/>
        <v>0</v>
      </c>
      <c r="I53" s="391">
        <f t="shared" si="22"/>
        <v>2069929</v>
      </c>
      <c r="J53" s="391">
        <f t="shared" si="22"/>
        <v>2069928.26</v>
      </c>
      <c r="K53" s="391">
        <f t="shared" si="22"/>
        <v>0</v>
      </c>
      <c r="L53" s="391">
        <f t="shared" si="22"/>
        <v>0</v>
      </c>
      <c r="M53" s="391">
        <f t="shared" si="22"/>
        <v>2069928.26</v>
      </c>
      <c r="N53" s="391">
        <f t="shared" si="18"/>
        <v>0.73999999999068677</v>
      </c>
      <c r="O53" s="391">
        <f t="shared" si="18"/>
        <v>0</v>
      </c>
      <c r="P53" s="391">
        <f t="shared" si="18"/>
        <v>0</v>
      </c>
      <c r="Q53" s="391">
        <f t="shared" si="19"/>
        <v>0.73999999999068677</v>
      </c>
      <c r="R53" s="102"/>
      <c r="S53" s="254">
        <f t="shared" si="8"/>
        <v>0.99999964249981521</v>
      </c>
      <c r="T53" s="254" t="str">
        <f t="shared" si="8"/>
        <v/>
      </c>
      <c r="U53" s="254" t="str">
        <f t="shared" si="8"/>
        <v/>
      </c>
      <c r="V53" s="254">
        <f t="shared" si="8"/>
        <v>0.99999964249981521</v>
      </c>
      <c r="W53" s="531"/>
      <c r="Y53" s="272" t="s">
        <v>598</v>
      </c>
      <c r="Z53" s="256" t="s">
        <v>598</v>
      </c>
    </row>
    <row r="54" spans="1:26" ht="11.25" customHeight="1">
      <c r="A54" s="528" t="s">
        <v>96</v>
      </c>
      <c r="B54" s="1013" t="s">
        <v>97</v>
      </c>
      <c r="C54" s="728"/>
      <c r="D54" s="649" t="s">
        <v>288</v>
      </c>
      <c r="E54" s="729" t="s">
        <v>288</v>
      </c>
      <c r="F54" s="103">
        <f>SUM('[3]ncr-SAOB'!AJ14)</f>
        <v>0</v>
      </c>
      <c r="G54" s="103">
        <f>SUM('[3]ncr-SAOB'!AJ50)</f>
        <v>0</v>
      </c>
      <c r="H54" s="103">
        <f>SUM('[3]ncr-SAOB'!AJ142)</f>
        <v>0</v>
      </c>
      <c r="I54" s="103">
        <f>SUM(F54:H54)</f>
        <v>0</v>
      </c>
      <c r="J54" s="103">
        <f>SUM('[3]ncr-SAOB'!AJ15)</f>
        <v>0</v>
      </c>
      <c r="K54" s="103">
        <f>SUM('[3]ncr-SAOB'!AJ51)</f>
        <v>0</v>
      </c>
      <c r="L54" s="103">
        <f>SUM('[3]ncr-SAOB'!AJ143)</f>
        <v>0</v>
      </c>
      <c r="M54" s="103">
        <f>SUM(J54:L54)</f>
        <v>0</v>
      </c>
      <c r="N54" s="103">
        <f t="shared" si="18"/>
        <v>0</v>
      </c>
      <c r="O54" s="103">
        <f t="shared" si="18"/>
        <v>0</v>
      </c>
      <c r="P54" s="103">
        <f t="shared" si="18"/>
        <v>0</v>
      </c>
      <c r="Q54" s="103">
        <f t="shared" si="19"/>
        <v>0</v>
      </c>
      <c r="R54" s="95">
        <f>Q54-'[3]ncr-SAOB'!AJ179</f>
        <v>0</v>
      </c>
      <c r="S54" s="730" t="str">
        <f t="shared" si="8"/>
        <v/>
      </c>
      <c r="T54" s="730" t="str">
        <f t="shared" si="8"/>
        <v/>
      </c>
      <c r="U54" s="730" t="str">
        <f t="shared" si="8"/>
        <v/>
      </c>
      <c r="V54" s="730" t="str">
        <f t="shared" si="8"/>
        <v/>
      </c>
      <c r="W54" s="531"/>
      <c r="X54" s="236"/>
      <c r="Y54" s="236" t="s">
        <v>598</v>
      </c>
      <c r="Z54" s="236"/>
    </row>
    <row r="55" spans="1:26" ht="11.25" customHeight="1">
      <c r="A55" s="528" t="s">
        <v>96</v>
      </c>
      <c r="B55" s="1013" t="s">
        <v>97</v>
      </c>
      <c r="C55" s="728"/>
      <c r="D55" s="649" t="s">
        <v>761</v>
      </c>
      <c r="E55" s="729" t="s">
        <v>761</v>
      </c>
      <c r="F55" s="103">
        <f>+'[3]ncr-SAOB'!C387</f>
        <v>1105000</v>
      </c>
      <c r="G55" s="103"/>
      <c r="H55" s="103"/>
      <c r="I55" s="103">
        <f>SUM(F55:H55)</f>
        <v>1105000</v>
      </c>
      <c r="J55" s="103">
        <f>+'[3]ncr-SAOB'!G387</f>
        <v>1105000</v>
      </c>
      <c r="K55" s="103"/>
      <c r="L55" s="103"/>
      <c r="M55" s="103">
        <f>SUM(J55:L55)</f>
        <v>1105000</v>
      </c>
      <c r="N55" s="103">
        <f t="shared" si="18"/>
        <v>0</v>
      </c>
      <c r="O55" s="103">
        <f t="shared" si="18"/>
        <v>0</v>
      </c>
      <c r="P55" s="103">
        <f t="shared" si="18"/>
        <v>0</v>
      </c>
      <c r="Q55" s="103">
        <f t="shared" si="19"/>
        <v>0</v>
      </c>
      <c r="S55" s="730">
        <f t="shared" si="8"/>
        <v>1</v>
      </c>
      <c r="T55" s="730" t="str">
        <f t="shared" si="8"/>
        <v/>
      </c>
      <c r="U55" s="730" t="str">
        <f t="shared" si="8"/>
        <v/>
      </c>
      <c r="V55" s="730">
        <f t="shared" si="8"/>
        <v>1</v>
      </c>
      <c r="W55" s="531"/>
      <c r="X55" s="236"/>
      <c r="Y55" s="236" t="s">
        <v>688</v>
      </c>
      <c r="Z55" s="236"/>
    </row>
    <row r="56" spans="1:26" ht="11.25" customHeight="1">
      <c r="A56" s="528" t="s">
        <v>96</v>
      </c>
      <c r="B56" s="1013" t="s">
        <v>97</v>
      </c>
      <c r="C56" s="411"/>
      <c r="D56" s="647"/>
      <c r="E56" s="1014"/>
      <c r="F56" s="104"/>
      <c r="G56" s="104"/>
      <c r="H56" s="104"/>
      <c r="I56" s="103"/>
      <c r="J56" s="104"/>
      <c r="K56" s="104"/>
      <c r="L56" s="104"/>
      <c r="M56" s="103"/>
      <c r="N56" s="103"/>
      <c r="O56" s="103"/>
      <c r="P56" s="103"/>
      <c r="Q56" s="103"/>
      <c r="S56" s="730" t="str">
        <f t="shared" si="8"/>
        <v/>
      </c>
      <c r="T56" s="730" t="str">
        <f t="shared" si="8"/>
        <v/>
      </c>
      <c r="U56" s="730" t="str">
        <f t="shared" si="8"/>
        <v/>
      </c>
      <c r="V56" s="730" t="str">
        <f t="shared" si="8"/>
        <v/>
      </c>
      <c r="W56" s="531"/>
      <c r="X56" s="236"/>
      <c r="Y56" s="236" t="s">
        <v>688</v>
      </c>
      <c r="Z56" s="240"/>
    </row>
    <row r="57" spans="1:26" ht="11.25" customHeight="1">
      <c r="A57" s="528" t="s">
        <v>96</v>
      </c>
      <c r="B57" s="1013" t="s">
        <v>97</v>
      </c>
      <c r="C57" s="728"/>
      <c r="D57" s="649" t="s">
        <v>289</v>
      </c>
      <c r="E57" s="729" t="s">
        <v>289</v>
      </c>
      <c r="F57" s="103">
        <f>SUM('[3]ncr-SAOB'!AP14)</f>
        <v>964929</v>
      </c>
      <c r="G57" s="103">
        <f>SUM('[3]ncr-SAOB'!AP50)</f>
        <v>0</v>
      </c>
      <c r="H57" s="103">
        <f>SUM('[3]ncr-SAOB'!AP142)</f>
        <v>0</v>
      </c>
      <c r="I57" s="103">
        <f>SUM(F57:H57)</f>
        <v>964929</v>
      </c>
      <c r="J57" s="103">
        <f>SUM('[3]ncr-SAOB'!AP15)</f>
        <v>964928.26</v>
      </c>
      <c r="K57" s="103">
        <f>SUM('[3]ncr-SAOB'!AP51)</f>
        <v>0</v>
      </c>
      <c r="L57" s="103">
        <f>SUM('[3]ncr-SAOB'!AP143)</f>
        <v>0</v>
      </c>
      <c r="M57" s="103">
        <f>SUM(J57:L57)</f>
        <v>964928.26</v>
      </c>
      <c r="N57" s="103">
        <f t="shared" si="18"/>
        <v>0.73999999999068677</v>
      </c>
      <c r="O57" s="103">
        <f t="shared" si="18"/>
        <v>0</v>
      </c>
      <c r="P57" s="103">
        <f t="shared" si="18"/>
        <v>0</v>
      </c>
      <c r="Q57" s="103">
        <f t="shared" si="19"/>
        <v>0.73999999999068677</v>
      </c>
      <c r="R57" s="95">
        <f>Q57-'[3]ncr-SAOB'!AP179</f>
        <v>0</v>
      </c>
      <c r="S57" s="730">
        <f t="shared" si="8"/>
        <v>0.99999923310419736</v>
      </c>
      <c r="T57" s="730" t="str">
        <f t="shared" si="8"/>
        <v/>
      </c>
      <c r="U57" s="730" t="str">
        <f t="shared" si="8"/>
        <v/>
      </c>
      <c r="V57" s="730">
        <f t="shared" si="8"/>
        <v>0.99999923310419736</v>
      </c>
      <c r="W57" s="531"/>
      <c r="X57" s="236"/>
      <c r="Y57" s="236" t="s">
        <v>598</v>
      </c>
      <c r="Z57" s="236"/>
    </row>
    <row r="58" spans="1:26" ht="11.25" customHeight="1">
      <c r="A58" s="528" t="s">
        <v>96</v>
      </c>
      <c r="B58" s="1013" t="s">
        <v>97</v>
      </c>
      <c r="C58" s="728"/>
      <c r="D58" s="649" t="s">
        <v>290</v>
      </c>
      <c r="E58" s="729" t="s">
        <v>290</v>
      </c>
      <c r="F58" s="103">
        <f>SUM('[3]ncr-SAOB'!AV14)</f>
        <v>0</v>
      </c>
      <c r="G58" s="103">
        <f>SUM('[3]ncr-SAOB'!AV50)</f>
        <v>0</v>
      </c>
      <c r="H58" s="103">
        <f>SUM('[3]ncr-SAOB'!AV142)</f>
        <v>0</v>
      </c>
      <c r="I58" s="103">
        <f>SUM(F58:H58)</f>
        <v>0</v>
      </c>
      <c r="J58" s="103">
        <f>SUM('[3]ncr-SAOB'!AV15)</f>
        <v>0</v>
      </c>
      <c r="K58" s="103">
        <f>SUM('[3]ncr-SAOB'!AV51)</f>
        <v>0</v>
      </c>
      <c r="L58" s="103">
        <f>SUM('[3]ncr-SAOB'!AV143)</f>
        <v>0</v>
      </c>
      <c r="M58" s="103">
        <f>SUM(J58:L58)</f>
        <v>0</v>
      </c>
      <c r="N58" s="103">
        <f t="shared" si="18"/>
        <v>0</v>
      </c>
      <c r="O58" s="103">
        <f t="shared" si="18"/>
        <v>0</v>
      </c>
      <c r="P58" s="103">
        <f t="shared" si="18"/>
        <v>0</v>
      </c>
      <c r="Q58" s="103">
        <f t="shared" si="19"/>
        <v>0</v>
      </c>
      <c r="R58" s="95">
        <f>Q58-'[3]ncr-SAOB'!AV179</f>
        <v>0</v>
      </c>
      <c r="S58" s="730" t="str">
        <f t="shared" si="8"/>
        <v/>
      </c>
      <c r="T58" s="730" t="str">
        <f t="shared" si="8"/>
        <v/>
      </c>
      <c r="U58" s="730" t="str">
        <f t="shared" si="8"/>
        <v/>
      </c>
      <c r="V58" s="730" t="str">
        <f t="shared" si="8"/>
        <v/>
      </c>
      <c r="W58" s="531"/>
      <c r="X58" s="236"/>
      <c r="Y58" s="236" t="s">
        <v>598</v>
      </c>
      <c r="Z58" s="236"/>
    </row>
    <row r="59" spans="1:26" s="259" customFormat="1" ht="11.25" customHeight="1">
      <c r="A59" s="246" t="s">
        <v>96</v>
      </c>
      <c r="B59" s="235" t="s">
        <v>97</v>
      </c>
      <c r="C59" s="1425" t="s">
        <v>604</v>
      </c>
      <c r="D59" s="1426"/>
      <c r="E59" s="1427"/>
      <c r="F59" s="652">
        <f t="shared" ref="F59:M59" si="23">+F48+F50+F53</f>
        <v>77295929</v>
      </c>
      <c r="G59" s="652">
        <f t="shared" si="23"/>
        <v>295655414</v>
      </c>
      <c r="H59" s="652">
        <f t="shared" si="23"/>
        <v>146598000</v>
      </c>
      <c r="I59" s="652">
        <f t="shared" si="23"/>
        <v>519549343</v>
      </c>
      <c r="J59" s="652">
        <f t="shared" si="23"/>
        <v>69730753.989999995</v>
      </c>
      <c r="K59" s="652">
        <f t="shared" si="23"/>
        <v>227258924.86999997</v>
      </c>
      <c r="L59" s="652">
        <f t="shared" si="23"/>
        <v>45987665.68</v>
      </c>
      <c r="M59" s="652">
        <f t="shared" si="23"/>
        <v>342977344.53999996</v>
      </c>
      <c r="N59" s="652">
        <f t="shared" ref="N59:P127" si="24">+F59-J59</f>
        <v>7565175.0100000054</v>
      </c>
      <c r="O59" s="652">
        <f t="shared" si="24"/>
        <v>68396489.130000025</v>
      </c>
      <c r="P59" s="652">
        <f t="shared" si="24"/>
        <v>100610334.31999999</v>
      </c>
      <c r="Q59" s="652">
        <f t="shared" si="19"/>
        <v>176571998.46000004</v>
      </c>
      <c r="R59" s="653">
        <f>+Q59-'[3]ncr-SAOB'!BX179</f>
        <v>0</v>
      </c>
      <c r="S59" s="1008">
        <f t="shared" si="8"/>
        <v>0.90212712224469149</v>
      </c>
      <c r="T59" s="1008">
        <f t="shared" si="8"/>
        <v>0.7686614690911765</v>
      </c>
      <c r="U59" s="1008">
        <f t="shared" si="8"/>
        <v>0.31369913423102636</v>
      </c>
      <c r="V59" s="1008">
        <f t="shared" si="8"/>
        <v>0.66014392888954143</v>
      </c>
      <c r="W59" s="654"/>
      <c r="X59" s="520"/>
      <c r="Y59" s="610" t="s">
        <v>598</v>
      </c>
      <c r="Z59" s="241" t="s">
        <v>598</v>
      </c>
    </row>
    <row r="60" spans="1:26" ht="11.25" customHeight="1">
      <c r="A60" s="246" t="s">
        <v>96</v>
      </c>
      <c r="B60" s="235" t="s">
        <v>97</v>
      </c>
      <c r="C60" s="410"/>
      <c r="D60" s="386"/>
      <c r="E60" s="461"/>
      <c r="F60" s="103"/>
      <c r="G60" s="103"/>
      <c r="H60" s="103"/>
      <c r="I60" s="103"/>
      <c r="J60" s="103"/>
      <c r="K60" s="103"/>
      <c r="L60" s="103"/>
      <c r="M60" s="103"/>
      <c r="N60" s="103">
        <f t="shared" si="24"/>
        <v>0</v>
      </c>
      <c r="O60" s="103">
        <f t="shared" si="24"/>
        <v>0</v>
      </c>
      <c r="P60" s="103">
        <f t="shared" si="24"/>
        <v>0</v>
      </c>
      <c r="Q60" s="103">
        <f t="shared" si="19"/>
        <v>0</v>
      </c>
      <c r="S60" s="730" t="str">
        <f t="shared" si="8"/>
        <v/>
      </c>
      <c r="T60" s="730" t="str">
        <f t="shared" si="8"/>
        <v/>
      </c>
      <c r="U60" s="730" t="str">
        <f t="shared" si="8"/>
        <v/>
      </c>
      <c r="V60" s="730" t="str">
        <f t="shared" si="8"/>
        <v/>
      </c>
      <c r="W60" s="254"/>
      <c r="Y60" s="610" t="s">
        <v>598</v>
      </c>
      <c r="Z60" s="241" t="s">
        <v>598</v>
      </c>
    </row>
    <row r="61" spans="1:26" ht="11.25" hidden="1" customHeight="1">
      <c r="A61" s="246" t="s">
        <v>102</v>
      </c>
      <c r="B61" s="235" t="s">
        <v>104</v>
      </c>
      <c r="C61" s="410" t="s">
        <v>103</v>
      </c>
      <c r="D61" s="386"/>
      <c r="E61" s="461"/>
      <c r="F61" s="103"/>
      <c r="G61" s="103"/>
      <c r="H61" s="103"/>
      <c r="I61" s="103"/>
      <c r="J61" s="103"/>
      <c r="K61" s="103"/>
      <c r="L61" s="103"/>
      <c r="M61" s="103"/>
      <c r="N61" s="103">
        <f t="shared" si="24"/>
        <v>0</v>
      </c>
      <c r="O61" s="103">
        <f t="shared" si="24"/>
        <v>0</v>
      </c>
      <c r="P61" s="103">
        <f t="shared" si="24"/>
        <v>0</v>
      </c>
      <c r="Q61" s="103">
        <f t="shared" si="19"/>
        <v>0</v>
      </c>
      <c r="R61" s="236"/>
      <c r="S61" s="730" t="str">
        <f t="shared" si="8"/>
        <v/>
      </c>
      <c r="T61" s="730" t="str">
        <f t="shared" si="8"/>
        <v/>
      </c>
      <c r="U61" s="730" t="str">
        <f t="shared" si="8"/>
        <v/>
      </c>
      <c r="V61" s="730" t="str">
        <f t="shared" si="8"/>
        <v/>
      </c>
      <c r="W61" s="254"/>
    </row>
    <row r="62" spans="1:26" s="675" customFormat="1" ht="11.25" customHeight="1">
      <c r="A62" s="528" t="s">
        <v>102</v>
      </c>
      <c r="B62" s="528" t="s">
        <v>104</v>
      </c>
      <c r="C62" s="407" t="s">
        <v>98</v>
      </c>
      <c r="D62" s="655" t="s">
        <v>105</v>
      </c>
      <c r="E62" s="408" t="s">
        <v>778</v>
      </c>
      <c r="F62" s="674"/>
      <c r="G62" s="805"/>
      <c r="H62" s="805"/>
      <c r="I62" s="674">
        <f>SUM(F62:H62)</f>
        <v>0</v>
      </c>
      <c r="J62" s="805"/>
      <c r="K62" s="805"/>
      <c r="L62" s="805"/>
      <c r="M62" s="674">
        <f>SUM(J62:L62)</f>
        <v>0</v>
      </c>
      <c r="N62" s="674">
        <f t="shared" si="24"/>
        <v>0</v>
      </c>
      <c r="O62" s="674">
        <f t="shared" si="24"/>
        <v>0</v>
      </c>
      <c r="P62" s="674">
        <f t="shared" si="24"/>
        <v>0</v>
      </c>
      <c r="Q62" s="674">
        <f t="shared" si="19"/>
        <v>0</v>
      </c>
      <c r="R62" s="101"/>
      <c r="S62" s="254" t="str">
        <f t="shared" si="8"/>
        <v/>
      </c>
      <c r="T62" s="254" t="str">
        <f t="shared" si="8"/>
        <v/>
      </c>
      <c r="U62" s="254" t="str">
        <f t="shared" si="8"/>
        <v/>
      </c>
      <c r="V62" s="254" t="str">
        <f t="shared" si="8"/>
        <v/>
      </c>
      <c r="W62" s="648"/>
      <c r="Y62" s="272" t="s">
        <v>598</v>
      </c>
      <c r="Z62" s="260" t="s">
        <v>598</v>
      </c>
    </row>
    <row r="63" spans="1:26" ht="12.75" customHeight="1">
      <c r="A63" s="528" t="s">
        <v>102</v>
      </c>
      <c r="B63" s="1013" t="s">
        <v>104</v>
      </c>
      <c r="C63" s="461"/>
      <c r="D63" s="645" t="s">
        <v>766</v>
      </c>
      <c r="E63" s="447" t="s">
        <v>766</v>
      </c>
      <c r="F63" s="103">
        <f>+'[3]ncr-SAOB'!C399</f>
        <v>59182000</v>
      </c>
      <c r="G63" s="103">
        <f>+'[3]ncr-SAOB'!D399</f>
        <v>21837000</v>
      </c>
      <c r="H63" s="103">
        <f>+'[3]ncr-SAOB'!E399</f>
        <v>0</v>
      </c>
      <c r="I63" s="103">
        <f>SUM(F63:H63)</f>
        <v>81019000</v>
      </c>
      <c r="J63" s="103">
        <f>+'[3]ncr-SAOB'!G399</f>
        <v>53852853.309999995</v>
      </c>
      <c r="K63" s="103">
        <f>+'[3]ncr-SAOB'!H399</f>
        <v>18376737.690000001</v>
      </c>
      <c r="L63" s="103">
        <f>+'[3]ncr-SAOB'!I399</f>
        <v>0</v>
      </c>
      <c r="M63" s="103">
        <f>SUM(J63:L63)</f>
        <v>72229591</v>
      </c>
      <c r="N63" s="103">
        <f t="shared" si="24"/>
        <v>5329146.6900000051</v>
      </c>
      <c r="O63" s="103">
        <f t="shared" si="24"/>
        <v>3460262.3099999987</v>
      </c>
      <c r="P63" s="103">
        <f t="shared" si="24"/>
        <v>0</v>
      </c>
      <c r="Q63" s="103">
        <f t="shared" si="19"/>
        <v>8789409.0000000037</v>
      </c>
      <c r="R63" s="95">
        <f>Q63-'[3]ncr-SAOB'!H179</f>
        <v>0</v>
      </c>
      <c r="S63" s="730">
        <f t="shared" si="8"/>
        <v>0.90995325115744641</v>
      </c>
      <c r="T63" s="730">
        <f t="shared" si="8"/>
        <v>0.84154131474103588</v>
      </c>
      <c r="U63" s="730" t="str">
        <f t="shared" si="8"/>
        <v/>
      </c>
      <c r="V63" s="730">
        <f t="shared" si="8"/>
        <v>0.89151422505831968</v>
      </c>
      <c r="W63" s="648"/>
      <c r="X63" s="236"/>
      <c r="Y63" s="236" t="s">
        <v>688</v>
      </c>
      <c r="Z63" s="236"/>
    </row>
    <row r="64" spans="1:26" s="356" customFormat="1" ht="11.25" customHeight="1">
      <c r="A64" s="528" t="s">
        <v>102</v>
      </c>
      <c r="B64" s="1013" t="s">
        <v>104</v>
      </c>
      <c r="C64" s="728"/>
      <c r="D64" s="649" t="s">
        <v>50</v>
      </c>
      <c r="E64" s="447" t="s">
        <v>50</v>
      </c>
      <c r="F64" s="103"/>
      <c r="G64" s="103">
        <f>+'[3]ncr-SAOB'!D401</f>
        <v>21600000</v>
      </c>
      <c r="H64" s="103">
        <f>+'[3]ncr-SAOB'!E401</f>
        <v>11000000</v>
      </c>
      <c r="I64" s="103">
        <f>SUM(F64:H64)</f>
        <v>32600000</v>
      </c>
      <c r="J64" s="103"/>
      <c r="K64" s="103">
        <f>+'[3]ncr-SAOB'!H401</f>
        <v>20906344.82</v>
      </c>
      <c r="L64" s="103">
        <f>+'[3]ncr-SAOB'!I401</f>
        <v>10979529.48</v>
      </c>
      <c r="M64" s="103">
        <f>SUM(J64:L64)</f>
        <v>31885874.300000001</v>
      </c>
      <c r="N64" s="103">
        <f t="shared" si="24"/>
        <v>0</v>
      </c>
      <c r="O64" s="103">
        <f t="shared" si="24"/>
        <v>693655.1799999997</v>
      </c>
      <c r="P64" s="103">
        <f t="shared" si="24"/>
        <v>20470.519999999553</v>
      </c>
      <c r="Q64" s="103">
        <f t="shared" si="19"/>
        <v>714125.69999999925</v>
      </c>
      <c r="R64" s="95">
        <f>Q64-'[3]ncr-SAOB'!Z179+Q71</f>
        <v>-1.0477378964424133E-9</v>
      </c>
      <c r="S64" s="730" t="str">
        <f t="shared" si="8"/>
        <v/>
      </c>
      <c r="T64" s="730">
        <f t="shared" si="8"/>
        <v>0.9678863342592593</v>
      </c>
      <c r="U64" s="730">
        <f t="shared" si="8"/>
        <v>0.99813904363636363</v>
      </c>
      <c r="V64" s="730">
        <f t="shared" si="8"/>
        <v>0.9780943036809816</v>
      </c>
      <c r="W64" s="531"/>
      <c r="Y64" s="236" t="s">
        <v>688</v>
      </c>
    </row>
    <row r="65" spans="1:26" s="256" customFormat="1" ht="11.25" customHeight="1">
      <c r="A65" s="528" t="s">
        <v>102</v>
      </c>
      <c r="B65" s="528" t="s">
        <v>104</v>
      </c>
      <c r="C65" s="389"/>
      <c r="D65" s="650" t="s">
        <v>98</v>
      </c>
      <c r="E65" s="390" t="s">
        <v>767</v>
      </c>
      <c r="F65" s="391">
        <f>+F63+F64</f>
        <v>59182000</v>
      </c>
      <c r="G65" s="391">
        <f t="shared" ref="G65:M65" si="25">+G63+G64</f>
        <v>43437000</v>
      </c>
      <c r="H65" s="391">
        <f t="shared" si="25"/>
        <v>11000000</v>
      </c>
      <c r="I65" s="391">
        <f t="shared" si="25"/>
        <v>113619000</v>
      </c>
      <c r="J65" s="391">
        <f t="shared" si="25"/>
        <v>53852853.309999995</v>
      </c>
      <c r="K65" s="391">
        <f t="shared" si="25"/>
        <v>39283082.510000005</v>
      </c>
      <c r="L65" s="391">
        <f t="shared" si="25"/>
        <v>10979529.48</v>
      </c>
      <c r="M65" s="391">
        <f t="shared" si="25"/>
        <v>104115465.3</v>
      </c>
      <c r="N65" s="391">
        <f t="shared" si="24"/>
        <v>5329146.6900000051</v>
      </c>
      <c r="O65" s="391">
        <f t="shared" si="24"/>
        <v>4153917.4899999946</v>
      </c>
      <c r="P65" s="391">
        <f t="shared" si="24"/>
        <v>20470.519999999553</v>
      </c>
      <c r="Q65" s="391">
        <f t="shared" si="19"/>
        <v>9503534.6999999993</v>
      </c>
      <c r="R65" s="101"/>
      <c r="S65" s="254">
        <f t="shared" si="8"/>
        <v>0.90995325115744641</v>
      </c>
      <c r="T65" s="254">
        <f t="shared" si="8"/>
        <v>0.90436914404770141</v>
      </c>
      <c r="U65" s="254">
        <f t="shared" si="8"/>
        <v>0.99813904363636363</v>
      </c>
      <c r="V65" s="254">
        <f t="shared" si="8"/>
        <v>0.91635611385419691</v>
      </c>
      <c r="W65" s="531"/>
      <c r="Y65" s="256" t="s">
        <v>598</v>
      </c>
      <c r="Z65" s="256" t="s">
        <v>598</v>
      </c>
    </row>
    <row r="66" spans="1:26" ht="11.25" hidden="1" customHeight="1">
      <c r="A66" s="528" t="s">
        <v>102</v>
      </c>
      <c r="B66" s="1013" t="s">
        <v>104</v>
      </c>
      <c r="C66" s="410"/>
      <c r="D66" s="651"/>
      <c r="E66" s="806"/>
      <c r="F66" s="807"/>
      <c r="G66" s="807"/>
      <c r="H66" s="807"/>
      <c r="I66" s="807"/>
      <c r="J66" s="807"/>
      <c r="K66" s="807"/>
      <c r="L66" s="807"/>
      <c r="M66" s="807"/>
      <c r="N66" s="807">
        <f t="shared" si="24"/>
        <v>0</v>
      </c>
      <c r="O66" s="807">
        <f t="shared" si="24"/>
        <v>0</v>
      </c>
      <c r="P66" s="807">
        <f t="shared" si="24"/>
        <v>0</v>
      </c>
      <c r="Q66" s="807">
        <f t="shared" si="19"/>
        <v>0</v>
      </c>
      <c r="R66" s="276"/>
      <c r="S66" s="730" t="str">
        <f t="shared" si="8"/>
        <v/>
      </c>
      <c r="T66" s="730" t="str">
        <f t="shared" si="8"/>
        <v/>
      </c>
      <c r="U66" s="730" t="str">
        <f t="shared" si="8"/>
        <v/>
      </c>
      <c r="V66" s="730" t="str">
        <f t="shared" si="8"/>
        <v/>
      </c>
      <c r="W66" s="531"/>
      <c r="X66" s="236"/>
      <c r="Y66" s="236"/>
      <c r="Z66" s="236"/>
    </row>
    <row r="67" spans="1:26" s="256" customFormat="1" ht="11.25" customHeight="1">
      <c r="A67" s="528" t="s">
        <v>102</v>
      </c>
      <c r="B67" s="528" t="s">
        <v>104</v>
      </c>
      <c r="C67" s="389"/>
      <c r="D67" s="650" t="s">
        <v>98</v>
      </c>
      <c r="E67" s="390" t="s">
        <v>99</v>
      </c>
      <c r="F67" s="391">
        <f>+F68</f>
        <v>5435614</v>
      </c>
      <c r="G67" s="391">
        <f t="shared" ref="G67:M67" si="26">+G68</f>
        <v>0</v>
      </c>
      <c r="H67" s="391">
        <f t="shared" si="26"/>
        <v>0</v>
      </c>
      <c r="I67" s="391">
        <f t="shared" si="26"/>
        <v>5435614</v>
      </c>
      <c r="J67" s="391">
        <f t="shared" si="26"/>
        <v>4845712.6399999997</v>
      </c>
      <c r="K67" s="391">
        <f t="shared" si="26"/>
        <v>0</v>
      </c>
      <c r="L67" s="391">
        <f t="shared" si="26"/>
        <v>0</v>
      </c>
      <c r="M67" s="391">
        <f t="shared" si="26"/>
        <v>4845712.6399999997</v>
      </c>
      <c r="N67" s="391">
        <f t="shared" si="24"/>
        <v>589901.36000000034</v>
      </c>
      <c r="O67" s="391">
        <f t="shared" si="24"/>
        <v>0</v>
      </c>
      <c r="P67" s="391">
        <f t="shared" si="24"/>
        <v>0</v>
      </c>
      <c r="Q67" s="391">
        <f t="shared" si="19"/>
        <v>589901.36000000034</v>
      </c>
      <c r="R67" s="101"/>
      <c r="S67" s="254">
        <f t="shared" si="8"/>
        <v>0.89147475151841171</v>
      </c>
      <c r="T67" s="254" t="str">
        <f t="shared" si="8"/>
        <v/>
      </c>
      <c r="U67" s="254" t="str">
        <f t="shared" si="8"/>
        <v/>
      </c>
      <c r="V67" s="254">
        <f t="shared" si="8"/>
        <v>0.89147475151841171</v>
      </c>
      <c r="W67" s="531"/>
      <c r="Y67" s="256" t="s">
        <v>598</v>
      </c>
      <c r="Z67" s="256" t="s">
        <v>598</v>
      </c>
    </row>
    <row r="68" spans="1:26" ht="11.25" customHeight="1">
      <c r="A68" s="528" t="s">
        <v>102</v>
      </c>
      <c r="B68" s="1013" t="s">
        <v>104</v>
      </c>
      <c r="C68" s="728"/>
      <c r="D68" s="649" t="s">
        <v>286</v>
      </c>
      <c r="E68" s="729" t="s">
        <v>286</v>
      </c>
      <c r="F68" s="103">
        <f>SUM('[3]ncr-SAOB'!AF14)</f>
        <v>5435614</v>
      </c>
      <c r="G68" s="103">
        <f>SUM('[3]ncr-SAOB'!AF50)</f>
        <v>0</v>
      </c>
      <c r="H68" s="103">
        <f>SUM('[3]ncr-SAOB'!AF142)</f>
        <v>0</v>
      </c>
      <c r="I68" s="103">
        <f>SUM(F68:H68)</f>
        <v>5435614</v>
      </c>
      <c r="J68" s="103">
        <f>SUM('[3]ncr-SAOB'!AF15)</f>
        <v>4845712.6399999997</v>
      </c>
      <c r="K68" s="103">
        <f>SUM('[3]ncr-SAOB'!AF51)</f>
        <v>0</v>
      </c>
      <c r="L68" s="103">
        <f>SUM('[3]ncr-SAOB'!AF143)</f>
        <v>0</v>
      </c>
      <c r="M68" s="103">
        <f>SUM(J68:L68)</f>
        <v>4845712.6399999997</v>
      </c>
      <c r="N68" s="103">
        <f t="shared" si="24"/>
        <v>589901.36000000034</v>
      </c>
      <c r="O68" s="103">
        <f t="shared" si="24"/>
        <v>0</v>
      </c>
      <c r="P68" s="103">
        <f t="shared" si="24"/>
        <v>0</v>
      </c>
      <c r="Q68" s="103">
        <f t="shared" si="19"/>
        <v>589901.36000000034</v>
      </c>
      <c r="R68" s="95">
        <f>Q68-'[3]ncr-SAOB'!AF179</f>
        <v>0</v>
      </c>
      <c r="S68" s="730">
        <f t="shared" si="8"/>
        <v>0.89147475151841171</v>
      </c>
      <c r="T68" s="730" t="str">
        <f t="shared" si="8"/>
        <v/>
      </c>
      <c r="U68" s="730" t="str">
        <f t="shared" si="8"/>
        <v/>
      </c>
      <c r="V68" s="730">
        <f t="shared" si="8"/>
        <v>0.89147475151841171</v>
      </c>
      <c r="W68" s="531"/>
      <c r="X68" s="236"/>
      <c r="Y68" s="236" t="s">
        <v>598</v>
      </c>
      <c r="Z68" s="236"/>
    </row>
    <row r="69" spans="1:26" s="272" customFormat="1" ht="11.25" customHeight="1">
      <c r="A69" s="528" t="s">
        <v>102</v>
      </c>
      <c r="B69" s="528" t="s">
        <v>104</v>
      </c>
      <c r="C69" s="389"/>
      <c r="D69" s="650" t="s">
        <v>98</v>
      </c>
      <c r="E69" s="390" t="s">
        <v>100</v>
      </c>
      <c r="F69" s="391">
        <f t="shared" ref="F69:M69" si="27">SUM(F70:F74)</f>
        <v>1361625</v>
      </c>
      <c r="G69" s="391">
        <f t="shared" si="27"/>
        <v>7450000</v>
      </c>
      <c r="H69" s="391">
        <f t="shared" si="27"/>
        <v>0</v>
      </c>
      <c r="I69" s="391">
        <f t="shared" si="27"/>
        <v>8811625</v>
      </c>
      <c r="J69" s="391">
        <f t="shared" si="27"/>
        <v>1356625</v>
      </c>
      <c r="K69" s="391">
        <f t="shared" si="27"/>
        <v>7439032.3300000001</v>
      </c>
      <c r="L69" s="391">
        <f t="shared" si="27"/>
        <v>0</v>
      </c>
      <c r="M69" s="391">
        <f t="shared" si="27"/>
        <v>8795657.3300000001</v>
      </c>
      <c r="N69" s="391">
        <f t="shared" si="24"/>
        <v>5000</v>
      </c>
      <c r="O69" s="391">
        <f t="shared" si="24"/>
        <v>10967.669999999925</v>
      </c>
      <c r="P69" s="391">
        <f t="shared" si="24"/>
        <v>0</v>
      </c>
      <c r="Q69" s="391">
        <f t="shared" si="19"/>
        <v>15967.669999999925</v>
      </c>
      <c r="R69" s="102"/>
      <c r="S69" s="254">
        <f t="shared" si="8"/>
        <v>0.99632791701092449</v>
      </c>
      <c r="T69" s="254">
        <f t="shared" si="8"/>
        <v>0.99852782953020136</v>
      </c>
      <c r="U69" s="254" t="str">
        <f t="shared" si="8"/>
        <v/>
      </c>
      <c r="V69" s="254">
        <f t="shared" si="8"/>
        <v>0.99818788588937912</v>
      </c>
      <c r="W69" s="531"/>
      <c r="Y69" s="272" t="s">
        <v>598</v>
      </c>
      <c r="Z69" s="256" t="s">
        <v>598</v>
      </c>
    </row>
    <row r="70" spans="1:26" ht="11.25" customHeight="1">
      <c r="A70" s="528" t="s">
        <v>102</v>
      </c>
      <c r="B70" s="1013" t="s">
        <v>104</v>
      </c>
      <c r="C70" s="728"/>
      <c r="D70" s="649" t="s">
        <v>288</v>
      </c>
      <c r="E70" s="729" t="s">
        <v>288</v>
      </c>
      <c r="F70" s="103">
        <f>SUM('[3]ncr-SAOB'!AL14)</f>
        <v>81625</v>
      </c>
      <c r="G70" s="103">
        <f>SUM('[3]ncr-SAOB'!AL50)</f>
        <v>0</v>
      </c>
      <c r="H70" s="103">
        <f>SUM('[3]ncr-SAOB'!AL142)</f>
        <v>0</v>
      </c>
      <c r="I70" s="103">
        <f>SUM(F70:H70)</f>
        <v>81625</v>
      </c>
      <c r="J70" s="103">
        <f>SUM('[3]ncr-SAOB'!AL15)</f>
        <v>81625</v>
      </c>
      <c r="K70" s="103">
        <f>SUM('[3]ncr-SAOB'!AL51)</f>
        <v>0</v>
      </c>
      <c r="L70" s="103">
        <f>SUM('[3]ncr-SAOB'!AL143)</f>
        <v>0</v>
      </c>
      <c r="M70" s="103">
        <f>SUM(J70:L70)</f>
        <v>81625</v>
      </c>
      <c r="N70" s="103">
        <f t="shared" si="24"/>
        <v>0</v>
      </c>
      <c r="O70" s="103">
        <f t="shared" si="24"/>
        <v>0</v>
      </c>
      <c r="P70" s="103">
        <f t="shared" si="24"/>
        <v>0</v>
      </c>
      <c r="Q70" s="103">
        <f t="shared" si="19"/>
        <v>0</v>
      </c>
      <c r="R70" s="95">
        <f>Q70-'[3]ncr-SAOB'!AL179</f>
        <v>0</v>
      </c>
      <c r="S70" s="730">
        <f t="shared" si="8"/>
        <v>1</v>
      </c>
      <c r="T70" s="730" t="str">
        <f t="shared" si="8"/>
        <v/>
      </c>
      <c r="U70" s="730" t="str">
        <f t="shared" si="8"/>
        <v/>
      </c>
      <c r="V70" s="730">
        <f t="shared" si="8"/>
        <v>1</v>
      </c>
      <c r="W70" s="531"/>
      <c r="X70" s="236"/>
      <c r="Y70" s="236" t="s">
        <v>598</v>
      </c>
      <c r="Z70" s="236"/>
    </row>
    <row r="71" spans="1:26" ht="11.25" customHeight="1">
      <c r="A71" s="528" t="s">
        <v>102</v>
      </c>
      <c r="B71" s="1013" t="s">
        <v>104</v>
      </c>
      <c r="C71" s="728"/>
      <c r="D71" s="649" t="s">
        <v>761</v>
      </c>
      <c r="E71" s="729" t="s">
        <v>761</v>
      </c>
      <c r="F71" s="103">
        <f>+'[3]ncr-SAOB'!C401</f>
        <v>1280000</v>
      </c>
      <c r="G71" s="103"/>
      <c r="H71" s="103"/>
      <c r="I71" s="103">
        <f>SUM(F71:H71)</f>
        <v>1280000</v>
      </c>
      <c r="J71" s="103">
        <f>+'[3]ncr-SAOB'!G401</f>
        <v>1275000</v>
      </c>
      <c r="K71" s="103"/>
      <c r="L71" s="103"/>
      <c r="M71" s="103">
        <f>SUM(J71:L71)</f>
        <v>1275000</v>
      </c>
      <c r="N71" s="103">
        <f>+F71-J71</f>
        <v>5000</v>
      </c>
      <c r="O71" s="103">
        <f>+G71-K71</f>
        <v>0</v>
      </c>
      <c r="P71" s="103">
        <f>+H71-L71</f>
        <v>0</v>
      </c>
      <c r="Q71" s="103">
        <f>SUM(N71:P71)</f>
        <v>5000</v>
      </c>
      <c r="S71" s="730">
        <f t="shared" si="8"/>
        <v>0.99609375</v>
      </c>
      <c r="T71" s="730" t="str">
        <f t="shared" si="8"/>
        <v/>
      </c>
      <c r="U71" s="730" t="str">
        <f t="shared" si="8"/>
        <v/>
      </c>
      <c r="V71" s="730">
        <f t="shared" si="8"/>
        <v>0.99609375</v>
      </c>
      <c r="W71" s="531"/>
      <c r="X71" s="236"/>
      <c r="Y71" s="236" t="s">
        <v>688</v>
      </c>
      <c r="Z71" s="236"/>
    </row>
    <row r="72" spans="1:26" ht="11.25" customHeight="1">
      <c r="A72" s="528" t="s">
        <v>102</v>
      </c>
      <c r="B72" s="1013" t="s">
        <v>104</v>
      </c>
      <c r="C72" s="411"/>
      <c r="D72" s="647"/>
      <c r="E72" s="1014"/>
      <c r="F72" s="104"/>
      <c r="G72" s="104"/>
      <c r="H72" s="104"/>
      <c r="I72" s="103"/>
      <c r="J72" s="104"/>
      <c r="K72" s="104"/>
      <c r="L72" s="104"/>
      <c r="M72" s="103"/>
      <c r="N72" s="103"/>
      <c r="O72" s="103"/>
      <c r="P72" s="103"/>
      <c r="Q72" s="103"/>
      <c r="S72" s="730" t="str">
        <f t="shared" si="8"/>
        <v/>
      </c>
      <c r="T72" s="730" t="str">
        <f t="shared" si="8"/>
        <v/>
      </c>
      <c r="U72" s="730" t="str">
        <f t="shared" si="8"/>
        <v/>
      </c>
      <c r="V72" s="730" t="str">
        <f t="shared" si="8"/>
        <v/>
      </c>
      <c r="W72" s="531"/>
      <c r="X72" s="236"/>
      <c r="Y72" s="236" t="s">
        <v>688</v>
      </c>
      <c r="Z72" s="240"/>
    </row>
    <row r="73" spans="1:26" ht="11.25" customHeight="1">
      <c r="A73" s="528" t="s">
        <v>102</v>
      </c>
      <c r="B73" s="1013" t="s">
        <v>104</v>
      </c>
      <c r="C73" s="728"/>
      <c r="D73" s="649" t="s">
        <v>289</v>
      </c>
      <c r="E73" s="729" t="s">
        <v>289</v>
      </c>
      <c r="F73" s="103">
        <f>SUM('[3]ncr-SAOB'!AR14)</f>
        <v>0</v>
      </c>
      <c r="G73" s="103">
        <f>SUM('[3]ncr-SAOB'!AR50)</f>
        <v>0</v>
      </c>
      <c r="H73" s="103">
        <f>SUM('[3]ncr-SAOB'!AR142)</f>
        <v>0</v>
      </c>
      <c r="I73" s="103">
        <f>SUM(F73:H73)</f>
        <v>0</v>
      </c>
      <c r="J73" s="103">
        <f>SUM('[3]ncr-SAOB'!AR15)</f>
        <v>0</v>
      </c>
      <c r="K73" s="103">
        <f>SUM('[3]ncr-SAOB'!AR51)</f>
        <v>0</v>
      </c>
      <c r="L73" s="103">
        <f>SUM('[3]ncr-SAOB'!AR143)</f>
        <v>0</v>
      </c>
      <c r="M73" s="103">
        <f>SUM(J73:L73)</f>
        <v>0</v>
      </c>
      <c r="N73" s="103">
        <f t="shared" si="24"/>
        <v>0</v>
      </c>
      <c r="O73" s="103">
        <f t="shared" si="24"/>
        <v>0</v>
      </c>
      <c r="P73" s="103">
        <f t="shared" si="24"/>
        <v>0</v>
      </c>
      <c r="Q73" s="103">
        <f t="shared" si="19"/>
        <v>0</v>
      </c>
      <c r="R73" s="95">
        <f>Q73-'[3]ncr-SAOB'!AR179</f>
        <v>0</v>
      </c>
      <c r="S73" s="730" t="str">
        <f t="shared" si="8"/>
        <v/>
      </c>
      <c r="T73" s="730" t="str">
        <f t="shared" si="8"/>
        <v/>
      </c>
      <c r="U73" s="730" t="str">
        <f t="shared" si="8"/>
        <v/>
      </c>
      <c r="V73" s="730" t="str">
        <f t="shared" si="8"/>
        <v/>
      </c>
      <c r="W73" s="531"/>
      <c r="X73" s="236"/>
      <c r="Y73" s="236" t="s">
        <v>598</v>
      </c>
      <c r="Z73" s="236"/>
    </row>
    <row r="74" spans="1:26" ht="11.25" customHeight="1">
      <c r="A74" s="528" t="s">
        <v>102</v>
      </c>
      <c r="B74" s="1013" t="s">
        <v>104</v>
      </c>
      <c r="C74" s="728"/>
      <c r="D74" s="649" t="s">
        <v>290</v>
      </c>
      <c r="E74" s="729" t="s">
        <v>290</v>
      </c>
      <c r="F74" s="103">
        <f>SUM('[3]ncr-SAOB'!AX14)</f>
        <v>0</v>
      </c>
      <c r="G74" s="103">
        <f>SUM('[3]ncr-SAOB'!AX50)</f>
        <v>7450000</v>
      </c>
      <c r="H74" s="103">
        <f>SUM('[3]ncr-SAOB'!AX142)</f>
        <v>0</v>
      </c>
      <c r="I74" s="103">
        <f>SUM(F74:H74)</f>
        <v>7450000</v>
      </c>
      <c r="J74" s="103">
        <f>SUM('[3]ncr-SAOB'!AX15)</f>
        <v>0</v>
      </c>
      <c r="K74" s="103">
        <f>SUM('[3]ncr-SAOB'!AX51)</f>
        <v>7439032.3300000001</v>
      </c>
      <c r="L74" s="103">
        <f>SUM('[3]ncr-SAOB'!AX143)</f>
        <v>0</v>
      </c>
      <c r="M74" s="103">
        <f>SUM(J74:L74)</f>
        <v>7439032.3300000001</v>
      </c>
      <c r="N74" s="103">
        <f t="shared" si="24"/>
        <v>0</v>
      </c>
      <c r="O74" s="103">
        <f t="shared" si="24"/>
        <v>10967.669999999925</v>
      </c>
      <c r="P74" s="103">
        <f t="shared" si="24"/>
        <v>0</v>
      </c>
      <c r="Q74" s="103">
        <f t="shared" si="19"/>
        <v>10967.669999999925</v>
      </c>
      <c r="R74" s="95">
        <f>Q74-'[3]ncr-SAOB'!AX179</f>
        <v>0</v>
      </c>
      <c r="S74" s="730" t="str">
        <f t="shared" si="8"/>
        <v/>
      </c>
      <c r="T74" s="730">
        <f t="shared" si="8"/>
        <v>0.99852782953020136</v>
      </c>
      <c r="U74" s="730" t="str">
        <f t="shared" si="8"/>
        <v/>
      </c>
      <c r="V74" s="730">
        <f t="shared" si="8"/>
        <v>0.99852782953020136</v>
      </c>
      <c r="W74" s="531"/>
      <c r="X74" s="236"/>
      <c r="Y74" s="236" t="s">
        <v>598</v>
      </c>
      <c r="Z74" s="236"/>
    </row>
    <row r="75" spans="1:26" s="259" customFormat="1" ht="11.25" customHeight="1">
      <c r="A75" s="246" t="s">
        <v>102</v>
      </c>
      <c r="B75" s="235" t="s">
        <v>104</v>
      </c>
      <c r="C75" s="656"/>
      <c r="D75" s="656"/>
      <c r="E75" s="657" t="s">
        <v>4</v>
      </c>
      <c r="F75" s="652">
        <f>+F65+F67+F69</f>
        <v>65979239</v>
      </c>
      <c r="G75" s="652">
        <f t="shared" ref="G75:M75" si="28">+G65+G67+G69</f>
        <v>50887000</v>
      </c>
      <c r="H75" s="652">
        <f t="shared" si="28"/>
        <v>11000000</v>
      </c>
      <c r="I75" s="652">
        <f t="shared" si="28"/>
        <v>127866239</v>
      </c>
      <c r="J75" s="652">
        <f t="shared" si="28"/>
        <v>60055190.949999996</v>
      </c>
      <c r="K75" s="652">
        <f t="shared" si="28"/>
        <v>46722114.840000004</v>
      </c>
      <c r="L75" s="652">
        <f t="shared" si="28"/>
        <v>10979529.48</v>
      </c>
      <c r="M75" s="652">
        <f t="shared" si="28"/>
        <v>117756835.27</v>
      </c>
      <c r="N75" s="652">
        <f t="shared" si="24"/>
        <v>5924048.0500000045</v>
      </c>
      <c r="O75" s="652">
        <f t="shared" si="24"/>
        <v>4164885.1599999964</v>
      </c>
      <c r="P75" s="652">
        <f t="shared" si="24"/>
        <v>20470.519999999553</v>
      </c>
      <c r="Q75" s="652">
        <f t="shared" si="19"/>
        <v>10109403.73</v>
      </c>
      <c r="R75" s="653">
        <f>+Q75-'[3]ncr-SAOB'!BZ179</f>
        <v>0</v>
      </c>
      <c r="S75" s="1008">
        <f t="shared" si="8"/>
        <v>0.91021345290144973</v>
      </c>
      <c r="T75" s="1008">
        <f t="shared" si="8"/>
        <v>0.91815424057224837</v>
      </c>
      <c r="U75" s="1008">
        <f t="shared" si="8"/>
        <v>0.99813904363636363</v>
      </c>
      <c r="V75" s="1008">
        <f t="shared" si="8"/>
        <v>0.92093766259911658</v>
      </c>
      <c r="W75" s="254"/>
      <c r="X75" s="520"/>
      <c r="Y75" s="610" t="s">
        <v>598</v>
      </c>
      <c r="Z75" s="241" t="s">
        <v>598</v>
      </c>
    </row>
    <row r="76" spans="1:26" ht="11.25" customHeight="1">
      <c r="A76" s="246"/>
      <c r="B76" s="235" t="s">
        <v>104</v>
      </c>
      <c r="C76" s="410"/>
      <c r="D76" s="386"/>
      <c r="E76" s="461"/>
      <c r="F76" s="103"/>
      <c r="G76" s="103"/>
      <c r="H76" s="103"/>
      <c r="I76" s="103"/>
      <c r="J76" s="103"/>
      <c r="K76" s="103"/>
      <c r="L76" s="103"/>
      <c r="M76" s="103"/>
      <c r="N76" s="103">
        <f t="shared" si="24"/>
        <v>0</v>
      </c>
      <c r="O76" s="103">
        <f t="shared" si="24"/>
        <v>0</v>
      </c>
      <c r="P76" s="103">
        <f t="shared" si="24"/>
        <v>0</v>
      </c>
      <c r="Q76" s="103">
        <f t="shared" si="19"/>
        <v>0</v>
      </c>
      <c r="S76" s="730" t="str">
        <f t="shared" si="8"/>
        <v/>
      </c>
      <c r="T76" s="730" t="str">
        <f t="shared" si="8"/>
        <v/>
      </c>
      <c r="U76" s="730" t="str">
        <f t="shared" si="8"/>
        <v/>
      </c>
      <c r="V76" s="730" t="str">
        <f t="shared" si="8"/>
        <v/>
      </c>
      <c r="W76" s="254"/>
      <c r="Y76" s="610" t="s">
        <v>598</v>
      </c>
      <c r="Z76" s="241" t="s">
        <v>598</v>
      </c>
    </row>
    <row r="77" spans="1:26" s="675" customFormat="1" ht="11.25" customHeight="1">
      <c r="A77" s="528" t="s">
        <v>102</v>
      </c>
      <c r="B77" s="528" t="s">
        <v>106</v>
      </c>
      <c r="C77" s="407" t="s">
        <v>98</v>
      </c>
      <c r="D77" s="655" t="s">
        <v>107</v>
      </c>
      <c r="E77" s="408" t="s">
        <v>779</v>
      </c>
      <c r="F77" s="674"/>
      <c r="G77" s="674"/>
      <c r="H77" s="674"/>
      <c r="I77" s="674">
        <f>SUM(F77:H77)</f>
        <v>0</v>
      </c>
      <c r="J77" s="674"/>
      <c r="K77" s="674"/>
      <c r="L77" s="674"/>
      <c r="M77" s="674">
        <f>SUM(J77:L77)</f>
        <v>0</v>
      </c>
      <c r="N77" s="674">
        <f t="shared" si="24"/>
        <v>0</v>
      </c>
      <c r="O77" s="674">
        <f t="shared" si="24"/>
        <v>0</v>
      </c>
      <c r="P77" s="674">
        <f t="shared" si="24"/>
        <v>0</v>
      </c>
      <c r="Q77" s="674">
        <f t="shared" si="19"/>
        <v>0</v>
      </c>
      <c r="R77" s="101"/>
      <c r="S77" s="254" t="str">
        <f t="shared" si="8"/>
        <v/>
      </c>
      <c r="T77" s="254" t="str">
        <f t="shared" si="8"/>
        <v/>
      </c>
      <c r="U77" s="254" t="str">
        <f t="shared" si="8"/>
        <v/>
      </c>
      <c r="V77" s="254" t="str">
        <f t="shared" si="8"/>
        <v/>
      </c>
      <c r="W77" s="531"/>
      <c r="Y77" s="272" t="s">
        <v>598</v>
      </c>
      <c r="Z77" s="260" t="s">
        <v>598</v>
      </c>
    </row>
    <row r="78" spans="1:26" ht="11.25" customHeight="1">
      <c r="A78" s="528" t="s">
        <v>102</v>
      </c>
      <c r="B78" s="1013" t="s">
        <v>106</v>
      </c>
      <c r="C78" s="461"/>
      <c r="D78" s="645" t="s">
        <v>766</v>
      </c>
      <c r="E78" s="447" t="s">
        <v>766</v>
      </c>
      <c r="F78" s="103">
        <f>+'[3]ncr-SAOB'!C392</f>
        <v>47596000</v>
      </c>
      <c r="G78" s="103">
        <f>+'[3]ncr-SAOB'!D392</f>
        <v>18954000</v>
      </c>
      <c r="H78" s="103">
        <f>+'[3]ncr-SAOB'!E392</f>
        <v>0</v>
      </c>
      <c r="I78" s="103">
        <f>SUM(F78:H78)</f>
        <v>66550000</v>
      </c>
      <c r="J78" s="103">
        <f>+'[3]ncr-SAOB'!G392</f>
        <v>44594024.159999996</v>
      </c>
      <c r="K78" s="103">
        <f>+'[3]ncr-SAOB'!H392</f>
        <v>15147857.899999999</v>
      </c>
      <c r="L78" s="103">
        <f>+'[3]ncr-SAOB'!I392</f>
        <v>0</v>
      </c>
      <c r="M78" s="103">
        <f>SUM(J78:L78)</f>
        <v>59741882.059999995</v>
      </c>
      <c r="N78" s="103">
        <f t="shared" si="24"/>
        <v>3001975.8400000036</v>
      </c>
      <c r="O78" s="103">
        <f t="shared" si="24"/>
        <v>3806142.1000000015</v>
      </c>
      <c r="P78" s="103">
        <f t="shared" si="24"/>
        <v>0</v>
      </c>
      <c r="Q78" s="103">
        <f t="shared" si="19"/>
        <v>6808117.9400000051</v>
      </c>
      <c r="R78" s="95">
        <f>Q78-'[3]ncr-SAOB'!G179</f>
        <v>0</v>
      </c>
      <c r="S78" s="730">
        <f t="shared" si="8"/>
        <v>0.93692798050256321</v>
      </c>
      <c r="T78" s="730">
        <f t="shared" si="8"/>
        <v>0.79919056135907984</v>
      </c>
      <c r="U78" s="730" t="str">
        <f t="shared" si="8"/>
        <v/>
      </c>
      <c r="V78" s="730">
        <f t="shared" si="8"/>
        <v>0.89769920450788876</v>
      </c>
      <c r="W78" s="658"/>
      <c r="X78" s="236"/>
      <c r="Y78" s="236" t="s">
        <v>688</v>
      </c>
      <c r="Z78" s="236"/>
    </row>
    <row r="79" spans="1:26" ht="11.25" customHeight="1">
      <c r="A79" s="528" t="s">
        <v>102</v>
      </c>
      <c r="B79" s="1013" t="s">
        <v>106</v>
      </c>
      <c r="C79" s="728"/>
      <c r="D79" s="649" t="s">
        <v>50</v>
      </c>
      <c r="E79" s="447" t="s">
        <v>50</v>
      </c>
      <c r="F79" s="103"/>
      <c r="G79" s="103">
        <f>+'[3]ncr-SAOB'!D394</f>
        <v>15936000</v>
      </c>
      <c r="H79" s="103">
        <f>+'[3]ncr-SAOB'!E394</f>
        <v>18000000</v>
      </c>
      <c r="I79" s="103">
        <f>SUM(F79:H79)</f>
        <v>33936000</v>
      </c>
      <c r="J79" s="103"/>
      <c r="K79" s="103">
        <f>+'[3]ncr-SAOB'!H394</f>
        <v>10581541.210000001</v>
      </c>
      <c r="L79" s="103">
        <f>+'[3]ncr-SAOB'!I394</f>
        <v>15986180.65</v>
      </c>
      <c r="M79" s="103">
        <f>SUM(J79:L79)</f>
        <v>26567721.859999999</v>
      </c>
      <c r="N79" s="103">
        <f t="shared" si="24"/>
        <v>0</v>
      </c>
      <c r="O79" s="103">
        <f t="shared" si="24"/>
        <v>5354458.7899999991</v>
      </c>
      <c r="P79" s="103">
        <f t="shared" si="24"/>
        <v>2013819.3499999996</v>
      </c>
      <c r="Q79" s="103">
        <f t="shared" si="19"/>
        <v>7368278.1399999987</v>
      </c>
      <c r="R79" s="95">
        <f>Q79-'[3]ncr-SAOB'!Y179+Q86</f>
        <v>1.862645149230957E-9</v>
      </c>
      <c r="S79" s="730" t="str">
        <f t="shared" si="8"/>
        <v/>
      </c>
      <c r="T79" s="730">
        <f t="shared" si="8"/>
        <v>0.6640023349648595</v>
      </c>
      <c r="U79" s="730">
        <f t="shared" si="8"/>
        <v>0.88812114722222224</v>
      </c>
      <c r="V79" s="730">
        <f t="shared" si="8"/>
        <v>0.78287723538425269</v>
      </c>
      <c r="W79" s="531"/>
      <c r="X79" s="236"/>
      <c r="Y79" s="236" t="s">
        <v>688</v>
      </c>
      <c r="Z79" s="236"/>
    </row>
    <row r="80" spans="1:26" s="256" customFormat="1" ht="11.25" customHeight="1">
      <c r="A80" s="528" t="s">
        <v>102</v>
      </c>
      <c r="B80" s="528" t="s">
        <v>106</v>
      </c>
      <c r="C80" s="389"/>
      <c r="D80" s="650" t="s">
        <v>98</v>
      </c>
      <c r="E80" s="390" t="s">
        <v>767</v>
      </c>
      <c r="F80" s="391">
        <f>+F78+F79</f>
        <v>47596000</v>
      </c>
      <c r="G80" s="391">
        <f t="shared" ref="G80:M80" si="29">+G78+G79</f>
        <v>34890000</v>
      </c>
      <c r="H80" s="391">
        <f t="shared" si="29"/>
        <v>18000000</v>
      </c>
      <c r="I80" s="391">
        <f t="shared" si="29"/>
        <v>100486000</v>
      </c>
      <c r="J80" s="391">
        <f t="shared" si="29"/>
        <v>44594024.159999996</v>
      </c>
      <c r="K80" s="391">
        <f t="shared" si="29"/>
        <v>25729399.109999999</v>
      </c>
      <c r="L80" s="391">
        <f t="shared" si="29"/>
        <v>15986180.65</v>
      </c>
      <c r="M80" s="391">
        <f t="shared" si="29"/>
        <v>86309603.919999987</v>
      </c>
      <c r="N80" s="391">
        <f t="shared" si="24"/>
        <v>3001975.8400000036</v>
      </c>
      <c r="O80" s="391">
        <f t="shared" si="24"/>
        <v>9160600.8900000006</v>
      </c>
      <c r="P80" s="391">
        <f t="shared" si="24"/>
        <v>2013819.3499999996</v>
      </c>
      <c r="Q80" s="391">
        <f t="shared" si="19"/>
        <v>14176396.080000004</v>
      </c>
      <c r="R80" s="101"/>
      <c r="S80" s="254">
        <f t="shared" si="8"/>
        <v>0.93692798050256321</v>
      </c>
      <c r="T80" s="254">
        <f t="shared" si="8"/>
        <v>0.73744336801375754</v>
      </c>
      <c r="U80" s="254">
        <f t="shared" si="8"/>
        <v>0.88812114722222224</v>
      </c>
      <c r="V80" s="254">
        <f t="shared" si="8"/>
        <v>0.85892167983599688</v>
      </c>
      <c r="W80" s="531"/>
      <c r="Y80" s="256" t="s">
        <v>598</v>
      </c>
      <c r="Z80" s="256" t="s">
        <v>598</v>
      </c>
    </row>
    <row r="81" spans="1:26" ht="11.25" hidden="1" customHeight="1">
      <c r="A81" s="528" t="s">
        <v>102</v>
      </c>
      <c r="B81" s="1013" t="s">
        <v>106</v>
      </c>
      <c r="C81" s="410"/>
      <c r="D81" s="651"/>
      <c r="E81" s="806"/>
      <c r="F81" s="807"/>
      <c r="G81" s="807"/>
      <c r="H81" s="807"/>
      <c r="I81" s="807"/>
      <c r="J81" s="807"/>
      <c r="K81" s="807"/>
      <c r="L81" s="807"/>
      <c r="M81" s="807"/>
      <c r="N81" s="807">
        <f t="shared" si="24"/>
        <v>0</v>
      </c>
      <c r="O81" s="807">
        <f t="shared" si="24"/>
        <v>0</v>
      </c>
      <c r="P81" s="807">
        <f t="shared" si="24"/>
        <v>0</v>
      </c>
      <c r="Q81" s="807">
        <f t="shared" si="19"/>
        <v>0</v>
      </c>
      <c r="R81" s="276"/>
      <c r="S81" s="730" t="str">
        <f t="shared" si="8"/>
        <v/>
      </c>
      <c r="T81" s="730" t="str">
        <f t="shared" si="8"/>
        <v/>
      </c>
      <c r="U81" s="730" t="str">
        <f t="shared" si="8"/>
        <v/>
      </c>
      <c r="V81" s="730" t="str">
        <f t="shared" si="8"/>
        <v/>
      </c>
      <c r="W81" s="531"/>
      <c r="X81" s="236"/>
      <c r="Y81" s="236"/>
      <c r="Z81" s="236"/>
    </row>
    <row r="82" spans="1:26" s="256" customFormat="1" ht="11.25" customHeight="1">
      <c r="A82" s="528" t="s">
        <v>102</v>
      </c>
      <c r="B82" s="528" t="s">
        <v>106</v>
      </c>
      <c r="C82" s="389"/>
      <c r="D82" s="650" t="s">
        <v>98</v>
      </c>
      <c r="E82" s="390" t="s">
        <v>99</v>
      </c>
      <c r="F82" s="391">
        <f>+F83</f>
        <v>4391000</v>
      </c>
      <c r="G82" s="391">
        <f t="shared" ref="G82:M82" si="30">+G83</f>
        <v>0</v>
      </c>
      <c r="H82" s="391">
        <f t="shared" si="30"/>
        <v>0</v>
      </c>
      <c r="I82" s="391">
        <f t="shared" si="30"/>
        <v>4391000</v>
      </c>
      <c r="J82" s="391">
        <f t="shared" si="30"/>
        <v>3998969.1</v>
      </c>
      <c r="K82" s="391">
        <f t="shared" si="30"/>
        <v>0</v>
      </c>
      <c r="L82" s="391">
        <f t="shared" si="30"/>
        <v>0</v>
      </c>
      <c r="M82" s="391">
        <f t="shared" si="30"/>
        <v>3998969.1</v>
      </c>
      <c r="N82" s="391">
        <f t="shared" si="24"/>
        <v>392030.89999999991</v>
      </c>
      <c r="O82" s="391">
        <f t="shared" si="24"/>
        <v>0</v>
      </c>
      <c r="P82" s="391">
        <f t="shared" si="24"/>
        <v>0</v>
      </c>
      <c r="Q82" s="391">
        <f t="shared" si="19"/>
        <v>392030.89999999991</v>
      </c>
      <c r="R82" s="101"/>
      <c r="S82" s="254">
        <f t="shared" si="8"/>
        <v>0.91071944887269418</v>
      </c>
      <c r="T82" s="254" t="str">
        <f t="shared" si="8"/>
        <v/>
      </c>
      <c r="U82" s="254" t="str">
        <f t="shared" si="8"/>
        <v/>
      </c>
      <c r="V82" s="254">
        <f t="shared" si="8"/>
        <v>0.91071944887269418</v>
      </c>
      <c r="W82" s="531"/>
      <c r="Y82" s="256" t="s">
        <v>598</v>
      </c>
      <c r="Z82" s="256" t="s">
        <v>598</v>
      </c>
    </row>
    <row r="83" spans="1:26" ht="11.25" customHeight="1">
      <c r="A83" s="528" t="s">
        <v>102</v>
      </c>
      <c r="B83" s="1013" t="s">
        <v>106</v>
      </c>
      <c r="C83" s="728"/>
      <c r="D83" s="649" t="s">
        <v>286</v>
      </c>
      <c r="E83" s="729" t="s">
        <v>286</v>
      </c>
      <c r="F83" s="103">
        <f>SUM('[3]ncr-SAOB'!AE14)</f>
        <v>4391000</v>
      </c>
      <c r="G83" s="103">
        <f>SUM('[3]ncr-SAOB'!AE50)</f>
        <v>0</v>
      </c>
      <c r="H83" s="103">
        <f>SUM('[3]ncr-SAOB'!AE142)</f>
        <v>0</v>
      </c>
      <c r="I83" s="103">
        <f>SUM(F83:H83)</f>
        <v>4391000</v>
      </c>
      <c r="J83" s="103">
        <f>SUM('[3]ncr-SAOB'!AE15)</f>
        <v>3998969.1</v>
      </c>
      <c r="K83" s="103">
        <f>SUM('[3]ncr-SAOB'!AE51)</f>
        <v>0</v>
      </c>
      <c r="L83" s="103">
        <f>SUM('[3]ncr-SAOB'!AE143)</f>
        <v>0</v>
      </c>
      <c r="M83" s="103">
        <f>SUM(J83:L83)</f>
        <v>3998969.1</v>
      </c>
      <c r="N83" s="103">
        <f t="shared" si="24"/>
        <v>392030.89999999991</v>
      </c>
      <c r="O83" s="103">
        <f t="shared" si="24"/>
        <v>0</v>
      </c>
      <c r="P83" s="103">
        <f t="shared" si="24"/>
        <v>0</v>
      </c>
      <c r="Q83" s="103">
        <f t="shared" si="19"/>
        <v>392030.89999999991</v>
      </c>
      <c r="S83" s="730">
        <f t="shared" si="8"/>
        <v>0.91071944887269418</v>
      </c>
      <c r="T83" s="730" t="str">
        <f t="shared" si="8"/>
        <v/>
      </c>
      <c r="U83" s="730" t="str">
        <f t="shared" si="8"/>
        <v/>
      </c>
      <c r="V83" s="730">
        <f t="shared" si="8"/>
        <v>0.91071944887269418</v>
      </c>
      <c r="W83" s="531"/>
      <c r="X83" s="236"/>
      <c r="Y83" s="236" t="s">
        <v>598</v>
      </c>
      <c r="Z83" s="236"/>
    </row>
    <row r="84" spans="1:26" s="272" customFormat="1" ht="11.25" customHeight="1">
      <c r="A84" s="528" t="s">
        <v>102</v>
      </c>
      <c r="B84" s="528" t="s">
        <v>106</v>
      </c>
      <c r="C84" s="389"/>
      <c r="D84" s="650" t="s">
        <v>98</v>
      </c>
      <c r="E84" s="390" t="s">
        <v>100</v>
      </c>
      <c r="F84" s="391">
        <f t="shared" ref="F84:M84" si="31">SUM(F85:F89)</f>
        <v>1095000</v>
      </c>
      <c r="G84" s="391">
        <f t="shared" si="31"/>
        <v>7500000</v>
      </c>
      <c r="H84" s="391">
        <f t="shared" si="31"/>
        <v>0</v>
      </c>
      <c r="I84" s="391">
        <f t="shared" si="31"/>
        <v>8595000</v>
      </c>
      <c r="J84" s="391">
        <f t="shared" si="31"/>
        <v>1095000</v>
      </c>
      <c r="K84" s="391">
        <f t="shared" si="31"/>
        <v>7491120.21</v>
      </c>
      <c r="L84" s="391">
        <f t="shared" si="31"/>
        <v>0</v>
      </c>
      <c r="M84" s="391">
        <f t="shared" si="31"/>
        <v>8586120.2100000009</v>
      </c>
      <c r="N84" s="391">
        <f t="shared" si="24"/>
        <v>0</v>
      </c>
      <c r="O84" s="391">
        <f t="shared" si="24"/>
        <v>8879.7900000000373</v>
      </c>
      <c r="P84" s="391">
        <f t="shared" si="24"/>
        <v>0</v>
      </c>
      <c r="Q84" s="391">
        <f t="shared" si="19"/>
        <v>8879.7900000000373</v>
      </c>
      <c r="R84" s="102"/>
      <c r="S84" s="254">
        <f t="shared" si="8"/>
        <v>1</v>
      </c>
      <c r="T84" s="254">
        <f t="shared" si="8"/>
        <v>0.99881602800000002</v>
      </c>
      <c r="U84" s="254" t="str">
        <f t="shared" si="8"/>
        <v/>
      </c>
      <c r="V84" s="254">
        <f t="shared" si="8"/>
        <v>0.9989668656195464</v>
      </c>
      <c r="W84" s="531"/>
      <c r="Y84" s="272" t="s">
        <v>598</v>
      </c>
      <c r="Z84" s="256" t="s">
        <v>598</v>
      </c>
    </row>
    <row r="85" spans="1:26" ht="11.25" customHeight="1">
      <c r="A85" s="528" t="s">
        <v>102</v>
      </c>
      <c r="B85" s="1013" t="s">
        <v>106</v>
      </c>
      <c r="C85" s="728"/>
      <c r="D85" s="649" t="s">
        <v>288</v>
      </c>
      <c r="E85" s="729" t="s">
        <v>288</v>
      </c>
      <c r="F85" s="103">
        <f>SUM('[3]ncr-SAOB'!AK14)</f>
        <v>0</v>
      </c>
      <c r="G85" s="103">
        <f>SUM('[3]ncr-SAOB'!AK50)</f>
        <v>0</v>
      </c>
      <c r="H85" s="103">
        <f>SUM('[3]ncr-SAOB'!AK142)</f>
        <v>0</v>
      </c>
      <c r="I85" s="103">
        <f>SUM(F85:H85)</f>
        <v>0</v>
      </c>
      <c r="J85" s="103">
        <f>SUM('[3]ncr-SAOB'!AK15)</f>
        <v>0</v>
      </c>
      <c r="K85" s="103">
        <f>SUM('[3]ncr-SAOB'!AK51)</f>
        <v>0</v>
      </c>
      <c r="L85" s="103">
        <f>SUM('[3]ncr-SAOB'!AK143)</f>
        <v>0</v>
      </c>
      <c r="M85" s="103">
        <f>SUM(J85:L85)</f>
        <v>0</v>
      </c>
      <c r="N85" s="103">
        <f t="shared" si="24"/>
        <v>0</v>
      </c>
      <c r="O85" s="103">
        <f t="shared" si="24"/>
        <v>0</v>
      </c>
      <c r="P85" s="103">
        <f t="shared" si="24"/>
        <v>0</v>
      </c>
      <c r="Q85" s="103">
        <f t="shared" si="19"/>
        <v>0</v>
      </c>
      <c r="R85" s="95">
        <f>Q85-'[3]ncr-SAOB'!AK179</f>
        <v>0</v>
      </c>
      <c r="S85" s="730" t="str">
        <f t="shared" si="8"/>
        <v/>
      </c>
      <c r="T85" s="730" t="str">
        <f t="shared" si="8"/>
        <v/>
      </c>
      <c r="U85" s="730" t="str">
        <f t="shared" si="8"/>
        <v/>
      </c>
      <c r="V85" s="730" t="str">
        <f t="shared" si="8"/>
        <v/>
      </c>
      <c r="W85" s="531"/>
      <c r="X85" s="236"/>
      <c r="Y85" s="236" t="s">
        <v>598</v>
      </c>
      <c r="Z85" s="236"/>
    </row>
    <row r="86" spans="1:26" ht="11.25" customHeight="1">
      <c r="A86" s="528" t="s">
        <v>102</v>
      </c>
      <c r="B86" s="1013" t="s">
        <v>106</v>
      </c>
      <c r="C86" s="728"/>
      <c r="D86" s="649" t="s">
        <v>761</v>
      </c>
      <c r="E86" s="729" t="s">
        <v>761</v>
      </c>
      <c r="F86" s="103">
        <f>+'[3]ncr-SAOB'!C394</f>
        <v>1095000</v>
      </c>
      <c r="G86" s="103"/>
      <c r="H86" s="103"/>
      <c r="I86" s="103">
        <f>SUM(F86:H86)</f>
        <v>1095000</v>
      </c>
      <c r="J86" s="103">
        <f>+'[3]ncr-SAOB'!G394</f>
        <v>1095000</v>
      </c>
      <c r="K86" s="103"/>
      <c r="L86" s="103"/>
      <c r="M86" s="103">
        <f>SUM(J86:L86)</f>
        <v>1095000</v>
      </c>
      <c r="N86" s="103">
        <f t="shared" si="24"/>
        <v>0</v>
      </c>
      <c r="O86" s="103">
        <f t="shared" si="24"/>
        <v>0</v>
      </c>
      <c r="P86" s="103">
        <f t="shared" si="24"/>
        <v>0</v>
      </c>
      <c r="Q86" s="103">
        <f t="shared" si="19"/>
        <v>0</v>
      </c>
      <c r="S86" s="730">
        <f t="shared" si="8"/>
        <v>1</v>
      </c>
      <c r="T86" s="730" t="str">
        <f t="shared" si="8"/>
        <v/>
      </c>
      <c r="U86" s="730" t="str">
        <f t="shared" si="8"/>
        <v/>
      </c>
      <c r="V86" s="730">
        <f t="shared" si="8"/>
        <v>1</v>
      </c>
      <c r="W86" s="531"/>
      <c r="X86" s="236"/>
      <c r="Y86" s="236" t="s">
        <v>688</v>
      </c>
      <c r="Z86" s="236"/>
    </row>
    <row r="87" spans="1:26" ht="11.25" customHeight="1">
      <c r="A87" s="528" t="s">
        <v>102</v>
      </c>
      <c r="B87" s="1013" t="s">
        <v>106</v>
      </c>
      <c r="C87" s="411"/>
      <c r="D87" s="647"/>
      <c r="E87" s="1014"/>
      <c r="F87" s="104"/>
      <c r="G87" s="104"/>
      <c r="H87" s="104"/>
      <c r="I87" s="103"/>
      <c r="J87" s="104"/>
      <c r="K87" s="104"/>
      <c r="L87" s="104"/>
      <c r="M87" s="103"/>
      <c r="N87" s="103"/>
      <c r="O87" s="103"/>
      <c r="P87" s="103"/>
      <c r="Q87" s="103"/>
      <c r="S87" s="730" t="str">
        <f t="shared" si="8"/>
        <v/>
      </c>
      <c r="T87" s="730" t="str">
        <f t="shared" si="8"/>
        <v/>
      </c>
      <c r="U87" s="730" t="str">
        <f t="shared" si="8"/>
        <v/>
      </c>
      <c r="V87" s="730" t="str">
        <f t="shared" ref="V87:V150" si="32">IF(I87=0,"",M87/I87)</f>
        <v/>
      </c>
      <c r="W87" s="531"/>
      <c r="X87" s="236"/>
      <c r="Y87" s="236" t="s">
        <v>688</v>
      </c>
      <c r="Z87" s="240"/>
    </row>
    <row r="88" spans="1:26" ht="11.25" customHeight="1">
      <c r="A88" s="528" t="s">
        <v>102</v>
      </c>
      <c r="B88" s="1013" t="s">
        <v>106</v>
      </c>
      <c r="C88" s="728"/>
      <c r="D88" s="649" t="s">
        <v>289</v>
      </c>
      <c r="E88" s="729" t="s">
        <v>289</v>
      </c>
      <c r="F88" s="103">
        <f>SUM('[3]ncr-SAOB'!AQ14)</f>
        <v>0</v>
      </c>
      <c r="G88" s="103">
        <f>SUM('[3]ncr-SAOB'!AQ50)</f>
        <v>0</v>
      </c>
      <c r="H88" s="103">
        <f>SUM('[3]ncr-SAOB'!AQ142)</f>
        <v>0</v>
      </c>
      <c r="I88" s="103">
        <f>SUM(F88:H88)</f>
        <v>0</v>
      </c>
      <c r="J88" s="103">
        <f>SUM('[3]ncr-SAOB'!AQ15)</f>
        <v>0</v>
      </c>
      <c r="K88" s="103">
        <f>SUM('[3]ncr-SAOB'!AQ51)</f>
        <v>0</v>
      </c>
      <c r="L88" s="103">
        <f>SUM('[3]ncr-SAOB'!AQ143)</f>
        <v>0</v>
      </c>
      <c r="M88" s="103">
        <f>SUM(J88:L88)</f>
        <v>0</v>
      </c>
      <c r="N88" s="103">
        <f t="shared" si="24"/>
        <v>0</v>
      </c>
      <c r="O88" s="103">
        <f t="shared" si="24"/>
        <v>0</v>
      </c>
      <c r="P88" s="103">
        <f t="shared" si="24"/>
        <v>0</v>
      </c>
      <c r="Q88" s="103">
        <f t="shared" si="19"/>
        <v>0</v>
      </c>
      <c r="S88" s="730" t="str">
        <f t="shared" ref="S88:V151" si="33">IF(F88=0,"",J88/F88)</f>
        <v/>
      </c>
      <c r="T88" s="730" t="str">
        <f t="shared" si="33"/>
        <v/>
      </c>
      <c r="U88" s="730" t="str">
        <f t="shared" si="33"/>
        <v/>
      </c>
      <c r="V88" s="730" t="str">
        <f t="shared" si="32"/>
        <v/>
      </c>
      <c r="W88" s="531"/>
      <c r="X88" s="236"/>
      <c r="Y88" s="236" t="s">
        <v>598</v>
      </c>
      <c r="Z88" s="236"/>
    </row>
    <row r="89" spans="1:26" ht="11.25" customHeight="1">
      <c r="A89" s="528" t="s">
        <v>102</v>
      </c>
      <c r="B89" s="1013" t="s">
        <v>106</v>
      </c>
      <c r="C89" s="728"/>
      <c r="D89" s="649" t="s">
        <v>290</v>
      </c>
      <c r="E89" s="729" t="s">
        <v>290</v>
      </c>
      <c r="F89" s="103">
        <f>SUM('[3]ncr-SAOB'!AW14)</f>
        <v>0</v>
      </c>
      <c r="G89" s="103">
        <f>SUM('[3]ncr-SAOB'!AW50)</f>
        <v>7500000</v>
      </c>
      <c r="H89" s="103">
        <f>SUM('[3]ncr-SAOB'!AW142)</f>
        <v>0</v>
      </c>
      <c r="I89" s="103">
        <f>SUM(F89:H89)</f>
        <v>7500000</v>
      </c>
      <c r="J89" s="103">
        <f>SUM('[3]ncr-SAOB'!AW15)</f>
        <v>0</v>
      </c>
      <c r="K89" s="103">
        <f>SUM('[3]ncr-SAOB'!AW51)</f>
        <v>7491120.21</v>
      </c>
      <c r="L89" s="103">
        <f>SUM('[3]ncr-SAOB'!AW143)</f>
        <v>0</v>
      </c>
      <c r="M89" s="103">
        <f>SUM(J89:L89)</f>
        <v>7491120.21</v>
      </c>
      <c r="N89" s="103">
        <f t="shared" si="24"/>
        <v>0</v>
      </c>
      <c r="O89" s="103">
        <f t="shared" si="24"/>
        <v>8879.7900000000373</v>
      </c>
      <c r="P89" s="103">
        <f t="shared" si="24"/>
        <v>0</v>
      </c>
      <c r="Q89" s="103">
        <f t="shared" si="19"/>
        <v>8879.7900000000373</v>
      </c>
      <c r="R89" s="95">
        <f>Q89-'[3]ncr-SAOB'!AW179</f>
        <v>0</v>
      </c>
      <c r="S89" s="730" t="str">
        <f t="shared" si="33"/>
        <v/>
      </c>
      <c r="T89" s="730">
        <f t="shared" si="33"/>
        <v>0.99881602800000002</v>
      </c>
      <c r="U89" s="730" t="str">
        <f t="shared" si="33"/>
        <v/>
      </c>
      <c r="V89" s="730">
        <f t="shared" si="32"/>
        <v>0.99881602800000002</v>
      </c>
      <c r="W89" s="531"/>
      <c r="X89" s="236"/>
      <c r="Y89" s="236" t="s">
        <v>598</v>
      </c>
      <c r="Z89" s="236"/>
    </row>
    <row r="90" spans="1:26" s="259" customFormat="1" ht="11.25" customHeight="1">
      <c r="A90" s="246" t="s">
        <v>102</v>
      </c>
      <c r="B90" s="235" t="s">
        <v>106</v>
      </c>
      <c r="C90" s="656"/>
      <c r="D90" s="656"/>
      <c r="E90" s="657" t="s">
        <v>4</v>
      </c>
      <c r="F90" s="652">
        <f>+F80+F82+F84</f>
        <v>53082000</v>
      </c>
      <c r="G90" s="652">
        <f t="shared" ref="G90:M90" si="34">+G80+G82+G84</f>
        <v>42390000</v>
      </c>
      <c r="H90" s="652">
        <f t="shared" si="34"/>
        <v>18000000</v>
      </c>
      <c r="I90" s="652">
        <f t="shared" si="34"/>
        <v>113472000</v>
      </c>
      <c r="J90" s="652">
        <f t="shared" si="34"/>
        <v>49687993.259999998</v>
      </c>
      <c r="K90" s="652">
        <f t="shared" si="34"/>
        <v>33220519.32</v>
      </c>
      <c r="L90" s="652">
        <f t="shared" si="34"/>
        <v>15986180.65</v>
      </c>
      <c r="M90" s="652">
        <f t="shared" si="34"/>
        <v>98894693.229999989</v>
      </c>
      <c r="N90" s="652">
        <f t="shared" si="24"/>
        <v>3394006.7400000021</v>
      </c>
      <c r="O90" s="652">
        <f t="shared" si="24"/>
        <v>9169480.6799999997</v>
      </c>
      <c r="P90" s="652">
        <f t="shared" si="24"/>
        <v>2013819.3499999996</v>
      </c>
      <c r="Q90" s="652">
        <f t="shared" si="19"/>
        <v>14577306.770000001</v>
      </c>
      <c r="R90" s="653">
        <f>+Q90-'[3]ncr-SAOB'!BY179</f>
        <v>0</v>
      </c>
      <c r="S90" s="1008">
        <f t="shared" si="33"/>
        <v>0.93606106137673784</v>
      </c>
      <c r="T90" s="1008">
        <f t="shared" si="33"/>
        <v>0.78368764614295827</v>
      </c>
      <c r="U90" s="1008">
        <f t="shared" si="33"/>
        <v>0.88812114722222224</v>
      </c>
      <c r="V90" s="1008">
        <f t="shared" si="32"/>
        <v>0.871533887038212</v>
      </c>
      <c r="W90" s="254"/>
      <c r="X90" s="520"/>
      <c r="Y90" s="610" t="s">
        <v>598</v>
      </c>
      <c r="Z90" s="241" t="s">
        <v>598</v>
      </c>
    </row>
    <row r="91" spans="1:26" ht="11.25" customHeight="1">
      <c r="A91" s="246" t="s">
        <v>102</v>
      </c>
      <c r="B91" s="235" t="s">
        <v>106</v>
      </c>
      <c r="C91" s="410"/>
      <c r="D91" s="386"/>
      <c r="E91" s="461"/>
      <c r="F91" s="103"/>
      <c r="G91" s="103"/>
      <c r="H91" s="103"/>
      <c r="I91" s="103">
        <f>SUM(F91:H91)</f>
        <v>0</v>
      </c>
      <c r="J91" s="103"/>
      <c r="K91" s="103"/>
      <c r="L91" s="103"/>
      <c r="M91" s="103">
        <f>SUM(J91:L91)</f>
        <v>0</v>
      </c>
      <c r="N91" s="103">
        <f t="shared" si="24"/>
        <v>0</v>
      </c>
      <c r="O91" s="103">
        <f t="shared" si="24"/>
        <v>0</v>
      </c>
      <c r="P91" s="103">
        <f t="shared" si="24"/>
        <v>0</v>
      </c>
      <c r="Q91" s="103">
        <f t="shared" si="19"/>
        <v>0</v>
      </c>
      <c r="S91" s="730" t="str">
        <f t="shared" si="33"/>
        <v/>
      </c>
      <c r="T91" s="730" t="str">
        <f t="shared" si="33"/>
        <v/>
      </c>
      <c r="U91" s="730" t="str">
        <f t="shared" si="33"/>
        <v/>
      </c>
      <c r="V91" s="730" t="str">
        <f t="shared" si="32"/>
        <v/>
      </c>
      <c r="W91" s="254"/>
      <c r="Y91" s="610" t="s">
        <v>598</v>
      </c>
      <c r="Z91" s="241" t="s">
        <v>598</v>
      </c>
    </row>
    <row r="92" spans="1:26" s="675" customFormat="1" ht="11.25" customHeight="1">
      <c r="A92" s="528" t="s">
        <v>102</v>
      </c>
      <c r="B92" s="528" t="s">
        <v>108</v>
      </c>
      <c r="C92" s="407" t="s">
        <v>98</v>
      </c>
      <c r="D92" s="655" t="s">
        <v>109</v>
      </c>
      <c r="E92" s="408" t="s">
        <v>780</v>
      </c>
      <c r="F92" s="674"/>
      <c r="G92" s="674"/>
      <c r="H92" s="674"/>
      <c r="I92" s="674">
        <f>SUM(F92:H92)</f>
        <v>0</v>
      </c>
      <c r="J92" s="674"/>
      <c r="K92" s="674"/>
      <c r="L92" s="674"/>
      <c r="M92" s="674">
        <f>SUM(J92:L92)</f>
        <v>0</v>
      </c>
      <c r="N92" s="674">
        <f t="shared" si="24"/>
        <v>0</v>
      </c>
      <c r="O92" s="674">
        <f t="shared" si="24"/>
        <v>0</v>
      </c>
      <c r="P92" s="674">
        <f t="shared" si="24"/>
        <v>0</v>
      </c>
      <c r="Q92" s="674">
        <f t="shared" si="19"/>
        <v>0</v>
      </c>
      <c r="R92" s="101"/>
      <c r="S92" s="254" t="str">
        <f t="shared" si="33"/>
        <v/>
      </c>
      <c r="T92" s="254" t="str">
        <f t="shared" si="33"/>
        <v/>
      </c>
      <c r="U92" s="254" t="str">
        <f t="shared" si="33"/>
        <v/>
      </c>
      <c r="V92" s="254" t="str">
        <f t="shared" si="32"/>
        <v/>
      </c>
      <c r="W92" s="531"/>
      <c r="Y92" s="272" t="s">
        <v>598</v>
      </c>
      <c r="Z92" s="260" t="s">
        <v>598</v>
      </c>
    </row>
    <row r="93" spans="1:26" ht="11.25" customHeight="1">
      <c r="A93" s="528" t="s">
        <v>102</v>
      </c>
      <c r="B93" s="1013" t="s">
        <v>108</v>
      </c>
      <c r="C93" s="461"/>
      <c r="D93" s="645" t="s">
        <v>766</v>
      </c>
      <c r="E93" s="447" t="s">
        <v>766</v>
      </c>
      <c r="F93" s="103">
        <f>+'[3]ncr-SAOB'!C406</f>
        <v>9103000</v>
      </c>
      <c r="G93" s="103">
        <f>+'[3]ncr-SAOB'!D406</f>
        <v>9635000</v>
      </c>
      <c r="H93" s="103">
        <f>+'[3]ncr-SAOB'!E406</f>
        <v>0</v>
      </c>
      <c r="I93" s="103">
        <f>SUM(F93:H93)</f>
        <v>18738000</v>
      </c>
      <c r="J93" s="103">
        <f>+'[3]ncr-SAOB'!G406</f>
        <v>8496555.0299999993</v>
      </c>
      <c r="K93" s="103">
        <f>+'[3]ncr-SAOB'!H406</f>
        <v>7876985.0599999996</v>
      </c>
      <c r="L93" s="103">
        <f>+'[3]ncr-SAOB'!I406</f>
        <v>0</v>
      </c>
      <c r="M93" s="103">
        <f>SUM(J93:L93)</f>
        <v>16373540.09</v>
      </c>
      <c r="N93" s="103">
        <f t="shared" si="24"/>
        <v>606444.97000000067</v>
      </c>
      <c r="O93" s="103">
        <f t="shared" si="24"/>
        <v>1758014.9400000004</v>
      </c>
      <c r="P93" s="103">
        <f t="shared" si="24"/>
        <v>0</v>
      </c>
      <c r="Q93" s="103">
        <f t="shared" si="19"/>
        <v>2364459.9100000011</v>
      </c>
      <c r="R93" s="95">
        <f>Q93-'[3]ncr-SAOB'!I179</f>
        <v>0</v>
      </c>
      <c r="S93" s="730">
        <f t="shared" si="33"/>
        <v>0.93337965835438863</v>
      </c>
      <c r="T93" s="730">
        <f t="shared" si="33"/>
        <v>0.81753866735858849</v>
      </c>
      <c r="U93" s="730" t="str">
        <f t="shared" si="33"/>
        <v/>
      </c>
      <c r="V93" s="730">
        <f t="shared" si="32"/>
        <v>0.87381471288291168</v>
      </c>
      <c r="W93" s="531"/>
      <c r="X93" s="236"/>
      <c r="Y93" s="236" t="s">
        <v>688</v>
      </c>
      <c r="Z93" s="236"/>
    </row>
    <row r="94" spans="1:26" ht="11.25" customHeight="1">
      <c r="A94" s="528" t="s">
        <v>102</v>
      </c>
      <c r="B94" s="1013" t="s">
        <v>108</v>
      </c>
      <c r="C94" s="728"/>
      <c r="D94" s="649" t="s">
        <v>50</v>
      </c>
      <c r="E94" s="447" t="s">
        <v>50</v>
      </c>
      <c r="F94" s="103"/>
      <c r="G94" s="103">
        <f>+'[3]ncr-SAOB'!D408</f>
        <v>3290000</v>
      </c>
      <c r="H94" s="103">
        <f>+'[3]ncr-SAOB'!E408</f>
        <v>8000000</v>
      </c>
      <c r="I94" s="103">
        <f>SUM(F94:H94)</f>
        <v>11290000</v>
      </c>
      <c r="J94" s="103"/>
      <c r="K94" s="103">
        <f>+'[3]ncr-SAOB'!H408</f>
        <v>2117920.2800000003</v>
      </c>
      <c r="L94" s="103">
        <f>+'[3]ncr-SAOB'!I408</f>
        <v>7892101.29</v>
      </c>
      <c r="M94" s="103">
        <f>SUM(J94:L94)</f>
        <v>10010021.57</v>
      </c>
      <c r="N94" s="103">
        <f t="shared" si="24"/>
        <v>0</v>
      </c>
      <c r="O94" s="103">
        <f t="shared" si="24"/>
        <v>1172079.7199999997</v>
      </c>
      <c r="P94" s="103">
        <f t="shared" si="24"/>
        <v>107898.70999999996</v>
      </c>
      <c r="Q94" s="103">
        <f t="shared" si="19"/>
        <v>1279978.4299999997</v>
      </c>
      <c r="R94" s="95">
        <f>Q94-'[3]ncr-SAOB'!AA179+Q101</f>
        <v>-4.6566128730773926E-10</v>
      </c>
      <c r="S94" s="730" t="str">
        <f t="shared" si="33"/>
        <v/>
      </c>
      <c r="T94" s="730">
        <f t="shared" si="33"/>
        <v>0.6437447659574469</v>
      </c>
      <c r="U94" s="730">
        <f t="shared" si="33"/>
        <v>0.98651266125000003</v>
      </c>
      <c r="V94" s="730">
        <f t="shared" si="32"/>
        <v>0.88662724269264837</v>
      </c>
      <c r="W94" s="531"/>
      <c r="X94" s="236"/>
      <c r="Y94" s="236" t="s">
        <v>688</v>
      </c>
      <c r="Z94" s="236"/>
    </row>
    <row r="95" spans="1:26" s="256" customFormat="1" ht="11.25" customHeight="1">
      <c r="A95" s="528" t="s">
        <v>102</v>
      </c>
      <c r="B95" s="528" t="s">
        <v>108</v>
      </c>
      <c r="C95" s="389"/>
      <c r="D95" s="650" t="s">
        <v>98</v>
      </c>
      <c r="E95" s="390" t="s">
        <v>767</v>
      </c>
      <c r="F95" s="391">
        <f>+F93+F94</f>
        <v>9103000</v>
      </c>
      <c r="G95" s="391">
        <f t="shared" ref="G95:M95" si="35">+G93+G94</f>
        <v>12925000</v>
      </c>
      <c r="H95" s="391">
        <f t="shared" si="35"/>
        <v>8000000</v>
      </c>
      <c r="I95" s="391">
        <f t="shared" si="35"/>
        <v>30028000</v>
      </c>
      <c r="J95" s="391">
        <f t="shared" si="35"/>
        <v>8496555.0299999993</v>
      </c>
      <c r="K95" s="391">
        <f t="shared" si="35"/>
        <v>9994905.3399999999</v>
      </c>
      <c r="L95" s="391">
        <f t="shared" si="35"/>
        <v>7892101.29</v>
      </c>
      <c r="M95" s="391">
        <f t="shared" si="35"/>
        <v>26383561.66</v>
      </c>
      <c r="N95" s="391">
        <f t="shared" si="24"/>
        <v>606444.97000000067</v>
      </c>
      <c r="O95" s="391">
        <f t="shared" si="24"/>
        <v>2930094.66</v>
      </c>
      <c r="P95" s="391">
        <f t="shared" si="24"/>
        <v>107898.70999999996</v>
      </c>
      <c r="Q95" s="391">
        <f t="shared" si="19"/>
        <v>3644438.3400000008</v>
      </c>
      <c r="R95" s="101"/>
      <c r="S95" s="254">
        <f t="shared" si="33"/>
        <v>0.93337965835438863</v>
      </c>
      <c r="T95" s="254">
        <f t="shared" si="33"/>
        <v>0.77330021972920693</v>
      </c>
      <c r="U95" s="254">
        <f t="shared" si="33"/>
        <v>0.98651266125000003</v>
      </c>
      <c r="V95" s="254">
        <f t="shared" si="32"/>
        <v>0.87863199880111897</v>
      </c>
      <c r="W95" s="531"/>
      <c r="Y95" s="256" t="s">
        <v>598</v>
      </c>
      <c r="Z95" s="256" t="s">
        <v>598</v>
      </c>
    </row>
    <row r="96" spans="1:26" ht="11.25" hidden="1" customHeight="1">
      <c r="A96" s="528" t="s">
        <v>102</v>
      </c>
      <c r="B96" s="1013" t="s">
        <v>108</v>
      </c>
      <c r="C96" s="410"/>
      <c r="D96" s="651"/>
      <c r="E96" s="806"/>
      <c r="F96" s="807"/>
      <c r="G96" s="807"/>
      <c r="H96" s="807"/>
      <c r="I96" s="807"/>
      <c r="J96" s="807"/>
      <c r="K96" s="807"/>
      <c r="L96" s="807"/>
      <c r="M96" s="807"/>
      <c r="N96" s="807">
        <f t="shared" si="24"/>
        <v>0</v>
      </c>
      <c r="O96" s="807">
        <f t="shared" si="24"/>
        <v>0</v>
      </c>
      <c r="P96" s="807">
        <f t="shared" si="24"/>
        <v>0</v>
      </c>
      <c r="Q96" s="807">
        <f t="shared" si="19"/>
        <v>0</v>
      </c>
      <c r="R96" s="276"/>
      <c r="S96" s="730" t="str">
        <f t="shared" si="33"/>
        <v/>
      </c>
      <c r="T96" s="730" t="str">
        <f t="shared" si="33"/>
        <v/>
      </c>
      <c r="U96" s="730" t="str">
        <f t="shared" si="33"/>
        <v/>
      </c>
      <c r="V96" s="730" t="str">
        <f t="shared" si="32"/>
        <v/>
      </c>
      <c r="W96" s="531"/>
      <c r="X96" s="236"/>
      <c r="Y96" s="236"/>
      <c r="Z96" s="236"/>
    </row>
    <row r="97" spans="1:26" s="256" customFormat="1" ht="11.25" customHeight="1">
      <c r="A97" s="528" t="s">
        <v>102</v>
      </c>
      <c r="B97" s="528" t="s">
        <v>108</v>
      </c>
      <c r="C97" s="389"/>
      <c r="D97" s="650" t="s">
        <v>98</v>
      </c>
      <c r="E97" s="390" t="s">
        <v>99</v>
      </c>
      <c r="F97" s="391">
        <f>+F98</f>
        <v>822000</v>
      </c>
      <c r="G97" s="391">
        <f t="shared" ref="G97:M97" si="36">+G98</f>
        <v>0</v>
      </c>
      <c r="H97" s="391">
        <f t="shared" si="36"/>
        <v>0</v>
      </c>
      <c r="I97" s="391">
        <f t="shared" si="36"/>
        <v>822000</v>
      </c>
      <c r="J97" s="391">
        <f t="shared" si="36"/>
        <v>742066.56</v>
      </c>
      <c r="K97" s="391">
        <f t="shared" si="36"/>
        <v>0</v>
      </c>
      <c r="L97" s="391">
        <f t="shared" si="36"/>
        <v>0</v>
      </c>
      <c r="M97" s="391">
        <f t="shared" si="36"/>
        <v>742066.56</v>
      </c>
      <c r="N97" s="391">
        <f t="shared" si="24"/>
        <v>79933.439999999944</v>
      </c>
      <c r="O97" s="391">
        <f t="shared" si="24"/>
        <v>0</v>
      </c>
      <c r="P97" s="391">
        <f t="shared" si="24"/>
        <v>0</v>
      </c>
      <c r="Q97" s="391">
        <f t="shared" si="19"/>
        <v>79933.439999999944</v>
      </c>
      <c r="R97" s="101"/>
      <c r="S97" s="254">
        <f t="shared" si="33"/>
        <v>0.90275737226277375</v>
      </c>
      <c r="T97" s="254" t="str">
        <f t="shared" si="33"/>
        <v/>
      </c>
      <c r="U97" s="254" t="str">
        <f t="shared" si="33"/>
        <v/>
      </c>
      <c r="V97" s="254">
        <f t="shared" si="32"/>
        <v>0.90275737226277375</v>
      </c>
      <c r="W97" s="531"/>
      <c r="Y97" s="256" t="s">
        <v>598</v>
      </c>
      <c r="Z97" s="256" t="s">
        <v>598</v>
      </c>
    </row>
    <row r="98" spans="1:26" ht="11.25" customHeight="1">
      <c r="A98" s="528" t="s">
        <v>102</v>
      </c>
      <c r="B98" s="1013" t="s">
        <v>108</v>
      </c>
      <c r="C98" s="728"/>
      <c r="D98" s="649" t="s">
        <v>286</v>
      </c>
      <c r="E98" s="729" t="s">
        <v>286</v>
      </c>
      <c r="F98" s="103">
        <f>SUM('[3]ncr-SAOB'!AG14)</f>
        <v>822000</v>
      </c>
      <c r="G98" s="103">
        <f>SUM('[3]ncr-SAOB'!AG50)</f>
        <v>0</v>
      </c>
      <c r="H98" s="103">
        <f>SUM('[3]ncr-SAOB'!AG142)</f>
        <v>0</v>
      </c>
      <c r="I98" s="103">
        <f>SUM(F98:H98)</f>
        <v>822000</v>
      </c>
      <c r="J98" s="103">
        <f>SUM('[3]ncr-SAOB'!AG15)</f>
        <v>742066.56</v>
      </c>
      <c r="K98" s="103">
        <f>SUM('[3]ncr-SAOB'!AG51)</f>
        <v>0</v>
      </c>
      <c r="L98" s="103">
        <f>SUM('[3]ncr-SAOB'!AG143)</f>
        <v>0</v>
      </c>
      <c r="M98" s="103">
        <f>SUM(J98:L98)</f>
        <v>742066.56</v>
      </c>
      <c r="N98" s="103">
        <f t="shared" si="24"/>
        <v>79933.439999999944</v>
      </c>
      <c r="O98" s="103">
        <f t="shared" si="24"/>
        <v>0</v>
      </c>
      <c r="P98" s="103">
        <f t="shared" si="24"/>
        <v>0</v>
      </c>
      <c r="Q98" s="103">
        <f t="shared" si="19"/>
        <v>79933.439999999944</v>
      </c>
      <c r="R98" s="95">
        <f>+Q98-'[3]ncr-SAOB'!AG179</f>
        <v>0</v>
      </c>
      <c r="S98" s="730">
        <f t="shared" si="33"/>
        <v>0.90275737226277375</v>
      </c>
      <c r="T98" s="730" t="str">
        <f t="shared" si="33"/>
        <v/>
      </c>
      <c r="U98" s="730" t="str">
        <f t="shared" si="33"/>
        <v/>
      </c>
      <c r="V98" s="730">
        <f t="shared" si="32"/>
        <v>0.90275737226277375</v>
      </c>
      <c r="W98" s="531"/>
      <c r="X98" s="236"/>
      <c r="Y98" s="236" t="s">
        <v>598</v>
      </c>
      <c r="Z98" s="236"/>
    </row>
    <row r="99" spans="1:26" s="272" customFormat="1" ht="11.25" customHeight="1">
      <c r="A99" s="528" t="s">
        <v>102</v>
      </c>
      <c r="B99" s="528" t="s">
        <v>108</v>
      </c>
      <c r="C99" s="389"/>
      <c r="D99" s="650" t="s">
        <v>98</v>
      </c>
      <c r="E99" s="390" t="s">
        <v>100</v>
      </c>
      <c r="F99" s="391">
        <f t="shared" ref="F99:M99" si="37">SUM(F100:F104)</f>
        <v>240000</v>
      </c>
      <c r="G99" s="391">
        <f t="shared" si="37"/>
        <v>0</v>
      </c>
      <c r="H99" s="391">
        <f t="shared" si="37"/>
        <v>0</v>
      </c>
      <c r="I99" s="391">
        <f t="shared" si="37"/>
        <v>240000</v>
      </c>
      <c r="J99" s="391">
        <f t="shared" si="37"/>
        <v>240000</v>
      </c>
      <c r="K99" s="391">
        <f t="shared" si="37"/>
        <v>0</v>
      </c>
      <c r="L99" s="391">
        <f t="shared" si="37"/>
        <v>0</v>
      </c>
      <c r="M99" s="391">
        <f t="shared" si="37"/>
        <v>240000</v>
      </c>
      <c r="N99" s="391">
        <f t="shared" si="24"/>
        <v>0</v>
      </c>
      <c r="O99" s="391">
        <f t="shared" si="24"/>
        <v>0</v>
      </c>
      <c r="P99" s="391">
        <f t="shared" si="24"/>
        <v>0</v>
      </c>
      <c r="Q99" s="391">
        <f t="shared" si="19"/>
        <v>0</v>
      </c>
      <c r="R99" s="102"/>
      <c r="S99" s="254">
        <f t="shared" si="33"/>
        <v>1</v>
      </c>
      <c r="T99" s="254" t="str">
        <f t="shared" si="33"/>
        <v/>
      </c>
      <c r="U99" s="254" t="str">
        <f t="shared" si="33"/>
        <v/>
      </c>
      <c r="V99" s="254">
        <f t="shared" si="32"/>
        <v>1</v>
      </c>
      <c r="W99" s="531"/>
      <c r="Y99" s="272" t="s">
        <v>598</v>
      </c>
      <c r="Z99" s="256" t="s">
        <v>598</v>
      </c>
    </row>
    <row r="100" spans="1:26" ht="11.25" customHeight="1">
      <c r="A100" s="528" t="s">
        <v>102</v>
      </c>
      <c r="B100" s="1013" t="s">
        <v>108</v>
      </c>
      <c r="C100" s="728"/>
      <c r="D100" s="649" t="s">
        <v>288</v>
      </c>
      <c r="E100" s="729" t="s">
        <v>288</v>
      </c>
      <c r="F100" s="103">
        <f>SUM('[3]ncr-SAOB'!AM14)</f>
        <v>0</v>
      </c>
      <c r="G100" s="103">
        <f>SUM('[3]ncr-SAOB'!AM50)</f>
        <v>0</v>
      </c>
      <c r="H100" s="103">
        <f>SUM('[3]ncr-SAOB'!AM142)</f>
        <v>0</v>
      </c>
      <c r="I100" s="103">
        <f>SUM(F100:H100)</f>
        <v>0</v>
      </c>
      <c r="J100" s="103">
        <f>SUM('[3]ncr-SAOB'!AM15)</f>
        <v>0</v>
      </c>
      <c r="K100" s="103">
        <f>SUM('[3]ncr-SAOB'!AM51)</f>
        <v>0</v>
      </c>
      <c r="L100" s="103">
        <f>SUM('[3]ncr-SAOB'!AM143)</f>
        <v>0</v>
      </c>
      <c r="M100" s="103">
        <f>SUM(J100:L100)</f>
        <v>0</v>
      </c>
      <c r="N100" s="103">
        <f t="shared" si="24"/>
        <v>0</v>
      </c>
      <c r="O100" s="103">
        <f t="shared" si="24"/>
        <v>0</v>
      </c>
      <c r="P100" s="103">
        <f t="shared" si="24"/>
        <v>0</v>
      </c>
      <c r="Q100" s="103">
        <f t="shared" si="19"/>
        <v>0</v>
      </c>
      <c r="R100" s="95">
        <f>Q100-'[3]ncr-SAOB'!AM179</f>
        <v>0</v>
      </c>
      <c r="S100" s="730" t="str">
        <f t="shared" si="33"/>
        <v/>
      </c>
      <c r="T100" s="730" t="str">
        <f t="shared" si="33"/>
        <v/>
      </c>
      <c r="U100" s="730" t="str">
        <f t="shared" si="33"/>
        <v/>
      </c>
      <c r="V100" s="730" t="str">
        <f t="shared" si="32"/>
        <v/>
      </c>
      <c r="W100" s="531"/>
      <c r="X100" s="236"/>
      <c r="Y100" s="236" t="s">
        <v>598</v>
      </c>
      <c r="Z100" s="236"/>
    </row>
    <row r="101" spans="1:26" ht="11.25" customHeight="1">
      <c r="A101" s="528" t="s">
        <v>102</v>
      </c>
      <c r="B101" s="1013" t="s">
        <v>108</v>
      </c>
      <c r="C101" s="728"/>
      <c r="D101" s="649" t="s">
        <v>761</v>
      </c>
      <c r="E101" s="729" t="s">
        <v>761</v>
      </c>
      <c r="F101" s="103">
        <f>+'[3]ncr-SAOB'!C408</f>
        <v>240000</v>
      </c>
      <c r="G101" s="103"/>
      <c r="H101" s="103"/>
      <c r="I101" s="103">
        <f>SUM(F101:H101)</f>
        <v>240000</v>
      </c>
      <c r="J101" s="103">
        <f>+'[3]ncr-SAOB'!G408</f>
        <v>240000</v>
      </c>
      <c r="K101" s="103"/>
      <c r="L101" s="103"/>
      <c r="M101" s="103">
        <f>SUM(J101:L101)</f>
        <v>240000</v>
      </c>
      <c r="N101" s="103">
        <f>+F101-J101</f>
        <v>0</v>
      </c>
      <c r="O101" s="103">
        <f>+G101-K101</f>
        <v>0</v>
      </c>
      <c r="P101" s="103">
        <f>+H101-L101</f>
        <v>0</v>
      </c>
      <c r="Q101" s="103">
        <f>SUM(N101:P101)</f>
        <v>0</v>
      </c>
      <c r="S101" s="730">
        <f t="shared" si="33"/>
        <v>1</v>
      </c>
      <c r="T101" s="730" t="str">
        <f t="shared" si="33"/>
        <v/>
      </c>
      <c r="U101" s="730" t="str">
        <f t="shared" si="33"/>
        <v/>
      </c>
      <c r="V101" s="730">
        <f t="shared" si="32"/>
        <v>1</v>
      </c>
      <c r="W101" s="531"/>
      <c r="X101" s="236"/>
      <c r="Y101" s="236" t="s">
        <v>688</v>
      </c>
      <c r="Z101" s="236"/>
    </row>
    <row r="102" spans="1:26" ht="11.25" customHeight="1">
      <c r="A102" s="528" t="s">
        <v>102</v>
      </c>
      <c r="B102" s="1013" t="s">
        <v>108</v>
      </c>
      <c r="C102" s="411"/>
      <c r="D102" s="647"/>
      <c r="E102" s="1014"/>
      <c r="F102" s="104"/>
      <c r="G102" s="104"/>
      <c r="H102" s="104"/>
      <c r="I102" s="103"/>
      <c r="J102" s="104"/>
      <c r="K102" s="104"/>
      <c r="L102" s="104"/>
      <c r="M102" s="103"/>
      <c r="N102" s="103"/>
      <c r="O102" s="103"/>
      <c r="P102" s="103"/>
      <c r="Q102" s="103"/>
      <c r="S102" s="730" t="str">
        <f t="shared" si="33"/>
        <v/>
      </c>
      <c r="T102" s="730" t="str">
        <f t="shared" si="33"/>
        <v/>
      </c>
      <c r="U102" s="730" t="str">
        <f t="shared" si="33"/>
        <v/>
      </c>
      <c r="V102" s="730" t="str">
        <f t="shared" si="32"/>
        <v/>
      </c>
      <c r="W102" s="531"/>
      <c r="X102" s="236"/>
      <c r="Y102" s="236" t="s">
        <v>688</v>
      </c>
      <c r="Z102" s="240" t="s">
        <v>598</v>
      </c>
    </row>
    <row r="103" spans="1:26" ht="11.25" customHeight="1">
      <c r="A103" s="528" t="s">
        <v>102</v>
      </c>
      <c r="B103" s="1013" t="s">
        <v>108</v>
      </c>
      <c r="C103" s="728"/>
      <c r="D103" s="649" t="s">
        <v>289</v>
      </c>
      <c r="E103" s="729" t="s">
        <v>289</v>
      </c>
      <c r="F103" s="103">
        <f>SUM('[3]ncr-SAOB'!AS14)</f>
        <v>0</v>
      </c>
      <c r="G103" s="103">
        <f>SUM('[3]ncr-SAOB'!AS50)</f>
        <v>0</v>
      </c>
      <c r="H103" s="103">
        <f>SUM('[3]ncr-SAOB'!AS142)</f>
        <v>0</v>
      </c>
      <c r="I103" s="103">
        <f>SUM(F103:H103)</f>
        <v>0</v>
      </c>
      <c r="J103" s="103">
        <f>SUM('[3]ncr-SAOB'!AS15)</f>
        <v>0</v>
      </c>
      <c r="K103" s="103">
        <f>SUM('[3]ncr-SAOB'!AS51)</f>
        <v>0</v>
      </c>
      <c r="L103" s="103">
        <f>SUM('[3]ncr-SAOB'!AS143)</f>
        <v>0</v>
      </c>
      <c r="M103" s="103">
        <f>SUM(J103:L103)</f>
        <v>0</v>
      </c>
      <c r="N103" s="103">
        <f t="shared" si="24"/>
        <v>0</v>
      </c>
      <c r="O103" s="103">
        <f t="shared" si="24"/>
        <v>0</v>
      </c>
      <c r="P103" s="103">
        <f t="shared" si="24"/>
        <v>0</v>
      </c>
      <c r="Q103" s="103">
        <f t="shared" si="19"/>
        <v>0</v>
      </c>
      <c r="R103" s="95">
        <f>Q103-'[3]ncr-SAOB'!AS179</f>
        <v>0</v>
      </c>
      <c r="S103" s="730" t="str">
        <f t="shared" si="33"/>
        <v/>
      </c>
      <c r="T103" s="730" t="str">
        <f t="shared" si="33"/>
        <v/>
      </c>
      <c r="U103" s="730" t="str">
        <f t="shared" si="33"/>
        <v/>
      </c>
      <c r="V103" s="730" t="str">
        <f t="shared" si="32"/>
        <v/>
      </c>
      <c r="W103" s="531"/>
      <c r="X103" s="236"/>
      <c r="Y103" s="236" t="s">
        <v>598</v>
      </c>
      <c r="Z103" s="236"/>
    </row>
    <row r="104" spans="1:26" ht="11.25" customHeight="1">
      <c r="A104" s="528" t="s">
        <v>102</v>
      </c>
      <c r="B104" s="1013" t="s">
        <v>108</v>
      </c>
      <c r="C104" s="728"/>
      <c r="D104" s="649" t="s">
        <v>290</v>
      </c>
      <c r="E104" s="729" t="s">
        <v>290</v>
      </c>
      <c r="F104" s="103">
        <f>SUM('[3]ncr-SAOB'!AY14)</f>
        <v>0</v>
      </c>
      <c r="G104" s="103">
        <f>SUM('[3]ncr-SAOB'!AY50)</f>
        <v>0</v>
      </c>
      <c r="H104" s="103">
        <f>SUM('[3]ncr-SAOB'!AY142)</f>
        <v>0</v>
      </c>
      <c r="I104" s="103">
        <f>SUM(F104:H104)</f>
        <v>0</v>
      </c>
      <c r="J104" s="103">
        <f>SUM('[3]ncr-SAOB'!AY15)</f>
        <v>0</v>
      </c>
      <c r="K104" s="103">
        <f>SUM('[3]ncr-SAOB'!AY51)</f>
        <v>0</v>
      </c>
      <c r="L104" s="103">
        <f>SUM('[3]ncr-SAOB'!AY143)</f>
        <v>0</v>
      </c>
      <c r="M104" s="103">
        <f>SUM(J104:L104)</f>
        <v>0</v>
      </c>
      <c r="N104" s="103">
        <f t="shared" si="24"/>
        <v>0</v>
      </c>
      <c r="O104" s="103">
        <f t="shared" si="24"/>
        <v>0</v>
      </c>
      <c r="P104" s="103">
        <f t="shared" si="24"/>
        <v>0</v>
      </c>
      <c r="Q104" s="103">
        <f t="shared" si="19"/>
        <v>0</v>
      </c>
      <c r="R104" s="95">
        <f>Q104-'[3]ncr-SAOB'!AY179</f>
        <v>0</v>
      </c>
      <c r="S104" s="730" t="str">
        <f t="shared" si="33"/>
        <v/>
      </c>
      <c r="T104" s="730" t="str">
        <f t="shared" si="33"/>
        <v/>
      </c>
      <c r="U104" s="730" t="str">
        <f t="shared" si="33"/>
        <v/>
      </c>
      <c r="V104" s="730" t="str">
        <f t="shared" si="32"/>
        <v/>
      </c>
      <c r="W104" s="531"/>
      <c r="X104" s="236"/>
      <c r="Y104" s="236" t="s">
        <v>598</v>
      </c>
      <c r="Z104" s="236"/>
    </row>
    <row r="105" spans="1:26" s="259" customFormat="1" ht="11.25" customHeight="1">
      <c r="A105" s="246" t="s">
        <v>102</v>
      </c>
      <c r="B105" s="235" t="s">
        <v>108</v>
      </c>
      <c r="C105" s="656"/>
      <c r="D105" s="656"/>
      <c r="E105" s="657" t="s">
        <v>4</v>
      </c>
      <c r="F105" s="652">
        <f>+F95+F97+F99</f>
        <v>10165000</v>
      </c>
      <c r="G105" s="652">
        <f t="shared" ref="G105:M105" si="38">+G95+G97+G99</f>
        <v>12925000</v>
      </c>
      <c r="H105" s="652">
        <f t="shared" si="38"/>
        <v>8000000</v>
      </c>
      <c r="I105" s="652">
        <f t="shared" si="38"/>
        <v>31090000</v>
      </c>
      <c r="J105" s="652">
        <f t="shared" si="38"/>
        <v>9478621.5899999999</v>
      </c>
      <c r="K105" s="652">
        <f t="shared" si="38"/>
        <v>9994905.3399999999</v>
      </c>
      <c r="L105" s="652">
        <f t="shared" si="38"/>
        <v>7892101.29</v>
      </c>
      <c r="M105" s="652">
        <f t="shared" si="38"/>
        <v>27365628.219999999</v>
      </c>
      <c r="N105" s="652">
        <f t="shared" si="24"/>
        <v>686378.41000000015</v>
      </c>
      <c r="O105" s="652">
        <f t="shared" si="24"/>
        <v>2930094.66</v>
      </c>
      <c r="P105" s="652">
        <f t="shared" si="24"/>
        <v>107898.70999999996</v>
      </c>
      <c r="Q105" s="652">
        <f t="shared" si="19"/>
        <v>3724371.7800000003</v>
      </c>
      <c r="R105" s="653">
        <f>+Q105-'[3]ncr-SAOB'!CA179</f>
        <v>0</v>
      </c>
      <c r="S105" s="1008">
        <f t="shared" si="33"/>
        <v>0.93247630004918836</v>
      </c>
      <c r="T105" s="1008">
        <f t="shared" si="33"/>
        <v>0.77330021972920693</v>
      </c>
      <c r="U105" s="1008">
        <f t="shared" si="33"/>
        <v>0.98651266125000003</v>
      </c>
      <c r="V105" s="1008">
        <f t="shared" si="32"/>
        <v>0.88020676165969758</v>
      </c>
      <c r="W105" s="254"/>
      <c r="X105" s="520"/>
      <c r="Y105" s="610" t="s">
        <v>598</v>
      </c>
      <c r="Z105" s="241" t="s">
        <v>598</v>
      </c>
    </row>
    <row r="106" spans="1:26" ht="11.25" customHeight="1">
      <c r="A106" s="246" t="s">
        <v>102</v>
      </c>
      <c r="B106" s="235" t="s">
        <v>108</v>
      </c>
      <c r="C106" s="410"/>
      <c r="D106" s="386"/>
      <c r="E106" s="461"/>
      <c r="F106" s="103"/>
      <c r="G106" s="103"/>
      <c r="H106" s="103"/>
      <c r="I106" s="103">
        <f>SUM(F106:H106)</f>
        <v>0</v>
      </c>
      <c r="J106" s="103"/>
      <c r="K106" s="103"/>
      <c r="L106" s="103"/>
      <c r="M106" s="103">
        <f>SUM(J106:L106)</f>
        <v>0</v>
      </c>
      <c r="N106" s="103">
        <f t="shared" si="24"/>
        <v>0</v>
      </c>
      <c r="O106" s="103">
        <f t="shared" si="24"/>
        <v>0</v>
      </c>
      <c r="P106" s="103">
        <f t="shared" si="24"/>
        <v>0</v>
      </c>
      <c r="Q106" s="103">
        <f t="shared" si="19"/>
        <v>0</v>
      </c>
      <c r="S106" s="730" t="str">
        <f t="shared" si="33"/>
        <v/>
      </c>
      <c r="T106" s="730" t="str">
        <f t="shared" si="33"/>
        <v/>
      </c>
      <c r="U106" s="730" t="str">
        <f t="shared" si="33"/>
        <v/>
      </c>
      <c r="V106" s="730" t="str">
        <f t="shared" si="32"/>
        <v/>
      </c>
      <c r="W106" s="254"/>
      <c r="Y106" s="610" t="s">
        <v>598</v>
      </c>
      <c r="Z106" s="241" t="s">
        <v>598</v>
      </c>
    </row>
    <row r="107" spans="1:26" s="675" customFormat="1" ht="11.25" customHeight="1">
      <c r="A107" s="528" t="s">
        <v>102</v>
      </c>
      <c r="B107" s="528" t="s">
        <v>110</v>
      </c>
      <c r="C107" s="407" t="s">
        <v>98</v>
      </c>
      <c r="D107" s="655" t="s">
        <v>111</v>
      </c>
      <c r="E107" s="408" t="s">
        <v>781</v>
      </c>
      <c r="F107" s="674"/>
      <c r="G107" s="674"/>
      <c r="H107" s="674"/>
      <c r="I107" s="674">
        <f>SUM(F107:H107)</f>
        <v>0</v>
      </c>
      <c r="J107" s="674"/>
      <c r="K107" s="674"/>
      <c r="L107" s="674"/>
      <c r="M107" s="674">
        <f>SUM(J107:L107)</f>
        <v>0</v>
      </c>
      <c r="N107" s="674">
        <f t="shared" si="24"/>
        <v>0</v>
      </c>
      <c r="O107" s="674">
        <f t="shared" si="24"/>
        <v>0</v>
      </c>
      <c r="P107" s="674">
        <f t="shared" si="24"/>
        <v>0</v>
      </c>
      <c r="Q107" s="674">
        <f t="shared" si="19"/>
        <v>0</v>
      </c>
      <c r="R107" s="101"/>
      <c r="S107" s="254" t="str">
        <f t="shared" si="33"/>
        <v/>
      </c>
      <c r="T107" s="254" t="str">
        <f t="shared" si="33"/>
        <v/>
      </c>
      <c r="U107" s="254" t="str">
        <f t="shared" si="33"/>
        <v/>
      </c>
      <c r="V107" s="254" t="str">
        <f t="shared" si="32"/>
        <v/>
      </c>
      <c r="W107" s="531"/>
      <c r="Y107" s="272" t="s">
        <v>598</v>
      </c>
      <c r="Z107" s="260" t="s">
        <v>598</v>
      </c>
    </row>
    <row r="108" spans="1:26" ht="11.25" customHeight="1">
      <c r="A108" s="528" t="s">
        <v>102</v>
      </c>
      <c r="B108" s="1013" t="s">
        <v>110</v>
      </c>
      <c r="C108" s="461"/>
      <c r="D108" s="645" t="s">
        <v>766</v>
      </c>
      <c r="E108" s="447" t="s">
        <v>766</v>
      </c>
      <c r="F108" s="103">
        <f>+'[3]ncr-SAOB'!C412</f>
        <v>97352000</v>
      </c>
      <c r="G108" s="103">
        <f>+'[3]ncr-SAOB'!D412</f>
        <v>44373000</v>
      </c>
      <c r="H108" s="103">
        <f>+'[3]ncr-SAOB'!E412</f>
        <v>0</v>
      </c>
      <c r="I108" s="103">
        <f>SUM(F108:H108)</f>
        <v>141725000</v>
      </c>
      <c r="J108" s="103">
        <f>+'[3]ncr-SAOB'!G412</f>
        <v>90871211.590000004</v>
      </c>
      <c r="K108" s="103">
        <f>+'[3]ncr-SAOB'!H412</f>
        <v>43187725.390000001</v>
      </c>
      <c r="L108" s="103">
        <f>+'[3]ncr-SAOB'!I412</f>
        <v>0</v>
      </c>
      <c r="M108" s="103">
        <f>SUM(J108:L108)</f>
        <v>134058936.98</v>
      </c>
      <c r="N108" s="103">
        <f t="shared" si="24"/>
        <v>6480788.4099999964</v>
      </c>
      <c r="O108" s="103">
        <f t="shared" si="24"/>
        <v>1185274.6099999994</v>
      </c>
      <c r="P108" s="103">
        <f t="shared" si="24"/>
        <v>0</v>
      </c>
      <c r="Q108" s="103">
        <f t="shared" si="19"/>
        <v>7666063.0199999958</v>
      </c>
      <c r="R108" s="95">
        <f>Q108-'[3]ncr-SAOB'!J179</f>
        <v>0</v>
      </c>
      <c r="S108" s="730">
        <f t="shared" si="33"/>
        <v>0.93342932441038706</v>
      </c>
      <c r="T108" s="730">
        <f t="shared" si="33"/>
        <v>0.973288382349627</v>
      </c>
      <c r="U108" s="730" t="str">
        <f t="shared" si="33"/>
        <v/>
      </c>
      <c r="V108" s="730">
        <f t="shared" si="32"/>
        <v>0.94590888678779328</v>
      </c>
      <c r="W108" s="531"/>
      <c r="X108" s="236"/>
      <c r="Y108" s="236" t="s">
        <v>688</v>
      </c>
      <c r="Z108" s="236"/>
    </row>
    <row r="109" spans="1:26" ht="11.25" customHeight="1">
      <c r="A109" s="528" t="s">
        <v>102</v>
      </c>
      <c r="B109" s="1013" t="s">
        <v>110</v>
      </c>
      <c r="C109" s="728"/>
      <c r="D109" s="649" t="s">
        <v>50</v>
      </c>
      <c r="E109" s="447" t="s">
        <v>50</v>
      </c>
      <c r="F109" s="103"/>
      <c r="G109" s="103">
        <f>+'[3]ncr-SAOB'!D414</f>
        <v>21592000</v>
      </c>
      <c r="H109" s="103">
        <f>+'[3]ncr-SAOB'!E414</f>
        <v>289873882</v>
      </c>
      <c r="I109" s="103">
        <f>SUM(F109:H109)</f>
        <v>311465882</v>
      </c>
      <c r="J109" s="103"/>
      <c r="K109" s="103">
        <f>+'[3]ncr-SAOB'!H414</f>
        <v>21519734.219999999</v>
      </c>
      <c r="L109" s="103">
        <f>+'[3]ncr-SAOB'!I414</f>
        <v>289830541.81999999</v>
      </c>
      <c r="M109" s="103">
        <f>SUM(J109:L109)</f>
        <v>311350276.03999996</v>
      </c>
      <c r="N109" s="103">
        <f t="shared" si="24"/>
        <v>0</v>
      </c>
      <c r="O109" s="103">
        <f t="shared" si="24"/>
        <v>72265.780000001192</v>
      </c>
      <c r="P109" s="103">
        <f t="shared" si="24"/>
        <v>43340.180000007153</v>
      </c>
      <c r="Q109" s="103">
        <f t="shared" si="19"/>
        <v>115605.96000000834</v>
      </c>
      <c r="S109" s="730" t="str">
        <f t="shared" si="33"/>
        <v/>
      </c>
      <c r="T109" s="730">
        <f t="shared" si="33"/>
        <v>0.99665312245276028</v>
      </c>
      <c r="U109" s="730">
        <f t="shared" si="33"/>
        <v>0.99985048608139171</v>
      </c>
      <c r="V109" s="730">
        <f t="shared" si="32"/>
        <v>0.99962883266938352</v>
      </c>
      <c r="W109" s="531"/>
      <c r="X109" s="236"/>
      <c r="Y109" s="236" t="s">
        <v>688</v>
      </c>
      <c r="Z109" s="236"/>
    </row>
    <row r="110" spans="1:26" s="256" customFormat="1" ht="11.25" customHeight="1">
      <c r="A110" s="528" t="s">
        <v>102</v>
      </c>
      <c r="B110" s="528" t="s">
        <v>110</v>
      </c>
      <c r="C110" s="389"/>
      <c r="D110" s="650" t="s">
        <v>98</v>
      </c>
      <c r="E110" s="390" t="s">
        <v>767</v>
      </c>
      <c r="F110" s="391">
        <f>+F108+F109</f>
        <v>97352000</v>
      </c>
      <c r="G110" s="391">
        <f t="shared" ref="G110:M110" si="39">+G108+G109</f>
        <v>65965000</v>
      </c>
      <c r="H110" s="391">
        <f t="shared" si="39"/>
        <v>289873882</v>
      </c>
      <c r="I110" s="391">
        <f t="shared" si="39"/>
        <v>453190882</v>
      </c>
      <c r="J110" s="391">
        <f t="shared" si="39"/>
        <v>90871211.590000004</v>
      </c>
      <c r="K110" s="391">
        <f t="shared" si="39"/>
        <v>64707459.609999999</v>
      </c>
      <c r="L110" s="391">
        <f t="shared" si="39"/>
        <v>289830541.81999999</v>
      </c>
      <c r="M110" s="391">
        <f t="shared" si="39"/>
        <v>445409213.01999998</v>
      </c>
      <c r="N110" s="391">
        <f t="shared" si="24"/>
        <v>6480788.4099999964</v>
      </c>
      <c r="O110" s="391">
        <f t="shared" si="24"/>
        <v>1257540.3900000006</v>
      </c>
      <c r="P110" s="391">
        <f t="shared" si="24"/>
        <v>43340.180000007153</v>
      </c>
      <c r="Q110" s="391">
        <f t="shared" si="19"/>
        <v>7781668.9800000042</v>
      </c>
      <c r="R110" s="101"/>
      <c r="S110" s="254">
        <f t="shared" si="33"/>
        <v>0.93342932441038706</v>
      </c>
      <c r="T110" s="254">
        <f t="shared" si="33"/>
        <v>0.98093624816190406</v>
      </c>
      <c r="U110" s="254">
        <f t="shared" si="33"/>
        <v>0.99985048608139171</v>
      </c>
      <c r="V110" s="254">
        <f t="shared" si="32"/>
        <v>0.98282915811179095</v>
      </c>
      <c r="W110" s="531"/>
      <c r="Y110" s="256" t="s">
        <v>598</v>
      </c>
      <c r="Z110" s="256" t="s">
        <v>598</v>
      </c>
    </row>
    <row r="111" spans="1:26" ht="11.25" hidden="1" customHeight="1">
      <c r="A111" s="528" t="s">
        <v>102</v>
      </c>
      <c r="B111" s="1013" t="s">
        <v>110</v>
      </c>
      <c r="C111" s="410"/>
      <c r="D111" s="651"/>
      <c r="E111" s="806"/>
      <c r="F111" s="807"/>
      <c r="G111" s="807"/>
      <c r="H111" s="807"/>
      <c r="I111" s="807"/>
      <c r="J111" s="807"/>
      <c r="K111" s="807"/>
      <c r="L111" s="807"/>
      <c r="M111" s="807"/>
      <c r="N111" s="807">
        <f t="shared" si="24"/>
        <v>0</v>
      </c>
      <c r="O111" s="807">
        <f t="shared" si="24"/>
        <v>0</v>
      </c>
      <c r="P111" s="807">
        <f t="shared" si="24"/>
        <v>0</v>
      </c>
      <c r="Q111" s="807">
        <f t="shared" si="19"/>
        <v>0</v>
      </c>
      <c r="R111" s="276"/>
      <c r="S111" s="730" t="str">
        <f t="shared" si="33"/>
        <v/>
      </c>
      <c r="T111" s="730" t="str">
        <f t="shared" si="33"/>
        <v/>
      </c>
      <c r="U111" s="730" t="str">
        <f t="shared" si="33"/>
        <v/>
      </c>
      <c r="V111" s="730" t="str">
        <f t="shared" si="32"/>
        <v/>
      </c>
      <c r="W111" s="531"/>
      <c r="X111" s="236"/>
      <c r="Y111" s="236"/>
      <c r="Z111" s="236"/>
    </row>
    <row r="112" spans="1:26" s="256" customFormat="1" ht="11.25" customHeight="1">
      <c r="A112" s="528" t="s">
        <v>102</v>
      </c>
      <c r="B112" s="528" t="s">
        <v>110</v>
      </c>
      <c r="C112" s="389"/>
      <c r="D112" s="650" t="s">
        <v>98</v>
      </c>
      <c r="E112" s="390" t="s">
        <v>99</v>
      </c>
      <c r="F112" s="391">
        <f>+F113</f>
        <v>8755000</v>
      </c>
      <c r="G112" s="391">
        <f t="shared" ref="G112:M112" si="40">+G113</f>
        <v>0</v>
      </c>
      <c r="H112" s="391">
        <f t="shared" si="40"/>
        <v>0</v>
      </c>
      <c r="I112" s="391">
        <f t="shared" si="40"/>
        <v>8755000</v>
      </c>
      <c r="J112" s="391">
        <f t="shared" si="40"/>
        <v>7952869.8099999996</v>
      </c>
      <c r="K112" s="391">
        <f t="shared" si="40"/>
        <v>0</v>
      </c>
      <c r="L112" s="391">
        <f t="shared" si="40"/>
        <v>0</v>
      </c>
      <c r="M112" s="391">
        <f t="shared" si="40"/>
        <v>7952869.8099999996</v>
      </c>
      <c r="N112" s="391">
        <f t="shared" si="24"/>
        <v>802130.19000000041</v>
      </c>
      <c r="O112" s="391">
        <f t="shared" si="24"/>
        <v>0</v>
      </c>
      <c r="P112" s="391">
        <f t="shared" si="24"/>
        <v>0</v>
      </c>
      <c r="Q112" s="391">
        <f t="shared" si="19"/>
        <v>802130.19000000041</v>
      </c>
      <c r="R112" s="101"/>
      <c r="S112" s="254">
        <f t="shared" si="33"/>
        <v>0.90838033238149629</v>
      </c>
      <c r="T112" s="254" t="str">
        <f t="shared" si="33"/>
        <v/>
      </c>
      <c r="U112" s="254" t="str">
        <f t="shared" si="33"/>
        <v/>
      </c>
      <c r="V112" s="254">
        <f t="shared" si="32"/>
        <v>0.90838033238149629</v>
      </c>
      <c r="W112" s="531"/>
      <c r="Y112" s="256" t="s">
        <v>598</v>
      </c>
      <c r="Z112" s="256" t="s">
        <v>598</v>
      </c>
    </row>
    <row r="113" spans="1:26" ht="11.25" customHeight="1">
      <c r="A113" s="528" t="s">
        <v>102</v>
      </c>
      <c r="B113" s="1013" t="s">
        <v>110</v>
      </c>
      <c r="C113" s="728"/>
      <c r="D113" s="649" t="s">
        <v>286</v>
      </c>
      <c r="E113" s="729" t="s">
        <v>286</v>
      </c>
      <c r="F113" s="103">
        <f>SUM('[3]ncr-SAOB'!AH14)</f>
        <v>8755000</v>
      </c>
      <c r="G113" s="103">
        <f>SUM('[3]ncr-SAOB'!AH50)</f>
        <v>0</v>
      </c>
      <c r="H113" s="103">
        <f>SUM('[3]ncr-SAOB'!AH142)</f>
        <v>0</v>
      </c>
      <c r="I113" s="103">
        <f>SUM(F113:H113)</f>
        <v>8755000</v>
      </c>
      <c r="J113" s="103">
        <f>SUM('[3]ncr-SAOB'!AH15)</f>
        <v>7952869.8099999996</v>
      </c>
      <c r="K113" s="103">
        <f>SUM('[3]ncr-SAOB'!AH51)</f>
        <v>0</v>
      </c>
      <c r="L113" s="103">
        <f>SUM('[3]ncr-SAOB'!AH143)</f>
        <v>0</v>
      </c>
      <c r="M113" s="103">
        <f>SUM(J113:L113)</f>
        <v>7952869.8099999996</v>
      </c>
      <c r="N113" s="103">
        <f t="shared" si="24"/>
        <v>802130.19000000041</v>
      </c>
      <c r="O113" s="103">
        <f t="shared" si="24"/>
        <v>0</v>
      </c>
      <c r="P113" s="103">
        <f t="shared" si="24"/>
        <v>0</v>
      </c>
      <c r="Q113" s="103">
        <f t="shared" si="19"/>
        <v>802130.19000000041</v>
      </c>
      <c r="R113" s="95">
        <f>Q113-'[3]ncr-SAOB'!AH179</f>
        <v>0</v>
      </c>
      <c r="S113" s="730">
        <f t="shared" si="33"/>
        <v>0.90838033238149629</v>
      </c>
      <c r="T113" s="730" t="str">
        <f t="shared" si="33"/>
        <v/>
      </c>
      <c r="U113" s="730" t="str">
        <f t="shared" si="33"/>
        <v/>
      </c>
      <c r="V113" s="730">
        <f t="shared" si="32"/>
        <v>0.90838033238149629</v>
      </c>
      <c r="W113" s="531"/>
      <c r="X113" s="236"/>
      <c r="Y113" s="236" t="s">
        <v>598</v>
      </c>
      <c r="Z113" s="236"/>
    </row>
    <row r="114" spans="1:26" s="272" customFormat="1" ht="11.25" customHeight="1">
      <c r="A114" s="528" t="s">
        <v>102</v>
      </c>
      <c r="B114" s="528" t="s">
        <v>110</v>
      </c>
      <c r="C114" s="389"/>
      <c r="D114" s="650" t="s">
        <v>98</v>
      </c>
      <c r="E114" s="390" t="s">
        <v>100</v>
      </c>
      <c r="F114" s="391">
        <f t="shared" ref="F114:M114" si="41">SUM(F115:F119)</f>
        <v>5096537</v>
      </c>
      <c r="G114" s="391">
        <f t="shared" si="41"/>
        <v>1530000</v>
      </c>
      <c r="H114" s="391">
        <f t="shared" si="41"/>
        <v>0</v>
      </c>
      <c r="I114" s="391">
        <f t="shared" si="41"/>
        <v>6626537</v>
      </c>
      <c r="J114" s="391">
        <f t="shared" si="41"/>
        <v>4961035.32</v>
      </c>
      <c r="K114" s="391">
        <f t="shared" si="41"/>
        <v>1530000</v>
      </c>
      <c r="L114" s="391">
        <f t="shared" si="41"/>
        <v>0</v>
      </c>
      <c r="M114" s="391">
        <f t="shared" si="41"/>
        <v>6491035.3200000003</v>
      </c>
      <c r="N114" s="391">
        <f t="shared" si="24"/>
        <v>135501.6799999997</v>
      </c>
      <c r="O114" s="391">
        <f t="shared" si="24"/>
        <v>0</v>
      </c>
      <c r="P114" s="391">
        <f t="shared" si="24"/>
        <v>0</v>
      </c>
      <c r="Q114" s="391">
        <f t="shared" ref="Q114:Q180" si="42">SUM(N114:P114)</f>
        <v>135501.6799999997</v>
      </c>
      <c r="R114" s="102"/>
      <c r="S114" s="254">
        <f t="shared" si="33"/>
        <v>0.97341299003617565</v>
      </c>
      <c r="T114" s="254">
        <f t="shared" si="33"/>
        <v>1</v>
      </c>
      <c r="U114" s="254" t="str">
        <f t="shared" si="33"/>
        <v/>
      </c>
      <c r="V114" s="254">
        <f t="shared" si="32"/>
        <v>0.97955166024123919</v>
      </c>
      <c r="W114" s="531"/>
      <c r="Y114" s="272" t="s">
        <v>598</v>
      </c>
      <c r="Z114" s="256" t="s">
        <v>598</v>
      </c>
    </row>
    <row r="115" spans="1:26" ht="11.25" customHeight="1">
      <c r="A115" s="528" t="s">
        <v>102</v>
      </c>
      <c r="B115" s="1013" t="s">
        <v>110</v>
      </c>
      <c r="C115" s="728"/>
      <c r="D115" s="649" t="s">
        <v>288</v>
      </c>
      <c r="E115" s="729" t="s">
        <v>288</v>
      </c>
      <c r="F115" s="103">
        <f>SUM('[3]ncr-SAOB'!AN14)</f>
        <v>1635000</v>
      </c>
      <c r="G115" s="103">
        <f>SUM('[3]ncr-SAOB'!AN50)</f>
        <v>0</v>
      </c>
      <c r="H115" s="103">
        <f>SUM('[3]ncr-SAOB'!AN142)</f>
        <v>0</v>
      </c>
      <c r="I115" s="103">
        <f>SUM(F115:H115)</f>
        <v>1635000</v>
      </c>
      <c r="J115" s="103">
        <f>SUM('[3]ncr-SAOB'!AN15)</f>
        <v>1499500</v>
      </c>
      <c r="K115" s="103">
        <f>SUM('[3]ncr-SAOB'!AN51)</f>
        <v>0</v>
      </c>
      <c r="L115" s="103">
        <f>SUM('[3]ncr-SAOB'!AN143)</f>
        <v>0</v>
      </c>
      <c r="M115" s="103">
        <f>SUM(J115:L115)</f>
        <v>1499500</v>
      </c>
      <c r="N115" s="103">
        <f t="shared" si="24"/>
        <v>135500</v>
      </c>
      <c r="O115" s="103">
        <f t="shared" si="24"/>
        <v>0</v>
      </c>
      <c r="P115" s="103">
        <f t="shared" si="24"/>
        <v>0</v>
      </c>
      <c r="Q115" s="103">
        <f t="shared" si="42"/>
        <v>135500</v>
      </c>
      <c r="R115" s="95">
        <f>Q115-'[3]ncr-SAOB'!AN179</f>
        <v>0</v>
      </c>
      <c r="S115" s="730">
        <f t="shared" si="33"/>
        <v>0.91712538226299689</v>
      </c>
      <c r="T115" s="730" t="str">
        <f t="shared" si="33"/>
        <v/>
      </c>
      <c r="U115" s="730" t="str">
        <f t="shared" si="33"/>
        <v/>
      </c>
      <c r="V115" s="730">
        <f t="shared" si="32"/>
        <v>0.91712538226299689</v>
      </c>
      <c r="W115" s="531"/>
      <c r="X115" s="236"/>
      <c r="Y115" s="236" t="s">
        <v>598</v>
      </c>
      <c r="Z115" s="236"/>
    </row>
    <row r="116" spans="1:26" ht="11.25" customHeight="1">
      <c r="A116" s="528" t="s">
        <v>102</v>
      </c>
      <c r="B116" s="1013" t="s">
        <v>110</v>
      </c>
      <c r="C116" s="728"/>
      <c r="D116" s="649" t="s">
        <v>761</v>
      </c>
      <c r="E116" s="729" t="s">
        <v>761</v>
      </c>
      <c r="F116" s="103">
        <f>+'[3]ncr-SAOB'!C414</f>
        <v>2235000</v>
      </c>
      <c r="G116" s="103"/>
      <c r="H116" s="103"/>
      <c r="I116" s="103">
        <f>SUM(F116:H116)</f>
        <v>2235000</v>
      </c>
      <c r="J116" s="103">
        <f>+'[3]ncr-SAOB'!G414</f>
        <v>2235000</v>
      </c>
      <c r="K116" s="103"/>
      <c r="L116" s="103"/>
      <c r="M116" s="103">
        <f>SUM(J116:L116)</f>
        <v>2235000</v>
      </c>
      <c r="N116" s="103">
        <f t="shared" si="24"/>
        <v>0</v>
      </c>
      <c r="O116" s="103">
        <f t="shared" si="24"/>
        <v>0</v>
      </c>
      <c r="P116" s="103">
        <f t="shared" si="24"/>
        <v>0</v>
      </c>
      <c r="Q116" s="103">
        <f t="shared" si="42"/>
        <v>0</v>
      </c>
      <c r="S116" s="730">
        <f t="shared" si="33"/>
        <v>1</v>
      </c>
      <c r="T116" s="730" t="str">
        <f t="shared" si="33"/>
        <v/>
      </c>
      <c r="U116" s="730" t="str">
        <f t="shared" si="33"/>
        <v/>
      </c>
      <c r="V116" s="730">
        <f t="shared" si="32"/>
        <v>1</v>
      </c>
      <c r="W116" s="531"/>
      <c r="X116" s="236"/>
      <c r="Y116" s="236" t="s">
        <v>688</v>
      </c>
      <c r="Z116" s="236"/>
    </row>
    <row r="117" spans="1:26" ht="11.25" customHeight="1">
      <c r="A117" s="528" t="s">
        <v>102</v>
      </c>
      <c r="B117" s="1013" t="s">
        <v>110</v>
      </c>
      <c r="C117" s="411"/>
      <c r="D117" s="647"/>
      <c r="E117" s="1014"/>
      <c r="F117" s="104"/>
      <c r="G117" s="104"/>
      <c r="H117" s="104"/>
      <c r="I117" s="103"/>
      <c r="J117" s="104"/>
      <c r="K117" s="104"/>
      <c r="L117" s="104"/>
      <c r="M117" s="103"/>
      <c r="N117" s="103"/>
      <c r="O117" s="103"/>
      <c r="P117" s="103"/>
      <c r="Q117" s="103"/>
      <c r="S117" s="730" t="str">
        <f t="shared" si="33"/>
        <v/>
      </c>
      <c r="T117" s="730" t="str">
        <f t="shared" si="33"/>
        <v/>
      </c>
      <c r="U117" s="730" t="str">
        <f t="shared" si="33"/>
        <v/>
      </c>
      <c r="V117" s="730" t="str">
        <f t="shared" si="32"/>
        <v/>
      </c>
      <c r="W117" s="531"/>
      <c r="X117" s="236"/>
      <c r="Y117" s="236" t="s">
        <v>688</v>
      </c>
      <c r="Z117" s="240"/>
    </row>
    <row r="118" spans="1:26" ht="11.25" customHeight="1">
      <c r="A118" s="528" t="s">
        <v>102</v>
      </c>
      <c r="B118" s="1013" t="s">
        <v>110</v>
      </c>
      <c r="C118" s="728"/>
      <c r="D118" s="649" t="s">
        <v>289</v>
      </c>
      <c r="E118" s="729" t="s">
        <v>289</v>
      </c>
      <c r="F118" s="103">
        <f>SUM('[3]ncr-SAOB'!AT14)</f>
        <v>1226537</v>
      </c>
      <c r="G118" s="103">
        <f>SUM('[3]ncr-SAOB'!AT50)</f>
        <v>0</v>
      </c>
      <c r="H118" s="103">
        <f>SUM('[3]ncr-SAOB'!AT142)</f>
        <v>0</v>
      </c>
      <c r="I118" s="103">
        <f>SUM(F118:H118)</f>
        <v>1226537</v>
      </c>
      <c r="J118" s="103">
        <f>SUM('[3]ncr-SAOB'!AT15)</f>
        <v>1226535.32</v>
      </c>
      <c r="K118" s="103">
        <f>SUM('[3]ncr-SAOB'!AT51)</f>
        <v>0</v>
      </c>
      <c r="L118" s="103">
        <f>SUM('[3]ncr-SAOB'!AT143)</f>
        <v>0</v>
      </c>
      <c r="M118" s="103">
        <f>SUM(J118:L118)</f>
        <v>1226535.32</v>
      </c>
      <c r="N118" s="103">
        <f t="shared" si="24"/>
        <v>1.6799999999348074</v>
      </c>
      <c r="O118" s="103">
        <f t="shared" si="24"/>
        <v>0</v>
      </c>
      <c r="P118" s="103">
        <f t="shared" si="24"/>
        <v>0</v>
      </c>
      <c r="Q118" s="103">
        <f t="shared" si="42"/>
        <v>1.6799999999348074</v>
      </c>
      <c r="R118" s="95">
        <f>Q118-'[3]ncr-SAOB'!AT179</f>
        <v>0</v>
      </c>
      <c r="S118" s="730">
        <f t="shared" si="33"/>
        <v>0.99999863028999536</v>
      </c>
      <c r="T118" s="730" t="str">
        <f t="shared" si="33"/>
        <v/>
      </c>
      <c r="U118" s="730" t="str">
        <f t="shared" si="33"/>
        <v/>
      </c>
      <c r="V118" s="730">
        <f t="shared" si="32"/>
        <v>0.99999863028999536</v>
      </c>
      <c r="W118" s="531"/>
      <c r="X118" s="236"/>
      <c r="Y118" s="236" t="s">
        <v>598</v>
      </c>
      <c r="Z118" s="236"/>
    </row>
    <row r="119" spans="1:26" ht="11.25" customHeight="1">
      <c r="A119" s="528" t="s">
        <v>102</v>
      </c>
      <c r="B119" s="1013" t="s">
        <v>110</v>
      </c>
      <c r="C119" s="728"/>
      <c r="D119" s="649" t="s">
        <v>290</v>
      </c>
      <c r="E119" s="729" t="s">
        <v>290</v>
      </c>
      <c r="F119" s="103">
        <f>SUM('[3]ncr-SAOB'!AZ14)</f>
        <v>0</v>
      </c>
      <c r="G119" s="103">
        <f>SUM('[3]ncr-SAOB'!AZ50)</f>
        <v>1530000</v>
      </c>
      <c r="H119" s="103">
        <f>SUM('[3]ncr-SAOB'!AZ142)</f>
        <v>0</v>
      </c>
      <c r="I119" s="103">
        <f>SUM(F119:H119)</f>
        <v>1530000</v>
      </c>
      <c r="J119" s="103">
        <f>SUM('[3]ncr-SAOB'!AZ15)</f>
        <v>0</v>
      </c>
      <c r="K119" s="103">
        <f>SUM('[3]ncr-SAOB'!AZ51)</f>
        <v>1530000</v>
      </c>
      <c r="L119" s="103">
        <f>SUM('[3]ncr-SAOB'!AZ143)</f>
        <v>0</v>
      </c>
      <c r="M119" s="103">
        <f>SUM(J119:L119)</f>
        <v>1530000</v>
      </c>
      <c r="N119" s="103">
        <f t="shared" si="24"/>
        <v>0</v>
      </c>
      <c r="O119" s="103">
        <f t="shared" si="24"/>
        <v>0</v>
      </c>
      <c r="P119" s="103">
        <f t="shared" si="24"/>
        <v>0</v>
      </c>
      <c r="Q119" s="103">
        <f t="shared" si="42"/>
        <v>0</v>
      </c>
      <c r="R119" s="95">
        <f>Q119-'[3]ncr-SAOB'!AZ179</f>
        <v>0</v>
      </c>
      <c r="S119" s="730" t="str">
        <f t="shared" si="33"/>
        <v/>
      </c>
      <c r="T119" s="730">
        <f t="shared" si="33"/>
        <v>1</v>
      </c>
      <c r="U119" s="730" t="str">
        <f t="shared" si="33"/>
        <v/>
      </c>
      <c r="V119" s="730">
        <f t="shared" si="32"/>
        <v>1</v>
      </c>
      <c r="W119" s="531"/>
      <c r="X119" s="236"/>
      <c r="Y119" s="236" t="s">
        <v>598</v>
      </c>
      <c r="Z119" s="236"/>
    </row>
    <row r="120" spans="1:26" s="259" customFormat="1" ht="11.25" customHeight="1">
      <c r="A120" s="246" t="s">
        <v>102</v>
      </c>
      <c r="B120" s="235" t="s">
        <v>110</v>
      </c>
      <c r="C120" s="656"/>
      <c r="D120" s="656"/>
      <c r="E120" s="657" t="s">
        <v>4</v>
      </c>
      <c r="F120" s="652">
        <f>+F110+F112+F114</f>
        <v>111203537</v>
      </c>
      <c r="G120" s="652">
        <f t="shared" ref="G120:M120" si="43">+G110+G112+G114</f>
        <v>67495000</v>
      </c>
      <c r="H120" s="652">
        <f t="shared" si="43"/>
        <v>289873882</v>
      </c>
      <c r="I120" s="652">
        <f t="shared" si="43"/>
        <v>468572419</v>
      </c>
      <c r="J120" s="652">
        <f t="shared" si="43"/>
        <v>103785116.72</v>
      </c>
      <c r="K120" s="652">
        <f t="shared" si="43"/>
        <v>66237459.609999999</v>
      </c>
      <c r="L120" s="652">
        <f t="shared" si="43"/>
        <v>289830541.81999999</v>
      </c>
      <c r="M120" s="652">
        <f t="shared" si="43"/>
        <v>459853118.14999998</v>
      </c>
      <c r="N120" s="652">
        <f t="shared" si="24"/>
        <v>7418420.2800000012</v>
      </c>
      <c r="O120" s="652">
        <f t="shared" si="24"/>
        <v>1257540.3900000006</v>
      </c>
      <c r="P120" s="652">
        <f t="shared" si="24"/>
        <v>43340.180000007153</v>
      </c>
      <c r="Q120" s="652">
        <f t="shared" si="42"/>
        <v>8719300.8500000089</v>
      </c>
      <c r="R120" s="653">
        <f>+Q120-'[3]ncr-SAOB'!CB179</f>
        <v>-2.6077032089233398E-8</v>
      </c>
      <c r="S120" s="1008">
        <f t="shared" si="33"/>
        <v>0.93328970930124278</v>
      </c>
      <c r="T120" s="1008">
        <f t="shared" si="33"/>
        <v>0.9813683918808801</v>
      </c>
      <c r="U120" s="1008">
        <f t="shared" si="33"/>
        <v>0.99985048608139171</v>
      </c>
      <c r="V120" s="1008">
        <f t="shared" si="32"/>
        <v>0.98139177532342114</v>
      </c>
      <c r="W120" s="254"/>
      <c r="X120" s="520"/>
      <c r="Y120" s="610" t="s">
        <v>598</v>
      </c>
      <c r="Z120" s="241" t="s">
        <v>598</v>
      </c>
    </row>
    <row r="121" spans="1:26" s="660" customFormat="1" ht="17.25" hidden="1" customHeight="1">
      <c r="A121" s="273" t="s">
        <v>102</v>
      </c>
      <c r="B121" s="1009" t="s">
        <v>56</v>
      </c>
      <c r="C121" s="1428" t="s">
        <v>595</v>
      </c>
      <c r="D121" s="1429"/>
      <c r="E121" s="1430"/>
      <c r="F121" s="659">
        <f>+F75+F90+F105+F120</f>
        <v>240429776</v>
      </c>
      <c r="G121" s="659">
        <f>+G75+G90+G105+G120</f>
        <v>173697000</v>
      </c>
      <c r="H121" s="659">
        <f>+H75+H90+H105+H120</f>
        <v>326873882</v>
      </c>
      <c r="I121" s="659">
        <f>SUM(F121:H121)</f>
        <v>741000658</v>
      </c>
      <c r="J121" s="659">
        <f>+J75+J90+J105+J120</f>
        <v>223006922.51999998</v>
      </c>
      <c r="K121" s="659">
        <f>+K75+K90+K105+K120</f>
        <v>156174999.11000001</v>
      </c>
      <c r="L121" s="659">
        <f>+L75+L90+L105+L120</f>
        <v>324688353.24000001</v>
      </c>
      <c r="M121" s="659">
        <f>SUM(J121:L121)</f>
        <v>703870274.87</v>
      </c>
      <c r="N121" s="659">
        <f t="shared" si="24"/>
        <v>17422853.480000019</v>
      </c>
      <c r="O121" s="659">
        <f t="shared" si="24"/>
        <v>17522000.889999986</v>
      </c>
      <c r="P121" s="659">
        <f t="shared" si="24"/>
        <v>2185528.7599999905</v>
      </c>
      <c r="Q121" s="659">
        <f t="shared" si="42"/>
        <v>37130383.129999995</v>
      </c>
      <c r="S121" s="1015">
        <f t="shared" si="33"/>
        <v>0.92753454347518083</v>
      </c>
      <c r="T121" s="1015">
        <f t="shared" si="33"/>
        <v>0.89912318065366714</v>
      </c>
      <c r="U121" s="1015">
        <f t="shared" si="33"/>
        <v>0.99331384708185411</v>
      </c>
      <c r="V121" s="1015">
        <f t="shared" si="32"/>
        <v>0.94989156523798934</v>
      </c>
      <c r="W121" s="662"/>
    </row>
    <row r="122" spans="1:26" ht="11.25" hidden="1" customHeight="1">
      <c r="A122" s="246" t="s">
        <v>102</v>
      </c>
      <c r="B122" s="235" t="s">
        <v>56</v>
      </c>
      <c r="C122" s="1016"/>
      <c r="D122" s="396"/>
      <c r="E122" s="806"/>
      <c r="F122" s="103"/>
      <c r="G122" s="103"/>
      <c r="H122" s="103"/>
      <c r="I122" s="103">
        <f>SUM(F122:H122)</f>
        <v>0</v>
      </c>
      <c r="J122" s="103"/>
      <c r="K122" s="103"/>
      <c r="L122" s="103"/>
      <c r="M122" s="103">
        <f>SUM(J122:L122)</f>
        <v>0</v>
      </c>
      <c r="N122" s="103">
        <f t="shared" si="24"/>
        <v>0</v>
      </c>
      <c r="O122" s="103">
        <f t="shared" si="24"/>
        <v>0</v>
      </c>
      <c r="P122" s="103">
        <f t="shared" si="24"/>
        <v>0</v>
      </c>
      <c r="Q122" s="103">
        <f t="shared" si="42"/>
        <v>0</v>
      </c>
      <c r="R122" s="236"/>
      <c r="S122" s="730" t="str">
        <f t="shared" si="33"/>
        <v/>
      </c>
      <c r="T122" s="730" t="str">
        <f t="shared" si="33"/>
        <v/>
      </c>
      <c r="U122" s="730" t="str">
        <f t="shared" si="33"/>
        <v/>
      </c>
      <c r="V122" s="730" t="str">
        <f t="shared" si="32"/>
        <v/>
      </c>
      <c r="W122" s="254"/>
      <c r="X122" s="520" t="s">
        <v>598</v>
      </c>
      <c r="Z122" s="241"/>
    </row>
    <row r="123" spans="1:26" s="275" customFormat="1" ht="11.25" hidden="1" customHeight="1">
      <c r="A123" s="246" t="s">
        <v>596</v>
      </c>
      <c r="B123" s="246" t="s">
        <v>597</v>
      </c>
      <c r="C123" s="408" t="s">
        <v>782</v>
      </c>
      <c r="D123" s="407"/>
      <c r="E123" s="408"/>
      <c r="F123" s="409"/>
      <c r="G123" s="409"/>
      <c r="H123" s="409"/>
      <c r="I123" s="409">
        <f>SUM(F123:H123)</f>
        <v>0</v>
      </c>
      <c r="J123" s="409"/>
      <c r="K123" s="409"/>
      <c r="L123" s="409"/>
      <c r="M123" s="409">
        <f>SUM(J123:L123)</f>
        <v>0</v>
      </c>
      <c r="N123" s="409">
        <f t="shared" si="24"/>
        <v>0</v>
      </c>
      <c r="O123" s="409">
        <f t="shared" si="24"/>
        <v>0</v>
      </c>
      <c r="P123" s="409">
        <f t="shared" si="24"/>
        <v>0</v>
      </c>
      <c r="Q123" s="409">
        <f t="shared" si="42"/>
        <v>0</v>
      </c>
      <c r="R123" s="522"/>
      <c r="S123" s="254" t="str">
        <f t="shared" si="33"/>
        <v/>
      </c>
      <c r="T123" s="254" t="str">
        <f t="shared" si="33"/>
        <v/>
      </c>
      <c r="U123" s="254" t="str">
        <f t="shared" si="33"/>
        <v/>
      </c>
      <c r="V123" s="1002" t="str">
        <f t="shared" si="32"/>
        <v/>
      </c>
      <c r="W123" s="254"/>
      <c r="X123" s="274" t="s">
        <v>598</v>
      </c>
      <c r="Y123" s="663"/>
      <c r="Z123" s="253"/>
    </row>
    <row r="124" spans="1:26" ht="11.25" hidden="1" customHeight="1">
      <c r="A124" s="246" t="s">
        <v>596</v>
      </c>
      <c r="B124" s="235" t="s">
        <v>597</v>
      </c>
      <c r="C124" s="461"/>
      <c r="D124" s="664" t="s">
        <v>766</v>
      </c>
      <c r="E124" s="447" t="s">
        <v>766</v>
      </c>
      <c r="F124" s="103">
        <f>+F43+F63+F78+F93+F108</f>
        <v>282323000</v>
      </c>
      <c r="G124" s="103">
        <f>+G43+G63+G78+G93+G108</f>
        <v>308173000</v>
      </c>
      <c r="H124" s="103">
        <f>+H43+H63+H78+H93+H108</f>
        <v>0</v>
      </c>
      <c r="I124" s="103">
        <f>SUM(F124:H124)</f>
        <v>590496000</v>
      </c>
      <c r="J124" s="103">
        <f>+J43+J63+J78+J93+J108</f>
        <v>260300649.81999999</v>
      </c>
      <c r="K124" s="103">
        <f>+K43+K63+K78+K93+K108</f>
        <v>253483859.41999996</v>
      </c>
      <c r="L124" s="103">
        <f>+L43+L63+L78+L93+L108</f>
        <v>0</v>
      </c>
      <c r="M124" s="103">
        <f>SUM(J124:L124)</f>
        <v>513784509.23999995</v>
      </c>
      <c r="N124" s="103">
        <f t="shared" si="24"/>
        <v>22022350.180000007</v>
      </c>
      <c r="O124" s="103">
        <f t="shared" si="24"/>
        <v>54689140.580000043</v>
      </c>
      <c r="P124" s="103">
        <f t="shared" si="24"/>
        <v>0</v>
      </c>
      <c r="Q124" s="103">
        <f t="shared" si="42"/>
        <v>76711490.76000005</v>
      </c>
      <c r="R124" s="276"/>
      <c r="S124" s="730">
        <f t="shared" si="33"/>
        <v>0.92199590476156745</v>
      </c>
      <c r="T124" s="730">
        <f t="shared" si="33"/>
        <v>0.82253753385273842</v>
      </c>
      <c r="U124" s="730" t="str">
        <f t="shared" si="33"/>
        <v/>
      </c>
      <c r="V124" s="730">
        <f t="shared" si="32"/>
        <v>0.87008973683140944</v>
      </c>
      <c r="W124" s="254"/>
      <c r="X124" s="237" t="s">
        <v>598</v>
      </c>
    </row>
    <row r="125" spans="1:26" ht="11.25" hidden="1" customHeight="1">
      <c r="A125" s="246" t="s">
        <v>596</v>
      </c>
      <c r="B125" s="235" t="s">
        <v>597</v>
      </c>
      <c r="C125" s="728"/>
      <c r="D125" s="394" t="s">
        <v>50</v>
      </c>
      <c r="E125" s="447" t="s">
        <v>50</v>
      </c>
      <c r="F125" s="103">
        <f>+F47+F64+F79+F94+F109</f>
        <v>0</v>
      </c>
      <c r="G125" s="103">
        <f>+G47+G64+G79+G94+G109</f>
        <v>144699414</v>
      </c>
      <c r="H125" s="103">
        <f>+H47+H64+H79+H94+H109</f>
        <v>473471882</v>
      </c>
      <c r="I125" s="103">
        <f>SUM(F125:H125)</f>
        <v>618171296</v>
      </c>
      <c r="J125" s="103">
        <f>+J47+J64+J79+J94+J109</f>
        <v>0</v>
      </c>
      <c r="K125" s="103">
        <f>+K47+K64+K79+K94+K109</f>
        <v>113489912.02000001</v>
      </c>
      <c r="L125" s="103">
        <f>+L47+L64+L79+L94+L109</f>
        <v>370676018.92000002</v>
      </c>
      <c r="M125" s="103">
        <f>SUM(J125:L125)</f>
        <v>484165930.94000006</v>
      </c>
      <c r="N125" s="103">
        <f t="shared" si="24"/>
        <v>0</v>
      </c>
      <c r="O125" s="103">
        <f t="shared" si="24"/>
        <v>31209501.979999989</v>
      </c>
      <c r="P125" s="103">
        <f t="shared" si="24"/>
        <v>102795863.07999998</v>
      </c>
      <c r="Q125" s="103">
        <f t="shared" si="42"/>
        <v>134005365.05999997</v>
      </c>
      <c r="R125" s="276"/>
      <c r="S125" s="730" t="str">
        <f t="shared" si="33"/>
        <v/>
      </c>
      <c r="T125" s="730">
        <f t="shared" si="33"/>
        <v>0.78431493869076763</v>
      </c>
      <c r="U125" s="730">
        <f t="shared" si="33"/>
        <v>0.78288919154865466</v>
      </c>
      <c r="V125" s="730">
        <f t="shared" si="32"/>
        <v>0.78322292554327866</v>
      </c>
      <c r="W125" s="254"/>
      <c r="X125" s="237" t="s">
        <v>598</v>
      </c>
    </row>
    <row r="126" spans="1:26" s="256" customFormat="1" ht="11.25" hidden="1" customHeight="1">
      <c r="A126" s="246" t="s">
        <v>596</v>
      </c>
      <c r="B126" s="246" t="s">
        <v>597</v>
      </c>
      <c r="C126" s="389"/>
      <c r="D126" s="389" t="s">
        <v>98</v>
      </c>
      <c r="E126" s="390" t="s">
        <v>767</v>
      </c>
      <c r="F126" s="391">
        <f>+F124+F125</f>
        <v>282323000</v>
      </c>
      <c r="G126" s="391">
        <f t="shared" ref="G126:M126" si="44">+G124+G125</f>
        <v>452872414</v>
      </c>
      <c r="H126" s="391">
        <f t="shared" si="44"/>
        <v>473471882</v>
      </c>
      <c r="I126" s="391">
        <f t="shared" si="44"/>
        <v>1208667296</v>
      </c>
      <c r="J126" s="391">
        <f t="shared" si="44"/>
        <v>260300649.81999999</v>
      </c>
      <c r="K126" s="391">
        <f t="shared" si="44"/>
        <v>366973771.43999994</v>
      </c>
      <c r="L126" s="391">
        <f t="shared" si="44"/>
        <v>370676018.92000002</v>
      </c>
      <c r="M126" s="391">
        <f t="shared" si="44"/>
        <v>997950440.18000007</v>
      </c>
      <c r="N126" s="391">
        <f t="shared" si="24"/>
        <v>22022350.180000007</v>
      </c>
      <c r="O126" s="391">
        <f t="shared" si="24"/>
        <v>85898642.560000062</v>
      </c>
      <c r="P126" s="391">
        <f t="shared" si="24"/>
        <v>102795863.07999998</v>
      </c>
      <c r="Q126" s="391">
        <f t="shared" si="42"/>
        <v>210716855.82000005</v>
      </c>
      <c r="R126" s="665"/>
      <c r="S126" s="254">
        <f t="shared" si="33"/>
        <v>0.92199590476156745</v>
      </c>
      <c r="T126" s="254">
        <f t="shared" si="33"/>
        <v>0.81032485109592023</v>
      </c>
      <c r="U126" s="254">
        <f t="shared" si="33"/>
        <v>0.78288919154865466</v>
      </c>
      <c r="V126" s="297">
        <f t="shared" si="32"/>
        <v>0.82566182065374594</v>
      </c>
      <c r="W126" s="254"/>
      <c r="X126" s="271" t="s">
        <v>598</v>
      </c>
      <c r="Y126" s="628"/>
      <c r="Z126" s="255"/>
    </row>
    <row r="127" spans="1:26" ht="11.25" hidden="1" customHeight="1">
      <c r="A127" s="246" t="s">
        <v>596</v>
      </c>
      <c r="B127" s="235" t="s">
        <v>597</v>
      </c>
      <c r="C127" s="410"/>
      <c r="D127" s="396"/>
      <c r="E127" s="806"/>
      <c r="F127" s="807"/>
      <c r="G127" s="807"/>
      <c r="H127" s="807"/>
      <c r="I127" s="807"/>
      <c r="J127" s="807"/>
      <c r="K127" s="807"/>
      <c r="L127" s="807"/>
      <c r="M127" s="807"/>
      <c r="N127" s="807">
        <f t="shared" si="24"/>
        <v>0</v>
      </c>
      <c r="O127" s="807">
        <f t="shared" si="24"/>
        <v>0</v>
      </c>
      <c r="P127" s="807">
        <f t="shared" si="24"/>
        <v>0</v>
      </c>
      <c r="Q127" s="807">
        <f t="shared" si="42"/>
        <v>0</v>
      </c>
      <c r="R127" s="276"/>
      <c r="S127" s="730" t="str">
        <f t="shared" si="33"/>
        <v/>
      </c>
      <c r="T127" s="730" t="str">
        <f t="shared" si="33"/>
        <v/>
      </c>
      <c r="U127" s="730" t="str">
        <f t="shared" si="33"/>
        <v/>
      </c>
      <c r="V127" s="730" t="str">
        <f t="shared" si="32"/>
        <v/>
      </c>
      <c r="W127" s="254"/>
      <c r="X127" s="237" t="s">
        <v>598</v>
      </c>
    </row>
    <row r="128" spans="1:26" s="256" customFormat="1" ht="11.25" hidden="1" customHeight="1">
      <c r="A128" s="246" t="s">
        <v>596</v>
      </c>
      <c r="B128" s="246" t="s">
        <v>597</v>
      </c>
      <c r="C128" s="389"/>
      <c r="D128" s="389" t="s">
        <v>98</v>
      </c>
      <c r="E128" s="390" t="s">
        <v>99</v>
      </c>
      <c r="F128" s="391">
        <f>+F129</f>
        <v>25539614</v>
      </c>
      <c r="G128" s="391">
        <f t="shared" ref="G128:M128" si="45">+G129</f>
        <v>0</v>
      </c>
      <c r="H128" s="391">
        <f t="shared" si="45"/>
        <v>0</v>
      </c>
      <c r="I128" s="391">
        <f t="shared" si="45"/>
        <v>25539614</v>
      </c>
      <c r="J128" s="391">
        <f t="shared" si="45"/>
        <v>22714438.109999999</v>
      </c>
      <c r="K128" s="391">
        <f t="shared" si="45"/>
        <v>0</v>
      </c>
      <c r="L128" s="391">
        <f t="shared" si="45"/>
        <v>0</v>
      </c>
      <c r="M128" s="391">
        <f t="shared" si="45"/>
        <v>22714438.109999999</v>
      </c>
      <c r="N128" s="391">
        <f t="shared" ref="N128:P180" si="46">+F128-J128</f>
        <v>2825175.8900000006</v>
      </c>
      <c r="O128" s="391">
        <f t="shared" si="46"/>
        <v>0</v>
      </c>
      <c r="P128" s="391">
        <f t="shared" si="46"/>
        <v>0</v>
      </c>
      <c r="Q128" s="391">
        <f t="shared" si="42"/>
        <v>2825175.8900000006</v>
      </c>
      <c r="R128" s="665"/>
      <c r="S128" s="254">
        <f t="shared" si="33"/>
        <v>0.8893806347268991</v>
      </c>
      <c r="T128" s="254" t="str">
        <f t="shared" si="33"/>
        <v/>
      </c>
      <c r="U128" s="254" t="str">
        <f t="shared" si="33"/>
        <v/>
      </c>
      <c r="V128" s="297">
        <f t="shared" si="32"/>
        <v>0.8893806347268991</v>
      </c>
      <c r="W128" s="254"/>
      <c r="X128" s="271" t="s">
        <v>598</v>
      </c>
      <c r="Y128" s="628"/>
      <c r="Z128" s="255"/>
    </row>
    <row r="129" spans="1:26" ht="11.25" hidden="1" customHeight="1">
      <c r="A129" s="246" t="s">
        <v>596</v>
      </c>
      <c r="B129" s="235" t="s">
        <v>597</v>
      </c>
      <c r="C129" s="728"/>
      <c r="D129" s="394" t="s">
        <v>286</v>
      </c>
      <c r="E129" s="729" t="s">
        <v>286</v>
      </c>
      <c r="F129" s="103">
        <f>+F51+F68+F83+F98+F113</f>
        <v>25539614</v>
      </c>
      <c r="G129" s="103">
        <f>+G51+G68+G83+G98+G113</f>
        <v>0</v>
      </c>
      <c r="H129" s="103">
        <f>+H51+H68+H83+H98+H113</f>
        <v>0</v>
      </c>
      <c r="I129" s="103">
        <f>SUM(F129:H129)</f>
        <v>25539614</v>
      </c>
      <c r="J129" s="103">
        <f>+J51+J68+J83+J98+J113</f>
        <v>22714438.109999999</v>
      </c>
      <c r="K129" s="103">
        <f>+K51+K68+K83+K98+K113</f>
        <v>0</v>
      </c>
      <c r="L129" s="103">
        <f>+L51+L68+L83+L98+L113</f>
        <v>0</v>
      </c>
      <c r="M129" s="103">
        <f>SUM(J129:L129)</f>
        <v>22714438.109999999</v>
      </c>
      <c r="N129" s="103">
        <f t="shared" si="46"/>
        <v>2825175.8900000006</v>
      </c>
      <c r="O129" s="103">
        <f t="shared" si="46"/>
        <v>0</v>
      </c>
      <c r="P129" s="103">
        <f t="shared" si="46"/>
        <v>0</v>
      </c>
      <c r="Q129" s="103">
        <f t="shared" si="42"/>
        <v>2825175.8900000006</v>
      </c>
      <c r="R129" s="276"/>
      <c r="S129" s="730">
        <f t="shared" si="33"/>
        <v>0.8893806347268991</v>
      </c>
      <c r="T129" s="730" t="str">
        <f t="shared" si="33"/>
        <v/>
      </c>
      <c r="U129" s="730" t="str">
        <f t="shared" si="33"/>
        <v/>
      </c>
      <c r="V129" s="730">
        <f t="shared" si="32"/>
        <v>0.8893806347268991</v>
      </c>
      <c r="W129" s="254"/>
      <c r="X129" s="237" t="s">
        <v>598</v>
      </c>
    </row>
    <row r="130" spans="1:26" s="272" customFormat="1" ht="11.25" hidden="1" customHeight="1">
      <c r="A130" s="246" t="s">
        <v>596</v>
      </c>
      <c r="B130" s="246" t="s">
        <v>597</v>
      </c>
      <c r="C130" s="389"/>
      <c r="D130" s="389" t="s">
        <v>98</v>
      </c>
      <c r="E130" s="390" t="s">
        <v>100</v>
      </c>
      <c r="F130" s="391">
        <f t="shared" ref="F130:M130" si="47">SUM(F131:F135)</f>
        <v>9863091</v>
      </c>
      <c r="G130" s="391">
        <f t="shared" si="47"/>
        <v>16480000</v>
      </c>
      <c r="H130" s="391">
        <f t="shared" si="47"/>
        <v>0</v>
      </c>
      <c r="I130" s="391">
        <f t="shared" si="47"/>
        <v>26343091</v>
      </c>
      <c r="J130" s="391">
        <f t="shared" si="47"/>
        <v>9722588.5800000001</v>
      </c>
      <c r="K130" s="391">
        <f t="shared" si="47"/>
        <v>16460152.539999999</v>
      </c>
      <c r="L130" s="391">
        <f t="shared" si="47"/>
        <v>0</v>
      </c>
      <c r="M130" s="391">
        <f t="shared" si="47"/>
        <v>26182741.119999997</v>
      </c>
      <c r="N130" s="391">
        <f t="shared" si="46"/>
        <v>140502.41999999993</v>
      </c>
      <c r="O130" s="391">
        <f t="shared" si="46"/>
        <v>19847.460000000894</v>
      </c>
      <c r="P130" s="391">
        <f t="shared" si="46"/>
        <v>0</v>
      </c>
      <c r="Q130" s="391">
        <f t="shared" si="42"/>
        <v>160349.88000000082</v>
      </c>
      <c r="R130" s="94"/>
      <c r="S130" s="254">
        <f t="shared" si="33"/>
        <v>0.98575472739732406</v>
      </c>
      <c r="T130" s="254">
        <f t="shared" si="33"/>
        <v>0.99879566383495144</v>
      </c>
      <c r="U130" s="254" t="str">
        <f t="shared" si="33"/>
        <v/>
      </c>
      <c r="V130" s="297">
        <f t="shared" si="32"/>
        <v>0.99391301954656719</v>
      </c>
      <c r="W130" s="254"/>
      <c r="X130" s="527" t="s">
        <v>598</v>
      </c>
      <c r="Y130" s="629"/>
      <c r="Z130" s="277"/>
    </row>
    <row r="131" spans="1:26" ht="11.25" hidden="1" customHeight="1">
      <c r="A131" s="246" t="s">
        <v>596</v>
      </c>
      <c r="B131" s="235" t="s">
        <v>597</v>
      </c>
      <c r="C131" s="728"/>
      <c r="D131" s="394" t="s">
        <v>288</v>
      </c>
      <c r="E131" s="729" t="s">
        <v>288</v>
      </c>
      <c r="F131" s="103">
        <f t="shared" ref="F131:H132" si="48">+F54+F70+F85+F100+F115</f>
        <v>1716625</v>
      </c>
      <c r="G131" s="103">
        <f t="shared" si="48"/>
        <v>0</v>
      </c>
      <c r="H131" s="103">
        <f t="shared" si="48"/>
        <v>0</v>
      </c>
      <c r="I131" s="103">
        <f>SUM(F131:H131)</f>
        <v>1716625</v>
      </c>
      <c r="J131" s="103">
        <f t="shared" ref="J131:L132" si="49">+J54+J70+J85+J100+J115</f>
        <v>1581125</v>
      </c>
      <c r="K131" s="103">
        <f t="shared" si="49"/>
        <v>0</v>
      </c>
      <c r="L131" s="103">
        <f t="shared" si="49"/>
        <v>0</v>
      </c>
      <c r="M131" s="103">
        <f>SUM(J131:L131)</f>
        <v>1581125</v>
      </c>
      <c r="N131" s="103">
        <f t="shared" si="46"/>
        <v>135500</v>
      </c>
      <c r="O131" s="103">
        <f t="shared" si="46"/>
        <v>0</v>
      </c>
      <c r="P131" s="103">
        <f t="shared" si="46"/>
        <v>0</v>
      </c>
      <c r="Q131" s="103">
        <f t="shared" si="42"/>
        <v>135500</v>
      </c>
      <c r="R131" s="276">
        <f>Q131-'[3]ncr-SAOB'!AO179</f>
        <v>0</v>
      </c>
      <c r="S131" s="730">
        <f t="shared" si="33"/>
        <v>0.92106604529236147</v>
      </c>
      <c r="T131" s="730" t="str">
        <f t="shared" si="33"/>
        <v/>
      </c>
      <c r="U131" s="730" t="str">
        <f t="shared" si="33"/>
        <v/>
      </c>
      <c r="V131" s="730">
        <f t="shared" si="32"/>
        <v>0.92106604529236147</v>
      </c>
      <c r="W131" s="254"/>
      <c r="X131" s="237" t="s">
        <v>598</v>
      </c>
    </row>
    <row r="132" spans="1:26" ht="11.25" hidden="1" customHeight="1">
      <c r="A132" s="246" t="s">
        <v>596</v>
      </c>
      <c r="B132" s="235" t="s">
        <v>597</v>
      </c>
      <c r="C132" s="728"/>
      <c r="D132" s="394" t="s">
        <v>761</v>
      </c>
      <c r="E132" s="729" t="s">
        <v>761</v>
      </c>
      <c r="F132" s="103">
        <f t="shared" si="48"/>
        <v>5955000</v>
      </c>
      <c r="G132" s="103">
        <f t="shared" si="48"/>
        <v>0</v>
      </c>
      <c r="H132" s="103">
        <f t="shared" si="48"/>
        <v>0</v>
      </c>
      <c r="I132" s="103">
        <f>SUM(F132:H132)</f>
        <v>5955000</v>
      </c>
      <c r="J132" s="103">
        <f t="shared" si="49"/>
        <v>5950000</v>
      </c>
      <c r="K132" s="103">
        <f t="shared" si="49"/>
        <v>0</v>
      </c>
      <c r="L132" s="103">
        <f t="shared" si="49"/>
        <v>0</v>
      </c>
      <c r="M132" s="103">
        <f>SUM(J132:L132)</f>
        <v>5950000</v>
      </c>
      <c r="N132" s="103">
        <f>+F132-J132</f>
        <v>5000</v>
      </c>
      <c r="O132" s="103">
        <f>+G132-K132</f>
        <v>0</v>
      </c>
      <c r="P132" s="103">
        <f>+H132-L132</f>
        <v>0</v>
      </c>
      <c r="Q132" s="103">
        <f>SUM(N132:P132)</f>
        <v>5000</v>
      </c>
      <c r="R132" s="236"/>
      <c r="S132" s="730">
        <f t="shared" si="33"/>
        <v>0.99916036943744757</v>
      </c>
      <c r="T132" s="730" t="str">
        <f t="shared" si="33"/>
        <v/>
      </c>
      <c r="U132" s="730" t="str">
        <f t="shared" si="33"/>
        <v/>
      </c>
      <c r="V132" s="730">
        <f t="shared" si="32"/>
        <v>0.99916036943744757</v>
      </c>
      <c r="W132" s="254"/>
      <c r="X132" s="237" t="s">
        <v>598</v>
      </c>
    </row>
    <row r="133" spans="1:26" ht="11.25" hidden="1" customHeight="1">
      <c r="A133" s="246" t="s">
        <v>596</v>
      </c>
      <c r="B133" s="235" t="s">
        <v>597</v>
      </c>
      <c r="C133" s="411"/>
      <c r="D133" s="386"/>
      <c r="E133" s="729"/>
      <c r="F133" s="104"/>
      <c r="G133" s="104"/>
      <c r="H133" s="104"/>
      <c r="I133" s="103"/>
      <c r="J133" s="104"/>
      <c r="K133" s="104"/>
      <c r="L133" s="104"/>
      <c r="M133" s="103"/>
      <c r="N133" s="103"/>
      <c r="O133" s="103"/>
      <c r="P133" s="103"/>
      <c r="Q133" s="103"/>
      <c r="R133" s="236"/>
      <c r="S133" s="730" t="str">
        <f t="shared" si="33"/>
        <v/>
      </c>
      <c r="T133" s="730" t="str">
        <f t="shared" si="33"/>
        <v/>
      </c>
      <c r="U133" s="730" t="str">
        <f t="shared" si="33"/>
        <v/>
      </c>
      <c r="V133" s="730" t="str">
        <f t="shared" si="32"/>
        <v/>
      </c>
      <c r="W133" s="254"/>
      <c r="X133" s="237" t="s">
        <v>598</v>
      </c>
      <c r="Z133" s="241"/>
    </row>
    <row r="134" spans="1:26" ht="11.25" hidden="1" customHeight="1">
      <c r="A134" s="246" t="s">
        <v>596</v>
      </c>
      <c r="B134" s="235" t="s">
        <v>597</v>
      </c>
      <c r="C134" s="728"/>
      <c r="D134" s="394" t="s">
        <v>289</v>
      </c>
      <c r="E134" s="729" t="s">
        <v>289</v>
      </c>
      <c r="F134" s="103">
        <f t="shared" ref="F134:H135" si="50">+F57+F73+F88+F103+F118</f>
        <v>2191466</v>
      </c>
      <c r="G134" s="103">
        <f t="shared" si="50"/>
        <v>0</v>
      </c>
      <c r="H134" s="103">
        <f t="shared" si="50"/>
        <v>0</v>
      </c>
      <c r="I134" s="103">
        <f>SUM(F134:H134)</f>
        <v>2191466</v>
      </c>
      <c r="J134" s="103">
        <f t="shared" ref="J134:L135" si="51">+J57+J73+J88+J103+J118</f>
        <v>2191463.58</v>
      </c>
      <c r="K134" s="103">
        <f t="shared" si="51"/>
        <v>0</v>
      </c>
      <c r="L134" s="103">
        <f t="shared" si="51"/>
        <v>0</v>
      </c>
      <c r="M134" s="103">
        <f>SUM(J134:L134)</f>
        <v>2191463.58</v>
      </c>
      <c r="N134" s="103">
        <f t="shared" si="46"/>
        <v>2.4199999999254942</v>
      </c>
      <c r="O134" s="103">
        <f t="shared" si="46"/>
        <v>0</v>
      </c>
      <c r="P134" s="103">
        <f t="shared" si="46"/>
        <v>0</v>
      </c>
      <c r="Q134" s="103">
        <f t="shared" si="42"/>
        <v>2.4199999999254942</v>
      </c>
      <c r="R134" s="276">
        <f>Q134-'[3]ncr-SAOB'!AU179</f>
        <v>0</v>
      </c>
      <c r="S134" s="730">
        <f t="shared" si="33"/>
        <v>0.99999889571638345</v>
      </c>
      <c r="T134" s="730" t="str">
        <f t="shared" si="33"/>
        <v/>
      </c>
      <c r="U134" s="730" t="str">
        <f t="shared" si="33"/>
        <v/>
      </c>
      <c r="V134" s="730">
        <f t="shared" si="32"/>
        <v>0.99999889571638345</v>
      </c>
      <c r="W134" s="254"/>
      <c r="X134" s="237" t="s">
        <v>598</v>
      </c>
    </row>
    <row r="135" spans="1:26" ht="11.25" hidden="1" customHeight="1">
      <c r="A135" s="246" t="s">
        <v>596</v>
      </c>
      <c r="B135" s="235" t="s">
        <v>597</v>
      </c>
      <c r="C135" s="728"/>
      <c r="D135" s="394" t="s">
        <v>290</v>
      </c>
      <c r="E135" s="729" t="s">
        <v>290</v>
      </c>
      <c r="F135" s="103">
        <f t="shared" si="50"/>
        <v>0</v>
      </c>
      <c r="G135" s="103">
        <f t="shared" si="50"/>
        <v>16480000</v>
      </c>
      <c r="H135" s="103">
        <f t="shared" si="50"/>
        <v>0</v>
      </c>
      <c r="I135" s="103">
        <f>SUM(F135:H135)</f>
        <v>16480000</v>
      </c>
      <c r="J135" s="103">
        <f t="shared" si="51"/>
        <v>0</v>
      </c>
      <c r="K135" s="103">
        <f t="shared" si="51"/>
        <v>16460152.539999999</v>
      </c>
      <c r="L135" s="103">
        <f t="shared" si="51"/>
        <v>0</v>
      </c>
      <c r="M135" s="103">
        <f>SUM(J135:L135)</f>
        <v>16460152.539999999</v>
      </c>
      <c r="N135" s="103">
        <f t="shared" si="46"/>
        <v>0</v>
      </c>
      <c r="O135" s="103">
        <f t="shared" si="46"/>
        <v>19847.460000000894</v>
      </c>
      <c r="P135" s="103">
        <f t="shared" si="46"/>
        <v>0</v>
      </c>
      <c r="Q135" s="103">
        <f t="shared" si="42"/>
        <v>19847.460000000894</v>
      </c>
      <c r="R135" s="276">
        <f>Q135-'[3]ncr-SAOB'!BA179</f>
        <v>3.7252902984619141E-9</v>
      </c>
      <c r="S135" s="730" t="str">
        <f t="shared" si="33"/>
        <v/>
      </c>
      <c r="T135" s="730">
        <f t="shared" si="33"/>
        <v>0.99879566383495144</v>
      </c>
      <c r="U135" s="730" t="str">
        <f t="shared" si="33"/>
        <v/>
      </c>
      <c r="V135" s="730">
        <f t="shared" si="32"/>
        <v>0.99879566383495144</v>
      </c>
      <c r="W135" s="254"/>
      <c r="X135" s="237" t="s">
        <v>598</v>
      </c>
    </row>
    <row r="136" spans="1:26" s="266" customFormat="1" ht="24" customHeight="1">
      <c r="A136" s="246" t="s">
        <v>596</v>
      </c>
      <c r="B136" s="1009" t="s">
        <v>597</v>
      </c>
      <c r="C136" s="1431" t="s">
        <v>599</v>
      </c>
      <c r="D136" s="1432"/>
      <c r="E136" s="1433"/>
      <c r="F136" s="666">
        <f>+F130+F128+F126</f>
        <v>317725705</v>
      </c>
      <c r="G136" s="666">
        <f t="shared" ref="G136:M136" si="52">+G130+G128+G126</f>
        <v>469352414</v>
      </c>
      <c r="H136" s="666">
        <f t="shared" si="52"/>
        <v>473471882</v>
      </c>
      <c r="I136" s="666">
        <f t="shared" si="52"/>
        <v>1260550001</v>
      </c>
      <c r="J136" s="666">
        <f t="shared" si="52"/>
        <v>292737676.50999999</v>
      </c>
      <c r="K136" s="666">
        <f t="shared" si="52"/>
        <v>383433923.97999996</v>
      </c>
      <c r="L136" s="666">
        <f t="shared" si="52"/>
        <v>370676018.92000002</v>
      </c>
      <c r="M136" s="666">
        <f t="shared" si="52"/>
        <v>1046847619.4100001</v>
      </c>
      <c r="N136" s="666">
        <f t="shared" si="46"/>
        <v>24988028.49000001</v>
      </c>
      <c r="O136" s="666">
        <f t="shared" si="46"/>
        <v>85918490.020000041</v>
      </c>
      <c r="P136" s="666">
        <f t="shared" si="46"/>
        <v>102795863.07999998</v>
      </c>
      <c r="Q136" s="666">
        <f t="shared" si="42"/>
        <v>213702381.59000003</v>
      </c>
      <c r="R136" s="667">
        <f>+Q136-'[3]ncr-SAOB'!CC179</f>
        <v>0</v>
      </c>
      <c r="S136" s="1010">
        <f t="shared" si="33"/>
        <v>0.92135345646648259</v>
      </c>
      <c r="T136" s="1010">
        <f t="shared" si="33"/>
        <v>0.81694247764111838</v>
      </c>
      <c r="U136" s="1010">
        <f t="shared" si="33"/>
        <v>0.78288919154865466</v>
      </c>
      <c r="V136" s="1010">
        <f t="shared" si="32"/>
        <v>0.83046893703504909</v>
      </c>
      <c r="W136" s="668"/>
      <c r="X136" s="237" t="s">
        <v>598</v>
      </c>
      <c r="Y136" s="610" t="s">
        <v>598</v>
      </c>
      <c r="Z136" s="241" t="s">
        <v>598</v>
      </c>
    </row>
    <row r="137" spans="1:26" ht="11.25" customHeight="1">
      <c r="A137" s="246" t="s">
        <v>596</v>
      </c>
      <c r="B137" s="235" t="s">
        <v>597</v>
      </c>
      <c r="C137" s="410"/>
      <c r="D137" s="386"/>
      <c r="E137" s="461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S137" s="730" t="str">
        <f t="shared" si="33"/>
        <v/>
      </c>
      <c r="T137" s="730" t="str">
        <f t="shared" si="33"/>
        <v/>
      </c>
      <c r="U137" s="730" t="str">
        <f t="shared" si="33"/>
        <v/>
      </c>
      <c r="V137" s="730" t="str">
        <f t="shared" si="32"/>
        <v/>
      </c>
      <c r="W137" s="254"/>
      <c r="Y137" s="610" t="s">
        <v>598</v>
      </c>
      <c r="Z137" s="241" t="s">
        <v>598</v>
      </c>
    </row>
    <row r="138" spans="1:26" ht="11.25" customHeight="1">
      <c r="A138" s="528" t="s">
        <v>601</v>
      </c>
      <c r="B138" s="528" t="s">
        <v>113</v>
      </c>
      <c r="C138" s="408"/>
      <c r="D138" s="669"/>
      <c r="E138" s="408" t="s">
        <v>113</v>
      </c>
      <c r="F138" s="104"/>
      <c r="G138" s="104"/>
      <c r="H138" s="104"/>
      <c r="I138" s="103">
        <f>SUM(F138:H138)</f>
        <v>0</v>
      </c>
      <c r="J138" s="104"/>
      <c r="K138" s="104"/>
      <c r="L138" s="104"/>
      <c r="M138" s="103">
        <f>SUM(J138:L138)</f>
        <v>0</v>
      </c>
      <c r="N138" s="103">
        <f t="shared" si="46"/>
        <v>0</v>
      </c>
      <c r="O138" s="103">
        <f t="shared" si="46"/>
        <v>0</v>
      </c>
      <c r="P138" s="103">
        <f t="shared" si="46"/>
        <v>0</v>
      </c>
      <c r="Q138" s="103">
        <f t="shared" si="42"/>
        <v>0</v>
      </c>
      <c r="S138" s="730" t="str">
        <f t="shared" si="33"/>
        <v/>
      </c>
      <c r="T138" s="730" t="str">
        <f t="shared" si="33"/>
        <v/>
      </c>
      <c r="U138" s="730" t="str">
        <f t="shared" si="33"/>
        <v/>
      </c>
      <c r="V138" s="730" t="str">
        <f t="shared" si="32"/>
        <v/>
      </c>
      <c r="W138" s="531"/>
      <c r="X138" s="236"/>
      <c r="Y138" s="236" t="s">
        <v>598</v>
      </c>
      <c r="Z138" s="240" t="s">
        <v>598</v>
      </c>
    </row>
    <row r="139" spans="1:26" ht="11.25" customHeight="1">
      <c r="A139" s="528" t="s">
        <v>601</v>
      </c>
      <c r="B139" s="1013" t="s">
        <v>113</v>
      </c>
      <c r="C139" s="461"/>
      <c r="D139" s="645" t="s">
        <v>766</v>
      </c>
      <c r="E139" s="447" t="s">
        <v>766</v>
      </c>
      <c r="F139" s="103">
        <f>SUM(F140:F142)</f>
        <v>51923000</v>
      </c>
      <c r="G139" s="103">
        <f t="shared" ref="G139:M139" si="53">SUM(G140:G142)</f>
        <v>117949000</v>
      </c>
      <c r="H139" s="103">
        <f t="shared" si="53"/>
        <v>0</v>
      </c>
      <c r="I139" s="103">
        <f t="shared" si="53"/>
        <v>169872000</v>
      </c>
      <c r="J139" s="103">
        <f t="shared" si="53"/>
        <v>47682582.600000001</v>
      </c>
      <c r="K139" s="103">
        <f t="shared" si="53"/>
        <v>104082131.29000002</v>
      </c>
      <c r="L139" s="103">
        <f t="shared" si="53"/>
        <v>0</v>
      </c>
      <c r="M139" s="103">
        <f t="shared" si="53"/>
        <v>151764713.89000002</v>
      </c>
      <c r="N139" s="103">
        <f t="shared" si="46"/>
        <v>4240417.3999999985</v>
      </c>
      <c r="O139" s="103">
        <f t="shared" si="46"/>
        <v>13866868.709999979</v>
      </c>
      <c r="P139" s="103">
        <f t="shared" si="46"/>
        <v>0</v>
      </c>
      <c r="Q139" s="103">
        <f t="shared" si="42"/>
        <v>18107286.109999977</v>
      </c>
      <c r="R139" s="95">
        <f>Q139-'[3]car-SAOB'!F179</f>
        <v>0</v>
      </c>
      <c r="S139" s="730">
        <f t="shared" si="33"/>
        <v>0.91833258093715697</v>
      </c>
      <c r="T139" s="730">
        <f t="shared" si="33"/>
        <v>0.88243335077024831</v>
      </c>
      <c r="U139" s="730" t="str">
        <f t="shared" si="33"/>
        <v/>
      </c>
      <c r="V139" s="730">
        <f t="shared" si="32"/>
        <v>0.89340629350334377</v>
      </c>
      <c r="W139" s="531"/>
      <c r="X139" s="236"/>
      <c r="Y139" s="236" t="s">
        <v>688</v>
      </c>
      <c r="Z139" s="236"/>
    </row>
    <row r="140" spans="1:26" ht="11.25" hidden="1" customHeight="1">
      <c r="A140" s="528" t="s">
        <v>601</v>
      </c>
      <c r="B140" s="1013" t="s">
        <v>113</v>
      </c>
      <c r="C140" s="411"/>
      <c r="D140" s="647" t="s">
        <v>98</v>
      </c>
      <c r="E140" s="459" t="s">
        <v>775</v>
      </c>
      <c r="F140" s="103">
        <f>+'[3]car-SAOB'!C14</f>
        <v>21588000</v>
      </c>
      <c r="G140" s="103">
        <f>+'[3]car-SAOB'!C50</f>
        <v>5842000</v>
      </c>
      <c r="H140" s="103">
        <f>+'[3]car-SAOB'!C142</f>
        <v>0</v>
      </c>
      <c r="I140" s="103">
        <f>SUM(F140:H140)</f>
        <v>27430000</v>
      </c>
      <c r="J140" s="103">
        <f>+'[3]car-SAOB'!C15</f>
        <v>18671427.720000003</v>
      </c>
      <c r="K140" s="103">
        <f>+'[3]car-SAOB'!C51</f>
        <v>5232933.4800000014</v>
      </c>
      <c r="L140" s="103">
        <f>+'[3]car-SAOB'!C143</f>
        <v>0</v>
      </c>
      <c r="M140" s="103">
        <f>SUM(J140:L140)</f>
        <v>23904361.200000003</v>
      </c>
      <c r="N140" s="103">
        <f t="shared" si="46"/>
        <v>2916572.2799999975</v>
      </c>
      <c r="O140" s="103">
        <f t="shared" si="46"/>
        <v>609066.51999999862</v>
      </c>
      <c r="P140" s="103">
        <f t="shared" si="46"/>
        <v>0</v>
      </c>
      <c r="Q140" s="103">
        <f t="shared" si="42"/>
        <v>3525638.7999999961</v>
      </c>
      <c r="R140" s="276">
        <f>Q140-'[3]car-SAOB'!C179</f>
        <v>0</v>
      </c>
      <c r="S140" s="730">
        <f t="shared" si="33"/>
        <v>0.8648984491384103</v>
      </c>
      <c r="T140" s="730">
        <f t="shared" si="33"/>
        <v>0.89574349195481018</v>
      </c>
      <c r="U140" s="730" t="str">
        <f t="shared" si="33"/>
        <v/>
      </c>
      <c r="V140" s="730">
        <f t="shared" si="32"/>
        <v>0.87146777980313539</v>
      </c>
      <c r="W140" s="531"/>
      <c r="X140" s="236"/>
      <c r="Y140" s="236"/>
      <c r="Z140" s="236"/>
    </row>
    <row r="141" spans="1:26" ht="11.25" hidden="1" customHeight="1">
      <c r="A141" s="528" t="s">
        <v>601</v>
      </c>
      <c r="B141" s="1013" t="s">
        <v>113</v>
      </c>
      <c r="C141" s="406" t="s">
        <v>776</v>
      </c>
      <c r="D141" s="647" t="s">
        <v>98</v>
      </c>
      <c r="E141" s="406" t="s">
        <v>776</v>
      </c>
      <c r="F141" s="103">
        <f>+'[3]car-SAOB'!D14</f>
        <v>0</v>
      </c>
      <c r="G141" s="103">
        <f>+'[3]car-SAOB'!D50</f>
        <v>5197000</v>
      </c>
      <c r="H141" s="103">
        <f>+'[3]car-SAOB'!D142</f>
        <v>0</v>
      </c>
      <c r="I141" s="103">
        <f>SUM(F141:H141)</f>
        <v>5197000</v>
      </c>
      <c r="J141" s="103">
        <f>+'[3]car-SAOB'!D15</f>
        <v>0</v>
      </c>
      <c r="K141" s="103">
        <f>+'[3]car-SAOB'!D51</f>
        <v>4530362.66</v>
      </c>
      <c r="L141" s="103">
        <f>+'[3]car-SAOB'!D143</f>
        <v>0</v>
      </c>
      <c r="M141" s="103">
        <f>SUM(J141:L141)</f>
        <v>4530362.66</v>
      </c>
      <c r="N141" s="103">
        <f t="shared" si="46"/>
        <v>0</v>
      </c>
      <c r="O141" s="103">
        <f t="shared" si="46"/>
        <v>666637.33999999985</v>
      </c>
      <c r="P141" s="103">
        <f t="shared" si="46"/>
        <v>0</v>
      </c>
      <c r="Q141" s="103">
        <f t="shared" si="42"/>
        <v>666637.33999999985</v>
      </c>
      <c r="R141" s="276">
        <f>Q141-'[3]car-SAOB'!D179</f>
        <v>0</v>
      </c>
      <c r="S141" s="730" t="str">
        <f t="shared" si="33"/>
        <v/>
      </c>
      <c r="T141" s="730">
        <f t="shared" si="33"/>
        <v>0.87172650760053882</v>
      </c>
      <c r="U141" s="730" t="str">
        <f t="shared" si="33"/>
        <v/>
      </c>
      <c r="V141" s="730">
        <f t="shared" si="32"/>
        <v>0.87172650760053882</v>
      </c>
      <c r="W141" s="531"/>
      <c r="X141" s="236"/>
      <c r="Y141" s="236"/>
      <c r="Z141" s="236"/>
    </row>
    <row r="142" spans="1:26" ht="11.25" hidden="1" customHeight="1">
      <c r="A142" s="528" t="s">
        <v>601</v>
      </c>
      <c r="B142" s="1013" t="s">
        <v>113</v>
      </c>
      <c r="C142" s="411"/>
      <c r="D142" s="647" t="s">
        <v>98</v>
      </c>
      <c r="E142" s="406" t="s">
        <v>777</v>
      </c>
      <c r="F142" s="103">
        <f>+'[3]car-SAOB'!E14</f>
        <v>30335000</v>
      </c>
      <c r="G142" s="103">
        <f>+'[3]car-SAOB'!E50</f>
        <v>106910000</v>
      </c>
      <c r="H142" s="103">
        <f>+'[3]car-SAOB'!E142</f>
        <v>0</v>
      </c>
      <c r="I142" s="103">
        <f>SUM(F142:H142)</f>
        <v>137245000</v>
      </c>
      <c r="J142" s="103">
        <f>+'[3]car-SAOB'!E15</f>
        <v>29011154.879999999</v>
      </c>
      <c r="K142" s="103">
        <f>+'[3]car-SAOB'!E51</f>
        <v>94318835.150000021</v>
      </c>
      <c r="L142" s="103">
        <f>+'[3]car-SAOB'!E143</f>
        <v>0</v>
      </c>
      <c r="M142" s="103">
        <f>SUM(J142:L142)</f>
        <v>123329990.03000002</v>
      </c>
      <c r="N142" s="103">
        <f t="shared" si="46"/>
        <v>1323845.120000001</v>
      </c>
      <c r="O142" s="103">
        <f t="shared" si="46"/>
        <v>12591164.849999979</v>
      </c>
      <c r="P142" s="103">
        <f t="shared" si="46"/>
        <v>0</v>
      </c>
      <c r="Q142" s="103">
        <f t="shared" si="42"/>
        <v>13915009.96999998</v>
      </c>
      <c r="R142" s="276">
        <f>Q142-'[3]car-SAOB'!E179</f>
        <v>0</v>
      </c>
      <c r="S142" s="730">
        <f t="shared" si="33"/>
        <v>0.95635915213449807</v>
      </c>
      <c r="T142" s="730">
        <f t="shared" si="33"/>
        <v>0.88222650032737837</v>
      </c>
      <c r="U142" s="730" t="str">
        <f t="shared" si="33"/>
        <v/>
      </c>
      <c r="V142" s="730">
        <f t="shared" si="32"/>
        <v>0.89861189864840263</v>
      </c>
      <c r="W142" s="531"/>
      <c r="X142" s="236"/>
      <c r="Y142" s="236"/>
      <c r="Z142" s="236"/>
    </row>
    <row r="143" spans="1:26" ht="11.25" customHeight="1">
      <c r="A143" s="528" t="s">
        <v>601</v>
      </c>
      <c r="B143" s="1013" t="s">
        <v>113</v>
      </c>
      <c r="C143" s="728"/>
      <c r="D143" s="649" t="s">
        <v>50</v>
      </c>
      <c r="E143" s="447" t="s">
        <v>50</v>
      </c>
      <c r="F143" s="103"/>
      <c r="G143" s="103">
        <f>+'[3]car-SAOB'!D386</f>
        <v>109923232</v>
      </c>
      <c r="H143" s="103">
        <f>+'[3]car-SAOB'!E386</f>
        <v>35750000</v>
      </c>
      <c r="I143" s="103">
        <f>SUM(F143:H143)</f>
        <v>145673232</v>
      </c>
      <c r="J143" s="103"/>
      <c r="K143" s="103">
        <f>+'[3]car-SAOB'!H386</f>
        <v>97804242.659999996</v>
      </c>
      <c r="L143" s="103">
        <f>+'[3]car-SAOB'!I386</f>
        <v>32069235.32</v>
      </c>
      <c r="M143" s="103">
        <f>SUM(J143:L143)</f>
        <v>129873477.97999999</v>
      </c>
      <c r="N143" s="103">
        <f t="shared" si="46"/>
        <v>0</v>
      </c>
      <c r="O143" s="103">
        <f t="shared" si="46"/>
        <v>12118989.340000004</v>
      </c>
      <c r="P143" s="103">
        <f t="shared" si="46"/>
        <v>3680764.6799999997</v>
      </c>
      <c r="Q143" s="103">
        <f t="shared" si="42"/>
        <v>15799754.020000003</v>
      </c>
      <c r="R143" s="95">
        <f>Q143-'[3]car-SAOB'!X179+Q150</f>
        <v>-7.4505805969238281E-9</v>
      </c>
      <c r="S143" s="730" t="str">
        <f t="shared" si="33"/>
        <v/>
      </c>
      <c r="T143" s="730">
        <f t="shared" si="33"/>
        <v>0.88975042746195809</v>
      </c>
      <c r="U143" s="730">
        <f t="shared" si="33"/>
        <v>0.89704154741258746</v>
      </c>
      <c r="V143" s="730">
        <f t="shared" si="32"/>
        <v>0.89153975783279105</v>
      </c>
      <c r="W143" s="531"/>
      <c r="X143" s="236"/>
      <c r="Y143" s="236" t="s">
        <v>688</v>
      </c>
      <c r="Z143" s="236"/>
    </row>
    <row r="144" spans="1:26" s="256" customFormat="1" ht="11.25" customHeight="1">
      <c r="A144" s="528" t="s">
        <v>601</v>
      </c>
      <c r="B144" s="528" t="s">
        <v>113</v>
      </c>
      <c r="C144" s="389"/>
      <c r="D144" s="650" t="s">
        <v>98</v>
      </c>
      <c r="E144" s="390" t="s">
        <v>767</v>
      </c>
      <c r="F144" s="391">
        <f>+F139+F143</f>
        <v>51923000</v>
      </c>
      <c r="G144" s="391">
        <f t="shared" ref="G144:M144" si="54">+G139+G143</f>
        <v>227872232</v>
      </c>
      <c r="H144" s="391">
        <f t="shared" si="54"/>
        <v>35750000</v>
      </c>
      <c r="I144" s="391">
        <f t="shared" si="54"/>
        <v>315545232</v>
      </c>
      <c r="J144" s="391">
        <f t="shared" si="54"/>
        <v>47682582.600000001</v>
      </c>
      <c r="K144" s="391">
        <f t="shared" si="54"/>
        <v>201886373.95000002</v>
      </c>
      <c r="L144" s="391">
        <f t="shared" si="54"/>
        <v>32069235.32</v>
      </c>
      <c r="M144" s="391">
        <f t="shared" si="54"/>
        <v>281638191.87</v>
      </c>
      <c r="N144" s="391">
        <f t="shared" si="46"/>
        <v>4240417.3999999985</v>
      </c>
      <c r="O144" s="391">
        <f t="shared" si="46"/>
        <v>25985858.049999982</v>
      </c>
      <c r="P144" s="391">
        <f t="shared" si="46"/>
        <v>3680764.6799999997</v>
      </c>
      <c r="Q144" s="391">
        <f t="shared" si="42"/>
        <v>33907040.12999998</v>
      </c>
      <c r="R144" s="101"/>
      <c r="S144" s="254">
        <f t="shared" si="33"/>
        <v>0.91833258093715697</v>
      </c>
      <c r="T144" s="254">
        <f t="shared" si="33"/>
        <v>0.88596303366177598</v>
      </c>
      <c r="U144" s="254">
        <f t="shared" si="33"/>
        <v>0.89704154741258746</v>
      </c>
      <c r="V144" s="254">
        <f t="shared" si="32"/>
        <v>0.89254459680759812</v>
      </c>
      <c r="W144" s="531"/>
      <c r="Y144" s="256" t="s">
        <v>598</v>
      </c>
      <c r="Z144" s="256" t="s">
        <v>598</v>
      </c>
    </row>
    <row r="145" spans="1:26" ht="11.25" hidden="1" customHeight="1">
      <c r="A145" s="528" t="s">
        <v>601</v>
      </c>
      <c r="B145" s="1013" t="s">
        <v>113</v>
      </c>
      <c r="C145" s="410"/>
      <c r="D145" s="651"/>
      <c r="E145" s="806"/>
      <c r="F145" s="807"/>
      <c r="G145" s="807">
        <f>+G143-100027840</f>
        <v>9895392</v>
      </c>
      <c r="H145" s="807"/>
      <c r="I145" s="807"/>
      <c r="J145" s="807"/>
      <c r="K145" s="807"/>
      <c r="L145" s="807"/>
      <c r="M145" s="807"/>
      <c r="N145" s="807">
        <f t="shared" si="46"/>
        <v>0</v>
      </c>
      <c r="O145" s="807">
        <f t="shared" si="46"/>
        <v>9895392</v>
      </c>
      <c r="P145" s="807">
        <f t="shared" si="46"/>
        <v>0</v>
      </c>
      <c r="Q145" s="807">
        <f t="shared" si="42"/>
        <v>9895392</v>
      </c>
      <c r="R145" s="276"/>
      <c r="S145" s="730" t="str">
        <f t="shared" si="33"/>
        <v/>
      </c>
      <c r="T145" s="730">
        <f t="shared" si="33"/>
        <v>0</v>
      </c>
      <c r="U145" s="730" t="str">
        <f t="shared" si="33"/>
        <v/>
      </c>
      <c r="V145" s="730" t="str">
        <f t="shared" si="32"/>
        <v/>
      </c>
      <c r="W145" s="531"/>
      <c r="X145" s="236"/>
      <c r="Y145" s="236"/>
      <c r="Z145" s="236"/>
    </row>
    <row r="146" spans="1:26" s="256" customFormat="1" ht="11.25" customHeight="1">
      <c r="A146" s="528" t="s">
        <v>601</v>
      </c>
      <c r="B146" s="528" t="s">
        <v>113</v>
      </c>
      <c r="C146" s="389"/>
      <c r="D146" s="650" t="s">
        <v>98</v>
      </c>
      <c r="E146" s="390" t="s">
        <v>99</v>
      </c>
      <c r="F146" s="391">
        <f>+F147</f>
        <v>4604000</v>
      </c>
      <c r="G146" s="391">
        <f t="shared" ref="G146:M146" si="55">+G147</f>
        <v>0</v>
      </c>
      <c r="H146" s="391">
        <f t="shared" si="55"/>
        <v>0</v>
      </c>
      <c r="I146" s="391">
        <f t="shared" si="55"/>
        <v>4604000</v>
      </c>
      <c r="J146" s="391">
        <f t="shared" si="55"/>
        <v>3958796.9699999997</v>
      </c>
      <c r="K146" s="391">
        <f t="shared" si="55"/>
        <v>0</v>
      </c>
      <c r="L146" s="391">
        <f t="shared" si="55"/>
        <v>0</v>
      </c>
      <c r="M146" s="391">
        <f t="shared" si="55"/>
        <v>3958796.9699999997</v>
      </c>
      <c r="N146" s="391">
        <f t="shared" si="46"/>
        <v>645203.03000000026</v>
      </c>
      <c r="O146" s="391">
        <f t="shared" si="46"/>
        <v>0</v>
      </c>
      <c r="P146" s="391">
        <f t="shared" si="46"/>
        <v>0</v>
      </c>
      <c r="Q146" s="391">
        <f t="shared" si="42"/>
        <v>645203.03000000026</v>
      </c>
      <c r="R146" s="101"/>
      <c r="S146" s="254">
        <f t="shared" si="33"/>
        <v>0.85986033231972192</v>
      </c>
      <c r="T146" s="254" t="str">
        <f t="shared" si="33"/>
        <v/>
      </c>
      <c r="U146" s="254" t="str">
        <f t="shared" si="33"/>
        <v/>
      </c>
      <c r="V146" s="254">
        <f t="shared" si="32"/>
        <v>0.85986033231972192</v>
      </c>
      <c r="W146" s="531"/>
      <c r="Y146" s="256" t="s">
        <v>598</v>
      </c>
      <c r="Z146" s="256" t="s">
        <v>598</v>
      </c>
    </row>
    <row r="147" spans="1:26" ht="11.25" customHeight="1">
      <c r="A147" s="528" t="s">
        <v>601</v>
      </c>
      <c r="B147" s="1013" t="s">
        <v>113</v>
      </c>
      <c r="C147" s="728"/>
      <c r="D147" s="649" t="s">
        <v>286</v>
      </c>
      <c r="E147" s="729" t="s">
        <v>286</v>
      </c>
      <c r="F147" s="103">
        <f>SUM('[3]car-SAOB'!AD14)</f>
        <v>4604000</v>
      </c>
      <c r="G147" s="103">
        <f>SUM('[3]car-SAOB'!AD50)</f>
        <v>0</v>
      </c>
      <c r="H147" s="103">
        <f>SUM('[3]car-SAOB'!AD142)</f>
        <v>0</v>
      </c>
      <c r="I147" s="103">
        <f>SUM(F147:H147)</f>
        <v>4604000</v>
      </c>
      <c r="J147" s="103">
        <f>SUM('[3]car-SAOB'!AD15)</f>
        <v>3958796.9699999997</v>
      </c>
      <c r="K147" s="103">
        <f>SUM('[3]car-SAOB'!AD51)</f>
        <v>0</v>
      </c>
      <c r="L147" s="103">
        <f>SUM('[3]car-SAOB'!AD143)</f>
        <v>0</v>
      </c>
      <c r="M147" s="103">
        <f>SUM(J147:L147)</f>
        <v>3958796.9699999997</v>
      </c>
      <c r="N147" s="103">
        <f t="shared" si="46"/>
        <v>645203.03000000026</v>
      </c>
      <c r="O147" s="103">
        <f t="shared" si="46"/>
        <v>0</v>
      </c>
      <c r="P147" s="103">
        <f t="shared" si="46"/>
        <v>0</v>
      </c>
      <c r="Q147" s="103">
        <f t="shared" si="42"/>
        <v>645203.03000000026</v>
      </c>
      <c r="S147" s="730">
        <f t="shared" si="33"/>
        <v>0.85986033231972192</v>
      </c>
      <c r="T147" s="730" t="str">
        <f t="shared" si="33"/>
        <v/>
      </c>
      <c r="U147" s="730" t="str">
        <f t="shared" si="33"/>
        <v/>
      </c>
      <c r="V147" s="730">
        <f t="shared" si="32"/>
        <v>0.85986033231972192</v>
      </c>
      <c r="W147" s="531"/>
      <c r="X147" s="236"/>
      <c r="Y147" s="236" t="s">
        <v>598</v>
      </c>
      <c r="Z147" s="236"/>
    </row>
    <row r="148" spans="1:26" s="272" customFormat="1" ht="11.25" customHeight="1">
      <c r="A148" s="528" t="s">
        <v>601</v>
      </c>
      <c r="B148" s="528" t="s">
        <v>113</v>
      </c>
      <c r="C148" s="389"/>
      <c r="D148" s="650" t="s">
        <v>98</v>
      </c>
      <c r="E148" s="390" t="s">
        <v>100</v>
      </c>
      <c r="F148" s="391">
        <f t="shared" ref="F148:M148" si="56">SUM(F149:F153)</f>
        <v>14632305</v>
      </c>
      <c r="G148" s="391">
        <f t="shared" si="56"/>
        <v>0</v>
      </c>
      <c r="H148" s="391">
        <f t="shared" si="56"/>
        <v>0</v>
      </c>
      <c r="I148" s="391">
        <f t="shared" si="56"/>
        <v>14632305</v>
      </c>
      <c r="J148" s="391">
        <f t="shared" si="56"/>
        <v>14612418.029999999</v>
      </c>
      <c r="K148" s="391">
        <f t="shared" si="56"/>
        <v>0</v>
      </c>
      <c r="L148" s="391">
        <f t="shared" si="56"/>
        <v>0</v>
      </c>
      <c r="M148" s="391">
        <f t="shared" si="56"/>
        <v>14612418.029999999</v>
      </c>
      <c r="N148" s="391">
        <f t="shared" si="46"/>
        <v>19886.970000000671</v>
      </c>
      <c r="O148" s="391">
        <f t="shared" si="46"/>
        <v>0</v>
      </c>
      <c r="P148" s="391">
        <f t="shared" si="46"/>
        <v>0</v>
      </c>
      <c r="Q148" s="391">
        <f t="shared" si="42"/>
        <v>19886.970000000671</v>
      </c>
      <c r="R148" s="102"/>
      <c r="S148" s="254">
        <f t="shared" si="33"/>
        <v>0.99864088603948586</v>
      </c>
      <c r="T148" s="254" t="str">
        <f t="shared" si="33"/>
        <v/>
      </c>
      <c r="U148" s="254" t="str">
        <f t="shared" si="33"/>
        <v/>
      </c>
      <c r="V148" s="254">
        <f t="shared" si="32"/>
        <v>0.99864088603948586</v>
      </c>
      <c r="W148" s="531"/>
      <c r="Y148" s="272" t="s">
        <v>598</v>
      </c>
      <c r="Z148" s="256" t="s">
        <v>598</v>
      </c>
    </row>
    <row r="149" spans="1:26" ht="11.25" customHeight="1">
      <c r="A149" s="528" t="s">
        <v>601</v>
      </c>
      <c r="B149" s="1013" t="s">
        <v>113</v>
      </c>
      <c r="C149" s="728"/>
      <c r="D149" s="649" t="s">
        <v>288</v>
      </c>
      <c r="E149" s="729" t="s">
        <v>288</v>
      </c>
      <c r="F149" s="103">
        <f>SUM('[3]car-SAOB'!AJ14)</f>
        <v>0</v>
      </c>
      <c r="G149" s="103">
        <f>SUM('[3]car-SAOB'!AJ50)</f>
        <v>0</v>
      </c>
      <c r="H149" s="103">
        <f>SUM('[3]car-SAOB'!AJ142)</f>
        <v>0</v>
      </c>
      <c r="I149" s="103">
        <f>SUM(F149:H149)</f>
        <v>0</v>
      </c>
      <c r="J149" s="103">
        <f>SUM('[3]car-SAOB'!AJ15)</f>
        <v>0</v>
      </c>
      <c r="K149" s="103">
        <f>SUM('[3]car-SAOB'!AJ51)</f>
        <v>0</v>
      </c>
      <c r="L149" s="103">
        <f>SUM('[3]car-SAOB'!AJ143)</f>
        <v>0</v>
      </c>
      <c r="M149" s="103">
        <f>SUM(J149:L149)</f>
        <v>0</v>
      </c>
      <c r="N149" s="103">
        <f t="shared" si="46"/>
        <v>0</v>
      </c>
      <c r="O149" s="103">
        <f t="shared" si="46"/>
        <v>0</v>
      </c>
      <c r="P149" s="103">
        <f t="shared" si="46"/>
        <v>0</v>
      </c>
      <c r="Q149" s="103">
        <f t="shared" si="42"/>
        <v>0</v>
      </c>
      <c r="R149" s="95">
        <f>Q149-'[3]car-SAOB'!AJ179</f>
        <v>0</v>
      </c>
      <c r="S149" s="730" t="str">
        <f t="shared" si="33"/>
        <v/>
      </c>
      <c r="T149" s="730" t="str">
        <f t="shared" si="33"/>
        <v/>
      </c>
      <c r="U149" s="730" t="str">
        <f t="shared" si="33"/>
        <v/>
      </c>
      <c r="V149" s="730" t="str">
        <f t="shared" si="32"/>
        <v/>
      </c>
      <c r="W149" s="531"/>
      <c r="X149" s="236"/>
      <c r="Y149" s="236" t="s">
        <v>598</v>
      </c>
      <c r="Z149" s="236"/>
    </row>
    <row r="150" spans="1:26" ht="11.25" customHeight="1">
      <c r="A150" s="528" t="s">
        <v>601</v>
      </c>
      <c r="B150" s="1013" t="s">
        <v>113</v>
      </c>
      <c r="C150" s="728"/>
      <c r="D150" s="649" t="s">
        <v>761</v>
      </c>
      <c r="E150" s="729" t="s">
        <v>761</v>
      </c>
      <c r="F150" s="103">
        <f>+'[3]car-SAOB'!C386</f>
        <v>895000</v>
      </c>
      <c r="G150" s="103"/>
      <c r="H150" s="103"/>
      <c r="I150" s="103">
        <f>SUM(F150:H150)</f>
        <v>895000</v>
      </c>
      <c r="J150" s="103">
        <f>+'[3]car-SAOB'!G386</f>
        <v>885000</v>
      </c>
      <c r="K150" s="103"/>
      <c r="L150" s="103"/>
      <c r="M150" s="103">
        <f>SUM(J150:L150)</f>
        <v>885000</v>
      </c>
      <c r="N150" s="103">
        <f>+F150-J150</f>
        <v>10000</v>
      </c>
      <c r="O150" s="103">
        <f>+G150-K150</f>
        <v>0</v>
      </c>
      <c r="P150" s="103">
        <f>+H150-L150</f>
        <v>0</v>
      </c>
      <c r="Q150" s="103">
        <f>SUM(N150:P150)</f>
        <v>10000</v>
      </c>
      <c r="S150" s="730">
        <f t="shared" si="33"/>
        <v>0.98882681564245811</v>
      </c>
      <c r="T150" s="730" t="str">
        <f t="shared" si="33"/>
        <v/>
      </c>
      <c r="U150" s="730" t="str">
        <f t="shared" si="33"/>
        <v/>
      </c>
      <c r="V150" s="730">
        <f t="shared" si="32"/>
        <v>0.98882681564245811</v>
      </c>
      <c r="W150" s="531"/>
      <c r="X150" s="236"/>
      <c r="Y150" s="236" t="s">
        <v>688</v>
      </c>
      <c r="Z150" s="236"/>
    </row>
    <row r="151" spans="1:26" ht="11.25" customHeight="1">
      <c r="A151" s="528" t="s">
        <v>601</v>
      </c>
      <c r="B151" s="1013" t="s">
        <v>113</v>
      </c>
      <c r="C151" s="411"/>
      <c r="D151" s="647"/>
      <c r="E151" s="1014"/>
      <c r="F151" s="104"/>
      <c r="G151" s="104"/>
      <c r="H151" s="104"/>
      <c r="I151" s="103"/>
      <c r="J151" s="104"/>
      <c r="K151" s="104"/>
      <c r="L151" s="104"/>
      <c r="M151" s="103"/>
      <c r="N151" s="103"/>
      <c r="O151" s="103"/>
      <c r="P151" s="103"/>
      <c r="Q151" s="103"/>
      <c r="S151" s="730" t="str">
        <f t="shared" si="33"/>
        <v/>
      </c>
      <c r="T151" s="730" t="str">
        <f t="shared" si="33"/>
        <v/>
      </c>
      <c r="U151" s="730" t="str">
        <f t="shared" si="33"/>
        <v/>
      </c>
      <c r="V151" s="730" t="str">
        <f t="shared" si="33"/>
        <v/>
      </c>
      <c r="W151" s="531"/>
      <c r="X151" s="236"/>
      <c r="Y151" s="236" t="s">
        <v>688</v>
      </c>
      <c r="Z151" s="240"/>
    </row>
    <row r="152" spans="1:26" ht="11.25" customHeight="1">
      <c r="A152" s="528" t="s">
        <v>601</v>
      </c>
      <c r="B152" s="1013" t="s">
        <v>113</v>
      </c>
      <c r="C152" s="728"/>
      <c r="D152" s="649" t="s">
        <v>289</v>
      </c>
      <c r="E152" s="729" t="s">
        <v>289</v>
      </c>
      <c r="F152" s="103">
        <f>SUM('[3]car-SAOB'!AP14)</f>
        <v>13737305</v>
      </c>
      <c r="G152" s="103">
        <f>SUM('[3]car-SAOB'!AP50)</f>
        <v>0</v>
      </c>
      <c r="H152" s="103">
        <f>SUM('[3]car-SAOB'!AP142)</f>
        <v>0</v>
      </c>
      <c r="I152" s="103">
        <f>SUM(F152:H152)</f>
        <v>13737305</v>
      </c>
      <c r="J152" s="103">
        <f>SUM('[3]car-SAOB'!AP15)</f>
        <v>13727418.029999999</v>
      </c>
      <c r="K152" s="103">
        <f>SUM('[3]car-SAOB'!AP51)</f>
        <v>0</v>
      </c>
      <c r="L152" s="103">
        <f>SUM('[3]car-SAOB'!AP143)</f>
        <v>0</v>
      </c>
      <c r="M152" s="103">
        <f>SUM(J152:L152)</f>
        <v>13727418.029999999</v>
      </c>
      <c r="N152" s="103">
        <f t="shared" si="46"/>
        <v>9886.9700000006706</v>
      </c>
      <c r="O152" s="103">
        <f t="shared" si="46"/>
        <v>0</v>
      </c>
      <c r="P152" s="103">
        <f t="shared" si="46"/>
        <v>0</v>
      </c>
      <c r="Q152" s="103">
        <f t="shared" si="42"/>
        <v>9886.9700000006706</v>
      </c>
      <c r="R152" s="95">
        <f>Q152-'[3]car-SAOB'!AP179</f>
        <v>0</v>
      </c>
      <c r="S152" s="730">
        <f t="shared" ref="S152:V215" si="57">IF(F152=0,"",J152/F152)</f>
        <v>0.9992802831414167</v>
      </c>
      <c r="T152" s="730" t="str">
        <f t="shared" si="57"/>
        <v/>
      </c>
      <c r="U152" s="730" t="str">
        <f t="shared" si="57"/>
        <v/>
      </c>
      <c r="V152" s="730">
        <f t="shared" si="57"/>
        <v>0.9992802831414167</v>
      </c>
      <c r="W152" s="531"/>
      <c r="X152" s="236"/>
      <c r="Y152" s="236" t="s">
        <v>598</v>
      </c>
      <c r="Z152" s="236"/>
    </row>
    <row r="153" spans="1:26" ht="11.25" customHeight="1">
      <c r="A153" s="528" t="s">
        <v>601</v>
      </c>
      <c r="B153" s="1013" t="s">
        <v>113</v>
      </c>
      <c r="C153" s="728"/>
      <c r="D153" s="649" t="s">
        <v>290</v>
      </c>
      <c r="E153" s="729" t="s">
        <v>290</v>
      </c>
      <c r="F153" s="103">
        <f>SUM('[3]car-SAOB'!AV14)</f>
        <v>0</v>
      </c>
      <c r="G153" s="103">
        <f>SUM('[3]car-SAOB'!AV50)</f>
        <v>0</v>
      </c>
      <c r="H153" s="103">
        <f>SUM('[3]car-SAOB'!AV142)</f>
        <v>0</v>
      </c>
      <c r="I153" s="103">
        <f>SUM(F153:H153)</f>
        <v>0</v>
      </c>
      <c r="J153" s="103">
        <f>SUM('[3]car-SAOB'!AV15)</f>
        <v>0</v>
      </c>
      <c r="K153" s="103">
        <f>SUM('[3]car-SAOB'!AV51)</f>
        <v>0</v>
      </c>
      <c r="L153" s="103">
        <f>SUM('[3]car-SAOB'!AV143)</f>
        <v>0</v>
      </c>
      <c r="M153" s="103">
        <f>SUM(J153:L153)</f>
        <v>0</v>
      </c>
      <c r="N153" s="103">
        <f t="shared" si="46"/>
        <v>0</v>
      </c>
      <c r="O153" s="103">
        <f t="shared" si="46"/>
        <v>0</v>
      </c>
      <c r="P153" s="103">
        <f t="shared" si="46"/>
        <v>0</v>
      </c>
      <c r="Q153" s="103">
        <f t="shared" si="42"/>
        <v>0</v>
      </c>
      <c r="R153" s="95">
        <f>Q153-'[3]car-SAOB'!AV179</f>
        <v>0</v>
      </c>
      <c r="S153" s="730" t="str">
        <f t="shared" si="57"/>
        <v/>
      </c>
      <c r="T153" s="730" t="str">
        <f t="shared" si="57"/>
        <v/>
      </c>
      <c r="U153" s="730" t="str">
        <f t="shared" si="57"/>
        <v/>
      </c>
      <c r="V153" s="730" t="str">
        <f t="shared" si="57"/>
        <v/>
      </c>
      <c r="W153" s="531"/>
      <c r="X153" s="236"/>
      <c r="Y153" s="236" t="s">
        <v>598</v>
      </c>
      <c r="Z153" s="236"/>
    </row>
    <row r="154" spans="1:26" s="671" customFormat="1" ht="11.25" customHeight="1">
      <c r="A154" s="246" t="s">
        <v>601</v>
      </c>
      <c r="B154" s="235" t="s">
        <v>113</v>
      </c>
      <c r="C154" s="1425" t="s">
        <v>299</v>
      </c>
      <c r="D154" s="1426"/>
      <c r="E154" s="1427"/>
      <c r="F154" s="652">
        <f t="shared" ref="F154:M154" si="58">+F144+F146+F148</f>
        <v>71159305</v>
      </c>
      <c r="G154" s="652">
        <f t="shared" si="58"/>
        <v>227872232</v>
      </c>
      <c r="H154" s="652">
        <f t="shared" si="58"/>
        <v>35750000</v>
      </c>
      <c r="I154" s="652">
        <f t="shared" si="58"/>
        <v>334781537</v>
      </c>
      <c r="J154" s="652">
        <f t="shared" si="58"/>
        <v>66253797.600000001</v>
      </c>
      <c r="K154" s="652">
        <f t="shared" si="58"/>
        <v>201886373.95000002</v>
      </c>
      <c r="L154" s="652">
        <f t="shared" si="58"/>
        <v>32069235.32</v>
      </c>
      <c r="M154" s="652">
        <f t="shared" si="58"/>
        <v>300209406.87</v>
      </c>
      <c r="N154" s="652">
        <f t="shared" si="46"/>
        <v>4905507.3999999985</v>
      </c>
      <c r="O154" s="652">
        <f t="shared" si="46"/>
        <v>25985858.049999982</v>
      </c>
      <c r="P154" s="652">
        <f t="shared" si="46"/>
        <v>3680764.6799999997</v>
      </c>
      <c r="Q154" s="652">
        <f t="shared" si="42"/>
        <v>34572130.12999998</v>
      </c>
      <c r="R154" s="670">
        <f>+Q154-'[3]car-SAOB'!BX179</f>
        <v>0</v>
      </c>
      <c r="S154" s="1008">
        <f t="shared" si="57"/>
        <v>0.93106302260821694</v>
      </c>
      <c r="T154" s="1008">
        <f t="shared" si="57"/>
        <v>0.88596303366177598</v>
      </c>
      <c r="U154" s="1008">
        <f t="shared" si="57"/>
        <v>0.89704154741258746</v>
      </c>
      <c r="V154" s="1008">
        <f t="shared" si="57"/>
        <v>0.89673226773554127</v>
      </c>
      <c r="W154" s="254"/>
      <c r="X154" s="237"/>
      <c r="Y154" s="610" t="s">
        <v>598</v>
      </c>
      <c r="Z154" s="241" t="s">
        <v>598</v>
      </c>
    </row>
    <row r="155" spans="1:26" ht="11.25" customHeight="1">
      <c r="A155" s="246" t="s">
        <v>601</v>
      </c>
      <c r="B155" s="235" t="s">
        <v>113</v>
      </c>
      <c r="C155" s="410"/>
      <c r="D155" s="386"/>
      <c r="E155" s="461"/>
      <c r="F155" s="103"/>
      <c r="G155" s="103"/>
      <c r="H155" s="103"/>
      <c r="I155" s="103">
        <f>SUM(F155:H155)</f>
        <v>0</v>
      </c>
      <c r="J155" s="103"/>
      <c r="K155" s="103"/>
      <c r="L155" s="103"/>
      <c r="M155" s="103">
        <f>SUM(J155:L155)</f>
        <v>0</v>
      </c>
      <c r="N155" s="103">
        <f t="shared" si="46"/>
        <v>0</v>
      </c>
      <c r="O155" s="103">
        <f t="shared" si="46"/>
        <v>0</v>
      </c>
      <c r="P155" s="103">
        <f t="shared" si="46"/>
        <v>0</v>
      </c>
      <c r="Q155" s="103">
        <f t="shared" si="42"/>
        <v>0</v>
      </c>
      <c r="S155" s="730" t="str">
        <f t="shared" si="57"/>
        <v/>
      </c>
      <c r="T155" s="730" t="str">
        <f t="shared" si="57"/>
        <v/>
      </c>
      <c r="U155" s="730" t="str">
        <f t="shared" si="57"/>
        <v/>
      </c>
      <c r="V155" s="730" t="str">
        <f t="shared" si="57"/>
        <v/>
      </c>
      <c r="W155" s="254"/>
      <c r="Y155" s="610" t="s">
        <v>598</v>
      </c>
      <c r="Z155" s="241" t="s">
        <v>598</v>
      </c>
    </row>
    <row r="156" spans="1:26" ht="11.25" customHeight="1">
      <c r="A156" s="246" t="s">
        <v>601</v>
      </c>
      <c r="B156" s="235" t="s">
        <v>117</v>
      </c>
      <c r="C156" s="410" t="s">
        <v>116</v>
      </c>
      <c r="D156" s="386"/>
      <c r="E156" s="461"/>
      <c r="F156" s="103"/>
      <c r="G156" s="103"/>
      <c r="H156" s="103"/>
      <c r="I156" s="103">
        <f>SUM(F156:H156)</f>
        <v>0</v>
      </c>
      <c r="J156" s="103"/>
      <c r="K156" s="103"/>
      <c r="L156" s="103"/>
      <c r="M156" s="103">
        <f>SUM(J156:L156)</f>
        <v>0</v>
      </c>
      <c r="N156" s="103">
        <f t="shared" si="46"/>
        <v>0</v>
      </c>
      <c r="O156" s="103">
        <f t="shared" si="46"/>
        <v>0</v>
      </c>
      <c r="P156" s="103">
        <f t="shared" si="46"/>
        <v>0</v>
      </c>
      <c r="Q156" s="103">
        <f t="shared" si="42"/>
        <v>0</v>
      </c>
      <c r="S156" s="730" t="str">
        <f t="shared" si="57"/>
        <v/>
      </c>
      <c r="T156" s="730" t="str">
        <f t="shared" si="57"/>
        <v/>
      </c>
      <c r="U156" s="730" t="str">
        <f t="shared" si="57"/>
        <v/>
      </c>
      <c r="V156" s="730" t="str">
        <f t="shared" si="57"/>
        <v/>
      </c>
      <c r="W156" s="254"/>
      <c r="Y156" s="610" t="s">
        <v>598</v>
      </c>
      <c r="Z156" s="241" t="s">
        <v>598</v>
      </c>
    </row>
    <row r="157" spans="1:26" s="675" customFormat="1" ht="11.25" customHeight="1">
      <c r="A157" s="528" t="s">
        <v>601</v>
      </c>
      <c r="B157" s="528" t="s">
        <v>117</v>
      </c>
      <c r="C157" s="407" t="s">
        <v>98</v>
      </c>
      <c r="D157" s="655" t="s">
        <v>105</v>
      </c>
      <c r="E157" s="408" t="s">
        <v>783</v>
      </c>
      <c r="F157" s="673"/>
      <c r="G157" s="673"/>
      <c r="H157" s="673"/>
      <c r="I157" s="674">
        <f>SUM(F157:H157)</f>
        <v>0</v>
      </c>
      <c r="J157" s="673"/>
      <c r="K157" s="673"/>
      <c r="L157" s="673"/>
      <c r="M157" s="674">
        <f>SUM(J157:L157)</f>
        <v>0</v>
      </c>
      <c r="N157" s="674">
        <f t="shared" si="46"/>
        <v>0</v>
      </c>
      <c r="O157" s="674">
        <f t="shared" si="46"/>
        <v>0</v>
      </c>
      <c r="P157" s="674">
        <f t="shared" si="46"/>
        <v>0</v>
      </c>
      <c r="Q157" s="674">
        <f t="shared" si="42"/>
        <v>0</v>
      </c>
      <c r="R157" s="101"/>
      <c r="S157" s="254" t="str">
        <f t="shared" si="57"/>
        <v/>
      </c>
      <c r="T157" s="254" t="str">
        <f t="shared" si="57"/>
        <v/>
      </c>
      <c r="U157" s="254" t="str">
        <f t="shared" si="57"/>
        <v/>
      </c>
      <c r="V157" s="254" t="str">
        <f t="shared" si="57"/>
        <v/>
      </c>
      <c r="W157" s="531"/>
      <c r="Y157" s="272" t="s">
        <v>598</v>
      </c>
      <c r="Z157" s="260" t="s">
        <v>598</v>
      </c>
    </row>
    <row r="158" spans="1:26" ht="11.25" customHeight="1">
      <c r="A158" s="528" t="s">
        <v>601</v>
      </c>
      <c r="B158" s="1013" t="s">
        <v>117</v>
      </c>
      <c r="C158" s="461"/>
      <c r="D158" s="645" t="s">
        <v>766</v>
      </c>
      <c r="E158" s="447" t="s">
        <v>766</v>
      </c>
      <c r="F158" s="104">
        <f>+'[3]car-SAOB'!C391</f>
        <v>229323000</v>
      </c>
      <c r="G158" s="104">
        <f>+'[3]car-SAOB'!D391</f>
        <v>97777000</v>
      </c>
      <c r="H158" s="104">
        <f>+'[3]car-SAOB'!E391</f>
        <v>0</v>
      </c>
      <c r="I158" s="103">
        <f>SUM(F158:H158)</f>
        <v>327100000</v>
      </c>
      <c r="J158" s="104">
        <f>+'[3]car-SAOB'!G391</f>
        <v>213359977.38</v>
      </c>
      <c r="K158" s="104">
        <f>+'[3]car-SAOB'!H391</f>
        <v>91943587.220000014</v>
      </c>
      <c r="L158" s="104">
        <f>+'[3]car-SAOB'!I391</f>
        <v>0</v>
      </c>
      <c r="M158" s="103">
        <f>SUM(J158:L158)</f>
        <v>305303564.60000002</v>
      </c>
      <c r="N158" s="103">
        <f t="shared" si="46"/>
        <v>15963022.620000005</v>
      </c>
      <c r="O158" s="103">
        <f t="shared" si="46"/>
        <v>5833412.7799999863</v>
      </c>
      <c r="P158" s="103">
        <f t="shared" si="46"/>
        <v>0</v>
      </c>
      <c r="Q158" s="103">
        <f t="shared" si="42"/>
        <v>21796435.399999991</v>
      </c>
      <c r="R158" s="95">
        <f>Q158-'[3]car-SAOB'!G179</f>
        <v>0</v>
      </c>
      <c r="S158" s="730">
        <f t="shared" si="57"/>
        <v>0.93039066024777273</v>
      </c>
      <c r="T158" s="730">
        <f t="shared" si="57"/>
        <v>0.94033962199699328</v>
      </c>
      <c r="U158" s="730" t="str">
        <f t="shared" si="57"/>
        <v/>
      </c>
      <c r="V158" s="730">
        <f t="shared" si="57"/>
        <v>0.93336461204524612</v>
      </c>
      <c r="W158" s="531"/>
      <c r="X158" s="236"/>
      <c r="Y158" s="236" t="s">
        <v>688</v>
      </c>
      <c r="Z158" s="236"/>
    </row>
    <row r="159" spans="1:26" ht="11.25" customHeight="1">
      <c r="A159" s="528" t="s">
        <v>601</v>
      </c>
      <c r="B159" s="1013" t="s">
        <v>117</v>
      </c>
      <c r="C159" s="728"/>
      <c r="D159" s="649" t="s">
        <v>50</v>
      </c>
      <c r="E159" s="447" t="s">
        <v>50</v>
      </c>
      <c r="F159" s="104"/>
      <c r="G159" s="104">
        <f>+'[3]car-SAOB'!D393</f>
        <v>35560000</v>
      </c>
      <c r="H159" s="104">
        <f>+'[3]car-SAOB'!E393</f>
        <v>28800000</v>
      </c>
      <c r="I159" s="103">
        <f>SUM(F159:H159)</f>
        <v>64360000</v>
      </c>
      <c r="J159" s="104"/>
      <c r="K159" s="104">
        <f>+'[3]car-SAOB'!H393</f>
        <v>32227452.66</v>
      </c>
      <c r="L159" s="104">
        <f>+'[3]car-SAOB'!I393</f>
        <v>27670570.260000002</v>
      </c>
      <c r="M159" s="103">
        <f>SUM(J159:L159)</f>
        <v>59898022.920000002</v>
      </c>
      <c r="N159" s="103">
        <f t="shared" si="46"/>
        <v>0</v>
      </c>
      <c r="O159" s="103">
        <f t="shared" si="46"/>
        <v>3332547.34</v>
      </c>
      <c r="P159" s="103">
        <f t="shared" si="46"/>
        <v>1129429.7399999984</v>
      </c>
      <c r="Q159" s="103">
        <f t="shared" si="42"/>
        <v>4461977.0799999982</v>
      </c>
      <c r="R159" s="95">
        <f>Q159-'[3]car-SAOB'!Y179+Q166</f>
        <v>0</v>
      </c>
      <c r="S159" s="730" t="str">
        <f t="shared" si="57"/>
        <v/>
      </c>
      <c r="T159" s="730">
        <f t="shared" si="57"/>
        <v>0.90628382058492685</v>
      </c>
      <c r="U159" s="730">
        <f t="shared" si="57"/>
        <v>0.96078368958333338</v>
      </c>
      <c r="V159" s="730">
        <f t="shared" si="57"/>
        <v>0.93067158048477316</v>
      </c>
      <c r="W159" s="531"/>
      <c r="X159" s="236"/>
      <c r="Y159" s="236" t="s">
        <v>688</v>
      </c>
      <c r="Z159" s="236"/>
    </row>
    <row r="160" spans="1:26" s="256" customFormat="1" ht="11.25" customHeight="1">
      <c r="A160" s="528" t="s">
        <v>601</v>
      </c>
      <c r="B160" s="528" t="s">
        <v>117</v>
      </c>
      <c r="C160" s="389"/>
      <c r="D160" s="650" t="s">
        <v>98</v>
      </c>
      <c r="E160" s="390" t="s">
        <v>767</v>
      </c>
      <c r="F160" s="391">
        <f>+F158+F159</f>
        <v>229323000</v>
      </c>
      <c r="G160" s="391">
        <f t="shared" ref="G160:M160" si="59">+G158+G159</f>
        <v>133337000</v>
      </c>
      <c r="H160" s="391">
        <f t="shared" si="59"/>
        <v>28800000</v>
      </c>
      <c r="I160" s="391">
        <f t="shared" si="59"/>
        <v>391460000</v>
      </c>
      <c r="J160" s="391">
        <f t="shared" si="59"/>
        <v>213359977.38</v>
      </c>
      <c r="K160" s="391">
        <f t="shared" si="59"/>
        <v>124171039.88000001</v>
      </c>
      <c r="L160" s="391">
        <f t="shared" si="59"/>
        <v>27670570.260000002</v>
      </c>
      <c r="M160" s="391">
        <f t="shared" si="59"/>
        <v>365201587.52000004</v>
      </c>
      <c r="N160" s="391">
        <f t="shared" si="46"/>
        <v>15963022.620000005</v>
      </c>
      <c r="O160" s="391">
        <f t="shared" si="46"/>
        <v>9165960.1199999899</v>
      </c>
      <c r="P160" s="391">
        <f t="shared" si="46"/>
        <v>1129429.7399999984</v>
      </c>
      <c r="Q160" s="391">
        <f t="shared" si="42"/>
        <v>26258412.479999993</v>
      </c>
      <c r="R160" s="101"/>
      <c r="S160" s="254">
        <f t="shared" si="57"/>
        <v>0.93039066024777273</v>
      </c>
      <c r="T160" s="254">
        <f t="shared" si="57"/>
        <v>0.93125718952728809</v>
      </c>
      <c r="U160" s="254">
        <f t="shared" si="57"/>
        <v>0.96078368958333338</v>
      </c>
      <c r="V160" s="254">
        <f t="shared" si="57"/>
        <v>0.93292185030399033</v>
      </c>
      <c r="W160" s="531"/>
      <c r="Y160" s="256" t="s">
        <v>598</v>
      </c>
      <c r="Z160" s="256" t="s">
        <v>598</v>
      </c>
    </row>
    <row r="161" spans="1:26" ht="11.25" hidden="1" customHeight="1">
      <c r="A161" s="528" t="s">
        <v>601</v>
      </c>
      <c r="B161" s="1013" t="s">
        <v>117</v>
      </c>
      <c r="C161" s="410"/>
      <c r="D161" s="651"/>
      <c r="E161" s="806" t="s">
        <v>764</v>
      </c>
      <c r="F161" s="807"/>
      <c r="G161" s="807"/>
      <c r="H161" s="807"/>
      <c r="I161" s="807"/>
      <c r="J161" s="807"/>
      <c r="K161" s="807"/>
      <c r="L161" s="807"/>
      <c r="M161" s="807"/>
      <c r="N161" s="807">
        <f t="shared" si="46"/>
        <v>0</v>
      </c>
      <c r="O161" s="807">
        <f t="shared" si="46"/>
        <v>0</v>
      </c>
      <c r="P161" s="807">
        <f t="shared" si="46"/>
        <v>0</v>
      </c>
      <c r="Q161" s="807">
        <f t="shared" si="42"/>
        <v>0</v>
      </c>
      <c r="R161" s="276"/>
      <c r="S161" s="730" t="str">
        <f t="shared" si="57"/>
        <v/>
      </c>
      <c r="T161" s="730" t="str">
        <f t="shared" si="57"/>
        <v/>
      </c>
      <c r="U161" s="730" t="str">
        <f t="shared" si="57"/>
        <v/>
      </c>
      <c r="V161" s="730" t="str">
        <f t="shared" si="57"/>
        <v/>
      </c>
      <c r="W161" s="531"/>
      <c r="X161" s="236"/>
      <c r="Y161" s="236"/>
      <c r="Z161" s="236"/>
    </row>
    <row r="162" spans="1:26" s="256" customFormat="1" ht="11.25" customHeight="1">
      <c r="A162" s="528" t="s">
        <v>601</v>
      </c>
      <c r="B162" s="528" t="s">
        <v>117</v>
      </c>
      <c r="C162" s="389"/>
      <c r="D162" s="650" t="s">
        <v>98</v>
      </c>
      <c r="E162" s="390" t="s">
        <v>99</v>
      </c>
      <c r="F162" s="391">
        <f>+F163</f>
        <v>21446000</v>
      </c>
      <c r="G162" s="391">
        <f t="shared" ref="G162:M162" si="60">+G163</f>
        <v>0</v>
      </c>
      <c r="H162" s="391">
        <f t="shared" si="60"/>
        <v>0</v>
      </c>
      <c r="I162" s="391">
        <f t="shared" si="60"/>
        <v>21446000</v>
      </c>
      <c r="J162" s="391">
        <f t="shared" si="60"/>
        <v>19248775.91</v>
      </c>
      <c r="K162" s="391">
        <f t="shared" si="60"/>
        <v>0</v>
      </c>
      <c r="L162" s="391">
        <f t="shared" si="60"/>
        <v>0</v>
      </c>
      <c r="M162" s="391">
        <f t="shared" si="60"/>
        <v>19248775.91</v>
      </c>
      <c r="N162" s="391">
        <f t="shared" si="46"/>
        <v>2197224.09</v>
      </c>
      <c r="O162" s="391">
        <f t="shared" si="46"/>
        <v>0</v>
      </c>
      <c r="P162" s="391">
        <f t="shared" si="46"/>
        <v>0</v>
      </c>
      <c r="Q162" s="391">
        <f t="shared" si="42"/>
        <v>2197224.09</v>
      </c>
      <c r="R162" s="101"/>
      <c r="S162" s="254">
        <f t="shared" si="57"/>
        <v>0.89754620488669212</v>
      </c>
      <c r="T162" s="254" t="str">
        <f t="shared" si="57"/>
        <v/>
      </c>
      <c r="U162" s="254" t="str">
        <f t="shared" si="57"/>
        <v/>
      </c>
      <c r="V162" s="254">
        <f t="shared" si="57"/>
        <v>0.89754620488669212</v>
      </c>
      <c r="W162" s="531"/>
      <c r="Y162" s="256" t="s">
        <v>598</v>
      </c>
      <c r="Z162" s="256" t="s">
        <v>598</v>
      </c>
    </row>
    <row r="163" spans="1:26" ht="11.25" customHeight="1">
      <c r="A163" s="528" t="s">
        <v>601</v>
      </c>
      <c r="B163" s="1013" t="s">
        <v>117</v>
      </c>
      <c r="C163" s="728"/>
      <c r="D163" s="649" t="s">
        <v>286</v>
      </c>
      <c r="E163" s="729" t="s">
        <v>286</v>
      </c>
      <c r="F163" s="103">
        <f>SUM('[3]car-SAOB'!AE14)</f>
        <v>21446000</v>
      </c>
      <c r="G163" s="103">
        <f>SUM('[3]car-SAOB'!AE50)</f>
        <v>0</v>
      </c>
      <c r="H163" s="103">
        <f>SUM('[3]car-SAOB'!AE142)</f>
        <v>0</v>
      </c>
      <c r="I163" s="103">
        <f>SUM(F163:H163)</f>
        <v>21446000</v>
      </c>
      <c r="J163" s="103">
        <f>SUM('[3]car-SAOB'!AE15)</f>
        <v>19248775.91</v>
      </c>
      <c r="K163" s="103">
        <f>SUM('[3]car-SAOB'!AE51)</f>
        <v>0</v>
      </c>
      <c r="L163" s="103">
        <f>SUM('[3]car-SAOB'!AE143)</f>
        <v>0</v>
      </c>
      <c r="M163" s="103">
        <f>SUM(J163:L163)</f>
        <v>19248775.91</v>
      </c>
      <c r="N163" s="103">
        <f t="shared" si="46"/>
        <v>2197224.09</v>
      </c>
      <c r="O163" s="103">
        <f t="shared" si="46"/>
        <v>0</v>
      </c>
      <c r="P163" s="103">
        <f t="shared" si="46"/>
        <v>0</v>
      </c>
      <c r="Q163" s="103">
        <f t="shared" si="42"/>
        <v>2197224.09</v>
      </c>
      <c r="R163" s="95">
        <f>Q163-'[3]car-SAOB'!AE179</f>
        <v>0</v>
      </c>
      <c r="S163" s="730">
        <f t="shared" si="57"/>
        <v>0.89754620488669212</v>
      </c>
      <c r="T163" s="730" t="str">
        <f t="shared" si="57"/>
        <v/>
      </c>
      <c r="U163" s="730" t="str">
        <f t="shared" si="57"/>
        <v/>
      </c>
      <c r="V163" s="730">
        <f t="shared" si="57"/>
        <v>0.89754620488669212</v>
      </c>
      <c r="W163" s="531"/>
      <c r="X163" s="236"/>
      <c r="Y163" s="236" t="s">
        <v>598</v>
      </c>
      <c r="Z163" s="236"/>
    </row>
    <row r="164" spans="1:26" s="272" customFormat="1" ht="11.25" customHeight="1">
      <c r="A164" s="528" t="s">
        <v>601</v>
      </c>
      <c r="B164" s="528" t="s">
        <v>117</v>
      </c>
      <c r="C164" s="389"/>
      <c r="D164" s="650" t="s">
        <v>98</v>
      </c>
      <c r="E164" s="390" t="s">
        <v>100</v>
      </c>
      <c r="F164" s="391">
        <f t="shared" ref="F164:M164" si="61">SUM(F165:F169)</f>
        <v>14824529</v>
      </c>
      <c r="G164" s="391">
        <f t="shared" si="61"/>
        <v>4810000</v>
      </c>
      <c r="H164" s="391">
        <f t="shared" si="61"/>
        <v>0</v>
      </c>
      <c r="I164" s="391">
        <f t="shared" si="61"/>
        <v>19634529</v>
      </c>
      <c r="J164" s="391">
        <f t="shared" si="61"/>
        <v>14781159.4</v>
      </c>
      <c r="K164" s="391">
        <f t="shared" si="61"/>
        <v>3810000</v>
      </c>
      <c r="L164" s="391">
        <f t="shared" si="61"/>
        <v>0</v>
      </c>
      <c r="M164" s="391">
        <f t="shared" si="61"/>
        <v>18591159.399999999</v>
      </c>
      <c r="N164" s="391">
        <f t="shared" si="46"/>
        <v>43369.599999999627</v>
      </c>
      <c r="O164" s="391">
        <f t="shared" si="46"/>
        <v>1000000</v>
      </c>
      <c r="P164" s="391">
        <f t="shared" si="46"/>
        <v>0</v>
      </c>
      <c r="Q164" s="391">
        <f t="shared" si="42"/>
        <v>1043369.5999999996</v>
      </c>
      <c r="R164" s="102"/>
      <c r="S164" s="254">
        <f t="shared" si="57"/>
        <v>0.99707447029177121</v>
      </c>
      <c r="T164" s="254">
        <f t="shared" si="57"/>
        <v>0.79209979209979209</v>
      </c>
      <c r="U164" s="254" t="str">
        <f t="shared" si="57"/>
        <v/>
      </c>
      <c r="V164" s="254">
        <f t="shared" si="57"/>
        <v>0.94686047218143088</v>
      </c>
      <c r="W164" s="531"/>
      <c r="Y164" s="272" t="s">
        <v>598</v>
      </c>
      <c r="Z164" s="256" t="s">
        <v>598</v>
      </c>
    </row>
    <row r="165" spans="1:26" ht="11.25" customHeight="1">
      <c r="A165" s="528" t="s">
        <v>601</v>
      </c>
      <c r="B165" s="1013" t="s">
        <v>117</v>
      </c>
      <c r="C165" s="728"/>
      <c r="D165" s="649" t="s">
        <v>288</v>
      </c>
      <c r="E165" s="729" t="s">
        <v>288</v>
      </c>
      <c r="F165" s="103">
        <f>SUM('[3]car-SAOB'!AK14)</f>
        <v>0</v>
      </c>
      <c r="G165" s="103">
        <f>SUM('[3]car-SAOB'!AK50)</f>
        <v>0</v>
      </c>
      <c r="H165" s="103">
        <f>SUM('[3]car-SAOB'!AK142)</f>
        <v>0</v>
      </c>
      <c r="I165" s="103">
        <f>SUM(F165:H165)</f>
        <v>0</v>
      </c>
      <c r="J165" s="103">
        <f>SUM('[3]car-SAOB'!AK15)</f>
        <v>0</v>
      </c>
      <c r="K165" s="103">
        <f>SUM('[3]car-SAOB'!AK51)</f>
        <v>0</v>
      </c>
      <c r="L165" s="103">
        <f>SUM('[3]car-SAOB'!AK143)</f>
        <v>0</v>
      </c>
      <c r="M165" s="103">
        <f>SUM(J165:L165)</f>
        <v>0</v>
      </c>
      <c r="N165" s="103">
        <f t="shared" si="46"/>
        <v>0</v>
      </c>
      <c r="O165" s="103">
        <f t="shared" si="46"/>
        <v>0</v>
      </c>
      <c r="P165" s="103">
        <f t="shared" si="46"/>
        <v>0</v>
      </c>
      <c r="Q165" s="103">
        <f t="shared" si="42"/>
        <v>0</v>
      </c>
      <c r="R165" s="95">
        <f>Q165-'[3]car-SAOB'!AK179</f>
        <v>0</v>
      </c>
      <c r="S165" s="730" t="str">
        <f t="shared" si="57"/>
        <v/>
      </c>
      <c r="T165" s="730" t="str">
        <f t="shared" si="57"/>
        <v/>
      </c>
      <c r="U165" s="730" t="str">
        <f t="shared" si="57"/>
        <v/>
      </c>
      <c r="V165" s="730" t="str">
        <f t="shared" si="57"/>
        <v/>
      </c>
      <c r="W165" s="531"/>
      <c r="X165" s="236"/>
      <c r="Y165" s="236" t="s">
        <v>598</v>
      </c>
      <c r="Z165" s="236"/>
    </row>
    <row r="166" spans="1:26" ht="11.25" customHeight="1">
      <c r="A166" s="528" t="s">
        <v>601</v>
      </c>
      <c r="B166" s="1013" t="s">
        <v>117</v>
      </c>
      <c r="C166" s="728"/>
      <c r="D166" s="649" t="s">
        <v>761</v>
      </c>
      <c r="E166" s="729" t="s">
        <v>761</v>
      </c>
      <c r="F166" s="103">
        <f>+'[3]car-SAOB'!C393</f>
        <v>6248000</v>
      </c>
      <c r="G166" s="103"/>
      <c r="H166" s="103"/>
      <c r="I166" s="103">
        <f>SUM(F166:H166)</f>
        <v>6248000</v>
      </c>
      <c r="J166" s="103">
        <f>+'[3]car-SAOB'!G393</f>
        <v>6212250</v>
      </c>
      <c r="K166" s="103"/>
      <c r="L166" s="103"/>
      <c r="M166" s="103">
        <f>SUM(J166:L166)</f>
        <v>6212250</v>
      </c>
      <c r="N166" s="103">
        <f t="shared" si="46"/>
        <v>35750</v>
      </c>
      <c r="O166" s="103">
        <f t="shared" si="46"/>
        <v>0</v>
      </c>
      <c r="P166" s="103">
        <f t="shared" si="46"/>
        <v>0</v>
      </c>
      <c r="Q166" s="103">
        <f t="shared" si="42"/>
        <v>35750</v>
      </c>
      <c r="S166" s="730">
        <f t="shared" si="57"/>
        <v>0.9942781690140845</v>
      </c>
      <c r="T166" s="730" t="str">
        <f t="shared" si="57"/>
        <v/>
      </c>
      <c r="U166" s="730" t="str">
        <f t="shared" si="57"/>
        <v/>
      </c>
      <c r="V166" s="730">
        <f t="shared" si="57"/>
        <v>0.9942781690140845</v>
      </c>
      <c r="W166" s="531"/>
      <c r="X166" s="236"/>
      <c r="Y166" s="236" t="s">
        <v>688</v>
      </c>
      <c r="Z166" s="236"/>
    </row>
    <row r="167" spans="1:26" ht="11.25" customHeight="1">
      <c r="A167" s="528" t="s">
        <v>601</v>
      </c>
      <c r="B167" s="1013" t="s">
        <v>117</v>
      </c>
      <c r="C167" s="411"/>
      <c r="D167" s="647"/>
      <c r="E167" s="1014" t="s">
        <v>764</v>
      </c>
      <c r="F167" s="104"/>
      <c r="G167" s="104"/>
      <c r="H167" s="104"/>
      <c r="I167" s="103"/>
      <c r="J167" s="104"/>
      <c r="K167" s="104"/>
      <c r="L167" s="104"/>
      <c r="M167" s="103"/>
      <c r="N167" s="103"/>
      <c r="O167" s="103"/>
      <c r="P167" s="103"/>
      <c r="Q167" s="103"/>
      <c r="S167" s="730" t="str">
        <f t="shared" si="57"/>
        <v/>
      </c>
      <c r="T167" s="730" t="str">
        <f t="shared" si="57"/>
        <v/>
      </c>
      <c r="U167" s="730" t="str">
        <f t="shared" si="57"/>
        <v/>
      </c>
      <c r="V167" s="730" t="str">
        <f t="shared" si="57"/>
        <v/>
      </c>
      <c r="W167" s="531"/>
      <c r="X167" s="236"/>
      <c r="Y167" s="236" t="s">
        <v>688</v>
      </c>
      <c r="Z167" s="240"/>
    </row>
    <row r="168" spans="1:26" ht="11.25" customHeight="1">
      <c r="A168" s="528" t="s">
        <v>601</v>
      </c>
      <c r="B168" s="1013" t="s">
        <v>117</v>
      </c>
      <c r="C168" s="728"/>
      <c r="D168" s="649" t="s">
        <v>289</v>
      </c>
      <c r="E168" s="729" t="s">
        <v>289</v>
      </c>
      <c r="F168" s="103">
        <f>SUM('[3]car-SAOB'!AQ14)</f>
        <v>8576529</v>
      </c>
      <c r="G168" s="103">
        <f>SUM('[3]car-SAOB'!AQ50)</f>
        <v>0</v>
      </c>
      <c r="H168" s="103">
        <f>SUM('[3]car-SAOB'!AQ142)</f>
        <v>0</v>
      </c>
      <c r="I168" s="103">
        <f>SUM(F168:H168)</f>
        <v>8576529</v>
      </c>
      <c r="J168" s="103">
        <f>SUM('[3]car-SAOB'!AQ15)</f>
        <v>8568909.4000000004</v>
      </c>
      <c r="K168" s="103">
        <f>SUM('[3]car-SAOB'!AQ51)</f>
        <v>0</v>
      </c>
      <c r="L168" s="103">
        <f>SUM('[3]car-SAOB'!AQ143)</f>
        <v>0</v>
      </c>
      <c r="M168" s="103">
        <f>SUM(J168:L168)</f>
        <v>8568909.4000000004</v>
      </c>
      <c r="N168" s="103">
        <f t="shared" si="46"/>
        <v>7619.5999999996275</v>
      </c>
      <c r="O168" s="103">
        <f t="shared" si="46"/>
        <v>0</v>
      </c>
      <c r="P168" s="103">
        <f t="shared" si="46"/>
        <v>0</v>
      </c>
      <c r="Q168" s="103">
        <f t="shared" si="42"/>
        <v>7619.5999999996275</v>
      </c>
      <c r="R168" s="95">
        <f>Q168-'[3]car-SAOB'!AQ179</f>
        <v>0</v>
      </c>
      <c r="S168" s="730">
        <f t="shared" si="57"/>
        <v>0.99911157532377026</v>
      </c>
      <c r="T168" s="730" t="str">
        <f t="shared" si="57"/>
        <v/>
      </c>
      <c r="U168" s="730" t="str">
        <f t="shared" si="57"/>
        <v/>
      </c>
      <c r="V168" s="730">
        <f t="shared" si="57"/>
        <v>0.99911157532377026</v>
      </c>
      <c r="W168" s="531"/>
      <c r="X168" s="236"/>
      <c r="Y168" s="236" t="s">
        <v>598</v>
      </c>
      <c r="Z168" s="236"/>
    </row>
    <row r="169" spans="1:26" ht="11.25" customHeight="1">
      <c r="A169" s="528" t="s">
        <v>601</v>
      </c>
      <c r="B169" s="1013" t="s">
        <v>117</v>
      </c>
      <c r="C169" s="728"/>
      <c r="D169" s="649" t="s">
        <v>290</v>
      </c>
      <c r="E169" s="729" t="s">
        <v>290</v>
      </c>
      <c r="F169" s="103">
        <f>SUM('[3]car-SAOB'!AW14)</f>
        <v>0</v>
      </c>
      <c r="G169" s="103">
        <f>SUM('[3]car-SAOB'!AW50)</f>
        <v>4810000</v>
      </c>
      <c r="H169" s="103">
        <f>SUM('[3]car-SAOB'!AW142)</f>
        <v>0</v>
      </c>
      <c r="I169" s="103">
        <f>SUM(F169:H169)</f>
        <v>4810000</v>
      </c>
      <c r="J169" s="103">
        <f>SUM('[3]car-SAOB'!AW15)</f>
        <v>0</v>
      </c>
      <c r="K169" s="103">
        <f>SUM('[3]car-SAOB'!AW51)</f>
        <v>3810000</v>
      </c>
      <c r="L169" s="103">
        <f>SUM('[3]car-SAOB'!AW143)</f>
        <v>0</v>
      </c>
      <c r="M169" s="103">
        <f>SUM(J169:L169)</f>
        <v>3810000</v>
      </c>
      <c r="N169" s="103">
        <f t="shared" si="46"/>
        <v>0</v>
      </c>
      <c r="O169" s="103">
        <f t="shared" si="46"/>
        <v>1000000</v>
      </c>
      <c r="P169" s="103">
        <f t="shared" si="46"/>
        <v>0</v>
      </c>
      <c r="Q169" s="103">
        <f t="shared" si="42"/>
        <v>1000000</v>
      </c>
      <c r="R169" s="95">
        <f>Q169-'[3]car-SAOB'!AW179</f>
        <v>0</v>
      </c>
      <c r="S169" s="730" t="str">
        <f t="shared" si="57"/>
        <v/>
      </c>
      <c r="T169" s="730">
        <f t="shared" si="57"/>
        <v>0.79209979209979209</v>
      </c>
      <c r="U169" s="730" t="str">
        <f t="shared" si="57"/>
        <v/>
      </c>
      <c r="V169" s="730">
        <f t="shared" si="57"/>
        <v>0.79209979209979209</v>
      </c>
      <c r="W169" s="531"/>
      <c r="X169" s="236"/>
      <c r="Y169" s="236" t="s">
        <v>598</v>
      </c>
      <c r="Z169" s="236"/>
    </row>
    <row r="170" spans="1:26" s="240" customFormat="1" ht="11.25" customHeight="1">
      <c r="A170" s="528" t="s">
        <v>601</v>
      </c>
      <c r="B170" s="1013" t="s">
        <v>117</v>
      </c>
      <c r="C170" s="410"/>
      <c r="D170" s="669"/>
      <c r="E170" s="806" t="s">
        <v>4</v>
      </c>
      <c r="F170" s="807">
        <f>+F160+F162+F164</f>
        <v>265593529</v>
      </c>
      <c r="G170" s="807">
        <f t="shared" ref="G170:M170" si="62">+G160+G162+G164</f>
        <v>138147000</v>
      </c>
      <c r="H170" s="807">
        <f t="shared" si="62"/>
        <v>28800000</v>
      </c>
      <c r="I170" s="807">
        <f t="shared" si="62"/>
        <v>432540529</v>
      </c>
      <c r="J170" s="807">
        <f t="shared" si="62"/>
        <v>247389912.69</v>
      </c>
      <c r="K170" s="807">
        <f t="shared" si="62"/>
        <v>127981039.88000001</v>
      </c>
      <c r="L170" s="807">
        <f t="shared" si="62"/>
        <v>27670570.260000002</v>
      </c>
      <c r="M170" s="807">
        <f t="shared" si="62"/>
        <v>403041522.83000004</v>
      </c>
      <c r="N170" s="807">
        <f t="shared" si="46"/>
        <v>18203616.310000002</v>
      </c>
      <c r="O170" s="807">
        <f t="shared" si="46"/>
        <v>10165960.11999999</v>
      </c>
      <c r="P170" s="807">
        <f t="shared" si="46"/>
        <v>1129429.7399999984</v>
      </c>
      <c r="Q170" s="807">
        <f t="shared" si="42"/>
        <v>29499006.169999991</v>
      </c>
      <c r="R170" s="110">
        <f>Q170-'[3]car-SAOB'!BY179</f>
        <v>0</v>
      </c>
      <c r="S170" s="730">
        <f t="shared" si="57"/>
        <v>0.93146061811618908</v>
      </c>
      <c r="T170" s="730">
        <f t="shared" si="57"/>
        <v>0.9264120095260846</v>
      </c>
      <c r="U170" s="730">
        <f t="shared" si="57"/>
        <v>0.96078368958333338</v>
      </c>
      <c r="V170" s="730">
        <f t="shared" si="57"/>
        <v>0.93180059626273781</v>
      </c>
      <c r="W170" s="531"/>
      <c r="Y170" s="236" t="s">
        <v>598</v>
      </c>
      <c r="Z170" s="240" t="s">
        <v>598</v>
      </c>
    </row>
    <row r="171" spans="1:26" ht="11.25" customHeight="1">
      <c r="A171" s="528" t="s">
        <v>601</v>
      </c>
      <c r="B171" s="1013" t="s">
        <v>117</v>
      </c>
      <c r="C171" s="410"/>
      <c r="D171" s="647"/>
      <c r="E171" s="461" t="s">
        <v>764</v>
      </c>
      <c r="F171" s="103"/>
      <c r="G171" s="103"/>
      <c r="H171" s="103"/>
      <c r="I171" s="103">
        <f>SUM(F171:H171)</f>
        <v>0</v>
      </c>
      <c r="J171" s="103"/>
      <c r="K171" s="103"/>
      <c r="L171" s="103"/>
      <c r="M171" s="103">
        <f>SUM(J171:L171)</f>
        <v>0</v>
      </c>
      <c r="N171" s="103">
        <f t="shared" si="46"/>
        <v>0</v>
      </c>
      <c r="O171" s="103">
        <f t="shared" si="46"/>
        <v>0</v>
      </c>
      <c r="P171" s="103">
        <f t="shared" si="46"/>
        <v>0</v>
      </c>
      <c r="Q171" s="103">
        <f t="shared" si="42"/>
        <v>0</v>
      </c>
      <c r="S171" s="730" t="str">
        <f t="shared" si="57"/>
        <v/>
      </c>
      <c r="T171" s="730" t="str">
        <f t="shared" si="57"/>
        <v/>
      </c>
      <c r="U171" s="730" t="str">
        <f t="shared" si="57"/>
        <v/>
      </c>
      <c r="V171" s="730" t="str">
        <f t="shared" si="57"/>
        <v/>
      </c>
      <c r="W171" s="531"/>
      <c r="X171" s="236"/>
      <c r="Y171" s="236" t="s">
        <v>598</v>
      </c>
      <c r="Z171" s="240" t="s">
        <v>598</v>
      </c>
    </row>
    <row r="172" spans="1:26" s="675" customFormat="1" ht="11.25" customHeight="1">
      <c r="A172" s="528" t="s">
        <v>601</v>
      </c>
      <c r="B172" s="528" t="s">
        <v>118</v>
      </c>
      <c r="C172" s="407" t="s">
        <v>98</v>
      </c>
      <c r="D172" s="655" t="s">
        <v>107</v>
      </c>
      <c r="E172" s="408" t="s">
        <v>784</v>
      </c>
      <c r="F172" s="673"/>
      <c r="G172" s="673"/>
      <c r="H172" s="673"/>
      <c r="I172" s="674">
        <f>SUM(F172:H172)</f>
        <v>0</v>
      </c>
      <c r="J172" s="673"/>
      <c r="K172" s="673"/>
      <c r="L172" s="673"/>
      <c r="M172" s="674">
        <f>SUM(J172:L172)</f>
        <v>0</v>
      </c>
      <c r="N172" s="674">
        <f t="shared" si="46"/>
        <v>0</v>
      </c>
      <c r="O172" s="674">
        <f t="shared" si="46"/>
        <v>0</v>
      </c>
      <c r="P172" s="674">
        <f t="shared" si="46"/>
        <v>0</v>
      </c>
      <c r="Q172" s="674">
        <f t="shared" si="42"/>
        <v>0</v>
      </c>
      <c r="R172" s="101"/>
      <c r="S172" s="254" t="str">
        <f t="shared" si="57"/>
        <v/>
      </c>
      <c r="T172" s="254" t="str">
        <f t="shared" si="57"/>
        <v/>
      </c>
      <c r="U172" s="254" t="str">
        <f t="shared" si="57"/>
        <v/>
      </c>
      <c r="V172" s="254" t="str">
        <f t="shared" si="57"/>
        <v/>
      </c>
      <c r="W172" s="531"/>
      <c r="Y172" s="272" t="s">
        <v>598</v>
      </c>
      <c r="Z172" s="260" t="s">
        <v>598</v>
      </c>
    </row>
    <row r="173" spans="1:26" ht="11.25" customHeight="1">
      <c r="A173" s="528" t="s">
        <v>601</v>
      </c>
      <c r="B173" s="1013" t="s">
        <v>118</v>
      </c>
      <c r="C173" s="461"/>
      <c r="D173" s="645" t="s">
        <v>766</v>
      </c>
      <c r="E173" s="447" t="s">
        <v>766</v>
      </c>
      <c r="F173" s="104">
        <f>+'[3]car-SAOB'!C398</f>
        <v>26754000</v>
      </c>
      <c r="G173" s="104">
        <f>+'[3]car-SAOB'!D398</f>
        <v>16686000</v>
      </c>
      <c r="H173" s="104">
        <f>+'[3]car-SAOB'!E398</f>
        <v>0</v>
      </c>
      <c r="I173" s="103">
        <f>SUM(F173:H173)</f>
        <v>43440000</v>
      </c>
      <c r="J173" s="104">
        <f>+'[3]car-SAOB'!G398</f>
        <v>25239304.550000001</v>
      </c>
      <c r="K173" s="104">
        <f>+'[3]car-SAOB'!H398</f>
        <v>15745799.550000001</v>
      </c>
      <c r="L173" s="104">
        <f>+'[3]car-SAOB'!I398</f>
        <v>0</v>
      </c>
      <c r="M173" s="103">
        <f>SUM(J173:L173)</f>
        <v>40985104.100000001</v>
      </c>
      <c r="N173" s="103">
        <f t="shared" si="46"/>
        <v>1514695.4499999993</v>
      </c>
      <c r="O173" s="103">
        <f t="shared" si="46"/>
        <v>940200.44999999925</v>
      </c>
      <c r="P173" s="103">
        <f t="shared" si="46"/>
        <v>0</v>
      </c>
      <c r="Q173" s="103">
        <f t="shared" si="42"/>
        <v>2454895.8999999985</v>
      </c>
      <c r="R173" s="95">
        <f>Q173-'[3]car-SAOB'!H179</f>
        <v>0</v>
      </c>
      <c r="S173" s="730">
        <f t="shared" si="57"/>
        <v>0.94338433692158186</v>
      </c>
      <c r="T173" s="730">
        <f t="shared" si="57"/>
        <v>0.94365333513124783</v>
      </c>
      <c r="U173" s="730" t="str">
        <f t="shared" si="57"/>
        <v/>
      </c>
      <c r="V173" s="730">
        <f t="shared" si="57"/>
        <v>0.94348766344383062</v>
      </c>
      <c r="W173" s="531"/>
      <c r="X173" s="236"/>
      <c r="Y173" s="236" t="s">
        <v>688</v>
      </c>
      <c r="Z173" s="236"/>
    </row>
    <row r="174" spans="1:26" ht="11.25" customHeight="1">
      <c r="A174" s="528" t="s">
        <v>601</v>
      </c>
      <c r="B174" s="1013" t="s">
        <v>118</v>
      </c>
      <c r="C174" s="728"/>
      <c r="D174" s="649" t="s">
        <v>50</v>
      </c>
      <c r="E174" s="447" t="s">
        <v>50</v>
      </c>
      <c r="F174" s="104"/>
      <c r="G174" s="104">
        <f>+'[3]car-SAOB'!D400</f>
        <v>4190000</v>
      </c>
      <c r="H174" s="104">
        <f>+'[3]car-SAOB'!E400</f>
        <v>0</v>
      </c>
      <c r="I174" s="103">
        <f>SUM(F174:H174)</f>
        <v>4190000</v>
      </c>
      <c r="J174" s="104"/>
      <c r="K174" s="104">
        <f>+'[3]car-SAOB'!H400</f>
        <v>3413817.95</v>
      </c>
      <c r="L174" s="104">
        <f>+'[3]car-SAOB'!I400</f>
        <v>0</v>
      </c>
      <c r="M174" s="103">
        <f>SUM(J174:L174)</f>
        <v>3413817.95</v>
      </c>
      <c r="N174" s="103">
        <f t="shared" si="46"/>
        <v>0</v>
      </c>
      <c r="O174" s="103">
        <f t="shared" si="46"/>
        <v>776182.04999999981</v>
      </c>
      <c r="P174" s="103">
        <f t="shared" si="46"/>
        <v>0</v>
      </c>
      <c r="Q174" s="103">
        <f t="shared" si="42"/>
        <v>776182.04999999981</v>
      </c>
      <c r="R174" s="95">
        <f>Q174-'[3]car-SAOB'!Z179+Q181</f>
        <v>0</v>
      </c>
      <c r="S174" s="730" t="str">
        <f t="shared" si="57"/>
        <v/>
      </c>
      <c r="T174" s="730">
        <f t="shared" si="57"/>
        <v>0.81475368735083542</v>
      </c>
      <c r="U174" s="730" t="str">
        <f t="shared" si="57"/>
        <v/>
      </c>
      <c r="V174" s="730">
        <f t="shared" si="57"/>
        <v>0.81475368735083542</v>
      </c>
      <c r="W174" s="531"/>
      <c r="X174" s="236"/>
      <c r="Y174" s="236" t="s">
        <v>688</v>
      </c>
      <c r="Z174" s="236"/>
    </row>
    <row r="175" spans="1:26" s="256" customFormat="1" ht="11.25" customHeight="1">
      <c r="A175" s="528" t="s">
        <v>601</v>
      </c>
      <c r="B175" s="528" t="s">
        <v>118</v>
      </c>
      <c r="C175" s="389"/>
      <c r="D175" s="650" t="s">
        <v>98</v>
      </c>
      <c r="E175" s="390" t="s">
        <v>767</v>
      </c>
      <c r="F175" s="391">
        <f>+F173+F174</f>
        <v>26754000</v>
      </c>
      <c r="G175" s="391">
        <f t="shared" ref="G175:M175" si="63">+G173+G174</f>
        <v>20876000</v>
      </c>
      <c r="H175" s="391">
        <f t="shared" si="63"/>
        <v>0</v>
      </c>
      <c r="I175" s="391">
        <f t="shared" si="63"/>
        <v>47630000</v>
      </c>
      <c r="J175" s="391">
        <f t="shared" si="63"/>
        <v>25239304.550000001</v>
      </c>
      <c r="K175" s="391">
        <f t="shared" si="63"/>
        <v>19159617.5</v>
      </c>
      <c r="L175" s="391">
        <f t="shared" si="63"/>
        <v>0</v>
      </c>
      <c r="M175" s="391">
        <f t="shared" si="63"/>
        <v>44398922.050000004</v>
      </c>
      <c r="N175" s="391">
        <f t="shared" si="46"/>
        <v>1514695.4499999993</v>
      </c>
      <c r="O175" s="391">
        <f t="shared" si="46"/>
        <v>1716382.5</v>
      </c>
      <c r="P175" s="391">
        <f t="shared" si="46"/>
        <v>0</v>
      </c>
      <c r="Q175" s="391">
        <f t="shared" si="42"/>
        <v>3231077.9499999993</v>
      </c>
      <c r="R175" s="101"/>
      <c r="S175" s="254">
        <f t="shared" si="57"/>
        <v>0.94338433692158186</v>
      </c>
      <c r="T175" s="254">
        <f t="shared" si="57"/>
        <v>0.91778202241808771</v>
      </c>
      <c r="U175" s="254" t="str">
        <f t="shared" si="57"/>
        <v/>
      </c>
      <c r="V175" s="254">
        <f t="shared" si="57"/>
        <v>0.93216296556791944</v>
      </c>
      <c r="W175" s="531"/>
      <c r="Y175" s="256" t="s">
        <v>598</v>
      </c>
      <c r="Z175" s="256" t="s">
        <v>598</v>
      </c>
    </row>
    <row r="176" spans="1:26" ht="11.25" hidden="1" customHeight="1">
      <c r="A176" s="528" t="s">
        <v>601</v>
      </c>
      <c r="B176" s="1013" t="s">
        <v>118</v>
      </c>
      <c r="C176" s="410"/>
      <c r="D176" s="651"/>
      <c r="E176" s="806" t="s">
        <v>764</v>
      </c>
      <c r="F176" s="807"/>
      <c r="G176" s="807"/>
      <c r="H176" s="807"/>
      <c r="I176" s="807"/>
      <c r="J176" s="807"/>
      <c r="K176" s="807"/>
      <c r="L176" s="807"/>
      <c r="M176" s="807"/>
      <c r="N176" s="807">
        <f t="shared" si="46"/>
        <v>0</v>
      </c>
      <c r="O176" s="807">
        <f t="shared" si="46"/>
        <v>0</v>
      </c>
      <c r="P176" s="807">
        <f t="shared" si="46"/>
        <v>0</v>
      </c>
      <c r="Q176" s="807">
        <f t="shared" si="42"/>
        <v>0</v>
      </c>
      <c r="R176" s="276"/>
      <c r="S176" s="730" t="str">
        <f t="shared" si="57"/>
        <v/>
      </c>
      <c r="T176" s="730" t="str">
        <f t="shared" si="57"/>
        <v/>
      </c>
      <c r="U176" s="730" t="str">
        <f t="shared" si="57"/>
        <v/>
      </c>
      <c r="V176" s="730" t="str">
        <f t="shared" si="57"/>
        <v/>
      </c>
      <c r="W176" s="531"/>
      <c r="X176" s="236"/>
      <c r="Y176" s="236"/>
      <c r="Z176" s="236"/>
    </row>
    <row r="177" spans="1:26" s="256" customFormat="1" ht="11.25" customHeight="1">
      <c r="A177" s="528" t="s">
        <v>601</v>
      </c>
      <c r="B177" s="528" t="s">
        <v>118</v>
      </c>
      <c r="C177" s="389"/>
      <c r="D177" s="650" t="s">
        <v>98</v>
      </c>
      <c r="E177" s="390" t="s">
        <v>99</v>
      </c>
      <c r="F177" s="391">
        <f>+F178</f>
        <v>2470217</v>
      </c>
      <c r="G177" s="391">
        <f t="shared" ref="G177:M177" si="64">+G178</f>
        <v>0</v>
      </c>
      <c r="H177" s="391">
        <f t="shared" si="64"/>
        <v>0</v>
      </c>
      <c r="I177" s="391">
        <f t="shared" si="64"/>
        <v>2470217</v>
      </c>
      <c r="J177" s="391">
        <f t="shared" si="64"/>
        <v>2216462.5699999998</v>
      </c>
      <c r="K177" s="391">
        <f t="shared" si="64"/>
        <v>0</v>
      </c>
      <c r="L177" s="391">
        <f t="shared" si="64"/>
        <v>0</v>
      </c>
      <c r="M177" s="391">
        <f t="shared" si="64"/>
        <v>2216462.5699999998</v>
      </c>
      <c r="N177" s="391">
        <f t="shared" si="46"/>
        <v>253754.43000000017</v>
      </c>
      <c r="O177" s="391">
        <f t="shared" si="46"/>
        <v>0</v>
      </c>
      <c r="P177" s="391">
        <f t="shared" si="46"/>
        <v>0</v>
      </c>
      <c r="Q177" s="391">
        <f t="shared" si="42"/>
        <v>253754.43000000017</v>
      </c>
      <c r="R177" s="101"/>
      <c r="S177" s="254">
        <f t="shared" si="57"/>
        <v>0.89727443783278948</v>
      </c>
      <c r="T177" s="254" t="str">
        <f t="shared" si="57"/>
        <v/>
      </c>
      <c r="U177" s="254" t="str">
        <f t="shared" si="57"/>
        <v/>
      </c>
      <c r="V177" s="254">
        <f t="shared" si="57"/>
        <v>0.89727443783278948</v>
      </c>
      <c r="W177" s="531"/>
      <c r="Y177" s="256" t="s">
        <v>598</v>
      </c>
      <c r="Z177" s="256" t="s">
        <v>598</v>
      </c>
    </row>
    <row r="178" spans="1:26" ht="11.25" customHeight="1">
      <c r="A178" s="528" t="s">
        <v>601</v>
      </c>
      <c r="B178" s="1013" t="s">
        <v>118</v>
      </c>
      <c r="C178" s="728"/>
      <c r="D178" s="649" t="s">
        <v>286</v>
      </c>
      <c r="E178" s="729" t="s">
        <v>286</v>
      </c>
      <c r="F178" s="103">
        <f>SUM('[3]car-SAOB'!AF14)</f>
        <v>2470217</v>
      </c>
      <c r="G178" s="103">
        <f>SUM('[3]car-SAOB'!AF50)</f>
        <v>0</v>
      </c>
      <c r="H178" s="103">
        <f>SUM('[3]car-SAOB'!AF142)</f>
        <v>0</v>
      </c>
      <c r="I178" s="103">
        <f>SUM(F178:H178)</f>
        <v>2470217</v>
      </c>
      <c r="J178" s="103">
        <f>SUM('[3]car-SAOB'!AF15)</f>
        <v>2216462.5699999998</v>
      </c>
      <c r="K178" s="103">
        <f>SUM('[3]car-SAOB'!AF51)</f>
        <v>0</v>
      </c>
      <c r="L178" s="103">
        <f>SUM('[3]car-SAOB'!AF143)</f>
        <v>0</v>
      </c>
      <c r="M178" s="103">
        <f>SUM(J178:L178)</f>
        <v>2216462.5699999998</v>
      </c>
      <c r="N178" s="103">
        <f t="shared" si="46"/>
        <v>253754.43000000017</v>
      </c>
      <c r="O178" s="103">
        <f t="shared" si="46"/>
        <v>0</v>
      </c>
      <c r="P178" s="103">
        <f t="shared" si="46"/>
        <v>0</v>
      </c>
      <c r="Q178" s="103">
        <f t="shared" si="42"/>
        <v>253754.43000000017</v>
      </c>
      <c r="R178" s="95">
        <f>Q178-'[3]car-SAOB'!AF179</f>
        <v>0</v>
      </c>
      <c r="S178" s="730">
        <f t="shared" si="57"/>
        <v>0.89727443783278948</v>
      </c>
      <c r="T178" s="730" t="str">
        <f t="shared" si="57"/>
        <v/>
      </c>
      <c r="U178" s="730" t="str">
        <f t="shared" si="57"/>
        <v/>
      </c>
      <c r="V178" s="730">
        <f t="shared" si="57"/>
        <v>0.89727443783278948</v>
      </c>
      <c r="W178" s="531"/>
      <c r="X178" s="236"/>
      <c r="Y178" s="236" t="s">
        <v>598</v>
      </c>
      <c r="Z178" s="236"/>
    </row>
    <row r="179" spans="1:26" s="272" customFormat="1" ht="11.25" customHeight="1">
      <c r="A179" s="528" t="s">
        <v>601</v>
      </c>
      <c r="B179" s="528" t="s">
        <v>118</v>
      </c>
      <c r="C179" s="389"/>
      <c r="D179" s="650" t="s">
        <v>98</v>
      </c>
      <c r="E179" s="390" t="s">
        <v>100</v>
      </c>
      <c r="F179" s="391">
        <f t="shared" ref="F179:M179" si="65">SUM(F180:F184)</f>
        <v>4850515</v>
      </c>
      <c r="G179" s="391">
        <f t="shared" si="65"/>
        <v>0</v>
      </c>
      <c r="H179" s="391">
        <f t="shared" si="65"/>
        <v>0</v>
      </c>
      <c r="I179" s="391">
        <f t="shared" si="65"/>
        <v>4850515</v>
      </c>
      <c r="J179" s="391">
        <f t="shared" si="65"/>
        <v>4135536.9</v>
      </c>
      <c r="K179" s="391">
        <f t="shared" si="65"/>
        <v>0</v>
      </c>
      <c r="L179" s="391">
        <f t="shared" si="65"/>
        <v>0</v>
      </c>
      <c r="M179" s="391">
        <f t="shared" si="65"/>
        <v>4135536.9</v>
      </c>
      <c r="N179" s="391">
        <f t="shared" si="46"/>
        <v>714978.10000000009</v>
      </c>
      <c r="O179" s="391">
        <f t="shared" si="46"/>
        <v>0</v>
      </c>
      <c r="P179" s="391">
        <f t="shared" si="46"/>
        <v>0</v>
      </c>
      <c r="Q179" s="391">
        <f t="shared" si="42"/>
        <v>714978.10000000009</v>
      </c>
      <c r="R179" s="102"/>
      <c r="S179" s="254">
        <f t="shared" si="57"/>
        <v>0.8525974870709605</v>
      </c>
      <c r="T179" s="254" t="str">
        <f t="shared" si="57"/>
        <v/>
      </c>
      <c r="U179" s="254" t="str">
        <f t="shared" si="57"/>
        <v/>
      </c>
      <c r="V179" s="254">
        <f t="shared" si="57"/>
        <v>0.8525974870709605</v>
      </c>
      <c r="W179" s="531"/>
      <c r="Y179" s="272" t="s">
        <v>598</v>
      </c>
      <c r="Z179" s="256" t="s">
        <v>598</v>
      </c>
    </row>
    <row r="180" spans="1:26" ht="11.25" customHeight="1">
      <c r="A180" s="528" t="s">
        <v>601</v>
      </c>
      <c r="B180" s="1013" t="s">
        <v>118</v>
      </c>
      <c r="C180" s="728"/>
      <c r="D180" s="649" t="s">
        <v>288</v>
      </c>
      <c r="E180" s="729" t="s">
        <v>288</v>
      </c>
      <c r="F180" s="103">
        <f>SUM('[3]car-SAOB'!AL14)</f>
        <v>757225</v>
      </c>
      <c r="G180" s="103">
        <f>SUM('[3]car-SAOB'!AL50)</f>
        <v>0</v>
      </c>
      <c r="H180" s="103">
        <f>SUM('[3]car-SAOB'!AL142)</f>
        <v>0</v>
      </c>
      <c r="I180" s="103">
        <f>SUM(F180:H180)</f>
        <v>757225</v>
      </c>
      <c r="J180" s="103">
        <f>SUM('[3]car-SAOB'!AL15)</f>
        <v>63246.9</v>
      </c>
      <c r="K180" s="103">
        <f>SUM('[3]car-SAOB'!AL51)</f>
        <v>0</v>
      </c>
      <c r="L180" s="103">
        <f>SUM('[3]car-SAOB'!AL143)</f>
        <v>0</v>
      </c>
      <c r="M180" s="103">
        <f>SUM(J180:L180)</f>
        <v>63246.9</v>
      </c>
      <c r="N180" s="103">
        <f t="shared" si="46"/>
        <v>693978.1</v>
      </c>
      <c r="O180" s="103">
        <f t="shared" si="46"/>
        <v>0</v>
      </c>
      <c r="P180" s="103">
        <f t="shared" si="46"/>
        <v>0</v>
      </c>
      <c r="Q180" s="103">
        <f t="shared" si="42"/>
        <v>693978.1</v>
      </c>
      <c r="R180" s="95">
        <f>Q180-'[3]car-SAOB'!AL179</f>
        <v>0</v>
      </c>
      <c r="S180" s="730">
        <f t="shared" si="57"/>
        <v>8.3524579880484673E-2</v>
      </c>
      <c r="T180" s="730" t="str">
        <f t="shared" si="57"/>
        <v/>
      </c>
      <c r="U180" s="730" t="str">
        <f t="shared" si="57"/>
        <v/>
      </c>
      <c r="V180" s="730">
        <f t="shared" si="57"/>
        <v>8.3524579880484673E-2</v>
      </c>
      <c r="W180" s="531"/>
      <c r="X180" s="236"/>
      <c r="Y180" s="236" t="s">
        <v>598</v>
      </c>
      <c r="Z180" s="236"/>
    </row>
    <row r="181" spans="1:26" ht="11.25" customHeight="1">
      <c r="A181" s="528" t="s">
        <v>601</v>
      </c>
      <c r="B181" s="1013" t="s">
        <v>118</v>
      </c>
      <c r="C181" s="728"/>
      <c r="D181" s="649" t="s">
        <v>761</v>
      </c>
      <c r="E181" s="729" t="s">
        <v>761</v>
      </c>
      <c r="F181" s="103">
        <f>+'[3]car-SAOB'!C400</f>
        <v>630000</v>
      </c>
      <c r="G181" s="103"/>
      <c r="H181" s="103"/>
      <c r="I181" s="103">
        <f>SUM(F181:H181)</f>
        <v>630000</v>
      </c>
      <c r="J181" s="103">
        <f>+'[3]car-SAOB'!G400</f>
        <v>609000</v>
      </c>
      <c r="K181" s="103"/>
      <c r="L181" s="103"/>
      <c r="M181" s="103">
        <f>SUM(J181:L181)</f>
        <v>609000</v>
      </c>
      <c r="N181" s="103">
        <f>+F181-J181</f>
        <v>21000</v>
      </c>
      <c r="O181" s="103">
        <f>+G181-K181</f>
        <v>0</v>
      </c>
      <c r="P181" s="103">
        <f>+H181-L181</f>
        <v>0</v>
      </c>
      <c r="Q181" s="103">
        <f>SUM(N181:P181)</f>
        <v>21000</v>
      </c>
      <c r="S181" s="730">
        <f t="shared" si="57"/>
        <v>0.96666666666666667</v>
      </c>
      <c r="T181" s="730" t="str">
        <f t="shared" si="57"/>
        <v/>
      </c>
      <c r="U181" s="730" t="str">
        <f t="shared" si="57"/>
        <v/>
      </c>
      <c r="V181" s="730">
        <f t="shared" si="57"/>
        <v>0.96666666666666667</v>
      </c>
      <c r="W181" s="531"/>
      <c r="X181" s="236"/>
      <c r="Y181" s="236" t="s">
        <v>688</v>
      </c>
      <c r="Z181" s="236"/>
    </row>
    <row r="182" spans="1:26" ht="11.25" customHeight="1">
      <c r="A182" s="528" t="s">
        <v>601</v>
      </c>
      <c r="B182" s="1013" t="s">
        <v>118</v>
      </c>
      <c r="C182" s="411"/>
      <c r="D182" s="647"/>
      <c r="E182" s="1014" t="s">
        <v>764</v>
      </c>
      <c r="F182" s="104"/>
      <c r="G182" s="104"/>
      <c r="H182" s="104"/>
      <c r="I182" s="103"/>
      <c r="J182" s="104"/>
      <c r="K182" s="104"/>
      <c r="L182" s="104"/>
      <c r="M182" s="103"/>
      <c r="N182" s="103"/>
      <c r="O182" s="103"/>
      <c r="P182" s="103"/>
      <c r="Q182" s="103"/>
      <c r="S182" s="730" t="str">
        <f t="shared" si="57"/>
        <v/>
      </c>
      <c r="T182" s="730" t="str">
        <f t="shared" si="57"/>
        <v/>
      </c>
      <c r="U182" s="730" t="str">
        <f t="shared" si="57"/>
        <v/>
      </c>
      <c r="V182" s="730" t="str">
        <f t="shared" si="57"/>
        <v/>
      </c>
      <c r="W182" s="531"/>
      <c r="X182" s="236"/>
      <c r="Y182" s="236" t="s">
        <v>688</v>
      </c>
      <c r="Z182" s="240"/>
    </row>
    <row r="183" spans="1:26" ht="11.25" customHeight="1">
      <c r="A183" s="528" t="s">
        <v>601</v>
      </c>
      <c r="B183" s="1013" t="s">
        <v>118</v>
      </c>
      <c r="C183" s="728"/>
      <c r="D183" s="649" t="s">
        <v>289</v>
      </c>
      <c r="E183" s="729" t="s">
        <v>289</v>
      </c>
      <c r="F183" s="103">
        <f>SUM('[3]car-SAOB'!AR14)</f>
        <v>3463290</v>
      </c>
      <c r="G183" s="103">
        <f>SUM('[3]car-SAOB'!AR50)</f>
        <v>0</v>
      </c>
      <c r="H183" s="103">
        <f>SUM('[3]car-SAOB'!AR142)</f>
        <v>0</v>
      </c>
      <c r="I183" s="103">
        <f>SUM(F183:H183)</f>
        <v>3463290</v>
      </c>
      <c r="J183" s="103">
        <f>SUM('[3]car-SAOB'!AR15)</f>
        <v>3463290</v>
      </c>
      <c r="K183" s="103">
        <f>SUM('[3]car-SAOB'!AR51)</f>
        <v>0</v>
      </c>
      <c r="L183" s="103">
        <f>SUM('[3]car-SAOB'!AR143)</f>
        <v>0</v>
      </c>
      <c r="M183" s="103">
        <f>SUM(J183:L183)</f>
        <v>3463290</v>
      </c>
      <c r="N183" s="103">
        <f t="shared" ref="N183:P248" si="66">+F183-J183</f>
        <v>0</v>
      </c>
      <c r="O183" s="103">
        <f t="shared" si="66"/>
        <v>0</v>
      </c>
      <c r="P183" s="103">
        <f t="shared" si="66"/>
        <v>0</v>
      </c>
      <c r="Q183" s="103">
        <f t="shared" ref="Q183:Q248" si="67">SUM(N183:P183)</f>
        <v>0</v>
      </c>
      <c r="R183" s="95">
        <f>Q183-'[3]car-SAOB'!AR179</f>
        <v>0</v>
      </c>
      <c r="S183" s="730">
        <f t="shared" si="57"/>
        <v>1</v>
      </c>
      <c r="T183" s="730" t="str">
        <f t="shared" si="57"/>
        <v/>
      </c>
      <c r="U183" s="730" t="str">
        <f t="shared" si="57"/>
        <v/>
      </c>
      <c r="V183" s="730">
        <f t="shared" si="57"/>
        <v>1</v>
      </c>
      <c r="W183" s="531"/>
      <c r="X183" s="236"/>
      <c r="Y183" s="236" t="s">
        <v>598</v>
      </c>
      <c r="Z183" s="236"/>
    </row>
    <row r="184" spans="1:26" ht="11.25" customHeight="1">
      <c r="A184" s="528" t="s">
        <v>601</v>
      </c>
      <c r="B184" s="1013" t="s">
        <v>118</v>
      </c>
      <c r="C184" s="728"/>
      <c r="D184" s="649" t="s">
        <v>290</v>
      </c>
      <c r="E184" s="729" t="s">
        <v>290</v>
      </c>
      <c r="F184" s="103">
        <f>SUM('[3]car-SAOB'!AX14)</f>
        <v>0</v>
      </c>
      <c r="G184" s="103">
        <f>SUM('[3]car-SAOB'!AX50)</f>
        <v>0</v>
      </c>
      <c r="H184" s="103">
        <f>SUM('[3]car-SAOB'!AX142)</f>
        <v>0</v>
      </c>
      <c r="I184" s="103">
        <f>SUM(F184:H184)</f>
        <v>0</v>
      </c>
      <c r="J184" s="103">
        <f>SUM('[3]car-SAOB'!AX15)</f>
        <v>0</v>
      </c>
      <c r="K184" s="103">
        <f>SUM('[3]car-SAOB'!AX51)</f>
        <v>0</v>
      </c>
      <c r="L184" s="103">
        <f>SUM('[3]car-SAOB'!AX143)</f>
        <v>0</v>
      </c>
      <c r="M184" s="103">
        <f>SUM(J184:L184)</f>
        <v>0</v>
      </c>
      <c r="N184" s="103">
        <f t="shared" si="66"/>
        <v>0</v>
      </c>
      <c r="O184" s="103">
        <f t="shared" si="66"/>
        <v>0</v>
      </c>
      <c r="P184" s="103">
        <f t="shared" si="66"/>
        <v>0</v>
      </c>
      <c r="Q184" s="103">
        <f t="shared" si="67"/>
        <v>0</v>
      </c>
      <c r="R184" s="95">
        <f>Q184-'[3]car-SAOB'!AX179</f>
        <v>0</v>
      </c>
      <c r="S184" s="730" t="str">
        <f t="shared" si="57"/>
        <v/>
      </c>
      <c r="T184" s="730" t="str">
        <f t="shared" si="57"/>
        <v/>
      </c>
      <c r="U184" s="730" t="str">
        <f t="shared" si="57"/>
        <v/>
      </c>
      <c r="V184" s="730" t="str">
        <f t="shared" si="57"/>
        <v/>
      </c>
      <c r="W184" s="531"/>
      <c r="X184" s="236"/>
      <c r="Y184" s="236" t="s">
        <v>598</v>
      </c>
      <c r="Z184" s="236"/>
    </row>
    <row r="185" spans="1:26" s="259" customFormat="1" ht="11.25" customHeight="1">
      <c r="A185" s="246" t="s">
        <v>601</v>
      </c>
      <c r="B185" s="235" t="s">
        <v>118</v>
      </c>
      <c r="C185" s="656"/>
      <c r="D185" s="656"/>
      <c r="E185" s="657" t="s">
        <v>4</v>
      </c>
      <c r="F185" s="652">
        <f>+F175+F177+F179</f>
        <v>34074732</v>
      </c>
      <c r="G185" s="652">
        <f t="shared" ref="G185:M185" si="68">+G175+G177+G179</f>
        <v>20876000</v>
      </c>
      <c r="H185" s="652">
        <f t="shared" si="68"/>
        <v>0</v>
      </c>
      <c r="I185" s="652">
        <f t="shared" si="68"/>
        <v>54950732</v>
      </c>
      <c r="J185" s="652">
        <f t="shared" si="68"/>
        <v>31591304.02</v>
      </c>
      <c r="K185" s="652">
        <f t="shared" si="68"/>
        <v>19159617.5</v>
      </c>
      <c r="L185" s="652">
        <f t="shared" si="68"/>
        <v>0</v>
      </c>
      <c r="M185" s="652">
        <f t="shared" si="68"/>
        <v>50750921.520000003</v>
      </c>
      <c r="N185" s="652">
        <f t="shared" si="66"/>
        <v>2483427.9800000004</v>
      </c>
      <c r="O185" s="652">
        <f t="shared" si="66"/>
        <v>1716382.5</v>
      </c>
      <c r="P185" s="652">
        <f t="shared" si="66"/>
        <v>0</v>
      </c>
      <c r="Q185" s="652">
        <f t="shared" si="67"/>
        <v>4199810.4800000004</v>
      </c>
      <c r="R185" s="653">
        <f>Q185-'[3]car-SAOB'!BZ179</f>
        <v>0</v>
      </c>
      <c r="S185" s="1008">
        <f t="shared" si="57"/>
        <v>0.92711819479607349</v>
      </c>
      <c r="T185" s="1008">
        <f t="shared" si="57"/>
        <v>0.91778202241808771</v>
      </c>
      <c r="U185" s="1008" t="str">
        <f t="shared" si="57"/>
        <v/>
      </c>
      <c r="V185" s="1008">
        <f t="shared" si="57"/>
        <v>0.92357134605595437</v>
      </c>
      <c r="W185" s="254"/>
      <c r="X185" s="520"/>
      <c r="Y185" s="610" t="s">
        <v>598</v>
      </c>
      <c r="Z185" s="241" t="s">
        <v>598</v>
      </c>
    </row>
    <row r="186" spans="1:26" ht="11.25" customHeight="1">
      <c r="A186" s="246" t="s">
        <v>601</v>
      </c>
      <c r="B186" s="235" t="s">
        <v>118</v>
      </c>
      <c r="C186" s="410"/>
      <c r="D186" s="386"/>
      <c r="E186" s="461" t="s">
        <v>764</v>
      </c>
      <c r="F186" s="103"/>
      <c r="G186" s="103"/>
      <c r="H186" s="103"/>
      <c r="I186" s="103">
        <f>SUM(F186:H186)</f>
        <v>0</v>
      </c>
      <c r="J186" s="103"/>
      <c r="K186" s="103"/>
      <c r="L186" s="103"/>
      <c r="M186" s="103">
        <f>SUM(J186:L186)</f>
        <v>0</v>
      </c>
      <c r="N186" s="103">
        <f t="shared" si="66"/>
        <v>0</v>
      </c>
      <c r="O186" s="103">
        <f t="shared" si="66"/>
        <v>0</v>
      </c>
      <c r="P186" s="103">
        <f t="shared" si="66"/>
        <v>0</v>
      </c>
      <c r="Q186" s="103">
        <f t="shared" si="67"/>
        <v>0</v>
      </c>
      <c r="S186" s="730" t="str">
        <f t="shared" si="57"/>
        <v/>
      </c>
      <c r="T186" s="730" t="str">
        <f t="shared" si="57"/>
        <v/>
      </c>
      <c r="U186" s="730" t="str">
        <f t="shared" si="57"/>
        <v/>
      </c>
      <c r="V186" s="730" t="str">
        <f t="shared" si="57"/>
        <v/>
      </c>
      <c r="W186" s="254"/>
      <c r="Y186" s="610" t="s">
        <v>598</v>
      </c>
      <c r="Z186" s="241" t="s">
        <v>598</v>
      </c>
    </row>
    <row r="187" spans="1:26" s="675" customFormat="1" ht="11.25" customHeight="1">
      <c r="A187" s="528" t="s">
        <v>601</v>
      </c>
      <c r="B187" s="528" t="s">
        <v>119</v>
      </c>
      <c r="C187" s="407" t="s">
        <v>98</v>
      </c>
      <c r="D187" s="655" t="s">
        <v>109</v>
      </c>
      <c r="E187" s="408" t="s">
        <v>785</v>
      </c>
      <c r="F187" s="673"/>
      <c r="G187" s="673"/>
      <c r="H187" s="673"/>
      <c r="I187" s="674"/>
      <c r="J187" s="673"/>
      <c r="K187" s="673"/>
      <c r="L187" s="673"/>
      <c r="M187" s="674">
        <f>SUM(J187:L187)</f>
        <v>0</v>
      </c>
      <c r="N187" s="674">
        <f t="shared" si="66"/>
        <v>0</v>
      </c>
      <c r="O187" s="674">
        <f t="shared" si="66"/>
        <v>0</v>
      </c>
      <c r="P187" s="674">
        <f t="shared" si="66"/>
        <v>0</v>
      </c>
      <c r="Q187" s="674">
        <f t="shared" si="67"/>
        <v>0</v>
      </c>
      <c r="R187" s="101"/>
      <c r="S187" s="254" t="str">
        <f t="shared" si="57"/>
        <v/>
      </c>
      <c r="T187" s="254" t="str">
        <f t="shared" si="57"/>
        <v/>
      </c>
      <c r="U187" s="254" t="str">
        <f t="shared" si="57"/>
        <v/>
      </c>
      <c r="V187" s="254" t="str">
        <f t="shared" si="57"/>
        <v/>
      </c>
      <c r="W187" s="531"/>
      <c r="Y187" s="272" t="s">
        <v>598</v>
      </c>
      <c r="Z187" s="260" t="s">
        <v>598</v>
      </c>
    </row>
    <row r="188" spans="1:26" ht="11.25" customHeight="1">
      <c r="A188" s="528" t="s">
        <v>601</v>
      </c>
      <c r="B188" s="1013" t="s">
        <v>119</v>
      </c>
      <c r="C188" s="461"/>
      <c r="D188" s="645" t="s">
        <v>766</v>
      </c>
      <c r="E188" s="447" t="s">
        <v>766</v>
      </c>
      <c r="F188" s="104">
        <f>+'[3]car-SAOB'!C405</f>
        <v>11833000</v>
      </c>
      <c r="G188" s="104">
        <f>+'[3]car-SAOB'!D405</f>
        <v>4695000</v>
      </c>
      <c r="H188" s="104">
        <f>+'[3]car-SAOB'!E405</f>
        <v>0</v>
      </c>
      <c r="I188" s="103">
        <f>SUM(F188:H188)</f>
        <v>16528000</v>
      </c>
      <c r="J188" s="104">
        <f>+'[3]car-SAOB'!G405</f>
        <v>10355513.009999998</v>
      </c>
      <c r="K188" s="104">
        <f>+'[3]car-SAOB'!H405</f>
        <v>4694154.3499999996</v>
      </c>
      <c r="L188" s="104">
        <f>+'[3]car-SAOB'!I405</f>
        <v>0</v>
      </c>
      <c r="M188" s="103">
        <f>SUM(J188:L188)</f>
        <v>15049667.359999998</v>
      </c>
      <c r="N188" s="103">
        <f t="shared" si="66"/>
        <v>1477486.9900000021</v>
      </c>
      <c r="O188" s="103">
        <f t="shared" si="66"/>
        <v>845.65000000037253</v>
      </c>
      <c r="P188" s="103">
        <f t="shared" si="66"/>
        <v>0</v>
      </c>
      <c r="Q188" s="103">
        <f t="shared" si="67"/>
        <v>1478332.6400000025</v>
      </c>
      <c r="R188" s="95">
        <f>Q188-'[3]car-SAOB'!I179</f>
        <v>0</v>
      </c>
      <c r="S188" s="730">
        <f t="shared" si="57"/>
        <v>0.87513842727964153</v>
      </c>
      <c r="T188" s="730">
        <f t="shared" si="57"/>
        <v>0.99981988285410006</v>
      </c>
      <c r="U188" s="730" t="str">
        <f t="shared" si="57"/>
        <v/>
      </c>
      <c r="V188" s="730">
        <f t="shared" si="57"/>
        <v>0.91055586640851871</v>
      </c>
      <c r="W188" s="531"/>
      <c r="X188" s="236"/>
      <c r="Y188" s="236" t="s">
        <v>688</v>
      </c>
      <c r="Z188" s="236"/>
    </row>
    <row r="189" spans="1:26" ht="11.25" customHeight="1">
      <c r="A189" s="528" t="s">
        <v>601</v>
      </c>
      <c r="B189" s="1013" t="s">
        <v>119</v>
      </c>
      <c r="C189" s="728"/>
      <c r="D189" s="649" t="s">
        <v>50</v>
      </c>
      <c r="E189" s="447" t="s">
        <v>50</v>
      </c>
      <c r="F189" s="104"/>
      <c r="G189" s="104">
        <f>+'[3]car-SAOB'!D407</f>
        <v>826000</v>
      </c>
      <c r="H189" s="104">
        <f>+'[3]car-SAOB'!E407</f>
        <v>0</v>
      </c>
      <c r="I189" s="103">
        <f>SUM(F189:H189)</f>
        <v>826000</v>
      </c>
      <c r="J189" s="104"/>
      <c r="K189" s="104">
        <f>+'[3]car-SAOB'!H407</f>
        <v>754000</v>
      </c>
      <c r="L189" s="104">
        <f>+'[3]car-SAOB'!I407</f>
        <v>0</v>
      </c>
      <c r="M189" s="103">
        <f>SUM(J189:L189)</f>
        <v>754000</v>
      </c>
      <c r="N189" s="103">
        <f t="shared" si="66"/>
        <v>0</v>
      </c>
      <c r="O189" s="103">
        <f t="shared" si="66"/>
        <v>72000</v>
      </c>
      <c r="P189" s="103">
        <f t="shared" si="66"/>
        <v>0</v>
      </c>
      <c r="Q189" s="103">
        <f t="shared" si="67"/>
        <v>72000</v>
      </c>
      <c r="R189" s="95">
        <f>Q189-'[3]car-SAOB'!AA179+Q196</f>
        <v>0</v>
      </c>
      <c r="S189" s="730" t="str">
        <f t="shared" si="57"/>
        <v/>
      </c>
      <c r="T189" s="730">
        <f t="shared" si="57"/>
        <v>0.9128329297820823</v>
      </c>
      <c r="U189" s="730" t="str">
        <f t="shared" si="57"/>
        <v/>
      </c>
      <c r="V189" s="730">
        <f t="shared" si="57"/>
        <v>0.9128329297820823</v>
      </c>
      <c r="W189" s="531"/>
      <c r="X189" s="236"/>
      <c r="Y189" s="236" t="s">
        <v>688</v>
      </c>
      <c r="Z189" s="236"/>
    </row>
    <row r="190" spans="1:26" s="256" customFormat="1" ht="11.25" customHeight="1">
      <c r="A190" s="528" t="s">
        <v>601</v>
      </c>
      <c r="B190" s="528" t="s">
        <v>119</v>
      </c>
      <c r="C190" s="389"/>
      <c r="D190" s="650" t="s">
        <v>98</v>
      </c>
      <c r="E190" s="390" t="s">
        <v>767</v>
      </c>
      <c r="F190" s="391">
        <f>+F188+F189</f>
        <v>11833000</v>
      </c>
      <c r="G190" s="391">
        <f t="shared" ref="G190:M190" si="69">+G188+G189</f>
        <v>5521000</v>
      </c>
      <c r="H190" s="391">
        <f t="shared" si="69"/>
        <v>0</v>
      </c>
      <c r="I190" s="391">
        <f t="shared" si="69"/>
        <v>17354000</v>
      </c>
      <c r="J190" s="391">
        <f t="shared" si="69"/>
        <v>10355513.009999998</v>
      </c>
      <c r="K190" s="391">
        <f t="shared" si="69"/>
        <v>5448154.3499999996</v>
      </c>
      <c r="L190" s="391">
        <f t="shared" si="69"/>
        <v>0</v>
      </c>
      <c r="M190" s="391">
        <f t="shared" si="69"/>
        <v>15803667.359999998</v>
      </c>
      <c r="N190" s="391">
        <f t="shared" si="66"/>
        <v>1477486.9900000021</v>
      </c>
      <c r="O190" s="391">
        <f t="shared" si="66"/>
        <v>72845.650000000373</v>
      </c>
      <c r="P190" s="391">
        <f t="shared" si="66"/>
        <v>0</v>
      </c>
      <c r="Q190" s="391">
        <f t="shared" si="67"/>
        <v>1550332.6400000025</v>
      </c>
      <c r="R190" s="101"/>
      <c r="S190" s="254">
        <f t="shared" si="57"/>
        <v>0.87513842727964153</v>
      </c>
      <c r="T190" s="254">
        <f t="shared" si="57"/>
        <v>0.98680571454446653</v>
      </c>
      <c r="U190" s="254" t="str">
        <f t="shared" si="57"/>
        <v/>
      </c>
      <c r="V190" s="254">
        <f t="shared" si="57"/>
        <v>0.91066424801198553</v>
      </c>
      <c r="W190" s="531"/>
      <c r="Y190" s="256" t="s">
        <v>598</v>
      </c>
      <c r="Z190" s="256" t="s">
        <v>598</v>
      </c>
    </row>
    <row r="191" spans="1:26" ht="11.25" hidden="1" customHeight="1">
      <c r="A191" s="528" t="s">
        <v>601</v>
      </c>
      <c r="B191" s="1013" t="s">
        <v>119</v>
      </c>
      <c r="C191" s="410"/>
      <c r="D191" s="651"/>
      <c r="E191" s="806" t="s">
        <v>764</v>
      </c>
      <c r="F191" s="807"/>
      <c r="G191" s="807"/>
      <c r="H191" s="807"/>
      <c r="I191" s="807"/>
      <c r="J191" s="807"/>
      <c r="K191" s="807"/>
      <c r="L191" s="807"/>
      <c r="M191" s="807"/>
      <c r="N191" s="807">
        <f t="shared" si="66"/>
        <v>0</v>
      </c>
      <c r="O191" s="807">
        <f t="shared" si="66"/>
        <v>0</v>
      </c>
      <c r="P191" s="807">
        <f t="shared" si="66"/>
        <v>0</v>
      </c>
      <c r="Q191" s="807">
        <f t="shared" si="67"/>
        <v>0</v>
      </c>
      <c r="R191" s="276"/>
      <c r="S191" s="730" t="str">
        <f t="shared" si="57"/>
        <v/>
      </c>
      <c r="T191" s="730" t="str">
        <f t="shared" si="57"/>
        <v/>
      </c>
      <c r="U191" s="730" t="str">
        <f t="shared" si="57"/>
        <v/>
      </c>
      <c r="V191" s="730" t="str">
        <f t="shared" si="57"/>
        <v/>
      </c>
      <c r="W191" s="531"/>
      <c r="X191" s="236"/>
      <c r="Y191" s="236"/>
      <c r="Z191" s="236"/>
    </row>
    <row r="192" spans="1:26" s="256" customFormat="1" ht="11.25" customHeight="1">
      <c r="A192" s="528" t="s">
        <v>601</v>
      </c>
      <c r="B192" s="528" t="s">
        <v>119</v>
      </c>
      <c r="C192" s="389"/>
      <c r="D192" s="650" t="s">
        <v>98</v>
      </c>
      <c r="E192" s="390" t="s">
        <v>99</v>
      </c>
      <c r="F192" s="391">
        <f>+F193</f>
        <v>1074000</v>
      </c>
      <c r="G192" s="391">
        <f t="shared" ref="G192:M192" si="70">+G193</f>
        <v>0</v>
      </c>
      <c r="H192" s="391">
        <f t="shared" si="70"/>
        <v>0</v>
      </c>
      <c r="I192" s="391">
        <f t="shared" si="70"/>
        <v>1074000</v>
      </c>
      <c r="J192" s="391">
        <f t="shared" si="70"/>
        <v>936358.13</v>
      </c>
      <c r="K192" s="391">
        <f t="shared" si="70"/>
        <v>0</v>
      </c>
      <c r="L192" s="391">
        <f t="shared" si="70"/>
        <v>0</v>
      </c>
      <c r="M192" s="391">
        <f t="shared" si="70"/>
        <v>936358.13</v>
      </c>
      <c r="N192" s="391">
        <f t="shared" si="66"/>
        <v>137641.87</v>
      </c>
      <c r="O192" s="391">
        <f t="shared" si="66"/>
        <v>0</v>
      </c>
      <c r="P192" s="391">
        <f t="shared" si="66"/>
        <v>0</v>
      </c>
      <c r="Q192" s="391">
        <f t="shared" si="67"/>
        <v>137641.87</v>
      </c>
      <c r="R192" s="101"/>
      <c r="S192" s="254">
        <f t="shared" si="57"/>
        <v>0.87184183426443207</v>
      </c>
      <c r="T192" s="254" t="str">
        <f t="shared" si="57"/>
        <v/>
      </c>
      <c r="U192" s="254" t="str">
        <f t="shared" si="57"/>
        <v/>
      </c>
      <c r="V192" s="254">
        <f t="shared" si="57"/>
        <v>0.87184183426443207</v>
      </c>
      <c r="W192" s="531"/>
      <c r="Y192" s="256" t="s">
        <v>598</v>
      </c>
      <c r="Z192" s="256" t="s">
        <v>598</v>
      </c>
    </row>
    <row r="193" spans="1:26" ht="11.25" customHeight="1">
      <c r="A193" s="528" t="s">
        <v>601</v>
      </c>
      <c r="B193" s="1013" t="s">
        <v>119</v>
      </c>
      <c r="C193" s="728"/>
      <c r="D193" s="649" t="s">
        <v>286</v>
      </c>
      <c r="E193" s="729" t="s">
        <v>286</v>
      </c>
      <c r="F193" s="103">
        <f>SUM('[3]car-SAOB'!AG14)</f>
        <v>1074000</v>
      </c>
      <c r="G193" s="103">
        <f>SUM('[3]car-SAOB'!AG50)</f>
        <v>0</v>
      </c>
      <c r="H193" s="103">
        <f>SUM('[3]car-SAOB'!AG142)</f>
        <v>0</v>
      </c>
      <c r="I193" s="103">
        <f>SUM(F193:H193)</f>
        <v>1074000</v>
      </c>
      <c r="J193" s="103">
        <f>SUM('[3]car-SAOB'!AG15)</f>
        <v>936358.13</v>
      </c>
      <c r="K193" s="103">
        <f>SUM('[3]car-SAOB'!AG51)</f>
        <v>0</v>
      </c>
      <c r="L193" s="103">
        <f>SUM('[3]car-SAOB'!AG143)</f>
        <v>0</v>
      </c>
      <c r="M193" s="103">
        <f>SUM(J193:L193)</f>
        <v>936358.13</v>
      </c>
      <c r="N193" s="103">
        <f t="shared" si="66"/>
        <v>137641.87</v>
      </c>
      <c r="O193" s="103">
        <f t="shared" si="66"/>
        <v>0</v>
      </c>
      <c r="P193" s="103">
        <f t="shared" si="66"/>
        <v>0</v>
      </c>
      <c r="Q193" s="103">
        <f t="shared" si="67"/>
        <v>137641.87</v>
      </c>
      <c r="R193" s="95">
        <f>Q193-'[3]car-SAOB'!AG179</f>
        <v>0</v>
      </c>
      <c r="S193" s="730">
        <f t="shared" si="57"/>
        <v>0.87184183426443207</v>
      </c>
      <c r="T193" s="730" t="str">
        <f t="shared" si="57"/>
        <v/>
      </c>
      <c r="U193" s="730" t="str">
        <f t="shared" si="57"/>
        <v/>
      </c>
      <c r="V193" s="730">
        <f t="shared" si="57"/>
        <v>0.87184183426443207</v>
      </c>
      <c r="W193" s="531"/>
      <c r="X193" s="236"/>
      <c r="Y193" s="236" t="s">
        <v>598</v>
      </c>
      <c r="Z193" s="236"/>
    </row>
    <row r="194" spans="1:26" s="272" customFormat="1" ht="11.25" customHeight="1">
      <c r="A194" s="528" t="s">
        <v>601</v>
      </c>
      <c r="B194" s="528" t="s">
        <v>119</v>
      </c>
      <c r="C194" s="389"/>
      <c r="D194" s="650" t="s">
        <v>98</v>
      </c>
      <c r="E194" s="390" t="s">
        <v>100</v>
      </c>
      <c r="F194" s="391">
        <f t="shared" ref="F194:M194" si="71">SUM(F195:F199)</f>
        <v>265000</v>
      </c>
      <c r="G194" s="391">
        <f t="shared" si="71"/>
        <v>150000</v>
      </c>
      <c r="H194" s="391">
        <f t="shared" si="71"/>
        <v>0</v>
      </c>
      <c r="I194" s="391">
        <f t="shared" si="71"/>
        <v>415000</v>
      </c>
      <c r="J194" s="391">
        <f t="shared" si="71"/>
        <v>265000</v>
      </c>
      <c r="K194" s="391">
        <f t="shared" si="71"/>
        <v>150000</v>
      </c>
      <c r="L194" s="391">
        <f t="shared" si="71"/>
        <v>0</v>
      </c>
      <c r="M194" s="391">
        <f t="shared" si="71"/>
        <v>415000</v>
      </c>
      <c r="N194" s="391">
        <f t="shared" si="66"/>
        <v>0</v>
      </c>
      <c r="O194" s="391">
        <f t="shared" si="66"/>
        <v>0</v>
      </c>
      <c r="P194" s="391">
        <f t="shared" si="66"/>
        <v>0</v>
      </c>
      <c r="Q194" s="391">
        <f t="shared" si="67"/>
        <v>0</v>
      </c>
      <c r="R194" s="102"/>
      <c r="S194" s="254">
        <f t="shared" si="57"/>
        <v>1</v>
      </c>
      <c r="T194" s="254">
        <f t="shared" si="57"/>
        <v>1</v>
      </c>
      <c r="U194" s="254" t="str">
        <f t="shared" si="57"/>
        <v/>
      </c>
      <c r="V194" s="254">
        <f t="shared" si="57"/>
        <v>1</v>
      </c>
      <c r="W194" s="531"/>
      <c r="Y194" s="272" t="s">
        <v>598</v>
      </c>
      <c r="Z194" s="256" t="s">
        <v>598</v>
      </c>
    </row>
    <row r="195" spans="1:26" ht="11.25" customHeight="1">
      <c r="A195" s="528" t="s">
        <v>601</v>
      </c>
      <c r="B195" s="1013" t="s">
        <v>119</v>
      </c>
      <c r="C195" s="728"/>
      <c r="D195" s="649" t="s">
        <v>288</v>
      </c>
      <c r="E195" s="729" t="s">
        <v>288</v>
      </c>
      <c r="F195" s="103">
        <f>SUM('[3]car-SAOB'!AM14)</f>
        <v>0</v>
      </c>
      <c r="G195" s="103">
        <f>SUM('[3]car-SAOB'!AM50)</f>
        <v>0</v>
      </c>
      <c r="H195" s="103">
        <f>SUM('[3]car-SAOB'!AM142)</f>
        <v>0</v>
      </c>
      <c r="I195" s="103">
        <f>SUM(F195:H195)</f>
        <v>0</v>
      </c>
      <c r="J195" s="103">
        <f>SUM('[3]car-SAOB'!AM15)</f>
        <v>0</v>
      </c>
      <c r="K195" s="103">
        <f>SUM('[3]car-SAOB'!AM51)</f>
        <v>0</v>
      </c>
      <c r="L195" s="103">
        <f>SUM('[3]car-SAOB'!AM143)</f>
        <v>0</v>
      </c>
      <c r="M195" s="103">
        <f>SUM(J195:L195)</f>
        <v>0</v>
      </c>
      <c r="N195" s="103">
        <f t="shared" si="66"/>
        <v>0</v>
      </c>
      <c r="O195" s="103">
        <f t="shared" si="66"/>
        <v>0</v>
      </c>
      <c r="P195" s="103">
        <f t="shared" si="66"/>
        <v>0</v>
      </c>
      <c r="Q195" s="103">
        <f t="shared" si="67"/>
        <v>0</v>
      </c>
      <c r="R195" s="95">
        <f>Q195-'[3]car-SAOB'!AM179</f>
        <v>0</v>
      </c>
      <c r="S195" s="730" t="str">
        <f t="shared" si="57"/>
        <v/>
      </c>
      <c r="T195" s="730" t="str">
        <f t="shared" si="57"/>
        <v/>
      </c>
      <c r="U195" s="730" t="str">
        <f t="shared" si="57"/>
        <v/>
      </c>
      <c r="V195" s="730" t="str">
        <f t="shared" si="57"/>
        <v/>
      </c>
      <c r="W195" s="531"/>
      <c r="X195" s="236"/>
      <c r="Y195" s="236" t="s">
        <v>598</v>
      </c>
      <c r="Z195" s="236"/>
    </row>
    <row r="196" spans="1:26" ht="11.25" customHeight="1">
      <c r="A196" s="528" t="s">
        <v>601</v>
      </c>
      <c r="B196" s="1013" t="s">
        <v>119</v>
      </c>
      <c r="C196" s="728"/>
      <c r="D196" s="649" t="s">
        <v>761</v>
      </c>
      <c r="E196" s="729" t="s">
        <v>761</v>
      </c>
      <c r="F196" s="103">
        <f>+'[3]car-SAOB'!C407</f>
        <v>265000</v>
      </c>
      <c r="G196" s="103"/>
      <c r="H196" s="103"/>
      <c r="I196" s="103">
        <f>SUM(F196:H196)</f>
        <v>265000</v>
      </c>
      <c r="J196" s="103">
        <f>+'[3]car-SAOB'!G407</f>
        <v>265000</v>
      </c>
      <c r="K196" s="103"/>
      <c r="L196" s="103"/>
      <c r="M196" s="103">
        <f>SUM(J196:L196)</f>
        <v>265000</v>
      </c>
      <c r="N196" s="103">
        <f t="shared" si="66"/>
        <v>0</v>
      </c>
      <c r="O196" s="103">
        <f t="shared" si="66"/>
        <v>0</v>
      </c>
      <c r="P196" s="103">
        <f t="shared" si="66"/>
        <v>0</v>
      </c>
      <c r="Q196" s="103">
        <f t="shared" si="67"/>
        <v>0</v>
      </c>
      <c r="S196" s="730">
        <f t="shared" si="57"/>
        <v>1</v>
      </c>
      <c r="T196" s="730" t="str">
        <f t="shared" si="57"/>
        <v/>
      </c>
      <c r="U196" s="730" t="str">
        <f t="shared" si="57"/>
        <v/>
      </c>
      <c r="V196" s="730">
        <f t="shared" si="57"/>
        <v>1</v>
      </c>
      <c r="W196" s="531"/>
      <c r="X196" s="236"/>
      <c r="Y196" s="236" t="s">
        <v>688</v>
      </c>
      <c r="Z196" s="236"/>
    </row>
    <row r="197" spans="1:26" ht="11.25" customHeight="1">
      <c r="A197" s="528" t="s">
        <v>601</v>
      </c>
      <c r="B197" s="1013" t="s">
        <v>119</v>
      </c>
      <c r="C197" s="411"/>
      <c r="D197" s="647"/>
      <c r="E197" s="1014" t="s">
        <v>764</v>
      </c>
      <c r="F197" s="104"/>
      <c r="G197" s="104"/>
      <c r="H197" s="104"/>
      <c r="I197" s="103"/>
      <c r="J197" s="104"/>
      <c r="K197" s="104"/>
      <c r="L197" s="104"/>
      <c r="M197" s="103"/>
      <c r="N197" s="103"/>
      <c r="O197" s="103"/>
      <c r="P197" s="103"/>
      <c r="Q197" s="103"/>
      <c r="S197" s="730" t="str">
        <f t="shared" si="57"/>
        <v/>
      </c>
      <c r="T197" s="730" t="str">
        <f t="shared" si="57"/>
        <v/>
      </c>
      <c r="U197" s="730" t="str">
        <f t="shared" si="57"/>
        <v/>
      </c>
      <c r="V197" s="730" t="str">
        <f t="shared" si="57"/>
        <v/>
      </c>
      <c r="W197" s="531"/>
      <c r="X197" s="236"/>
      <c r="Y197" s="236" t="s">
        <v>688</v>
      </c>
      <c r="Z197" s="240"/>
    </row>
    <row r="198" spans="1:26" ht="11.25" customHeight="1">
      <c r="A198" s="528" t="s">
        <v>601</v>
      </c>
      <c r="B198" s="1013" t="s">
        <v>119</v>
      </c>
      <c r="C198" s="728"/>
      <c r="D198" s="649" t="s">
        <v>289</v>
      </c>
      <c r="E198" s="729" t="s">
        <v>289</v>
      </c>
      <c r="F198" s="103">
        <f>SUM('[3]car-SAOB'!AS14)</f>
        <v>0</v>
      </c>
      <c r="G198" s="103">
        <f>SUM('[3]car-SAOB'!AS50)</f>
        <v>0</v>
      </c>
      <c r="H198" s="103">
        <f>SUM('[3]car-SAOB'!AS142)</f>
        <v>0</v>
      </c>
      <c r="I198" s="103">
        <f>SUM(F198:H198)</f>
        <v>0</v>
      </c>
      <c r="J198" s="103">
        <f>SUM('[3]car-SAOB'!AS15)</f>
        <v>0</v>
      </c>
      <c r="K198" s="103">
        <f>SUM('[3]car-SAOB'!AS51)</f>
        <v>0</v>
      </c>
      <c r="L198" s="103">
        <f>SUM('[3]car-SAOB'!AS143)</f>
        <v>0</v>
      </c>
      <c r="M198" s="103">
        <f>SUM(J198:L198)</f>
        <v>0</v>
      </c>
      <c r="N198" s="103">
        <f t="shared" si="66"/>
        <v>0</v>
      </c>
      <c r="O198" s="103">
        <f t="shared" si="66"/>
        <v>0</v>
      </c>
      <c r="P198" s="103">
        <f t="shared" si="66"/>
        <v>0</v>
      </c>
      <c r="Q198" s="103">
        <f t="shared" si="67"/>
        <v>0</v>
      </c>
      <c r="R198" s="95">
        <f>Q198-'[3]car-SAOB'!AS179</f>
        <v>0</v>
      </c>
      <c r="S198" s="730" t="str">
        <f t="shared" si="57"/>
        <v/>
      </c>
      <c r="T198" s="730" t="str">
        <f t="shared" si="57"/>
        <v/>
      </c>
      <c r="U198" s="730" t="str">
        <f t="shared" si="57"/>
        <v/>
      </c>
      <c r="V198" s="730" t="str">
        <f t="shared" si="57"/>
        <v/>
      </c>
      <c r="W198" s="531"/>
      <c r="X198" s="236"/>
      <c r="Y198" s="236" t="s">
        <v>598</v>
      </c>
      <c r="Z198" s="236"/>
    </row>
    <row r="199" spans="1:26" ht="11.25" customHeight="1">
      <c r="A199" s="528" t="s">
        <v>601</v>
      </c>
      <c r="B199" s="1013" t="s">
        <v>119</v>
      </c>
      <c r="C199" s="728"/>
      <c r="D199" s="649" t="s">
        <v>290</v>
      </c>
      <c r="E199" s="729" t="s">
        <v>290</v>
      </c>
      <c r="F199" s="103">
        <f>SUM('[3]car-SAOB'!AY14)</f>
        <v>0</v>
      </c>
      <c r="G199" s="103">
        <f>SUM('[3]car-SAOB'!AY50)</f>
        <v>150000</v>
      </c>
      <c r="H199" s="103">
        <f>SUM('[3]car-SAOB'!AY142)</f>
        <v>0</v>
      </c>
      <c r="I199" s="103">
        <f>SUM(F199:H199)</f>
        <v>150000</v>
      </c>
      <c r="J199" s="103">
        <f>SUM('[3]car-SAOB'!AY15)</f>
        <v>0</v>
      </c>
      <c r="K199" s="103">
        <f>SUM('[3]car-SAOB'!AY51)</f>
        <v>150000</v>
      </c>
      <c r="L199" s="103">
        <f>SUM('[3]car-SAOB'!AY143)</f>
        <v>0</v>
      </c>
      <c r="M199" s="103">
        <f>SUM(J199:L199)</f>
        <v>150000</v>
      </c>
      <c r="N199" s="103">
        <f t="shared" si="66"/>
        <v>0</v>
      </c>
      <c r="O199" s="103">
        <f t="shared" si="66"/>
        <v>0</v>
      </c>
      <c r="P199" s="103">
        <f t="shared" si="66"/>
        <v>0</v>
      </c>
      <c r="Q199" s="103">
        <f t="shared" si="67"/>
        <v>0</v>
      </c>
      <c r="R199" s="95">
        <f>Q199-'[3]car-SAOB'!AY179</f>
        <v>0</v>
      </c>
      <c r="S199" s="730" t="str">
        <f t="shared" si="57"/>
        <v/>
      </c>
      <c r="T199" s="730">
        <f t="shared" si="57"/>
        <v>1</v>
      </c>
      <c r="U199" s="730" t="str">
        <f t="shared" si="57"/>
        <v/>
      </c>
      <c r="V199" s="730">
        <f t="shared" si="57"/>
        <v>1</v>
      </c>
      <c r="W199" s="531"/>
      <c r="X199" s="236"/>
      <c r="Y199" s="236" t="s">
        <v>598</v>
      </c>
      <c r="Z199" s="236"/>
    </row>
    <row r="200" spans="1:26" s="259" customFormat="1" ht="11.25" customHeight="1">
      <c r="A200" s="246" t="s">
        <v>601</v>
      </c>
      <c r="B200" s="235" t="s">
        <v>119</v>
      </c>
      <c r="C200" s="656"/>
      <c r="D200" s="656"/>
      <c r="E200" s="657" t="s">
        <v>4</v>
      </c>
      <c r="F200" s="652">
        <f>+F190+F192+F194</f>
        <v>13172000</v>
      </c>
      <c r="G200" s="652">
        <f t="shared" ref="G200:M200" si="72">+G190+G192+G194</f>
        <v>5671000</v>
      </c>
      <c r="H200" s="652">
        <f t="shared" si="72"/>
        <v>0</v>
      </c>
      <c r="I200" s="652">
        <f t="shared" si="72"/>
        <v>18843000</v>
      </c>
      <c r="J200" s="652">
        <f t="shared" si="72"/>
        <v>11556871.139999999</v>
      </c>
      <c r="K200" s="652">
        <f t="shared" si="72"/>
        <v>5598154.3499999996</v>
      </c>
      <c r="L200" s="652">
        <f t="shared" si="72"/>
        <v>0</v>
      </c>
      <c r="M200" s="652">
        <f t="shared" si="72"/>
        <v>17155025.489999998</v>
      </c>
      <c r="N200" s="652">
        <f t="shared" si="66"/>
        <v>1615128.8600000013</v>
      </c>
      <c r="O200" s="652">
        <f t="shared" si="66"/>
        <v>72845.650000000373</v>
      </c>
      <c r="P200" s="652">
        <f t="shared" si="66"/>
        <v>0</v>
      </c>
      <c r="Q200" s="652">
        <f t="shared" si="67"/>
        <v>1687974.5100000016</v>
      </c>
      <c r="R200" s="653">
        <f>Q200-'[3]car-SAOB'!CA179</f>
        <v>0</v>
      </c>
      <c r="S200" s="1008">
        <f t="shared" si="57"/>
        <v>0.87738165350743991</v>
      </c>
      <c r="T200" s="1008">
        <f t="shared" si="57"/>
        <v>0.98715470816434481</v>
      </c>
      <c r="U200" s="1008" t="str">
        <f t="shared" si="57"/>
        <v/>
      </c>
      <c r="V200" s="1008">
        <f t="shared" si="57"/>
        <v>0.91041901448813878</v>
      </c>
      <c r="W200" s="254"/>
      <c r="X200" s="520"/>
      <c r="Y200" s="610" t="s">
        <v>598</v>
      </c>
      <c r="Z200" s="241" t="s">
        <v>598</v>
      </c>
    </row>
    <row r="201" spans="1:26" ht="11.25" customHeight="1">
      <c r="A201" s="246" t="s">
        <v>601</v>
      </c>
      <c r="B201" s="235" t="s">
        <v>120</v>
      </c>
      <c r="C201" s="410"/>
      <c r="D201" s="386"/>
      <c r="E201" s="461" t="s">
        <v>764</v>
      </c>
      <c r="F201" s="103"/>
      <c r="G201" s="103"/>
      <c r="H201" s="103"/>
      <c r="I201" s="103">
        <f>SUM(F201:H201)</f>
        <v>0</v>
      </c>
      <c r="J201" s="103"/>
      <c r="K201" s="103"/>
      <c r="L201" s="103"/>
      <c r="M201" s="103">
        <f>SUM(J201:L201)</f>
        <v>0</v>
      </c>
      <c r="N201" s="103">
        <f t="shared" si="66"/>
        <v>0</v>
      </c>
      <c r="O201" s="103">
        <f t="shared" si="66"/>
        <v>0</v>
      </c>
      <c r="P201" s="103">
        <f t="shared" si="66"/>
        <v>0</v>
      </c>
      <c r="Q201" s="103">
        <f t="shared" si="67"/>
        <v>0</v>
      </c>
      <c r="S201" s="730" t="str">
        <f t="shared" si="57"/>
        <v/>
      </c>
      <c r="T201" s="730" t="str">
        <f t="shared" si="57"/>
        <v/>
      </c>
      <c r="U201" s="730" t="str">
        <f t="shared" si="57"/>
        <v/>
      </c>
      <c r="V201" s="730" t="str">
        <f t="shared" si="57"/>
        <v/>
      </c>
      <c r="W201" s="254"/>
      <c r="X201" s="236"/>
      <c r="Y201" s="236" t="s">
        <v>598</v>
      </c>
      <c r="Z201" s="240" t="s">
        <v>598</v>
      </c>
    </row>
    <row r="202" spans="1:26" s="675" customFormat="1" ht="11.25" customHeight="1">
      <c r="A202" s="528" t="s">
        <v>601</v>
      </c>
      <c r="B202" s="528" t="s">
        <v>120</v>
      </c>
      <c r="C202" s="407" t="s">
        <v>98</v>
      </c>
      <c r="D202" s="655" t="s">
        <v>111</v>
      </c>
      <c r="E202" s="408" t="s">
        <v>786</v>
      </c>
      <c r="F202" s="673"/>
      <c r="G202" s="673"/>
      <c r="H202" s="673"/>
      <c r="I202" s="674">
        <f>SUM(F202:H202)</f>
        <v>0</v>
      </c>
      <c r="J202" s="673"/>
      <c r="K202" s="673"/>
      <c r="L202" s="673"/>
      <c r="M202" s="674"/>
      <c r="N202" s="674">
        <f t="shared" si="66"/>
        <v>0</v>
      </c>
      <c r="O202" s="674">
        <f t="shared" si="66"/>
        <v>0</v>
      </c>
      <c r="P202" s="674">
        <f t="shared" si="66"/>
        <v>0</v>
      </c>
      <c r="Q202" s="674">
        <f t="shared" si="67"/>
        <v>0</v>
      </c>
      <c r="R202" s="101"/>
      <c r="S202" s="254" t="str">
        <f t="shared" si="57"/>
        <v/>
      </c>
      <c r="T202" s="254" t="str">
        <f t="shared" si="57"/>
        <v/>
      </c>
      <c r="U202" s="254" t="str">
        <f t="shared" si="57"/>
        <v/>
      </c>
      <c r="V202" s="254" t="str">
        <f t="shared" si="57"/>
        <v/>
      </c>
      <c r="W202" s="531"/>
      <c r="Y202" s="272" t="s">
        <v>598</v>
      </c>
      <c r="Z202" s="260" t="s">
        <v>598</v>
      </c>
    </row>
    <row r="203" spans="1:26" ht="11.25" customHeight="1">
      <c r="A203" s="528" t="s">
        <v>601</v>
      </c>
      <c r="B203" s="1013" t="s">
        <v>120</v>
      </c>
      <c r="C203" s="461"/>
      <c r="D203" s="645" t="s">
        <v>766</v>
      </c>
      <c r="E203" s="447" t="s">
        <v>766</v>
      </c>
      <c r="F203" s="1017">
        <f>+'[3]car-SAOB'!C411</f>
        <v>16312000</v>
      </c>
      <c r="G203" s="1017">
        <f>+'[3]car-SAOB'!D411</f>
        <v>10462000</v>
      </c>
      <c r="H203" s="1017">
        <f>+'[3]car-SAOB'!E411</f>
        <v>0</v>
      </c>
      <c r="I203" s="103">
        <f>SUM(F203:H203)</f>
        <v>26774000</v>
      </c>
      <c r="J203" s="1017">
        <f>+'[3]car-SAOB'!G411</f>
        <v>14386155.559999999</v>
      </c>
      <c r="K203" s="1017">
        <f>+'[3]car-SAOB'!H411</f>
        <v>8973281.1499999985</v>
      </c>
      <c r="L203" s="1017">
        <f>+'[3]car-SAOB'!I411</f>
        <v>0</v>
      </c>
      <c r="M203" s="103">
        <f>SUM(J203:L203)</f>
        <v>23359436.709999997</v>
      </c>
      <c r="N203" s="103">
        <f t="shared" si="66"/>
        <v>1925844.4400000013</v>
      </c>
      <c r="O203" s="103">
        <f t="shared" si="66"/>
        <v>1488718.8500000015</v>
      </c>
      <c r="P203" s="103">
        <f t="shared" si="66"/>
        <v>0</v>
      </c>
      <c r="Q203" s="103">
        <f t="shared" si="67"/>
        <v>3414563.2900000028</v>
      </c>
      <c r="R203" s="95">
        <f>Q203-'[3]car-SAOB'!J179</f>
        <v>0</v>
      </c>
      <c r="S203" s="730">
        <f t="shared" si="57"/>
        <v>0.8819369519372241</v>
      </c>
      <c r="T203" s="730">
        <f t="shared" si="57"/>
        <v>0.85770227012043576</v>
      </c>
      <c r="U203" s="730" t="str">
        <f t="shared" si="57"/>
        <v/>
      </c>
      <c r="V203" s="730">
        <f t="shared" si="57"/>
        <v>0.87246719616045409</v>
      </c>
      <c r="W203" s="531"/>
      <c r="X203" s="236"/>
      <c r="Y203" s="236" t="s">
        <v>688</v>
      </c>
      <c r="Z203" s="236"/>
    </row>
    <row r="204" spans="1:26" ht="11.25" customHeight="1">
      <c r="A204" s="528" t="s">
        <v>601</v>
      </c>
      <c r="B204" s="1013" t="s">
        <v>120</v>
      </c>
      <c r="C204" s="728"/>
      <c r="D204" s="649" t="s">
        <v>50</v>
      </c>
      <c r="E204" s="447" t="s">
        <v>50</v>
      </c>
      <c r="F204" s="1017"/>
      <c r="G204" s="1017">
        <f>+'[3]car-SAOB'!D413</f>
        <v>2170000</v>
      </c>
      <c r="H204" s="1017">
        <f>+'[3]car-SAOB'!E413</f>
        <v>0</v>
      </c>
      <c r="I204" s="103">
        <f>SUM(F204:H204)</f>
        <v>2170000</v>
      </c>
      <c r="J204" s="1017"/>
      <c r="K204" s="1017">
        <f>+'[3]car-SAOB'!H413</f>
        <v>1514125</v>
      </c>
      <c r="L204" s="1017">
        <f>+'[3]car-SAOB'!I413</f>
        <v>0</v>
      </c>
      <c r="M204" s="103">
        <f>SUM(J204:L204)</f>
        <v>1514125</v>
      </c>
      <c r="N204" s="103">
        <f t="shared" si="66"/>
        <v>0</v>
      </c>
      <c r="O204" s="103">
        <f t="shared" si="66"/>
        <v>655875</v>
      </c>
      <c r="P204" s="103">
        <f t="shared" si="66"/>
        <v>0</v>
      </c>
      <c r="Q204" s="103">
        <f t="shared" si="67"/>
        <v>655875</v>
      </c>
      <c r="S204" s="730" t="str">
        <f t="shared" si="57"/>
        <v/>
      </c>
      <c r="T204" s="730">
        <f t="shared" si="57"/>
        <v>0.69775345622119811</v>
      </c>
      <c r="U204" s="730" t="str">
        <f t="shared" si="57"/>
        <v/>
      </c>
      <c r="V204" s="730">
        <f t="shared" si="57"/>
        <v>0.69775345622119811</v>
      </c>
      <c r="W204" s="531"/>
      <c r="X204" s="236"/>
      <c r="Y204" s="236" t="s">
        <v>688</v>
      </c>
      <c r="Z204" s="236"/>
    </row>
    <row r="205" spans="1:26" s="256" customFormat="1" ht="11.25" customHeight="1">
      <c r="A205" s="528" t="s">
        <v>601</v>
      </c>
      <c r="B205" s="528" t="s">
        <v>120</v>
      </c>
      <c r="C205" s="389"/>
      <c r="D205" s="650" t="s">
        <v>98</v>
      </c>
      <c r="E205" s="390" t="s">
        <v>767</v>
      </c>
      <c r="F205" s="391">
        <f>+F203+F204</f>
        <v>16312000</v>
      </c>
      <c r="G205" s="391">
        <f t="shared" ref="G205:M205" si="73">+G203+G204</f>
        <v>12632000</v>
      </c>
      <c r="H205" s="391">
        <f t="shared" si="73"/>
        <v>0</v>
      </c>
      <c r="I205" s="391">
        <f t="shared" si="73"/>
        <v>28944000</v>
      </c>
      <c r="J205" s="391">
        <f t="shared" si="73"/>
        <v>14386155.559999999</v>
      </c>
      <c r="K205" s="391">
        <f t="shared" si="73"/>
        <v>10487406.149999999</v>
      </c>
      <c r="L205" s="391">
        <f t="shared" si="73"/>
        <v>0</v>
      </c>
      <c r="M205" s="391">
        <f t="shared" si="73"/>
        <v>24873561.709999997</v>
      </c>
      <c r="N205" s="391">
        <f t="shared" si="66"/>
        <v>1925844.4400000013</v>
      </c>
      <c r="O205" s="391">
        <f t="shared" si="66"/>
        <v>2144593.8500000015</v>
      </c>
      <c r="P205" s="391">
        <f t="shared" si="66"/>
        <v>0</v>
      </c>
      <c r="Q205" s="391">
        <f t="shared" si="67"/>
        <v>4070438.2900000028</v>
      </c>
      <c r="R205" s="101"/>
      <c r="S205" s="254">
        <f t="shared" si="57"/>
        <v>0.8819369519372241</v>
      </c>
      <c r="T205" s="254">
        <f t="shared" si="57"/>
        <v>0.83022531269791</v>
      </c>
      <c r="U205" s="254" t="str">
        <f t="shared" si="57"/>
        <v/>
      </c>
      <c r="V205" s="254">
        <f t="shared" si="57"/>
        <v>0.85936849467938081</v>
      </c>
      <c r="W205" s="531"/>
      <c r="Y205" s="256" t="s">
        <v>598</v>
      </c>
      <c r="Z205" s="256" t="s">
        <v>598</v>
      </c>
    </row>
    <row r="206" spans="1:26" ht="11.25" hidden="1" customHeight="1">
      <c r="A206" s="528" t="s">
        <v>601</v>
      </c>
      <c r="B206" s="1013" t="s">
        <v>120</v>
      </c>
      <c r="C206" s="410"/>
      <c r="D206" s="651"/>
      <c r="E206" s="806" t="s">
        <v>764</v>
      </c>
      <c r="F206" s="807"/>
      <c r="G206" s="807"/>
      <c r="H206" s="807"/>
      <c r="I206" s="807"/>
      <c r="J206" s="807"/>
      <c r="K206" s="807"/>
      <c r="L206" s="807"/>
      <c r="M206" s="807"/>
      <c r="N206" s="807">
        <f t="shared" si="66"/>
        <v>0</v>
      </c>
      <c r="O206" s="807">
        <f t="shared" si="66"/>
        <v>0</v>
      </c>
      <c r="P206" s="807">
        <f t="shared" si="66"/>
        <v>0</v>
      </c>
      <c r="Q206" s="807">
        <f t="shared" si="67"/>
        <v>0</v>
      </c>
      <c r="R206" s="276"/>
      <c r="S206" s="730" t="str">
        <f t="shared" si="57"/>
        <v/>
      </c>
      <c r="T206" s="730" t="str">
        <f t="shared" si="57"/>
        <v/>
      </c>
      <c r="U206" s="730" t="str">
        <f t="shared" si="57"/>
        <v/>
      </c>
      <c r="V206" s="730" t="str">
        <f t="shared" si="57"/>
        <v/>
      </c>
      <c r="W206" s="531"/>
      <c r="X206" s="236"/>
      <c r="Y206" s="236"/>
      <c r="Z206" s="236"/>
    </row>
    <row r="207" spans="1:26" s="256" customFormat="1" ht="11.25" customHeight="1">
      <c r="A207" s="528" t="s">
        <v>601</v>
      </c>
      <c r="B207" s="528" t="s">
        <v>120</v>
      </c>
      <c r="C207" s="389"/>
      <c r="D207" s="650" t="s">
        <v>98</v>
      </c>
      <c r="E207" s="390" t="s">
        <v>99</v>
      </c>
      <c r="F207" s="391">
        <f>+F208</f>
        <v>1497000</v>
      </c>
      <c r="G207" s="391">
        <f t="shared" ref="G207:M207" si="74">+G208</f>
        <v>0</v>
      </c>
      <c r="H207" s="391">
        <f t="shared" si="74"/>
        <v>0</v>
      </c>
      <c r="I207" s="391">
        <f t="shared" si="74"/>
        <v>1497000</v>
      </c>
      <c r="J207" s="391">
        <f t="shared" si="74"/>
        <v>1343280.7899999998</v>
      </c>
      <c r="K207" s="391">
        <f t="shared" si="74"/>
        <v>0</v>
      </c>
      <c r="L207" s="391">
        <f t="shared" si="74"/>
        <v>0</v>
      </c>
      <c r="M207" s="391">
        <f t="shared" si="74"/>
        <v>1343280.7899999998</v>
      </c>
      <c r="N207" s="391">
        <f t="shared" si="66"/>
        <v>153719.2100000002</v>
      </c>
      <c r="O207" s="391">
        <f t="shared" si="66"/>
        <v>0</v>
      </c>
      <c r="P207" s="391">
        <f t="shared" si="66"/>
        <v>0</v>
      </c>
      <c r="Q207" s="391">
        <f t="shared" si="67"/>
        <v>153719.2100000002</v>
      </c>
      <c r="R207" s="101"/>
      <c r="S207" s="254">
        <f t="shared" si="57"/>
        <v>0.8973151569806278</v>
      </c>
      <c r="T207" s="254" t="str">
        <f t="shared" si="57"/>
        <v/>
      </c>
      <c r="U207" s="254" t="str">
        <f t="shared" si="57"/>
        <v/>
      </c>
      <c r="V207" s="254">
        <f t="shared" si="57"/>
        <v>0.8973151569806278</v>
      </c>
      <c r="W207" s="531"/>
      <c r="Y207" s="256" t="s">
        <v>598</v>
      </c>
      <c r="Z207" s="256" t="s">
        <v>598</v>
      </c>
    </row>
    <row r="208" spans="1:26" ht="11.25" customHeight="1">
      <c r="A208" s="528" t="s">
        <v>601</v>
      </c>
      <c r="B208" s="1013" t="s">
        <v>120</v>
      </c>
      <c r="C208" s="728"/>
      <c r="D208" s="649" t="s">
        <v>286</v>
      </c>
      <c r="E208" s="729" t="s">
        <v>286</v>
      </c>
      <c r="F208" s="103">
        <f>SUM('[3]car-SAOB'!AH14)</f>
        <v>1497000</v>
      </c>
      <c r="G208" s="103">
        <f>SUM('[3]car-SAOB'!AH50)</f>
        <v>0</v>
      </c>
      <c r="H208" s="103">
        <f>SUM('[3]car-SAOB'!AH142)</f>
        <v>0</v>
      </c>
      <c r="I208" s="103">
        <f>SUM(F208:H208)</f>
        <v>1497000</v>
      </c>
      <c r="J208" s="103">
        <f>SUM('[3]car-SAOB'!AH15)</f>
        <v>1343280.7899999998</v>
      </c>
      <c r="K208" s="103">
        <f>SUM('[3]car-SAOB'!AH51)</f>
        <v>0</v>
      </c>
      <c r="L208" s="103">
        <f>SUM('[3]car-SAOB'!AH143)</f>
        <v>0</v>
      </c>
      <c r="M208" s="103">
        <f>SUM(J208:L208)</f>
        <v>1343280.7899999998</v>
      </c>
      <c r="N208" s="103">
        <f t="shared" si="66"/>
        <v>153719.2100000002</v>
      </c>
      <c r="O208" s="103">
        <f t="shared" si="66"/>
        <v>0</v>
      </c>
      <c r="P208" s="103">
        <f t="shared" si="66"/>
        <v>0</v>
      </c>
      <c r="Q208" s="103">
        <f t="shared" si="67"/>
        <v>153719.2100000002</v>
      </c>
      <c r="S208" s="730">
        <f t="shared" si="57"/>
        <v>0.8973151569806278</v>
      </c>
      <c r="T208" s="730" t="str">
        <f t="shared" si="57"/>
        <v/>
      </c>
      <c r="U208" s="730" t="str">
        <f t="shared" si="57"/>
        <v/>
      </c>
      <c r="V208" s="730">
        <f t="shared" si="57"/>
        <v>0.8973151569806278</v>
      </c>
      <c r="W208" s="531"/>
      <c r="X208" s="236"/>
      <c r="Y208" s="236" t="s">
        <v>598</v>
      </c>
      <c r="Z208" s="236"/>
    </row>
    <row r="209" spans="1:26" s="272" customFormat="1" ht="11.25" customHeight="1">
      <c r="A209" s="528" t="s">
        <v>601</v>
      </c>
      <c r="B209" s="528" t="s">
        <v>120</v>
      </c>
      <c r="C209" s="389"/>
      <c r="D209" s="650" t="s">
        <v>98</v>
      </c>
      <c r="E209" s="390" t="s">
        <v>100</v>
      </c>
      <c r="F209" s="391">
        <f t="shared" ref="F209:M209" si="75">SUM(F210:F214)</f>
        <v>315000</v>
      </c>
      <c r="G209" s="391">
        <f t="shared" si="75"/>
        <v>250000</v>
      </c>
      <c r="H209" s="391">
        <f t="shared" si="75"/>
        <v>0</v>
      </c>
      <c r="I209" s="391">
        <f t="shared" si="75"/>
        <v>565000</v>
      </c>
      <c r="J209" s="391">
        <f t="shared" si="75"/>
        <v>315000</v>
      </c>
      <c r="K209" s="391">
        <f t="shared" si="75"/>
        <v>250000</v>
      </c>
      <c r="L209" s="391">
        <f t="shared" si="75"/>
        <v>0</v>
      </c>
      <c r="M209" s="391">
        <f t="shared" si="75"/>
        <v>565000</v>
      </c>
      <c r="N209" s="391">
        <f t="shared" si="66"/>
        <v>0</v>
      </c>
      <c r="O209" s="391">
        <f t="shared" si="66"/>
        <v>0</v>
      </c>
      <c r="P209" s="391">
        <f t="shared" si="66"/>
        <v>0</v>
      </c>
      <c r="Q209" s="391">
        <f t="shared" si="67"/>
        <v>0</v>
      </c>
      <c r="R209" s="102"/>
      <c r="S209" s="254">
        <f t="shared" si="57"/>
        <v>1</v>
      </c>
      <c r="T209" s="254">
        <f t="shared" si="57"/>
        <v>1</v>
      </c>
      <c r="U209" s="254" t="str">
        <f t="shared" si="57"/>
        <v/>
      </c>
      <c r="V209" s="254">
        <f t="shared" si="57"/>
        <v>1</v>
      </c>
      <c r="W209" s="531"/>
      <c r="Y209" s="272" t="s">
        <v>598</v>
      </c>
      <c r="Z209" s="256" t="s">
        <v>598</v>
      </c>
    </row>
    <row r="210" spans="1:26" ht="11.25" customHeight="1">
      <c r="A210" s="528" t="s">
        <v>601</v>
      </c>
      <c r="B210" s="1013" t="s">
        <v>120</v>
      </c>
      <c r="C210" s="728"/>
      <c r="D210" s="649" t="s">
        <v>288</v>
      </c>
      <c r="E210" s="729" t="s">
        <v>288</v>
      </c>
      <c r="F210" s="103">
        <f>SUM('[3]car-SAOB'!AN14)</f>
        <v>0</v>
      </c>
      <c r="G210" s="103">
        <f>SUM('[3]car-SAOB'!AN50)</f>
        <v>0</v>
      </c>
      <c r="H210" s="103">
        <f>SUM('[3]car-SAOB'!AN142)</f>
        <v>0</v>
      </c>
      <c r="I210" s="103">
        <f>SUM(F210:H210)</f>
        <v>0</v>
      </c>
      <c r="J210" s="103">
        <f>SUM('[3]car-SAOB'!AN15)</f>
        <v>0</v>
      </c>
      <c r="K210" s="103">
        <f>SUM('[3]car-SAOB'!AN51)</f>
        <v>0</v>
      </c>
      <c r="L210" s="103">
        <f>SUM('[3]car-SAOB'!AN143)</f>
        <v>0</v>
      </c>
      <c r="M210" s="103">
        <f>SUM(J210:L210)</f>
        <v>0</v>
      </c>
      <c r="N210" s="103">
        <f t="shared" si="66"/>
        <v>0</v>
      </c>
      <c r="O210" s="103">
        <f t="shared" si="66"/>
        <v>0</v>
      </c>
      <c r="P210" s="103">
        <f t="shared" si="66"/>
        <v>0</v>
      </c>
      <c r="Q210" s="103">
        <f t="shared" si="67"/>
        <v>0</v>
      </c>
      <c r="R210" s="95">
        <f>Q210-'[3]car-SAOB'!AN179</f>
        <v>0</v>
      </c>
      <c r="S210" s="730" t="str">
        <f t="shared" si="57"/>
        <v/>
      </c>
      <c r="T210" s="730" t="str">
        <f t="shared" si="57"/>
        <v/>
      </c>
      <c r="U210" s="730" t="str">
        <f t="shared" si="57"/>
        <v/>
      </c>
      <c r="V210" s="730" t="str">
        <f t="shared" si="57"/>
        <v/>
      </c>
      <c r="W210" s="531"/>
      <c r="X210" s="236"/>
      <c r="Y210" s="236" t="s">
        <v>598</v>
      </c>
      <c r="Z210" s="236"/>
    </row>
    <row r="211" spans="1:26" ht="11.25" customHeight="1">
      <c r="A211" s="528" t="s">
        <v>601</v>
      </c>
      <c r="B211" s="1013" t="s">
        <v>120</v>
      </c>
      <c r="C211" s="728"/>
      <c r="D211" s="649" t="s">
        <v>761</v>
      </c>
      <c r="E211" s="729" t="s">
        <v>761</v>
      </c>
      <c r="F211" s="1017">
        <f>+'[3]car-SAOB'!C413</f>
        <v>315000</v>
      </c>
      <c r="G211" s="103"/>
      <c r="H211" s="103"/>
      <c r="I211" s="103">
        <f>SUM(F211:H211)</f>
        <v>315000</v>
      </c>
      <c r="J211" s="1017">
        <f>+'[3]car-SAOB'!G413</f>
        <v>315000</v>
      </c>
      <c r="K211" s="103"/>
      <c r="L211" s="103"/>
      <c r="M211" s="103">
        <f>SUM(J211:L211)</f>
        <v>315000</v>
      </c>
      <c r="N211" s="103">
        <f>+F211-J211</f>
        <v>0</v>
      </c>
      <c r="O211" s="103">
        <f>+G211-K211</f>
        <v>0</v>
      </c>
      <c r="P211" s="103">
        <f>+H211-L211</f>
        <v>0</v>
      </c>
      <c r="Q211" s="103">
        <f>SUM(N211:P211)</f>
        <v>0</v>
      </c>
      <c r="S211" s="730">
        <f t="shared" si="57"/>
        <v>1</v>
      </c>
      <c r="T211" s="730" t="str">
        <f t="shared" si="57"/>
        <v/>
      </c>
      <c r="U211" s="730" t="str">
        <f t="shared" si="57"/>
        <v/>
      </c>
      <c r="V211" s="730">
        <f t="shared" si="57"/>
        <v>1</v>
      </c>
      <c r="W211" s="531"/>
      <c r="X211" s="236"/>
      <c r="Y211" s="236" t="s">
        <v>688</v>
      </c>
      <c r="Z211" s="236"/>
    </row>
    <row r="212" spans="1:26" ht="11.25" customHeight="1">
      <c r="A212" s="528" t="s">
        <v>601</v>
      </c>
      <c r="B212" s="1013" t="s">
        <v>120</v>
      </c>
      <c r="C212" s="411"/>
      <c r="D212" s="647"/>
      <c r="E212" s="1014" t="s">
        <v>764</v>
      </c>
      <c r="F212" s="104"/>
      <c r="G212" s="104"/>
      <c r="H212" s="104"/>
      <c r="I212" s="103"/>
      <c r="J212" s="104"/>
      <c r="K212" s="104"/>
      <c r="L212" s="104"/>
      <c r="M212" s="103"/>
      <c r="N212" s="103"/>
      <c r="O212" s="103"/>
      <c r="P212" s="103"/>
      <c r="Q212" s="103"/>
      <c r="S212" s="730" t="str">
        <f t="shared" si="57"/>
        <v/>
      </c>
      <c r="T212" s="730" t="str">
        <f t="shared" si="57"/>
        <v/>
      </c>
      <c r="U212" s="730" t="str">
        <f t="shared" si="57"/>
        <v/>
      </c>
      <c r="V212" s="730" t="str">
        <f t="shared" si="57"/>
        <v/>
      </c>
      <c r="W212" s="531"/>
      <c r="X212" s="236"/>
      <c r="Y212" s="236" t="s">
        <v>688</v>
      </c>
      <c r="Z212" s="240"/>
    </row>
    <row r="213" spans="1:26" ht="11.25" customHeight="1">
      <c r="A213" s="528" t="s">
        <v>601</v>
      </c>
      <c r="B213" s="1013" t="s">
        <v>120</v>
      </c>
      <c r="C213" s="728"/>
      <c r="D213" s="649" t="s">
        <v>289</v>
      </c>
      <c r="E213" s="729" t="s">
        <v>289</v>
      </c>
      <c r="F213" s="103">
        <f>SUM('[3]car-SAOB'!AT14)</f>
        <v>0</v>
      </c>
      <c r="G213" s="103">
        <f>SUM('[3]car-SAOB'!AT50)</f>
        <v>0</v>
      </c>
      <c r="H213" s="103">
        <f>SUM('[3]car-SAOB'!AT142)</f>
        <v>0</v>
      </c>
      <c r="I213" s="103">
        <f>SUM(F213:H213)</f>
        <v>0</v>
      </c>
      <c r="J213" s="103">
        <f>SUM('[3]car-SAOB'!AT15)</f>
        <v>0</v>
      </c>
      <c r="K213" s="103">
        <f>SUM('[3]car-SAOB'!AT51)</f>
        <v>0</v>
      </c>
      <c r="L213" s="103">
        <f>SUM('[3]car-SAOB'!AT143)</f>
        <v>0</v>
      </c>
      <c r="M213" s="103">
        <f>SUM(J213:L213)</f>
        <v>0</v>
      </c>
      <c r="N213" s="103">
        <f t="shared" si="66"/>
        <v>0</v>
      </c>
      <c r="O213" s="103">
        <f t="shared" si="66"/>
        <v>0</v>
      </c>
      <c r="P213" s="103">
        <f t="shared" si="66"/>
        <v>0</v>
      </c>
      <c r="Q213" s="103">
        <f t="shared" si="67"/>
        <v>0</v>
      </c>
      <c r="R213" s="95">
        <f>Q213-'[3]car-SAOB'!AT179</f>
        <v>0</v>
      </c>
      <c r="S213" s="730" t="str">
        <f t="shared" si="57"/>
        <v/>
      </c>
      <c r="T213" s="730" t="str">
        <f t="shared" si="57"/>
        <v/>
      </c>
      <c r="U213" s="730" t="str">
        <f t="shared" si="57"/>
        <v/>
      </c>
      <c r="V213" s="730" t="str">
        <f t="shared" si="57"/>
        <v/>
      </c>
      <c r="W213" s="531"/>
      <c r="X213" s="236"/>
      <c r="Y213" s="236" t="s">
        <v>598</v>
      </c>
      <c r="Z213" s="236"/>
    </row>
    <row r="214" spans="1:26" ht="11.25" customHeight="1">
      <c r="A214" s="246" t="s">
        <v>601</v>
      </c>
      <c r="B214" s="235" t="s">
        <v>120</v>
      </c>
      <c r="C214" s="728"/>
      <c r="D214" s="394" t="s">
        <v>290</v>
      </c>
      <c r="E214" s="729" t="s">
        <v>290</v>
      </c>
      <c r="F214" s="103">
        <f>SUM('[3]car-SAOB'!AZ14)</f>
        <v>0</v>
      </c>
      <c r="G214" s="103">
        <f>SUM('[3]car-SAOB'!AZ50)</f>
        <v>250000</v>
      </c>
      <c r="H214" s="103">
        <f>SUM('[3]car-SAOB'!AZ142)</f>
        <v>0</v>
      </c>
      <c r="I214" s="103">
        <f>SUM(F214:H214)</f>
        <v>250000</v>
      </c>
      <c r="J214" s="103">
        <f>SUM('[3]car-SAOB'!AZ15)</f>
        <v>0</v>
      </c>
      <c r="K214" s="103">
        <f>SUM('[3]car-SAOB'!AZ51)</f>
        <v>250000</v>
      </c>
      <c r="L214" s="103">
        <f>SUM('[3]car-SAOB'!AZ143)</f>
        <v>0</v>
      </c>
      <c r="M214" s="103">
        <f>SUM(J214:L214)</f>
        <v>250000</v>
      </c>
      <c r="N214" s="103">
        <f t="shared" si="66"/>
        <v>0</v>
      </c>
      <c r="O214" s="103">
        <f t="shared" si="66"/>
        <v>0</v>
      </c>
      <c r="P214" s="103">
        <f t="shared" si="66"/>
        <v>0</v>
      </c>
      <c r="Q214" s="103">
        <f t="shared" si="67"/>
        <v>0</v>
      </c>
      <c r="R214" s="95">
        <f>Q214-'[3]car-SAOB'!AZ179</f>
        <v>0</v>
      </c>
      <c r="S214" s="730" t="str">
        <f t="shared" si="57"/>
        <v/>
      </c>
      <c r="T214" s="730">
        <f t="shared" si="57"/>
        <v>1</v>
      </c>
      <c r="U214" s="730" t="str">
        <f t="shared" si="57"/>
        <v/>
      </c>
      <c r="V214" s="730">
        <f t="shared" si="57"/>
        <v>1</v>
      </c>
      <c r="W214" s="254"/>
      <c r="X214" s="236"/>
      <c r="Y214" s="236" t="s">
        <v>598</v>
      </c>
      <c r="Z214" s="236"/>
    </row>
    <row r="215" spans="1:26" s="259" customFormat="1" ht="11.25" customHeight="1">
      <c r="A215" s="246" t="s">
        <v>601</v>
      </c>
      <c r="B215" s="235" t="s">
        <v>120</v>
      </c>
      <c r="C215" s="656"/>
      <c r="D215" s="656"/>
      <c r="E215" s="657" t="s">
        <v>4</v>
      </c>
      <c r="F215" s="652">
        <f>+F205+F207+F209</f>
        <v>18124000</v>
      </c>
      <c r="G215" s="652">
        <f t="shared" ref="G215:M215" si="76">+G205+G207+G209</f>
        <v>12882000</v>
      </c>
      <c r="H215" s="652">
        <f t="shared" si="76"/>
        <v>0</v>
      </c>
      <c r="I215" s="652">
        <f t="shared" si="76"/>
        <v>31006000</v>
      </c>
      <c r="J215" s="652">
        <f t="shared" si="76"/>
        <v>16044436.349999998</v>
      </c>
      <c r="K215" s="652">
        <f t="shared" si="76"/>
        <v>10737406.149999999</v>
      </c>
      <c r="L215" s="652">
        <f t="shared" si="76"/>
        <v>0</v>
      </c>
      <c r="M215" s="652">
        <f t="shared" si="76"/>
        <v>26781842.499999996</v>
      </c>
      <c r="N215" s="652">
        <f t="shared" si="66"/>
        <v>2079563.6500000022</v>
      </c>
      <c r="O215" s="652">
        <f t="shared" si="66"/>
        <v>2144593.8500000015</v>
      </c>
      <c r="P215" s="652">
        <f t="shared" si="66"/>
        <v>0</v>
      </c>
      <c r="Q215" s="652">
        <f t="shared" si="67"/>
        <v>4224157.5000000037</v>
      </c>
      <c r="R215" s="653">
        <f>+Q215-'[3]car-SAOB'!CB179</f>
        <v>0</v>
      </c>
      <c r="S215" s="1008">
        <f t="shared" si="57"/>
        <v>0.88525912326197298</v>
      </c>
      <c r="T215" s="1008">
        <f t="shared" si="57"/>
        <v>0.83352011721782315</v>
      </c>
      <c r="U215" s="1008" t="str">
        <f t="shared" si="57"/>
        <v/>
      </c>
      <c r="V215" s="1008">
        <f t="shared" ref="V215:V278" si="77">IF(I215=0,"",M215/I215)</f>
        <v>0.8637632232471133</v>
      </c>
      <c r="W215" s="254"/>
      <c r="X215" s="520"/>
      <c r="Y215" s="610" t="s">
        <v>598</v>
      </c>
      <c r="Z215" s="241" t="s">
        <v>598</v>
      </c>
    </row>
    <row r="216" spans="1:26" s="660" customFormat="1" ht="18" hidden="1" customHeight="1">
      <c r="A216" s="246" t="s">
        <v>601</v>
      </c>
      <c r="B216" s="1009" t="s">
        <v>120</v>
      </c>
      <c r="C216" s="1428" t="s">
        <v>600</v>
      </c>
      <c r="D216" s="1429"/>
      <c r="E216" s="1430"/>
      <c r="F216" s="659">
        <f>+F215+F200+F185+F170</f>
        <v>330964261</v>
      </c>
      <c r="G216" s="659">
        <f>+G215+G200+G185+G170</f>
        <v>177576000</v>
      </c>
      <c r="H216" s="659">
        <f>+H215+H200+H185+H170</f>
        <v>28800000</v>
      </c>
      <c r="I216" s="659">
        <f t="shared" ref="I216:I297" si="78">SUM(F216:H216)</f>
        <v>537340261</v>
      </c>
      <c r="J216" s="659">
        <f>+J215+J200+J185+J170</f>
        <v>306582524.19999999</v>
      </c>
      <c r="K216" s="659">
        <f>+K215+K200+K185+K170</f>
        <v>163476217.88</v>
      </c>
      <c r="L216" s="659">
        <f>+L215+L200+L185+L170</f>
        <v>27670570.260000002</v>
      </c>
      <c r="M216" s="659">
        <f t="shared" ref="M216:M297" si="79">SUM(J216:L216)</f>
        <v>497729312.33999997</v>
      </c>
      <c r="N216" s="659">
        <f t="shared" si="66"/>
        <v>24381736.800000012</v>
      </c>
      <c r="O216" s="659">
        <f t="shared" si="66"/>
        <v>14099782.120000005</v>
      </c>
      <c r="P216" s="659">
        <f t="shared" si="66"/>
        <v>1129429.7399999984</v>
      </c>
      <c r="Q216" s="659">
        <f t="shared" si="67"/>
        <v>39610948.660000011</v>
      </c>
      <c r="S216" s="1015">
        <f t="shared" ref="S216:V279" si="80">IF(F216=0,"",J216/F216)</f>
        <v>0.92633120951993053</v>
      </c>
      <c r="T216" s="1015">
        <f t="shared" si="80"/>
        <v>0.92059860499166546</v>
      </c>
      <c r="U216" s="1015">
        <f t="shared" si="80"/>
        <v>0.96078368958333338</v>
      </c>
      <c r="V216" s="1015">
        <f t="shared" si="77"/>
        <v>0.92628330401618642</v>
      </c>
      <c r="W216" s="254"/>
    </row>
    <row r="217" spans="1:26" ht="11.25" hidden="1" customHeight="1">
      <c r="A217" s="246" t="s">
        <v>601</v>
      </c>
      <c r="B217" s="235" t="s">
        <v>602</v>
      </c>
      <c r="C217" s="1016"/>
      <c r="D217" s="386"/>
      <c r="E217" s="461"/>
      <c r="F217" s="103"/>
      <c r="G217" s="103"/>
      <c r="H217" s="103"/>
      <c r="I217" s="103">
        <f t="shared" si="78"/>
        <v>0</v>
      </c>
      <c r="J217" s="103"/>
      <c r="K217" s="103"/>
      <c r="L217" s="103"/>
      <c r="M217" s="103">
        <f t="shared" si="79"/>
        <v>0</v>
      </c>
      <c r="N217" s="103">
        <f t="shared" si="66"/>
        <v>0</v>
      </c>
      <c r="O217" s="103">
        <f t="shared" si="66"/>
        <v>0</v>
      </c>
      <c r="P217" s="103">
        <f t="shared" si="66"/>
        <v>0</v>
      </c>
      <c r="Q217" s="103">
        <f t="shared" si="67"/>
        <v>0</v>
      </c>
      <c r="R217" s="236"/>
      <c r="S217" s="730" t="str">
        <f t="shared" si="80"/>
        <v/>
      </c>
      <c r="T217" s="730" t="str">
        <f t="shared" si="80"/>
        <v/>
      </c>
      <c r="U217" s="730" t="str">
        <f t="shared" si="80"/>
        <v/>
      </c>
      <c r="V217" s="730" t="str">
        <f t="shared" si="77"/>
        <v/>
      </c>
      <c r="W217" s="254"/>
      <c r="X217" s="520" t="s">
        <v>598</v>
      </c>
      <c r="Y217" s="612"/>
      <c r="Z217" s="241"/>
    </row>
    <row r="218" spans="1:26" s="275" customFormat="1" ht="11.25" hidden="1" customHeight="1">
      <c r="A218" s="246" t="s">
        <v>601</v>
      </c>
      <c r="B218" s="246" t="s">
        <v>602</v>
      </c>
      <c r="C218" s="407" t="s">
        <v>787</v>
      </c>
      <c r="D218" s="407"/>
      <c r="E218" s="408"/>
      <c r="F218" s="409"/>
      <c r="G218" s="409"/>
      <c r="H218" s="409"/>
      <c r="I218" s="409">
        <f t="shared" si="78"/>
        <v>0</v>
      </c>
      <c r="J218" s="409"/>
      <c r="K218" s="409"/>
      <c r="L218" s="409"/>
      <c r="M218" s="409">
        <f t="shared" si="79"/>
        <v>0</v>
      </c>
      <c r="N218" s="409">
        <f t="shared" si="66"/>
        <v>0</v>
      </c>
      <c r="O218" s="409">
        <f t="shared" si="66"/>
        <v>0</v>
      </c>
      <c r="P218" s="409">
        <f t="shared" si="66"/>
        <v>0</v>
      </c>
      <c r="Q218" s="409">
        <f t="shared" si="67"/>
        <v>0</v>
      </c>
      <c r="R218" s="522"/>
      <c r="S218" s="254" t="str">
        <f t="shared" si="80"/>
        <v/>
      </c>
      <c r="T218" s="254" t="str">
        <f t="shared" si="80"/>
        <v/>
      </c>
      <c r="U218" s="254" t="str">
        <f t="shared" si="80"/>
        <v/>
      </c>
      <c r="V218" s="1002" t="str">
        <f t="shared" si="77"/>
        <v/>
      </c>
      <c r="W218" s="254"/>
      <c r="X218" s="274" t="s">
        <v>598</v>
      </c>
      <c r="Y218" s="663"/>
      <c r="Z218" s="253"/>
    </row>
    <row r="219" spans="1:26" ht="11.25" hidden="1" customHeight="1">
      <c r="A219" s="246" t="s">
        <v>601</v>
      </c>
      <c r="B219" s="235" t="s">
        <v>602</v>
      </c>
      <c r="C219" s="461"/>
      <c r="D219" s="664" t="s">
        <v>766</v>
      </c>
      <c r="E219" s="447" t="s">
        <v>766</v>
      </c>
      <c r="F219" s="103">
        <f>+F139+F158+F173+F188+F203</f>
        <v>336145000</v>
      </c>
      <c r="G219" s="103">
        <f>+G139+G158+G173+G188+G203</f>
        <v>247569000</v>
      </c>
      <c r="H219" s="103">
        <f>+H139+H158+H173+H188+H203</f>
        <v>0</v>
      </c>
      <c r="I219" s="103">
        <f t="shared" si="78"/>
        <v>583714000</v>
      </c>
      <c r="J219" s="103">
        <f>+J139+J158+J173+J188+J203</f>
        <v>311023533.09999996</v>
      </c>
      <c r="K219" s="103">
        <f>+K139+K158+K173+K188+K203</f>
        <v>225438953.56000006</v>
      </c>
      <c r="L219" s="103">
        <f>+L139+L158+L173+L188+L203</f>
        <v>0</v>
      </c>
      <c r="M219" s="103">
        <f t="shared" si="79"/>
        <v>536462486.66000003</v>
      </c>
      <c r="N219" s="103">
        <f t="shared" si="66"/>
        <v>25121466.900000036</v>
      </c>
      <c r="O219" s="103">
        <f t="shared" si="66"/>
        <v>22130046.439999938</v>
      </c>
      <c r="P219" s="103">
        <f t="shared" si="66"/>
        <v>0</v>
      </c>
      <c r="Q219" s="103">
        <f t="shared" si="67"/>
        <v>47251513.339999974</v>
      </c>
      <c r="R219" s="276">
        <f>Q219-'[3]car-SAOB'!K179</f>
        <v>-5.9604644775390625E-8</v>
      </c>
      <c r="S219" s="730">
        <f t="shared" si="80"/>
        <v>0.92526598075235378</v>
      </c>
      <c r="T219" s="730">
        <f t="shared" si="80"/>
        <v>0.91061059163303992</v>
      </c>
      <c r="U219" s="730" t="str">
        <f t="shared" si="80"/>
        <v/>
      </c>
      <c r="V219" s="730">
        <f t="shared" si="77"/>
        <v>0.91905023120911955</v>
      </c>
      <c r="W219" s="254"/>
      <c r="X219" s="237" t="s">
        <v>598</v>
      </c>
    </row>
    <row r="220" spans="1:26" ht="11.25" hidden="1" customHeight="1">
      <c r="A220" s="246" t="s">
        <v>601</v>
      </c>
      <c r="B220" s="235" t="s">
        <v>602</v>
      </c>
      <c r="C220" s="728"/>
      <c r="D220" s="394" t="s">
        <v>50</v>
      </c>
      <c r="E220" s="447" t="s">
        <v>50</v>
      </c>
      <c r="F220" s="103">
        <f>+F143+F159+F174+F189+F204</f>
        <v>0</v>
      </c>
      <c r="G220" s="103">
        <f>+G143+G159+G174+G189+G204</f>
        <v>152669232</v>
      </c>
      <c r="H220" s="103">
        <f>+H143+H159+H174+H189+H204</f>
        <v>64550000</v>
      </c>
      <c r="I220" s="103">
        <f>SUM(F220:H220)</f>
        <v>217219232</v>
      </c>
      <c r="J220" s="103">
        <f>+J143+J159+J174+J189+J204</f>
        <v>0</v>
      </c>
      <c r="K220" s="103">
        <f>+K143+K159+K174+K189+K204</f>
        <v>135713638.26999998</v>
      </c>
      <c r="L220" s="103">
        <f>+L143+L159+L174+L189+L204</f>
        <v>59739805.579999998</v>
      </c>
      <c r="M220" s="103">
        <f>SUM(J220:L220)</f>
        <v>195453443.84999996</v>
      </c>
      <c r="N220" s="103">
        <f t="shared" si="66"/>
        <v>0</v>
      </c>
      <c r="O220" s="103">
        <f t="shared" si="66"/>
        <v>16955593.730000019</v>
      </c>
      <c r="P220" s="103">
        <f t="shared" si="66"/>
        <v>4810194.4200000018</v>
      </c>
      <c r="Q220" s="103">
        <f t="shared" si="67"/>
        <v>21765788.150000021</v>
      </c>
      <c r="R220" s="276">
        <f>Q220-'[3]car-SAOB'!AC179+Q227</f>
        <v>1.1175870895385742E-8</v>
      </c>
      <c r="S220" s="730" t="str">
        <f t="shared" si="80"/>
        <v/>
      </c>
      <c r="T220" s="730">
        <f t="shared" si="80"/>
        <v>0.88893902518616186</v>
      </c>
      <c r="U220" s="730">
        <f t="shared" si="80"/>
        <v>0.92548110890782331</v>
      </c>
      <c r="V220" s="730">
        <f t="shared" si="77"/>
        <v>0.89979806138896556</v>
      </c>
      <c r="W220" s="254"/>
      <c r="X220" s="237" t="s">
        <v>598</v>
      </c>
    </row>
    <row r="221" spans="1:26" s="256" customFormat="1" ht="11.25" hidden="1" customHeight="1">
      <c r="A221" s="246" t="s">
        <v>601</v>
      </c>
      <c r="B221" s="246" t="s">
        <v>602</v>
      </c>
      <c r="C221" s="389"/>
      <c r="D221" s="389" t="s">
        <v>98</v>
      </c>
      <c r="E221" s="390" t="s">
        <v>767</v>
      </c>
      <c r="F221" s="391">
        <f>+F219+F220</f>
        <v>336145000</v>
      </c>
      <c r="G221" s="391">
        <f t="shared" ref="G221:M221" si="81">+G219+G220</f>
        <v>400238232</v>
      </c>
      <c r="H221" s="391">
        <f t="shared" si="81"/>
        <v>64550000</v>
      </c>
      <c r="I221" s="391">
        <f t="shared" si="81"/>
        <v>800933232</v>
      </c>
      <c r="J221" s="391">
        <f t="shared" si="81"/>
        <v>311023533.09999996</v>
      </c>
      <c r="K221" s="391">
        <f t="shared" si="81"/>
        <v>361152591.83000004</v>
      </c>
      <c r="L221" s="391">
        <f t="shared" si="81"/>
        <v>59739805.579999998</v>
      </c>
      <c r="M221" s="391">
        <f t="shared" si="81"/>
        <v>731915930.50999999</v>
      </c>
      <c r="N221" s="391">
        <f t="shared" si="66"/>
        <v>25121466.900000036</v>
      </c>
      <c r="O221" s="391">
        <f t="shared" si="66"/>
        <v>39085640.169999957</v>
      </c>
      <c r="P221" s="391">
        <f t="shared" si="66"/>
        <v>4810194.4200000018</v>
      </c>
      <c r="Q221" s="391">
        <f t="shared" si="67"/>
        <v>69017301.489999995</v>
      </c>
      <c r="R221" s="665"/>
      <c r="S221" s="254">
        <f t="shared" si="80"/>
        <v>0.92526598075235378</v>
      </c>
      <c r="T221" s="254">
        <f t="shared" si="80"/>
        <v>0.9023440614988526</v>
      </c>
      <c r="U221" s="254">
        <f t="shared" si="80"/>
        <v>0.92548110890782331</v>
      </c>
      <c r="V221" s="297">
        <f t="shared" si="77"/>
        <v>0.91382889517811894</v>
      </c>
      <c r="W221" s="254"/>
      <c r="X221" s="271" t="s">
        <v>598</v>
      </c>
      <c r="Y221" s="628"/>
      <c r="Z221" s="255"/>
    </row>
    <row r="222" spans="1:26" ht="11.25" hidden="1" customHeight="1">
      <c r="A222" s="246" t="s">
        <v>601</v>
      </c>
      <c r="B222" s="235" t="s">
        <v>602</v>
      </c>
      <c r="C222" s="410"/>
      <c r="D222" s="396"/>
      <c r="E222" s="806"/>
      <c r="F222" s="807"/>
      <c r="G222" s="807"/>
      <c r="H222" s="807"/>
      <c r="I222" s="807"/>
      <c r="J222" s="807"/>
      <c r="K222" s="807"/>
      <c r="L222" s="807"/>
      <c r="M222" s="807"/>
      <c r="N222" s="807">
        <f t="shared" si="66"/>
        <v>0</v>
      </c>
      <c r="O222" s="807">
        <f t="shared" si="66"/>
        <v>0</v>
      </c>
      <c r="P222" s="807">
        <f t="shared" si="66"/>
        <v>0</v>
      </c>
      <c r="Q222" s="807">
        <f t="shared" si="67"/>
        <v>0</v>
      </c>
      <c r="R222" s="276"/>
      <c r="S222" s="730" t="str">
        <f t="shared" si="80"/>
        <v/>
      </c>
      <c r="T222" s="730" t="str">
        <f t="shared" si="80"/>
        <v/>
      </c>
      <c r="U222" s="730" t="str">
        <f t="shared" si="80"/>
        <v/>
      </c>
      <c r="V222" s="730" t="str">
        <f t="shared" si="77"/>
        <v/>
      </c>
      <c r="W222" s="254"/>
      <c r="X222" s="237" t="s">
        <v>598</v>
      </c>
    </row>
    <row r="223" spans="1:26" s="256" customFormat="1" ht="11.25" hidden="1" customHeight="1">
      <c r="A223" s="246" t="s">
        <v>601</v>
      </c>
      <c r="B223" s="246" t="s">
        <v>602</v>
      </c>
      <c r="C223" s="389"/>
      <c r="D223" s="389" t="s">
        <v>98</v>
      </c>
      <c r="E223" s="390" t="s">
        <v>99</v>
      </c>
      <c r="F223" s="391">
        <f>+F224</f>
        <v>31091217</v>
      </c>
      <c r="G223" s="391">
        <f t="shared" ref="G223:M223" si="82">+G224</f>
        <v>0</v>
      </c>
      <c r="H223" s="391">
        <f t="shared" si="82"/>
        <v>0</v>
      </c>
      <c r="I223" s="391">
        <f t="shared" si="82"/>
        <v>31091217</v>
      </c>
      <c r="J223" s="391">
        <f t="shared" si="82"/>
        <v>27703674.369999997</v>
      </c>
      <c r="K223" s="391">
        <f t="shared" si="82"/>
        <v>0</v>
      </c>
      <c r="L223" s="391">
        <f t="shared" si="82"/>
        <v>0</v>
      </c>
      <c r="M223" s="391">
        <f t="shared" si="82"/>
        <v>27703674.369999997</v>
      </c>
      <c r="N223" s="391">
        <f t="shared" si="66"/>
        <v>3387542.6300000027</v>
      </c>
      <c r="O223" s="391">
        <f t="shared" si="66"/>
        <v>0</v>
      </c>
      <c r="P223" s="391">
        <f t="shared" si="66"/>
        <v>0</v>
      </c>
      <c r="Q223" s="391">
        <f t="shared" si="67"/>
        <v>3387542.6300000027</v>
      </c>
      <c r="R223" s="665"/>
      <c r="S223" s="254">
        <f t="shared" si="80"/>
        <v>0.89104502953358167</v>
      </c>
      <c r="T223" s="254" t="str">
        <f t="shared" si="80"/>
        <v/>
      </c>
      <c r="U223" s="254" t="str">
        <f t="shared" si="80"/>
        <v/>
      </c>
      <c r="V223" s="297">
        <f t="shared" si="77"/>
        <v>0.89104502953358167</v>
      </c>
      <c r="W223" s="254"/>
      <c r="X223" s="271" t="s">
        <v>598</v>
      </c>
      <c r="Y223" s="628"/>
      <c r="Z223" s="255"/>
    </row>
    <row r="224" spans="1:26" ht="11.25" hidden="1" customHeight="1">
      <c r="A224" s="246" t="s">
        <v>601</v>
      </c>
      <c r="B224" s="235" t="s">
        <v>602</v>
      </c>
      <c r="C224" s="728"/>
      <c r="D224" s="394" t="s">
        <v>286</v>
      </c>
      <c r="E224" s="729" t="s">
        <v>286</v>
      </c>
      <c r="F224" s="103">
        <f>+F147+F163+F178+F193+F208</f>
        <v>31091217</v>
      </c>
      <c r="G224" s="103">
        <f>+G147+G163+G178+G193+G208</f>
        <v>0</v>
      </c>
      <c r="H224" s="103">
        <f>+H147+H163+H178+H193+H208</f>
        <v>0</v>
      </c>
      <c r="I224" s="103">
        <f t="shared" si="78"/>
        <v>31091217</v>
      </c>
      <c r="J224" s="103">
        <f>+J147+J163+J178+J193+J208</f>
        <v>27703674.369999997</v>
      </c>
      <c r="K224" s="103">
        <f>+K147+K163+K178+K193+K208</f>
        <v>0</v>
      </c>
      <c r="L224" s="103">
        <f>+L147+L163+L178+L193+L208</f>
        <v>0</v>
      </c>
      <c r="M224" s="103">
        <f t="shared" si="79"/>
        <v>27703674.369999997</v>
      </c>
      <c r="N224" s="103">
        <f t="shared" si="66"/>
        <v>3387542.6300000027</v>
      </c>
      <c r="O224" s="103">
        <f t="shared" si="66"/>
        <v>0</v>
      </c>
      <c r="P224" s="103">
        <f t="shared" si="66"/>
        <v>0</v>
      </c>
      <c r="Q224" s="103">
        <f t="shared" si="67"/>
        <v>3387542.6300000027</v>
      </c>
      <c r="R224" s="276"/>
      <c r="S224" s="730">
        <f t="shared" si="80"/>
        <v>0.89104502953358167</v>
      </c>
      <c r="T224" s="730" t="str">
        <f t="shared" si="80"/>
        <v/>
      </c>
      <c r="U224" s="730" t="str">
        <f t="shared" si="80"/>
        <v/>
      </c>
      <c r="V224" s="730">
        <f t="shared" si="77"/>
        <v>0.89104502953358167</v>
      </c>
      <c r="W224" s="254"/>
      <c r="X224" s="237" t="s">
        <v>598</v>
      </c>
    </row>
    <row r="225" spans="1:26" s="272" customFormat="1" ht="11.25" hidden="1" customHeight="1">
      <c r="A225" s="246" t="s">
        <v>601</v>
      </c>
      <c r="B225" s="246" t="s">
        <v>602</v>
      </c>
      <c r="C225" s="389"/>
      <c r="D225" s="389" t="s">
        <v>98</v>
      </c>
      <c r="E225" s="390" t="s">
        <v>100</v>
      </c>
      <c r="F225" s="391">
        <f t="shared" ref="F225:M225" si="83">SUM(F226:F230)</f>
        <v>34887349</v>
      </c>
      <c r="G225" s="391">
        <f t="shared" si="83"/>
        <v>5210000</v>
      </c>
      <c r="H225" s="391">
        <f t="shared" si="83"/>
        <v>0</v>
      </c>
      <c r="I225" s="391">
        <f t="shared" si="83"/>
        <v>40097349</v>
      </c>
      <c r="J225" s="391">
        <f t="shared" si="83"/>
        <v>34109114.329999998</v>
      </c>
      <c r="K225" s="391">
        <f t="shared" si="83"/>
        <v>4210000</v>
      </c>
      <c r="L225" s="391">
        <f t="shared" si="83"/>
        <v>0</v>
      </c>
      <c r="M225" s="391">
        <f t="shared" si="83"/>
        <v>38319114.329999998</v>
      </c>
      <c r="N225" s="391">
        <f t="shared" si="66"/>
        <v>778234.67000000179</v>
      </c>
      <c r="O225" s="391">
        <f t="shared" si="66"/>
        <v>1000000</v>
      </c>
      <c r="P225" s="391">
        <f t="shared" si="66"/>
        <v>0</v>
      </c>
      <c r="Q225" s="391">
        <f t="shared" si="67"/>
        <v>1778234.6700000018</v>
      </c>
      <c r="R225" s="94"/>
      <c r="S225" s="254">
        <f t="shared" si="80"/>
        <v>0.97769292616644499</v>
      </c>
      <c r="T225" s="254">
        <f t="shared" si="80"/>
        <v>0.80806142034548945</v>
      </c>
      <c r="U225" s="254" t="str">
        <f t="shared" si="80"/>
        <v/>
      </c>
      <c r="V225" s="297">
        <f t="shared" si="77"/>
        <v>0.95565206393071023</v>
      </c>
      <c r="W225" s="254"/>
      <c r="X225" s="527" t="s">
        <v>598</v>
      </c>
      <c r="Y225" s="629"/>
      <c r="Z225" s="277"/>
    </row>
    <row r="226" spans="1:26" ht="11.25" hidden="1" customHeight="1">
      <c r="A226" s="246" t="s">
        <v>601</v>
      </c>
      <c r="B226" s="235" t="s">
        <v>602</v>
      </c>
      <c r="C226" s="728"/>
      <c r="D226" s="394" t="s">
        <v>288</v>
      </c>
      <c r="E226" s="729" t="s">
        <v>288</v>
      </c>
      <c r="F226" s="103">
        <f t="shared" ref="F226:H227" si="84">+F149+F165+F180+F195+F210</f>
        <v>757225</v>
      </c>
      <c r="G226" s="103">
        <f t="shared" si="84"/>
        <v>0</v>
      </c>
      <c r="H226" s="103">
        <f t="shared" si="84"/>
        <v>0</v>
      </c>
      <c r="I226" s="103">
        <f t="shared" si="78"/>
        <v>757225</v>
      </c>
      <c r="J226" s="103">
        <f t="shared" ref="J226:L227" si="85">+J149+J165+J180+J195+J210</f>
        <v>63246.9</v>
      </c>
      <c r="K226" s="103">
        <f t="shared" si="85"/>
        <v>0</v>
      </c>
      <c r="L226" s="103">
        <f t="shared" si="85"/>
        <v>0</v>
      </c>
      <c r="M226" s="103">
        <f t="shared" si="79"/>
        <v>63246.9</v>
      </c>
      <c r="N226" s="103">
        <f t="shared" si="66"/>
        <v>693978.1</v>
      </c>
      <c r="O226" s="103">
        <f t="shared" si="66"/>
        <v>0</v>
      </c>
      <c r="P226" s="103">
        <f t="shared" si="66"/>
        <v>0</v>
      </c>
      <c r="Q226" s="103">
        <f t="shared" si="67"/>
        <v>693978.1</v>
      </c>
      <c r="R226" s="276">
        <f>Q226-'[3]car-SAOB'!AO179</f>
        <v>0</v>
      </c>
      <c r="S226" s="730">
        <f t="shared" si="80"/>
        <v>8.3524579880484673E-2</v>
      </c>
      <c r="T226" s="730" t="str">
        <f t="shared" si="80"/>
        <v/>
      </c>
      <c r="U226" s="730" t="str">
        <f t="shared" si="80"/>
        <v/>
      </c>
      <c r="V226" s="730">
        <f t="shared" si="77"/>
        <v>8.3524579880484673E-2</v>
      </c>
      <c r="W226" s="254"/>
      <c r="X226" s="237" t="s">
        <v>598</v>
      </c>
    </row>
    <row r="227" spans="1:26" ht="11.25" hidden="1" customHeight="1">
      <c r="A227" s="246" t="s">
        <v>601</v>
      </c>
      <c r="B227" s="235" t="s">
        <v>602</v>
      </c>
      <c r="C227" s="728"/>
      <c r="D227" s="394" t="s">
        <v>761</v>
      </c>
      <c r="E227" s="729" t="s">
        <v>761</v>
      </c>
      <c r="F227" s="103">
        <f t="shared" si="84"/>
        <v>8353000</v>
      </c>
      <c r="G227" s="103">
        <f t="shared" si="84"/>
        <v>0</v>
      </c>
      <c r="H227" s="103">
        <f t="shared" si="84"/>
        <v>0</v>
      </c>
      <c r="I227" s="103">
        <f>SUM(F227:H227)</f>
        <v>8353000</v>
      </c>
      <c r="J227" s="103">
        <f t="shared" si="85"/>
        <v>8286250</v>
      </c>
      <c r="K227" s="103">
        <f t="shared" si="85"/>
        <v>0</v>
      </c>
      <c r="L227" s="103">
        <f t="shared" si="85"/>
        <v>0</v>
      </c>
      <c r="M227" s="103">
        <f>SUM(J227:L227)</f>
        <v>8286250</v>
      </c>
      <c r="N227" s="103">
        <f t="shared" si="66"/>
        <v>66750</v>
      </c>
      <c r="O227" s="103">
        <f t="shared" si="66"/>
        <v>0</v>
      </c>
      <c r="P227" s="103">
        <f t="shared" si="66"/>
        <v>0</v>
      </c>
      <c r="Q227" s="103">
        <f t="shared" si="67"/>
        <v>66750</v>
      </c>
      <c r="R227" s="236"/>
      <c r="S227" s="730">
        <f t="shared" si="80"/>
        <v>0.99200885909254155</v>
      </c>
      <c r="T227" s="730" t="str">
        <f t="shared" si="80"/>
        <v/>
      </c>
      <c r="U227" s="730" t="str">
        <f t="shared" si="80"/>
        <v/>
      </c>
      <c r="V227" s="730">
        <f t="shared" si="77"/>
        <v>0.99200885909254155</v>
      </c>
      <c r="W227" s="254"/>
      <c r="X227" s="237" t="s">
        <v>598</v>
      </c>
    </row>
    <row r="228" spans="1:26" ht="11.25" hidden="1" customHeight="1">
      <c r="A228" s="246" t="s">
        <v>601</v>
      </c>
      <c r="B228" s="235" t="s">
        <v>602</v>
      </c>
      <c r="C228" s="411"/>
      <c r="D228" s="386"/>
      <c r="E228" s="1014"/>
      <c r="F228" s="104"/>
      <c r="G228" s="104"/>
      <c r="H228" s="104"/>
      <c r="I228" s="103"/>
      <c r="J228" s="104"/>
      <c r="K228" s="104"/>
      <c r="L228" s="104"/>
      <c r="M228" s="103"/>
      <c r="N228" s="103"/>
      <c r="O228" s="103"/>
      <c r="P228" s="103"/>
      <c r="Q228" s="103"/>
      <c r="R228" s="236"/>
      <c r="S228" s="730" t="str">
        <f t="shared" si="80"/>
        <v/>
      </c>
      <c r="T228" s="730" t="str">
        <f t="shared" si="80"/>
        <v/>
      </c>
      <c r="U228" s="730" t="str">
        <f t="shared" si="80"/>
        <v/>
      </c>
      <c r="V228" s="730" t="str">
        <f t="shared" si="77"/>
        <v/>
      </c>
      <c r="W228" s="254"/>
      <c r="X228" s="237" t="s">
        <v>598</v>
      </c>
    </row>
    <row r="229" spans="1:26" ht="11.25" hidden="1" customHeight="1">
      <c r="A229" s="246" t="s">
        <v>601</v>
      </c>
      <c r="B229" s="235" t="s">
        <v>602</v>
      </c>
      <c r="C229" s="728"/>
      <c r="D229" s="394" t="s">
        <v>289</v>
      </c>
      <c r="E229" s="729" t="s">
        <v>289</v>
      </c>
      <c r="F229" s="103">
        <f t="shared" ref="F229:H230" si="86">+F152+F168+F183+F198+F213</f>
        <v>25777124</v>
      </c>
      <c r="G229" s="103">
        <f t="shared" si="86"/>
        <v>0</v>
      </c>
      <c r="H229" s="103">
        <f t="shared" si="86"/>
        <v>0</v>
      </c>
      <c r="I229" s="103">
        <f t="shared" si="78"/>
        <v>25777124</v>
      </c>
      <c r="J229" s="103">
        <f t="shared" ref="J229:L230" si="87">+J152+J168+J183+J198+J213</f>
        <v>25759617.43</v>
      </c>
      <c r="K229" s="103">
        <f t="shared" si="87"/>
        <v>0</v>
      </c>
      <c r="L229" s="103">
        <f t="shared" si="87"/>
        <v>0</v>
      </c>
      <c r="M229" s="103">
        <f t="shared" si="79"/>
        <v>25759617.43</v>
      </c>
      <c r="N229" s="103">
        <f t="shared" si="66"/>
        <v>17506.570000000298</v>
      </c>
      <c r="O229" s="103">
        <f t="shared" si="66"/>
        <v>0</v>
      </c>
      <c r="P229" s="103">
        <f t="shared" si="66"/>
        <v>0</v>
      </c>
      <c r="Q229" s="103">
        <f t="shared" si="67"/>
        <v>17506.570000000298</v>
      </c>
      <c r="R229" s="276">
        <f>Q229-'[3]car-SAOB'!AU179</f>
        <v>0</v>
      </c>
      <c r="S229" s="730">
        <f t="shared" si="80"/>
        <v>0.99932084859428072</v>
      </c>
      <c r="T229" s="730" t="str">
        <f t="shared" si="80"/>
        <v/>
      </c>
      <c r="U229" s="730" t="str">
        <f t="shared" si="80"/>
        <v/>
      </c>
      <c r="V229" s="730">
        <f t="shared" si="77"/>
        <v>0.99932084859428072</v>
      </c>
      <c r="W229" s="254"/>
      <c r="X229" s="237" t="s">
        <v>598</v>
      </c>
    </row>
    <row r="230" spans="1:26" ht="11.25" hidden="1" customHeight="1">
      <c r="A230" s="246" t="s">
        <v>601</v>
      </c>
      <c r="B230" s="235" t="s">
        <v>602</v>
      </c>
      <c r="C230" s="728"/>
      <c r="D230" s="394" t="s">
        <v>290</v>
      </c>
      <c r="E230" s="729" t="s">
        <v>290</v>
      </c>
      <c r="F230" s="103">
        <f t="shared" si="86"/>
        <v>0</v>
      </c>
      <c r="G230" s="103">
        <f t="shared" si="86"/>
        <v>5210000</v>
      </c>
      <c r="H230" s="103">
        <f t="shared" si="86"/>
        <v>0</v>
      </c>
      <c r="I230" s="103">
        <f t="shared" si="78"/>
        <v>5210000</v>
      </c>
      <c r="J230" s="103">
        <f t="shared" si="87"/>
        <v>0</v>
      </c>
      <c r="K230" s="103">
        <f t="shared" si="87"/>
        <v>4210000</v>
      </c>
      <c r="L230" s="103">
        <f t="shared" si="87"/>
        <v>0</v>
      </c>
      <c r="M230" s="103">
        <f t="shared" si="79"/>
        <v>4210000</v>
      </c>
      <c r="N230" s="103">
        <f t="shared" si="66"/>
        <v>0</v>
      </c>
      <c r="O230" s="103">
        <f t="shared" si="66"/>
        <v>1000000</v>
      </c>
      <c r="P230" s="103">
        <f t="shared" si="66"/>
        <v>0</v>
      </c>
      <c r="Q230" s="103">
        <f t="shared" si="67"/>
        <v>1000000</v>
      </c>
      <c r="R230" s="276">
        <f>Q230-'[3]car-SAOB'!BA179</f>
        <v>0</v>
      </c>
      <c r="S230" s="730" t="str">
        <f t="shared" si="80"/>
        <v/>
      </c>
      <c r="T230" s="730">
        <f t="shared" si="80"/>
        <v>0.80806142034548945</v>
      </c>
      <c r="U230" s="730" t="str">
        <f t="shared" si="80"/>
        <v/>
      </c>
      <c r="V230" s="730">
        <f t="shared" si="77"/>
        <v>0.80806142034548945</v>
      </c>
      <c r="W230" s="254"/>
      <c r="X230" s="237" t="s">
        <v>598</v>
      </c>
    </row>
    <row r="231" spans="1:26" s="266" customFormat="1" ht="18" customHeight="1">
      <c r="A231" s="246" t="s">
        <v>601</v>
      </c>
      <c r="B231" s="1009" t="s">
        <v>602</v>
      </c>
      <c r="C231" s="1431" t="s">
        <v>603</v>
      </c>
      <c r="D231" s="1432"/>
      <c r="E231" s="1433"/>
      <c r="F231" s="666">
        <f>+F225+F223+F221</f>
        <v>402123566</v>
      </c>
      <c r="G231" s="666">
        <f t="shared" ref="G231:M231" si="88">+G225+G223+G221</f>
        <v>405448232</v>
      </c>
      <c r="H231" s="666">
        <f t="shared" si="88"/>
        <v>64550000</v>
      </c>
      <c r="I231" s="666">
        <f t="shared" si="88"/>
        <v>872121798</v>
      </c>
      <c r="J231" s="666">
        <f t="shared" si="88"/>
        <v>372836321.79999995</v>
      </c>
      <c r="K231" s="666">
        <f t="shared" si="88"/>
        <v>365362591.83000004</v>
      </c>
      <c r="L231" s="666">
        <f t="shared" si="88"/>
        <v>59739805.579999998</v>
      </c>
      <c r="M231" s="666">
        <f t="shared" si="88"/>
        <v>797938719.21000004</v>
      </c>
      <c r="N231" s="666">
        <f t="shared" si="66"/>
        <v>29287244.200000048</v>
      </c>
      <c r="O231" s="666">
        <f t="shared" si="66"/>
        <v>40085640.169999957</v>
      </c>
      <c r="P231" s="666">
        <f t="shared" si="66"/>
        <v>4810194.4200000018</v>
      </c>
      <c r="Q231" s="666">
        <f t="shared" si="67"/>
        <v>74183078.790000007</v>
      </c>
      <c r="R231" s="667">
        <f>+Q231-'[3]car-SAOB'!CC179</f>
        <v>0</v>
      </c>
      <c r="S231" s="1010">
        <f t="shared" si="80"/>
        <v>0.92716854550126004</v>
      </c>
      <c r="T231" s="1010">
        <f t="shared" si="80"/>
        <v>0.90113253183454511</v>
      </c>
      <c r="U231" s="1010">
        <f t="shared" si="80"/>
        <v>0.92548110890782331</v>
      </c>
      <c r="V231" s="1010">
        <f t="shared" si="77"/>
        <v>0.91493954289398471</v>
      </c>
      <c r="W231" s="668"/>
      <c r="X231" s="237" t="s">
        <v>598</v>
      </c>
      <c r="Y231" s="610" t="s">
        <v>598</v>
      </c>
      <c r="Z231" s="241" t="s">
        <v>598</v>
      </c>
    </row>
    <row r="232" spans="1:26" ht="11.25" customHeight="1">
      <c r="A232" s="246" t="s">
        <v>601</v>
      </c>
      <c r="B232" s="235" t="s">
        <v>602</v>
      </c>
      <c r="C232" s="410"/>
      <c r="D232" s="386"/>
      <c r="E232" s="461"/>
      <c r="F232" s="104"/>
      <c r="G232" s="104"/>
      <c r="H232" s="104"/>
      <c r="I232" s="103">
        <f t="shared" si="78"/>
        <v>0</v>
      </c>
      <c r="J232" s="104"/>
      <c r="K232" s="104"/>
      <c r="L232" s="104"/>
      <c r="M232" s="103">
        <f t="shared" si="79"/>
        <v>0</v>
      </c>
      <c r="N232" s="103">
        <f t="shared" si="66"/>
        <v>0</v>
      </c>
      <c r="O232" s="103">
        <f t="shared" si="66"/>
        <v>0</v>
      </c>
      <c r="P232" s="103">
        <f t="shared" si="66"/>
        <v>0</v>
      </c>
      <c r="Q232" s="103">
        <f t="shared" si="67"/>
        <v>0</v>
      </c>
      <c r="S232" s="730" t="str">
        <f t="shared" si="80"/>
        <v/>
      </c>
      <c r="T232" s="730" t="str">
        <f t="shared" si="80"/>
        <v/>
      </c>
      <c r="U232" s="730" t="str">
        <f t="shared" si="80"/>
        <v/>
      </c>
      <c r="V232" s="730" t="str">
        <f t="shared" si="77"/>
        <v/>
      </c>
      <c r="W232" s="254"/>
      <c r="Y232" s="610" t="s">
        <v>598</v>
      </c>
      <c r="Z232" s="241" t="s">
        <v>598</v>
      </c>
    </row>
    <row r="233" spans="1:26" ht="11.25" customHeight="1">
      <c r="A233" s="528" t="s">
        <v>606</v>
      </c>
      <c r="B233" s="528" t="s">
        <v>122</v>
      </c>
      <c r="C233" s="408"/>
      <c r="D233" s="529"/>
      <c r="E233" s="408" t="s">
        <v>122</v>
      </c>
      <c r="F233" s="104"/>
      <c r="G233" s="104"/>
      <c r="H233" s="104"/>
      <c r="I233" s="103">
        <f t="shared" si="78"/>
        <v>0</v>
      </c>
      <c r="J233" s="104"/>
      <c r="K233" s="104"/>
      <c r="L233" s="104"/>
      <c r="M233" s="103">
        <f t="shared" si="79"/>
        <v>0</v>
      </c>
      <c r="N233" s="103">
        <f t="shared" si="66"/>
        <v>0</v>
      </c>
      <c r="O233" s="103">
        <f t="shared" si="66"/>
        <v>0</v>
      </c>
      <c r="P233" s="103">
        <f t="shared" si="66"/>
        <v>0</v>
      </c>
      <c r="Q233" s="103">
        <f t="shared" si="67"/>
        <v>0</v>
      </c>
      <c r="S233" s="730" t="str">
        <f t="shared" si="80"/>
        <v/>
      </c>
      <c r="T233" s="730" t="str">
        <f t="shared" si="80"/>
        <v/>
      </c>
      <c r="U233" s="730" t="str">
        <f t="shared" si="80"/>
        <v/>
      </c>
      <c r="V233" s="730" t="str">
        <f t="shared" si="77"/>
        <v/>
      </c>
      <c r="W233" s="531"/>
      <c r="X233" s="236"/>
      <c r="Y233" s="236" t="s">
        <v>598</v>
      </c>
      <c r="Z233" s="240" t="s">
        <v>598</v>
      </c>
    </row>
    <row r="234" spans="1:26" ht="11.25" customHeight="1">
      <c r="A234" s="528" t="s">
        <v>606</v>
      </c>
      <c r="B234" s="1013" t="s">
        <v>122</v>
      </c>
      <c r="C234" s="461"/>
      <c r="D234" s="645" t="s">
        <v>766</v>
      </c>
      <c r="E234" s="447" t="s">
        <v>766</v>
      </c>
      <c r="F234" s="103">
        <f>SUM(F235:F237)</f>
        <v>91471000</v>
      </c>
      <c r="G234" s="103">
        <f t="shared" ref="G234:M234" si="89">SUM(G235:G237)</f>
        <v>141856000</v>
      </c>
      <c r="H234" s="103">
        <f t="shared" si="89"/>
        <v>0</v>
      </c>
      <c r="I234" s="103">
        <f t="shared" si="89"/>
        <v>233327000</v>
      </c>
      <c r="J234" s="103">
        <f t="shared" si="89"/>
        <v>79934733.930000007</v>
      </c>
      <c r="K234" s="103">
        <f t="shared" si="89"/>
        <v>108539086.07000001</v>
      </c>
      <c r="L234" s="103">
        <f t="shared" si="89"/>
        <v>0</v>
      </c>
      <c r="M234" s="103">
        <f t="shared" si="89"/>
        <v>188473820</v>
      </c>
      <c r="N234" s="103">
        <f t="shared" si="66"/>
        <v>11536266.069999993</v>
      </c>
      <c r="O234" s="103">
        <f t="shared" si="66"/>
        <v>33316913.929999992</v>
      </c>
      <c r="P234" s="103">
        <f t="shared" si="66"/>
        <v>0</v>
      </c>
      <c r="Q234" s="103">
        <f t="shared" si="67"/>
        <v>44853179.999999985</v>
      </c>
      <c r="R234" s="95">
        <f>Q234-'[3]chd 1-SAOB'!F179</f>
        <v>0</v>
      </c>
      <c r="S234" s="730">
        <f t="shared" si="80"/>
        <v>0.87388061713548559</v>
      </c>
      <c r="T234" s="730">
        <f t="shared" si="80"/>
        <v>0.76513567328840515</v>
      </c>
      <c r="U234" s="730" t="str">
        <f t="shared" si="80"/>
        <v/>
      </c>
      <c r="V234" s="730">
        <f t="shared" si="77"/>
        <v>0.80776686795784458</v>
      </c>
      <c r="W234" s="531"/>
      <c r="X234" s="236"/>
      <c r="Y234" s="236" t="s">
        <v>688</v>
      </c>
      <c r="Z234" s="236"/>
    </row>
    <row r="235" spans="1:26" ht="11.25" hidden="1" customHeight="1">
      <c r="A235" s="528" t="s">
        <v>606</v>
      </c>
      <c r="B235" s="1013" t="s">
        <v>122</v>
      </c>
      <c r="C235" s="411"/>
      <c r="D235" s="647" t="s">
        <v>98</v>
      </c>
      <c r="E235" s="459" t="s">
        <v>775</v>
      </c>
      <c r="F235" s="103">
        <f>+'[3]chd 1-SAOB'!C14</f>
        <v>23244000</v>
      </c>
      <c r="G235" s="103">
        <f>+'[3]chd 1-SAOB'!C50</f>
        <v>6180000</v>
      </c>
      <c r="H235" s="103">
        <f>+'[3]chd 1-SAOB'!C142</f>
        <v>0</v>
      </c>
      <c r="I235" s="103">
        <f t="shared" si="78"/>
        <v>29424000</v>
      </c>
      <c r="J235" s="103">
        <f>+'[3]chd 1-SAOB'!C15</f>
        <v>22083788.240000002</v>
      </c>
      <c r="K235" s="103">
        <f>+'[3]chd 1-SAOB'!C51</f>
        <v>6142009.7200000007</v>
      </c>
      <c r="L235" s="103">
        <f>+'[3]chd 1-SAOB'!C143</f>
        <v>0</v>
      </c>
      <c r="M235" s="103">
        <f t="shared" si="79"/>
        <v>28225797.960000001</v>
      </c>
      <c r="N235" s="103">
        <f t="shared" si="66"/>
        <v>1160211.7599999979</v>
      </c>
      <c r="O235" s="103">
        <f t="shared" si="66"/>
        <v>37990.279999999329</v>
      </c>
      <c r="P235" s="103">
        <f t="shared" si="66"/>
        <v>0</v>
      </c>
      <c r="Q235" s="103">
        <f t="shared" si="67"/>
        <v>1198202.0399999972</v>
      </c>
      <c r="R235" s="276">
        <f>Q235-'[3]chd 1-SAOB'!C179</f>
        <v>0</v>
      </c>
      <c r="S235" s="730">
        <f t="shared" si="80"/>
        <v>0.95008553777318883</v>
      </c>
      <c r="T235" s="730">
        <f t="shared" si="80"/>
        <v>0.99385270550161819</v>
      </c>
      <c r="U235" s="730" t="str">
        <f t="shared" si="80"/>
        <v/>
      </c>
      <c r="V235" s="730">
        <f t="shared" si="77"/>
        <v>0.95927807096247963</v>
      </c>
      <c r="W235" s="531"/>
      <c r="X235" s="236"/>
      <c r="Y235" s="236"/>
      <c r="Z235" s="236"/>
    </row>
    <row r="236" spans="1:26" ht="11.25" hidden="1" customHeight="1">
      <c r="A236" s="528" t="s">
        <v>606</v>
      </c>
      <c r="B236" s="1013" t="s">
        <v>122</v>
      </c>
      <c r="C236" s="406" t="s">
        <v>776</v>
      </c>
      <c r="D236" s="647" t="s">
        <v>98</v>
      </c>
      <c r="E236" s="406" t="s">
        <v>776</v>
      </c>
      <c r="F236" s="103">
        <f>+'[3]chd 1-SAOB'!D14</f>
        <v>1902000</v>
      </c>
      <c r="G236" s="103">
        <f>+'[3]chd 1-SAOB'!D50</f>
        <v>9104000</v>
      </c>
      <c r="H236" s="103">
        <f>+'[3]chd 1-SAOB'!D142</f>
        <v>0</v>
      </c>
      <c r="I236" s="103">
        <f t="shared" si="78"/>
        <v>11006000</v>
      </c>
      <c r="J236" s="103">
        <f>+'[3]chd 1-SAOB'!D15</f>
        <v>1549230.56</v>
      </c>
      <c r="K236" s="103">
        <f>+'[3]chd 1-SAOB'!D51</f>
        <v>5910291.7100000009</v>
      </c>
      <c r="L236" s="103">
        <f>+'[3]chd 1-SAOB'!D143</f>
        <v>0</v>
      </c>
      <c r="M236" s="103">
        <f t="shared" si="79"/>
        <v>7459522.2700000014</v>
      </c>
      <c r="N236" s="103">
        <f t="shared" si="66"/>
        <v>352769.43999999994</v>
      </c>
      <c r="O236" s="103">
        <f t="shared" si="66"/>
        <v>3193708.2899999991</v>
      </c>
      <c r="P236" s="103">
        <f t="shared" si="66"/>
        <v>0</v>
      </c>
      <c r="Q236" s="103">
        <f t="shared" si="67"/>
        <v>3546477.7299999991</v>
      </c>
      <c r="R236" s="276">
        <f>Q236-'[3]chd 1-SAOB'!D179</f>
        <v>0</v>
      </c>
      <c r="S236" s="730">
        <f t="shared" si="80"/>
        <v>0.81452710830704522</v>
      </c>
      <c r="T236" s="730">
        <f t="shared" si="80"/>
        <v>0.6491972440685414</v>
      </c>
      <c r="U236" s="730" t="str">
        <f t="shared" si="80"/>
        <v/>
      </c>
      <c r="V236" s="730">
        <f t="shared" si="77"/>
        <v>0.67776869616572788</v>
      </c>
      <c r="W236" s="531"/>
      <c r="X236" s="236"/>
      <c r="Y236" s="236"/>
      <c r="Z236" s="236"/>
    </row>
    <row r="237" spans="1:26" ht="11.25" hidden="1" customHeight="1">
      <c r="A237" s="528" t="s">
        <v>606</v>
      </c>
      <c r="B237" s="1013" t="s">
        <v>122</v>
      </c>
      <c r="C237" s="411"/>
      <c r="D237" s="647" t="s">
        <v>98</v>
      </c>
      <c r="E237" s="406" t="s">
        <v>777</v>
      </c>
      <c r="F237" s="103">
        <f>+'[3]chd 1-SAOB'!E14</f>
        <v>66325000</v>
      </c>
      <c r="G237" s="103">
        <f>+'[3]chd 1-SAOB'!E50</f>
        <v>126572000</v>
      </c>
      <c r="H237" s="103">
        <f>+'[3]chd 1-SAOB'!E142</f>
        <v>0</v>
      </c>
      <c r="I237" s="103">
        <f t="shared" si="78"/>
        <v>192897000</v>
      </c>
      <c r="J237" s="103">
        <f>+'[3]chd 1-SAOB'!E15</f>
        <v>56301715.130000003</v>
      </c>
      <c r="K237" s="103">
        <f>+'[3]chd 1-SAOB'!E51</f>
        <v>96486784.640000001</v>
      </c>
      <c r="L237" s="103">
        <f>+'[3]chd 1-SAOB'!E143</f>
        <v>0</v>
      </c>
      <c r="M237" s="103">
        <f t="shared" si="79"/>
        <v>152788499.77000001</v>
      </c>
      <c r="N237" s="103">
        <f t="shared" si="66"/>
        <v>10023284.869999997</v>
      </c>
      <c r="O237" s="103">
        <f t="shared" si="66"/>
        <v>30085215.359999999</v>
      </c>
      <c r="P237" s="103">
        <f t="shared" si="66"/>
        <v>0</v>
      </c>
      <c r="Q237" s="103">
        <f t="shared" si="67"/>
        <v>40108500.229999997</v>
      </c>
      <c r="R237" s="276">
        <f>Q237-'[3]chd 1-SAOB'!E179</f>
        <v>0</v>
      </c>
      <c r="S237" s="730">
        <f t="shared" si="80"/>
        <v>0.84887621756502074</v>
      </c>
      <c r="T237" s="730">
        <f t="shared" si="80"/>
        <v>0.76230749802483966</v>
      </c>
      <c r="U237" s="730" t="str">
        <f t="shared" si="80"/>
        <v/>
      </c>
      <c r="V237" s="730">
        <f t="shared" si="77"/>
        <v>0.79207297039352609</v>
      </c>
      <c r="W237" s="531"/>
      <c r="X237" s="236"/>
      <c r="Y237" s="236"/>
      <c r="Z237" s="236"/>
    </row>
    <row r="238" spans="1:26" ht="11.25" customHeight="1">
      <c r="A238" s="528" t="s">
        <v>606</v>
      </c>
      <c r="B238" s="1013" t="s">
        <v>122</v>
      </c>
      <c r="C238" s="728"/>
      <c r="D238" s="649" t="s">
        <v>50</v>
      </c>
      <c r="E238" s="447" t="s">
        <v>50</v>
      </c>
      <c r="F238" s="103"/>
      <c r="G238" s="103">
        <f>+'[3]chd 1-SAOB'!D386</f>
        <v>145265571</v>
      </c>
      <c r="H238" s="103">
        <f>+'[3]chd 1-SAOB'!E386</f>
        <v>15600000</v>
      </c>
      <c r="I238" s="103">
        <f>SUM(F238:H238)</f>
        <v>160865571</v>
      </c>
      <c r="J238" s="103"/>
      <c r="K238" s="103">
        <f>+'[3]chd 1-SAOB'!H386</f>
        <v>119511632.09999999</v>
      </c>
      <c r="L238" s="103">
        <f>+'[3]chd 1-SAOB'!I386</f>
        <v>15206602.370000001</v>
      </c>
      <c r="M238" s="103">
        <f>SUM(J238:L238)</f>
        <v>134718234.47</v>
      </c>
      <c r="N238" s="103">
        <f t="shared" si="66"/>
        <v>0</v>
      </c>
      <c r="O238" s="103">
        <f t="shared" si="66"/>
        <v>25753938.900000006</v>
      </c>
      <c r="P238" s="103">
        <f t="shared" si="66"/>
        <v>393397.62999999896</v>
      </c>
      <c r="Q238" s="103">
        <f t="shared" si="67"/>
        <v>26147336.530000005</v>
      </c>
      <c r="R238" s="95">
        <f>Q238-'[3]chd 1-SAOB'!U179+Q245</f>
        <v>3.7252902984619141E-9</v>
      </c>
      <c r="S238" s="730" t="str">
        <f t="shared" si="80"/>
        <v/>
      </c>
      <c r="T238" s="730">
        <f t="shared" si="80"/>
        <v>0.82271133674200059</v>
      </c>
      <c r="U238" s="730">
        <f t="shared" si="80"/>
        <v>0.97478220320512832</v>
      </c>
      <c r="V238" s="730">
        <f t="shared" si="77"/>
        <v>0.83745846692080561</v>
      </c>
      <c r="W238" s="531"/>
      <c r="X238" s="236"/>
      <c r="Y238" s="236" t="s">
        <v>688</v>
      </c>
      <c r="Z238" s="236"/>
    </row>
    <row r="239" spans="1:26" s="256" customFormat="1" ht="11.25" customHeight="1">
      <c r="A239" s="528" t="s">
        <v>606</v>
      </c>
      <c r="B239" s="528" t="s">
        <v>122</v>
      </c>
      <c r="C239" s="389"/>
      <c r="D239" s="650" t="s">
        <v>98</v>
      </c>
      <c r="E239" s="390" t="s">
        <v>767</v>
      </c>
      <c r="F239" s="391">
        <f>+F238+F234</f>
        <v>91471000</v>
      </c>
      <c r="G239" s="391">
        <f t="shared" ref="G239:M239" si="90">+G238+G234</f>
        <v>287121571</v>
      </c>
      <c r="H239" s="391">
        <f t="shared" si="90"/>
        <v>15600000</v>
      </c>
      <c r="I239" s="391">
        <f t="shared" si="90"/>
        <v>394192571</v>
      </c>
      <c r="J239" s="391">
        <f t="shared" si="90"/>
        <v>79934733.930000007</v>
      </c>
      <c r="K239" s="391">
        <f t="shared" si="90"/>
        <v>228050718.17000002</v>
      </c>
      <c r="L239" s="391">
        <f t="shared" si="90"/>
        <v>15206602.370000001</v>
      </c>
      <c r="M239" s="391">
        <f t="shared" si="90"/>
        <v>323192054.47000003</v>
      </c>
      <c r="N239" s="391">
        <f t="shared" si="66"/>
        <v>11536266.069999993</v>
      </c>
      <c r="O239" s="391">
        <f t="shared" si="66"/>
        <v>59070852.829999983</v>
      </c>
      <c r="P239" s="391">
        <f t="shared" si="66"/>
        <v>393397.62999999896</v>
      </c>
      <c r="Q239" s="391">
        <f t="shared" si="67"/>
        <v>71000516.529999971</v>
      </c>
      <c r="R239" s="101"/>
      <c r="S239" s="254">
        <f t="shared" si="80"/>
        <v>0.87388061713548559</v>
      </c>
      <c r="T239" s="254">
        <f t="shared" si="80"/>
        <v>0.79426536075201404</v>
      </c>
      <c r="U239" s="254">
        <f t="shared" si="80"/>
        <v>0.97478220320512832</v>
      </c>
      <c r="V239" s="254">
        <f t="shared" si="77"/>
        <v>0.81988367677786611</v>
      </c>
      <c r="W239" s="531"/>
      <c r="Y239" s="256" t="s">
        <v>598</v>
      </c>
      <c r="Z239" s="256" t="s">
        <v>598</v>
      </c>
    </row>
    <row r="240" spans="1:26" ht="11.25" hidden="1" customHeight="1">
      <c r="A240" s="528" t="s">
        <v>606</v>
      </c>
      <c r="B240" s="1013" t="s">
        <v>122</v>
      </c>
      <c r="C240" s="410"/>
      <c r="D240" s="651"/>
      <c r="E240" s="806"/>
      <c r="F240" s="807"/>
      <c r="G240" s="807"/>
      <c r="H240" s="807"/>
      <c r="I240" s="807"/>
      <c r="J240" s="807"/>
      <c r="K240" s="807"/>
      <c r="L240" s="807"/>
      <c r="M240" s="807"/>
      <c r="N240" s="807">
        <f t="shared" si="66"/>
        <v>0</v>
      </c>
      <c r="O240" s="807">
        <f t="shared" si="66"/>
        <v>0</v>
      </c>
      <c r="P240" s="807">
        <f t="shared" si="66"/>
        <v>0</v>
      </c>
      <c r="Q240" s="807">
        <f t="shared" si="67"/>
        <v>0</v>
      </c>
      <c r="R240" s="276"/>
      <c r="S240" s="730" t="str">
        <f t="shared" si="80"/>
        <v/>
      </c>
      <c r="T240" s="730" t="str">
        <f t="shared" si="80"/>
        <v/>
      </c>
      <c r="U240" s="730" t="str">
        <f t="shared" si="80"/>
        <v/>
      </c>
      <c r="V240" s="730" t="str">
        <f t="shared" si="77"/>
        <v/>
      </c>
      <c r="W240" s="531"/>
      <c r="X240" s="236"/>
      <c r="Y240" s="236"/>
      <c r="Z240" s="236"/>
    </row>
    <row r="241" spans="1:26" s="256" customFormat="1" ht="11.25" customHeight="1">
      <c r="A241" s="528" t="s">
        <v>606</v>
      </c>
      <c r="B241" s="528" t="s">
        <v>122</v>
      </c>
      <c r="C241" s="389"/>
      <c r="D241" s="650" t="s">
        <v>98</v>
      </c>
      <c r="E241" s="390" t="s">
        <v>99</v>
      </c>
      <c r="F241" s="391">
        <f>+F242</f>
        <v>8415000</v>
      </c>
      <c r="G241" s="391">
        <f t="shared" ref="G241:M241" si="91">+G242</f>
        <v>0</v>
      </c>
      <c r="H241" s="391">
        <f t="shared" si="91"/>
        <v>0</v>
      </c>
      <c r="I241" s="391">
        <f t="shared" si="91"/>
        <v>8415000</v>
      </c>
      <c r="J241" s="391">
        <f t="shared" si="91"/>
        <v>7138354.3699999992</v>
      </c>
      <c r="K241" s="391">
        <f t="shared" si="91"/>
        <v>0</v>
      </c>
      <c r="L241" s="391">
        <f t="shared" si="91"/>
        <v>0</v>
      </c>
      <c r="M241" s="391">
        <f t="shared" si="91"/>
        <v>7138354.3699999992</v>
      </c>
      <c r="N241" s="391">
        <f t="shared" si="66"/>
        <v>1276645.6300000008</v>
      </c>
      <c r="O241" s="391">
        <f t="shared" si="66"/>
        <v>0</v>
      </c>
      <c r="P241" s="391">
        <f t="shared" si="66"/>
        <v>0</v>
      </c>
      <c r="Q241" s="391">
        <f t="shared" si="67"/>
        <v>1276645.6300000008</v>
      </c>
      <c r="R241" s="101"/>
      <c r="S241" s="254">
        <f t="shared" si="80"/>
        <v>0.84828928936423043</v>
      </c>
      <c r="T241" s="254" t="str">
        <f t="shared" si="80"/>
        <v/>
      </c>
      <c r="U241" s="254" t="str">
        <f t="shared" si="80"/>
        <v/>
      </c>
      <c r="V241" s="254">
        <f t="shared" si="77"/>
        <v>0.84828928936423043</v>
      </c>
      <c r="W241" s="531"/>
      <c r="Y241" s="256" t="s">
        <v>598</v>
      </c>
      <c r="Z241" s="256" t="s">
        <v>598</v>
      </c>
    </row>
    <row r="242" spans="1:26" ht="11.25" customHeight="1">
      <c r="A242" s="528" t="s">
        <v>606</v>
      </c>
      <c r="B242" s="1013" t="s">
        <v>122</v>
      </c>
      <c r="C242" s="728"/>
      <c r="D242" s="649" t="s">
        <v>286</v>
      </c>
      <c r="E242" s="729" t="s">
        <v>286</v>
      </c>
      <c r="F242" s="103">
        <f>SUM('[3]chd 1-SAOB'!Z14)</f>
        <v>8415000</v>
      </c>
      <c r="G242" s="103">
        <f>SUM('[3]chd 1-SAOB'!Z50)</f>
        <v>0</v>
      </c>
      <c r="H242" s="103">
        <f>SUM('[3]chd 1-SAOB'!Z142)</f>
        <v>0</v>
      </c>
      <c r="I242" s="103">
        <f t="shared" si="78"/>
        <v>8415000</v>
      </c>
      <c r="J242" s="103">
        <f>SUM('[3]chd 1-SAOB'!Z15)</f>
        <v>7138354.3699999992</v>
      </c>
      <c r="K242" s="103">
        <f>SUM('[3]chd 1-SAOB'!Z51)</f>
        <v>0</v>
      </c>
      <c r="L242" s="103">
        <f>SUM('[3]chd 1-SAOB'!Z143)</f>
        <v>0</v>
      </c>
      <c r="M242" s="103">
        <f t="shared" si="79"/>
        <v>7138354.3699999992</v>
      </c>
      <c r="N242" s="103">
        <f t="shared" si="66"/>
        <v>1276645.6300000008</v>
      </c>
      <c r="O242" s="103">
        <f t="shared" si="66"/>
        <v>0</v>
      </c>
      <c r="P242" s="103">
        <f t="shared" si="66"/>
        <v>0</v>
      </c>
      <c r="Q242" s="103">
        <f t="shared" si="67"/>
        <v>1276645.6300000008</v>
      </c>
      <c r="S242" s="730">
        <f t="shared" si="80"/>
        <v>0.84828928936423043</v>
      </c>
      <c r="T242" s="730" t="str">
        <f t="shared" si="80"/>
        <v/>
      </c>
      <c r="U242" s="730" t="str">
        <f t="shared" si="80"/>
        <v/>
      </c>
      <c r="V242" s="730">
        <f t="shared" si="77"/>
        <v>0.84828928936423043</v>
      </c>
      <c r="W242" s="531"/>
      <c r="X242" s="236"/>
      <c r="Y242" s="236" t="s">
        <v>598</v>
      </c>
      <c r="Z242" s="236"/>
    </row>
    <row r="243" spans="1:26" s="272" customFormat="1" ht="11.25" customHeight="1">
      <c r="A243" s="528" t="s">
        <v>606</v>
      </c>
      <c r="B243" s="528" t="s">
        <v>122</v>
      </c>
      <c r="C243" s="389"/>
      <c r="D243" s="650" t="s">
        <v>98</v>
      </c>
      <c r="E243" s="390" t="s">
        <v>100</v>
      </c>
      <c r="F243" s="391">
        <f t="shared" ref="F243:M243" si="92">SUM(F244:F248)</f>
        <v>6492938</v>
      </c>
      <c r="G243" s="391">
        <f t="shared" si="92"/>
        <v>0</v>
      </c>
      <c r="H243" s="391">
        <f t="shared" si="92"/>
        <v>0</v>
      </c>
      <c r="I243" s="391">
        <f t="shared" si="92"/>
        <v>6492938</v>
      </c>
      <c r="J243" s="391">
        <f t="shared" si="92"/>
        <v>6492933.8499999996</v>
      </c>
      <c r="K243" s="391">
        <f t="shared" si="92"/>
        <v>0</v>
      </c>
      <c r="L243" s="391">
        <f t="shared" si="92"/>
        <v>0</v>
      </c>
      <c r="M243" s="391">
        <f t="shared" si="92"/>
        <v>6492933.8499999996</v>
      </c>
      <c r="N243" s="391">
        <f t="shared" si="66"/>
        <v>4.150000000372529</v>
      </c>
      <c r="O243" s="391">
        <f t="shared" si="66"/>
        <v>0</v>
      </c>
      <c r="P243" s="391">
        <f t="shared" si="66"/>
        <v>0</v>
      </c>
      <c r="Q243" s="391">
        <f t="shared" si="67"/>
        <v>4.150000000372529</v>
      </c>
      <c r="R243" s="102"/>
      <c r="S243" s="254">
        <f t="shared" si="80"/>
        <v>0.99999936084404306</v>
      </c>
      <c r="T243" s="254" t="str">
        <f t="shared" si="80"/>
        <v/>
      </c>
      <c r="U243" s="254" t="str">
        <f t="shared" si="80"/>
        <v/>
      </c>
      <c r="V243" s="254">
        <f t="shared" si="77"/>
        <v>0.99999936084404306</v>
      </c>
      <c r="W243" s="531"/>
      <c r="Y243" s="272" t="s">
        <v>598</v>
      </c>
      <c r="Z243" s="256" t="s">
        <v>598</v>
      </c>
    </row>
    <row r="244" spans="1:26" ht="11.25" customHeight="1">
      <c r="A244" s="528" t="s">
        <v>606</v>
      </c>
      <c r="B244" s="1013" t="s">
        <v>122</v>
      </c>
      <c r="C244" s="728"/>
      <c r="D244" s="649" t="s">
        <v>288</v>
      </c>
      <c r="E244" s="729" t="s">
        <v>288</v>
      </c>
      <c r="F244" s="103">
        <f>SUM('[3]chd 1-SAOB'!AE14)</f>
        <v>0</v>
      </c>
      <c r="G244" s="103">
        <f>SUM('[3]chd 1-SAOB'!AE50)</f>
        <v>0</v>
      </c>
      <c r="H244" s="103">
        <f>SUM('[3]chd 1-SAOB'!AE142)</f>
        <v>0</v>
      </c>
      <c r="I244" s="103">
        <f t="shared" si="78"/>
        <v>0</v>
      </c>
      <c r="J244" s="103">
        <f>SUM('[3]chd 1-SAOB'!AE15)</f>
        <v>0</v>
      </c>
      <c r="K244" s="103">
        <f>SUM('[3]chd 1-SAOB'!AE51)</f>
        <v>0</v>
      </c>
      <c r="L244" s="103">
        <f>SUM('[3]chd 1-SAOB'!AE143)</f>
        <v>0</v>
      </c>
      <c r="M244" s="103">
        <f t="shared" si="79"/>
        <v>0</v>
      </c>
      <c r="N244" s="103">
        <f t="shared" si="66"/>
        <v>0</v>
      </c>
      <c r="O244" s="103">
        <f t="shared" si="66"/>
        <v>0</v>
      </c>
      <c r="P244" s="103">
        <f t="shared" si="66"/>
        <v>0</v>
      </c>
      <c r="Q244" s="103">
        <f t="shared" si="67"/>
        <v>0</v>
      </c>
      <c r="R244" s="95">
        <f>Q244-'[3]chd 1-SAOB'!AE179</f>
        <v>0</v>
      </c>
      <c r="S244" s="730" t="str">
        <f t="shared" si="80"/>
        <v/>
      </c>
      <c r="T244" s="730" t="str">
        <f t="shared" si="80"/>
        <v/>
      </c>
      <c r="U244" s="730" t="str">
        <f t="shared" si="80"/>
        <v/>
      </c>
      <c r="V244" s="730" t="str">
        <f t="shared" si="77"/>
        <v/>
      </c>
      <c r="W244" s="531"/>
      <c r="X244" s="236"/>
      <c r="Y244" s="236" t="s">
        <v>598</v>
      </c>
      <c r="Z244" s="236"/>
    </row>
    <row r="245" spans="1:26" ht="11.25" customHeight="1">
      <c r="A245" s="528" t="s">
        <v>606</v>
      </c>
      <c r="B245" s="1013" t="s">
        <v>122</v>
      </c>
      <c r="C245" s="728"/>
      <c r="D245" s="649" t="s">
        <v>761</v>
      </c>
      <c r="E245" s="729" t="s">
        <v>761</v>
      </c>
      <c r="F245" s="103">
        <f>+'[3]chd 1-SAOB'!C386</f>
        <v>1660000</v>
      </c>
      <c r="G245" s="103"/>
      <c r="H245" s="103"/>
      <c r="I245" s="103">
        <f>SUM(F245:H245)</f>
        <v>1660000</v>
      </c>
      <c r="J245" s="103">
        <f>+'[3]chd 1-SAOB'!G386</f>
        <v>1660000</v>
      </c>
      <c r="K245" s="103"/>
      <c r="L245" s="103"/>
      <c r="M245" s="103">
        <f t="shared" si="79"/>
        <v>1660000</v>
      </c>
      <c r="N245" s="103">
        <f>+F245-J245</f>
        <v>0</v>
      </c>
      <c r="O245" s="103">
        <f>+G245-K245</f>
        <v>0</v>
      </c>
      <c r="P245" s="103">
        <f>+H245-L245</f>
        <v>0</v>
      </c>
      <c r="Q245" s="103">
        <f>SUM(N245:P245)</f>
        <v>0</v>
      </c>
      <c r="S245" s="730">
        <f t="shared" si="80"/>
        <v>1</v>
      </c>
      <c r="T245" s="730" t="str">
        <f t="shared" si="80"/>
        <v/>
      </c>
      <c r="U245" s="730" t="str">
        <f t="shared" si="80"/>
        <v/>
      </c>
      <c r="V245" s="730">
        <f t="shared" si="77"/>
        <v>1</v>
      </c>
      <c r="W245" s="531"/>
      <c r="X245" s="236"/>
      <c r="Y245" s="236" t="s">
        <v>688</v>
      </c>
      <c r="Z245" s="236"/>
    </row>
    <row r="246" spans="1:26" ht="11.25" customHeight="1">
      <c r="A246" s="528" t="s">
        <v>606</v>
      </c>
      <c r="B246" s="1013" t="s">
        <v>122</v>
      </c>
      <c r="C246" s="411"/>
      <c r="D246" s="647"/>
      <c r="E246" s="1014"/>
      <c r="F246" s="104"/>
      <c r="G246" s="104"/>
      <c r="H246" s="104"/>
      <c r="I246" s="103"/>
      <c r="J246" s="104"/>
      <c r="K246" s="104"/>
      <c r="L246" s="104"/>
      <c r="M246" s="103"/>
      <c r="N246" s="103"/>
      <c r="O246" s="103"/>
      <c r="P246" s="103"/>
      <c r="Q246" s="103"/>
      <c r="S246" s="730" t="str">
        <f t="shared" si="80"/>
        <v/>
      </c>
      <c r="T246" s="730" t="str">
        <f t="shared" si="80"/>
        <v/>
      </c>
      <c r="U246" s="730" t="str">
        <f t="shared" si="80"/>
        <v/>
      </c>
      <c r="V246" s="730" t="str">
        <f t="shared" si="77"/>
        <v/>
      </c>
      <c r="W246" s="531"/>
      <c r="X246" s="236"/>
      <c r="Y246" s="236" t="s">
        <v>688</v>
      </c>
      <c r="Z246" s="240"/>
    </row>
    <row r="247" spans="1:26" ht="11.25" customHeight="1">
      <c r="A247" s="528" t="s">
        <v>606</v>
      </c>
      <c r="B247" s="1013" t="s">
        <v>122</v>
      </c>
      <c r="C247" s="728"/>
      <c r="D247" s="649" t="s">
        <v>289</v>
      </c>
      <c r="E247" s="729" t="s">
        <v>289</v>
      </c>
      <c r="F247" s="103">
        <f>SUM('[3]chd 1-SAOB'!AJ14)</f>
        <v>4832938</v>
      </c>
      <c r="G247" s="103">
        <f>SUM('[3]chd 1-SAOB'!AJ50)</f>
        <v>0</v>
      </c>
      <c r="H247" s="103">
        <f>SUM('[3]chd 1-SAOB'!AJ142)</f>
        <v>0</v>
      </c>
      <c r="I247" s="103">
        <f t="shared" si="78"/>
        <v>4832938</v>
      </c>
      <c r="J247" s="103">
        <f>SUM('[3]chd 1-SAOB'!AJ15)</f>
        <v>4832933.8499999996</v>
      </c>
      <c r="K247" s="103">
        <f>SUM('[3]chd 1-SAOB'!AJ51)</f>
        <v>0</v>
      </c>
      <c r="L247" s="103">
        <f>SUM('[3]chd 1-SAOB'!AJ143)</f>
        <v>0</v>
      </c>
      <c r="M247" s="103">
        <f t="shared" si="79"/>
        <v>4832933.8499999996</v>
      </c>
      <c r="N247" s="103">
        <f t="shared" si="66"/>
        <v>4.150000000372529</v>
      </c>
      <c r="O247" s="103">
        <f t="shared" si="66"/>
        <v>0</v>
      </c>
      <c r="P247" s="103">
        <f t="shared" si="66"/>
        <v>0</v>
      </c>
      <c r="Q247" s="103">
        <f t="shared" si="67"/>
        <v>4.150000000372529</v>
      </c>
      <c r="R247" s="95">
        <f>Q247-'[3]chd 1-SAOB'!AJ179</f>
        <v>0</v>
      </c>
      <c r="S247" s="730">
        <f t="shared" si="80"/>
        <v>0.9999991413090753</v>
      </c>
      <c r="T247" s="730" t="str">
        <f t="shared" si="80"/>
        <v/>
      </c>
      <c r="U247" s="730" t="str">
        <f t="shared" si="80"/>
        <v/>
      </c>
      <c r="V247" s="730">
        <f t="shared" si="77"/>
        <v>0.9999991413090753</v>
      </c>
      <c r="W247" s="531"/>
      <c r="X247" s="236"/>
      <c r="Y247" s="236" t="s">
        <v>598</v>
      </c>
      <c r="Z247" s="236"/>
    </row>
    <row r="248" spans="1:26" ht="11.25" customHeight="1">
      <c r="A248" s="528" t="s">
        <v>606</v>
      </c>
      <c r="B248" s="1013" t="s">
        <v>122</v>
      </c>
      <c r="C248" s="728"/>
      <c r="D248" s="649" t="s">
        <v>290</v>
      </c>
      <c r="E248" s="729" t="s">
        <v>290</v>
      </c>
      <c r="F248" s="103">
        <f>SUM('[3]chd 1-SAOB'!AO14)</f>
        <v>0</v>
      </c>
      <c r="G248" s="103">
        <f>SUM('[3]chd 1-SAOB'!AO50)</f>
        <v>0</v>
      </c>
      <c r="H248" s="103">
        <f>SUM('[3]chd 1-SAOB'!AO142)</f>
        <v>0</v>
      </c>
      <c r="I248" s="103">
        <f t="shared" si="78"/>
        <v>0</v>
      </c>
      <c r="J248" s="103">
        <f>SUM('[3]chd 1-SAOB'!AO15)</f>
        <v>0</v>
      </c>
      <c r="K248" s="103">
        <f>SUM('[3]chd 1-SAOB'!AO51)</f>
        <v>0</v>
      </c>
      <c r="L248" s="103">
        <f>SUM('[3]chd 1-SAOB'!AO143)</f>
        <v>0</v>
      </c>
      <c r="M248" s="103">
        <f t="shared" si="79"/>
        <v>0</v>
      </c>
      <c r="N248" s="103">
        <f t="shared" si="66"/>
        <v>0</v>
      </c>
      <c r="O248" s="103">
        <f t="shared" si="66"/>
        <v>0</v>
      </c>
      <c r="P248" s="103">
        <f t="shared" si="66"/>
        <v>0</v>
      </c>
      <c r="Q248" s="103">
        <f t="shared" si="67"/>
        <v>0</v>
      </c>
      <c r="R248" s="95">
        <f>Q248-'[3]chd 1-SAOB'!AO179</f>
        <v>0</v>
      </c>
      <c r="S248" s="730" t="str">
        <f t="shared" si="80"/>
        <v/>
      </c>
      <c r="T248" s="730" t="str">
        <f t="shared" si="80"/>
        <v/>
      </c>
      <c r="U248" s="730" t="str">
        <f t="shared" si="80"/>
        <v/>
      </c>
      <c r="V248" s="730" t="str">
        <f t="shared" si="77"/>
        <v/>
      </c>
      <c r="W248" s="531"/>
      <c r="X248" s="236"/>
      <c r="Y248" s="236" t="s">
        <v>598</v>
      </c>
      <c r="Z248" s="236"/>
    </row>
    <row r="249" spans="1:26" s="671" customFormat="1" ht="11.25" customHeight="1">
      <c r="A249" s="246" t="s">
        <v>606</v>
      </c>
      <c r="B249" s="235" t="s">
        <v>122</v>
      </c>
      <c r="C249" s="1425" t="s">
        <v>300</v>
      </c>
      <c r="D249" s="1426"/>
      <c r="E249" s="1427"/>
      <c r="F249" s="652">
        <f t="shared" ref="F249:M249" si="93">+F239+F241+F243</f>
        <v>106378938</v>
      </c>
      <c r="G249" s="652">
        <f t="shared" si="93"/>
        <v>287121571</v>
      </c>
      <c r="H249" s="652">
        <f t="shared" si="93"/>
        <v>15600000</v>
      </c>
      <c r="I249" s="652">
        <f t="shared" si="93"/>
        <v>409100509</v>
      </c>
      <c r="J249" s="652">
        <f t="shared" si="93"/>
        <v>93566022.150000006</v>
      </c>
      <c r="K249" s="652">
        <f t="shared" si="93"/>
        <v>228050718.17000002</v>
      </c>
      <c r="L249" s="652">
        <f t="shared" si="93"/>
        <v>15206602.370000001</v>
      </c>
      <c r="M249" s="652">
        <f t="shared" si="93"/>
        <v>336823342.69000006</v>
      </c>
      <c r="N249" s="652">
        <f t="shared" ref="N249:P315" si="94">+F249-J249</f>
        <v>12812915.849999994</v>
      </c>
      <c r="O249" s="652">
        <f t="shared" si="94"/>
        <v>59070852.829999983</v>
      </c>
      <c r="P249" s="652">
        <f t="shared" si="94"/>
        <v>393397.62999999896</v>
      </c>
      <c r="Q249" s="652">
        <f t="shared" ref="Q249:Q315" si="95">SUM(N249:P249)</f>
        <v>72277166.309999973</v>
      </c>
      <c r="R249" s="670">
        <f>Q249-'[3]chd 1-SAOB'!BM179</f>
        <v>0</v>
      </c>
      <c r="S249" s="1008">
        <f t="shared" si="80"/>
        <v>0.87955401613428408</v>
      </c>
      <c r="T249" s="1008">
        <f t="shared" si="80"/>
        <v>0.79426536075201404</v>
      </c>
      <c r="U249" s="1008">
        <f t="shared" si="80"/>
        <v>0.97478220320512832</v>
      </c>
      <c r="V249" s="1008">
        <f t="shared" si="77"/>
        <v>0.82332662824919645</v>
      </c>
      <c r="W249" s="254"/>
      <c r="X249" s="237"/>
      <c r="Y249" s="610" t="s">
        <v>598</v>
      </c>
      <c r="Z249" s="241" t="s">
        <v>598</v>
      </c>
    </row>
    <row r="250" spans="1:26" ht="11.25" customHeight="1">
      <c r="A250" s="246" t="s">
        <v>606</v>
      </c>
      <c r="B250" s="235" t="s">
        <v>122</v>
      </c>
      <c r="C250" s="410"/>
      <c r="D250" s="386"/>
      <c r="E250" s="461"/>
      <c r="F250" s="103"/>
      <c r="G250" s="103"/>
      <c r="H250" s="103"/>
      <c r="I250" s="103"/>
      <c r="J250" s="103"/>
      <c r="K250" s="103"/>
      <c r="L250" s="103"/>
      <c r="M250" s="103">
        <f t="shared" si="79"/>
        <v>0</v>
      </c>
      <c r="N250" s="103">
        <f t="shared" si="94"/>
        <v>0</v>
      </c>
      <c r="O250" s="103">
        <f t="shared" si="94"/>
        <v>0</v>
      </c>
      <c r="P250" s="103">
        <f t="shared" si="94"/>
        <v>0</v>
      </c>
      <c r="Q250" s="103">
        <f t="shared" si="95"/>
        <v>0</v>
      </c>
      <c r="S250" s="730" t="str">
        <f t="shared" si="80"/>
        <v/>
      </c>
      <c r="T250" s="730" t="str">
        <f t="shared" si="80"/>
        <v/>
      </c>
      <c r="U250" s="730" t="str">
        <f t="shared" si="80"/>
        <v/>
      </c>
      <c r="V250" s="730" t="str">
        <f t="shared" si="77"/>
        <v/>
      </c>
      <c r="W250" s="254"/>
      <c r="Y250" s="610" t="s">
        <v>598</v>
      </c>
      <c r="Z250" s="241" t="s">
        <v>598</v>
      </c>
    </row>
    <row r="251" spans="1:26" ht="11.25" hidden="1" customHeight="1">
      <c r="A251" s="246" t="s">
        <v>606</v>
      </c>
      <c r="B251" s="235" t="s">
        <v>125</v>
      </c>
      <c r="C251" s="410" t="s">
        <v>124</v>
      </c>
      <c r="D251" s="386"/>
      <c r="E251" s="461"/>
      <c r="F251" s="103"/>
      <c r="G251" s="103"/>
      <c r="H251" s="103"/>
      <c r="I251" s="103">
        <f t="shared" si="78"/>
        <v>0</v>
      </c>
      <c r="J251" s="103"/>
      <c r="K251" s="103"/>
      <c r="L251" s="103"/>
      <c r="M251" s="103">
        <f t="shared" si="79"/>
        <v>0</v>
      </c>
      <c r="N251" s="103">
        <f t="shared" si="94"/>
        <v>0</v>
      </c>
      <c r="O251" s="103">
        <f t="shared" si="94"/>
        <v>0</v>
      </c>
      <c r="P251" s="103">
        <f t="shared" si="94"/>
        <v>0</v>
      </c>
      <c r="Q251" s="103">
        <f t="shared" si="95"/>
        <v>0</v>
      </c>
      <c r="R251" s="236"/>
      <c r="S251" s="730" t="str">
        <f t="shared" si="80"/>
        <v/>
      </c>
      <c r="T251" s="730" t="str">
        <f t="shared" si="80"/>
        <v/>
      </c>
      <c r="U251" s="730" t="str">
        <f t="shared" si="80"/>
        <v/>
      </c>
      <c r="V251" s="730" t="str">
        <f t="shared" si="77"/>
        <v/>
      </c>
      <c r="W251" s="254"/>
    </row>
    <row r="252" spans="1:26" s="675" customFormat="1" ht="11.25" customHeight="1">
      <c r="A252" s="528" t="s">
        <v>606</v>
      </c>
      <c r="B252" s="528" t="s">
        <v>125</v>
      </c>
      <c r="C252" s="407" t="s">
        <v>98</v>
      </c>
      <c r="D252" s="655" t="s">
        <v>105</v>
      </c>
      <c r="E252" s="408" t="s">
        <v>788</v>
      </c>
      <c r="F252" s="674"/>
      <c r="G252" s="674"/>
      <c r="H252" s="674"/>
      <c r="I252" s="674">
        <f t="shared" si="78"/>
        <v>0</v>
      </c>
      <c r="J252" s="674"/>
      <c r="K252" s="674"/>
      <c r="L252" s="674"/>
      <c r="M252" s="674">
        <f t="shared" si="79"/>
        <v>0</v>
      </c>
      <c r="N252" s="674">
        <f t="shared" si="94"/>
        <v>0</v>
      </c>
      <c r="O252" s="674">
        <f t="shared" si="94"/>
        <v>0</v>
      </c>
      <c r="P252" s="674">
        <f t="shared" si="94"/>
        <v>0</v>
      </c>
      <c r="Q252" s="674">
        <f t="shared" si="95"/>
        <v>0</v>
      </c>
      <c r="R252" s="101"/>
      <c r="S252" s="254" t="str">
        <f t="shared" si="80"/>
        <v/>
      </c>
      <c r="T252" s="254" t="str">
        <f t="shared" si="80"/>
        <v/>
      </c>
      <c r="U252" s="254" t="str">
        <f t="shared" si="80"/>
        <v/>
      </c>
      <c r="V252" s="254" t="str">
        <f t="shared" si="77"/>
        <v/>
      </c>
      <c r="W252" s="531"/>
      <c r="Y252" s="272" t="s">
        <v>598</v>
      </c>
      <c r="Z252" s="260" t="s">
        <v>598</v>
      </c>
    </row>
    <row r="253" spans="1:26" ht="11.25" customHeight="1">
      <c r="A253" s="528" t="s">
        <v>606</v>
      </c>
      <c r="B253" s="1013" t="s">
        <v>125</v>
      </c>
      <c r="C253" s="461"/>
      <c r="D253" s="645" t="s">
        <v>766</v>
      </c>
      <c r="E253" s="447" t="s">
        <v>766</v>
      </c>
      <c r="F253" s="103">
        <f>+'[3]chd 1-SAOB'!C391</f>
        <v>120480000</v>
      </c>
      <c r="G253" s="103">
        <f>+'[3]chd 1-SAOB'!D391</f>
        <v>45549000</v>
      </c>
      <c r="H253" s="103">
        <f>+'[3]chd 1-SAOB'!E391</f>
        <v>0</v>
      </c>
      <c r="I253" s="103">
        <f t="shared" si="78"/>
        <v>166029000</v>
      </c>
      <c r="J253" s="103">
        <f>+'[3]chd 1-SAOB'!G391</f>
        <v>111141874.48000003</v>
      </c>
      <c r="K253" s="103">
        <f>+'[3]chd 1-SAOB'!H391</f>
        <v>41730245.310000002</v>
      </c>
      <c r="L253" s="103">
        <f>+'[3]chd 1-SAOB'!I391</f>
        <v>0</v>
      </c>
      <c r="M253" s="103">
        <f t="shared" si="79"/>
        <v>152872119.79000002</v>
      </c>
      <c r="N253" s="103">
        <f t="shared" si="94"/>
        <v>9338125.519999966</v>
      </c>
      <c r="O253" s="103">
        <f t="shared" si="94"/>
        <v>3818754.6899999976</v>
      </c>
      <c r="P253" s="103">
        <f t="shared" si="94"/>
        <v>0</v>
      </c>
      <c r="Q253" s="103">
        <f t="shared" si="95"/>
        <v>13156880.209999964</v>
      </c>
      <c r="R253" s="95">
        <f>Q253-'[3]chd 1-SAOB'!G179</f>
        <v>0</v>
      </c>
      <c r="S253" s="730">
        <f t="shared" si="80"/>
        <v>0.92249231806108922</v>
      </c>
      <c r="T253" s="730">
        <f t="shared" si="80"/>
        <v>0.91616161298821053</v>
      </c>
      <c r="U253" s="730" t="str">
        <f t="shared" si="80"/>
        <v/>
      </c>
      <c r="V253" s="730">
        <f t="shared" si="77"/>
        <v>0.92075552939546723</v>
      </c>
      <c r="W253" s="531"/>
      <c r="X253" s="236"/>
      <c r="Y253" s="236" t="s">
        <v>688</v>
      </c>
      <c r="Z253" s="236"/>
    </row>
    <row r="254" spans="1:26" ht="11.25" customHeight="1">
      <c r="A254" s="528" t="s">
        <v>606</v>
      </c>
      <c r="B254" s="1013" t="s">
        <v>125</v>
      </c>
      <c r="C254" s="728"/>
      <c r="D254" s="649" t="s">
        <v>50</v>
      </c>
      <c r="E254" s="447" t="s">
        <v>50</v>
      </c>
      <c r="F254" s="103"/>
      <c r="G254" s="103">
        <f>+'[3]chd 1-SAOB'!D393</f>
        <v>36206180</v>
      </c>
      <c r="H254" s="103">
        <f>+'[3]chd 1-SAOB'!E393</f>
        <v>129820000</v>
      </c>
      <c r="I254" s="103">
        <f>SUM(F254:H254)</f>
        <v>166026180</v>
      </c>
      <c r="J254" s="103"/>
      <c r="K254" s="103">
        <f>+'[3]chd 1-SAOB'!H393</f>
        <v>31294444.890000001</v>
      </c>
      <c r="L254" s="103">
        <f>+'[3]chd 1-SAOB'!I393</f>
        <v>126272472.28</v>
      </c>
      <c r="M254" s="103">
        <f>SUM(J254:L254)</f>
        <v>157566917.17000002</v>
      </c>
      <c r="N254" s="103">
        <f t="shared" si="94"/>
        <v>0</v>
      </c>
      <c r="O254" s="103">
        <f t="shared" si="94"/>
        <v>4911735.1099999994</v>
      </c>
      <c r="P254" s="103">
        <f t="shared" si="94"/>
        <v>3547527.7199999988</v>
      </c>
      <c r="Q254" s="103">
        <f t="shared" si="95"/>
        <v>8459262.8299999982</v>
      </c>
      <c r="R254" s="95">
        <f>Q254-'[3]chd 1-SAOB'!V179+Q261</f>
        <v>0</v>
      </c>
      <c r="S254" s="730" t="str">
        <f t="shared" si="80"/>
        <v/>
      </c>
      <c r="T254" s="730">
        <f t="shared" si="80"/>
        <v>0.86433986932617579</v>
      </c>
      <c r="U254" s="730">
        <f t="shared" si="80"/>
        <v>0.97267348852256974</v>
      </c>
      <c r="V254" s="730">
        <f t="shared" si="77"/>
        <v>0.94904862094640752</v>
      </c>
      <c r="W254" s="531"/>
      <c r="X254" s="236"/>
      <c r="Y254" s="236" t="s">
        <v>688</v>
      </c>
      <c r="Z254" s="236"/>
    </row>
    <row r="255" spans="1:26" s="256" customFormat="1" ht="11.25" customHeight="1">
      <c r="A255" s="528" t="s">
        <v>606</v>
      </c>
      <c r="B255" s="528" t="s">
        <v>125</v>
      </c>
      <c r="C255" s="389"/>
      <c r="D255" s="650" t="s">
        <v>98</v>
      </c>
      <c r="E255" s="390" t="s">
        <v>767</v>
      </c>
      <c r="F255" s="391">
        <f>+F253+F254</f>
        <v>120480000</v>
      </c>
      <c r="G255" s="391">
        <f t="shared" ref="G255:M255" si="96">+G253+G254</f>
        <v>81755180</v>
      </c>
      <c r="H255" s="391">
        <f t="shared" si="96"/>
        <v>129820000</v>
      </c>
      <c r="I255" s="391">
        <f t="shared" si="96"/>
        <v>332055180</v>
      </c>
      <c r="J255" s="391">
        <f t="shared" si="96"/>
        <v>111141874.48000003</v>
      </c>
      <c r="K255" s="391">
        <f t="shared" si="96"/>
        <v>73024690.200000003</v>
      </c>
      <c r="L255" s="391">
        <f t="shared" si="96"/>
        <v>126272472.28</v>
      </c>
      <c r="M255" s="391">
        <f t="shared" si="96"/>
        <v>310439036.96000004</v>
      </c>
      <c r="N255" s="391">
        <f t="shared" si="94"/>
        <v>9338125.519999966</v>
      </c>
      <c r="O255" s="391">
        <f t="shared" si="94"/>
        <v>8730489.799999997</v>
      </c>
      <c r="P255" s="391">
        <f t="shared" si="94"/>
        <v>3547527.7199999988</v>
      </c>
      <c r="Q255" s="391">
        <f t="shared" si="95"/>
        <v>21616143.039999962</v>
      </c>
      <c r="R255" s="101"/>
      <c r="S255" s="254">
        <f t="shared" si="80"/>
        <v>0.92249231806108922</v>
      </c>
      <c r="T255" s="254">
        <f t="shared" si="80"/>
        <v>0.8932117842563615</v>
      </c>
      <c r="U255" s="254">
        <f t="shared" si="80"/>
        <v>0.97267348852256974</v>
      </c>
      <c r="V255" s="254">
        <f t="shared" si="77"/>
        <v>0.93490195503048634</v>
      </c>
      <c r="W255" s="531"/>
      <c r="Y255" s="256" t="s">
        <v>598</v>
      </c>
      <c r="Z255" s="256" t="s">
        <v>598</v>
      </c>
    </row>
    <row r="256" spans="1:26" ht="11.25" hidden="1" customHeight="1">
      <c r="A256" s="528" t="s">
        <v>606</v>
      </c>
      <c r="B256" s="1013" t="s">
        <v>125</v>
      </c>
      <c r="C256" s="410"/>
      <c r="D256" s="651"/>
      <c r="E256" s="806" t="s">
        <v>764</v>
      </c>
      <c r="F256" s="807"/>
      <c r="G256" s="807"/>
      <c r="H256" s="807"/>
      <c r="I256" s="807"/>
      <c r="J256" s="807"/>
      <c r="K256" s="807"/>
      <c r="L256" s="807"/>
      <c r="M256" s="807"/>
      <c r="N256" s="807">
        <f t="shared" si="94"/>
        <v>0</v>
      </c>
      <c r="O256" s="807">
        <f t="shared" si="94"/>
        <v>0</v>
      </c>
      <c r="P256" s="807">
        <f t="shared" si="94"/>
        <v>0</v>
      </c>
      <c r="Q256" s="807">
        <f t="shared" si="95"/>
        <v>0</v>
      </c>
      <c r="R256" s="276"/>
      <c r="S256" s="730" t="str">
        <f t="shared" si="80"/>
        <v/>
      </c>
      <c r="T256" s="730" t="str">
        <f t="shared" si="80"/>
        <v/>
      </c>
      <c r="U256" s="730" t="str">
        <f t="shared" si="80"/>
        <v/>
      </c>
      <c r="V256" s="730" t="str">
        <f t="shared" si="77"/>
        <v/>
      </c>
      <c r="W256" s="531"/>
      <c r="X256" s="236"/>
      <c r="Y256" s="236"/>
      <c r="Z256" s="236"/>
    </row>
    <row r="257" spans="1:26" s="256" customFormat="1" ht="11.25" customHeight="1">
      <c r="A257" s="528" t="s">
        <v>606</v>
      </c>
      <c r="B257" s="528" t="s">
        <v>125</v>
      </c>
      <c r="C257" s="389"/>
      <c r="D257" s="650" t="s">
        <v>98</v>
      </c>
      <c r="E257" s="390" t="s">
        <v>99</v>
      </c>
      <c r="F257" s="391">
        <f>+F258</f>
        <v>11180000</v>
      </c>
      <c r="G257" s="391">
        <f t="shared" ref="G257:M257" si="97">+G258</f>
        <v>0</v>
      </c>
      <c r="H257" s="391">
        <f t="shared" si="97"/>
        <v>0</v>
      </c>
      <c r="I257" s="391">
        <f t="shared" si="97"/>
        <v>11180000</v>
      </c>
      <c r="J257" s="391">
        <f t="shared" si="97"/>
        <v>10009426.460000001</v>
      </c>
      <c r="K257" s="391">
        <f t="shared" si="97"/>
        <v>0</v>
      </c>
      <c r="L257" s="391">
        <f t="shared" si="97"/>
        <v>0</v>
      </c>
      <c r="M257" s="391">
        <f t="shared" si="97"/>
        <v>10009426.460000001</v>
      </c>
      <c r="N257" s="391">
        <f t="shared" si="94"/>
        <v>1170573.5399999991</v>
      </c>
      <c r="O257" s="391">
        <f t="shared" si="94"/>
        <v>0</v>
      </c>
      <c r="P257" s="391">
        <f t="shared" si="94"/>
        <v>0</v>
      </c>
      <c r="Q257" s="391">
        <f t="shared" si="95"/>
        <v>1170573.5399999991</v>
      </c>
      <c r="R257" s="101"/>
      <c r="S257" s="254">
        <f t="shared" si="80"/>
        <v>0.89529753667262979</v>
      </c>
      <c r="T257" s="254" t="str">
        <f t="shared" si="80"/>
        <v/>
      </c>
      <c r="U257" s="254" t="str">
        <f t="shared" si="80"/>
        <v/>
      </c>
      <c r="V257" s="254">
        <f t="shared" si="77"/>
        <v>0.89529753667262979</v>
      </c>
      <c r="W257" s="531"/>
      <c r="Y257" s="256" t="s">
        <v>598</v>
      </c>
      <c r="Z257" s="256" t="s">
        <v>598</v>
      </c>
    </row>
    <row r="258" spans="1:26" ht="11.25" customHeight="1">
      <c r="A258" s="528" t="s">
        <v>606</v>
      </c>
      <c r="B258" s="1013" t="s">
        <v>125</v>
      </c>
      <c r="C258" s="728"/>
      <c r="D258" s="649" t="s">
        <v>286</v>
      </c>
      <c r="E258" s="729" t="s">
        <v>286</v>
      </c>
      <c r="F258" s="103">
        <f>SUM('[3]chd 1-SAOB'!AA14)</f>
        <v>11180000</v>
      </c>
      <c r="G258" s="103">
        <f>SUM('[3]chd 1-SAOB'!AA50)</f>
        <v>0</v>
      </c>
      <c r="H258" s="103">
        <f>SUM('[3]chd 1-SAOB'!AA142)</f>
        <v>0</v>
      </c>
      <c r="I258" s="103">
        <f t="shared" si="78"/>
        <v>11180000</v>
      </c>
      <c r="J258" s="103">
        <f>SUM('[3]chd 1-SAOB'!AA15)</f>
        <v>10009426.460000001</v>
      </c>
      <c r="K258" s="103">
        <f>SUM('[3]chd 1-SAOB'!AA51)</f>
        <v>0</v>
      </c>
      <c r="L258" s="103">
        <f>SUM('[3]chd 1-SAOB'!AA143)</f>
        <v>0</v>
      </c>
      <c r="M258" s="103">
        <f t="shared" si="79"/>
        <v>10009426.460000001</v>
      </c>
      <c r="N258" s="103">
        <f t="shared" si="94"/>
        <v>1170573.5399999991</v>
      </c>
      <c r="O258" s="103">
        <f t="shared" si="94"/>
        <v>0</v>
      </c>
      <c r="P258" s="103">
        <f t="shared" si="94"/>
        <v>0</v>
      </c>
      <c r="Q258" s="103">
        <f t="shared" si="95"/>
        <v>1170573.5399999991</v>
      </c>
      <c r="R258" s="95">
        <f>Q258-'[3]chd 1-SAOB'!AA179</f>
        <v>0</v>
      </c>
      <c r="S258" s="730">
        <f t="shared" si="80"/>
        <v>0.89529753667262979</v>
      </c>
      <c r="T258" s="730" t="str">
        <f t="shared" si="80"/>
        <v/>
      </c>
      <c r="U258" s="730" t="str">
        <f t="shared" si="80"/>
        <v/>
      </c>
      <c r="V258" s="730">
        <f t="shared" si="77"/>
        <v>0.89529753667262979</v>
      </c>
      <c r="W258" s="531"/>
      <c r="X258" s="236"/>
      <c r="Y258" s="236" t="s">
        <v>598</v>
      </c>
      <c r="Z258" s="236"/>
    </row>
    <row r="259" spans="1:26" s="272" customFormat="1" ht="11.25" customHeight="1">
      <c r="A259" s="528" t="s">
        <v>606</v>
      </c>
      <c r="B259" s="528" t="s">
        <v>125</v>
      </c>
      <c r="C259" s="389"/>
      <c r="D259" s="650" t="s">
        <v>98</v>
      </c>
      <c r="E259" s="390" t="s">
        <v>100</v>
      </c>
      <c r="F259" s="391">
        <f t="shared" ref="F259:M259" si="98">SUM(F260:F264)</f>
        <v>7028880</v>
      </c>
      <c r="G259" s="391">
        <f t="shared" si="98"/>
        <v>3110000</v>
      </c>
      <c r="H259" s="391">
        <f t="shared" si="98"/>
        <v>0</v>
      </c>
      <c r="I259" s="391">
        <f t="shared" si="98"/>
        <v>10138880</v>
      </c>
      <c r="J259" s="391">
        <f t="shared" si="98"/>
        <v>7028875.6400000006</v>
      </c>
      <c r="K259" s="391">
        <f t="shared" si="98"/>
        <v>1780111</v>
      </c>
      <c r="L259" s="391">
        <f t="shared" si="98"/>
        <v>0</v>
      </c>
      <c r="M259" s="391">
        <f t="shared" si="98"/>
        <v>8808986.6400000006</v>
      </c>
      <c r="N259" s="391">
        <f t="shared" si="94"/>
        <v>4.3599999994039536</v>
      </c>
      <c r="O259" s="391">
        <f t="shared" si="94"/>
        <v>1329889</v>
      </c>
      <c r="P259" s="391">
        <f t="shared" si="94"/>
        <v>0</v>
      </c>
      <c r="Q259" s="391">
        <f t="shared" si="95"/>
        <v>1329893.3599999994</v>
      </c>
      <c r="R259" s="102"/>
      <c r="S259" s="254">
        <f t="shared" si="80"/>
        <v>0.99999937970202946</v>
      </c>
      <c r="T259" s="254">
        <f t="shared" si="80"/>
        <v>0.57238295819935692</v>
      </c>
      <c r="U259" s="254" t="str">
        <f t="shared" si="80"/>
        <v/>
      </c>
      <c r="V259" s="254">
        <f t="shared" si="77"/>
        <v>0.86883232072970595</v>
      </c>
      <c r="W259" s="531"/>
      <c r="Y259" s="272" t="s">
        <v>598</v>
      </c>
      <c r="Z259" s="256" t="s">
        <v>598</v>
      </c>
    </row>
    <row r="260" spans="1:26" ht="11.25" customHeight="1">
      <c r="A260" s="528" t="s">
        <v>606</v>
      </c>
      <c r="B260" s="1013" t="s">
        <v>125</v>
      </c>
      <c r="C260" s="728"/>
      <c r="D260" s="649" t="s">
        <v>288</v>
      </c>
      <c r="E260" s="729" t="s">
        <v>288</v>
      </c>
      <c r="F260" s="103">
        <f>SUM('[3]chd 1-SAOB'!AF14)</f>
        <v>0</v>
      </c>
      <c r="G260" s="103">
        <f>SUM('[3]chd 1-SAOB'!AF50)</f>
        <v>0</v>
      </c>
      <c r="H260" s="103">
        <f>SUM('[3]chd 1-SAOB'!AF142)</f>
        <v>0</v>
      </c>
      <c r="I260" s="103">
        <f t="shared" si="78"/>
        <v>0</v>
      </c>
      <c r="J260" s="103">
        <f>SUM('[3]chd 1-SAOB'!AF15)</f>
        <v>0</v>
      </c>
      <c r="K260" s="103">
        <f>SUM('[3]chd 1-SAOB'!AF51)</f>
        <v>0</v>
      </c>
      <c r="L260" s="103">
        <f>SUM('[3]chd 1-SAOB'!AF143)</f>
        <v>0</v>
      </c>
      <c r="M260" s="103">
        <f t="shared" si="79"/>
        <v>0</v>
      </c>
      <c r="N260" s="103">
        <f t="shared" si="94"/>
        <v>0</v>
      </c>
      <c r="O260" s="103">
        <f t="shared" si="94"/>
        <v>0</v>
      </c>
      <c r="P260" s="103">
        <f t="shared" si="94"/>
        <v>0</v>
      </c>
      <c r="Q260" s="103">
        <f t="shared" si="95"/>
        <v>0</v>
      </c>
      <c r="R260" s="95">
        <f>Q260-'[3]chd 1-SAOB'!AF179</f>
        <v>0</v>
      </c>
      <c r="S260" s="730" t="str">
        <f t="shared" si="80"/>
        <v/>
      </c>
      <c r="T260" s="730" t="str">
        <f t="shared" si="80"/>
        <v/>
      </c>
      <c r="U260" s="730" t="str">
        <f t="shared" si="80"/>
        <v/>
      </c>
      <c r="V260" s="730" t="str">
        <f t="shared" si="77"/>
        <v/>
      </c>
      <c r="W260" s="531"/>
      <c r="X260" s="236"/>
      <c r="Y260" s="236" t="s">
        <v>598</v>
      </c>
      <c r="Z260" s="236"/>
    </row>
    <row r="261" spans="1:26" ht="11.25" customHeight="1">
      <c r="A261" s="528" t="s">
        <v>606</v>
      </c>
      <c r="B261" s="1013" t="s">
        <v>125</v>
      </c>
      <c r="C261" s="728"/>
      <c r="D261" s="649" t="s">
        <v>761</v>
      </c>
      <c r="E261" s="729" t="s">
        <v>761</v>
      </c>
      <c r="F261" s="103">
        <f>+'[3]chd 1-SAOB'!C393</f>
        <v>3611000</v>
      </c>
      <c r="G261" s="103"/>
      <c r="H261" s="103"/>
      <c r="I261" s="103">
        <f>SUM(F261:H261)</f>
        <v>3611000</v>
      </c>
      <c r="J261" s="103">
        <f>+'[3]chd 1-SAOB'!G393</f>
        <v>3611000</v>
      </c>
      <c r="K261" s="103"/>
      <c r="L261" s="103"/>
      <c r="M261" s="103">
        <f>SUM(J261:L261)</f>
        <v>3611000</v>
      </c>
      <c r="N261" s="103">
        <f t="shared" si="94"/>
        <v>0</v>
      </c>
      <c r="O261" s="103">
        <f t="shared" si="94"/>
        <v>0</v>
      </c>
      <c r="P261" s="103">
        <f t="shared" si="94"/>
        <v>0</v>
      </c>
      <c r="Q261" s="103">
        <f>SUM(N261:P261)</f>
        <v>0</v>
      </c>
      <c r="S261" s="730">
        <f t="shared" si="80"/>
        <v>1</v>
      </c>
      <c r="T261" s="730" t="str">
        <f t="shared" si="80"/>
        <v/>
      </c>
      <c r="U261" s="730" t="str">
        <f t="shared" si="80"/>
        <v/>
      </c>
      <c r="V261" s="730">
        <f t="shared" si="77"/>
        <v>1</v>
      </c>
      <c r="W261" s="531"/>
      <c r="X261" s="236"/>
      <c r="Y261" s="236" t="s">
        <v>688</v>
      </c>
      <c r="Z261" s="236"/>
    </row>
    <row r="262" spans="1:26" ht="11.25" customHeight="1">
      <c r="A262" s="528" t="s">
        <v>606</v>
      </c>
      <c r="B262" s="1013" t="s">
        <v>125</v>
      </c>
      <c r="C262" s="411"/>
      <c r="D262" s="647"/>
      <c r="E262" s="1014" t="s">
        <v>764</v>
      </c>
      <c r="F262" s="104"/>
      <c r="G262" s="104"/>
      <c r="H262" s="104"/>
      <c r="I262" s="103"/>
      <c r="J262" s="104"/>
      <c r="K262" s="104"/>
      <c r="L262" s="104"/>
      <c r="M262" s="103"/>
      <c r="N262" s="103"/>
      <c r="O262" s="103"/>
      <c r="P262" s="103"/>
      <c r="Q262" s="103"/>
      <c r="S262" s="730" t="str">
        <f t="shared" si="80"/>
        <v/>
      </c>
      <c r="T262" s="730" t="str">
        <f t="shared" si="80"/>
        <v/>
      </c>
      <c r="U262" s="730" t="str">
        <f t="shared" si="80"/>
        <v/>
      </c>
      <c r="V262" s="730" t="str">
        <f t="shared" si="77"/>
        <v/>
      </c>
      <c r="W262" s="531"/>
      <c r="X262" s="236"/>
      <c r="Y262" s="236" t="s">
        <v>688</v>
      </c>
      <c r="Z262" s="240"/>
    </row>
    <row r="263" spans="1:26" ht="11.25" customHeight="1">
      <c r="A263" s="528" t="s">
        <v>606</v>
      </c>
      <c r="B263" s="1013" t="s">
        <v>125</v>
      </c>
      <c r="C263" s="728"/>
      <c r="D263" s="649" t="s">
        <v>289</v>
      </c>
      <c r="E263" s="729" t="s">
        <v>289</v>
      </c>
      <c r="F263" s="103">
        <f>SUM('[3]chd 1-SAOB'!AK14)</f>
        <v>3417880</v>
      </c>
      <c r="G263" s="103">
        <f>SUM('[3]chd 1-SAOB'!AK50)</f>
        <v>0</v>
      </c>
      <c r="H263" s="103">
        <f>SUM('[3]chd 1-SAOB'!AK142)</f>
        <v>0</v>
      </c>
      <c r="I263" s="103">
        <f t="shared" si="78"/>
        <v>3417880</v>
      </c>
      <c r="J263" s="103">
        <f>SUM('[3]chd 1-SAOB'!AK15)</f>
        <v>3417875.64</v>
      </c>
      <c r="K263" s="103">
        <f>SUM('[3]chd 1-SAOB'!AK51)</f>
        <v>0</v>
      </c>
      <c r="L263" s="103">
        <f>SUM('[3]chd 1-SAOB'!AK143)</f>
        <v>0</v>
      </c>
      <c r="M263" s="103">
        <f t="shared" si="79"/>
        <v>3417875.64</v>
      </c>
      <c r="N263" s="103">
        <f t="shared" si="94"/>
        <v>4.3599999998696148</v>
      </c>
      <c r="O263" s="103">
        <f t="shared" si="94"/>
        <v>0</v>
      </c>
      <c r="P263" s="103">
        <f t="shared" si="94"/>
        <v>0</v>
      </c>
      <c r="Q263" s="103">
        <f t="shared" si="95"/>
        <v>4.3599999998696148</v>
      </c>
      <c r="R263" s="95">
        <f>Q263-'[3]chd 1-SAOB'!AK179</f>
        <v>0</v>
      </c>
      <c r="S263" s="730">
        <f t="shared" si="80"/>
        <v>0.99999872435544845</v>
      </c>
      <c r="T263" s="730" t="str">
        <f t="shared" si="80"/>
        <v/>
      </c>
      <c r="U263" s="730" t="str">
        <f t="shared" si="80"/>
        <v/>
      </c>
      <c r="V263" s="730">
        <f t="shared" si="77"/>
        <v>0.99999872435544845</v>
      </c>
      <c r="W263" s="531"/>
      <c r="X263" s="236"/>
      <c r="Y263" s="236" t="s">
        <v>598</v>
      </c>
      <c r="Z263" s="236"/>
    </row>
    <row r="264" spans="1:26" ht="11.25" customHeight="1">
      <c r="A264" s="528" t="s">
        <v>606</v>
      </c>
      <c r="B264" s="1013" t="s">
        <v>125</v>
      </c>
      <c r="C264" s="728"/>
      <c r="D264" s="649" t="s">
        <v>290</v>
      </c>
      <c r="E264" s="729" t="s">
        <v>290</v>
      </c>
      <c r="F264" s="103">
        <f>SUM('[3]chd 1-SAOB'!AP14)</f>
        <v>0</v>
      </c>
      <c r="G264" s="103">
        <f>SUM('[3]chd 1-SAOB'!AP50)</f>
        <v>3110000</v>
      </c>
      <c r="H264" s="103">
        <f>SUM('[3]chd 1-SAOB'!AP142)</f>
        <v>0</v>
      </c>
      <c r="I264" s="103">
        <f t="shared" si="78"/>
        <v>3110000</v>
      </c>
      <c r="J264" s="103">
        <f>SUM('[3]chd 1-SAOB'!AP15)</f>
        <v>0</v>
      </c>
      <c r="K264" s="103">
        <f>SUM('[3]chd 1-SAOB'!AP51)</f>
        <v>1780111</v>
      </c>
      <c r="L264" s="103">
        <f>SUM('[3]chd 1-SAOB'!AP143)</f>
        <v>0</v>
      </c>
      <c r="M264" s="103">
        <f t="shared" si="79"/>
        <v>1780111</v>
      </c>
      <c r="N264" s="103">
        <f t="shared" si="94"/>
        <v>0</v>
      </c>
      <c r="O264" s="103">
        <f t="shared" si="94"/>
        <v>1329889</v>
      </c>
      <c r="P264" s="103">
        <f t="shared" si="94"/>
        <v>0</v>
      </c>
      <c r="Q264" s="103">
        <f t="shared" si="95"/>
        <v>1329889</v>
      </c>
      <c r="R264" s="95">
        <f>Q264-'[3]chd 1-SAOB'!AP179</f>
        <v>0</v>
      </c>
      <c r="S264" s="730" t="str">
        <f t="shared" si="80"/>
        <v/>
      </c>
      <c r="T264" s="730">
        <f t="shared" si="80"/>
        <v>0.57238295819935692</v>
      </c>
      <c r="U264" s="730" t="str">
        <f t="shared" si="80"/>
        <v/>
      </c>
      <c r="V264" s="730">
        <f t="shared" si="77"/>
        <v>0.57238295819935692</v>
      </c>
      <c r="W264" s="531"/>
      <c r="X264" s="236"/>
      <c r="Y264" s="236" t="s">
        <v>598</v>
      </c>
      <c r="Z264" s="236"/>
    </row>
    <row r="265" spans="1:26" s="259" customFormat="1" ht="11.25" customHeight="1">
      <c r="A265" s="246" t="s">
        <v>606</v>
      </c>
      <c r="B265" s="235" t="s">
        <v>125</v>
      </c>
      <c r="C265" s="656"/>
      <c r="D265" s="656"/>
      <c r="E265" s="657" t="s">
        <v>4</v>
      </c>
      <c r="F265" s="652">
        <f>+F255+F257+F259</f>
        <v>138688880</v>
      </c>
      <c r="G265" s="652">
        <f t="shared" ref="G265:M265" si="99">+G255+G257+G259</f>
        <v>84865180</v>
      </c>
      <c r="H265" s="652">
        <f t="shared" si="99"/>
        <v>129820000</v>
      </c>
      <c r="I265" s="652">
        <f t="shared" si="99"/>
        <v>353374060</v>
      </c>
      <c r="J265" s="652">
        <f t="shared" si="99"/>
        <v>128180176.58000003</v>
      </c>
      <c r="K265" s="652">
        <f t="shared" si="99"/>
        <v>74804801.200000003</v>
      </c>
      <c r="L265" s="652">
        <f t="shared" si="99"/>
        <v>126272472.28</v>
      </c>
      <c r="M265" s="652">
        <f t="shared" si="99"/>
        <v>329257450.06</v>
      </c>
      <c r="N265" s="652">
        <f t="shared" si="94"/>
        <v>10508703.419999972</v>
      </c>
      <c r="O265" s="652">
        <f t="shared" si="94"/>
        <v>10060378.799999997</v>
      </c>
      <c r="P265" s="652">
        <f t="shared" si="94"/>
        <v>3547527.7199999988</v>
      </c>
      <c r="Q265" s="652">
        <f t="shared" si="95"/>
        <v>24116609.939999968</v>
      </c>
      <c r="R265" s="653">
        <f>Q265-'[3]chd 1-SAOB'!BN179</f>
        <v>0</v>
      </c>
      <c r="S265" s="1008">
        <f t="shared" si="80"/>
        <v>0.92422821916219977</v>
      </c>
      <c r="T265" s="1008">
        <f t="shared" si="80"/>
        <v>0.88145457536294625</v>
      </c>
      <c r="U265" s="1008">
        <f t="shared" si="80"/>
        <v>0.97267348852256974</v>
      </c>
      <c r="V265" s="1008">
        <f t="shared" si="77"/>
        <v>0.93175330996281958</v>
      </c>
      <c r="W265" s="254"/>
      <c r="X265" s="520"/>
      <c r="Y265" s="610" t="s">
        <v>598</v>
      </c>
      <c r="Z265" s="241" t="s">
        <v>598</v>
      </c>
    </row>
    <row r="266" spans="1:26" ht="11.25" customHeight="1">
      <c r="A266" s="246" t="s">
        <v>606</v>
      </c>
      <c r="B266" s="235" t="s">
        <v>125</v>
      </c>
      <c r="C266" s="410"/>
      <c r="D266" s="386"/>
      <c r="E266" s="461" t="s">
        <v>764</v>
      </c>
      <c r="F266" s="103"/>
      <c r="G266" s="103"/>
      <c r="H266" s="103"/>
      <c r="I266" s="103">
        <f t="shared" si="78"/>
        <v>0</v>
      </c>
      <c r="J266" s="103"/>
      <c r="K266" s="103"/>
      <c r="L266" s="103"/>
      <c r="M266" s="103">
        <f t="shared" si="79"/>
        <v>0</v>
      </c>
      <c r="N266" s="103">
        <f t="shared" si="94"/>
        <v>0</v>
      </c>
      <c r="O266" s="103">
        <f t="shared" si="94"/>
        <v>0</v>
      </c>
      <c r="P266" s="103">
        <f t="shared" si="94"/>
        <v>0</v>
      </c>
      <c r="Q266" s="103">
        <f t="shared" si="95"/>
        <v>0</v>
      </c>
      <c r="S266" s="730" t="str">
        <f t="shared" si="80"/>
        <v/>
      </c>
      <c r="T266" s="730" t="str">
        <f t="shared" si="80"/>
        <v/>
      </c>
      <c r="U266" s="730" t="str">
        <f t="shared" si="80"/>
        <v/>
      </c>
      <c r="V266" s="730" t="str">
        <f t="shared" si="77"/>
        <v/>
      </c>
      <c r="W266" s="254"/>
      <c r="Y266" s="610" t="s">
        <v>598</v>
      </c>
      <c r="Z266" s="241" t="s">
        <v>598</v>
      </c>
    </row>
    <row r="267" spans="1:26" s="675" customFormat="1" ht="11.25" customHeight="1">
      <c r="A267" s="528" t="s">
        <v>606</v>
      </c>
      <c r="B267" s="528" t="s">
        <v>126</v>
      </c>
      <c r="C267" s="407" t="s">
        <v>98</v>
      </c>
      <c r="D267" s="655" t="s">
        <v>107</v>
      </c>
      <c r="E267" s="408" t="s">
        <v>789</v>
      </c>
      <c r="F267" s="674"/>
      <c r="G267" s="674"/>
      <c r="H267" s="674"/>
      <c r="I267" s="674">
        <f t="shared" si="78"/>
        <v>0</v>
      </c>
      <c r="J267" s="674"/>
      <c r="K267" s="674"/>
      <c r="L267" s="674"/>
      <c r="M267" s="674">
        <f t="shared" si="79"/>
        <v>0</v>
      </c>
      <c r="N267" s="674">
        <f t="shared" si="94"/>
        <v>0</v>
      </c>
      <c r="O267" s="674">
        <f t="shared" si="94"/>
        <v>0</v>
      </c>
      <c r="P267" s="674">
        <f t="shared" si="94"/>
        <v>0</v>
      </c>
      <c r="Q267" s="674">
        <f t="shared" si="95"/>
        <v>0</v>
      </c>
      <c r="R267" s="101"/>
      <c r="S267" s="254" t="str">
        <f t="shared" si="80"/>
        <v/>
      </c>
      <c r="T267" s="254" t="str">
        <f t="shared" si="80"/>
        <v/>
      </c>
      <c r="U267" s="254" t="str">
        <f t="shared" si="80"/>
        <v/>
      </c>
      <c r="V267" s="254" t="str">
        <f t="shared" si="77"/>
        <v/>
      </c>
      <c r="W267" s="531"/>
      <c r="Y267" s="272" t="s">
        <v>598</v>
      </c>
      <c r="Z267" s="260" t="s">
        <v>598</v>
      </c>
    </row>
    <row r="268" spans="1:26" ht="11.25" customHeight="1">
      <c r="A268" s="528" t="s">
        <v>606</v>
      </c>
      <c r="B268" s="1013" t="s">
        <v>126</v>
      </c>
      <c r="C268" s="461"/>
      <c r="D268" s="645" t="s">
        <v>766</v>
      </c>
      <c r="E268" s="447" t="s">
        <v>766</v>
      </c>
      <c r="F268" s="103">
        <f>+'[3]chd 1-SAOB'!C398</f>
        <v>80499000</v>
      </c>
      <c r="G268" s="103">
        <f>+'[3]chd 1-SAOB'!D398</f>
        <v>32754000</v>
      </c>
      <c r="H268" s="103">
        <f>+'[3]chd 1-SAOB'!E398</f>
        <v>0</v>
      </c>
      <c r="I268" s="103">
        <f t="shared" si="78"/>
        <v>113253000</v>
      </c>
      <c r="J268" s="103">
        <f>+'[3]chd 1-SAOB'!G398</f>
        <v>72316478.269999996</v>
      </c>
      <c r="K268" s="103">
        <f>+'[3]chd 1-SAOB'!H398</f>
        <v>28102333.619999997</v>
      </c>
      <c r="L268" s="103">
        <f>+'[3]chd 1-SAOB'!I398</f>
        <v>0</v>
      </c>
      <c r="M268" s="103">
        <f t="shared" si="79"/>
        <v>100418811.88999999</v>
      </c>
      <c r="N268" s="103">
        <f t="shared" si="94"/>
        <v>8182521.7300000042</v>
      </c>
      <c r="O268" s="103">
        <f t="shared" si="94"/>
        <v>4651666.3800000027</v>
      </c>
      <c r="P268" s="103">
        <f t="shared" si="94"/>
        <v>0</v>
      </c>
      <c r="Q268" s="103">
        <f t="shared" si="95"/>
        <v>12834188.110000007</v>
      </c>
      <c r="R268" s="95">
        <f>Q268-'[3]chd 1-SAOB'!H179</f>
        <v>0</v>
      </c>
      <c r="S268" s="730">
        <f t="shared" si="80"/>
        <v>0.89835250462738658</v>
      </c>
      <c r="T268" s="730">
        <f t="shared" si="80"/>
        <v>0.85798173108627951</v>
      </c>
      <c r="U268" s="730" t="str">
        <f t="shared" si="80"/>
        <v/>
      </c>
      <c r="V268" s="730">
        <f t="shared" si="77"/>
        <v>0.88667683761136562</v>
      </c>
      <c r="W268" s="531"/>
      <c r="X268" s="236"/>
      <c r="Y268" s="236" t="s">
        <v>688</v>
      </c>
      <c r="Z268" s="236"/>
    </row>
    <row r="269" spans="1:26" ht="11.25" customHeight="1">
      <c r="A269" s="528" t="s">
        <v>606</v>
      </c>
      <c r="B269" s="1013" t="s">
        <v>126</v>
      </c>
      <c r="C269" s="728"/>
      <c r="D269" s="649" t="s">
        <v>50</v>
      </c>
      <c r="E269" s="447" t="s">
        <v>50</v>
      </c>
      <c r="F269" s="103"/>
      <c r="G269" s="103">
        <f>+'[3]chd 1-SAOB'!D400</f>
        <v>17161820</v>
      </c>
      <c r="H269" s="103">
        <f>+'[3]chd 1-SAOB'!E400</f>
        <v>152810229</v>
      </c>
      <c r="I269" s="103">
        <f>SUM(F269:H269)</f>
        <v>169972049</v>
      </c>
      <c r="J269" s="103"/>
      <c r="K269" s="103">
        <f>+'[3]chd 1-SAOB'!H400</f>
        <v>15147136.390000001</v>
      </c>
      <c r="L269" s="103">
        <f>+'[3]chd 1-SAOB'!I400</f>
        <v>152591060.67000002</v>
      </c>
      <c r="M269" s="103">
        <f>SUM(J269:L269)</f>
        <v>167738197.06</v>
      </c>
      <c r="N269" s="103">
        <f t="shared" si="94"/>
        <v>0</v>
      </c>
      <c r="O269" s="103">
        <f t="shared" si="94"/>
        <v>2014683.6099999994</v>
      </c>
      <c r="P269" s="103">
        <f t="shared" si="94"/>
        <v>219168.32999998331</v>
      </c>
      <c r="Q269" s="103">
        <f t="shared" si="95"/>
        <v>2233851.9399999827</v>
      </c>
      <c r="R269" s="95">
        <f>Q269-'[3]chd 1-SAOB'!W179+Q276</f>
        <v>-9.3132257461547852E-10</v>
      </c>
      <c r="S269" s="730" t="str">
        <f t="shared" si="80"/>
        <v/>
      </c>
      <c r="T269" s="730">
        <f t="shared" si="80"/>
        <v>0.88260664603171457</v>
      </c>
      <c r="U269" s="730">
        <f t="shared" si="80"/>
        <v>0.99856574830471601</v>
      </c>
      <c r="V269" s="730">
        <f t="shared" si="77"/>
        <v>0.98685753361718909</v>
      </c>
      <c r="W269" s="531"/>
      <c r="X269" s="236"/>
      <c r="Y269" s="236" t="s">
        <v>688</v>
      </c>
      <c r="Z269" s="236"/>
    </row>
    <row r="270" spans="1:26" s="256" customFormat="1" ht="11.25" customHeight="1">
      <c r="A270" s="528" t="s">
        <v>606</v>
      </c>
      <c r="B270" s="528" t="s">
        <v>126</v>
      </c>
      <c r="C270" s="389"/>
      <c r="D270" s="650" t="s">
        <v>98</v>
      </c>
      <c r="E270" s="390" t="s">
        <v>767</v>
      </c>
      <c r="F270" s="391">
        <f>+F268+F269</f>
        <v>80499000</v>
      </c>
      <c r="G270" s="391">
        <f t="shared" ref="G270:M270" si="100">+G268+G269</f>
        <v>49915820</v>
      </c>
      <c r="H270" s="391">
        <f t="shared" si="100"/>
        <v>152810229</v>
      </c>
      <c r="I270" s="391">
        <f t="shared" si="100"/>
        <v>283225049</v>
      </c>
      <c r="J270" s="391">
        <f t="shared" si="100"/>
        <v>72316478.269999996</v>
      </c>
      <c r="K270" s="391">
        <f t="shared" si="100"/>
        <v>43249470.009999998</v>
      </c>
      <c r="L270" s="391">
        <f t="shared" si="100"/>
        <v>152591060.67000002</v>
      </c>
      <c r="M270" s="391">
        <f t="shared" si="100"/>
        <v>268157008.94999999</v>
      </c>
      <c r="N270" s="391">
        <f t="shared" si="94"/>
        <v>8182521.7300000042</v>
      </c>
      <c r="O270" s="391">
        <f t="shared" si="94"/>
        <v>6666349.9900000021</v>
      </c>
      <c r="P270" s="391">
        <f t="shared" si="94"/>
        <v>219168.32999998331</v>
      </c>
      <c r="Q270" s="391">
        <f t="shared" si="95"/>
        <v>15068040.04999999</v>
      </c>
      <c r="R270" s="101"/>
      <c r="S270" s="254">
        <f t="shared" si="80"/>
        <v>0.89835250462738658</v>
      </c>
      <c r="T270" s="254">
        <f t="shared" si="80"/>
        <v>0.86644815230922778</v>
      </c>
      <c r="U270" s="254">
        <f t="shared" si="80"/>
        <v>0.99856574830471601</v>
      </c>
      <c r="V270" s="254">
        <f t="shared" si="77"/>
        <v>0.9467983495697091</v>
      </c>
      <c r="W270" s="531"/>
      <c r="Y270" s="256" t="s">
        <v>598</v>
      </c>
      <c r="Z270" s="256" t="s">
        <v>598</v>
      </c>
    </row>
    <row r="271" spans="1:26" ht="11.25" hidden="1" customHeight="1">
      <c r="A271" s="528" t="s">
        <v>606</v>
      </c>
      <c r="B271" s="1013" t="s">
        <v>126</v>
      </c>
      <c r="C271" s="410"/>
      <c r="D271" s="651"/>
      <c r="E271" s="806" t="s">
        <v>764</v>
      </c>
      <c r="F271" s="807"/>
      <c r="G271" s="807"/>
      <c r="H271" s="807"/>
      <c r="I271" s="807"/>
      <c r="J271" s="807"/>
      <c r="K271" s="807"/>
      <c r="L271" s="807"/>
      <c r="M271" s="807"/>
      <c r="N271" s="807">
        <f t="shared" si="94"/>
        <v>0</v>
      </c>
      <c r="O271" s="807">
        <f t="shared" si="94"/>
        <v>0</v>
      </c>
      <c r="P271" s="807">
        <f t="shared" si="94"/>
        <v>0</v>
      </c>
      <c r="Q271" s="807">
        <f t="shared" si="95"/>
        <v>0</v>
      </c>
      <c r="R271" s="276"/>
      <c r="S271" s="730" t="str">
        <f t="shared" si="80"/>
        <v/>
      </c>
      <c r="T271" s="730" t="str">
        <f t="shared" si="80"/>
        <v/>
      </c>
      <c r="U271" s="730" t="str">
        <f t="shared" si="80"/>
        <v/>
      </c>
      <c r="V271" s="730" t="str">
        <f t="shared" si="77"/>
        <v/>
      </c>
      <c r="W271" s="531"/>
      <c r="X271" s="236"/>
      <c r="Y271" s="236"/>
      <c r="Z271" s="236"/>
    </row>
    <row r="272" spans="1:26" s="256" customFormat="1" ht="11.25" customHeight="1">
      <c r="A272" s="528" t="s">
        <v>606</v>
      </c>
      <c r="B272" s="528" t="s">
        <v>126</v>
      </c>
      <c r="C272" s="389"/>
      <c r="D272" s="650" t="s">
        <v>98</v>
      </c>
      <c r="E272" s="390" t="s">
        <v>99</v>
      </c>
      <c r="F272" s="391">
        <f>+F273</f>
        <v>7474000</v>
      </c>
      <c r="G272" s="391">
        <f t="shared" ref="G272:M272" si="101">+G273</f>
        <v>0</v>
      </c>
      <c r="H272" s="391">
        <f t="shared" si="101"/>
        <v>0</v>
      </c>
      <c r="I272" s="391">
        <f t="shared" si="101"/>
        <v>7474000</v>
      </c>
      <c r="J272" s="391">
        <f t="shared" si="101"/>
        <v>6648538.6600000001</v>
      </c>
      <c r="K272" s="391">
        <f t="shared" si="101"/>
        <v>0</v>
      </c>
      <c r="L272" s="391">
        <f t="shared" si="101"/>
        <v>0</v>
      </c>
      <c r="M272" s="391">
        <f t="shared" si="101"/>
        <v>6648538.6600000001</v>
      </c>
      <c r="N272" s="391">
        <f t="shared" si="94"/>
        <v>825461.33999999985</v>
      </c>
      <c r="O272" s="391">
        <f t="shared" si="94"/>
        <v>0</v>
      </c>
      <c r="P272" s="391">
        <f t="shared" si="94"/>
        <v>0</v>
      </c>
      <c r="Q272" s="391">
        <f t="shared" si="95"/>
        <v>825461.33999999985</v>
      </c>
      <c r="R272" s="101"/>
      <c r="S272" s="254">
        <f t="shared" si="80"/>
        <v>0.88955561412898043</v>
      </c>
      <c r="T272" s="254" t="str">
        <f t="shared" si="80"/>
        <v/>
      </c>
      <c r="U272" s="254" t="str">
        <f t="shared" si="80"/>
        <v/>
      </c>
      <c r="V272" s="254">
        <f t="shared" si="77"/>
        <v>0.88955561412898043</v>
      </c>
      <c r="W272" s="531"/>
      <c r="Y272" s="256" t="s">
        <v>598</v>
      </c>
      <c r="Z272" s="256" t="s">
        <v>598</v>
      </c>
    </row>
    <row r="273" spans="1:26" ht="11.25" customHeight="1">
      <c r="A273" s="528" t="s">
        <v>606</v>
      </c>
      <c r="B273" s="1013" t="s">
        <v>126</v>
      </c>
      <c r="C273" s="728"/>
      <c r="D273" s="649" t="s">
        <v>286</v>
      </c>
      <c r="E273" s="729" t="s">
        <v>286</v>
      </c>
      <c r="F273" s="103">
        <f>SUM('[3]chd 1-SAOB'!AB14)</f>
        <v>7474000</v>
      </c>
      <c r="G273" s="103">
        <f>SUM('[3]chd 1-SAOB'!AB50)</f>
        <v>0</v>
      </c>
      <c r="H273" s="103">
        <f>SUM('[3]chd 1-SAOB'!AB142)</f>
        <v>0</v>
      </c>
      <c r="I273" s="103">
        <f t="shared" si="78"/>
        <v>7474000</v>
      </c>
      <c r="J273" s="103">
        <f>SUM('[3]chd 1-SAOB'!AB15)</f>
        <v>6648538.6600000001</v>
      </c>
      <c r="K273" s="103">
        <f>SUM('[3]chd 1-SAOB'!AB51)</f>
        <v>0</v>
      </c>
      <c r="L273" s="103">
        <f>SUM('[3]chd 1-SAOB'!AB143)</f>
        <v>0</v>
      </c>
      <c r="M273" s="103">
        <f t="shared" si="79"/>
        <v>6648538.6600000001</v>
      </c>
      <c r="N273" s="103">
        <f t="shared" si="94"/>
        <v>825461.33999999985</v>
      </c>
      <c r="O273" s="103">
        <f t="shared" si="94"/>
        <v>0</v>
      </c>
      <c r="P273" s="103">
        <f t="shared" si="94"/>
        <v>0</v>
      </c>
      <c r="Q273" s="103">
        <f t="shared" si="95"/>
        <v>825461.33999999985</v>
      </c>
      <c r="R273" s="95">
        <f>Q273-'[3]chd 1-SAOB'!AB179</f>
        <v>0</v>
      </c>
      <c r="S273" s="730">
        <f t="shared" si="80"/>
        <v>0.88955561412898043</v>
      </c>
      <c r="T273" s="730" t="str">
        <f t="shared" si="80"/>
        <v/>
      </c>
      <c r="U273" s="730" t="str">
        <f t="shared" si="80"/>
        <v/>
      </c>
      <c r="V273" s="730">
        <f t="shared" si="77"/>
        <v>0.88955561412898043</v>
      </c>
      <c r="W273" s="531"/>
      <c r="X273" s="236"/>
      <c r="Y273" s="236" t="s">
        <v>598</v>
      </c>
      <c r="Z273" s="236"/>
    </row>
    <row r="274" spans="1:26" s="272" customFormat="1" ht="11.25" customHeight="1">
      <c r="A274" s="528" t="s">
        <v>606</v>
      </c>
      <c r="B274" s="528" t="s">
        <v>126</v>
      </c>
      <c r="C274" s="389"/>
      <c r="D274" s="650" t="s">
        <v>98</v>
      </c>
      <c r="E274" s="390" t="s">
        <v>100</v>
      </c>
      <c r="F274" s="391">
        <f t="shared" ref="F274:M274" si="102">SUM(F275:F279)</f>
        <v>3778701</v>
      </c>
      <c r="G274" s="391">
        <f t="shared" si="102"/>
        <v>1700000</v>
      </c>
      <c r="H274" s="391">
        <f t="shared" si="102"/>
        <v>0</v>
      </c>
      <c r="I274" s="391">
        <f t="shared" si="102"/>
        <v>5478701</v>
      </c>
      <c r="J274" s="391">
        <f t="shared" si="102"/>
        <v>3778699.4699999997</v>
      </c>
      <c r="K274" s="391">
        <f t="shared" si="102"/>
        <v>1622037.3800000004</v>
      </c>
      <c r="L274" s="391">
        <f t="shared" si="102"/>
        <v>0</v>
      </c>
      <c r="M274" s="391">
        <f t="shared" si="102"/>
        <v>5400736.8499999996</v>
      </c>
      <c r="N274" s="391">
        <f t="shared" si="94"/>
        <v>1.5300000002607703</v>
      </c>
      <c r="O274" s="391">
        <f t="shared" si="94"/>
        <v>77962.619999999646</v>
      </c>
      <c r="P274" s="391">
        <f t="shared" si="94"/>
        <v>0</v>
      </c>
      <c r="Q274" s="391">
        <f t="shared" si="95"/>
        <v>77964.149999999907</v>
      </c>
      <c r="R274" s="102"/>
      <c r="S274" s="254">
        <f t="shared" si="80"/>
        <v>0.99999959509895064</v>
      </c>
      <c r="T274" s="254">
        <f t="shared" si="80"/>
        <v>0.95413963529411783</v>
      </c>
      <c r="U274" s="254" t="str">
        <f t="shared" si="80"/>
        <v/>
      </c>
      <c r="V274" s="254">
        <f t="shared" si="77"/>
        <v>0.98576959209856485</v>
      </c>
      <c r="W274" s="531"/>
      <c r="Y274" s="272" t="s">
        <v>598</v>
      </c>
      <c r="Z274" s="256" t="s">
        <v>598</v>
      </c>
    </row>
    <row r="275" spans="1:26" ht="11.25" customHeight="1">
      <c r="A275" s="528" t="s">
        <v>606</v>
      </c>
      <c r="B275" s="1013" t="s">
        <v>126</v>
      </c>
      <c r="C275" s="728"/>
      <c r="D275" s="649" t="s">
        <v>288</v>
      </c>
      <c r="E275" s="729" t="s">
        <v>288</v>
      </c>
      <c r="F275" s="103">
        <f>SUM('[3]chd 1-SAOB'!AG14)</f>
        <v>0</v>
      </c>
      <c r="G275" s="103">
        <f>SUM('[3]chd 1-SAOB'!AG50)</f>
        <v>0</v>
      </c>
      <c r="H275" s="103">
        <f>SUM('[3]chd 1-SAOB'!AG142)</f>
        <v>0</v>
      </c>
      <c r="I275" s="103">
        <f t="shared" si="78"/>
        <v>0</v>
      </c>
      <c r="J275" s="103">
        <f>SUM('[3]chd 1-SAOB'!AG15)</f>
        <v>0</v>
      </c>
      <c r="K275" s="103">
        <f>SUM('[3]chd 1-SAOB'!AG51)</f>
        <v>0</v>
      </c>
      <c r="L275" s="103">
        <f>SUM('[3]chd 1-SAOB'!AG143)</f>
        <v>0</v>
      </c>
      <c r="M275" s="103">
        <f t="shared" si="79"/>
        <v>0</v>
      </c>
      <c r="N275" s="103">
        <f t="shared" si="94"/>
        <v>0</v>
      </c>
      <c r="O275" s="103">
        <f t="shared" si="94"/>
        <v>0</v>
      </c>
      <c r="P275" s="103">
        <f t="shared" si="94"/>
        <v>0</v>
      </c>
      <c r="Q275" s="103">
        <f t="shared" si="95"/>
        <v>0</v>
      </c>
      <c r="R275" s="95">
        <f>Q275-'[3]chd 1-SAOB'!AG179</f>
        <v>0</v>
      </c>
      <c r="S275" s="730" t="str">
        <f t="shared" si="80"/>
        <v/>
      </c>
      <c r="T275" s="730" t="str">
        <f t="shared" si="80"/>
        <v/>
      </c>
      <c r="U275" s="730" t="str">
        <f t="shared" si="80"/>
        <v/>
      </c>
      <c r="V275" s="730" t="str">
        <f t="shared" si="77"/>
        <v/>
      </c>
      <c r="W275" s="531"/>
      <c r="X275" s="236"/>
      <c r="Y275" s="236" t="s">
        <v>598</v>
      </c>
      <c r="Z275" s="236"/>
    </row>
    <row r="276" spans="1:26" ht="11.25" customHeight="1">
      <c r="A276" s="528" t="s">
        <v>606</v>
      </c>
      <c r="B276" s="1013" t="s">
        <v>126</v>
      </c>
      <c r="C276" s="728"/>
      <c r="D276" s="649" t="s">
        <v>761</v>
      </c>
      <c r="E276" s="729" t="s">
        <v>761</v>
      </c>
      <c r="F276" s="103">
        <f>+'[3]chd 1-SAOB'!C400</f>
        <v>1552500</v>
      </c>
      <c r="G276" s="103"/>
      <c r="H276" s="103"/>
      <c r="I276" s="103">
        <f>SUM(F276:H276)</f>
        <v>1552500</v>
      </c>
      <c r="J276" s="103">
        <f>+'[3]chd 1-SAOB'!G400</f>
        <v>1552500</v>
      </c>
      <c r="K276" s="103"/>
      <c r="L276" s="103"/>
      <c r="M276" s="103">
        <f t="shared" si="79"/>
        <v>1552500</v>
      </c>
      <c r="N276" s="103">
        <f>+F276-J276</f>
        <v>0</v>
      </c>
      <c r="O276" s="103">
        <f>+G276-K276</f>
        <v>0</v>
      </c>
      <c r="P276" s="103">
        <f>+H276-L276</f>
        <v>0</v>
      </c>
      <c r="Q276" s="103">
        <f>SUM(N276:P276)</f>
        <v>0</v>
      </c>
      <c r="S276" s="730">
        <f t="shared" si="80"/>
        <v>1</v>
      </c>
      <c r="T276" s="730" t="str">
        <f t="shared" si="80"/>
        <v/>
      </c>
      <c r="U276" s="730" t="str">
        <f t="shared" si="80"/>
        <v/>
      </c>
      <c r="V276" s="730">
        <f t="shared" si="77"/>
        <v>1</v>
      </c>
      <c r="W276" s="531"/>
      <c r="X276" s="236"/>
      <c r="Y276" s="236" t="s">
        <v>688</v>
      </c>
      <c r="Z276" s="236"/>
    </row>
    <row r="277" spans="1:26" ht="11.25" customHeight="1">
      <c r="A277" s="528" t="s">
        <v>606</v>
      </c>
      <c r="B277" s="1013" t="s">
        <v>126</v>
      </c>
      <c r="C277" s="411"/>
      <c r="D277" s="647"/>
      <c r="E277" s="1014" t="s">
        <v>764</v>
      </c>
      <c r="F277" s="104"/>
      <c r="G277" s="104"/>
      <c r="H277" s="104"/>
      <c r="I277" s="103"/>
      <c r="J277" s="104"/>
      <c r="K277" s="104"/>
      <c r="L277" s="104"/>
      <c r="M277" s="103"/>
      <c r="N277" s="103"/>
      <c r="O277" s="103"/>
      <c r="P277" s="103"/>
      <c r="Q277" s="103"/>
      <c r="S277" s="730" t="str">
        <f t="shared" si="80"/>
        <v/>
      </c>
      <c r="T277" s="730" t="str">
        <f t="shared" si="80"/>
        <v/>
      </c>
      <c r="U277" s="730" t="str">
        <f t="shared" si="80"/>
        <v/>
      </c>
      <c r="V277" s="730" t="str">
        <f t="shared" si="77"/>
        <v/>
      </c>
      <c r="W277" s="531"/>
      <c r="X277" s="236"/>
      <c r="Y277" s="236" t="s">
        <v>688</v>
      </c>
      <c r="Z277" s="240"/>
    </row>
    <row r="278" spans="1:26" ht="11.25" customHeight="1">
      <c r="A278" s="528" t="s">
        <v>606</v>
      </c>
      <c r="B278" s="1013" t="s">
        <v>126</v>
      </c>
      <c r="C278" s="728"/>
      <c r="D278" s="649" t="s">
        <v>289</v>
      </c>
      <c r="E278" s="729" t="s">
        <v>289</v>
      </c>
      <c r="F278" s="103">
        <f>SUM('[3]chd 1-SAOB'!AL14)</f>
        <v>2226201</v>
      </c>
      <c r="G278" s="103">
        <f>SUM('[3]chd 1-SAOB'!AL50)</f>
        <v>0</v>
      </c>
      <c r="H278" s="103">
        <f>SUM('[3]chd 1-SAOB'!AL142)</f>
        <v>0</v>
      </c>
      <c r="I278" s="103">
        <f t="shared" si="78"/>
        <v>2226201</v>
      </c>
      <c r="J278" s="103">
        <f>SUM('[3]chd 1-SAOB'!AL15)</f>
        <v>2226199.4699999997</v>
      </c>
      <c r="K278" s="103">
        <f>SUM('[3]chd 1-SAOB'!AL51)</f>
        <v>0</v>
      </c>
      <c r="L278" s="103">
        <f>SUM('[3]chd 1-SAOB'!AL143)</f>
        <v>0</v>
      </c>
      <c r="M278" s="103">
        <f t="shared" si="79"/>
        <v>2226199.4699999997</v>
      </c>
      <c r="N278" s="103">
        <f t="shared" si="94"/>
        <v>1.5300000002607703</v>
      </c>
      <c r="O278" s="103">
        <f t="shared" si="94"/>
        <v>0</v>
      </c>
      <c r="P278" s="103">
        <f t="shared" si="94"/>
        <v>0</v>
      </c>
      <c r="Q278" s="103">
        <f t="shared" si="95"/>
        <v>1.5300000002607703</v>
      </c>
      <c r="R278" s="95">
        <f>Q278-'[3]chd 1-SAOB'!AL179</f>
        <v>0</v>
      </c>
      <c r="S278" s="730">
        <f t="shared" si="80"/>
        <v>0.99999931273052156</v>
      </c>
      <c r="T278" s="730" t="str">
        <f t="shared" si="80"/>
        <v/>
      </c>
      <c r="U278" s="730" t="str">
        <f t="shared" si="80"/>
        <v/>
      </c>
      <c r="V278" s="730">
        <f t="shared" si="77"/>
        <v>0.99999931273052156</v>
      </c>
      <c r="W278" s="531"/>
      <c r="X278" s="236"/>
      <c r="Y278" s="236" t="s">
        <v>598</v>
      </c>
      <c r="Z278" s="236"/>
    </row>
    <row r="279" spans="1:26" ht="11.25" customHeight="1">
      <c r="A279" s="528" t="s">
        <v>606</v>
      </c>
      <c r="B279" s="1013" t="s">
        <v>126</v>
      </c>
      <c r="C279" s="728"/>
      <c r="D279" s="649" t="s">
        <v>290</v>
      </c>
      <c r="E279" s="729" t="s">
        <v>290</v>
      </c>
      <c r="F279" s="103">
        <f>SUM('[3]chd 1-SAOB'!AQ14)</f>
        <v>0</v>
      </c>
      <c r="G279" s="103">
        <f>SUM('[3]chd 1-SAOB'!AQ50)</f>
        <v>1700000</v>
      </c>
      <c r="H279" s="103">
        <f>SUM('[3]chd 1-SAOB'!AQ142)</f>
        <v>0</v>
      </c>
      <c r="I279" s="103">
        <f t="shared" si="78"/>
        <v>1700000</v>
      </c>
      <c r="J279" s="103">
        <f>SUM('[3]chd 1-SAOB'!AQ15)</f>
        <v>0</v>
      </c>
      <c r="K279" s="103">
        <f>SUM('[3]chd 1-SAOB'!AQ51)</f>
        <v>1622037.3800000004</v>
      </c>
      <c r="L279" s="103">
        <f>SUM('[3]chd 1-SAOB'!AQ143)</f>
        <v>0</v>
      </c>
      <c r="M279" s="103">
        <f t="shared" si="79"/>
        <v>1622037.3800000004</v>
      </c>
      <c r="N279" s="103">
        <f t="shared" si="94"/>
        <v>0</v>
      </c>
      <c r="O279" s="103">
        <f t="shared" si="94"/>
        <v>77962.619999999646</v>
      </c>
      <c r="P279" s="103">
        <f t="shared" si="94"/>
        <v>0</v>
      </c>
      <c r="Q279" s="103">
        <f t="shared" si="95"/>
        <v>77962.619999999646</v>
      </c>
      <c r="R279" s="95">
        <f>Q279-'[3]chd 1-SAOB'!AQ179</f>
        <v>0</v>
      </c>
      <c r="S279" s="730" t="str">
        <f t="shared" si="80"/>
        <v/>
      </c>
      <c r="T279" s="730">
        <f t="shared" si="80"/>
        <v>0.95413963529411783</v>
      </c>
      <c r="U279" s="730" t="str">
        <f t="shared" si="80"/>
        <v/>
      </c>
      <c r="V279" s="730">
        <f t="shared" si="80"/>
        <v>0.95413963529411783</v>
      </c>
      <c r="W279" s="531"/>
      <c r="X279" s="236"/>
      <c r="Y279" s="236" t="s">
        <v>598</v>
      </c>
      <c r="Z279" s="236"/>
    </row>
    <row r="280" spans="1:26" s="259" customFormat="1" ht="11.25" customHeight="1">
      <c r="A280" s="246" t="s">
        <v>606</v>
      </c>
      <c r="B280" s="235" t="s">
        <v>126</v>
      </c>
      <c r="C280" s="656"/>
      <c r="D280" s="656"/>
      <c r="E280" s="657" t="s">
        <v>4</v>
      </c>
      <c r="F280" s="652">
        <f>+F270+F272+F274</f>
        <v>91751701</v>
      </c>
      <c r="G280" s="652">
        <f t="shared" ref="G280:M280" si="103">+G270+G272+G274</f>
        <v>51615820</v>
      </c>
      <c r="H280" s="652">
        <f t="shared" si="103"/>
        <v>152810229</v>
      </c>
      <c r="I280" s="652">
        <f t="shared" si="103"/>
        <v>296177750</v>
      </c>
      <c r="J280" s="652">
        <f t="shared" si="103"/>
        <v>82743716.399999991</v>
      </c>
      <c r="K280" s="652">
        <f t="shared" si="103"/>
        <v>44871507.390000001</v>
      </c>
      <c r="L280" s="652">
        <f t="shared" si="103"/>
        <v>152591060.67000002</v>
      </c>
      <c r="M280" s="652">
        <f t="shared" si="103"/>
        <v>280206284.46000004</v>
      </c>
      <c r="N280" s="652">
        <f t="shared" si="94"/>
        <v>9007984.6000000089</v>
      </c>
      <c r="O280" s="652">
        <f t="shared" si="94"/>
        <v>6744312.6099999994</v>
      </c>
      <c r="P280" s="652">
        <f t="shared" si="94"/>
        <v>219168.32999998331</v>
      </c>
      <c r="Q280" s="652">
        <f t="shared" si="95"/>
        <v>15971465.539999992</v>
      </c>
      <c r="R280" s="653">
        <f>Q280-'[3]chd 1-SAOB'!BO179</f>
        <v>0</v>
      </c>
      <c r="S280" s="1008">
        <f t="shared" ref="S280:V343" si="104">IF(F280=0,"",J280/F280)</f>
        <v>0.90182215150430822</v>
      </c>
      <c r="T280" s="1008">
        <f t="shared" si="104"/>
        <v>0.86933632731205279</v>
      </c>
      <c r="U280" s="1008">
        <f t="shared" si="104"/>
        <v>0.99856574830471601</v>
      </c>
      <c r="V280" s="1008">
        <f t="shared" si="104"/>
        <v>0.94607472863846132</v>
      </c>
      <c r="W280" s="254"/>
      <c r="X280" s="520"/>
      <c r="Y280" s="610" t="s">
        <v>598</v>
      </c>
      <c r="Z280" s="241" t="s">
        <v>598</v>
      </c>
    </row>
    <row r="281" spans="1:26" ht="11.25" customHeight="1">
      <c r="A281" s="246" t="s">
        <v>606</v>
      </c>
      <c r="B281" s="235" t="s">
        <v>126</v>
      </c>
      <c r="C281" s="410"/>
      <c r="D281" s="386"/>
      <c r="E281" s="461" t="s">
        <v>764</v>
      </c>
      <c r="F281" s="103"/>
      <c r="G281" s="103"/>
      <c r="H281" s="103"/>
      <c r="I281" s="103">
        <f t="shared" si="78"/>
        <v>0</v>
      </c>
      <c r="J281" s="103"/>
      <c r="K281" s="103"/>
      <c r="L281" s="103"/>
      <c r="M281" s="103">
        <f t="shared" si="79"/>
        <v>0</v>
      </c>
      <c r="N281" s="103">
        <f t="shared" si="94"/>
        <v>0</v>
      </c>
      <c r="O281" s="103">
        <f t="shared" si="94"/>
        <v>0</v>
      </c>
      <c r="P281" s="103">
        <f t="shared" si="94"/>
        <v>0</v>
      </c>
      <c r="Q281" s="103">
        <f t="shared" si="95"/>
        <v>0</v>
      </c>
      <c r="S281" s="730" t="str">
        <f t="shared" si="104"/>
        <v/>
      </c>
      <c r="T281" s="730" t="str">
        <f t="shared" si="104"/>
        <v/>
      </c>
      <c r="U281" s="730" t="str">
        <f t="shared" si="104"/>
        <v/>
      </c>
      <c r="V281" s="730" t="str">
        <f t="shared" si="104"/>
        <v/>
      </c>
      <c r="W281" s="254"/>
      <c r="Y281" s="610" t="s">
        <v>598</v>
      </c>
      <c r="Z281" s="241" t="s">
        <v>598</v>
      </c>
    </row>
    <row r="282" spans="1:26" s="675" customFormat="1" ht="11.25" customHeight="1">
      <c r="A282" s="528" t="s">
        <v>606</v>
      </c>
      <c r="B282" s="528" t="s">
        <v>127</v>
      </c>
      <c r="C282" s="407" t="s">
        <v>98</v>
      </c>
      <c r="D282" s="655" t="s">
        <v>109</v>
      </c>
      <c r="E282" s="408" t="s">
        <v>790</v>
      </c>
      <c r="F282" s="673"/>
      <c r="G282" s="673"/>
      <c r="H282" s="673"/>
      <c r="I282" s="674">
        <f t="shared" si="78"/>
        <v>0</v>
      </c>
      <c r="J282" s="673"/>
      <c r="K282" s="673"/>
      <c r="L282" s="673"/>
      <c r="M282" s="674">
        <f t="shared" si="79"/>
        <v>0</v>
      </c>
      <c r="N282" s="674">
        <f t="shared" si="94"/>
        <v>0</v>
      </c>
      <c r="O282" s="674">
        <f t="shared" si="94"/>
        <v>0</v>
      </c>
      <c r="P282" s="674">
        <f t="shared" si="94"/>
        <v>0</v>
      </c>
      <c r="Q282" s="674">
        <f t="shared" si="95"/>
        <v>0</v>
      </c>
      <c r="R282" s="101"/>
      <c r="S282" s="254" t="str">
        <f t="shared" si="104"/>
        <v/>
      </c>
      <c r="T282" s="254" t="str">
        <f t="shared" si="104"/>
        <v/>
      </c>
      <c r="U282" s="254" t="str">
        <f t="shared" si="104"/>
        <v/>
      </c>
      <c r="V282" s="254" t="str">
        <f t="shared" si="104"/>
        <v/>
      </c>
      <c r="W282" s="531"/>
      <c r="Y282" s="272" t="s">
        <v>598</v>
      </c>
      <c r="Z282" s="260" t="s">
        <v>598</v>
      </c>
    </row>
    <row r="283" spans="1:26" ht="11.25" customHeight="1">
      <c r="A283" s="528" t="s">
        <v>606</v>
      </c>
      <c r="B283" s="1013" t="s">
        <v>127</v>
      </c>
      <c r="C283" s="461"/>
      <c r="D283" s="645" t="s">
        <v>766</v>
      </c>
      <c r="E283" s="447" t="s">
        <v>766</v>
      </c>
      <c r="F283" s="104">
        <f>+'[3]chd 1-SAOB'!I14</f>
        <v>116252000</v>
      </c>
      <c r="G283" s="104">
        <f>+'[3]chd 1-SAOB'!D405</f>
        <v>28460000</v>
      </c>
      <c r="H283" s="104">
        <f>+'[3]chd 1-SAOB'!E405</f>
        <v>0</v>
      </c>
      <c r="I283" s="103">
        <f t="shared" si="78"/>
        <v>144712000</v>
      </c>
      <c r="J283" s="104">
        <f>+'[3]chd 1-SAOB'!G405</f>
        <v>107911742.70999998</v>
      </c>
      <c r="K283" s="104">
        <f>+'[3]chd 1-SAOB'!H405</f>
        <v>27877398</v>
      </c>
      <c r="L283" s="104">
        <f>+'[3]chd 1-SAOB'!I405</f>
        <v>0</v>
      </c>
      <c r="M283" s="103">
        <f t="shared" si="79"/>
        <v>135789140.70999998</v>
      </c>
      <c r="N283" s="103">
        <f t="shared" si="94"/>
        <v>8340257.2900000215</v>
      </c>
      <c r="O283" s="103">
        <f t="shared" si="94"/>
        <v>582602</v>
      </c>
      <c r="P283" s="103">
        <f t="shared" si="94"/>
        <v>0</v>
      </c>
      <c r="Q283" s="103">
        <f t="shared" si="95"/>
        <v>8922859.2900000215</v>
      </c>
      <c r="R283" s="95">
        <f>Q283-'[3]chd 1-SAOB'!I179</f>
        <v>0</v>
      </c>
      <c r="S283" s="730">
        <f t="shared" si="104"/>
        <v>0.92825708555551711</v>
      </c>
      <c r="T283" s="730">
        <f t="shared" si="104"/>
        <v>0.97952909346451156</v>
      </c>
      <c r="U283" s="730" t="str">
        <f t="shared" si="104"/>
        <v/>
      </c>
      <c r="V283" s="730">
        <f t="shared" si="104"/>
        <v>0.9383405709961854</v>
      </c>
      <c r="W283" s="531"/>
      <c r="X283" s="236"/>
      <c r="Y283" s="236" t="s">
        <v>688</v>
      </c>
      <c r="Z283" s="236"/>
    </row>
    <row r="284" spans="1:26" ht="11.25" customHeight="1">
      <c r="A284" s="528" t="s">
        <v>606</v>
      </c>
      <c r="B284" s="1013" t="s">
        <v>127</v>
      </c>
      <c r="C284" s="728"/>
      <c r="D284" s="649" t="s">
        <v>50</v>
      </c>
      <c r="E284" s="447" t="s">
        <v>50</v>
      </c>
      <c r="F284" s="104"/>
      <c r="G284" s="104">
        <f>+'[3]chd 1-SAOB'!D407</f>
        <v>19041870</v>
      </c>
      <c r="H284" s="104">
        <f>+'[3]chd 1-SAOB'!E407</f>
        <v>0</v>
      </c>
      <c r="I284" s="103">
        <f>SUM(F284:H284)</f>
        <v>19041870</v>
      </c>
      <c r="J284" s="104"/>
      <c r="K284" s="104">
        <f>+'[3]chd 1-SAOB'!H407</f>
        <v>16033789</v>
      </c>
      <c r="L284" s="104">
        <f>+'[3]chd 1-SAOB'!I407</f>
        <v>0</v>
      </c>
      <c r="M284" s="103">
        <f>SUM(J284:L284)</f>
        <v>16033789</v>
      </c>
      <c r="N284" s="103">
        <f t="shared" si="94"/>
        <v>0</v>
      </c>
      <c r="O284" s="103">
        <f t="shared" si="94"/>
        <v>3008081</v>
      </c>
      <c r="P284" s="103">
        <f t="shared" si="94"/>
        <v>0</v>
      </c>
      <c r="Q284" s="103">
        <f t="shared" si="95"/>
        <v>3008081</v>
      </c>
      <c r="R284" s="95">
        <f>Q284-'[3]chd 1-SAOB'!X179+Q291</f>
        <v>-4.6566128730773926E-10</v>
      </c>
      <c r="S284" s="730" t="str">
        <f t="shared" si="104"/>
        <v/>
      </c>
      <c r="T284" s="730">
        <f t="shared" si="104"/>
        <v>0.84202806762150983</v>
      </c>
      <c r="U284" s="730" t="str">
        <f t="shared" si="104"/>
        <v/>
      </c>
      <c r="V284" s="730">
        <f t="shared" si="104"/>
        <v>0.84202806762150983</v>
      </c>
      <c r="W284" s="531"/>
      <c r="X284" s="236"/>
      <c r="Y284" s="236" t="s">
        <v>688</v>
      </c>
      <c r="Z284" s="236"/>
    </row>
    <row r="285" spans="1:26" s="256" customFormat="1" ht="11.25" customHeight="1">
      <c r="A285" s="528" t="s">
        <v>606</v>
      </c>
      <c r="B285" s="528" t="s">
        <v>127</v>
      </c>
      <c r="C285" s="389"/>
      <c r="D285" s="650" t="s">
        <v>98</v>
      </c>
      <c r="E285" s="390" t="s">
        <v>767</v>
      </c>
      <c r="F285" s="391">
        <f>+F283+F284</f>
        <v>116252000</v>
      </c>
      <c r="G285" s="391">
        <f t="shared" ref="G285:M285" si="105">+G283+G284</f>
        <v>47501870</v>
      </c>
      <c r="H285" s="391">
        <f t="shared" si="105"/>
        <v>0</v>
      </c>
      <c r="I285" s="391">
        <f t="shared" si="105"/>
        <v>163753870</v>
      </c>
      <c r="J285" s="391">
        <f t="shared" si="105"/>
        <v>107911742.70999998</v>
      </c>
      <c r="K285" s="391">
        <f t="shared" si="105"/>
        <v>43911187</v>
      </c>
      <c r="L285" s="391">
        <f t="shared" si="105"/>
        <v>0</v>
      </c>
      <c r="M285" s="391">
        <f t="shared" si="105"/>
        <v>151822929.70999998</v>
      </c>
      <c r="N285" s="391">
        <f t="shared" si="94"/>
        <v>8340257.2900000215</v>
      </c>
      <c r="O285" s="391">
        <f t="shared" si="94"/>
        <v>3590683</v>
      </c>
      <c r="P285" s="391">
        <f t="shared" si="94"/>
        <v>0</v>
      </c>
      <c r="Q285" s="391">
        <f t="shared" si="95"/>
        <v>11930940.290000021</v>
      </c>
      <c r="R285" s="101"/>
      <c r="S285" s="254">
        <f t="shared" si="104"/>
        <v>0.92825708555551711</v>
      </c>
      <c r="T285" s="254">
        <f t="shared" si="104"/>
        <v>0.92440964955695426</v>
      </c>
      <c r="U285" s="254" t="str">
        <f t="shared" si="104"/>
        <v/>
      </c>
      <c r="V285" s="254">
        <f t="shared" si="104"/>
        <v>0.92714101785808167</v>
      </c>
      <c r="W285" s="531"/>
      <c r="Y285" s="256" t="s">
        <v>598</v>
      </c>
      <c r="Z285" s="256" t="s">
        <v>598</v>
      </c>
    </row>
    <row r="286" spans="1:26" ht="11.25" hidden="1" customHeight="1">
      <c r="A286" s="528" t="s">
        <v>606</v>
      </c>
      <c r="B286" s="1013" t="s">
        <v>127</v>
      </c>
      <c r="C286" s="410"/>
      <c r="D286" s="651"/>
      <c r="E286" s="806" t="s">
        <v>764</v>
      </c>
      <c r="F286" s="807"/>
      <c r="G286" s="807"/>
      <c r="H286" s="807"/>
      <c r="I286" s="807"/>
      <c r="J286" s="807"/>
      <c r="K286" s="807"/>
      <c r="L286" s="807"/>
      <c r="M286" s="807"/>
      <c r="N286" s="807">
        <f t="shared" si="94"/>
        <v>0</v>
      </c>
      <c r="O286" s="807">
        <f t="shared" si="94"/>
        <v>0</v>
      </c>
      <c r="P286" s="807">
        <f t="shared" si="94"/>
        <v>0</v>
      </c>
      <c r="Q286" s="807">
        <f t="shared" si="95"/>
        <v>0</v>
      </c>
      <c r="R286" s="276"/>
      <c r="S286" s="730" t="str">
        <f t="shared" si="104"/>
        <v/>
      </c>
      <c r="T286" s="730" t="str">
        <f t="shared" si="104"/>
        <v/>
      </c>
      <c r="U286" s="730" t="str">
        <f t="shared" si="104"/>
        <v/>
      </c>
      <c r="V286" s="730" t="str">
        <f t="shared" si="104"/>
        <v/>
      </c>
      <c r="W286" s="531"/>
      <c r="X286" s="236"/>
      <c r="Y286" s="236"/>
      <c r="Z286" s="236"/>
    </row>
    <row r="287" spans="1:26" s="256" customFormat="1" ht="11.25" customHeight="1">
      <c r="A287" s="528" t="s">
        <v>606</v>
      </c>
      <c r="B287" s="528" t="s">
        <v>127</v>
      </c>
      <c r="C287" s="389"/>
      <c r="D287" s="650" t="s">
        <v>98</v>
      </c>
      <c r="E287" s="390" t="s">
        <v>99</v>
      </c>
      <c r="F287" s="391">
        <f>+F288</f>
        <v>10963000</v>
      </c>
      <c r="G287" s="391">
        <f t="shared" ref="G287:M287" si="106">+G288</f>
        <v>0</v>
      </c>
      <c r="H287" s="391">
        <f t="shared" si="106"/>
        <v>0</v>
      </c>
      <c r="I287" s="391">
        <f t="shared" si="106"/>
        <v>10963000</v>
      </c>
      <c r="J287" s="391">
        <f t="shared" si="106"/>
        <v>9555946.7100000009</v>
      </c>
      <c r="K287" s="391">
        <f t="shared" si="106"/>
        <v>0</v>
      </c>
      <c r="L287" s="391">
        <f t="shared" si="106"/>
        <v>0</v>
      </c>
      <c r="M287" s="391">
        <f t="shared" si="106"/>
        <v>9555946.7100000009</v>
      </c>
      <c r="N287" s="391">
        <f t="shared" si="94"/>
        <v>1407053.2899999991</v>
      </c>
      <c r="O287" s="391">
        <f t="shared" si="94"/>
        <v>0</v>
      </c>
      <c r="P287" s="391">
        <f t="shared" si="94"/>
        <v>0</v>
      </c>
      <c r="Q287" s="391">
        <f t="shared" si="95"/>
        <v>1407053.2899999991</v>
      </c>
      <c r="R287" s="101"/>
      <c r="S287" s="254">
        <f t="shared" si="104"/>
        <v>0.87165435647176881</v>
      </c>
      <c r="T287" s="254" t="str">
        <f t="shared" si="104"/>
        <v/>
      </c>
      <c r="U287" s="254" t="str">
        <f t="shared" si="104"/>
        <v/>
      </c>
      <c r="V287" s="254">
        <f t="shared" si="104"/>
        <v>0.87165435647176881</v>
      </c>
      <c r="W287" s="531"/>
      <c r="Y287" s="256" t="s">
        <v>598</v>
      </c>
      <c r="Z287" s="256" t="s">
        <v>598</v>
      </c>
    </row>
    <row r="288" spans="1:26" ht="11.25" customHeight="1">
      <c r="A288" s="528" t="s">
        <v>606</v>
      </c>
      <c r="B288" s="1013" t="s">
        <v>127</v>
      </c>
      <c r="C288" s="728"/>
      <c r="D288" s="649" t="s">
        <v>286</v>
      </c>
      <c r="E288" s="729" t="s">
        <v>286</v>
      </c>
      <c r="F288" s="103">
        <f>SUM('[3]chd 1-SAOB'!AC14)</f>
        <v>10963000</v>
      </c>
      <c r="G288" s="103">
        <f>SUM('[3]chd 1-SAOB'!AC50)</f>
        <v>0</v>
      </c>
      <c r="H288" s="103">
        <f>SUM('[3]chd 1-SAOB'!AC142)</f>
        <v>0</v>
      </c>
      <c r="I288" s="103">
        <f t="shared" si="78"/>
        <v>10963000</v>
      </c>
      <c r="J288" s="103">
        <f>SUM('[3]chd 1-SAOB'!AC15)</f>
        <v>9555946.7100000009</v>
      </c>
      <c r="K288" s="103">
        <f>SUM('[3]chd 1-SAOB'!AC51)</f>
        <v>0</v>
      </c>
      <c r="L288" s="103">
        <f>SUM('[3]chd 1-SAOB'!AC143)</f>
        <v>0</v>
      </c>
      <c r="M288" s="103">
        <f t="shared" si="79"/>
        <v>9555946.7100000009</v>
      </c>
      <c r="N288" s="103">
        <f t="shared" si="94"/>
        <v>1407053.2899999991</v>
      </c>
      <c r="O288" s="103">
        <f t="shared" si="94"/>
        <v>0</v>
      </c>
      <c r="P288" s="103">
        <f t="shared" si="94"/>
        <v>0</v>
      </c>
      <c r="Q288" s="103">
        <f t="shared" si="95"/>
        <v>1407053.2899999991</v>
      </c>
      <c r="S288" s="730">
        <f t="shared" si="104"/>
        <v>0.87165435647176881</v>
      </c>
      <c r="T288" s="730" t="str">
        <f t="shared" si="104"/>
        <v/>
      </c>
      <c r="U288" s="730" t="str">
        <f t="shared" si="104"/>
        <v/>
      </c>
      <c r="V288" s="730">
        <f t="shared" si="104"/>
        <v>0.87165435647176881</v>
      </c>
      <c r="W288" s="531"/>
      <c r="X288" s="236"/>
      <c r="Y288" s="236" t="s">
        <v>598</v>
      </c>
      <c r="Z288" s="236"/>
    </row>
    <row r="289" spans="1:26" s="272" customFormat="1" ht="11.25" customHeight="1">
      <c r="A289" s="528" t="s">
        <v>606</v>
      </c>
      <c r="B289" s="528" t="s">
        <v>127</v>
      </c>
      <c r="C289" s="389"/>
      <c r="D289" s="650" t="s">
        <v>98</v>
      </c>
      <c r="E289" s="390" t="s">
        <v>100</v>
      </c>
      <c r="F289" s="391">
        <f t="shared" ref="F289:M289" si="107">SUM(F290:F294)</f>
        <v>3985305</v>
      </c>
      <c r="G289" s="391">
        <f t="shared" si="107"/>
        <v>4000000</v>
      </c>
      <c r="H289" s="391">
        <f t="shared" si="107"/>
        <v>0</v>
      </c>
      <c r="I289" s="391">
        <f t="shared" si="107"/>
        <v>7985305</v>
      </c>
      <c r="J289" s="391">
        <f t="shared" si="107"/>
        <v>3810298.86</v>
      </c>
      <c r="K289" s="391">
        <f t="shared" si="107"/>
        <v>3925576.1999999997</v>
      </c>
      <c r="L289" s="391">
        <f t="shared" si="107"/>
        <v>0</v>
      </c>
      <c r="M289" s="391">
        <f t="shared" si="107"/>
        <v>7735875.0599999996</v>
      </c>
      <c r="N289" s="391">
        <f t="shared" si="94"/>
        <v>175006.14000000013</v>
      </c>
      <c r="O289" s="391">
        <f t="shared" si="94"/>
        <v>74423.800000000279</v>
      </c>
      <c r="P289" s="391">
        <f t="shared" si="94"/>
        <v>0</v>
      </c>
      <c r="Q289" s="391">
        <f t="shared" si="95"/>
        <v>249429.94000000041</v>
      </c>
      <c r="R289" s="102"/>
      <c r="S289" s="254">
        <f t="shared" si="104"/>
        <v>0.95608714013105645</v>
      </c>
      <c r="T289" s="254">
        <f t="shared" si="104"/>
        <v>0.98139404999999991</v>
      </c>
      <c r="U289" s="254" t="str">
        <f t="shared" si="104"/>
        <v/>
      </c>
      <c r="V289" s="254">
        <f t="shared" si="104"/>
        <v>0.9687638806532749</v>
      </c>
      <c r="W289" s="531"/>
      <c r="Y289" s="272" t="s">
        <v>598</v>
      </c>
      <c r="Z289" s="256" t="s">
        <v>598</v>
      </c>
    </row>
    <row r="290" spans="1:26" ht="11.25" customHeight="1">
      <c r="A290" s="528" t="s">
        <v>606</v>
      </c>
      <c r="B290" s="1013" t="s">
        <v>127</v>
      </c>
      <c r="C290" s="728"/>
      <c r="D290" s="649" t="s">
        <v>288</v>
      </c>
      <c r="E290" s="729" t="s">
        <v>288</v>
      </c>
      <c r="F290" s="103">
        <f>SUM('[3]chd 1-SAOB'!AH14)</f>
        <v>0</v>
      </c>
      <c r="G290" s="103">
        <f>SUM('[3]chd 1-SAOB'!AH50)</f>
        <v>0</v>
      </c>
      <c r="H290" s="103">
        <f>SUM('[3]chd 1-SAOB'!AH142)</f>
        <v>0</v>
      </c>
      <c r="I290" s="103">
        <f t="shared" si="78"/>
        <v>0</v>
      </c>
      <c r="J290" s="103">
        <f>SUM('[3]chd 1-SAOB'!AH15)</f>
        <v>0</v>
      </c>
      <c r="K290" s="103">
        <f>SUM('[3]chd 1-SAOB'!AH51)</f>
        <v>0</v>
      </c>
      <c r="L290" s="103">
        <f>SUM('[3]chd 1-SAOB'!AH143)</f>
        <v>0</v>
      </c>
      <c r="M290" s="103">
        <f t="shared" si="79"/>
        <v>0</v>
      </c>
      <c r="N290" s="103">
        <f t="shared" si="94"/>
        <v>0</v>
      </c>
      <c r="O290" s="103">
        <f t="shared" si="94"/>
        <v>0</v>
      </c>
      <c r="P290" s="103">
        <f t="shared" si="94"/>
        <v>0</v>
      </c>
      <c r="Q290" s="103">
        <f t="shared" si="95"/>
        <v>0</v>
      </c>
      <c r="S290" s="730" t="str">
        <f t="shared" si="104"/>
        <v/>
      </c>
      <c r="T290" s="730" t="str">
        <f t="shared" si="104"/>
        <v/>
      </c>
      <c r="U290" s="730" t="str">
        <f t="shared" si="104"/>
        <v/>
      </c>
      <c r="V290" s="730" t="str">
        <f t="shared" si="104"/>
        <v/>
      </c>
      <c r="W290" s="531"/>
      <c r="X290" s="236"/>
      <c r="Y290" s="236" t="s">
        <v>598</v>
      </c>
      <c r="Z290" s="236"/>
    </row>
    <row r="291" spans="1:26" ht="11.25" customHeight="1">
      <c r="A291" s="528" t="s">
        <v>606</v>
      </c>
      <c r="B291" s="1013" t="s">
        <v>127</v>
      </c>
      <c r="C291" s="728"/>
      <c r="D291" s="649" t="s">
        <v>761</v>
      </c>
      <c r="E291" s="729" t="s">
        <v>761</v>
      </c>
      <c r="F291" s="103">
        <f>+'[3]chd 1-SAOB'!C407</f>
        <v>2300000</v>
      </c>
      <c r="G291" s="103"/>
      <c r="H291" s="103"/>
      <c r="I291" s="103">
        <f>SUM(F291:H291)</f>
        <v>2300000</v>
      </c>
      <c r="J291" s="103">
        <f>+'[3]chd 1-SAOB'!G407</f>
        <v>2125000</v>
      </c>
      <c r="K291" s="103"/>
      <c r="L291" s="103"/>
      <c r="M291" s="103">
        <f>SUM(J291:L291)</f>
        <v>2125000</v>
      </c>
      <c r="N291" s="103">
        <f t="shared" si="94"/>
        <v>175000</v>
      </c>
      <c r="O291" s="103">
        <f t="shared" si="94"/>
        <v>0</v>
      </c>
      <c r="P291" s="103">
        <f t="shared" si="94"/>
        <v>0</v>
      </c>
      <c r="Q291" s="103">
        <f>SUM(N291:P291)</f>
        <v>175000</v>
      </c>
      <c r="S291" s="730">
        <f t="shared" si="104"/>
        <v>0.92391304347826086</v>
      </c>
      <c r="T291" s="730" t="str">
        <f t="shared" si="104"/>
        <v/>
      </c>
      <c r="U291" s="730" t="str">
        <f t="shared" si="104"/>
        <v/>
      </c>
      <c r="V291" s="730">
        <f t="shared" si="104"/>
        <v>0.92391304347826086</v>
      </c>
      <c r="W291" s="531"/>
      <c r="X291" s="236"/>
      <c r="Y291" s="236" t="s">
        <v>688</v>
      </c>
      <c r="Z291" s="236"/>
    </row>
    <row r="292" spans="1:26" ht="11.25" customHeight="1">
      <c r="A292" s="528" t="s">
        <v>606</v>
      </c>
      <c r="B292" s="1013" t="s">
        <v>127</v>
      </c>
      <c r="C292" s="411"/>
      <c r="D292" s="647"/>
      <c r="E292" s="1014" t="s">
        <v>764</v>
      </c>
      <c r="F292" s="104"/>
      <c r="G292" s="104"/>
      <c r="H292" s="104"/>
      <c r="I292" s="103"/>
      <c r="J292" s="104"/>
      <c r="K292" s="104"/>
      <c r="L292" s="104"/>
      <c r="M292" s="103"/>
      <c r="N292" s="103"/>
      <c r="O292" s="103"/>
      <c r="P292" s="103"/>
      <c r="Q292" s="103"/>
      <c r="S292" s="730" t="str">
        <f t="shared" si="104"/>
        <v/>
      </c>
      <c r="T292" s="730" t="str">
        <f t="shared" si="104"/>
        <v/>
      </c>
      <c r="U292" s="730" t="str">
        <f t="shared" si="104"/>
        <v/>
      </c>
      <c r="V292" s="730" t="str">
        <f t="shared" si="104"/>
        <v/>
      </c>
      <c r="W292" s="531"/>
      <c r="X292" s="236"/>
      <c r="Y292" s="236" t="s">
        <v>688</v>
      </c>
      <c r="Z292" s="240"/>
    </row>
    <row r="293" spans="1:26" ht="11.25" customHeight="1">
      <c r="A293" s="528" t="s">
        <v>606</v>
      </c>
      <c r="B293" s="1013" t="s">
        <v>127</v>
      </c>
      <c r="C293" s="728"/>
      <c r="D293" s="649" t="s">
        <v>289</v>
      </c>
      <c r="E293" s="729" t="s">
        <v>289</v>
      </c>
      <c r="F293" s="103">
        <f>SUM('[3]chd 1-SAOB'!AM14)</f>
        <v>1685305</v>
      </c>
      <c r="G293" s="103">
        <f>SUM('[3]chd 1-SAOB'!AM50)</f>
        <v>0</v>
      </c>
      <c r="H293" s="103">
        <f>SUM('[3]chd 1-SAOB'!AM142)</f>
        <v>0</v>
      </c>
      <c r="I293" s="103">
        <f t="shared" si="78"/>
        <v>1685305</v>
      </c>
      <c r="J293" s="103">
        <f>SUM('[3]chd 1-SAOB'!AM15)</f>
        <v>1685298.8599999999</v>
      </c>
      <c r="K293" s="103">
        <f>SUM('[3]chd 1-SAOB'!AM51)</f>
        <v>0</v>
      </c>
      <c r="L293" s="103">
        <f>SUM('[3]chd 1-SAOB'!AM143)</f>
        <v>0</v>
      </c>
      <c r="M293" s="103">
        <f t="shared" si="79"/>
        <v>1685298.8599999999</v>
      </c>
      <c r="N293" s="103">
        <f t="shared" si="94"/>
        <v>6.1400000001303852</v>
      </c>
      <c r="O293" s="103">
        <f t="shared" si="94"/>
        <v>0</v>
      </c>
      <c r="P293" s="103">
        <f t="shared" si="94"/>
        <v>0</v>
      </c>
      <c r="Q293" s="103">
        <f t="shared" si="95"/>
        <v>6.1400000001303852</v>
      </c>
      <c r="R293" s="95">
        <f>Q293-'[3]chd 1-SAOB'!AM179</f>
        <v>0</v>
      </c>
      <c r="S293" s="730">
        <f t="shared" si="104"/>
        <v>0.99999635674254805</v>
      </c>
      <c r="T293" s="730" t="str">
        <f t="shared" si="104"/>
        <v/>
      </c>
      <c r="U293" s="730" t="str">
        <f t="shared" si="104"/>
        <v/>
      </c>
      <c r="V293" s="730">
        <f t="shared" si="104"/>
        <v>0.99999635674254805</v>
      </c>
      <c r="W293" s="531"/>
      <c r="X293" s="236"/>
      <c r="Y293" s="236" t="s">
        <v>598</v>
      </c>
      <c r="Z293" s="236"/>
    </row>
    <row r="294" spans="1:26" ht="11.25" customHeight="1">
      <c r="A294" s="528" t="s">
        <v>606</v>
      </c>
      <c r="B294" s="1013" t="s">
        <v>127</v>
      </c>
      <c r="C294" s="728"/>
      <c r="D294" s="649" t="s">
        <v>290</v>
      </c>
      <c r="E294" s="729" t="s">
        <v>290</v>
      </c>
      <c r="F294" s="103">
        <f>SUM('[3]chd 1-SAOB'!AR14)</f>
        <v>0</v>
      </c>
      <c r="G294" s="103">
        <f>SUM('[3]chd 1-SAOB'!AR50)</f>
        <v>4000000</v>
      </c>
      <c r="H294" s="103">
        <f>SUM('[3]chd 1-SAOB'!AR142)</f>
        <v>0</v>
      </c>
      <c r="I294" s="103">
        <f t="shared" si="78"/>
        <v>4000000</v>
      </c>
      <c r="J294" s="103">
        <f>SUM('[3]chd 1-SAOB'!AR15)</f>
        <v>0</v>
      </c>
      <c r="K294" s="103">
        <f>SUM('[3]chd 1-SAOB'!AR51)</f>
        <v>3925576.1999999997</v>
      </c>
      <c r="L294" s="103">
        <f>SUM('[3]chd 1-SAOB'!AR143)</f>
        <v>0</v>
      </c>
      <c r="M294" s="103">
        <f t="shared" si="79"/>
        <v>3925576.1999999997</v>
      </c>
      <c r="N294" s="103">
        <f t="shared" si="94"/>
        <v>0</v>
      </c>
      <c r="O294" s="103">
        <f t="shared" si="94"/>
        <v>74423.800000000279</v>
      </c>
      <c r="P294" s="103">
        <f t="shared" si="94"/>
        <v>0</v>
      </c>
      <c r="Q294" s="103">
        <f t="shared" si="95"/>
        <v>74423.800000000279</v>
      </c>
      <c r="R294" s="95">
        <f>Q294-'[3]chd 1-SAOB'!AR179</f>
        <v>0</v>
      </c>
      <c r="S294" s="730" t="str">
        <f t="shared" si="104"/>
        <v/>
      </c>
      <c r="T294" s="730">
        <f t="shared" si="104"/>
        <v>0.98139404999999991</v>
      </c>
      <c r="U294" s="730" t="str">
        <f t="shared" si="104"/>
        <v/>
      </c>
      <c r="V294" s="730">
        <f t="shared" si="104"/>
        <v>0.98139404999999991</v>
      </c>
      <c r="W294" s="531"/>
      <c r="X294" s="236"/>
      <c r="Y294" s="236" t="s">
        <v>598</v>
      </c>
      <c r="Z294" s="236"/>
    </row>
    <row r="295" spans="1:26" s="259" customFormat="1" ht="11.25" customHeight="1">
      <c r="A295" s="246" t="s">
        <v>606</v>
      </c>
      <c r="B295" s="235" t="s">
        <v>127</v>
      </c>
      <c r="C295" s="656"/>
      <c r="D295" s="656"/>
      <c r="E295" s="657" t="s">
        <v>4</v>
      </c>
      <c r="F295" s="652">
        <f>+F285+F287+F289</f>
        <v>131200305</v>
      </c>
      <c r="G295" s="652">
        <f t="shared" ref="G295:M295" si="108">+G285+G287+G289</f>
        <v>51501870</v>
      </c>
      <c r="H295" s="652">
        <f t="shared" si="108"/>
        <v>0</v>
      </c>
      <c r="I295" s="652">
        <f t="shared" si="108"/>
        <v>182702175</v>
      </c>
      <c r="J295" s="652">
        <f t="shared" si="108"/>
        <v>121277988.27999999</v>
      </c>
      <c r="K295" s="652">
        <f t="shared" si="108"/>
        <v>47836763.200000003</v>
      </c>
      <c r="L295" s="652">
        <f t="shared" si="108"/>
        <v>0</v>
      </c>
      <c r="M295" s="652">
        <f t="shared" si="108"/>
        <v>169114751.47999999</v>
      </c>
      <c r="N295" s="652">
        <f t="shared" si="94"/>
        <v>9922316.7200000137</v>
      </c>
      <c r="O295" s="652">
        <f t="shared" si="94"/>
        <v>3665106.799999997</v>
      </c>
      <c r="P295" s="652">
        <f t="shared" si="94"/>
        <v>0</v>
      </c>
      <c r="Q295" s="652">
        <f t="shared" si="95"/>
        <v>13587423.520000011</v>
      </c>
      <c r="R295" s="653">
        <f>Q295-'[3]chd 1-SAOB'!BP179</f>
        <v>0</v>
      </c>
      <c r="S295" s="1008">
        <f t="shared" si="104"/>
        <v>0.92437276178588146</v>
      </c>
      <c r="T295" s="1008">
        <f t="shared" si="104"/>
        <v>0.92883546170265274</v>
      </c>
      <c r="U295" s="1008" t="str">
        <f t="shared" si="104"/>
        <v/>
      </c>
      <c r="V295" s="1008">
        <f t="shared" si="104"/>
        <v>0.92563075113911475</v>
      </c>
      <c r="W295" s="254"/>
      <c r="X295" s="520"/>
      <c r="Y295" s="610" t="s">
        <v>598</v>
      </c>
      <c r="Z295" s="241" t="s">
        <v>598</v>
      </c>
    </row>
    <row r="296" spans="1:26" s="660" customFormat="1" ht="15.75" hidden="1" customHeight="1">
      <c r="A296" s="246" t="s">
        <v>606</v>
      </c>
      <c r="B296" s="1009" t="s">
        <v>127</v>
      </c>
      <c r="C296" s="1428" t="s">
        <v>605</v>
      </c>
      <c r="D296" s="1429"/>
      <c r="E296" s="1430"/>
      <c r="F296" s="659">
        <f>+F265+F280+F295</f>
        <v>361640886</v>
      </c>
      <c r="G296" s="659">
        <f>+G265+G280+G295</f>
        <v>187982870</v>
      </c>
      <c r="H296" s="659">
        <f>+H265+H280+H295</f>
        <v>282630229</v>
      </c>
      <c r="I296" s="659">
        <f t="shared" si="78"/>
        <v>832253985</v>
      </c>
      <c r="J296" s="659">
        <f>+J265+J280+J295</f>
        <v>332201881.25999999</v>
      </c>
      <c r="K296" s="659">
        <f>+K265+K280+K295</f>
        <v>167513071.79000002</v>
      </c>
      <c r="L296" s="659">
        <f>+L265+L280+L295</f>
        <v>278863532.95000005</v>
      </c>
      <c r="M296" s="659">
        <f t="shared" si="79"/>
        <v>778578486</v>
      </c>
      <c r="N296" s="659">
        <f t="shared" si="94"/>
        <v>29439004.74000001</v>
      </c>
      <c r="O296" s="659">
        <f t="shared" si="94"/>
        <v>20469798.209999979</v>
      </c>
      <c r="P296" s="659">
        <f t="shared" si="94"/>
        <v>3766696.0499999523</v>
      </c>
      <c r="Q296" s="659">
        <f t="shared" si="95"/>
        <v>53675498.99999994</v>
      </c>
      <c r="S296" s="1015">
        <f t="shared" si="104"/>
        <v>0.91859602749673608</v>
      </c>
      <c r="T296" s="1015">
        <f t="shared" si="104"/>
        <v>0.89110817272871734</v>
      </c>
      <c r="U296" s="1015">
        <f t="shared" si="104"/>
        <v>0.98667270637211302</v>
      </c>
      <c r="V296" s="1015">
        <f t="shared" si="104"/>
        <v>0.93550586723835272</v>
      </c>
      <c r="W296" s="254"/>
    </row>
    <row r="297" spans="1:26" ht="11.25" hidden="1" customHeight="1">
      <c r="A297" s="246" t="s">
        <v>606</v>
      </c>
      <c r="B297" s="235" t="s">
        <v>607</v>
      </c>
      <c r="C297" s="1016"/>
      <c r="D297" s="386"/>
      <c r="E297" s="461"/>
      <c r="F297" s="103"/>
      <c r="G297" s="103"/>
      <c r="H297" s="103"/>
      <c r="I297" s="103">
        <f t="shared" si="78"/>
        <v>0</v>
      </c>
      <c r="J297" s="103"/>
      <c r="K297" s="103"/>
      <c r="L297" s="103"/>
      <c r="M297" s="103">
        <f t="shared" si="79"/>
        <v>0</v>
      </c>
      <c r="N297" s="103">
        <f t="shared" si="94"/>
        <v>0</v>
      </c>
      <c r="O297" s="103">
        <f t="shared" si="94"/>
        <v>0</v>
      </c>
      <c r="P297" s="103">
        <f t="shared" si="94"/>
        <v>0</v>
      </c>
      <c r="Q297" s="103">
        <f t="shared" si="95"/>
        <v>0</v>
      </c>
      <c r="R297" s="236"/>
      <c r="S297" s="730" t="str">
        <f t="shared" si="104"/>
        <v/>
      </c>
      <c r="T297" s="730" t="str">
        <f t="shared" si="104"/>
        <v/>
      </c>
      <c r="U297" s="730" t="str">
        <f t="shared" si="104"/>
        <v/>
      </c>
      <c r="V297" s="730" t="str">
        <f t="shared" si="104"/>
        <v/>
      </c>
      <c r="W297" s="254"/>
      <c r="X297" s="520" t="s">
        <v>598</v>
      </c>
      <c r="Z297" s="241" t="s">
        <v>598</v>
      </c>
    </row>
    <row r="298" spans="1:26" s="275" customFormat="1" ht="11.25" hidden="1" customHeight="1">
      <c r="A298" s="246" t="s">
        <v>606</v>
      </c>
      <c r="B298" s="246" t="s">
        <v>607</v>
      </c>
      <c r="C298" s="407" t="s">
        <v>791</v>
      </c>
      <c r="D298" s="407"/>
      <c r="E298" s="408"/>
      <c r="F298" s="409"/>
      <c r="G298" s="409"/>
      <c r="H298" s="409"/>
      <c r="I298" s="409">
        <f>SUM(F298:H298)</f>
        <v>0</v>
      </c>
      <c r="J298" s="409"/>
      <c r="K298" s="409"/>
      <c r="L298" s="409"/>
      <c r="M298" s="409">
        <f>SUM(J298:L298)</f>
        <v>0</v>
      </c>
      <c r="N298" s="409">
        <f t="shared" si="94"/>
        <v>0</v>
      </c>
      <c r="O298" s="409">
        <f t="shared" si="94"/>
        <v>0</v>
      </c>
      <c r="P298" s="409">
        <f t="shared" si="94"/>
        <v>0</v>
      </c>
      <c r="Q298" s="409">
        <f t="shared" si="95"/>
        <v>0</v>
      </c>
      <c r="R298" s="522"/>
      <c r="S298" s="254" t="str">
        <f t="shared" si="104"/>
        <v/>
      </c>
      <c r="T298" s="254" t="str">
        <f t="shared" si="104"/>
        <v/>
      </c>
      <c r="U298" s="254" t="str">
        <f t="shared" si="104"/>
        <v/>
      </c>
      <c r="V298" s="1002" t="str">
        <f t="shared" si="104"/>
        <v/>
      </c>
      <c r="W298" s="254"/>
      <c r="X298" s="274" t="s">
        <v>598</v>
      </c>
      <c r="Y298" s="663"/>
      <c r="Z298" s="253"/>
    </row>
    <row r="299" spans="1:26" ht="11.25" hidden="1" customHeight="1">
      <c r="A299" s="246" t="s">
        <v>606</v>
      </c>
      <c r="B299" s="235" t="s">
        <v>607</v>
      </c>
      <c r="C299" s="461"/>
      <c r="D299" s="664" t="s">
        <v>766</v>
      </c>
      <c r="E299" s="447" t="s">
        <v>766</v>
      </c>
      <c r="F299" s="103">
        <f>+F234+F253+F268+F283</f>
        <v>408702000</v>
      </c>
      <c r="G299" s="103">
        <f>+G234+G253+G268+G283</f>
        <v>248619000</v>
      </c>
      <c r="H299" s="103">
        <f>+H234+H253+H268+H283</f>
        <v>0</v>
      </c>
      <c r="I299" s="103">
        <f>SUM(F299:H299)</f>
        <v>657321000</v>
      </c>
      <c r="J299" s="103">
        <f>+J234+J253+J268+J283</f>
        <v>371304829.38999999</v>
      </c>
      <c r="K299" s="103">
        <f>+K234+K253+K268+K283</f>
        <v>206249063</v>
      </c>
      <c r="L299" s="103">
        <f>+L234+L253+L268+L283</f>
        <v>0</v>
      </c>
      <c r="M299" s="103">
        <f>SUM(J299:L299)</f>
        <v>577553892.38999999</v>
      </c>
      <c r="N299" s="103">
        <f t="shared" si="94"/>
        <v>37397170.610000014</v>
      </c>
      <c r="O299" s="103">
        <f t="shared" si="94"/>
        <v>42369937</v>
      </c>
      <c r="P299" s="103">
        <f t="shared" si="94"/>
        <v>0</v>
      </c>
      <c r="Q299" s="103">
        <f t="shared" si="95"/>
        <v>79767107.610000014</v>
      </c>
      <c r="R299" s="276">
        <f>Q299-'[3]chd 1-SAOB'!J179</f>
        <v>0</v>
      </c>
      <c r="S299" s="730">
        <f t="shared" si="104"/>
        <v>0.90849770588350431</v>
      </c>
      <c r="T299" s="730">
        <f t="shared" si="104"/>
        <v>0.82957884554277828</v>
      </c>
      <c r="U299" s="730" t="str">
        <f t="shared" si="104"/>
        <v/>
      </c>
      <c r="V299" s="730">
        <f t="shared" si="104"/>
        <v>0.87864816792708578</v>
      </c>
      <c r="W299" s="254"/>
      <c r="X299" s="237" t="s">
        <v>598</v>
      </c>
    </row>
    <row r="300" spans="1:26" ht="11.25" hidden="1" customHeight="1">
      <c r="A300" s="246" t="s">
        <v>606</v>
      </c>
      <c r="B300" s="235" t="s">
        <v>607</v>
      </c>
      <c r="C300" s="728"/>
      <c r="D300" s="394" t="s">
        <v>50</v>
      </c>
      <c r="E300" s="447" t="s">
        <v>50</v>
      </c>
      <c r="F300" s="103">
        <f>+F238+F254+F269+F284</f>
        <v>0</v>
      </c>
      <c r="G300" s="103">
        <f>+G238+G254+G269+G284</f>
        <v>217675441</v>
      </c>
      <c r="H300" s="103">
        <f>+H238+H254+H269+H284</f>
        <v>298230229</v>
      </c>
      <c r="I300" s="103">
        <f>SUM(F300:H300)</f>
        <v>515905670</v>
      </c>
      <c r="J300" s="103">
        <f>+J238+J254+J269+J284</f>
        <v>0</v>
      </c>
      <c r="K300" s="103">
        <f>+K238+K254+K269+K284</f>
        <v>181987002.38</v>
      </c>
      <c r="L300" s="103">
        <f>+L238+L254+L269+L284</f>
        <v>294070135.32000005</v>
      </c>
      <c r="M300" s="103">
        <f>SUM(J300:L300)</f>
        <v>476057137.70000005</v>
      </c>
      <c r="N300" s="103">
        <f t="shared" si="94"/>
        <v>0</v>
      </c>
      <c r="O300" s="103">
        <f t="shared" si="94"/>
        <v>35688438.620000005</v>
      </c>
      <c r="P300" s="103">
        <f t="shared" si="94"/>
        <v>4160093.6799999475</v>
      </c>
      <c r="Q300" s="103">
        <f t="shared" si="95"/>
        <v>39848532.299999952</v>
      </c>
      <c r="R300" s="276">
        <f>Q300-'[3]chd 1-SAOB'!Y179+Q307</f>
        <v>-2.9802322387695313E-8</v>
      </c>
      <c r="S300" s="730" t="str">
        <f t="shared" si="104"/>
        <v/>
      </c>
      <c r="T300" s="730">
        <f t="shared" si="104"/>
        <v>0.8360474729898445</v>
      </c>
      <c r="U300" s="730">
        <f t="shared" si="104"/>
        <v>0.98605073102767204</v>
      </c>
      <c r="V300" s="730">
        <f t="shared" si="104"/>
        <v>0.92276004196658679</v>
      </c>
      <c r="W300" s="254"/>
      <c r="X300" s="237" t="s">
        <v>598</v>
      </c>
    </row>
    <row r="301" spans="1:26" s="256" customFormat="1" ht="11.25" hidden="1" customHeight="1">
      <c r="A301" s="246" t="s">
        <v>606</v>
      </c>
      <c r="B301" s="246" t="s">
        <v>607</v>
      </c>
      <c r="C301" s="389"/>
      <c r="D301" s="389" t="s">
        <v>98</v>
      </c>
      <c r="E301" s="390" t="s">
        <v>767</v>
      </c>
      <c r="F301" s="391">
        <f>+F299+F300</f>
        <v>408702000</v>
      </c>
      <c r="G301" s="391">
        <f t="shared" ref="G301:M301" si="109">+G299+G300</f>
        <v>466294441</v>
      </c>
      <c r="H301" s="391">
        <f t="shared" si="109"/>
        <v>298230229</v>
      </c>
      <c r="I301" s="391">
        <f t="shared" si="109"/>
        <v>1173226670</v>
      </c>
      <c r="J301" s="391">
        <f t="shared" si="109"/>
        <v>371304829.38999999</v>
      </c>
      <c r="K301" s="391">
        <f t="shared" si="109"/>
        <v>388236065.38</v>
      </c>
      <c r="L301" s="391">
        <f t="shared" si="109"/>
        <v>294070135.32000005</v>
      </c>
      <c r="M301" s="391">
        <f t="shared" si="109"/>
        <v>1053611030.09</v>
      </c>
      <c r="N301" s="391">
        <f t="shared" si="94"/>
        <v>37397170.610000014</v>
      </c>
      <c r="O301" s="391">
        <f t="shared" si="94"/>
        <v>78058375.620000005</v>
      </c>
      <c r="P301" s="391">
        <f t="shared" si="94"/>
        <v>4160093.6799999475</v>
      </c>
      <c r="Q301" s="391">
        <f t="shared" si="95"/>
        <v>119615639.90999997</v>
      </c>
      <c r="R301" s="665"/>
      <c r="S301" s="254">
        <f t="shared" si="104"/>
        <v>0.90849770588350431</v>
      </c>
      <c r="T301" s="254">
        <f t="shared" si="104"/>
        <v>0.8325985284049312</v>
      </c>
      <c r="U301" s="254">
        <f t="shared" si="104"/>
        <v>0.98605073102767204</v>
      </c>
      <c r="V301" s="297">
        <f t="shared" si="104"/>
        <v>0.89804558405580737</v>
      </c>
      <c r="W301" s="254"/>
      <c r="X301" s="271" t="s">
        <v>598</v>
      </c>
      <c r="Y301" s="628"/>
      <c r="Z301" s="255"/>
    </row>
    <row r="302" spans="1:26" ht="11.25" hidden="1" customHeight="1">
      <c r="A302" s="246" t="s">
        <v>606</v>
      </c>
      <c r="B302" s="235" t="s">
        <v>607</v>
      </c>
      <c r="C302" s="410"/>
      <c r="D302" s="396"/>
      <c r="E302" s="806"/>
      <c r="F302" s="807"/>
      <c r="G302" s="807"/>
      <c r="H302" s="807"/>
      <c r="I302" s="807"/>
      <c r="J302" s="807"/>
      <c r="K302" s="807"/>
      <c r="L302" s="807"/>
      <c r="M302" s="807"/>
      <c r="N302" s="807">
        <f t="shared" si="94"/>
        <v>0</v>
      </c>
      <c r="O302" s="807">
        <f t="shared" si="94"/>
        <v>0</v>
      </c>
      <c r="P302" s="807">
        <f t="shared" si="94"/>
        <v>0</v>
      </c>
      <c r="Q302" s="807">
        <f t="shared" si="95"/>
        <v>0</v>
      </c>
      <c r="R302" s="276"/>
      <c r="S302" s="730" t="str">
        <f t="shared" si="104"/>
        <v/>
      </c>
      <c r="T302" s="730" t="str">
        <f t="shared" si="104"/>
        <v/>
      </c>
      <c r="U302" s="730" t="str">
        <f t="shared" si="104"/>
        <v/>
      </c>
      <c r="V302" s="730" t="str">
        <f t="shared" si="104"/>
        <v/>
      </c>
      <c r="W302" s="254"/>
      <c r="X302" s="237" t="s">
        <v>598</v>
      </c>
    </row>
    <row r="303" spans="1:26" s="256" customFormat="1" ht="11.25" hidden="1" customHeight="1">
      <c r="A303" s="246" t="s">
        <v>606</v>
      </c>
      <c r="B303" s="246" t="s">
        <v>607</v>
      </c>
      <c r="C303" s="389"/>
      <c r="D303" s="389" t="s">
        <v>98</v>
      </c>
      <c r="E303" s="390" t="s">
        <v>99</v>
      </c>
      <c r="F303" s="391">
        <f>+F304</f>
        <v>38032000</v>
      </c>
      <c r="G303" s="391">
        <f t="shared" ref="G303:M303" si="110">+G304</f>
        <v>0</v>
      </c>
      <c r="H303" s="391">
        <f t="shared" si="110"/>
        <v>0</v>
      </c>
      <c r="I303" s="391">
        <f t="shared" si="110"/>
        <v>38032000</v>
      </c>
      <c r="J303" s="391">
        <f t="shared" si="110"/>
        <v>33352266.199999999</v>
      </c>
      <c r="K303" s="391">
        <f t="shared" si="110"/>
        <v>0</v>
      </c>
      <c r="L303" s="391">
        <f t="shared" si="110"/>
        <v>0</v>
      </c>
      <c r="M303" s="391">
        <f t="shared" si="110"/>
        <v>33352266.199999999</v>
      </c>
      <c r="N303" s="391">
        <f t="shared" si="94"/>
        <v>4679733.8000000007</v>
      </c>
      <c r="O303" s="391">
        <f t="shared" si="94"/>
        <v>0</v>
      </c>
      <c r="P303" s="391">
        <f t="shared" si="94"/>
        <v>0</v>
      </c>
      <c r="Q303" s="391">
        <f t="shared" si="95"/>
        <v>4679733.8000000007</v>
      </c>
      <c r="R303" s="665"/>
      <c r="S303" s="254">
        <f t="shared" si="104"/>
        <v>0.87695272928060575</v>
      </c>
      <c r="T303" s="254" t="str">
        <f t="shared" si="104"/>
        <v/>
      </c>
      <c r="U303" s="254" t="str">
        <f t="shared" si="104"/>
        <v/>
      </c>
      <c r="V303" s="297">
        <f t="shared" si="104"/>
        <v>0.87695272928060575</v>
      </c>
      <c r="W303" s="254"/>
      <c r="X303" s="271" t="s">
        <v>598</v>
      </c>
      <c r="Y303" s="628"/>
      <c r="Z303" s="255"/>
    </row>
    <row r="304" spans="1:26" ht="11.25" hidden="1" customHeight="1">
      <c r="A304" s="246" t="s">
        <v>606</v>
      </c>
      <c r="B304" s="235" t="s">
        <v>607</v>
      </c>
      <c r="C304" s="728"/>
      <c r="D304" s="394" t="s">
        <v>286</v>
      </c>
      <c r="E304" s="729" t="s">
        <v>286</v>
      </c>
      <c r="F304" s="103">
        <f>+F242+F258+F273+F288</f>
        <v>38032000</v>
      </c>
      <c r="G304" s="103">
        <f>+G242+G258+G273+G288</f>
        <v>0</v>
      </c>
      <c r="H304" s="103">
        <f>+H242+H258+H273+H288</f>
        <v>0</v>
      </c>
      <c r="I304" s="103">
        <f>SUM(F304:H304)</f>
        <v>38032000</v>
      </c>
      <c r="J304" s="103">
        <f>+J242+J258+J273+J288</f>
        <v>33352266.199999999</v>
      </c>
      <c r="K304" s="103">
        <f>+K242+K258+K273+K288</f>
        <v>0</v>
      </c>
      <c r="L304" s="103">
        <f>+L242+L258+L273+L288</f>
        <v>0</v>
      </c>
      <c r="M304" s="103">
        <f>SUM(J304:L304)</f>
        <v>33352266.199999999</v>
      </c>
      <c r="N304" s="103">
        <f t="shared" si="94"/>
        <v>4679733.8000000007</v>
      </c>
      <c r="O304" s="103">
        <f t="shared" si="94"/>
        <v>0</v>
      </c>
      <c r="P304" s="103">
        <f t="shared" si="94"/>
        <v>0</v>
      </c>
      <c r="Q304" s="103">
        <f t="shared" si="95"/>
        <v>4679733.8000000007</v>
      </c>
      <c r="R304" s="276"/>
      <c r="S304" s="730">
        <f t="shared" si="104"/>
        <v>0.87695272928060575</v>
      </c>
      <c r="T304" s="730" t="str">
        <f t="shared" si="104"/>
        <v/>
      </c>
      <c r="U304" s="730" t="str">
        <f t="shared" si="104"/>
        <v/>
      </c>
      <c r="V304" s="730">
        <f t="shared" si="104"/>
        <v>0.87695272928060575</v>
      </c>
      <c r="W304" s="254"/>
      <c r="X304" s="237" t="s">
        <v>598</v>
      </c>
    </row>
    <row r="305" spans="1:26" s="272" customFormat="1" ht="11.25" hidden="1" customHeight="1">
      <c r="A305" s="246" t="s">
        <v>606</v>
      </c>
      <c r="B305" s="246" t="s">
        <v>607</v>
      </c>
      <c r="C305" s="389"/>
      <c r="D305" s="389" t="s">
        <v>98</v>
      </c>
      <c r="E305" s="390" t="s">
        <v>100</v>
      </c>
      <c r="F305" s="391">
        <f t="shared" ref="F305:M305" si="111">SUM(F306:F310)</f>
        <v>21285824</v>
      </c>
      <c r="G305" s="391">
        <f t="shared" si="111"/>
        <v>8810000</v>
      </c>
      <c r="H305" s="391">
        <f t="shared" si="111"/>
        <v>0</v>
      </c>
      <c r="I305" s="391">
        <f t="shared" si="111"/>
        <v>30095824</v>
      </c>
      <c r="J305" s="391">
        <f t="shared" si="111"/>
        <v>21110807.82</v>
      </c>
      <c r="K305" s="391">
        <f t="shared" si="111"/>
        <v>7327724.5800000001</v>
      </c>
      <c r="L305" s="391">
        <f t="shared" si="111"/>
        <v>0</v>
      </c>
      <c r="M305" s="391">
        <f t="shared" si="111"/>
        <v>28438532.399999999</v>
      </c>
      <c r="N305" s="391">
        <f t="shared" si="94"/>
        <v>175016.1799999997</v>
      </c>
      <c r="O305" s="391">
        <f t="shared" si="94"/>
        <v>1482275.42</v>
      </c>
      <c r="P305" s="391">
        <f t="shared" si="94"/>
        <v>0</v>
      </c>
      <c r="Q305" s="391">
        <f t="shared" si="95"/>
        <v>1657291.5999999996</v>
      </c>
      <c r="R305" s="94"/>
      <c r="S305" s="254">
        <f t="shared" si="104"/>
        <v>0.99177780573587382</v>
      </c>
      <c r="T305" s="254">
        <f t="shared" si="104"/>
        <v>0.83175080363223608</v>
      </c>
      <c r="U305" s="254" t="str">
        <f t="shared" si="104"/>
        <v/>
      </c>
      <c r="V305" s="297">
        <f t="shared" si="104"/>
        <v>0.94493283852271326</v>
      </c>
      <c r="W305" s="254"/>
      <c r="X305" s="527" t="s">
        <v>598</v>
      </c>
      <c r="Y305" s="629"/>
      <c r="Z305" s="277"/>
    </row>
    <row r="306" spans="1:26" ht="11.25" hidden="1" customHeight="1">
      <c r="A306" s="246" t="s">
        <v>606</v>
      </c>
      <c r="B306" s="235" t="s">
        <v>607</v>
      </c>
      <c r="C306" s="728"/>
      <c r="D306" s="394" t="s">
        <v>288</v>
      </c>
      <c r="E306" s="729" t="s">
        <v>288</v>
      </c>
      <c r="F306" s="103">
        <f t="shared" ref="F306:H307" si="112">+F244+F260+F275+F290</f>
        <v>0</v>
      </c>
      <c r="G306" s="103">
        <f t="shared" si="112"/>
        <v>0</v>
      </c>
      <c r="H306" s="103">
        <f t="shared" si="112"/>
        <v>0</v>
      </c>
      <c r="I306" s="103">
        <f>SUM(F306:H306)</f>
        <v>0</v>
      </c>
      <c r="J306" s="103">
        <f t="shared" ref="J306:L307" si="113">+J244+J260+J275+J290</f>
        <v>0</v>
      </c>
      <c r="K306" s="103">
        <f t="shared" si="113"/>
        <v>0</v>
      </c>
      <c r="L306" s="103">
        <f t="shared" si="113"/>
        <v>0</v>
      </c>
      <c r="M306" s="103">
        <f>SUM(J306:L306)</f>
        <v>0</v>
      </c>
      <c r="N306" s="103">
        <f t="shared" si="94"/>
        <v>0</v>
      </c>
      <c r="O306" s="103">
        <f t="shared" si="94"/>
        <v>0</v>
      </c>
      <c r="P306" s="103">
        <f t="shared" si="94"/>
        <v>0</v>
      </c>
      <c r="Q306" s="103">
        <f t="shared" si="95"/>
        <v>0</v>
      </c>
      <c r="R306" s="276">
        <f>Q306-'[3]chd 1-SAOB'!AI179</f>
        <v>0</v>
      </c>
      <c r="S306" s="730" t="str">
        <f t="shared" si="104"/>
        <v/>
      </c>
      <c r="T306" s="730" t="str">
        <f t="shared" si="104"/>
        <v/>
      </c>
      <c r="U306" s="730" t="str">
        <f t="shared" si="104"/>
        <v/>
      </c>
      <c r="V306" s="730" t="str">
        <f t="shared" si="104"/>
        <v/>
      </c>
      <c r="W306" s="254"/>
      <c r="X306" s="237" t="s">
        <v>598</v>
      </c>
    </row>
    <row r="307" spans="1:26" ht="11.25" hidden="1" customHeight="1">
      <c r="A307" s="246" t="s">
        <v>606</v>
      </c>
      <c r="B307" s="235" t="s">
        <v>607</v>
      </c>
      <c r="C307" s="728"/>
      <c r="D307" s="394" t="s">
        <v>761</v>
      </c>
      <c r="E307" s="729" t="s">
        <v>761</v>
      </c>
      <c r="F307" s="103">
        <f t="shared" si="112"/>
        <v>9123500</v>
      </c>
      <c r="G307" s="103">
        <f t="shared" si="112"/>
        <v>0</v>
      </c>
      <c r="H307" s="103">
        <f t="shared" si="112"/>
        <v>0</v>
      </c>
      <c r="I307" s="103">
        <f>SUM(F307:H307)</f>
        <v>9123500</v>
      </c>
      <c r="J307" s="103">
        <f t="shared" si="113"/>
        <v>8948500</v>
      </c>
      <c r="K307" s="103">
        <f t="shared" si="113"/>
        <v>0</v>
      </c>
      <c r="L307" s="103">
        <f t="shared" si="113"/>
        <v>0</v>
      </c>
      <c r="M307" s="103">
        <f>SUM(J307:L307)</f>
        <v>8948500</v>
      </c>
      <c r="N307" s="103">
        <f>+F307-J307</f>
        <v>175000</v>
      </c>
      <c r="O307" s="103">
        <f>+G307-K307</f>
        <v>0</v>
      </c>
      <c r="P307" s="103">
        <f>+H307-L307</f>
        <v>0</v>
      </c>
      <c r="Q307" s="103">
        <f>SUM(N307:P307)</f>
        <v>175000</v>
      </c>
      <c r="R307" s="236"/>
      <c r="S307" s="730">
        <f t="shared" si="104"/>
        <v>0.98081876472844853</v>
      </c>
      <c r="T307" s="730" t="str">
        <f t="shared" si="104"/>
        <v/>
      </c>
      <c r="U307" s="730" t="str">
        <f t="shared" si="104"/>
        <v/>
      </c>
      <c r="V307" s="730">
        <f t="shared" si="104"/>
        <v>0.98081876472844853</v>
      </c>
      <c r="W307" s="254"/>
      <c r="X307" s="237" t="s">
        <v>598</v>
      </c>
    </row>
    <row r="308" spans="1:26" ht="11.25" hidden="1" customHeight="1">
      <c r="A308" s="246" t="s">
        <v>606</v>
      </c>
      <c r="B308" s="235" t="s">
        <v>607</v>
      </c>
      <c r="C308" s="411"/>
      <c r="D308" s="386"/>
      <c r="E308" s="1014"/>
      <c r="F308" s="104"/>
      <c r="G308" s="104"/>
      <c r="H308" s="104"/>
      <c r="I308" s="103"/>
      <c r="J308" s="104"/>
      <c r="K308" s="104"/>
      <c r="L308" s="104"/>
      <c r="M308" s="103"/>
      <c r="N308" s="103"/>
      <c r="O308" s="103"/>
      <c r="P308" s="103"/>
      <c r="Q308" s="103"/>
      <c r="R308" s="236"/>
      <c r="S308" s="730" t="str">
        <f t="shared" si="104"/>
        <v/>
      </c>
      <c r="T308" s="730" t="str">
        <f t="shared" si="104"/>
        <v/>
      </c>
      <c r="U308" s="730" t="str">
        <f t="shared" si="104"/>
        <v/>
      </c>
      <c r="V308" s="730" t="str">
        <f t="shared" si="104"/>
        <v/>
      </c>
      <c r="W308" s="254"/>
      <c r="X308" s="237" t="s">
        <v>598</v>
      </c>
    </row>
    <row r="309" spans="1:26" ht="11.25" hidden="1" customHeight="1">
      <c r="A309" s="246" t="s">
        <v>606</v>
      </c>
      <c r="B309" s="235" t="s">
        <v>607</v>
      </c>
      <c r="C309" s="728"/>
      <c r="D309" s="394" t="s">
        <v>289</v>
      </c>
      <c r="E309" s="729" t="s">
        <v>289</v>
      </c>
      <c r="F309" s="103">
        <f t="shared" ref="F309:H310" si="114">+F247+F263+F278+F293</f>
        <v>12162324</v>
      </c>
      <c r="G309" s="103">
        <f t="shared" si="114"/>
        <v>0</v>
      </c>
      <c r="H309" s="103">
        <f t="shared" si="114"/>
        <v>0</v>
      </c>
      <c r="I309" s="103">
        <f>SUM(F309:H309)</f>
        <v>12162324</v>
      </c>
      <c r="J309" s="103">
        <f t="shared" ref="J309:L310" si="115">+J247+J263+J278+J293</f>
        <v>12162307.82</v>
      </c>
      <c r="K309" s="103">
        <f t="shared" si="115"/>
        <v>0</v>
      </c>
      <c r="L309" s="103">
        <f t="shared" si="115"/>
        <v>0</v>
      </c>
      <c r="M309" s="103">
        <f>SUM(J309:L309)</f>
        <v>12162307.82</v>
      </c>
      <c r="N309" s="103">
        <f t="shared" si="94"/>
        <v>16.179999999701977</v>
      </c>
      <c r="O309" s="103">
        <f t="shared" si="94"/>
        <v>0</v>
      </c>
      <c r="P309" s="103">
        <f t="shared" si="94"/>
        <v>0</v>
      </c>
      <c r="Q309" s="103">
        <f t="shared" si="95"/>
        <v>16.179999999701977</v>
      </c>
      <c r="R309" s="276">
        <f>Q309-'[3]chd 1-SAOB'!AN179</f>
        <v>0</v>
      </c>
      <c r="S309" s="730">
        <f t="shared" si="104"/>
        <v>0.99999866966214679</v>
      </c>
      <c r="T309" s="730" t="str">
        <f t="shared" si="104"/>
        <v/>
      </c>
      <c r="U309" s="730" t="str">
        <f t="shared" si="104"/>
        <v/>
      </c>
      <c r="V309" s="730">
        <f t="shared" si="104"/>
        <v>0.99999866966214679</v>
      </c>
      <c r="W309" s="254"/>
      <c r="X309" s="237" t="s">
        <v>598</v>
      </c>
    </row>
    <row r="310" spans="1:26" ht="11.25" hidden="1" customHeight="1">
      <c r="A310" s="246" t="s">
        <v>606</v>
      </c>
      <c r="B310" s="235" t="s">
        <v>607</v>
      </c>
      <c r="C310" s="728"/>
      <c r="D310" s="394" t="s">
        <v>290</v>
      </c>
      <c r="E310" s="729" t="s">
        <v>290</v>
      </c>
      <c r="F310" s="103">
        <f t="shared" si="114"/>
        <v>0</v>
      </c>
      <c r="G310" s="103">
        <f t="shared" si="114"/>
        <v>8810000</v>
      </c>
      <c r="H310" s="103">
        <f t="shared" si="114"/>
        <v>0</v>
      </c>
      <c r="I310" s="103">
        <f>SUM(F310:H310)</f>
        <v>8810000</v>
      </c>
      <c r="J310" s="103">
        <f t="shared" si="115"/>
        <v>0</v>
      </c>
      <c r="K310" s="103">
        <f t="shared" si="115"/>
        <v>7327724.5800000001</v>
      </c>
      <c r="L310" s="103">
        <f t="shared" si="115"/>
        <v>0</v>
      </c>
      <c r="M310" s="103">
        <f>SUM(J310:L310)</f>
        <v>7327724.5800000001</v>
      </c>
      <c r="N310" s="103">
        <f t="shared" si="94"/>
        <v>0</v>
      </c>
      <c r="O310" s="103">
        <f t="shared" si="94"/>
        <v>1482275.42</v>
      </c>
      <c r="P310" s="103">
        <f t="shared" si="94"/>
        <v>0</v>
      </c>
      <c r="Q310" s="103">
        <f t="shared" si="95"/>
        <v>1482275.42</v>
      </c>
      <c r="R310" s="276">
        <f>Q310-'[3]chd 1-SAOB'!AS179</f>
        <v>0</v>
      </c>
      <c r="S310" s="730" t="str">
        <f t="shared" si="104"/>
        <v/>
      </c>
      <c r="T310" s="730">
        <f t="shared" si="104"/>
        <v>0.83175080363223608</v>
      </c>
      <c r="U310" s="730" t="str">
        <f t="shared" si="104"/>
        <v/>
      </c>
      <c r="V310" s="730">
        <f t="shared" si="104"/>
        <v>0.83175080363223608</v>
      </c>
      <c r="W310" s="254"/>
      <c r="X310" s="237" t="s">
        <v>598</v>
      </c>
    </row>
    <row r="311" spans="1:26" s="266" customFormat="1" ht="18" customHeight="1">
      <c r="A311" s="246" t="s">
        <v>606</v>
      </c>
      <c r="B311" s="1009" t="s">
        <v>607</v>
      </c>
      <c r="C311" s="1431" t="s">
        <v>608</v>
      </c>
      <c r="D311" s="1432"/>
      <c r="E311" s="1433"/>
      <c r="F311" s="666">
        <f>+F305+F303+F301</f>
        <v>468019824</v>
      </c>
      <c r="G311" s="666">
        <f t="shared" ref="G311:M311" si="116">+G305+G303+G301</f>
        <v>475104441</v>
      </c>
      <c r="H311" s="666">
        <f t="shared" si="116"/>
        <v>298230229</v>
      </c>
      <c r="I311" s="666">
        <f t="shared" si="116"/>
        <v>1241354494</v>
      </c>
      <c r="J311" s="666">
        <f t="shared" si="116"/>
        <v>425767903.40999997</v>
      </c>
      <c r="K311" s="666">
        <f t="shared" si="116"/>
        <v>395563789.95999998</v>
      </c>
      <c r="L311" s="666">
        <f t="shared" si="116"/>
        <v>294070135.32000005</v>
      </c>
      <c r="M311" s="666">
        <f t="shared" si="116"/>
        <v>1115401828.6900001</v>
      </c>
      <c r="N311" s="666">
        <f t="shared" si="94"/>
        <v>42251920.590000033</v>
      </c>
      <c r="O311" s="666">
        <f t="shared" si="94"/>
        <v>79540651.040000021</v>
      </c>
      <c r="P311" s="666">
        <f t="shared" si="94"/>
        <v>4160093.6799999475</v>
      </c>
      <c r="Q311" s="666">
        <f t="shared" si="95"/>
        <v>125952665.31</v>
      </c>
      <c r="R311" s="667">
        <f>+Q311-'[3]chd 1-SAOB'!BQ179</f>
        <v>0</v>
      </c>
      <c r="S311" s="1010">
        <f t="shared" si="104"/>
        <v>0.90972194248335936</v>
      </c>
      <c r="T311" s="1010">
        <f t="shared" si="104"/>
        <v>0.83258280879761337</v>
      </c>
      <c r="U311" s="1010">
        <f t="shared" si="104"/>
        <v>0.98605073102767204</v>
      </c>
      <c r="V311" s="1010">
        <f t="shared" si="104"/>
        <v>0.89853610236335923</v>
      </c>
      <c r="W311" s="668"/>
      <c r="X311" s="237" t="s">
        <v>598</v>
      </c>
      <c r="Y311" s="610" t="s">
        <v>598</v>
      </c>
      <c r="Z311" s="241" t="s">
        <v>598</v>
      </c>
    </row>
    <row r="312" spans="1:26" ht="11.25" hidden="1" customHeight="1">
      <c r="A312" s="246"/>
      <c r="B312" s="235"/>
      <c r="C312" s="410"/>
      <c r="D312" s="386"/>
      <c r="E312" s="461"/>
      <c r="F312" s="104"/>
      <c r="G312" s="104"/>
      <c r="H312" s="104"/>
      <c r="I312" s="103"/>
      <c r="J312" s="104"/>
      <c r="K312" s="104"/>
      <c r="L312" s="104"/>
      <c r="M312" s="103"/>
      <c r="N312" s="103"/>
      <c r="O312" s="103"/>
      <c r="P312" s="103"/>
      <c r="Q312" s="103"/>
      <c r="S312" s="730" t="str">
        <f t="shared" si="104"/>
        <v/>
      </c>
      <c r="T312" s="730" t="str">
        <f t="shared" si="104"/>
        <v/>
      </c>
      <c r="U312" s="730" t="str">
        <f t="shared" si="104"/>
        <v/>
      </c>
      <c r="V312" s="730" t="str">
        <f t="shared" si="104"/>
        <v/>
      </c>
      <c r="W312" s="254"/>
      <c r="Z312" s="241"/>
    </row>
    <row r="313" spans="1:26" ht="11.25" customHeight="1">
      <c r="A313" s="528" t="s">
        <v>303</v>
      </c>
      <c r="B313" s="528" t="s">
        <v>129</v>
      </c>
      <c r="C313" s="408"/>
      <c r="D313" s="529"/>
      <c r="E313" s="408" t="s">
        <v>130</v>
      </c>
      <c r="F313" s="104"/>
      <c r="G313" s="104"/>
      <c r="H313" s="104"/>
      <c r="I313" s="103">
        <f>SUM(F313:H313)</f>
        <v>0</v>
      </c>
      <c r="J313" s="104"/>
      <c r="K313" s="104"/>
      <c r="L313" s="104"/>
      <c r="M313" s="103">
        <f>SUM(J313:L313)</f>
        <v>0</v>
      </c>
      <c r="N313" s="103">
        <f t="shared" si="94"/>
        <v>0</v>
      </c>
      <c r="O313" s="103">
        <f t="shared" si="94"/>
        <v>0</v>
      </c>
      <c r="P313" s="103">
        <f t="shared" si="94"/>
        <v>0</v>
      </c>
      <c r="Q313" s="103">
        <f t="shared" si="95"/>
        <v>0</v>
      </c>
      <c r="S313" s="730" t="str">
        <f t="shared" si="104"/>
        <v/>
      </c>
      <c r="T313" s="730" t="str">
        <f t="shared" si="104"/>
        <v/>
      </c>
      <c r="U313" s="730" t="str">
        <f t="shared" si="104"/>
        <v/>
      </c>
      <c r="V313" s="730" t="str">
        <f t="shared" si="104"/>
        <v/>
      </c>
      <c r="W313" s="531"/>
      <c r="X313" s="236"/>
      <c r="Y313" s="236" t="s">
        <v>598</v>
      </c>
      <c r="Z313" s="240" t="s">
        <v>598</v>
      </c>
    </row>
    <row r="314" spans="1:26" ht="11.25" customHeight="1">
      <c r="A314" s="528" t="s">
        <v>303</v>
      </c>
      <c r="B314" s="1013" t="s">
        <v>129</v>
      </c>
      <c r="C314" s="461"/>
      <c r="D314" s="645" t="s">
        <v>766</v>
      </c>
      <c r="E314" s="447" t="s">
        <v>766</v>
      </c>
      <c r="F314" s="103">
        <f>SUM(F315:F317)</f>
        <v>85096000</v>
      </c>
      <c r="G314" s="103">
        <f t="shared" ref="G314:M314" si="117">SUM(G315:G317)</f>
        <v>115691000</v>
      </c>
      <c r="H314" s="103">
        <f t="shared" si="117"/>
        <v>0</v>
      </c>
      <c r="I314" s="103">
        <f t="shared" si="117"/>
        <v>200787000</v>
      </c>
      <c r="J314" s="103">
        <f t="shared" si="117"/>
        <v>72702359.780000001</v>
      </c>
      <c r="K314" s="103">
        <f t="shared" si="117"/>
        <v>78399278.129999995</v>
      </c>
      <c r="L314" s="103">
        <f t="shared" si="117"/>
        <v>0</v>
      </c>
      <c r="M314" s="103">
        <f t="shared" si="117"/>
        <v>151101637.91</v>
      </c>
      <c r="N314" s="103">
        <f t="shared" si="94"/>
        <v>12393640.219999999</v>
      </c>
      <c r="O314" s="103">
        <f t="shared" si="94"/>
        <v>37291721.870000005</v>
      </c>
      <c r="P314" s="103">
        <f t="shared" si="94"/>
        <v>0</v>
      </c>
      <c r="Q314" s="103">
        <f t="shared" si="95"/>
        <v>49685362.090000004</v>
      </c>
      <c r="R314" s="95">
        <f>Q314-'[3]chd2-SAOB'!F179</f>
        <v>0</v>
      </c>
      <c r="S314" s="730">
        <f t="shared" si="104"/>
        <v>0.85435695896399366</v>
      </c>
      <c r="T314" s="730">
        <f t="shared" si="104"/>
        <v>0.67766099463225316</v>
      </c>
      <c r="U314" s="730" t="str">
        <f t="shared" si="104"/>
        <v/>
      </c>
      <c r="V314" s="730">
        <f t="shared" si="104"/>
        <v>0.75254691742991331</v>
      </c>
      <c r="W314" s="531"/>
      <c r="X314" s="236"/>
      <c r="Y314" s="236" t="s">
        <v>688</v>
      </c>
      <c r="Z314" s="236"/>
    </row>
    <row r="315" spans="1:26" ht="11.25" hidden="1" customHeight="1">
      <c r="A315" s="528" t="s">
        <v>303</v>
      </c>
      <c r="B315" s="1013" t="s">
        <v>129</v>
      </c>
      <c r="C315" s="411"/>
      <c r="D315" s="647" t="s">
        <v>98</v>
      </c>
      <c r="E315" s="459" t="s">
        <v>775</v>
      </c>
      <c r="F315" s="103">
        <f>+'[3]chd2-SAOB'!C14</f>
        <v>33436000</v>
      </c>
      <c r="G315" s="103">
        <f>+'[3]chd2-SAOB'!C50</f>
        <v>7949000</v>
      </c>
      <c r="H315" s="103">
        <f>+'[3]chd2-SAOB'!C142</f>
        <v>0</v>
      </c>
      <c r="I315" s="103">
        <f>SUM(F315:H315)</f>
        <v>41385000</v>
      </c>
      <c r="J315" s="103">
        <f>+'[3]chd2-SAOB'!C15</f>
        <v>28638815.879999999</v>
      </c>
      <c r="K315" s="103">
        <f>+'[3]chd2-SAOB'!C51</f>
        <v>6490642.4900000002</v>
      </c>
      <c r="L315" s="103">
        <f>+'[3]chd2-SAOB'!C143</f>
        <v>0</v>
      </c>
      <c r="M315" s="103">
        <f>SUM(J315:L315)</f>
        <v>35129458.369999997</v>
      </c>
      <c r="N315" s="103">
        <f t="shared" si="94"/>
        <v>4797184.120000001</v>
      </c>
      <c r="O315" s="103">
        <f t="shared" si="94"/>
        <v>1458357.5099999998</v>
      </c>
      <c r="P315" s="103">
        <f t="shared" si="94"/>
        <v>0</v>
      </c>
      <c r="Q315" s="103">
        <f t="shared" si="95"/>
        <v>6255541.6300000008</v>
      </c>
      <c r="R315" s="276">
        <f>Q315-'[3]chd2-SAOB'!C179</f>
        <v>0</v>
      </c>
      <c r="S315" s="730">
        <f t="shared" si="104"/>
        <v>0.85652637516449337</v>
      </c>
      <c r="T315" s="730">
        <f t="shared" si="104"/>
        <v>0.81653572650647888</v>
      </c>
      <c r="U315" s="730" t="str">
        <f t="shared" si="104"/>
        <v/>
      </c>
      <c r="V315" s="730">
        <f t="shared" si="104"/>
        <v>0.84884519439410411</v>
      </c>
      <c r="W315" s="531"/>
      <c r="X315" s="236"/>
      <c r="Y315" s="236"/>
      <c r="Z315" s="236"/>
    </row>
    <row r="316" spans="1:26" ht="11.25" hidden="1" customHeight="1">
      <c r="A316" s="528" t="s">
        <v>303</v>
      </c>
      <c r="B316" s="1013" t="s">
        <v>129</v>
      </c>
      <c r="C316" s="406" t="s">
        <v>776</v>
      </c>
      <c r="D316" s="647" t="s">
        <v>98</v>
      </c>
      <c r="E316" s="406" t="s">
        <v>776</v>
      </c>
      <c r="F316" s="103">
        <f>+'[3]chd2-SAOB'!D14</f>
        <v>1165000</v>
      </c>
      <c r="G316" s="103">
        <f>+'[3]chd2-SAOB'!D50</f>
        <v>8132000</v>
      </c>
      <c r="H316" s="103">
        <f>+'[3]chd2-SAOB'!D142</f>
        <v>0</v>
      </c>
      <c r="I316" s="103">
        <f>SUM(F316:H316)</f>
        <v>9297000</v>
      </c>
      <c r="J316" s="103">
        <f>+'[3]chd2-SAOB'!D15</f>
        <v>1072007.9700000002</v>
      </c>
      <c r="K316" s="103">
        <f>+'[3]chd2-SAOB'!D51</f>
        <v>3837560.2199999997</v>
      </c>
      <c r="L316" s="103">
        <f>+'[3]chd2-SAOB'!D143</f>
        <v>0</v>
      </c>
      <c r="M316" s="103">
        <f>SUM(J316:L316)</f>
        <v>4909568.1899999995</v>
      </c>
      <c r="N316" s="103">
        <f t="shared" ref="N316:P383" si="118">+F316-J316</f>
        <v>92992.029999999795</v>
      </c>
      <c r="O316" s="103">
        <f t="shared" si="118"/>
        <v>4294439.78</v>
      </c>
      <c r="P316" s="103">
        <f t="shared" si="118"/>
        <v>0</v>
      </c>
      <c r="Q316" s="103">
        <f t="shared" ref="Q316:Q383" si="119">SUM(N316:P316)</f>
        <v>4387431.8100000005</v>
      </c>
      <c r="R316" s="276">
        <f>Q316-'[3]chd2-SAOB'!D179</f>
        <v>0</v>
      </c>
      <c r="S316" s="730">
        <f t="shared" si="104"/>
        <v>0.92017851502145942</v>
      </c>
      <c r="T316" s="730">
        <f t="shared" si="104"/>
        <v>0.47190853664535165</v>
      </c>
      <c r="U316" s="730" t="str">
        <f t="shared" si="104"/>
        <v/>
      </c>
      <c r="V316" s="730">
        <f t="shared" si="104"/>
        <v>0.5280809067441109</v>
      </c>
      <c r="W316" s="531"/>
      <c r="X316" s="236"/>
      <c r="Y316" s="236"/>
      <c r="Z316" s="236"/>
    </row>
    <row r="317" spans="1:26" ht="11.25" hidden="1" customHeight="1">
      <c r="A317" s="528" t="s">
        <v>303</v>
      </c>
      <c r="B317" s="1013" t="s">
        <v>129</v>
      </c>
      <c r="C317" s="411"/>
      <c r="D317" s="647" t="s">
        <v>98</v>
      </c>
      <c r="E317" s="406" t="s">
        <v>777</v>
      </c>
      <c r="F317" s="103">
        <f>+'[3]chd2-SAOB'!E14</f>
        <v>50495000</v>
      </c>
      <c r="G317" s="103">
        <f>+'[3]chd2-SAOB'!E50</f>
        <v>99610000</v>
      </c>
      <c r="H317" s="103">
        <f>+'[3]chd2-SAOB'!E142</f>
        <v>0</v>
      </c>
      <c r="I317" s="103">
        <f>SUM(F317:H317)</f>
        <v>150105000</v>
      </c>
      <c r="J317" s="103">
        <f>+'[3]chd2-SAOB'!E15</f>
        <v>42991535.93</v>
      </c>
      <c r="K317" s="103">
        <f>+'[3]chd2-SAOB'!E51</f>
        <v>68071075.419999987</v>
      </c>
      <c r="L317" s="103">
        <f>+'[3]chd2-SAOB'!E143</f>
        <v>0</v>
      </c>
      <c r="M317" s="103">
        <f>SUM(J317:L317)</f>
        <v>111062611.34999999</v>
      </c>
      <c r="N317" s="103">
        <f t="shared" si="118"/>
        <v>7503464.0700000003</v>
      </c>
      <c r="O317" s="103">
        <f t="shared" si="118"/>
        <v>31538924.580000013</v>
      </c>
      <c r="P317" s="103">
        <f t="shared" si="118"/>
        <v>0</v>
      </c>
      <c r="Q317" s="103">
        <f t="shared" si="119"/>
        <v>39042388.650000013</v>
      </c>
      <c r="R317" s="276">
        <f>Q317-'[3]chd2-SAOB'!E179</f>
        <v>0</v>
      </c>
      <c r="S317" s="730">
        <f t="shared" si="104"/>
        <v>0.8514018403802357</v>
      </c>
      <c r="T317" s="730">
        <f t="shared" si="104"/>
        <v>0.68337592028912741</v>
      </c>
      <c r="U317" s="730" t="str">
        <f t="shared" si="104"/>
        <v/>
      </c>
      <c r="V317" s="730">
        <f t="shared" si="104"/>
        <v>0.73989947936444489</v>
      </c>
      <c r="W317" s="531"/>
      <c r="X317" s="236"/>
      <c r="Y317" s="236"/>
      <c r="Z317" s="236"/>
    </row>
    <row r="318" spans="1:26" ht="11.25" customHeight="1">
      <c r="A318" s="528" t="s">
        <v>303</v>
      </c>
      <c r="B318" s="1013" t="s">
        <v>129</v>
      </c>
      <c r="C318" s="728"/>
      <c r="D318" s="649" t="s">
        <v>50</v>
      </c>
      <c r="E318" s="447" t="s">
        <v>50</v>
      </c>
      <c r="F318" s="404"/>
      <c r="G318" s="404">
        <f>+'[3]chd2-SAOB'!D386</f>
        <v>122944284</v>
      </c>
      <c r="H318" s="404">
        <f>+'[3]chd2-SAOB'!E386</f>
        <v>22358500</v>
      </c>
      <c r="I318" s="103">
        <f>SUM(F318:H318)</f>
        <v>145302784</v>
      </c>
      <c r="J318" s="404"/>
      <c r="K318" s="404">
        <f>+'[3]chd2-SAOB'!H386</f>
        <v>91068860.539999992</v>
      </c>
      <c r="L318" s="404">
        <f>+'[3]chd2-SAOB'!I386</f>
        <v>21686351.640000001</v>
      </c>
      <c r="M318" s="103">
        <f>SUM(J318:L318)</f>
        <v>112755212.17999999</v>
      </c>
      <c r="N318" s="103">
        <f t="shared" si="118"/>
        <v>0</v>
      </c>
      <c r="O318" s="103">
        <f t="shared" si="118"/>
        <v>31875423.460000008</v>
      </c>
      <c r="P318" s="103">
        <f t="shared" si="118"/>
        <v>672148.3599999994</v>
      </c>
      <c r="Q318" s="103">
        <f t="shared" si="119"/>
        <v>32547571.820000008</v>
      </c>
      <c r="R318" s="95">
        <f>Q318-'[3]chd2-SAOB'!X179+Q325</f>
        <v>0</v>
      </c>
      <c r="S318" s="730" t="str">
        <f t="shared" si="104"/>
        <v/>
      </c>
      <c r="T318" s="730">
        <f t="shared" si="104"/>
        <v>0.74073277404258986</v>
      </c>
      <c r="U318" s="730">
        <f t="shared" si="104"/>
        <v>0.96993768097144262</v>
      </c>
      <c r="V318" s="730">
        <f t="shared" si="104"/>
        <v>0.77600173290554431</v>
      </c>
      <c r="W318" s="531"/>
      <c r="X318" s="236"/>
      <c r="Y318" s="236" t="s">
        <v>688</v>
      </c>
      <c r="Z318" s="236"/>
    </row>
    <row r="319" spans="1:26" s="256" customFormat="1" ht="11.25" customHeight="1">
      <c r="A319" s="528" t="s">
        <v>303</v>
      </c>
      <c r="B319" s="528" t="s">
        <v>129</v>
      </c>
      <c r="C319" s="389"/>
      <c r="D319" s="650" t="s">
        <v>98</v>
      </c>
      <c r="E319" s="390" t="s">
        <v>767</v>
      </c>
      <c r="F319" s="391">
        <f>+F318+F314</f>
        <v>85096000</v>
      </c>
      <c r="G319" s="391">
        <f t="shared" ref="G319:M319" si="120">+G318+G314</f>
        <v>238635284</v>
      </c>
      <c r="H319" s="391">
        <f t="shared" si="120"/>
        <v>22358500</v>
      </c>
      <c r="I319" s="391">
        <f t="shared" si="120"/>
        <v>346089784</v>
      </c>
      <c r="J319" s="391">
        <f t="shared" si="120"/>
        <v>72702359.780000001</v>
      </c>
      <c r="K319" s="391">
        <f t="shared" si="120"/>
        <v>169468138.66999999</v>
      </c>
      <c r="L319" s="391">
        <f t="shared" si="120"/>
        <v>21686351.640000001</v>
      </c>
      <c r="M319" s="391">
        <f t="shared" si="120"/>
        <v>263856850.08999997</v>
      </c>
      <c r="N319" s="391">
        <f t="shared" si="118"/>
        <v>12393640.219999999</v>
      </c>
      <c r="O319" s="391">
        <f t="shared" si="118"/>
        <v>69167145.330000013</v>
      </c>
      <c r="P319" s="391">
        <f t="shared" si="118"/>
        <v>672148.3599999994</v>
      </c>
      <c r="Q319" s="391">
        <f t="shared" si="119"/>
        <v>82232933.910000011</v>
      </c>
      <c r="R319" s="101"/>
      <c r="S319" s="254">
        <f t="shared" si="104"/>
        <v>0.85435695896399366</v>
      </c>
      <c r="T319" s="254">
        <f t="shared" si="104"/>
        <v>0.71015541301930851</v>
      </c>
      <c r="U319" s="254">
        <f t="shared" si="104"/>
        <v>0.96993768097144262</v>
      </c>
      <c r="V319" s="254">
        <f t="shared" si="104"/>
        <v>0.76239421759412573</v>
      </c>
      <c r="W319" s="531"/>
      <c r="Y319" s="256" t="s">
        <v>598</v>
      </c>
      <c r="Z319" s="256" t="s">
        <v>598</v>
      </c>
    </row>
    <row r="320" spans="1:26" ht="11.25" hidden="1" customHeight="1">
      <c r="A320" s="528" t="s">
        <v>303</v>
      </c>
      <c r="B320" s="1013" t="s">
        <v>129</v>
      </c>
      <c r="C320" s="410"/>
      <c r="D320" s="651"/>
      <c r="E320" s="806"/>
      <c r="F320" s="807"/>
      <c r="G320" s="807"/>
      <c r="H320" s="807"/>
      <c r="I320" s="807"/>
      <c r="J320" s="807"/>
      <c r="K320" s="807"/>
      <c r="L320" s="807"/>
      <c r="M320" s="807"/>
      <c r="N320" s="807">
        <f t="shared" si="118"/>
        <v>0</v>
      </c>
      <c r="O320" s="807">
        <f t="shared" si="118"/>
        <v>0</v>
      </c>
      <c r="P320" s="807">
        <f t="shared" si="118"/>
        <v>0</v>
      </c>
      <c r="Q320" s="807">
        <f t="shared" si="119"/>
        <v>0</v>
      </c>
      <c r="R320" s="276"/>
      <c r="S320" s="730" t="str">
        <f t="shared" si="104"/>
        <v/>
      </c>
      <c r="T320" s="730" t="str">
        <f t="shared" si="104"/>
        <v/>
      </c>
      <c r="U320" s="730" t="str">
        <f t="shared" si="104"/>
        <v/>
      </c>
      <c r="V320" s="730" t="str">
        <f t="shared" si="104"/>
        <v/>
      </c>
      <c r="W320" s="531"/>
      <c r="X320" s="236"/>
      <c r="Y320" s="236"/>
      <c r="Z320" s="236"/>
    </row>
    <row r="321" spans="1:26" s="256" customFormat="1" ht="11.25" customHeight="1">
      <c r="A321" s="528" t="s">
        <v>303</v>
      </c>
      <c r="B321" s="528" t="s">
        <v>129</v>
      </c>
      <c r="C321" s="389"/>
      <c r="D321" s="650" t="s">
        <v>98</v>
      </c>
      <c r="E321" s="390" t="s">
        <v>99</v>
      </c>
      <c r="F321" s="391">
        <f>+F322</f>
        <v>7101000</v>
      </c>
      <c r="G321" s="391">
        <f t="shared" ref="G321:M321" si="121">+G322</f>
        <v>0</v>
      </c>
      <c r="H321" s="391">
        <f t="shared" si="121"/>
        <v>0</v>
      </c>
      <c r="I321" s="391">
        <f t="shared" si="121"/>
        <v>7101000</v>
      </c>
      <c r="J321" s="391">
        <f t="shared" si="121"/>
        <v>5955087.0900000008</v>
      </c>
      <c r="K321" s="391">
        <f t="shared" si="121"/>
        <v>0</v>
      </c>
      <c r="L321" s="391">
        <f t="shared" si="121"/>
        <v>0</v>
      </c>
      <c r="M321" s="391">
        <f t="shared" si="121"/>
        <v>5955087.0900000008</v>
      </c>
      <c r="N321" s="391">
        <f t="shared" si="118"/>
        <v>1145912.9099999992</v>
      </c>
      <c r="O321" s="391">
        <f t="shared" si="118"/>
        <v>0</v>
      </c>
      <c r="P321" s="391">
        <f t="shared" si="118"/>
        <v>0</v>
      </c>
      <c r="Q321" s="391">
        <f t="shared" si="119"/>
        <v>1145912.9099999992</v>
      </c>
      <c r="R321" s="101"/>
      <c r="S321" s="254">
        <f t="shared" si="104"/>
        <v>0.83862654414871152</v>
      </c>
      <c r="T321" s="254" t="str">
        <f t="shared" si="104"/>
        <v/>
      </c>
      <c r="U321" s="254" t="str">
        <f t="shared" si="104"/>
        <v/>
      </c>
      <c r="V321" s="254">
        <f t="shared" si="104"/>
        <v>0.83862654414871152</v>
      </c>
      <c r="W321" s="531"/>
      <c r="Y321" s="256" t="s">
        <v>598</v>
      </c>
      <c r="Z321" s="256" t="s">
        <v>598</v>
      </c>
    </row>
    <row r="322" spans="1:26" ht="11.25" customHeight="1">
      <c r="A322" s="528" t="s">
        <v>303</v>
      </c>
      <c r="B322" s="1013" t="s">
        <v>129</v>
      </c>
      <c r="C322" s="728"/>
      <c r="D322" s="649" t="s">
        <v>286</v>
      </c>
      <c r="E322" s="729" t="s">
        <v>286</v>
      </c>
      <c r="F322" s="103">
        <f>SUM('[3]chd2-SAOB'!AD14)</f>
        <v>7101000</v>
      </c>
      <c r="G322" s="103">
        <f>SUM('[3]chd2-SAOB'!AD50)</f>
        <v>0</v>
      </c>
      <c r="H322" s="103">
        <f>SUM('[3]chd2-SAOB'!AD142)</f>
        <v>0</v>
      </c>
      <c r="I322" s="103">
        <f>SUM(F322:H322)</f>
        <v>7101000</v>
      </c>
      <c r="J322" s="103">
        <f>SUM('[3]chd2-SAOB'!AD15)</f>
        <v>5955087.0900000008</v>
      </c>
      <c r="K322" s="103">
        <f>SUM('[3]chd2-SAOB'!AD51)</f>
        <v>0</v>
      </c>
      <c r="L322" s="103">
        <f>SUM('[3]chd2-SAOB'!AD143)</f>
        <v>0</v>
      </c>
      <c r="M322" s="103">
        <f>SUM(J322:L322)</f>
        <v>5955087.0900000008</v>
      </c>
      <c r="N322" s="103">
        <f t="shared" si="118"/>
        <v>1145912.9099999992</v>
      </c>
      <c r="O322" s="103">
        <f t="shared" si="118"/>
        <v>0</v>
      </c>
      <c r="P322" s="103">
        <f t="shared" si="118"/>
        <v>0</v>
      </c>
      <c r="Q322" s="103">
        <f t="shared" si="119"/>
        <v>1145912.9099999992</v>
      </c>
      <c r="S322" s="730">
        <f t="shared" si="104"/>
        <v>0.83862654414871152</v>
      </c>
      <c r="T322" s="730" t="str">
        <f t="shared" si="104"/>
        <v/>
      </c>
      <c r="U322" s="730" t="str">
        <f t="shared" si="104"/>
        <v/>
      </c>
      <c r="V322" s="730">
        <f t="shared" si="104"/>
        <v>0.83862654414871152</v>
      </c>
      <c r="W322" s="531"/>
      <c r="X322" s="236"/>
      <c r="Y322" s="236" t="s">
        <v>598</v>
      </c>
      <c r="Z322" s="236"/>
    </row>
    <row r="323" spans="1:26" s="272" customFormat="1" ht="11.25" customHeight="1">
      <c r="A323" s="528" t="s">
        <v>303</v>
      </c>
      <c r="B323" s="528" t="s">
        <v>129</v>
      </c>
      <c r="C323" s="389"/>
      <c r="D323" s="650" t="s">
        <v>98</v>
      </c>
      <c r="E323" s="390" t="s">
        <v>100</v>
      </c>
      <c r="F323" s="391">
        <f t="shared" ref="F323:M323" si="122">SUM(F324:F328)</f>
        <v>5502152</v>
      </c>
      <c r="G323" s="391">
        <f t="shared" si="122"/>
        <v>0</v>
      </c>
      <c r="H323" s="391">
        <f t="shared" si="122"/>
        <v>0</v>
      </c>
      <c r="I323" s="391">
        <f t="shared" si="122"/>
        <v>5502152</v>
      </c>
      <c r="J323" s="391">
        <f t="shared" si="122"/>
        <v>5502149.9900000002</v>
      </c>
      <c r="K323" s="391">
        <f t="shared" si="122"/>
        <v>0</v>
      </c>
      <c r="L323" s="391">
        <f t="shared" si="122"/>
        <v>0</v>
      </c>
      <c r="M323" s="391">
        <f t="shared" si="122"/>
        <v>5502149.9900000002</v>
      </c>
      <c r="N323" s="391">
        <f t="shared" si="118"/>
        <v>2.0099999997764826</v>
      </c>
      <c r="O323" s="391">
        <f t="shared" si="118"/>
        <v>0</v>
      </c>
      <c r="P323" s="391">
        <f t="shared" si="118"/>
        <v>0</v>
      </c>
      <c r="Q323" s="391">
        <f t="shared" si="119"/>
        <v>2.0099999997764826</v>
      </c>
      <c r="R323" s="102"/>
      <c r="S323" s="254">
        <f t="shared" si="104"/>
        <v>0.99999963468839104</v>
      </c>
      <c r="T323" s="254" t="str">
        <f t="shared" si="104"/>
        <v/>
      </c>
      <c r="U323" s="254" t="str">
        <f t="shared" si="104"/>
        <v/>
      </c>
      <c r="V323" s="254">
        <f t="shared" si="104"/>
        <v>0.99999963468839104</v>
      </c>
      <c r="W323" s="531"/>
      <c r="Y323" s="272" t="s">
        <v>598</v>
      </c>
      <c r="Z323" s="256" t="s">
        <v>598</v>
      </c>
    </row>
    <row r="324" spans="1:26" ht="11.25" customHeight="1">
      <c r="A324" s="528" t="s">
        <v>303</v>
      </c>
      <c r="B324" s="1013" t="s">
        <v>129</v>
      </c>
      <c r="C324" s="728"/>
      <c r="D324" s="649" t="s">
        <v>288</v>
      </c>
      <c r="E324" s="729" t="s">
        <v>288</v>
      </c>
      <c r="F324" s="103">
        <f>SUM('[3]chd2-SAOB'!AJ14)</f>
        <v>0</v>
      </c>
      <c r="G324" s="103">
        <f>SUM('[3]chd2-SAOB'!AJ50)</f>
        <v>0</v>
      </c>
      <c r="H324" s="103">
        <f>SUM('[3]chd2-SAOB'!AJ142)</f>
        <v>0</v>
      </c>
      <c r="I324" s="103">
        <f>SUM(F324:H324)</f>
        <v>0</v>
      </c>
      <c r="J324" s="103">
        <f>SUM('[3]chd2-SAOB'!AJ15)</f>
        <v>0</v>
      </c>
      <c r="K324" s="103">
        <f>SUM('[3]chd2-SAOB'!AJ51)</f>
        <v>0</v>
      </c>
      <c r="L324" s="103">
        <f>SUM('[3]chd2-SAOB'!AJ143)</f>
        <v>0</v>
      </c>
      <c r="M324" s="103">
        <f>SUM(J324:L324)</f>
        <v>0</v>
      </c>
      <c r="N324" s="103">
        <f t="shared" si="118"/>
        <v>0</v>
      </c>
      <c r="O324" s="103">
        <f t="shared" si="118"/>
        <v>0</v>
      </c>
      <c r="P324" s="103">
        <f t="shared" si="118"/>
        <v>0</v>
      </c>
      <c r="Q324" s="103">
        <f t="shared" si="119"/>
        <v>0</v>
      </c>
      <c r="R324" s="95">
        <f>Q324-'[3]chd2-SAOB'!AJ179</f>
        <v>0</v>
      </c>
      <c r="S324" s="730" t="str">
        <f t="shared" si="104"/>
        <v/>
      </c>
      <c r="T324" s="730" t="str">
        <f t="shared" si="104"/>
        <v/>
      </c>
      <c r="U324" s="730" t="str">
        <f t="shared" si="104"/>
        <v/>
      </c>
      <c r="V324" s="730" t="str">
        <f t="shared" si="104"/>
        <v/>
      </c>
      <c r="W324" s="531"/>
      <c r="X324" s="236"/>
      <c r="Y324" s="236" t="s">
        <v>598</v>
      </c>
      <c r="Z324" s="236"/>
    </row>
    <row r="325" spans="1:26" ht="11.25" customHeight="1">
      <c r="A325" s="528" t="s">
        <v>303</v>
      </c>
      <c r="B325" s="1013" t="s">
        <v>129</v>
      </c>
      <c r="C325" s="728"/>
      <c r="D325" s="649" t="s">
        <v>761</v>
      </c>
      <c r="E325" s="729" t="s">
        <v>761</v>
      </c>
      <c r="F325" s="404">
        <f>+'[3]chd2-SAOB'!C386</f>
        <v>1740000</v>
      </c>
      <c r="G325" s="404"/>
      <c r="H325" s="404"/>
      <c r="I325" s="103">
        <f>SUM(F325:H325)</f>
        <v>1740000</v>
      </c>
      <c r="J325" s="404">
        <f>+'[3]chd2-SAOB'!G386</f>
        <v>1740000</v>
      </c>
      <c r="K325" s="404"/>
      <c r="L325" s="404"/>
      <c r="M325" s="103">
        <f>SUM(J325:L325)</f>
        <v>1740000</v>
      </c>
      <c r="N325" s="103">
        <f t="shared" si="118"/>
        <v>0</v>
      </c>
      <c r="O325" s="103">
        <f t="shared" si="118"/>
        <v>0</v>
      </c>
      <c r="P325" s="103">
        <f t="shared" si="118"/>
        <v>0</v>
      </c>
      <c r="Q325" s="103">
        <f t="shared" si="119"/>
        <v>0</v>
      </c>
      <c r="S325" s="730">
        <f t="shared" si="104"/>
        <v>1</v>
      </c>
      <c r="T325" s="730" t="str">
        <f t="shared" si="104"/>
        <v/>
      </c>
      <c r="U325" s="730" t="str">
        <f t="shared" si="104"/>
        <v/>
      </c>
      <c r="V325" s="730">
        <f t="shared" si="104"/>
        <v>1</v>
      </c>
      <c r="W325" s="531"/>
      <c r="X325" s="236"/>
      <c r="Y325" s="236" t="s">
        <v>688</v>
      </c>
      <c r="Z325" s="236"/>
    </row>
    <row r="326" spans="1:26" ht="11.25" customHeight="1">
      <c r="A326" s="528" t="s">
        <v>303</v>
      </c>
      <c r="B326" s="1013" t="s">
        <v>129</v>
      </c>
      <c r="C326" s="411"/>
      <c r="D326" s="647"/>
      <c r="E326" s="1014"/>
      <c r="F326" s="104"/>
      <c r="G326" s="104"/>
      <c r="H326" s="104"/>
      <c r="I326" s="103"/>
      <c r="J326" s="104"/>
      <c r="K326" s="104"/>
      <c r="L326" s="104"/>
      <c r="M326" s="103"/>
      <c r="N326" s="103"/>
      <c r="O326" s="103"/>
      <c r="P326" s="103"/>
      <c r="Q326" s="103"/>
      <c r="S326" s="730" t="str">
        <f t="shared" si="104"/>
        <v/>
      </c>
      <c r="T326" s="730" t="str">
        <f t="shared" si="104"/>
        <v/>
      </c>
      <c r="U326" s="730" t="str">
        <f t="shared" si="104"/>
        <v/>
      </c>
      <c r="V326" s="730" t="str">
        <f t="shared" si="104"/>
        <v/>
      </c>
      <c r="W326" s="531"/>
      <c r="X326" s="236"/>
      <c r="Y326" s="236" t="s">
        <v>688</v>
      </c>
      <c r="Z326" s="240"/>
    </row>
    <row r="327" spans="1:26" ht="11.25" customHeight="1">
      <c r="A327" s="528" t="s">
        <v>303</v>
      </c>
      <c r="B327" s="1013" t="s">
        <v>129</v>
      </c>
      <c r="C327" s="728"/>
      <c r="D327" s="649" t="s">
        <v>289</v>
      </c>
      <c r="E327" s="729" t="s">
        <v>289</v>
      </c>
      <c r="F327" s="103">
        <f>SUM('[3]chd2-SAOB'!AP14)</f>
        <v>3762152</v>
      </c>
      <c r="G327" s="103">
        <f>SUM('[3]chd2-SAOB'!AP50)</f>
        <v>0</v>
      </c>
      <c r="H327" s="103">
        <f>SUM('[3]chd2-SAOB'!AP142)</f>
        <v>0</v>
      </c>
      <c r="I327" s="103">
        <f>SUM(F327:H327)</f>
        <v>3762152</v>
      </c>
      <c r="J327" s="103">
        <f>SUM('[3]chd2-SAOB'!AP15)</f>
        <v>3762149.99</v>
      </c>
      <c r="K327" s="103">
        <f>SUM('[3]chd2-SAOB'!AP51)</f>
        <v>0</v>
      </c>
      <c r="L327" s="103">
        <f>SUM('[3]chd2-SAOB'!AP143)</f>
        <v>0</v>
      </c>
      <c r="M327" s="103">
        <f>SUM(J327:L327)</f>
        <v>3762149.99</v>
      </c>
      <c r="N327" s="103">
        <f t="shared" si="118"/>
        <v>2.0099999997764826</v>
      </c>
      <c r="O327" s="103">
        <f t="shared" si="118"/>
        <v>0</v>
      </c>
      <c r="P327" s="103">
        <f t="shared" si="118"/>
        <v>0</v>
      </c>
      <c r="Q327" s="103">
        <f t="shared" si="119"/>
        <v>2.0099999997764826</v>
      </c>
      <c r="R327" s="95">
        <f>Q327-'[3]chd2-SAOB'!AP179</f>
        <v>0</v>
      </c>
      <c r="S327" s="730">
        <f t="shared" si="104"/>
        <v>0.9999994657313156</v>
      </c>
      <c r="T327" s="730" t="str">
        <f t="shared" si="104"/>
        <v/>
      </c>
      <c r="U327" s="730" t="str">
        <f t="shared" si="104"/>
        <v/>
      </c>
      <c r="V327" s="730">
        <f t="shared" si="104"/>
        <v>0.9999994657313156</v>
      </c>
      <c r="W327" s="531"/>
      <c r="X327" s="236"/>
      <c r="Y327" s="236" t="s">
        <v>598</v>
      </c>
      <c r="Z327" s="236"/>
    </row>
    <row r="328" spans="1:26" ht="11.25" customHeight="1">
      <c r="A328" s="528" t="s">
        <v>303</v>
      </c>
      <c r="B328" s="1013" t="s">
        <v>129</v>
      </c>
      <c r="C328" s="728"/>
      <c r="D328" s="649" t="s">
        <v>290</v>
      </c>
      <c r="E328" s="729" t="s">
        <v>290</v>
      </c>
      <c r="F328" s="103">
        <f>SUM('[3]chd2-SAOB'!AV14)</f>
        <v>0</v>
      </c>
      <c r="G328" s="103">
        <f>SUM('[3]chd2-SAOB'!AV50)</f>
        <v>0</v>
      </c>
      <c r="H328" s="103">
        <f>SUM('[3]chd2-SAOB'!AV142)</f>
        <v>0</v>
      </c>
      <c r="I328" s="103">
        <f>SUM(F328:H328)</f>
        <v>0</v>
      </c>
      <c r="J328" s="103">
        <f>SUM('[3]chd2-SAOB'!AV15)</f>
        <v>0</v>
      </c>
      <c r="K328" s="103">
        <f>SUM('[3]chd2-SAOB'!AV51)</f>
        <v>0</v>
      </c>
      <c r="L328" s="103">
        <f>SUM('[3]chd2-SAOB'!AV143)</f>
        <v>0</v>
      </c>
      <c r="M328" s="103">
        <f>SUM(J328:L328)</f>
        <v>0</v>
      </c>
      <c r="N328" s="103">
        <f t="shared" si="118"/>
        <v>0</v>
      </c>
      <c r="O328" s="103">
        <f t="shared" si="118"/>
        <v>0</v>
      </c>
      <c r="P328" s="103">
        <f t="shared" si="118"/>
        <v>0</v>
      </c>
      <c r="Q328" s="103">
        <f t="shared" si="119"/>
        <v>0</v>
      </c>
      <c r="R328" s="95">
        <f>Q328-'[3]chd2-SAOB'!AV179</f>
        <v>0</v>
      </c>
      <c r="S328" s="730" t="str">
        <f t="shared" si="104"/>
        <v/>
      </c>
      <c r="T328" s="730" t="str">
        <f t="shared" si="104"/>
        <v/>
      </c>
      <c r="U328" s="730" t="str">
        <f t="shared" si="104"/>
        <v/>
      </c>
      <c r="V328" s="730" t="str">
        <f t="shared" si="104"/>
        <v/>
      </c>
      <c r="W328" s="531"/>
      <c r="X328" s="236"/>
      <c r="Y328" s="236" t="s">
        <v>598</v>
      </c>
      <c r="Z328" s="236"/>
    </row>
    <row r="329" spans="1:26" s="671" customFormat="1" ht="11.25" customHeight="1">
      <c r="A329" s="246" t="s">
        <v>303</v>
      </c>
      <c r="B329" s="235" t="s">
        <v>129</v>
      </c>
      <c r="C329" s="1425" t="s">
        <v>302</v>
      </c>
      <c r="D329" s="1426"/>
      <c r="E329" s="1427"/>
      <c r="F329" s="652">
        <f t="shared" ref="F329:M329" si="123">+F319+F321+F323</f>
        <v>97699152</v>
      </c>
      <c r="G329" s="652">
        <f t="shared" si="123"/>
        <v>238635284</v>
      </c>
      <c r="H329" s="652">
        <f t="shared" si="123"/>
        <v>22358500</v>
      </c>
      <c r="I329" s="652">
        <f t="shared" si="123"/>
        <v>358692936</v>
      </c>
      <c r="J329" s="652">
        <f t="shared" si="123"/>
        <v>84159596.859999999</v>
      </c>
      <c r="K329" s="652">
        <f t="shared" si="123"/>
        <v>169468138.66999999</v>
      </c>
      <c r="L329" s="652">
        <f t="shared" si="123"/>
        <v>21686351.640000001</v>
      </c>
      <c r="M329" s="652">
        <f t="shared" si="123"/>
        <v>275314087.16999996</v>
      </c>
      <c r="N329" s="652">
        <f t="shared" si="118"/>
        <v>13539555.140000001</v>
      </c>
      <c r="O329" s="652">
        <f t="shared" si="118"/>
        <v>69167145.330000013</v>
      </c>
      <c r="P329" s="652">
        <f t="shared" si="118"/>
        <v>672148.3599999994</v>
      </c>
      <c r="Q329" s="652">
        <f t="shared" si="119"/>
        <v>83378848.830000013</v>
      </c>
      <c r="R329" s="670">
        <f>+Q329-'[3]chd2-SAOB'!BX179</f>
        <v>0</v>
      </c>
      <c r="S329" s="1008">
        <f t="shared" si="104"/>
        <v>0.8614158376727773</v>
      </c>
      <c r="T329" s="1008">
        <f t="shared" si="104"/>
        <v>0.71015541301930851</v>
      </c>
      <c r="U329" s="1008">
        <f t="shared" si="104"/>
        <v>0.96993768097144262</v>
      </c>
      <c r="V329" s="1008">
        <f t="shared" si="104"/>
        <v>0.76754811577889548</v>
      </c>
      <c r="W329" s="254"/>
      <c r="X329" s="237"/>
      <c r="Y329" s="610" t="s">
        <v>598</v>
      </c>
      <c r="Z329" s="241" t="s">
        <v>598</v>
      </c>
    </row>
    <row r="330" spans="1:26" ht="11.25" customHeight="1">
      <c r="A330" s="246" t="s">
        <v>303</v>
      </c>
      <c r="B330" s="235" t="s">
        <v>129</v>
      </c>
      <c r="C330" s="410"/>
      <c r="D330" s="386"/>
      <c r="E330" s="461"/>
      <c r="F330" s="103"/>
      <c r="G330" s="103"/>
      <c r="H330" s="103"/>
      <c r="I330" s="103">
        <f>SUM(F330:H330)</f>
        <v>0</v>
      </c>
      <c r="J330" s="103"/>
      <c r="K330" s="103"/>
      <c r="L330" s="103"/>
      <c r="M330" s="103">
        <f>SUM(J330:L330)</f>
        <v>0</v>
      </c>
      <c r="N330" s="103">
        <f t="shared" si="118"/>
        <v>0</v>
      </c>
      <c r="O330" s="103">
        <f t="shared" si="118"/>
        <v>0</v>
      </c>
      <c r="P330" s="103">
        <f t="shared" si="118"/>
        <v>0</v>
      </c>
      <c r="Q330" s="103">
        <f t="shared" si="119"/>
        <v>0</v>
      </c>
      <c r="S330" s="730" t="str">
        <f t="shared" si="104"/>
        <v/>
      </c>
      <c r="T330" s="730" t="str">
        <f t="shared" si="104"/>
        <v/>
      </c>
      <c r="U330" s="730" t="str">
        <f t="shared" si="104"/>
        <v/>
      </c>
      <c r="V330" s="730" t="str">
        <f t="shared" si="104"/>
        <v/>
      </c>
      <c r="W330" s="254"/>
      <c r="Y330" s="610" t="s">
        <v>598</v>
      </c>
      <c r="Z330" s="241" t="s">
        <v>598</v>
      </c>
    </row>
    <row r="331" spans="1:26" ht="11.25" customHeight="1">
      <c r="A331" s="246" t="s">
        <v>303</v>
      </c>
      <c r="B331" s="235" t="s">
        <v>134</v>
      </c>
      <c r="C331" s="410" t="s">
        <v>133</v>
      </c>
      <c r="D331" s="386"/>
      <c r="E331" s="461"/>
      <c r="F331" s="103"/>
      <c r="G331" s="103"/>
      <c r="H331" s="103"/>
      <c r="I331" s="103">
        <f>SUM(F331:H331)</f>
        <v>0</v>
      </c>
      <c r="J331" s="103"/>
      <c r="K331" s="103"/>
      <c r="L331" s="103"/>
      <c r="M331" s="103">
        <f>SUM(J331:L331)</f>
        <v>0</v>
      </c>
      <c r="N331" s="103">
        <f t="shared" si="118"/>
        <v>0</v>
      </c>
      <c r="O331" s="103">
        <f t="shared" si="118"/>
        <v>0</v>
      </c>
      <c r="P331" s="103">
        <f t="shared" si="118"/>
        <v>0</v>
      </c>
      <c r="Q331" s="103">
        <f t="shared" si="119"/>
        <v>0</v>
      </c>
      <c r="S331" s="730" t="str">
        <f t="shared" si="104"/>
        <v/>
      </c>
      <c r="T331" s="730" t="str">
        <f t="shared" si="104"/>
        <v/>
      </c>
      <c r="U331" s="730" t="str">
        <f t="shared" si="104"/>
        <v/>
      </c>
      <c r="V331" s="730" t="str">
        <f t="shared" si="104"/>
        <v/>
      </c>
      <c r="W331" s="254"/>
      <c r="Y331" s="610" t="s">
        <v>598</v>
      </c>
      <c r="Z331" s="241" t="s">
        <v>598</v>
      </c>
    </row>
    <row r="332" spans="1:26" s="675" customFormat="1" ht="11.25" customHeight="1">
      <c r="A332" s="528" t="s">
        <v>303</v>
      </c>
      <c r="B332" s="528" t="s">
        <v>134</v>
      </c>
      <c r="C332" s="407" t="s">
        <v>98</v>
      </c>
      <c r="D332" s="655" t="s">
        <v>105</v>
      </c>
      <c r="E332" s="408" t="s">
        <v>792</v>
      </c>
      <c r="F332" s="673"/>
      <c r="G332" s="673"/>
      <c r="H332" s="673"/>
      <c r="I332" s="674">
        <f>SUM(F332:H332)</f>
        <v>0</v>
      </c>
      <c r="J332" s="673"/>
      <c r="K332" s="673"/>
      <c r="L332" s="673"/>
      <c r="M332" s="674">
        <f>SUM(J332:L332)</f>
        <v>0</v>
      </c>
      <c r="N332" s="674">
        <f t="shared" si="118"/>
        <v>0</v>
      </c>
      <c r="O332" s="674">
        <f t="shared" si="118"/>
        <v>0</v>
      </c>
      <c r="P332" s="674">
        <f t="shared" si="118"/>
        <v>0</v>
      </c>
      <c r="Q332" s="674">
        <f t="shared" si="119"/>
        <v>0</v>
      </c>
      <c r="R332" s="101"/>
      <c r="S332" s="254" t="str">
        <f t="shared" si="104"/>
        <v/>
      </c>
      <c r="T332" s="254" t="str">
        <f t="shared" si="104"/>
        <v/>
      </c>
      <c r="U332" s="254" t="str">
        <f t="shared" si="104"/>
        <v/>
      </c>
      <c r="V332" s="254" t="str">
        <f t="shared" si="104"/>
        <v/>
      </c>
      <c r="W332" s="531"/>
      <c r="Y332" s="272" t="s">
        <v>598</v>
      </c>
      <c r="Z332" s="260" t="s">
        <v>598</v>
      </c>
    </row>
    <row r="333" spans="1:26" ht="11.25" customHeight="1">
      <c r="A333" s="528" t="s">
        <v>303</v>
      </c>
      <c r="B333" s="1013" t="s">
        <v>134</v>
      </c>
      <c r="C333" s="461"/>
      <c r="D333" s="645" t="s">
        <v>766</v>
      </c>
      <c r="E333" s="447" t="s">
        <v>766</v>
      </c>
      <c r="F333" s="104">
        <f>+'[3]chd2-SAOB'!C391</f>
        <v>124554000</v>
      </c>
      <c r="G333" s="104">
        <f>+'[3]chd2-SAOB'!D391</f>
        <v>62413000</v>
      </c>
      <c r="H333" s="104">
        <f>+'[3]chd2-SAOB'!E391</f>
        <v>0</v>
      </c>
      <c r="I333" s="103">
        <f>SUM(F333:H333)</f>
        <v>186967000</v>
      </c>
      <c r="J333" s="104">
        <f>+'[3]chd2-SAOB'!G391</f>
        <v>112718064.14</v>
      </c>
      <c r="K333" s="104">
        <f>+'[3]chd2-SAOB'!H391</f>
        <v>58537225.75</v>
      </c>
      <c r="L333" s="104">
        <f>+'[3]chd2-SAOB'!I391</f>
        <v>0</v>
      </c>
      <c r="M333" s="103">
        <f>SUM(J333:L333)</f>
        <v>171255289.88999999</v>
      </c>
      <c r="N333" s="103">
        <f t="shared" si="118"/>
        <v>11835935.859999999</v>
      </c>
      <c r="O333" s="103">
        <f t="shared" si="118"/>
        <v>3875774.25</v>
      </c>
      <c r="P333" s="103">
        <f t="shared" si="118"/>
        <v>0</v>
      </c>
      <c r="Q333" s="103">
        <f t="shared" si="119"/>
        <v>15711710.109999999</v>
      </c>
      <c r="R333" s="95">
        <f>Q333-'[3]chd2-SAOB'!G179</f>
        <v>0</v>
      </c>
      <c r="S333" s="730">
        <f t="shared" si="104"/>
        <v>0.90497345841964127</v>
      </c>
      <c r="T333" s="730">
        <f t="shared" si="104"/>
        <v>0.93790117042923749</v>
      </c>
      <c r="U333" s="730" t="str">
        <f t="shared" si="104"/>
        <v/>
      </c>
      <c r="V333" s="730">
        <f t="shared" si="104"/>
        <v>0.91596533019195892</v>
      </c>
      <c r="W333" s="531"/>
      <c r="X333" s="236"/>
      <c r="Y333" s="236" t="s">
        <v>688</v>
      </c>
      <c r="Z333" s="236"/>
    </row>
    <row r="334" spans="1:26" ht="11.25" customHeight="1">
      <c r="A334" s="528" t="s">
        <v>303</v>
      </c>
      <c r="B334" s="1013" t="s">
        <v>134</v>
      </c>
      <c r="C334" s="728"/>
      <c r="D334" s="649" t="s">
        <v>50</v>
      </c>
      <c r="E334" s="447" t="s">
        <v>50</v>
      </c>
      <c r="F334" s="104"/>
      <c r="G334" s="104">
        <f>+'[3]chd2-SAOB'!D393</f>
        <v>23384000</v>
      </c>
      <c r="H334" s="104">
        <f>+'[3]chd2-SAOB'!E393</f>
        <v>44130000</v>
      </c>
      <c r="I334" s="103">
        <f>SUM(F334:H334)</f>
        <v>67514000</v>
      </c>
      <c r="J334" s="104"/>
      <c r="K334" s="104">
        <f>+'[3]chd2-SAOB'!H393</f>
        <v>18378141.779999997</v>
      </c>
      <c r="L334" s="104">
        <f>+'[3]chd2-SAOB'!I393</f>
        <v>37563939.250000007</v>
      </c>
      <c r="M334" s="103">
        <f>SUM(J334:L334)</f>
        <v>55942081.030000001</v>
      </c>
      <c r="N334" s="103">
        <f t="shared" si="118"/>
        <v>0</v>
      </c>
      <c r="O334" s="103">
        <f t="shared" si="118"/>
        <v>5005858.2200000025</v>
      </c>
      <c r="P334" s="103">
        <f t="shared" si="118"/>
        <v>6566060.7499999925</v>
      </c>
      <c r="Q334" s="103">
        <f t="shared" si="119"/>
        <v>11571918.969999995</v>
      </c>
      <c r="S334" s="730" t="str">
        <f t="shared" si="104"/>
        <v/>
      </c>
      <c r="T334" s="730">
        <f t="shared" si="104"/>
        <v>0.78592806106739643</v>
      </c>
      <c r="U334" s="730">
        <f t="shared" si="104"/>
        <v>0.85121095060049867</v>
      </c>
      <c r="V334" s="730">
        <f t="shared" si="104"/>
        <v>0.82859971309654301</v>
      </c>
      <c r="W334" s="531"/>
      <c r="X334" s="236"/>
      <c r="Y334" s="236" t="s">
        <v>688</v>
      </c>
      <c r="Z334" s="236"/>
    </row>
    <row r="335" spans="1:26" s="256" customFormat="1" ht="11.25" customHeight="1">
      <c r="A335" s="528" t="s">
        <v>303</v>
      </c>
      <c r="B335" s="528" t="s">
        <v>134</v>
      </c>
      <c r="C335" s="389"/>
      <c r="D335" s="650" t="s">
        <v>98</v>
      </c>
      <c r="E335" s="390" t="s">
        <v>767</v>
      </c>
      <c r="F335" s="391">
        <f>+F333+F334</f>
        <v>124554000</v>
      </c>
      <c r="G335" s="391">
        <f t="shared" ref="G335:M335" si="124">+G333+G334</f>
        <v>85797000</v>
      </c>
      <c r="H335" s="391">
        <f t="shared" si="124"/>
        <v>44130000</v>
      </c>
      <c r="I335" s="391">
        <f t="shared" si="124"/>
        <v>254481000</v>
      </c>
      <c r="J335" s="391">
        <f t="shared" si="124"/>
        <v>112718064.14</v>
      </c>
      <c r="K335" s="391">
        <f t="shared" si="124"/>
        <v>76915367.530000001</v>
      </c>
      <c r="L335" s="391">
        <f t="shared" si="124"/>
        <v>37563939.250000007</v>
      </c>
      <c r="M335" s="391">
        <f t="shared" si="124"/>
        <v>227197370.91999999</v>
      </c>
      <c r="N335" s="391">
        <f t="shared" si="118"/>
        <v>11835935.859999999</v>
      </c>
      <c r="O335" s="391">
        <f t="shared" si="118"/>
        <v>8881632.4699999988</v>
      </c>
      <c r="P335" s="391">
        <f t="shared" si="118"/>
        <v>6566060.7499999925</v>
      </c>
      <c r="Q335" s="391">
        <f t="shared" si="119"/>
        <v>27283629.079999991</v>
      </c>
      <c r="R335" s="101"/>
      <c r="S335" s="254">
        <f t="shared" si="104"/>
        <v>0.90497345841964127</v>
      </c>
      <c r="T335" s="254">
        <f t="shared" si="104"/>
        <v>0.89648085049593806</v>
      </c>
      <c r="U335" s="254">
        <f t="shared" si="104"/>
        <v>0.85121095060049867</v>
      </c>
      <c r="V335" s="254">
        <f t="shared" si="104"/>
        <v>0.89278716650751921</v>
      </c>
      <c r="W335" s="531"/>
      <c r="Y335" s="256" t="s">
        <v>598</v>
      </c>
      <c r="Z335" s="256" t="s">
        <v>598</v>
      </c>
    </row>
    <row r="336" spans="1:26" ht="11.25" hidden="1" customHeight="1">
      <c r="A336" s="528" t="s">
        <v>303</v>
      </c>
      <c r="B336" s="1013" t="s">
        <v>134</v>
      </c>
      <c r="C336" s="410"/>
      <c r="D336" s="651"/>
      <c r="E336" s="806" t="s">
        <v>764</v>
      </c>
      <c r="F336" s="807"/>
      <c r="G336" s="807"/>
      <c r="H336" s="807"/>
      <c r="I336" s="807"/>
      <c r="J336" s="807"/>
      <c r="K336" s="807"/>
      <c r="L336" s="807"/>
      <c r="M336" s="807"/>
      <c r="N336" s="807">
        <f t="shared" si="118"/>
        <v>0</v>
      </c>
      <c r="O336" s="807">
        <f t="shared" si="118"/>
        <v>0</v>
      </c>
      <c r="P336" s="807">
        <f t="shared" si="118"/>
        <v>0</v>
      </c>
      <c r="Q336" s="807">
        <f t="shared" si="119"/>
        <v>0</v>
      </c>
      <c r="R336" s="276"/>
      <c r="S336" s="730" t="str">
        <f t="shared" si="104"/>
        <v/>
      </c>
      <c r="T336" s="730" t="str">
        <f t="shared" si="104"/>
        <v/>
      </c>
      <c r="U336" s="730" t="str">
        <f t="shared" si="104"/>
        <v/>
      </c>
      <c r="V336" s="730" t="str">
        <f t="shared" si="104"/>
        <v/>
      </c>
      <c r="W336" s="531"/>
      <c r="X336" s="236"/>
      <c r="Y336" s="236"/>
      <c r="Z336" s="236"/>
    </row>
    <row r="337" spans="1:26" s="256" customFormat="1" ht="11.25" customHeight="1">
      <c r="A337" s="528" t="s">
        <v>303</v>
      </c>
      <c r="B337" s="528" t="s">
        <v>134</v>
      </c>
      <c r="C337" s="389"/>
      <c r="D337" s="650" t="s">
        <v>98</v>
      </c>
      <c r="E337" s="390" t="s">
        <v>99</v>
      </c>
      <c r="F337" s="391">
        <f>+F338</f>
        <v>11578328</v>
      </c>
      <c r="G337" s="391">
        <f t="shared" ref="G337:M337" si="125">+G338</f>
        <v>0</v>
      </c>
      <c r="H337" s="391">
        <f t="shared" si="125"/>
        <v>0</v>
      </c>
      <c r="I337" s="391">
        <f t="shared" si="125"/>
        <v>11578328</v>
      </c>
      <c r="J337" s="391">
        <f t="shared" si="125"/>
        <v>10428831.450000001</v>
      </c>
      <c r="K337" s="391">
        <f t="shared" si="125"/>
        <v>0</v>
      </c>
      <c r="L337" s="391">
        <f t="shared" si="125"/>
        <v>0</v>
      </c>
      <c r="M337" s="391">
        <f t="shared" si="125"/>
        <v>10428831.450000001</v>
      </c>
      <c r="N337" s="391">
        <f t="shared" si="118"/>
        <v>1149496.5499999989</v>
      </c>
      <c r="O337" s="391">
        <f t="shared" si="118"/>
        <v>0</v>
      </c>
      <c r="P337" s="391">
        <f t="shared" si="118"/>
        <v>0</v>
      </c>
      <c r="Q337" s="391">
        <f t="shared" si="119"/>
        <v>1149496.5499999989</v>
      </c>
      <c r="R337" s="101"/>
      <c r="S337" s="254">
        <f t="shared" si="104"/>
        <v>0.90071998737641579</v>
      </c>
      <c r="T337" s="254" t="str">
        <f t="shared" si="104"/>
        <v/>
      </c>
      <c r="U337" s="254" t="str">
        <f t="shared" si="104"/>
        <v/>
      </c>
      <c r="V337" s="254">
        <f t="shared" si="104"/>
        <v>0.90071998737641579</v>
      </c>
      <c r="W337" s="531"/>
      <c r="Y337" s="256" t="s">
        <v>598</v>
      </c>
      <c r="Z337" s="256" t="s">
        <v>598</v>
      </c>
    </row>
    <row r="338" spans="1:26" ht="11.25" customHeight="1">
      <c r="A338" s="528" t="s">
        <v>303</v>
      </c>
      <c r="B338" s="1013" t="s">
        <v>134</v>
      </c>
      <c r="C338" s="728"/>
      <c r="D338" s="649" t="s">
        <v>286</v>
      </c>
      <c r="E338" s="729" t="s">
        <v>286</v>
      </c>
      <c r="F338" s="103">
        <f>SUM('[3]chd2-SAOB'!AE14)</f>
        <v>11578328</v>
      </c>
      <c r="G338" s="103">
        <f>SUM('[3]chd2-SAOB'!AE50)</f>
        <v>0</v>
      </c>
      <c r="H338" s="103">
        <f>SUM('[3]chd2-SAOB'!AE142)</f>
        <v>0</v>
      </c>
      <c r="I338" s="103">
        <f>SUM(F338:H338)</f>
        <v>11578328</v>
      </c>
      <c r="J338" s="103">
        <f>SUM('[3]chd2-SAOB'!AE15)</f>
        <v>10428831.450000001</v>
      </c>
      <c r="K338" s="103">
        <f>SUM('[3]chd2-SAOB'!AE51)</f>
        <v>0</v>
      </c>
      <c r="L338" s="103">
        <f>SUM('[3]chd2-SAOB'!AE143)</f>
        <v>0</v>
      </c>
      <c r="M338" s="103">
        <f>SUM(J338:L338)</f>
        <v>10428831.450000001</v>
      </c>
      <c r="N338" s="103">
        <f t="shared" si="118"/>
        <v>1149496.5499999989</v>
      </c>
      <c r="O338" s="103">
        <f t="shared" si="118"/>
        <v>0</v>
      </c>
      <c r="P338" s="103">
        <f t="shared" si="118"/>
        <v>0</v>
      </c>
      <c r="Q338" s="103">
        <f t="shared" si="119"/>
        <v>1149496.5499999989</v>
      </c>
      <c r="S338" s="730">
        <f t="shared" si="104"/>
        <v>0.90071998737641579</v>
      </c>
      <c r="T338" s="730" t="str">
        <f t="shared" si="104"/>
        <v/>
      </c>
      <c r="U338" s="730" t="str">
        <f t="shared" si="104"/>
        <v/>
      </c>
      <c r="V338" s="730">
        <f t="shared" si="104"/>
        <v>0.90071998737641579</v>
      </c>
      <c r="W338" s="531"/>
      <c r="X338" s="236"/>
      <c r="Y338" s="236" t="s">
        <v>598</v>
      </c>
      <c r="Z338" s="236"/>
    </row>
    <row r="339" spans="1:26" s="272" customFormat="1" ht="11.25" customHeight="1">
      <c r="A339" s="528" t="s">
        <v>303</v>
      </c>
      <c r="B339" s="528" t="s">
        <v>134</v>
      </c>
      <c r="C339" s="389"/>
      <c r="D339" s="650" t="s">
        <v>98</v>
      </c>
      <c r="E339" s="390" t="s">
        <v>100</v>
      </c>
      <c r="F339" s="391">
        <f t="shared" ref="F339:M339" si="126">SUM(F340:F344)</f>
        <v>8800969</v>
      </c>
      <c r="G339" s="391">
        <f t="shared" si="126"/>
        <v>4660000</v>
      </c>
      <c r="H339" s="391">
        <f t="shared" si="126"/>
        <v>0</v>
      </c>
      <c r="I339" s="391">
        <f t="shared" si="126"/>
        <v>13460969</v>
      </c>
      <c r="J339" s="391">
        <f t="shared" si="126"/>
        <v>8726221.4399999995</v>
      </c>
      <c r="K339" s="391">
        <f t="shared" si="126"/>
        <v>3415627.86</v>
      </c>
      <c r="L339" s="391">
        <f t="shared" si="126"/>
        <v>0</v>
      </c>
      <c r="M339" s="391">
        <f t="shared" si="126"/>
        <v>12141849.299999999</v>
      </c>
      <c r="N339" s="391">
        <f t="shared" si="118"/>
        <v>74747.560000000522</v>
      </c>
      <c r="O339" s="391">
        <f t="shared" si="118"/>
        <v>1244372.1400000001</v>
      </c>
      <c r="P339" s="391">
        <f t="shared" si="118"/>
        <v>0</v>
      </c>
      <c r="Q339" s="391">
        <f t="shared" si="119"/>
        <v>1319119.7000000007</v>
      </c>
      <c r="R339" s="102"/>
      <c r="S339" s="254">
        <f t="shared" si="104"/>
        <v>0.99150689429766192</v>
      </c>
      <c r="T339" s="254">
        <f t="shared" si="104"/>
        <v>0.73296735193133045</v>
      </c>
      <c r="U339" s="254" t="str">
        <f t="shared" si="104"/>
        <v/>
      </c>
      <c r="V339" s="254">
        <f t="shared" si="104"/>
        <v>0.90200410535081088</v>
      </c>
      <c r="W339" s="531"/>
      <c r="Y339" s="272" t="s">
        <v>598</v>
      </c>
      <c r="Z339" s="256" t="s">
        <v>598</v>
      </c>
    </row>
    <row r="340" spans="1:26" ht="11.25" customHeight="1">
      <c r="A340" s="528" t="s">
        <v>303</v>
      </c>
      <c r="B340" s="1013" t="s">
        <v>134</v>
      </c>
      <c r="C340" s="728"/>
      <c r="D340" s="649" t="s">
        <v>288</v>
      </c>
      <c r="E340" s="729" t="s">
        <v>288</v>
      </c>
      <c r="F340" s="103">
        <f>SUM('[3]chd2-SAOB'!AK14)</f>
        <v>546704</v>
      </c>
      <c r="G340" s="103">
        <f>SUM('[3]chd2-SAOB'!AK50)</f>
        <v>0</v>
      </c>
      <c r="H340" s="103">
        <f>SUM('[3]chd2-SAOB'!AK142)</f>
        <v>0</v>
      </c>
      <c r="I340" s="103">
        <f>SUM(F340:H340)</f>
        <v>546704</v>
      </c>
      <c r="J340" s="103">
        <f>SUM('[3]chd2-SAOB'!AK15)</f>
        <v>489813.54</v>
      </c>
      <c r="K340" s="103">
        <f>SUM('[3]chd2-SAOB'!AK51)</f>
        <v>0</v>
      </c>
      <c r="L340" s="103">
        <f>SUM('[3]chd2-SAOB'!AK143)</f>
        <v>0</v>
      </c>
      <c r="M340" s="103">
        <f>SUM(J340:L340)</f>
        <v>489813.54</v>
      </c>
      <c r="N340" s="103">
        <f t="shared" si="118"/>
        <v>56890.460000000021</v>
      </c>
      <c r="O340" s="103">
        <f t="shared" si="118"/>
        <v>0</v>
      </c>
      <c r="P340" s="103">
        <f t="shared" si="118"/>
        <v>0</v>
      </c>
      <c r="Q340" s="103">
        <f t="shared" si="119"/>
        <v>56890.460000000021</v>
      </c>
      <c r="S340" s="730">
        <f t="shared" si="104"/>
        <v>0.89593919195762239</v>
      </c>
      <c r="T340" s="730" t="str">
        <f t="shared" si="104"/>
        <v/>
      </c>
      <c r="U340" s="730" t="str">
        <f t="shared" si="104"/>
        <v/>
      </c>
      <c r="V340" s="730">
        <f t="shared" si="104"/>
        <v>0.89593919195762239</v>
      </c>
      <c r="W340" s="531"/>
      <c r="X340" s="236"/>
      <c r="Y340" s="236" t="s">
        <v>598</v>
      </c>
      <c r="Z340" s="236"/>
    </row>
    <row r="341" spans="1:26" ht="11.25" customHeight="1">
      <c r="A341" s="528" t="s">
        <v>303</v>
      </c>
      <c r="B341" s="1013" t="s">
        <v>134</v>
      </c>
      <c r="C341" s="728"/>
      <c r="D341" s="649" t="s">
        <v>761</v>
      </c>
      <c r="E341" s="729" t="s">
        <v>761</v>
      </c>
      <c r="F341" s="404">
        <f>+'[3]chd2-SAOB'!C393</f>
        <v>2730000</v>
      </c>
      <c r="G341" s="404"/>
      <c r="H341" s="404"/>
      <c r="I341" s="103">
        <f>SUM(F341:H341)</f>
        <v>2730000</v>
      </c>
      <c r="J341" s="404">
        <f>+'[3]chd2-SAOB'!G393</f>
        <v>2730000</v>
      </c>
      <c r="K341" s="404"/>
      <c r="L341" s="404"/>
      <c r="M341" s="103">
        <f>SUM(J341:L341)</f>
        <v>2730000</v>
      </c>
      <c r="N341" s="103">
        <f>+F341-J341</f>
        <v>0</v>
      </c>
      <c r="O341" s="103">
        <f>+G341-K341</f>
        <v>0</v>
      </c>
      <c r="P341" s="103">
        <f>+H341-L341</f>
        <v>0</v>
      </c>
      <c r="Q341" s="103">
        <f>SUM(N341:P341)</f>
        <v>0</v>
      </c>
      <c r="S341" s="730">
        <f t="shared" si="104"/>
        <v>1</v>
      </c>
      <c r="T341" s="730" t="str">
        <f t="shared" si="104"/>
        <v/>
      </c>
      <c r="U341" s="730" t="str">
        <f t="shared" si="104"/>
        <v/>
      </c>
      <c r="V341" s="730">
        <f t="shared" si="104"/>
        <v>1</v>
      </c>
      <c r="W341" s="531"/>
      <c r="X341" s="236"/>
      <c r="Y341" s="236" t="s">
        <v>688</v>
      </c>
      <c r="Z341" s="236"/>
    </row>
    <row r="342" spans="1:26" ht="11.25" customHeight="1">
      <c r="A342" s="528" t="s">
        <v>303</v>
      </c>
      <c r="B342" s="1013" t="s">
        <v>134</v>
      </c>
      <c r="C342" s="411"/>
      <c r="D342" s="647"/>
      <c r="E342" s="1014" t="s">
        <v>764</v>
      </c>
      <c r="F342" s="104"/>
      <c r="G342" s="104"/>
      <c r="H342" s="104"/>
      <c r="I342" s="103"/>
      <c r="J342" s="104"/>
      <c r="K342" s="104"/>
      <c r="L342" s="104"/>
      <c r="M342" s="103"/>
      <c r="N342" s="103"/>
      <c r="O342" s="103"/>
      <c r="P342" s="103"/>
      <c r="Q342" s="103"/>
      <c r="S342" s="730" t="str">
        <f t="shared" si="104"/>
        <v/>
      </c>
      <c r="T342" s="730" t="str">
        <f t="shared" si="104"/>
        <v/>
      </c>
      <c r="U342" s="730" t="str">
        <f t="shared" si="104"/>
        <v/>
      </c>
      <c r="V342" s="730" t="str">
        <f t="shared" si="104"/>
        <v/>
      </c>
      <c r="W342" s="531"/>
      <c r="X342" s="236"/>
      <c r="Y342" s="236" t="s">
        <v>688</v>
      </c>
      <c r="Z342" s="240"/>
    </row>
    <row r="343" spans="1:26" ht="11.25" customHeight="1">
      <c r="A343" s="528" t="s">
        <v>303</v>
      </c>
      <c r="B343" s="1013" t="s">
        <v>134</v>
      </c>
      <c r="C343" s="728"/>
      <c r="D343" s="649" t="s">
        <v>289</v>
      </c>
      <c r="E343" s="729" t="s">
        <v>289</v>
      </c>
      <c r="F343" s="103">
        <f>SUM('[3]chd2-SAOB'!AQ14)</f>
        <v>5524265</v>
      </c>
      <c r="G343" s="103">
        <f>SUM('[3]chd2-SAOB'!AQ50)</f>
        <v>0</v>
      </c>
      <c r="H343" s="103">
        <f>SUM('[3]chd2-SAOB'!AQ142)</f>
        <v>0</v>
      </c>
      <c r="I343" s="103">
        <f>SUM(F343:H343)</f>
        <v>5524265</v>
      </c>
      <c r="J343" s="103">
        <f>SUM('[3]chd2-SAOB'!AQ15)</f>
        <v>5506407.8999999994</v>
      </c>
      <c r="K343" s="103">
        <f>SUM('[3]chd2-SAOB'!AQ51)</f>
        <v>0</v>
      </c>
      <c r="L343" s="103">
        <f>SUM('[3]chd2-SAOB'!AQ143)</f>
        <v>0</v>
      </c>
      <c r="M343" s="103">
        <f>SUM(J343:L343)</f>
        <v>5506407.8999999994</v>
      </c>
      <c r="N343" s="103">
        <f t="shared" si="118"/>
        <v>17857.100000000559</v>
      </c>
      <c r="O343" s="103">
        <f t="shared" si="118"/>
        <v>0</v>
      </c>
      <c r="P343" s="103">
        <f t="shared" si="118"/>
        <v>0</v>
      </c>
      <c r="Q343" s="103">
        <f t="shared" si="119"/>
        <v>17857.100000000559</v>
      </c>
      <c r="S343" s="730">
        <f t="shared" si="104"/>
        <v>0.99676751567855626</v>
      </c>
      <c r="T343" s="730" t="str">
        <f t="shared" si="104"/>
        <v/>
      </c>
      <c r="U343" s="730" t="str">
        <f t="shared" si="104"/>
        <v/>
      </c>
      <c r="V343" s="730">
        <f t="shared" ref="V343:V406" si="127">IF(I343=0,"",M343/I343)</f>
        <v>0.99676751567855626</v>
      </c>
      <c r="W343" s="531"/>
      <c r="X343" s="236"/>
      <c r="Y343" s="236" t="s">
        <v>598</v>
      </c>
      <c r="Z343" s="236"/>
    </row>
    <row r="344" spans="1:26" ht="11.25" customHeight="1">
      <c r="A344" s="528" t="s">
        <v>303</v>
      </c>
      <c r="B344" s="1013" t="s">
        <v>134</v>
      </c>
      <c r="C344" s="728"/>
      <c r="D344" s="649" t="s">
        <v>290</v>
      </c>
      <c r="E344" s="729" t="s">
        <v>290</v>
      </c>
      <c r="F344" s="103">
        <f>SUM('[3]chd2-SAOB'!AW14)</f>
        <v>0</v>
      </c>
      <c r="G344" s="103">
        <f>SUM('[3]chd2-SAOB'!AW50)</f>
        <v>4660000</v>
      </c>
      <c r="H344" s="103">
        <f>SUM('[3]chd2-SAOB'!AW142)</f>
        <v>0</v>
      </c>
      <c r="I344" s="103">
        <f>SUM(F344:H344)</f>
        <v>4660000</v>
      </c>
      <c r="J344" s="103">
        <f>SUM('[3]chd2-SAOB'!AW15)</f>
        <v>0</v>
      </c>
      <c r="K344" s="103">
        <f>SUM('[3]chd2-SAOB'!AW51)</f>
        <v>3415627.86</v>
      </c>
      <c r="L344" s="103">
        <f>SUM('[3]chd2-SAOB'!AW143)</f>
        <v>0</v>
      </c>
      <c r="M344" s="103">
        <f>SUM(J344:L344)</f>
        <v>3415627.86</v>
      </c>
      <c r="N344" s="103">
        <f t="shared" si="118"/>
        <v>0</v>
      </c>
      <c r="O344" s="103">
        <f t="shared" si="118"/>
        <v>1244372.1400000001</v>
      </c>
      <c r="P344" s="103">
        <f t="shared" si="118"/>
        <v>0</v>
      </c>
      <c r="Q344" s="103">
        <f t="shared" si="119"/>
        <v>1244372.1400000001</v>
      </c>
      <c r="S344" s="730" t="str">
        <f t="shared" ref="S344:V407" si="128">IF(F344=0,"",J344/F344)</f>
        <v/>
      </c>
      <c r="T344" s="730">
        <f t="shared" si="128"/>
        <v>0.73296735193133045</v>
      </c>
      <c r="U344" s="730" t="str">
        <f t="shared" si="128"/>
        <v/>
      </c>
      <c r="V344" s="730">
        <f t="shared" si="127"/>
        <v>0.73296735193133045</v>
      </c>
      <c r="W344" s="531"/>
      <c r="X344" s="236"/>
      <c r="Y344" s="236" t="s">
        <v>598</v>
      </c>
      <c r="Z344" s="236"/>
    </row>
    <row r="345" spans="1:26" s="259" customFormat="1" ht="11.25" customHeight="1">
      <c r="A345" s="246" t="s">
        <v>303</v>
      </c>
      <c r="B345" s="235" t="s">
        <v>134</v>
      </c>
      <c r="C345" s="656"/>
      <c r="D345" s="656"/>
      <c r="E345" s="657" t="s">
        <v>4</v>
      </c>
      <c r="F345" s="652">
        <f>+F335+F337+F339</f>
        <v>144933297</v>
      </c>
      <c r="G345" s="652">
        <f t="shared" ref="G345:M345" si="129">+G335+G337+G339</f>
        <v>90457000</v>
      </c>
      <c r="H345" s="652">
        <f t="shared" si="129"/>
        <v>44130000</v>
      </c>
      <c r="I345" s="652">
        <f t="shared" si="129"/>
        <v>279520297</v>
      </c>
      <c r="J345" s="652">
        <f t="shared" si="129"/>
        <v>131873117.03</v>
      </c>
      <c r="K345" s="652">
        <f t="shared" si="129"/>
        <v>80330995.390000001</v>
      </c>
      <c r="L345" s="652">
        <f t="shared" si="129"/>
        <v>37563939.250000007</v>
      </c>
      <c r="M345" s="652">
        <f t="shared" si="129"/>
        <v>249768051.66999999</v>
      </c>
      <c r="N345" s="652">
        <f t="shared" si="118"/>
        <v>13060179.969999999</v>
      </c>
      <c r="O345" s="652">
        <f t="shared" si="118"/>
        <v>10126004.609999999</v>
      </c>
      <c r="P345" s="652">
        <f t="shared" si="118"/>
        <v>6566060.7499999925</v>
      </c>
      <c r="Q345" s="652">
        <f t="shared" si="119"/>
        <v>29752245.329999991</v>
      </c>
      <c r="R345" s="653">
        <f>+Q345-'[3]chd2-SAOB'!BY179</f>
        <v>0</v>
      </c>
      <c r="S345" s="1008">
        <f t="shared" si="128"/>
        <v>0.9098883400824036</v>
      </c>
      <c r="T345" s="1008">
        <f t="shared" si="128"/>
        <v>0.8880572580342041</v>
      </c>
      <c r="U345" s="1008">
        <f t="shared" si="128"/>
        <v>0.85121095060049867</v>
      </c>
      <c r="V345" s="1008">
        <f t="shared" si="127"/>
        <v>0.89355962465223049</v>
      </c>
      <c r="W345" s="254"/>
      <c r="X345" s="520"/>
      <c r="Y345" s="610" t="s">
        <v>598</v>
      </c>
      <c r="Z345" s="241" t="s">
        <v>598</v>
      </c>
    </row>
    <row r="346" spans="1:26" ht="11.25" customHeight="1">
      <c r="A346" s="246" t="s">
        <v>303</v>
      </c>
      <c r="B346" s="235" t="s">
        <v>134</v>
      </c>
      <c r="C346" s="410"/>
      <c r="D346" s="386"/>
      <c r="E346" s="461" t="s">
        <v>764</v>
      </c>
      <c r="F346" s="103"/>
      <c r="G346" s="103"/>
      <c r="H346" s="103"/>
      <c r="I346" s="103">
        <f>SUM(F346:H346)</f>
        <v>0</v>
      </c>
      <c r="J346" s="103"/>
      <c r="K346" s="103"/>
      <c r="L346" s="103"/>
      <c r="M346" s="103">
        <f>SUM(J346:L346)</f>
        <v>0</v>
      </c>
      <c r="N346" s="103">
        <f t="shared" si="118"/>
        <v>0</v>
      </c>
      <c r="O346" s="103">
        <f t="shared" si="118"/>
        <v>0</v>
      </c>
      <c r="P346" s="103">
        <f t="shared" si="118"/>
        <v>0</v>
      </c>
      <c r="Q346" s="103">
        <f t="shared" si="119"/>
        <v>0</v>
      </c>
      <c r="S346" s="730" t="str">
        <f t="shared" si="128"/>
        <v/>
      </c>
      <c r="T346" s="730" t="str">
        <f t="shared" si="128"/>
        <v/>
      </c>
      <c r="U346" s="730" t="str">
        <f t="shared" si="128"/>
        <v/>
      </c>
      <c r="V346" s="730" t="str">
        <f t="shared" si="127"/>
        <v/>
      </c>
      <c r="W346" s="254"/>
      <c r="Y346" s="610" t="s">
        <v>598</v>
      </c>
      <c r="Z346" s="241" t="s">
        <v>598</v>
      </c>
    </row>
    <row r="347" spans="1:26" s="675" customFormat="1" ht="11.25" customHeight="1">
      <c r="A347" s="528" t="s">
        <v>303</v>
      </c>
      <c r="B347" s="528" t="s">
        <v>135</v>
      </c>
      <c r="C347" s="407" t="s">
        <v>98</v>
      </c>
      <c r="D347" s="655" t="s">
        <v>107</v>
      </c>
      <c r="E347" s="408" t="s">
        <v>793</v>
      </c>
      <c r="F347" s="673"/>
      <c r="G347" s="673"/>
      <c r="H347" s="673"/>
      <c r="I347" s="674">
        <f>SUM(F347:H347)</f>
        <v>0</v>
      </c>
      <c r="J347" s="673"/>
      <c r="K347" s="673"/>
      <c r="L347" s="673"/>
      <c r="M347" s="674">
        <f>SUM(J347:L347)</f>
        <v>0</v>
      </c>
      <c r="N347" s="674">
        <f t="shared" si="118"/>
        <v>0</v>
      </c>
      <c r="O347" s="674">
        <f t="shared" si="118"/>
        <v>0</v>
      </c>
      <c r="P347" s="674">
        <f t="shared" si="118"/>
        <v>0</v>
      </c>
      <c r="Q347" s="674">
        <f t="shared" si="119"/>
        <v>0</v>
      </c>
      <c r="R347" s="101"/>
      <c r="S347" s="254" t="str">
        <f t="shared" si="128"/>
        <v/>
      </c>
      <c r="T347" s="254" t="str">
        <f t="shared" si="128"/>
        <v/>
      </c>
      <c r="U347" s="254" t="str">
        <f t="shared" si="128"/>
        <v/>
      </c>
      <c r="V347" s="254" t="str">
        <f t="shared" si="127"/>
        <v/>
      </c>
      <c r="W347" s="531"/>
      <c r="Y347" s="272" t="s">
        <v>598</v>
      </c>
      <c r="Z347" s="260" t="s">
        <v>598</v>
      </c>
    </row>
    <row r="348" spans="1:26" ht="11.25" customHeight="1">
      <c r="A348" s="528" t="s">
        <v>303</v>
      </c>
      <c r="B348" s="1013" t="s">
        <v>135</v>
      </c>
      <c r="C348" s="461"/>
      <c r="D348" s="645" t="s">
        <v>766</v>
      </c>
      <c r="E348" s="447" t="s">
        <v>766</v>
      </c>
      <c r="F348" s="104">
        <f>+'[3]chd2-SAOB'!C398</f>
        <v>86436000</v>
      </c>
      <c r="G348" s="104">
        <f>+'[3]chd2-SAOB'!D398</f>
        <v>28587000</v>
      </c>
      <c r="H348" s="104">
        <f>+'[3]chd2-SAOB'!E398</f>
        <v>0</v>
      </c>
      <c r="I348" s="103">
        <f>SUM(F348:H348)</f>
        <v>115023000</v>
      </c>
      <c r="J348" s="104">
        <f>+'[3]chd2-SAOB'!G398</f>
        <v>79120486.75</v>
      </c>
      <c r="K348" s="104">
        <f>+'[3]chd2-SAOB'!H398</f>
        <v>20143649.919999998</v>
      </c>
      <c r="L348" s="104">
        <f>+'[3]chd2-SAOB'!I398</f>
        <v>0</v>
      </c>
      <c r="M348" s="103">
        <f>SUM(J348:L348)</f>
        <v>99264136.670000002</v>
      </c>
      <c r="N348" s="103">
        <f t="shared" si="118"/>
        <v>7315513.25</v>
      </c>
      <c r="O348" s="103">
        <f t="shared" si="118"/>
        <v>8443350.0800000019</v>
      </c>
      <c r="P348" s="103">
        <f t="shared" si="118"/>
        <v>0</v>
      </c>
      <c r="Q348" s="103">
        <f t="shared" si="119"/>
        <v>15758863.330000002</v>
      </c>
      <c r="S348" s="730">
        <f t="shared" si="128"/>
        <v>0.915364972349484</v>
      </c>
      <c r="T348" s="730">
        <f t="shared" si="128"/>
        <v>0.70464371637457579</v>
      </c>
      <c r="U348" s="730" t="str">
        <f t="shared" si="128"/>
        <v/>
      </c>
      <c r="V348" s="730">
        <f t="shared" si="127"/>
        <v>0.86299380706467399</v>
      </c>
      <c r="W348" s="531"/>
      <c r="X348" s="236"/>
      <c r="Y348" s="236" t="s">
        <v>688</v>
      </c>
      <c r="Z348" s="236"/>
    </row>
    <row r="349" spans="1:26" ht="11.25" customHeight="1">
      <c r="A349" s="528" t="s">
        <v>303</v>
      </c>
      <c r="B349" s="1013" t="s">
        <v>135</v>
      </c>
      <c r="C349" s="728"/>
      <c r="D349" s="649" t="s">
        <v>50</v>
      </c>
      <c r="E349" s="447" t="s">
        <v>50</v>
      </c>
      <c r="F349" s="104"/>
      <c r="G349" s="104">
        <f>+'[3]chd2-SAOB'!D400</f>
        <v>13933400</v>
      </c>
      <c r="H349" s="104">
        <f>+'[3]chd2-SAOB'!E400</f>
        <v>100000000</v>
      </c>
      <c r="I349" s="103">
        <f>SUM(F349:H349)</f>
        <v>113933400</v>
      </c>
      <c r="J349" s="104"/>
      <c r="K349" s="104">
        <f>+'[3]chd2-SAOB'!H400</f>
        <v>12615063.07</v>
      </c>
      <c r="L349" s="104">
        <f>+'[3]chd2-SAOB'!I400</f>
        <v>96715086</v>
      </c>
      <c r="M349" s="103">
        <f>SUM(J349:L349)</f>
        <v>109330149.06999999</v>
      </c>
      <c r="N349" s="103">
        <f t="shared" si="118"/>
        <v>0</v>
      </c>
      <c r="O349" s="103">
        <f t="shared" si="118"/>
        <v>1318336.9299999997</v>
      </c>
      <c r="P349" s="103">
        <f t="shared" si="118"/>
        <v>3284914</v>
      </c>
      <c r="Q349" s="103">
        <f t="shared" si="119"/>
        <v>4603250.93</v>
      </c>
      <c r="S349" s="730" t="str">
        <f t="shared" si="128"/>
        <v/>
      </c>
      <c r="T349" s="730">
        <f t="shared" si="128"/>
        <v>0.90538296969870957</v>
      </c>
      <c r="U349" s="730">
        <f t="shared" si="128"/>
        <v>0.96715085999999995</v>
      </c>
      <c r="V349" s="730">
        <f t="shared" si="127"/>
        <v>0.9595970020204786</v>
      </c>
      <c r="W349" s="531"/>
      <c r="X349" s="236"/>
      <c r="Y349" s="236" t="s">
        <v>688</v>
      </c>
      <c r="Z349" s="236"/>
    </row>
    <row r="350" spans="1:26" s="256" customFormat="1" ht="11.25" customHeight="1">
      <c r="A350" s="528" t="s">
        <v>303</v>
      </c>
      <c r="B350" s="528" t="s">
        <v>135</v>
      </c>
      <c r="C350" s="389"/>
      <c r="D350" s="650" t="s">
        <v>98</v>
      </c>
      <c r="E350" s="390" t="s">
        <v>767</v>
      </c>
      <c r="F350" s="391">
        <f>+F348+F349</f>
        <v>86436000</v>
      </c>
      <c r="G350" s="391">
        <f t="shared" ref="G350:M350" si="130">+G348+G349</f>
        <v>42520400</v>
      </c>
      <c r="H350" s="391">
        <f t="shared" si="130"/>
        <v>100000000</v>
      </c>
      <c r="I350" s="391">
        <f t="shared" si="130"/>
        <v>228956400</v>
      </c>
      <c r="J350" s="391">
        <f t="shared" si="130"/>
        <v>79120486.75</v>
      </c>
      <c r="K350" s="391">
        <f t="shared" si="130"/>
        <v>32758712.989999998</v>
      </c>
      <c r="L350" s="391">
        <f t="shared" si="130"/>
        <v>96715086</v>
      </c>
      <c r="M350" s="391">
        <f t="shared" si="130"/>
        <v>208594285.74000001</v>
      </c>
      <c r="N350" s="391">
        <f t="shared" si="118"/>
        <v>7315513.25</v>
      </c>
      <c r="O350" s="391">
        <f t="shared" si="118"/>
        <v>9761687.0100000016</v>
      </c>
      <c r="P350" s="391">
        <f t="shared" si="118"/>
        <v>3284914</v>
      </c>
      <c r="Q350" s="391">
        <f t="shared" si="119"/>
        <v>20362114.260000002</v>
      </c>
      <c r="R350" s="101"/>
      <c r="S350" s="254">
        <f t="shared" si="128"/>
        <v>0.915364972349484</v>
      </c>
      <c r="T350" s="254">
        <f t="shared" si="128"/>
        <v>0.77042344357061543</v>
      </c>
      <c r="U350" s="254">
        <f t="shared" si="128"/>
        <v>0.96715085999999995</v>
      </c>
      <c r="V350" s="254">
        <f t="shared" si="127"/>
        <v>0.91106553798015699</v>
      </c>
      <c r="W350" s="531"/>
      <c r="Y350" s="256" t="s">
        <v>598</v>
      </c>
      <c r="Z350" s="256" t="s">
        <v>598</v>
      </c>
    </row>
    <row r="351" spans="1:26" ht="11.25" hidden="1" customHeight="1">
      <c r="A351" s="528" t="s">
        <v>303</v>
      </c>
      <c r="B351" s="1013" t="s">
        <v>135</v>
      </c>
      <c r="C351" s="410"/>
      <c r="D351" s="651"/>
      <c r="E351" s="806" t="s">
        <v>764</v>
      </c>
      <c r="F351" s="807"/>
      <c r="G351" s="807"/>
      <c r="H351" s="807"/>
      <c r="I351" s="807"/>
      <c r="J351" s="807"/>
      <c r="K351" s="807"/>
      <c r="L351" s="807"/>
      <c r="M351" s="807"/>
      <c r="N351" s="807">
        <f t="shared" si="118"/>
        <v>0</v>
      </c>
      <c r="O351" s="807">
        <f t="shared" si="118"/>
        <v>0</v>
      </c>
      <c r="P351" s="807">
        <f t="shared" si="118"/>
        <v>0</v>
      </c>
      <c r="Q351" s="807">
        <f t="shared" si="119"/>
        <v>0</v>
      </c>
      <c r="R351" s="276"/>
      <c r="S351" s="730" t="str">
        <f t="shared" si="128"/>
        <v/>
      </c>
      <c r="T351" s="730" t="str">
        <f t="shared" si="128"/>
        <v/>
      </c>
      <c r="U351" s="730" t="str">
        <f t="shared" si="128"/>
        <v/>
      </c>
      <c r="V351" s="730" t="str">
        <f t="shared" si="127"/>
        <v/>
      </c>
      <c r="W351" s="531"/>
      <c r="X351" s="236"/>
      <c r="Y351" s="236"/>
      <c r="Z351" s="236"/>
    </row>
    <row r="352" spans="1:26" s="256" customFormat="1" ht="11.25" customHeight="1">
      <c r="A352" s="528" t="s">
        <v>303</v>
      </c>
      <c r="B352" s="528" t="s">
        <v>135</v>
      </c>
      <c r="C352" s="389"/>
      <c r="D352" s="650" t="s">
        <v>98</v>
      </c>
      <c r="E352" s="390" t="s">
        <v>99</v>
      </c>
      <c r="F352" s="391">
        <f>+F353</f>
        <v>8047000</v>
      </c>
      <c r="G352" s="391">
        <f t="shared" ref="G352:M352" si="131">+G353</f>
        <v>0</v>
      </c>
      <c r="H352" s="391">
        <f t="shared" si="131"/>
        <v>0</v>
      </c>
      <c r="I352" s="391">
        <f t="shared" si="131"/>
        <v>8047000</v>
      </c>
      <c r="J352" s="391">
        <f t="shared" si="131"/>
        <v>7227185.9400000004</v>
      </c>
      <c r="K352" s="391">
        <f t="shared" si="131"/>
        <v>0</v>
      </c>
      <c r="L352" s="391">
        <f t="shared" si="131"/>
        <v>0</v>
      </c>
      <c r="M352" s="391">
        <f t="shared" si="131"/>
        <v>7227185.9400000004</v>
      </c>
      <c r="N352" s="391">
        <f t="shared" si="118"/>
        <v>819814.05999999959</v>
      </c>
      <c r="O352" s="391">
        <f t="shared" si="118"/>
        <v>0</v>
      </c>
      <c r="P352" s="391">
        <f t="shared" si="118"/>
        <v>0</v>
      </c>
      <c r="Q352" s="391">
        <f t="shared" si="119"/>
        <v>819814.05999999959</v>
      </c>
      <c r="R352" s="101"/>
      <c r="S352" s="254">
        <f t="shared" si="128"/>
        <v>0.89812177705977392</v>
      </c>
      <c r="T352" s="254" t="str">
        <f t="shared" si="128"/>
        <v/>
      </c>
      <c r="U352" s="254" t="str">
        <f t="shared" si="128"/>
        <v/>
      </c>
      <c r="V352" s="254">
        <f t="shared" si="127"/>
        <v>0.89812177705977392</v>
      </c>
      <c r="W352" s="531"/>
      <c r="Y352" s="256" t="s">
        <v>598</v>
      </c>
      <c r="Z352" s="256" t="s">
        <v>598</v>
      </c>
    </row>
    <row r="353" spans="1:26" ht="11.25" customHeight="1">
      <c r="A353" s="528" t="s">
        <v>303</v>
      </c>
      <c r="B353" s="1013" t="s">
        <v>135</v>
      </c>
      <c r="C353" s="728"/>
      <c r="D353" s="649" t="s">
        <v>286</v>
      </c>
      <c r="E353" s="729" t="s">
        <v>286</v>
      </c>
      <c r="F353" s="103">
        <f>SUM('[3]chd2-SAOB'!AF14)</f>
        <v>8047000</v>
      </c>
      <c r="G353" s="103">
        <f>SUM('[3]chd2-SAOB'!AF50)</f>
        <v>0</v>
      </c>
      <c r="H353" s="103">
        <f>SUM('[3]chd2-SAOB'!AF142)</f>
        <v>0</v>
      </c>
      <c r="I353" s="103">
        <f>SUM(F353:H353)</f>
        <v>8047000</v>
      </c>
      <c r="J353" s="103">
        <f>SUM('[3]chd2-SAOB'!AF15)</f>
        <v>7227185.9400000004</v>
      </c>
      <c r="K353" s="103">
        <f>SUM('[3]chd2-SAOB'!AF51)</f>
        <v>0</v>
      </c>
      <c r="L353" s="103">
        <f>SUM('[3]chd2-SAOB'!AF143)</f>
        <v>0</v>
      </c>
      <c r="M353" s="103">
        <f>SUM(J353:L353)</f>
        <v>7227185.9400000004</v>
      </c>
      <c r="N353" s="103">
        <f t="shared" si="118"/>
        <v>819814.05999999959</v>
      </c>
      <c r="O353" s="103">
        <f t="shared" si="118"/>
        <v>0</v>
      </c>
      <c r="P353" s="103">
        <f t="shared" si="118"/>
        <v>0</v>
      </c>
      <c r="Q353" s="103">
        <f t="shared" si="119"/>
        <v>819814.05999999959</v>
      </c>
      <c r="S353" s="730">
        <f t="shared" si="128"/>
        <v>0.89812177705977392</v>
      </c>
      <c r="T353" s="730" t="str">
        <f t="shared" si="128"/>
        <v/>
      </c>
      <c r="U353" s="730" t="str">
        <f t="shared" si="128"/>
        <v/>
      </c>
      <c r="V353" s="730">
        <f t="shared" si="127"/>
        <v>0.89812177705977392</v>
      </c>
      <c r="W353" s="531"/>
      <c r="X353" s="236"/>
      <c r="Y353" s="236" t="s">
        <v>598</v>
      </c>
      <c r="Z353" s="236"/>
    </row>
    <row r="354" spans="1:26" s="272" customFormat="1" ht="11.25" customHeight="1">
      <c r="A354" s="528" t="s">
        <v>303</v>
      </c>
      <c r="B354" s="528" t="s">
        <v>135</v>
      </c>
      <c r="C354" s="389"/>
      <c r="D354" s="650" t="s">
        <v>98</v>
      </c>
      <c r="E354" s="390" t="s">
        <v>100</v>
      </c>
      <c r="F354" s="391">
        <f t="shared" ref="F354:M354" si="132">SUM(F355:F359)</f>
        <v>2898967</v>
      </c>
      <c r="G354" s="391">
        <f t="shared" si="132"/>
        <v>2050000</v>
      </c>
      <c r="H354" s="391">
        <f t="shared" si="132"/>
        <v>0</v>
      </c>
      <c r="I354" s="391">
        <f t="shared" si="132"/>
        <v>4948967</v>
      </c>
      <c r="J354" s="391">
        <f t="shared" si="132"/>
        <v>2781466.7199999997</v>
      </c>
      <c r="K354" s="391">
        <f t="shared" si="132"/>
        <v>2050000</v>
      </c>
      <c r="L354" s="391">
        <f t="shared" si="132"/>
        <v>0</v>
      </c>
      <c r="M354" s="391">
        <f t="shared" si="132"/>
        <v>4831466.72</v>
      </c>
      <c r="N354" s="391">
        <f t="shared" si="118"/>
        <v>117500.28000000026</v>
      </c>
      <c r="O354" s="391">
        <f t="shared" si="118"/>
        <v>0</v>
      </c>
      <c r="P354" s="391">
        <f t="shared" si="118"/>
        <v>0</v>
      </c>
      <c r="Q354" s="391">
        <f t="shared" si="119"/>
        <v>117500.28000000026</v>
      </c>
      <c r="R354" s="102"/>
      <c r="S354" s="254">
        <f t="shared" si="128"/>
        <v>0.95946822437095691</v>
      </c>
      <c r="T354" s="254">
        <f t="shared" si="128"/>
        <v>1</v>
      </c>
      <c r="U354" s="254" t="str">
        <f t="shared" si="128"/>
        <v/>
      </c>
      <c r="V354" s="254">
        <f t="shared" si="127"/>
        <v>0.97625761497298325</v>
      </c>
      <c r="W354" s="531"/>
      <c r="Y354" s="272" t="s">
        <v>598</v>
      </c>
      <c r="Z354" s="256" t="s">
        <v>598</v>
      </c>
    </row>
    <row r="355" spans="1:26" ht="11.25" customHeight="1">
      <c r="A355" s="528" t="s">
        <v>303</v>
      </c>
      <c r="B355" s="1013" t="s">
        <v>135</v>
      </c>
      <c r="C355" s="728"/>
      <c r="D355" s="649" t="s">
        <v>288</v>
      </c>
      <c r="E355" s="729" t="s">
        <v>288</v>
      </c>
      <c r="F355" s="103">
        <f>SUM('[3]chd2-SAOB'!AL14)</f>
        <v>0</v>
      </c>
      <c r="G355" s="103">
        <f>SUM('[3]chd2-SAOB'!AL50)</f>
        <v>0</v>
      </c>
      <c r="H355" s="103">
        <f>SUM('[3]chd2-SAOB'!AL142)</f>
        <v>0</v>
      </c>
      <c r="I355" s="103">
        <f>SUM(F355:H355)</f>
        <v>0</v>
      </c>
      <c r="J355" s="103">
        <f>SUM('[3]chd2-SAOB'!AL15)</f>
        <v>0</v>
      </c>
      <c r="K355" s="103">
        <f>SUM('[3]chd2-SAOB'!AL51)</f>
        <v>0</v>
      </c>
      <c r="L355" s="103">
        <f>SUM('[3]chd2-SAOB'!AL143)</f>
        <v>0</v>
      </c>
      <c r="M355" s="103">
        <f>SUM(J355:L355)</f>
        <v>0</v>
      </c>
      <c r="N355" s="103">
        <f t="shared" si="118"/>
        <v>0</v>
      </c>
      <c r="O355" s="103">
        <f t="shared" si="118"/>
        <v>0</v>
      </c>
      <c r="P355" s="103">
        <f t="shared" si="118"/>
        <v>0</v>
      </c>
      <c r="Q355" s="103">
        <f t="shared" si="119"/>
        <v>0</v>
      </c>
      <c r="S355" s="730" t="str">
        <f t="shared" si="128"/>
        <v/>
      </c>
      <c r="T355" s="730" t="str">
        <f t="shared" si="128"/>
        <v/>
      </c>
      <c r="U355" s="730" t="str">
        <f t="shared" si="128"/>
        <v/>
      </c>
      <c r="V355" s="730" t="str">
        <f t="shared" si="127"/>
        <v/>
      </c>
      <c r="W355" s="531"/>
      <c r="X355" s="236"/>
      <c r="Y355" s="236" t="s">
        <v>598</v>
      </c>
      <c r="Z355" s="236"/>
    </row>
    <row r="356" spans="1:26" ht="11.25" customHeight="1">
      <c r="A356" s="528" t="s">
        <v>303</v>
      </c>
      <c r="B356" s="1013" t="s">
        <v>135</v>
      </c>
      <c r="C356" s="728"/>
      <c r="D356" s="649" t="s">
        <v>761</v>
      </c>
      <c r="E356" s="729" t="s">
        <v>761</v>
      </c>
      <c r="F356" s="404">
        <f>+'[3]chd2-SAOB'!C400</f>
        <v>1830000</v>
      </c>
      <c r="G356" s="404"/>
      <c r="H356" s="404"/>
      <c r="I356" s="103">
        <f>SUM(F356:H356)</f>
        <v>1830000</v>
      </c>
      <c r="J356" s="404">
        <f>+'[3]chd2-SAOB'!G400</f>
        <v>1712500</v>
      </c>
      <c r="K356" s="404"/>
      <c r="L356" s="404"/>
      <c r="M356" s="103">
        <f>SUM(J356:L356)</f>
        <v>1712500</v>
      </c>
      <c r="N356" s="103">
        <f t="shared" si="118"/>
        <v>117500</v>
      </c>
      <c r="O356" s="103">
        <f t="shared" si="118"/>
        <v>0</v>
      </c>
      <c r="P356" s="103">
        <f t="shared" si="118"/>
        <v>0</v>
      </c>
      <c r="Q356" s="103">
        <f t="shared" si="119"/>
        <v>117500</v>
      </c>
      <c r="S356" s="730">
        <f t="shared" si="128"/>
        <v>0.93579234972677594</v>
      </c>
      <c r="T356" s="730" t="str">
        <f t="shared" si="128"/>
        <v/>
      </c>
      <c r="U356" s="730" t="str">
        <f t="shared" si="128"/>
        <v/>
      </c>
      <c r="V356" s="730">
        <f t="shared" si="127"/>
        <v>0.93579234972677594</v>
      </c>
      <c r="W356" s="531"/>
      <c r="X356" s="236"/>
      <c r="Y356" s="236" t="s">
        <v>688</v>
      </c>
      <c r="Z356" s="236"/>
    </row>
    <row r="357" spans="1:26" ht="11.25" customHeight="1">
      <c r="A357" s="528" t="s">
        <v>303</v>
      </c>
      <c r="B357" s="1013" t="s">
        <v>135</v>
      </c>
      <c r="C357" s="411"/>
      <c r="D357" s="647"/>
      <c r="E357" s="1014" t="s">
        <v>764</v>
      </c>
      <c r="F357" s="104"/>
      <c r="G357" s="104"/>
      <c r="H357" s="104"/>
      <c r="I357" s="103"/>
      <c r="J357" s="104"/>
      <c r="K357" s="104"/>
      <c r="L357" s="104"/>
      <c r="M357" s="103"/>
      <c r="N357" s="103"/>
      <c r="O357" s="103"/>
      <c r="P357" s="103"/>
      <c r="Q357" s="103"/>
      <c r="S357" s="730" t="str">
        <f t="shared" si="128"/>
        <v/>
      </c>
      <c r="T357" s="730" t="str">
        <f t="shared" si="128"/>
        <v/>
      </c>
      <c r="U357" s="730" t="str">
        <f t="shared" si="128"/>
        <v/>
      </c>
      <c r="V357" s="730" t="str">
        <f t="shared" si="127"/>
        <v/>
      </c>
      <c r="W357" s="531"/>
      <c r="X357" s="236"/>
      <c r="Y357" s="236" t="s">
        <v>688</v>
      </c>
      <c r="Z357" s="240"/>
    </row>
    <row r="358" spans="1:26" ht="11.25" customHeight="1">
      <c r="A358" s="528" t="s">
        <v>303</v>
      </c>
      <c r="B358" s="1013" t="s">
        <v>135</v>
      </c>
      <c r="C358" s="728"/>
      <c r="D358" s="649" t="s">
        <v>289</v>
      </c>
      <c r="E358" s="729" t="s">
        <v>289</v>
      </c>
      <c r="F358" s="103">
        <f>SUM('[3]chd2-SAOB'!AR14)</f>
        <v>1068967</v>
      </c>
      <c r="G358" s="103">
        <f>SUM('[3]chd2-SAOB'!AR50)</f>
        <v>0</v>
      </c>
      <c r="H358" s="103">
        <f>SUM('[3]chd2-SAOB'!AR142)</f>
        <v>0</v>
      </c>
      <c r="I358" s="103">
        <f>SUM(F358:H358)</f>
        <v>1068967</v>
      </c>
      <c r="J358" s="103">
        <f>SUM('[3]chd2-SAOB'!AR15)</f>
        <v>1068966.72</v>
      </c>
      <c r="K358" s="103">
        <f>SUM('[3]chd2-SAOB'!AR51)</f>
        <v>0</v>
      </c>
      <c r="L358" s="103">
        <f>SUM('[3]chd2-SAOB'!AR143)</f>
        <v>0</v>
      </c>
      <c r="M358" s="103">
        <f>SUM(J358:L358)</f>
        <v>1068966.72</v>
      </c>
      <c r="N358" s="103">
        <f t="shared" si="118"/>
        <v>0.28000000002793968</v>
      </c>
      <c r="O358" s="103">
        <f t="shared" si="118"/>
        <v>0</v>
      </c>
      <c r="P358" s="103">
        <f t="shared" si="118"/>
        <v>0</v>
      </c>
      <c r="Q358" s="103">
        <f t="shared" si="119"/>
        <v>0.28000000002793968</v>
      </c>
      <c r="S358" s="730">
        <f t="shared" si="128"/>
        <v>0.99999973806487941</v>
      </c>
      <c r="T358" s="730" t="str">
        <f t="shared" si="128"/>
        <v/>
      </c>
      <c r="U358" s="730" t="str">
        <f t="shared" si="128"/>
        <v/>
      </c>
      <c r="V358" s="730">
        <f t="shared" si="127"/>
        <v>0.99999973806487941</v>
      </c>
      <c r="W358" s="531"/>
      <c r="X358" s="236"/>
      <c r="Y358" s="236" t="s">
        <v>598</v>
      </c>
      <c r="Z358" s="236"/>
    </row>
    <row r="359" spans="1:26" ht="11.25" customHeight="1">
      <c r="A359" s="528" t="s">
        <v>303</v>
      </c>
      <c r="B359" s="1013" t="s">
        <v>135</v>
      </c>
      <c r="C359" s="728"/>
      <c r="D359" s="649" t="s">
        <v>290</v>
      </c>
      <c r="E359" s="729" t="s">
        <v>290</v>
      </c>
      <c r="F359" s="103">
        <f>SUM('[3]chd2-SAOB'!AX14)</f>
        <v>0</v>
      </c>
      <c r="G359" s="103">
        <f>SUM('[3]chd2-SAOB'!AX50)</f>
        <v>2050000</v>
      </c>
      <c r="H359" s="103">
        <f>SUM('[3]chd2-SAOB'!AX142)</f>
        <v>0</v>
      </c>
      <c r="I359" s="103">
        <f>SUM(F359:H359)</f>
        <v>2050000</v>
      </c>
      <c r="J359" s="103">
        <f>SUM('[3]chd2-SAOB'!AX15)</f>
        <v>0</v>
      </c>
      <c r="K359" s="103">
        <f>SUM('[3]chd2-SAOB'!AX51)</f>
        <v>2050000</v>
      </c>
      <c r="L359" s="103">
        <f>SUM('[3]chd2-SAOB'!AX143)</f>
        <v>0</v>
      </c>
      <c r="M359" s="103">
        <f>SUM(J359:L359)</f>
        <v>2050000</v>
      </c>
      <c r="N359" s="103">
        <f t="shared" si="118"/>
        <v>0</v>
      </c>
      <c r="O359" s="103">
        <f t="shared" si="118"/>
        <v>0</v>
      </c>
      <c r="P359" s="103">
        <f t="shared" si="118"/>
        <v>0</v>
      </c>
      <c r="Q359" s="103">
        <f t="shared" si="119"/>
        <v>0</v>
      </c>
      <c r="S359" s="730" t="str">
        <f t="shared" si="128"/>
        <v/>
      </c>
      <c r="T359" s="730">
        <f t="shared" si="128"/>
        <v>1</v>
      </c>
      <c r="U359" s="730" t="str">
        <f t="shared" si="128"/>
        <v/>
      </c>
      <c r="V359" s="730">
        <f t="shared" si="127"/>
        <v>1</v>
      </c>
      <c r="W359" s="531"/>
      <c r="X359" s="236"/>
      <c r="Y359" s="236" t="s">
        <v>598</v>
      </c>
      <c r="Z359" s="236"/>
    </row>
    <row r="360" spans="1:26" s="259" customFormat="1" ht="11.25" customHeight="1">
      <c r="A360" s="246" t="s">
        <v>303</v>
      </c>
      <c r="B360" s="235" t="s">
        <v>135</v>
      </c>
      <c r="C360" s="656"/>
      <c r="D360" s="656"/>
      <c r="E360" s="657" t="s">
        <v>4</v>
      </c>
      <c r="F360" s="652">
        <f>+F350+F352+F354</f>
        <v>97381967</v>
      </c>
      <c r="G360" s="652">
        <f t="shared" ref="G360:M360" si="133">+G350+G352+G354</f>
        <v>44570400</v>
      </c>
      <c r="H360" s="652">
        <f t="shared" si="133"/>
        <v>100000000</v>
      </c>
      <c r="I360" s="652">
        <f t="shared" si="133"/>
        <v>241952367</v>
      </c>
      <c r="J360" s="652">
        <f t="shared" si="133"/>
        <v>89129139.409999996</v>
      </c>
      <c r="K360" s="652">
        <f t="shared" si="133"/>
        <v>34808712.989999995</v>
      </c>
      <c r="L360" s="652">
        <f t="shared" si="133"/>
        <v>96715086</v>
      </c>
      <c r="M360" s="652">
        <f t="shared" si="133"/>
        <v>220652938.40000001</v>
      </c>
      <c r="N360" s="652">
        <f t="shared" si="118"/>
        <v>8252827.5900000036</v>
      </c>
      <c r="O360" s="652">
        <f t="shared" si="118"/>
        <v>9761687.0100000054</v>
      </c>
      <c r="P360" s="652">
        <f t="shared" si="118"/>
        <v>3284914</v>
      </c>
      <c r="Q360" s="652">
        <f t="shared" si="119"/>
        <v>21299428.600000009</v>
      </c>
      <c r="R360" s="653">
        <f>+Q360-'[3]chd2-SAOB'!BZ179</f>
        <v>0</v>
      </c>
      <c r="S360" s="1008">
        <f t="shared" si="128"/>
        <v>0.9152530202023953</v>
      </c>
      <c r="T360" s="1008">
        <f t="shared" si="128"/>
        <v>0.78098273719778133</v>
      </c>
      <c r="U360" s="1008">
        <f t="shared" si="128"/>
        <v>0.96715085999999995</v>
      </c>
      <c r="V360" s="1008">
        <f t="shared" si="127"/>
        <v>0.91196850494130532</v>
      </c>
      <c r="W360" s="254"/>
      <c r="X360" s="520"/>
      <c r="Y360" s="610" t="s">
        <v>598</v>
      </c>
      <c r="Z360" s="241" t="s">
        <v>598</v>
      </c>
    </row>
    <row r="361" spans="1:26" ht="11.25" hidden="1" customHeight="1">
      <c r="A361" s="246"/>
      <c r="B361" s="235"/>
      <c r="C361" s="410"/>
      <c r="D361" s="386"/>
      <c r="E361" s="461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S361" s="730" t="str">
        <f t="shared" si="128"/>
        <v/>
      </c>
      <c r="T361" s="730" t="str">
        <f t="shared" si="128"/>
        <v/>
      </c>
      <c r="U361" s="730" t="str">
        <f t="shared" si="128"/>
        <v/>
      </c>
      <c r="V361" s="730" t="str">
        <f t="shared" si="127"/>
        <v/>
      </c>
      <c r="W361" s="254"/>
      <c r="Z361" s="241"/>
    </row>
    <row r="362" spans="1:26" s="675" customFormat="1" ht="11.25" customHeight="1">
      <c r="A362" s="528" t="s">
        <v>303</v>
      </c>
      <c r="B362" s="528" t="s">
        <v>136</v>
      </c>
      <c r="C362" s="407" t="s">
        <v>98</v>
      </c>
      <c r="D362" s="655" t="s">
        <v>109</v>
      </c>
      <c r="E362" s="408" t="s">
        <v>794</v>
      </c>
      <c r="F362" s="673"/>
      <c r="G362" s="673"/>
      <c r="H362" s="673"/>
      <c r="I362" s="674">
        <f>SUM(F362:H362)</f>
        <v>0</v>
      </c>
      <c r="J362" s="673"/>
      <c r="K362" s="673"/>
      <c r="L362" s="673"/>
      <c r="M362" s="674">
        <f>SUM(J362:L362)</f>
        <v>0</v>
      </c>
      <c r="N362" s="674">
        <f t="shared" si="118"/>
        <v>0</v>
      </c>
      <c r="O362" s="674">
        <f t="shared" si="118"/>
        <v>0</v>
      </c>
      <c r="P362" s="674">
        <f t="shared" si="118"/>
        <v>0</v>
      </c>
      <c r="Q362" s="674">
        <f t="shared" si="119"/>
        <v>0</v>
      </c>
      <c r="R362" s="101"/>
      <c r="S362" s="254" t="str">
        <f t="shared" si="128"/>
        <v/>
      </c>
      <c r="T362" s="254" t="str">
        <f t="shared" si="128"/>
        <v/>
      </c>
      <c r="U362" s="254" t="str">
        <f t="shared" si="128"/>
        <v/>
      </c>
      <c r="V362" s="254" t="str">
        <f t="shared" si="127"/>
        <v/>
      </c>
      <c r="W362" s="531"/>
      <c r="Y362" s="272" t="s">
        <v>598</v>
      </c>
      <c r="Z362" s="260" t="s">
        <v>598</v>
      </c>
    </row>
    <row r="363" spans="1:26" ht="11.25" customHeight="1">
      <c r="A363" s="528" t="s">
        <v>303</v>
      </c>
      <c r="B363" s="1013" t="s">
        <v>136</v>
      </c>
      <c r="C363" s="461"/>
      <c r="D363" s="645" t="s">
        <v>766</v>
      </c>
      <c r="E363" s="447" t="s">
        <v>766</v>
      </c>
      <c r="F363" s="104">
        <f>+'[3]chd2-SAOB'!C405</f>
        <v>17591000</v>
      </c>
      <c r="G363" s="104">
        <f>+'[3]chd2-SAOB'!D405</f>
        <v>7003000</v>
      </c>
      <c r="H363" s="104">
        <f>+'[3]chd2-SAOB'!E405</f>
        <v>0</v>
      </c>
      <c r="I363" s="103">
        <f>SUM(F363:H363)</f>
        <v>24594000</v>
      </c>
      <c r="J363" s="104">
        <f>+'[3]chd2-SAOB'!G405</f>
        <v>15901788.83</v>
      </c>
      <c r="K363" s="104">
        <f>+'[3]chd2-SAOB'!H405</f>
        <v>5830192.04</v>
      </c>
      <c r="L363" s="104">
        <f>+'[3]chd2-SAOB'!I405</f>
        <v>0</v>
      </c>
      <c r="M363" s="103">
        <f>SUM(J363:L363)</f>
        <v>21731980.870000001</v>
      </c>
      <c r="N363" s="103">
        <f t="shared" si="118"/>
        <v>1689211.17</v>
      </c>
      <c r="O363" s="103">
        <f t="shared" si="118"/>
        <v>1172807.96</v>
      </c>
      <c r="P363" s="103">
        <f t="shared" si="118"/>
        <v>0</v>
      </c>
      <c r="Q363" s="103">
        <f t="shared" si="119"/>
        <v>2862019.13</v>
      </c>
      <c r="S363" s="730">
        <f t="shared" si="128"/>
        <v>0.90397298789153546</v>
      </c>
      <c r="T363" s="730">
        <f t="shared" si="128"/>
        <v>0.83252777952306156</v>
      </c>
      <c r="U363" s="730" t="str">
        <f t="shared" si="128"/>
        <v/>
      </c>
      <c r="V363" s="730">
        <f t="shared" si="127"/>
        <v>0.8836293758640319</v>
      </c>
      <c r="W363" s="531"/>
      <c r="X363" s="236"/>
      <c r="Y363" s="236" t="s">
        <v>688</v>
      </c>
      <c r="Z363" s="236"/>
    </row>
    <row r="364" spans="1:26" ht="11.25" customHeight="1">
      <c r="A364" s="528" t="s">
        <v>303</v>
      </c>
      <c r="B364" s="1013" t="s">
        <v>136</v>
      </c>
      <c r="C364" s="728"/>
      <c r="D364" s="649" t="s">
        <v>50</v>
      </c>
      <c r="E364" s="447" t="s">
        <v>50</v>
      </c>
      <c r="F364" s="104"/>
      <c r="G364" s="104">
        <f>+'[3]chd2-SAOB'!D407</f>
        <v>3572000</v>
      </c>
      <c r="H364" s="104">
        <f>+'[3]chd2-SAOB'!E407</f>
        <v>95000000</v>
      </c>
      <c r="I364" s="103">
        <f>SUM(F364:H364)</f>
        <v>98572000</v>
      </c>
      <c r="J364" s="104"/>
      <c r="K364" s="104">
        <f>+'[3]chd2-SAOB'!H407</f>
        <v>3144372.21</v>
      </c>
      <c r="L364" s="104">
        <f>+'[3]chd2-SAOB'!I407</f>
        <v>95000000</v>
      </c>
      <c r="M364" s="103">
        <f>SUM(J364:L364)</f>
        <v>98144372.209999993</v>
      </c>
      <c r="N364" s="103">
        <f t="shared" si="118"/>
        <v>0</v>
      </c>
      <c r="O364" s="103">
        <f t="shared" si="118"/>
        <v>427627.79000000004</v>
      </c>
      <c r="P364" s="103">
        <f t="shared" si="118"/>
        <v>0</v>
      </c>
      <c r="Q364" s="103">
        <f t="shared" si="119"/>
        <v>427627.79000000004</v>
      </c>
      <c r="S364" s="730" t="str">
        <f t="shared" si="128"/>
        <v/>
      </c>
      <c r="T364" s="730">
        <f t="shared" si="128"/>
        <v>0.88028337346024632</v>
      </c>
      <c r="U364" s="730">
        <f t="shared" si="128"/>
        <v>1</v>
      </c>
      <c r="V364" s="730">
        <f t="shared" si="127"/>
        <v>0.9956617722071176</v>
      </c>
      <c r="W364" s="531"/>
      <c r="X364" s="236"/>
      <c r="Y364" s="236" t="s">
        <v>688</v>
      </c>
      <c r="Z364" s="236"/>
    </row>
    <row r="365" spans="1:26" s="256" customFormat="1" ht="11.25" customHeight="1">
      <c r="A365" s="528" t="s">
        <v>303</v>
      </c>
      <c r="B365" s="528" t="s">
        <v>136</v>
      </c>
      <c r="C365" s="389"/>
      <c r="D365" s="650" t="s">
        <v>98</v>
      </c>
      <c r="E365" s="390" t="s">
        <v>767</v>
      </c>
      <c r="F365" s="391">
        <f>+F363+F364</f>
        <v>17591000</v>
      </c>
      <c r="G365" s="391">
        <f t="shared" ref="G365:M365" si="134">+G363+G364</f>
        <v>10575000</v>
      </c>
      <c r="H365" s="391">
        <f t="shared" si="134"/>
        <v>95000000</v>
      </c>
      <c r="I365" s="391">
        <f t="shared" si="134"/>
        <v>123166000</v>
      </c>
      <c r="J365" s="391">
        <f t="shared" si="134"/>
        <v>15901788.83</v>
      </c>
      <c r="K365" s="391">
        <f t="shared" si="134"/>
        <v>8974564.25</v>
      </c>
      <c r="L365" s="391">
        <f t="shared" si="134"/>
        <v>95000000</v>
      </c>
      <c r="M365" s="391">
        <f t="shared" si="134"/>
        <v>119876353.08</v>
      </c>
      <c r="N365" s="391">
        <f t="shared" si="118"/>
        <v>1689211.17</v>
      </c>
      <c r="O365" s="391">
        <f t="shared" si="118"/>
        <v>1600435.75</v>
      </c>
      <c r="P365" s="391">
        <f t="shared" si="118"/>
        <v>0</v>
      </c>
      <c r="Q365" s="391">
        <f t="shared" si="119"/>
        <v>3289646.92</v>
      </c>
      <c r="R365" s="101"/>
      <c r="S365" s="254">
        <f t="shared" si="128"/>
        <v>0.90397298789153546</v>
      </c>
      <c r="T365" s="254">
        <f t="shared" si="128"/>
        <v>0.84865855791962175</v>
      </c>
      <c r="U365" s="254">
        <f t="shared" si="128"/>
        <v>1</v>
      </c>
      <c r="V365" s="254">
        <f t="shared" si="127"/>
        <v>0.97329094945033534</v>
      </c>
      <c r="W365" s="531"/>
      <c r="Y365" s="256" t="s">
        <v>598</v>
      </c>
      <c r="Z365" s="256" t="s">
        <v>598</v>
      </c>
    </row>
    <row r="366" spans="1:26" ht="11.25" hidden="1" customHeight="1">
      <c r="A366" s="528" t="s">
        <v>303</v>
      </c>
      <c r="B366" s="1013" t="s">
        <v>136</v>
      </c>
      <c r="C366" s="410"/>
      <c r="D366" s="651"/>
      <c r="E366" s="806" t="s">
        <v>764</v>
      </c>
      <c r="F366" s="807"/>
      <c r="G366" s="807"/>
      <c r="H366" s="807"/>
      <c r="I366" s="807"/>
      <c r="J366" s="807"/>
      <c r="K366" s="807"/>
      <c r="L366" s="807"/>
      <c r="M366" s="807"/>
      <c r="N366" s="807">
        <f t="shared" si="118"/>
        <v>0</v>
      </c>
      <c r="O366" s="807">
        <f t="shared" si="118"/>
        <v>0</v>
      </c>
      <c r="P366" s="807">
        <f t="shared" si="118"/>
        <v>0</v>
      </c>
      <c r="Q366" s="807">
        <f t="shared" si="119"/>
        <v>0</v>
      </c>
      <c r="R366" s="276"/>
      <c r="S366" s="730" t="str">
        <f t="shared" si="128"/>
        <v/>
      </c>
      <c r="T366" s="730" t="str">
        <f t="shared" si="128"/>
        <v/>
      </c>
      <c r="U366" s="730" t="str">
        <f t="shared" si="128"/>
        <v/>
      </c>
      <c r="V366" s="730" t="str">
        <f t="shared" si="127"/>
        <v/>
      </c>
      <c r="W366" s="531"/>
      <c r="X366" s="236"/>
      <c r="Y366" s="236"/>
      <c r="Z366" s="236"/>
    </row>
    <row r="367" spans="1:26" s="256" customFormat="1" ht="11.25" customHeight="1">
      <c r="A367" s="528" t="s">
        <v>303</v>
      </c>
      <c r="B367" s="528" t="s">
        <v>136</v>
      </c>
      <c r="C367" s="389"/>
      <c r="D367" s="650" t="s">
        <v>98</v>
      </c>
      <c r="E367" s="390" t="s">
        <v>99</v>
      </c>
      <c r="F367" s="391">
        <f>+F368</f>
        <v>1591000</v>
      </c>
      <c r="G367" s="391">
        <f t="shared" ref="G367:M367" si="135">+G368</f>
        <v>0</v>
      </c>
      <c r="H367" s="391">
        <f t="shared" si="135"/>
        <v>0</v>
      </c>
      <c r="I367" s="391">
        <f t="shared" si="135"/>
        <v>1591000</v>
      </c>
      <c r="J367" s="391">
        <f t="shared" si="135"/>
        <v>1409115.4</v>
      </c>
      <c r="K367" s="391">
        <f t="shared" si="135"/>
        <v>0</v>
      </c>
      <c r="L367" s="391">
        <f t="shared" si="135"/>
        <v>0</v>
      </c>
      <c r="M367" s="391">
        <f t="shared" si="135"/>
        <v>1409115.4</v>
      </c>
      <c r="N367" s="391">
        <f t="shared" si="118"/>
        <v>181884.60000000009</v>
      </c>
      <c r="O367" s="391">
        <f t="shared" si="118"/>
        <v>0</v>
      </c>
      <c r="P367" s="391">
        <f t="shared" si="118"/>
        <v>0</v>
      </c>
      <c r="Q367" s="391">
        <f t="shared" si="119"/>
        <v>181884.60000000009</v>
      </c>
      <c r="R367" s="101"/>
      <c r="S367" s="254">
        <f t="shared" si="128"/>
        <v>0.88567906976744182</v>
      </c>
      <c r="T367" s="254" t="str">
        <f t="shared" si="128"/>
        <v/>
      </c>
      <c r="U367" s="254" t="str">
        <f t="shared" si="128"/>
        <v/>
      </c>
      <c r="V367" s="254">
        <f t="shared" si="127"/>
        <v>0.88567906976744182</v>
      </c>
      <c r="W367" s="531"/>
      <c r="Y367" s="256" t="s">
        <v>598</v>
      </c>
      <c r="Z367" s="256" t="s">
        <v>598</v>
      </c>
    </row>
    <row r="368" spans="1:26" ht="11.25" customHeight="1">
      <c r="A368" s="528" t="s">
        <v>303</v>
      </c>
      <c r="B368" s="1013" t="s">
        <v>136</v>
      </c>
      <c r="C368" s="728"/>
      <c r="D368" s="649" t="s">
        <v>286</v>
      </c>
      <c r="E368" s="729" t="s">
        <v>286</v>
      </c>
      <c r="F368" s="103">
        <f>SUM('[3]chd2-SAOB'!AG14)</f>
        <v>1591000</v>
      </c>
      <c r="G368" s="103">
        <f>SUM('[3]chd2-SAOB'!AG50)</f>
        <v>0</v>
      </c>
      <c r="H368" s="103">
        <f>SUM('[3]chd2-SAOB'!AG142)</f>
        <v>0</v>
      </c>
      <c r="I368" s="103">
        <f>SUM(F368:H368)</f>
        <v>1591000</v>
      </c>
      <c r="J368" s="103">
        <f>SUM('[3]chd2-SAOB'!AG15)</f>
        <v>1409115.4</v>
      </c>
      <c r="K368" s="103">
        <f>SUM('[3]chd2-SAOB'!AG51)</f>
        <v>0</v>
      </c>
      <c r="L368" s="103">
        <f>SUM('[3]chd2-SAOB'!AG143)</f>
        <v>0</v>
      </c>
      <c r="M368" s="103">
        <f>SUM(J368:L368)</f>
        <v>1409115.4</v>
      </c>
      <c r="N368" s="103">
        <f t="shared" si="118"/>
        <v>181884.60000000009</v>
      </c>
      <c r="O368" s="103">
        <f t="shared" si="118"/>
        <v>0</v>
      </c>
      <c r="P368" s="103">
        <f t="shared" si="118"/>
        <v>0</v>
      </c>
      <c r="Q368" s="103">
        <f t="shared" si="119"/>
        <v>181884.60000000009</v>
      </c>
      <c r="S368" s="730">
        <f t="shared" si="128"/>
        <v>0.88567906976744182</v>
      </c>
      <c r="T368" s="730" t="str">
        <f t="shared" si="128"/>
        <v/>
      </c>
      <c r="U368" s="730" t="str">
        <f t="shared" si="128"/>
        <v/>
      </c>
      <c r="V368" s="730">
        <f t="shared" si="127"/>
        <v>0.88567906976744182</v>
      </c>
      <c r="W368" s="531"/>
      <c r="X368" s="236"/>
      <c r="Y368" s="236" t="s">
        <v>598</v>
      </c>
      <c r="Z368" s="236"/>
    </row>
    <row r="369" spans="1:26" s="272" customFormat="1" ht="11.25" customHeight="1">
      <c r="A369" s="528" t="s">
        <v>303</v>
      </c>
      <c r="B369" s="528" t="s">
        <v>136</v>
      </c>
      <c r="C369" s="389"/>
      <c r="D369" s="650" t="s">
        <v>98</v>
      </c>
      <c r="E369" s="390" t="s">
        <v>100</v>
      </c>
      <c r="F369" s="391">
        <f t="shared" ref="F369:M369" si="136">SUM(F370:F374)</f>
        <v>823944</v>
      </c>
      <c r="G369" s="391">
        <f t="shared" si="136"/>
        <v>500000</v>
      </c>
      <c r="H369" s="391">
        <f t="shared" si="136"/>
        <v>0</v>
      </c>
      <c r="I369" s="391">
        <f t="shared" si="136"/>
        <v>1323944</v>
      </c>
      <c r="J369" s="391">
        <f t="shared" si="136"/>
        <v>823944</v>
      </c>
      <c r="K369" s="391">
        <f t="shared" si="136"/>
        <v>500000</v>
      </c>
      <c r="L369" s="391">
        <f t="shared" si="136"/>
        <v>0</v>
      </c>
      <c r="M369" s="391">
        <f t="shared" si="136"/>
        <v>1323944</v>
      </c>
      <c r="N369" s="391">
        <f t="shared" si="118"/>
        <v>0</v>
      </c>
      <c r="O369" s="391">
        <f t="shared" si="118"/>
        <v>0</v>
      </c>
      <c r="P369" s="391">
        <f t="shared" si="118"/>
        <v>0</v>
      </c>
      <c r="Q369" s="391">
        <f t="shared" si="119"/>
        <v>0</v>
      </c>
      <c r="R369" s="102"/>
      <c r="S369" s="254">
        <f t="shared" si="128"/>
        <v>1</v>
      </c>
      <c r="T369" s="254">
        <f t="shared" si="128"/>
        <v>1</v>
      </c>
      <c r="U369" s="254" t="str">
        <f t="shared" si="128"/>
        <v/>
      </c>
      <c r="V369" s="254">
        <f t="shared" si="127"/>
        <v>1</v>
      </c>
      <c r="W369" s="531"/>
      <c r="Y369" s="272" t="s">
        <v>598</v>
      </c>
      <c r="Z369" s="256" t="s">
        <v>598</v>
      </c>
    </row>
    <row r="370" spans="1:26" ht="11.25" customHeight="1">
      <c r="A370" s="528" t="s">
        <v>303</v>
      </c>
      <c r="B370" s="1013" t="s">
        <v>136</v>
      </c>
      <c r="C370" s="728"/>
      <c r="D370" s="649" t="s">
        <v>288</v>
      </c>
      <c r="E370" s="729" t="s">
        <v>288</v>
      </c>
      <c r="F370" s="103">
        <f>SUM('[3]chd2-SAOB'!AM14)</f>
        <v>0</v>
      </c>
      <c r="G370" s="103">
        <f>SUM('[3]chd2-SAOB'!AM50)</f>
        <v>0</v>
      </c>
      <c r="H370" s="103">
        <f>SUM('[3]chd2-SAOB'!AM142)</f>
        <v>0</v>
      </c>
      <c r="I370" s="103">
        <f>SUM(F370:H370)</f>
        <v>0</v>
      </c>
      <c r="J370" s="103">
        <f>SUM('[3]chd2-SAOB'!AM15)</f>
        <v>0</v>
      </c>
      <c r="K370" s="103">
        <f>SUM('[3]chd2-SAOB'!AM51)</f>
        <v>0</v>
      </c>
      <c r="L370" s="103">
        <f>SUM('[3]chd2-SAOB'!AM143)</f>
        <v>0</v>
      </c>
      <c r="M370" s="103">
        <f>SUM(J370:L370)</f>
        <v>0</v>
      </c>
      <c r="N370" s="103">
        <f t="shared" si="118"/>
        <v>0</v>
      </c>
      <c r="O370" s="103">
        <f t="shared" si="118"/>
        <v>0</v>
      </c>
      <c r="P370" s="103">
        <f t="shared" si="118"/>
        <v>0</v>
      </c>
      <c r="Q370" s="103">
        <f t="shared" si="119"/>
        <v>0</v>
      </c>
      <c r="S370" s="730" t="str">
        <f t="shared" si="128"/>
        <v/>
      </c>
      <c r="T370" s="730" t="str">
        <f t="shared" si="128"/>
        <v/>
      </c>
      <c r="U370" s="730" t="str">
        <f t="shared" si="128"/>
        <v/>
      </c>
      <c r="V370" s="730" t="str">
        <f t="shared" si="127"/>
        <v/>
      </c>
      <c r="W370" s="531"/>
      <c r="X370" s="236"/>
      <c r="Y370" s="236" t="s">
        <v>598</v>
      </c>
      <c r="Z370" s="236"/>
    </row>
    <row r="371" spans="1:26" ht="11.25" customHeight="1">
      <c r="A371" s="528" t="s">
        <v>303</v>
      </c>
      <c r="B371" s="1013" t="s">
        <v>136</v>
      </c>
      <c r="C371" s="728"/>
      <c r="D371" s="649" t="s">
        <v>761</v>
      </c>
      <c r="E371" s="729" t="s">
        <v>761</v>
      </c>
      <c r="F371" s="404">
        <f>+'[3]chd2-SAOB'!C407</f>
        <v>415000</v>
      </c>
      <c r="G371" s="404"/>
      <c r="H371" s="404"/>
      <c r="I371" s="103">
        <f>SUM(F371:H371)</f>
        <v>415000</v>
      </c>
      <c r="J371" s="404">
        <f>+'[3]chd2-SAOB'!G407</f>
        <v>415000</v>
      </c>
      <c r="K371" s="404"/>
      <c r="L371" s="404"/>
      <c r="M371" s="103">
        <f>SUM(J371:L371)</f>
        <v>415000</v>
      </c>
      <c r="N371" s="103">
        <f>+F371-J371</f>
        <v>0</v>
      </c>
      <c r="O371" s="103">
        <f>+G371-K371</f>
        <v>0</v>
      </c>
      <c r="P371" s="103">
        <f>+H371-L371</f>
        <v>0</v>
      </c>
      <c r="Q371" s="103">
        <f>SUM(N371:P371)</f>
        <v>0</v>
      </c>
      <c r="S371" s="730">
        <f t="shared" si="128"/>
        <v>1</v>
      </c>
      <c r="T371" s="730" t="str">
        <f t="shared" si="128"/>
        <v/>
      </c>
      <c r="U371" s="730" t="str">
        <f t="shared" si="128"/>
        <v/>
      </c>
      <c r="V371" s="730">
        <f t="shared" si="127"/>
        <v>1</v>
      </c>
      <c r="W371" s="531"/>
      <c r="X371" s="236"/>
      <c r="Y371" s="236" t="s">
        <v>688</v>
      </c>
      <c r="Z371" s="236"/>
    </row>
    <row r="372" spans="1:26" ht="11.25" customHeight="1">
      <c r="A372" s="528" t="s">
        <v>303</v>
      </c>
      <c r="B372" s="1013" t="s">
        <v>136</v>
      </c>
      <c r="C372" s="411"/>
      <c r="D372" s="647"/>
      <c r="E372" s="1014" t="s">
        <v>764</v>
      </c>
      <c r="F372" s="104"/>
      <c r="G372" s="104"/>
      <c r="H372" s="104"/>
      <c r="I372" s="103"/>
      <c r="J372" s="104"/>
      <c r="K372" s="104"/>
      <c r="L372" s="104"/>
      <c r="M372" s="103"/>
      <c r="N372" s="103"/>
      <c r="O372" s="103"/>
      <c r="P372" s="103"/>
      <c r="Q372" s="103"/>
      <c r="S372" s="730" t="str">
        <f t="shared" si="128"/>
        <v/>
      </c>
      <c r="T372" s="730" t="str">
        <f t="shared" si="128"/>
        <v/>
      </c>
      <c r="U372" s="730" t="str">
        <f t="shared" si="128"/>
        <v/>
      </c>
      <c r="V372" s="730" t="str">
        <f t="shared" si="127"/>
        <v/>
      </c>
      <c r="W372" s="531"/>
      <c r="X372" s="236"/>
      <c r="Y372" s="236" t="s">
        <v>688</v>
      </c>
      <c r="Z372" s="240"/>
    </row>
    <row r="373" spans="1:26" ht="11.25" customHeight="1">
      <c r="A373" s="528" t="s">
        <v>303</v>
      </c>
      <c r="B373" s="1013" t="s">
        <v>136</v>
      </c>
      <c r="C373" s="728"/>
      <c r="D373" s="649" t="s">
        <v>289</v>
      </c>
      <c r="E373" s="729" t="s">
        <v>289</v>
      </c>
      <c r="F373" s="103">
        <f>SUM('[3]chd2-SAOB'!AS14)</f>
        <v>408944</v>
      </c>
      <c r="G373" s="103">
        <f>SUM('[3]chd2-SAOB'!AS50)</f>
        <v>0</v>
      </c>
      <c r="H373" s="103">
        <f>SUM('[3]chd2-SAOB'!AS142)</f>
        <v>0</v>
      </c>
      <c r="I373" s="103">
        <f>SUM(F373:H373)</f>
        <v>408944</v>
      </c>
      <c r="J373" s="103">
        <f>SUM('[3]chd2-SAOB'!AS15)</f>
        <v>408944</v>
      </c>
      <c r="K373" s="103">
        <f>SUM('[3]chd2-SAOB'!AS51)</f>
        <v>0</v>
      </c>
      <c r="L373" s="103">
        <f>SUM('[3]chd2-SAOB'!AS143)</f>
        <v>0</v>
      </c>
      <c r="M373" s="103">
        <f>SUM(J373:L373)</f>
        <v>408944</v>
      </c>
      <c r="N373" s="103">
        <f t="shared" si="118"/>
        <v>0</v>
      </c>
      <c r="O373" s="103">
        <f t="shared" si="118"/>
        <v>0</v>
      </c>
      <c r="P373" s="103">
        <f t="shared" si="118"/>
        <v>0</v>
      </c>
      <c r="Q373" s="103">
        <f t="shared" si="119"/>
        <v>0</v>
      </c>
      <c r="S373" s="730">
        <f t="shared" si="128"/>
        <v>1</v>
      </c>
      <c r="T373" s="730" t="str">
        <f t="shared" si="128"/>
        <v/>
      </c>
      <c r="U373" s="730" t="str">
        <f t="shared" si="128"/>
        <v/>
      </c>
      <c r="V373" s="730">
        <f t="shared" si="127"/>
        <v>1</v>
      </c>
      <c r="W373" s="531"/>
      <c r="X373" s="236"/>
      <c r="Y373" s="236" t="s">
        <v>598</v>
      </c>
      <c r="Z373" s="236"/>
    </row>
    <row r="374" spans="1:26" ht="11.25" customHeight="1">
      <c r="A374" s="528" t="s">
        <v>303</v>
      </c>
      <c r="B374" s="1013" t="s">
        <v>136</v>
      </c>
      <c r="C374" s="728"/>
      <c r="D374" s="649" t="s">
        <v>290</v>
      </c>
      <c r="E374" s="729" t="s">
        <v>290</v>
      </c>
      <c r="F374" s="103">
        <f>SUM('[3]chd2-SAOB'!AY14)</f>
        <v>0</v>
      </c>
      <c r="G374" s="103">
        <f>SUM('[3]chd2-SAOB'!AY50)</f>
        <v>500000</v>
      </c>
      <c r="H374" s="103">
        <f>SUM('[3]chd2-SAOB'!AY142)</f>
        <v>0</v>
      </c>
      <c r="I374" s="103">
        <f>SUM(F374:H374)</f>
        <v>500000</v>
      </c>
      <c r="J374" s="103">
        <f>SUM('[3]chd2-SAOB'!AY15)</f>
        <v>0</v>
      </c>
      <c r="K374" s="103">
        <f>SUM('[3]chd2-SAOB'!AY51)</f>
        <v>500000</v>
      </c>
      <c r="L374" s="103">
        <f>SUM('[3]chd2-SAOB'!AY143)</f>
        <v>0</v>
      </c>
      <c r="M374" s="103">
        <f>SUM(J374:L374)</f>
        <v>500000</v>
      </c>
      <c r="N374" s="103">
        <f t="shared" si="118"/>
        <v>0</v>
      </c>
      <c r="O374" s="103">
        <f t="shared" si="118"/>
        <v>0</v>
      </c>
      <c r="P374" s="103">
        <f t="shared" si="118"/>
        <v>0</v>
      </c>
      <c r="Q374" s="103">
        <f t="shared" si="119"/>
        <v>0</v>
      </c>
      <c r="S374" s="730" t="str">
        <f t="shared" si="128"/>
        <v/>
      </c>
      <c r="T374" s="730">
        <f t="shared" si="128"/>
        <v>1</v>
      </c>
      <c r="U374" s="730" t="str">
        <f t="shared" si="128"/>
        <v/>
      </c>
      <c r="V374" s="730">
        <f t="shared" si="127"/>
        <v>1</v>
      </c>
      <c r="W374" s="531"/>
      <c r="X374" s="236"/>
      <c r="Y374" s="236" t="s">
        <v>598</v>
      </c>
      <c r="Z374" s="236"/>
    </row>
    <row r="375" spans="1:26" s="259" customFormat="1" ht="11.25" customHeight="1">
      <c r="A375" s="246" t="s">
        <v>303</v>
      </c>
      <c r="B375" s="235" t="s">
        <v>136</v>
      </c>
      <c r="C375" s="656"/>
      <c r="D375" s="656"/>
      <c r="E375" s="657" t="s">
        <v>4</v>
      </c>
      <c r="F375" s="652">
        <f>+F365+F367+F369</f>
        <v>20005944</v>
      </c>
      <c r="G375" s="652">
        <f t="shared" ref="G375:M375" si="137">+G365+G367+G369</f>
        <v>11075000</v>
      </c>
      <c r="H375" s="652">
        <f t="shared" si="137"/>
        <v>95000000</v>
      </c>
      <c r="I375" s="652">
        <f t="shared" si="137"/>
        <v>126080944</v>
      </c>
      <c r="J375" s="652">
        <f t="shared" si="137"/>
        <v>18134848.23</v>
      </c>
      <c r="K375" s="652">
        <f t="shared" si="137"/>
        <v>9474564.25</v>
      </c>
      <c r="L375" s="652">
        <f t="shared" si="137"/>
        <v>95000000</v>
      </c>
      <c r="M375" s="652">
        <f t="shared" si="137"/>
        <v>122609412.48</v>
      </c>
      <c r="N375" s="652">
        <f t="shared" si="118"/>
        <v>1871095.7699999996</v>
      </c>
      <c r="O375" s="652">
        <f t="shared" si="118"/>
        <v>1600435.75</v>
      </c>
      <c r="P375" s="652">
        <f t="shared" si="118"/>
        <v>0</v>
      </c>
      <c r="Q375" s="652">
        <f t="shared" si="119"/>
        <v>3471531.5199999996</v>
      </c>
      <c r="R375" s="653">
        <f>+Q375-'[3]chd2-SAOB'!CA179</f>
        <v>0</v>
      </c>
      <c r="S375" s="1008">
        <f t="shared" si="128"/>
        <v>0.90647300772210504</v>
      </c>
      <c r="T375" s="1008">
        <f t="shared" si="128"/>
        <v>0.85549112866817156</v>
      </c>
      <c r="U375" s="1008">
        <f t="shared" si="128"/>
        <v>1</v>
      </c>
      <c r="V375" s="1008">
        <f t="shared" si="127"/>
        <v>0.97246585082675141</v>
      </c>
      <c r="W375" s="254"/>
      <c r="X375" s="520"/>
      <c r="Y375" s="610" t="s">
        <v>598</v>
      </c>
      <c r="Z375" s="241" t="s">
        <v>598</v>
      </c>
    </row>
    <row r="376" spans="1:26" ht="11.25" customHeight="1">
      <c r="A376" s="246" t="s">
        <v>303</v>
      </c>
      <c r="B376" s="235" t="s">
        <v>136</v>
      </c>
      <c r="C376" s="410"/>
      <c r="D376" s="386"/>
      <c r="E376" s="461" t="s">
        <v>764</v>
      </c>
      <c r="F376" s="103"/>
      <c r="G376" s="103"/>
      <c r="H376" s="103"/>
      <c r="I376" s="103">
        <f>SUM(F376:H376)</f>
        <v>0</v>
      </c>
      <c r="J376" s="103"/>
      <c r="K376" s="103"/>
      <c r="L376" s="103"/>
      <c r="M376" s="103">
        <f>SUM(J376:L376)</f>
        <v>0</v>
      </c>
      <c r="N376" s="103">
        <f t="shared" si="118"/>
        <v>0</v>
      </c>
      <c r="O376" s="103">
        <f t="shared" si="118"/>
        <v>0</v>
      </c>
      <c r="P376" s="103">
        <f t="shared" si="118"/>
        <v>0</v>
      </c>
      <c r="Q376" s="103">
        <f t="shared" si="119"/>
        <v>0</v>
      </c>
      <c r="S376" s="730" t="str">
        <f t="shared" si="128"/>
        <v/>
      </c>
      <c r="T376" s="730" t="str">
        <f t="shared" si="128"/>
        <v/>
      </c>
      <c r="U376" s="730" t="str">
        <f t="shared" si="128"/>
        <v/>
      </c>
      <c r="V376" s="730" t="str">
        <f t="shared" si="127"/>
        <v/>
      </c>
      <c r="W376" s="254"/>
      <c r="Y376" s="610" t="s">
        <v>598</v>
      </c>
      <c r="Z376" s="241" t="s">
        <v>598</v>
      </c>
    </row>
    <row r="377" spans="1:26" s="675" customFormat="1" ht="11.25" customHeight="1">
      <c r="A377" s="528" t="s">
        <v>303</v>
      </c>
      <c r="B377" s="528" t="s">
        <v>137</v>
      </c>
      <c r="C377" s="407" t="s">
        <v>98</v>
      </c>
      <c r="D377" s="655" t="s">
        <v>111</v>
      </c>
      <c r="E377" s="408" t="s">
        <v>795</v>
      </c>
      <c r="F377" s="673"/>
      <c r="G377" s="673"/>
      <c r="H377" s="673"/>
      <c r="I377" s="674">
        <f>SUM(F377:H377)</f>
        <v>0</v>
      </c>
      <c r="J377" s="673"/>
      <c r="K377" s="673"/>
      <c r="L377" s="673"/>
      <c r="M377" s="674">
        <f>SUM(J377:L377)</f>
        <v>0</v>
      </c>
      <c r="N377" s="674">
        <f t="shared" si="118"/>
        <v>0</v>
      </c>
      <c r="O377" s="674">
        <f t="shared" si="118"/>
        <v>0</v>
      </c>
      <c r="P377" s="674">
        <f t="shared" si="118"/>
        <v>0</v>
      </c>
      <c r="Q377" s="674">
        <f t="shared" si="119"/>
        <v>0</v>
      </c>
      <c r="R377" s="101"/>
      <c r="S377" s="254" t="str">
        <f t="shared" si="128"/>
        <v/>
      </c>
      <c r="T377" s="254" t="str">
        <f t="shared" si="128"/>
        <v/>
      </c>
      <c r="U377" s="254" t="str">
        <f t="shared" si="128"/>
        <v/>
      </c>
      <c r="V377" s="254" t="str">
        <f t="shared" si="127"/>
        <v/>
      </c>
      <c r="W377" s="531"/>
      <c r="Y377" s="272" t="s">
        <v>598</v>
      </c>
      <c r="Z377" s="260" t="s">
        <v>598</v>
      </c>
    </row>
    <row r="378" spans="1:26" ht="11.25" customHeight="1">
      <c r="A378" s="528" t="s">
        <v>303</v>
      </c>
      <c r="B378" s="1013" t="s">
        <v>137</v>
      </c>
      <c r="C378" s="461"/>
      <c r="D378" s="645" t="s">
        <v>766</v>
      </c>
      <c r="E378" s="447" t="s">
        <v>766</v>
      </c>
      <c r="F378" s="104">
        <f>+'[3]chd2-SAOB'!C411</f>
        <v>26147000</v>
      </c>
      <c r="G378" s="104">
        <f>+'[3]chd2-SAOB'!D411</f>
        <v>9776000</v>
      </c>
      <c r="H378" s="104">
        <f>+'[3]chd2-SAOB'!E411</f>
        <v>0</v>
      </c>
      <c r="I378" s="103">
        <f>SUM(F378:H378)</f>
        <v>35923000</v>
      </c>
      <c r="J378" s="104">
        <f>+'[3]chd2-SAOB'!G411</f>
        <v>23387609.050000001</v>
      </c>
      <c r="K378" s="104">
        <f>+'[3]chd2-SAOB'!H411</f>
        <v>8298283.1000000006</v>
      </c>
      <c r="L378" s="104">
        <f>+'[3]chd2-SAOB'!I411</f>
        <v>0</v>
      </c>
      <c r="M378" s="103">
        <f>SUM(J378:L378)</f>
        <v>31685892.150000002</v>
      </c>
      <c r="N378" s="103">
        <f t="shared" si="118"/>
        <v>2759390.9499999993</v>
      </c>
      <c r="O378" s="103">
        <f t="shared" si="118"/>
        <v>1477716.8999999994</v>
      </c>
      <c r="P378" s="103">
        <f t="shared" si="118"/>
        <v>0</v>
      </c>
      <c r="Q378" s="103">
        <f t="shared" si="119"/>
        <v>4237107.8499999987</v>
      </c>
      <c r="S378" s="730">
        <f t="shared" si="128"/>
        <v>0.89446625043025974</v>
      </c>
      <c r="T378" s="730">
        <f t="shared" si="128"/>
        <v>0.84884237929623574</v>
      </c>
      <c r="U378" s="730" t="str">
        <f t="shared" si="128"/>
        <v/>
      </c>
      <c r="V378" s="730">
        <f t="shared" si="127"/>
        <v>0.88205027837318717</v>
      </c>
      <c r="W378" s="531"/>
      <c r="X378" s="236"/>
      <c r="Y378" s="236" t="s">
        <v>688</v>
      </c>
      <c r="Z378" s="236"/>
    </row>
    <row r="379" spans="1:26" ht="11.25" customHeight="1">
      <c r="A379" s="528" t="s">
        <v>303</v>
      </c>
      <c r="B379" s="1013" t="s">
        <v>137</v>
      </c>
      <c r="C379" s="728"/>
      <c r="D379" s="649" t="s">
        <v>50</v>
      </c>
      <c r="E379" s="447" t="s">
        <v>50</v>
      </c>
      <c r="F379" s="104"/>
      <c r="G379" s="104">
        <f>+'[3]chd2-SAOB'!D413</f>
        <v>3806000</v>
      </c>
      <c r="H379" s="104">
        <f>+'[3]chd2-SAOB'!E413</f>
        <v>151000000</v>
      </c>
      <c r="I379" s="103">
        <f>SUM(F379:H379)</f>
        <v>154806000</v>
      </c>
      <c r="J379" s="104"/>
      <c r="K379" s="104">
        <f>+'[3]chd2-SAOB'!H413</f>
        <v>2002599.98</v>
      </c>
      <c r="L379" s="104">
        <f>+'[3]chd2-SAOB'!I413</f>
        <v>150637267.77000001</v>
      </c>
      <c r="M379" s="103">
        <f>SUM(J379:L379)</f>
        <v>152639867.75</v>
      </c>
      <c r="N379" s="103">
        <f t="shared" si="118"/>
        <v>0</v>
      </c>
      <c r="O379" s="103">
        <f t="shared" si="118"/>
        <v>1803400.02</v>
      </c>
      <c r="P379" s="103">
        <f t="shared" si="118"/>
        <v>362732.22999998927</v>
      </c>
      <c r="Q379" s="103">
        <f t="shared" si="119"/>
        <v>2166132.2499999893</v>
      </c>
      <c r="S379" s="730" t="str">
        <f t="shared" si="128"/>
        <v/>
      </c>
      <c r="T379" s="730">
        <f t="shared" si="128"/>
        <v>0.52616920126116662</v>
      </c>
      <c r="U379" s="730">
        <f t="shared" si="128"/>
        <v>0.99759779980132457</v>
      </c>
      <c r="V379" s="730">
        <f t="shared" si="127"/>
        <v>0.9860074399571076</v>
      </c>
      <c r="W379" s="531"/>
      <c r="X379" s="236"/>
      <c r="Y379" s="236" t="s">
        <v>688</v>
      </c>
      <c r="Z379" s="236"/>
    </row>
    <row r="380" spans="1:26" s="256" customFormat="1" ht="11.25" customHeight="1">
      <c r="A380" s="528" t="s">
        <v>303</v>
      </c>
      <c r="B380" s="528" t="s">
        <v>137</v>
      </c>
      <c r="C380" s="389"/>
      <c r="D380" s="650" t="s">
        <v>98</v>
      </c>
      <c r="E380" s="390" t="s">
        <v>767</v>
      </c>
      <c r="F380" s="391">
        <f>+F378+F379</f>
        <v>26147000</v>
      </c>
      <c r="G380" s="391">
        <f t="shared" ref="G380:M380" si="138">+G378+G379</f>
        <v>13582000</v>
      </c>
      <c r="H380" s="391">
        <f t="shared" si="138"/>
        <v>151000000</v>
      </c>
      <c r="I380" s="391">
        <f t="shared" si="138"/>
        <v>190729000</v>
      </c>
      <c r="J380" s="391">
        <f t="shared" si="138"/>
        <v>23387609.050000001</v>
      </c>
      <c r="K380" s="391">
        <f t="shared" si="138"/>
        <v>10300883.08</v>
      </c>
      <c r="L380" s="391">
        <f t="shared" si="138"/>
        <v>150637267.77000001</v>
      </c>
      <c r="M380" s="391">
        <f t="shared" si="138"/>
        <v>184325759.90000001</v>
      </c>
      <c r="N380" s="391">
        <f t="shared" si="118"/>
        <v>2759390.9499999993</v>
      </c>
      <c r="O380" s="391">
        <f t="shared" si="118"/>
        <v>3281116.92</v>
      </c>
      <c r="P380" s="391">
        <f t="shared" si="118"/>
        <v>362732.22999998927</v>
      </c>
      <c r="Q380" s="391">
        <f t="shared" si="119"/>
        <v>6403240.0999999885</v>
      </c>
      <c r="R380" s="101"/>
      <c r="S380" s="254">
        <f t="shared" si="128"/>
        <v>0.89446625043025974</v>
      </c>
      <c r="T380" s="254">
        <f t="shared" si="128"/>
        <v>0.75842166691208956</v>
      </c>
      <c r="U380" s="254">
        <f t="shared" si="128"/>
        <v>0.99759779980132457</v>
      </c>
      <c r="V380" s="254">
        <f t="shared" si="127"/>
        <v>0.96642754851123847</v>
      </c>
      <c r="W380" s="531"/>
      <c r="Y380" s="256" t="s">
        <v>598</v>
      </c>
      <c r="Z380" s="256" t="s">
        <v>598</v>
      </c>
    </row>
    <row r="381" spans="1:26" ht="11.25" hidden="1" customHeight="1">
      <c r="A381" s="528" t="s">
        <v>303</v>
      </c>
      <c r="B381" s="1013" t="s">
        <v>137</v>
      </c>
      <c r="C381" s="410"/>
      <c r="D381" s="651"/>
      <c r="E381" s="806" t="s">
        <v>764</v>
      </c>
      <c r="F381" s="807"/>
      <c r="G381" s="807"/>
      <c r="H381" s="807"/>
      <c r="I381" s="807"/>
      <c r="J381" s="807"/>
      <c r="K381" s="807"/>
      <c r="L381" s="807"/>
      <c r="M381" s="807"/>
      <c r="N381" s="807">
        <f t="shared" si="118"/>
        <v>0</v>
      </c>
      <c r="O381" s="807">
        <f t="shared" si="118"/>
        <v>0</v>
      </c>
      <c r="P381" s="807">
        <f t="shared" si="118"/>
        <v>0</v>
      </c>
      <c r="Q381" s="807">
        <f t="shared" si="119"/>
        <v>0</v>
      </c>
      <c r="R381" s="276"/>
      <c r="S381" s="730" t="str">
        <f t="shared" si="128"/>
        <v/>
      </c>
      <c r="T381" s="730" t="str">
        <f t="shared" si="128"/>
        <v/>
      </c>
      <c r="U381" s="730" t="str">
        <f t="shared" si="128"/>
        <v/>
      </c>
      <c r="V381" s="730" t="str">
        <f t="shared" si="127"/>
        <v/>
      </c>
      <c r="W381" s="531"/>
      <c r="X381" s="236"/>
      <c r="Y381" s="236"/>
      <c r="Z381" s="236"/>
    </row>
    <row r="382" spans="1:26" s="256" customFormat="1" ht="11.25" customHeight="1">
      <c r="A382" s="528" t="s">
        <v>303</v>
      </c>
      <c r="B382" s="528" t="s">
        <v>137</v>
      </c>
      <c r="C382" s="389"/>
      <c r="D382" s="650" t="s">
        <v>98</v>
      </c>
      <c r="E382" s="390" t="s">
        <v>99</v>
      </c>
      <c r="F382" s="391">
        <f>+F383</f>
        <v>2360000</v>
      </c>
      <c r="G382" s="391">
        <f t="shared" ref="G382:M382" si="139">+G383</f>
        <v>0</v>
      </c>
      <c r="H382" s="391">
        <f t="shared" si="139"/>
        <v>0</v>
      </c>
      <c r="I382" s="391">
        <f t="shared" si="139"/>
        <v>2360000</v>
      </c>
      <c r="J382" s="391">
        <f t="shared" si="139"/>
        <v>1820935.19</v>
      </c>
      <c r="K382" s="391">
        <f t="shared" si="139"/>
        <v>0</v>
      </c>
      <c r="L382" s="391">
        <f t="shared" si="139"/>
        <v>0</v>
      </c>
      <c r="M382" s="391">
        <f t="shared" si="139"/>
        <v>1820935.19</v>
      </c>
      <c r="N382" s="391">
        <f t="shared" si="118"/>
        <v>539064.81000000006</v>
      </c>
      <c r="O382" s="391">
        <f t="shared" si="118"/>
        <v>0</v>
      </c>
      <c r="P382" s="391">
        <f t="shared" si="118"/>
        <v>0</v>
      </c>
      <c r="Q382" s="391">
        <f t="shared" si="119"/>
        <v>539064.81000000006</v>
      </c>
      <c r="R382" s="101"/>
      <c r="S382" s="254">
        <f t="shared" si="128"/>
        <v>0.77158270762711867</v>
      </c>
      <c r="T382" s="254" t="str">
        <f t="shared" si="128"/>
        <v/>
      </c>
      <c r="U382" s="254" t="str">
        <f t="shared" si="128"/>
        <v/>
      </c>
      <c r="V382" s="254">
        <f t="shared" si="127"/>
        <v>0.77158270762711867</v>
      </c>
      <c r="W382" s="531"/>
      <c r="Y382" s="256" t="s">
        <v>598</v>
      </c>
      <c r="Z382" s="256" t="s">
        <v>598</v>
      </c>
    </row>
    <row r="383" spans="1:26" ht="11.25" customHeight="1">
      <c r="A383" s="528" t="s">
        <v>303</v>
      </c>
      <c r="B383" s="1013" t="s">
        <v>137</v>
      </c>
      <c r="C383" s="728"/>
      <c r="D383" s="649" t="s">
        <v>286</v>
      </c>
      <c r="E383" s="729" t="s">
        <v>286</v>
      </c>
      <c r="F383" s="103">
        <f>+'[3]chd2-SAOB'!AH14</f>
        <v>2360000</v>
      </c>
      <c r="G383" s="103">
        <f>SUM('[3]chd2-SAOB'!AG50)</f>
        <v>0</v>
      </c>
      <c r="H383" s="103">
        <f>SUM('[3]chd2-SAOB'!AG142)</f>
        <v>0</v>
      </c>
      <c r="I383" s="103">
        <f>SUM(F383:H383)</f>
        <v>2360000</v>
      </c>
      <c r="J383" s="103">
        <f>+'[3]chd2-SAOB'!AH15</f>
        <v>1820935.19</v>
      </c>
      <c r="K383" s="103">
        <f>SUM('[3]chd2-SAOB'!AG51)</f>
        <v>0</v>
      </c>
      <c r="L383" s="103">
        <f>SUM('[3]chd2-SAOB'!AG143)</f>
        <v>0</v>
      </c>
      <c r="M383" s="103">
        <f>SUM(J383:L383)</f>
        <v>1820935.19</v>
      </c>
      <c r="N383" s="103">
        <f t="shared" si="118"/>
        <v>539064.81000000006</v>
      </c>
      <c r="O383" s="103">
        <f t="shared" si="118"/>
        <v>0</v>
      </c>
      <c r="P383" s="103">
        <f t="shared" si="118"/>
        <v>0</v>
      </c>
      <c r="Q383" s="103">
        <f t="shared" si="119"/>
        <v>539064.81000000006</v>
      </c>
      <c r="S383" s="730">
        <f t="shared" si="128"/>
        <v>0.77158270762711867</v>
      </c>
      <c r="T383" s="730" t="str">
        <f t="shared" si="128"/>
        <v/>
      </c>
      <c r="U383" s="730" t="str">
        <f t="shared" si="128"/>
        <v/>
      </c>
      <c r="V383" s="730">
        <f t="shared" si="127"/>
        <v>0.77158270762711867</v>
      </c>
      <c r="W383" s="531"/>
      <c r="X383" s="236"/>
      <c r="Y383" s="236" t="s">
        <v>598</v>
      </c>
      <c r="Z383" s="236"/>
    </row>
    <row r="384" spans="1:26" s="272" customFormat="1" ht="11.25" customHeight="1">
      <c r="A384" s="528" t="s">
        <v>303</v>
      </c>
      <c r="B384" s="528" t="s">
        <v>137</v>
      </c>
      <c r="C384" s="389"/>
      <c r="D384" s="650" t="s">
        <v>98</v>
      </c>
      <c r="E384" s="390" t="s">
        <v>100</v>
      </c>
      <c r="F384" s="391">
        <f t="shared" ref="F384:M384" si="140">SUM(F385:F389)</f>
        <v>1410587</v>
      </c>
      <c r="G384" s="391">
        <f t="shared" si="140"/>
        <v>0</v>
      </c>
      <c r="H384" s="391">
        <f t="shared" si="140"/>
        <v>0</v>
      </c>
      <c r="I384" s="391">
        <f t="shared" si="140"/>
        <v>1410587</v>
      </c>
      <c r="J384" s="391">
        <f t="shared" si="140"/>
        <v>1410587</v>
      </c>
      <c r="K384" s="391">
        <f t="shared" si="140"/>
        <v>0</v>
      </c>
      <c r="L384" s="391">
        <f t="shared" si="140"/>
        <v>0</v>
      </c>
      <c r="M384" s="391">
        <f t="shared" si="140"/>
        <v>1410587</v>
      </c>
      <c r="N384" s="391">
        <f t="shared" ref="N384:P450" si="141">+F384-J384</f>
        <v>0</v>
      </c>
      <c r="O384" s="391">
        <f t="shared" si="141"/>
        <v>0</v>
      </c>
      <c r="P384" s="391">
        <f t="shared" si="141"/>
        <v>0</v>
      </c>
      <c r="Q384" s="391">
        <f t="shared" ref="Q384:Q450" si="142">SUM(N384:P384)</f>
        <v>0</v>
      </c>
      <c r="R384" s="102"/>
      <c r="S384" s="254">
        <f t="shared" si="128"/>
        <v>1</v>
      </c>
      <c r="T384" s="254" t="str">
        <f t="shared" si="128"/>
        <v/>
      </c>
      <c r="U384" s="254" t="str">
        <f t="shared" si="128"/>
        <v/>
      </c>
      <c r="V384" s="254">
        <f t="shared" si="127"/>
        <v>1</v>
      </c>
      <c r="W384" s="531"/>
      <c r="Y384" s="272" t="s">
        <v>598</v>
      </c>
      <c r="Z384" s="256" t="s">
        <v>598</v>
      </c>
    </row>
    <row r="385" spans="1:26" ht="11.25" customHeight="1">
      <c r="A385" s="528" t="s">
        <v>303</v>
      </c>
      <c r="B385" s="1013" t="s">
        <v>137</v>
      </c>
      <c r="C385" s="728"/>
      <c r="D385" s="649" t="s">
        <v>288</v>
      </c>
      <c r="E385" s="729" t="s">
        <v>288</v>
      </c>
      <c r="F385" s="103">
        <f>SUM('[3]chd2-SAOB'!AN14)</f>
        <v>0</v>
      </c>
      <c r="G385" s="103">
        <f>SUM('[3]chd2-SAOB'!AN50)</f>
        <v>0</v>
      </c>
      <c r="H385" s="103">
        <f>SUM('[3]chd2-SAOB'!AN142)</f>
        <v>0</v>
      </c>
      <c r="I385" s="103">
        <f>SUM(F385:H385)</f>
        <v>0</v>
      </c>
      <c r="J385" s="103">
        <f>SUM('[3]chd2-SAOB'!AN15)</f>
        <v>0</v>
      </c>
      <c r="K385" s="103">
        <f>SUM('[3]chd2-SAOB'!AN51)</f>
        <v>0</v>
      </c>
      <c r="L385" s="103">
        <f>SUM('[3]chd2-SAOB'!AN143)</f>
        <v>0</v>
      </c>
      <c r="M385" s="103">
        <f>SUM(J385:L385)</f>
        <v>0</v>
      </c>
      <c r="N385" s="103">
        <f t="shared" si="141"/>
        <v>0</v>
      </c>
      <c r="O385" s="103">
        <f t="shared" si="141"/>
        <v>0</v>
      </c>
      <c r="P385" s="103">
        <f t="shared" si="141"/>
        <v>0</v>
      </c>
      <c r="Q385" s="103">
        <f t="shared" si="142"/>
        <v>0</v>
      </c>
      <c r="S385" s="730" t="str">
        <f t="shared" si="128"/>
        <v/>
      </c>
      <c r="T385" s="730" t="str">
        <f t="shared" si="128"/>
        <v/>
      </c>
      <c r="U385" s="730" t="str">
        <f t="shared" si="128"/>
        <v/>
      </c>
      <c r="V385" s="730" t="str">
        <f t="shared" si="127"/>
        <v/>
      </c>
      <c r="W385" s="531"/>
      <c r="X385" s="236"/>
      <c r="Y385" s="236" t="s">
        <v>598</v>
      </c>
      <c r="Z385" s="236"/>
    </row>
    <row r="386" spans="1:26" ht="11.25" customHeight="1">
      <c r="A386" s="528" t="s">
        <v>303</v>
      </c>
      <c r="B386" s="1013" t="s">
        <v>137</v>
      </c>
      <c r="C386" s="728"/>
      <c r="D386" s="649" t="s">
        <v>761</v>
      </c>
      <c r="E386" s="729" t="s">
        <v>761</v>
      </c>
      <c r="F386" s="404">
        <f>+'[3]chd2-SAOB'!C413</f>
        <v>575000</v>
      </c>
      <c r="G386" s="404"/>
      <c r="H386" s="404"/>
      <c r="I386" s="103">
        <f>SUM(F386:H386)</f>
        <v>575000</v>
      </c>
      <c r="J386" s="404">
        <f>+'[3]chd2-SAOB'!G413</f>
        <v>575000</v>
      </c>
      <c r="K386" s="404"/>
      <c r="L386" s="404"/>
      <c r="M386" s="103">
        <f>SUM(J386:L386)</f>
        <v>575000</v>
      </c>
      <c r="N386" s="103">
        <f t="shared" si="141"/>
        <v>0</v>
      </c>
      <c r="O386" s="103">
        <f t="shared" si="141"/>
        <v>0</v>
      </c>
      <c r="P386" s="103">
        <f t="shared" si="141"/>
        <v>0</v>
      </c>
      <c r="Q386" s="103">
        <f t="shared" si="142"/>
        <v>0</v>
      </c>
      <c r="S386" s="730">
        <f t="shared" si="128"/>
        <v>1</v>
      </c>
      <c r="T386" s="730" t="str">
        <f t="shared" si="128"/>
        <v/>
      </c>
      <c r="U386" s="730" t="str">
        <f t="shared" si="128"/>
        <v/>
      </c>
      <c r="V386" s="730">
        <f t="shared" si="127"/>
        <v>1</v>
      </c>
      <c r="W386" s="531"/>
      <c r="X386" s="236"/>
      <c r="Y386" s="236" t="s">
        <v>688</v>
      </c>
      <c r="Z386" s="236"/>
    </row>
    <row r="387" spans="1:26" ht="11.25" customHeight="1">
      <c r="A387" s="528" t="s">
        <v>303</v>
      </c>
      <c r="B387" s="1013" t="s">
        <v>137</v>
      </c>
      <c r="C387" s="411"/>
      <c r="D387" s="647"/>
      <c r="E387" s="1014" t="s">
        <v>764</v>
      </c>
      <c r="F387" s="104"/>
      <c r="G387" s="104"/>
      <c r="H387" s="104"/>
      <c r="I387" s="103"/>
      <c r="J387" s="104"/>
      <c r="K387" s="104"/>
      <c r="L387" s="104"/>
      <c r="M387" s="103"/>
      <c r="N387" s="103"/>
      <c r="O387" s="103"/>
      <c r="P387" s="103"/>
      <c r="Q387" s="103"/>
      <c r="S387" s="730" t="str">
        <f t="shared" si="128"/>
        <v/>
      </c>
      <c r="T387" s="730" t="str">
        <f t="shared" si="128"/>
        <v/>
      </c>
      <c r="U387" s="730" t="str">
        <f t="shared" si="128"/>
        <v/>
      </c>
      <c r="V387" s="730" t="str">
        <f t="shared" si="127"/>
        <v/>
      </c>
      <c r="W387" s="531"/>
      <c r="X387" s="236"/>
      <c r="Y387" s="236" t="s">
        <v>688</v>
      </c>
      <c r="Z387" s="240"/>
    </row>
    <row r="388" spans="1:26" ht="11.25" customHeight="1">
      <c r="A388" s="528" t="s">
        <v>303</v>
      </c>
      <c r="B388" s="1013" t="s">
        <v>137</v>
      </c>
      <c r="C388" s="728"/>
      <c r="D388" s="649" t="s">
        <v>289</v>
      </c>
      <c r="E388" s="729" t="s">
        <v>289</v>
      </c>
      <c r="F388" s="103">
        <f>SUM('[3]chd2-SAOB'!AT14)</f>
        <v>835587</v>
      </c>
      <c r="G388" s="103">
        <f>SUM('[3]chd2-SAOB'!AT50)</f>
        <v>0</v>
      </c>
      <c r="H388" s="103">
        <f>SUM('[3]chd2-SAOB'!AT142)</f>
        <v>0</v>
      </c>
      <c r="I388" s="103">
        <f t="shared" ref="I388:I470" si="143">SUM(F388:H388)</f>
        <v>835587</v>
      </c>
      <c r="J388" s="103">
        <f>SUM('[3]chd2-SAOB'!AT15)</f>
        <v>835587</v>
      </c>
      <c r="K388" s="103">
        <f>SUM('[3]chd2-SAOB'!AT51)</f>
        <v>0</v>
      </c>
      <c r="L388" s="103">
        <f>SUM('[3]chd2-SAOB'!AT143)</f>
        <v>0</v>
      </c>
      <c r="M388" s="103">
        <f t="shared" ref="M388:M470" si="144">SUM(J388:L388)</f>
        <v>835587</v>
      </c>
      <c r="N388" s="103">
        <f t="shared" si="141"/>
        <v>0</v>
      </c>
      <c r="O388" s="103">
        <f t="shared" si="141"/>
        <v>0</v>
      </c>
      <c r="P388" s="103">
        <f t="shared" si="141"/>
        <v>0</v>
      </c>
      <c r="Q388" s="103">
        <f t="shared" si="142"/>
        <v>0</v>
      </c>
      <c r="S388" s="730">
        <f t="shared" si="128"/>
        <v>1</v>
      </c>
      <c r="T388" s="730" t="str">
        <f t="shared" si="128"/>
        <v/>
      </c>
      <c r="U388" s="730" t="str">
        <f t="shared" si="128"/>
        <v/>
      </c>
      <c r="V388" s="730">
        <f t="shared" si="127"/>
        <v>1</v>
      </c>
      <c r="W388" s="531"/>
      <c r="X388" s="236"/>
      <c r="Y388" s="236" t="s">
        <v>598</v>
      </c>
      <c r="Z388" s="236"/>
    </row>
    <row r="389" spans="1:26" ht="11.25" customHeight="1">
      <c r="A389" s="528" t="s">
        <v>303</v>
      </c>
      <c r="B389" s="1013" t="s">
        <v>137</v>
      </c>
      <c r="C389" s="728"/>
      <c r="D389" s="649" t="s">
        <v>290</v>
      </c>
      <c r="E389" s="729" t="s">
        <v>290</v>
      </c>
      <c r="F389" s="103">
        <f>SUM('[3]chd2-SAOB'!AZ14)</f>
        <v>0</v>
      </c>
      <c r="G389" s="103">
        <f>SUM('[3]chd2-SAOB'!AZ50)</f>
        <v>0</v>
      </c>
      <c r="H389" s="103">
        <f>SUM('[3]chd2-SAOB'!AZ142)</f>
        <v>0</v>
      </c>
      <c r="I389" s="103">
        <f t="shared" si="143"/>
        <v>0</v>
      </c>
      <c r="J389" s="103">
        <f>SUM('[3]chd2-SAOB'!AZ15)</f>
        <v>0</v>
      </c>
      <c r="K389" s="103">
        <f>SUM('[3]chd2-SAOB'!AZ51)</f>
        <v>0</v>
      </c>
      <c r="L389" s="103">
        <f>SUM('[3]chd2-SAOB'!AZ143)</f>
        <v>0</v>
      </c>
      <c r="M389" s="103">
        <f t="shared" si="144"/>
        <v>0</v>
      </c>
      <c r="N389" s="103">
        <f t="shared" si="141"/>
        <v>0</v>
      </c>
      <c r="O389" s="103">
        <f t="shared" si="141"/>
        <v>0</v>
      </c>
      <c r="P389" s="103">
        <f t="shared" si="141"/>
        <v>0</v>
      </c>
      <c r="Q389" s="103">
        <f t="shared" si="142"/>
        <v>0</v>
      </c>
      <c r="S389" s="730" t="str">
        <f t="shared" si="128"/>
        <v/>
      </c>
      <c r="T389" s="730" t="str">
        <f t="shared" si="128"/>
        <v/>
      </c>
      <c r="U389" s="730" t="str">
        <f t="shared" si="128"/>
        <v/>
      </c>
      <c r="V389" s="730" t="str">
        <f t="shared" si="127"/>
        <v/>
      </c>
      <c r="W389" s="531"/>
      <c r="X389" s="236"/>
      <c r="Y389" s="236" t="s">
        <v>598</v>
      </c>
      <c r="Z389" s="236"/>
    </row>
    <row r="390" spans="1:26" s="259" customFormat="1" ht="11.25" customHeight="1">
      <c r="A390" s="246" t="s">
        <v>303</v>
      </c>
      <c r="B390" s="235" t="s">
        <v>137</v>
      </c>
      <c r="C390" s="656"/>
      <c r="D390" s="656"/>
      <c r="E390" s="657" t="s">
        <v>4</v>
      </c>
      <c r="F390" s="652">
        <f>+F380+F382+F384</f>
        <v>29917587</v>
      </c>
      <c r="G390" s="652">
        <f t="shared" ref="G390:M390" si="145">+G380+G382+G384</f>
        <v>13582000</v>
      </c>
      <c r="H390" s="652">
        <f t="shared" si="145"/>
        <v>151000000</v>
      </c>
      <c r="I390" s="652">
        <f t="shared" si="145"/>
        <v>194499587</v>
      </c>
      <c r="J390" s="652">
        <f t="shared" si="145"/>
        <v>26619131.240000002</v>
      </c>
      <c r="K390" s="652">
        <f t="shared" si="145"/>
        <v>10300883.08</v>
      </c>
      <c r="L390" s="652">
        <f t="shared" si="145"/>
        <v>150637267.77000001</v>
      </c>
      <c r="M390" s="652">
        <f t="shared" si="145"/>
        <v>187557282.09</v>
      </c>
      <c r="N390" s="652">
        <f t="shared" si="141"/>
        <v>3298455.7599999979</v>
      </c>
      <c r="O390" s="652">
        <f t="shared" si="141"/>
        <v>3281116.92</v>
      </c>
      <c r="P390" s="652">
        <f t="shared" si="141"/>
        <v>362732.22999998927</v>
      </c>
      <c r="Q390" s="652">
        <f t="shared" si="142"/>
        <v>6942304.9099999871</v>
      </c>
      <c r="R390" s="653">
        <f>+Q390-'[3]chd2-SAOB'!CB179</f>
        <v>0</v>
      </c>
      <c r="S390" s="1008">
        <f t="shared" si="128"/>
        <v>0.88974860305411674</v>
      </c>
      <c r="T390" s="1008">
        <f t="shared" si="128"/>
        <v>0.75842166691208956</v>
      </c>
      <c r="U390" s="1008">
        <f t="shared" si="128"/>
        <v>0.99759779980132457</v>
      </c>
      <c r="V390" s="1008">
        <f t="shared" si="127"/>
        <v>0.9643068398392024</v>
      </c>
      <c r="W390" s="254"/>
      <c r="X390" s="520"/>
      <c r="Y390" s="610" t="s">
        <v>598</v>
      </c>
      <c r="Z390" s="241" t="s">
        <v>598</v>
      </c>
    </row>
    <row r="391" spans="1:26" s="660" customFormat="1" ht="17.25" hidden="1" customHeight="1">
      <c r="A391" s="246" t="s">
        <v>303</v>
      </c>
      <c r="B391" s="1009" t="s">
        <v>137</v>
      </c>
      <c r="C391" s="1428" t="s">
        <v>609</v>
      </c>
      <c r="D391" s="1429"/>
      <c r="E391" s="1430"/>
      <c r="F391" s="659">
        <f>+F345+F360+F375+F390</f>
        <v>292238795</v>
      </c>
      <c r="G391" s="659">
        <f>+G345+G360+G375+G390</f>
        <v>159684400</v>
      </c>
      <c r="H391" s="659">
        <f>+H345+H360+H375+H390</f>
        <v>390130000</v>
      </c>
      <c r="I391" s="659">
        <f t="shared" si="143"/>
        <v>842053195</v>
      </c>
      <c r="J391" s="659">
        <f>+J345+J360+J375+J390</f>
        <v>265756235.91</v>
      </c>
      <c r="K391" s="659">
        <f>+K345+K360+K375+K390</f>
        <v>134915155.71000001</v>
      </c>
      <c r="L391" s="659">
        <f>+L345+L360+L375+L390</f>
        <v>379916293.01999998</v>
      </c>
      <c r="M391" s="659">
        <f t="shared" si="144"/>
        <v>780587684.63999999</v>
      </c>
      <c r="N391" s="659">
        <f t="shared" si="141"/>
        <v>26482559.090000004</v>
      </c>
      <c r="O391" s="659">
        <f t="shared" si="141"/>
        <v>24769244.289999992</v>
      </c>
      <c r="P391" s="659">
        <f t="shared" si="141"/>
        <v>10213706.980000019</v>
      </c>
      <c r="Q391" s="659">
        <f t="shared" si="142"/>
        <v>61465510.360000014</v>
      </c>
      <c r="S391" s="1015">
        <f t="shared" si="128"/>
        <v>0.9093804123781718</v>
      </c>
      <c r="T391" s="1015">
        <f t="shared" si="128"/>
        <v>0.84488626133798927</v>
      </c>
      <c r="U391" s="1015">
        <f t="shared" si="128"/>
        <v>0.97381973449875681</v>
      </c>
      <c r="V391" s="1015">
        <f t="shared" si="127"/>
        <v>0.92700519311015739</v>
      </c>
      <c r="W391" s="254"/>
    </row>
    <row r="392" spans="1:26" ht="11.25" hidden="1" customHeight="1">
      <c r="A392" s="246" t="s">
        <v>303</v>
      </c>
      <c r="B392" s="235" t="s">
        <v>610</v>
      </c>
      <c r="C392" s="1016"/>
      <c r="D392" s="386"/>
      <c r="E392" s="461"/>
      <c r="F392" s="103"/>
      <c r="G392" s="103"/>
      <c r="H392" s="103"/>
      <c r="I392" s="103">
        <f t="shared" si="143"/>
        <v>0</v>
      </c>
      <c r="J392" s="103"/>
      <c r="K392" s="103"/>
      <c r="L392" s="103"/>
      <c r="M392" s="103">
        <f t="shared" si="144"/>
        <v>0</v>
      </c>
      <c r="N392" s="103">
        <f t="shared" si="141"/>
        <v>0</v>
      </c>
      <c r="O392" s="103">
        <f t="shared" si="141"/>
        <v>0</v>
      </c>
      <c r="P392" s="103">
        <f t="shared" si="141"/>
        <v>0</v>
      </c>
      <c r="Q392" s="103">
        <f t="shared" si="142"/>
        <v>0</v>
      </c>
      <c r="R392" s="236"/>
      <c r="S392" s="730" t="str">
        <f t="shared" si="128"/>
        <v/>
      </c>
      <c r="T392" s="730" t="str">
        <f t="shared" si="128"/>
        <v/>
      </c>
      <c r="U392" s="730" t="str">
        <f t="shared" si="128"/>
        <v/>
      </c>
      <c r="V392" s="730" t="str">
        <f t="shared" si="127"/>
        <v/>
      </c>
      <c r="W392" s="254"/>
      <c r="X392" s="520" t="s">
        <v>598</v>
      </c>
      <c r="Z392" s="241" t="s">
        <v>598</v>
      </c>
    </row>
    <row r="393" spans="1:26" s="275" customFormat="1" ht="11.25" hidden="1" customHeight="1">
      <c r="A393" s="246" t="s">
        <v>303</v>
      </c>
      <c r="B393" s="246" t="s">
        <v>610</v>
      </c>
      <c r="C393" s="407" t="s">
        <v>796</v>
      </c>
      <c r="D393" s="407"/>
      <c r="E393" s="408"/>
      <c r="F393" s="409"/>
      <c r="G393" s="409"/>
      <c r="H393" s="409"/>
      <c r="I393" s="409">
        <f t="shared" si="143"/>
        <v>0</v>
      </c>
      <c r="J393" s="409"/>
      <c r="K393" s="409"/>
      <c r="L393" s="409"/>
      <c r="M393" s="409">
        <f t="shared" si="144"/>
        <v>0</v>
      </c>
      <c r="N393" s="409">
        <f t="shared" si="141"/>
        <v>0</v>
      </c>
      <c r="O393" s="409">
        <f t="shared" si="141"/>
        <v>0</v>
      </c>
      <c r="P393" s="409">
        <f t="shared" si="141"/>
        <v>0</v>
      </c>
      <c r="Q393" s="409">
        <f t="shared" si="142"/>
        <v>0</v>
      </c>
      <c r="R393" s="522"/>
      <c r="S393" s="254" t="str">
        <f t="shared" si="128"/>
        <v/>
      </c>
      <c r="T393" s="254" t="str">
        <f t="shared" si="128"/>
        <v/>
      </c>
      <c r="U393" s="254" t="str">
        <f t="shared" si="128"/>
        <v/>
      </c>
      <c r="V393" s="1002" t="str">
        <f t="shared" si="127"/>
        <v/>
      </c>
      <c r="W393" s="254"/>
      <c r="X393" s="274" t="s">
        <v>598</v>
      </c>
      <c r="Y393" s="663"/>
      <c r="Z393" s="253"/>
    </row>
    <row r="394" spans="1:26" ht="11.25" hidden="1" customHeight="1">
      <c r="A394" s="246" t="s">
        <v>303</v>
      </c>
      <c r="B394" s="235" t="s">
        <v>610</v>
      </c>
      <c r="C394" s="461"/>
      <c r="D394" s="664" t="s">
        <v>766</v>
      </c>
      <c r="E394" s="447" t="s">
        <v>766</v>
      </c>
      <c r="F394" s="103">
        <f>+F314+F333+F348+F363+F378</f>
        <v>339824000</v>
      </c>
      <c r="G394" s="103">
        <f>+G314+G333+G348+G363+G378</f>
        <v>223470000</v>
      </c>
      <c r="H394" s="103">
        <f>+H314+H333+H348+H363+H378</f>
        <v>0</v>
      </c>
      <c r="I394" s="103">
        <f t="shared" si="143"/>
        <v>563294000</v>
      </c>
      <c r="J394" s="103">
        <f>+J314+J333+J348+J363+J378</f>
        <v>303830308.55000001</v>
      </c>
      <c r="K394" s="103">
        <f>+K314+K333+K348+K363+K378</f>
        <v>171208628.93999997</v>
      </c>
      <c r="L394" s="103">
        <f>+L314+L333+L348+L363+L378</f>
        <v>0</v>
      </c>
      <c r="M394" s="103">
        <f t="shared" si="144"/>
        <v>475038937.49000001</v>
      </c>
      <c r="N394" s="103">
        <f t="shared" si="141"/>
        <v>35993691.449999988</v>
      </c>
      <c r="O394" s="103">
        <f t="shared" si="141"/>
        <v>52261371.060000032</v>
      </c>
      <c r="P394" s="103">
        <f t="shared" si="141"/>
        <v>0</v>
      </c>
      <c r="Q394" s="103">
        <f t="shared" si="142"/>
        <v>88255062.51000002</v>
      </c>
      <c r="R394" s="276">
        <f>Q394-'[3]chd2-SAOB'!K179</f>
        <v>0</v>
      </c>
      <c r="S394" s="730">
        <f t="shared" si="128"/>
        <v>0.89408137315198455</v>
      </c>
      <c r="T394" s="730">
        <f t="shared" si="128"/>
        <v>0.76613697113706525</v>
      </c>
      <c r="U394" s="730" t="str">
        <f t="shared" si="128"/>
        <v/>
      </c>
      <c r="V394" s="730">
        <f t="shared" si="127"/>
        <v>0.84332326900339794</v>
      </c>
      <c r="W394" s="254"/>
      <c r="X394" s="237" t="s">
        <v>598</v>
      </c>
    </row>
    <row r="395" spans="1:26" ht="11.25" hidden="1" customHeight="1">
      <c r="A395" s="246" t="s">
        <v>303</v>
      </c>
      <c r="B395" s="235" t="s">
        <v>610</v>
      </c>
      <c r="C395" s="728"/>
      <c r="D395" s="394" t="s">
        <v>50</v>
      </c>
      <c r="E395" s="447" t="s">
        <v>50</v>
      </c>
      <c r="F395" s="103">
        <f>+F318+F334+F349+F364+F379</f>
        <v>0</v>
      </c>
      <c r="G395" s="103">
        <f>+G318+G334+G349+G364+G379</f>
        <v>167639684</v>
      </c>
      <c r="H395" s="103">
        <f>+H318+H334+H349+H364+H379</f>
        <v>412488500</v>
      </c>
      <c r="I395" s="103">
        <f>SUM(F395:H395)</f>
        <v>580128184</v>
      </c>
      <c r="J395" s="103">
        <f>+J318+J334+J349+J364+J379</f>
        <v>0</v>
      </c>
      <c r="K395" s="103">
        <f>+K318+K334+K349+K364+K379</f>
        <v>127209037.57999998</v>
      </c>
      <c r="L395" s="103">
        <f>+L318+L334+L349+L364+L379</f>
        <v>401602644.66000003</v>
      </c>
      <c r="M395" s="103">
        <f>SUM(J395:L395)</f>
        <v>528811682.24000001</v>
      </c>
      <c r="N395" s="103">
        <f t="shared" si="141"/>
        <v>0</v>
      </c>
      <c r="O395" s="103">
        <f t="shared" si="141"/>
        <v>40430646.420000017</v>
      </c>
      <c r="P395" s="103">
        <f t="shared" si="141"/>
        <v>10885855.339999974</v>
      </c>
      <c r="Q395" s="103">
        <f t="shared" si="142"/>
        <v>51316501.75999999</v>
      </c>
      <c r="R395" s="276"/>
      <c r="S395" s="730" t="str">
        <f t="shared" si="128"/>
        <v/>
      </c>
      <c r="T395" s="730">
        <f t="shared" si="128"/>
        <v>0.75882413128385506</v>
      </c>
      <c r="U395" s="730">
        <f t="shared" si="128"/>
        <v>0.97360931192021116</v>
      </c>
      <c r="V395" s="730">
        <f t="shared" si="127"/>
        <v>0.91154282247386897</v>
      </c>
      <c r="W395" s="254"/>
      <c r="X395" s="237" t="s">
        <v>598</v>
      </c>
    </row>
    <row r="396" spans="1:26" s="256" customFormat="1" ht="11.25" hidden="1" customHeight="1">
      <c r="A396" s="246" t="s">
        <v>303</v>
      </c>
      <c r="B396" s="246" t="s">
        <v>610</v>
      </c>
      <c r="C396" s="389"/>
      <c r="D396" s="389" t="s">
        <v>98</v>
      </c>
      <c r="E396" s="390" t="s">
        <v>767</v>
      </c>
      <c r="F396" s="391">
        <f>+F394+F395</f>
        <v>339824000</v>
      </c>
      <c r="G396" s="391">
        <f t="shared" ref="G396:M396" si="146">+G394+G395</f>
        <v>391109684</v>
      </c>
      <c r="H396" s="391">
        <f t="shared" si="146"/>
        <v>412488500</v>
      </c>
      <c r="I396" s="391">
        <f t="shared" si="146"/>
        <v>1143422184</v>
      </c>
      <c r="J396" s="391">
        <f t="shared" si="146"/>
        <v>303830308.55000001</v>
      </c>
      <c r="K396" s="391">
        <f t="shared" si="146"/>
        <v>298417666.51999998</v>
      </c>
      <c r="L396" s="391">
        <f t="shared" si="146"/>
        <v>401602644.66000003</v>
      </c>
      <c r="M396" s="391">
        <f t="shared" si="146"/>
        <v>1003850619.73</v>
      </c>
      <c r="N396" s="391">
        <f t="shared" si="141"/>
        <v>35993691.449999988</v>
      </c>
      <c r="O396" s="391">
        <f t="shared" si="141"/>
        <v>92692017.480000019</v>
      </c>
      <c r="P396" s="391">
        <f t="shared" si="141"/>
        <v>10885855.339999974</v>
      </c>
      <c r="Q396" s="391">
        <f t="shared" si="142"/>
        <v>139571564.26999998</v>
      </c>
      <c r="R396" s="665"/>
      <c r="S396" s="254">
        <f t="shared" si="128"/>
        <v>0.89408137315198455</v>
      </c>
      <c r="T396" s="254">
        <f t="shared" si="128"/>
        <v>0.76300249962616618</v>
      </c>
      <c r="U396" s="254">
        <f t="shared" si="128"/>
        <v>0.97360931192021116</v>
      </c>
      <c r="V396" s="297">
        <f t="shared" si="127"/>
        <v>0.87793523142804442</v>
      </c>
      <c r="W396" s="254"/>
      <c r="X396" s="271" t="s">
        <v>598</v>
      </c>
      <c r="Y396" s="628"/>
      <c r="Z396" s="255"/>
    </row>
    <row r="397" spans="1:26" ht="11.25" hidden="1" customHeight="1">
      <c r="A397" s="246" t="s">
        <v>303</v>
      </c>
      <c r="B397" s="235" t="s">
        <v>610</v>
      </c>
      <c r="C397" s="410"/>
      <c r="D397" s="396"/>
      <c r="E397" s="806"/>
      <c r="F397" s="807"/>
      <c r="G397" s="807"/>
      <c r="H397" s="807"/>
      <c r="I397" s="807"/>
      <c r="J397" s="807"/>
      <c r="K397" s="807"/>
      <c r="L397" s="807"/>
      <c r="M397" s="807"/>
      <c r="N397" s="807">
        <f t="shared" si="141"/>
        <v>0</v>
      </c>
      <c r="O397" s="807">
        <f t="shared" si="141"/>
        <v>0</v>
      </c>
      <c r="P397" s="807">
        <f t="shared" si="141"/>
        <v>0</v>
      </c>
      <c r="Q397" s="807">
        <f t="shared" si="142"/>
        <v>0</v>
      </c>
      <c r="R397" s="276"/>
      <c r="S397" s="730" t="str">
        <f t="shared" si="128"/>
        <v/>
      </c>
      <c r="T397" s="730" t="str">
        <f t="shared" si="128"/>
        <v/>
      </c>
      <c r="U397" s="730" t="str">
        <f t="shared" si="128"/>
        <v/>
      </c>
      <c r="V397" s="730" t="str">
        <f t="shared" si="127"/>
        <v/>
      </c>
      <c r="W397" s="254"/>
      <c r="X397" s="237" t="s">
        <v>598</v>
      </c>
    </row>
    <row r="398" spans="1:26" s="256" customFormat="1" ht="11.25" hidden="1" customHeight="1">
      <c r="A398" s="246" t="s">
        <v>303</v>
      </c>
      <c r="B398" s="246" t="s">
        <v>610</v>
      </c>
      <c r="C398" s="389"/>
      <c r="D398" s="389" t="s">
        <v>98</v>
      </c>
      <c r="E398" s="390" t="s">
        <v>99</v>
      </c>
      <c r="F398" s="391">
        <f>+F399</f>
        <v>30677328</v>
      </c>
      <c r="G398" s="391">
        <f t="shared" ref="G398:M398" si="147">+G399</f>
        <v>0</v>
      </c>
      <c r="H398" s="391">
        <f t="shared" si="147"/>
        <v>0</v>
      </c>
      <c r="I398" s="391">
        <f t="shared" si="147"/>
        <v>30677328</v>
      </c>
      <c r="J398" s="391">
        <f t="shared" si="147"/>
        <v>26841155.070000004</v>
      </c>
      <c r="K398" s="391">
        <f t="shared" si="147"/>
        <v>0</v>
      </c>
      <c r="L398" s="391">
        <f t="shared" si="147"/>
        <v>0</v>
      </c>
      <c r="M398" s="391">
        <f t="shared" si="147"/>
        <v>26841155.070000004</v>
      </c>
      <c r="N398" s="391">
        <f t="shared" si="141"/>
        <v>3836172.929999996</v>
      </c>
      <c r="O398" s="391">
        <f t="shared" si="141"/>
        <v>0</v>
      </c>
      <c r="P398" s="391">
        <f t="shared" si="141"/>
        <v>0</v>
      </c>
      <c r="Q398" s="391">
        <f t="shared" si="142"/>
        <v>3836172.929999996</v>
      </c>
      <c r="R398" s="665"/>
      <c r="S398" s="254">
        <f t="shared" si="128"/>
        <v>0.87495087805561178</v>
      </c>
      <c r="T398" s="254" t="str">
        <f t="shared" si="128"/>
        <v/>
      </c>
      <c r="U398" s="254" t="str">
        <f t="shared" si="128"/>
        <v/>
      </c>
      <c r="V398" s="297">
        <f t="shared" si="127"/>
        <v>0.87495087805561178</v>
      </c>
      <c r="W398" s="254"/>
      <c r="X398" s="271" t="s">
        <v>598</v>
      </c>
      <c r="Y398" s="628"/>
      <c r="Z398" s="255"/>
    </row>
    <row r="399" spans="1:26" ht="11.25" hidden="1" customHeight="1">
      <c r="A399" s="246" t="s">
        <v>303</v>
      </c>
      <c r="B399" s="235" t="s">
        <v>610</v>
      </c>
      <c r="C399" s="728"/>
      <c r="D399" s="394" t="s">
        <v>286</v>
      </c>
      <c r="E399" s="729" t="s">
        <v>286</v>
      </c>
      <c r="F399" s="103">
        <f>+F322+F338+F353+F368+F383</f>
        <v>30677328</v>
      </c>
      <c r="G399" s="103">
        <f>+G322+G338+G353+G368+G383</f>
        <v>0</v>
      </c>
      <c r="H399" s="103">
        <f>+H322+H338+H353+H368+H383</f>
        <v>0</v>
      </c>
      <c r="I399" s="103">
        <f t="shared" si="143"/>
        <v>30677328</v>
      </c>
      <c r="J399" s="103">
        <f>+J322+J338+J353+J368+J383</f>
        <v>26841155.070000004</v>
      </c>
      <c r="K399" s="103">
        <f>+K322+K338+K353+K368+K383</f>
        <v>0</v>
      </c>
      <c r="L399" s="103">
        <f>+L322+L338+L353+L368+L383</f>
        <v>0</v>
      </c>
      <c r="M399" s="103">
        <f t="shared" si="144"/>
        <v>26841155.070000004</v>
      </c>
      <c r="N399" s="103">
        <f t="shared" si="141"/>
        <v>3836172.929999996</v>
      </c>
      <c r="O399" s="103">
        <f t="shared" si="141"/>
        <v>0</v>
      </c>
      <c r="P399" s="103">
        <f t="shared" si="141"/>
        <v>0</v>
      </c>
      <c r="Q399" s="103">
        <f t="shared" si="142"/>
        <v>3836172.929999996</v>
      </c>
      <c r="R399" s="276"/>
      <c r="S399" s="730">
        <f t="shared" si="128"/>
        <v>0.87495087805561178</v>
      </c>
      <c r="T399" s="730" t="str">
        <f t="shared" si="128"/>
        <v/>
      </c>
      <c r="U399" s="730" t="str">
        <f t="shared" si="128"/>
        <v/>
      </c>
      <c r="V399" s="730">
        <f t="shared" si="127"/>
        <v>0.87495087805561178</v>
      </c>
      <c r="W399" s="254"/>
      <c r="X399" s="237" t="s">
        <v>598</v>
      </c>
    </row>
    <row r="400" spans="1:26" s="272" customFormat="1" ht="11.25" hidden="1" customHeight="1">
      <c r="A400" s="246" t="s">
        <v>303</v>
      </c>
      <c r="B400" s="246" t="s">
        <v>610</v>
      </c>
      <c r="C400" s="389"/>
      <c r="D400" s="389" t="s">
        <v>98</v>
      </c>
      <c r="E400" s="390" t="s">
        <v>100</v>
      </c>
      <c r="F400" s="391">
        <f t="shared" ref="F400:M400" si="148">SUM(F401:F405)</f>
        <v>19436619</v>
      </c>
      <c r="G400" s="391">
        <f t="shared" si="148"/>
        <v>7210000</v>
      </c>
      <c r="H400" s="391">
        <f t="shared" si="148"/>
        <v>0</v>
      </c>
      <c r="I400" s="391">
        <f t="shared" si="148"/>
        <v>26646619</v>
      </c>
      <c r="J400" s="391">
        <f t="shared" si="148"/>
        <v>19244369.150000002</v>
      </c>
      <c r="K400" s="391">
        <f t="shared" si="148"/>
        <v>5965627.8599999994</v>
      </c>
      <c r="L400" s="391">
        <f t="shared" si="148"/>
        <v>0</v>
      </c>
      <c r="M400" s="391">
        <f t="shared" si="148"/>
        <v>25209997.010000002</v>
      </c>
      <c r="N400" s="391">
        <f t="shared" si="141"/>
        <v>192249.84999999776</v>
      </c>
      <c r="O400" s="391">
        <f t="shared" si="141"/>
        <v>1244372.1400000006</v>
      </c>
      <c r="P400" s="391">
        <f t="shared" si="141"/>
        <v>0</v>
      </c>
      <c r="Q400" s="391">
        <f t="shared" si="142"/>
        <v>1436621.9899999984</v>
      </c>
      <c r="R400" s="94"/>
      <c r="S400" s="254">
        <f t="shared" si="128"/>
        <v>0.99010888416344434</v>
      </c>
      <c r="T400" s="254">
        <f t="shared" si="128"/>
        <v>0.82741024410540909</v>
      </c>
      <c r="U400" s="254" t="str">
        <f t="shared" si="128"/>
        <v/>
      </c>
      <c r="V400" s="297">
        <f t="shared" si="127"/>
        <v>0.94608614361169052</v>
      </c>
      <c r="W400" s="254"/>
      <c r="X400" s="527" t="s">
        <v>598</v>
      </c>
      <c r="Y400" s="629"/>
      <c r="Z400" s="277"/>
    </row>
    <row r="401" spans="1:26" ht="11.25" hidden="1" customHeight="1">
      <c r="A401" s="246" t="s">
        <v>303</v>
      </c>
      <c r="B401" s="235" t="s">
        <v>610</v>
      </c>
      <c r="C401" s="728"/>
      <c r="D401" s="394" t="s">
        <v>288</v>
      </c>
      <c r="E401" s="729" t="s">
        <v>288</v>
      </c>
      <c r="F401" s="103">
        <f t="shared" ref="F401:H402" si="149">+F324+F340+F355+F370+F385</f>
        <v>546704</v>
      </c>
      <c r="G401" s="103">
        <f t="shared" si="149"/>
        <v>0</v>
      </c>
      <c r="H401" s="103">
        <f t="shared" si="149"/>
        <v>0</v>
      </c>
      <c r="I401" s="103">
        <f t="shared" si="143"/>
        <v>546704</v>
      </c>
      <c r="J401" s="103">
        <f t="shared" ref="J401:L402" si="150">+J324+J340+J355+J370+J385</f>
        <v>489813.54</v>
      </c>
      <c r="K401" s="103">
        <f t="shared" si="150"/>
        <v>0</v>
      </c>
      <c r="L401" s="103">
        <f t="shared" si="150"/>
        <v>0</v>
      </c>
      <c r="M401" s="103">
        <f t="shared" si="144"/>
        <v>489813.54</v>
      </c>
      <c r="N401" s="103">
        <f t="shared" si="141"/>
        <v>56890.460000000021</v>
      </c>
      <c r="O401" s="103">
        <f t="shared" si="141"/>
        <v>0</v>
      </c>
      <c r="P401" s="103">
        <f t="shared" si="141"/>
        <v>0</v>
      </c>
      <c r="Q401" s="103">
        <f t="shared" si="142"/>
        <v>56890.460000000021</v>
      </c>
      <c r="R401" s="276"/>
      <c r="S401" s="730">
        <f t="shared" si="128"/>
        <v>0.89593919195762239</v>
      </c>
      <c r="T401" s="730" t="str">
        <f t="shared" si="128"/>
        <v/>
      </c>
      <c r="U401" s="730" t="str">
        <f t="shared" si="128"/>
        <v/>
      </c>
      <c r="V401" s="730">
        <f t="shared" si="127"/>
        <v>0.89593919195762239</v>
      </c>
      <c r="W401" s="254"/>
      <c r="X401" s="237" t="s">
        <v>598</v>
      </c>
    </row>
    <row r="402" spans="1:26" ht="11.25" hidden="1" customHeight="1">
      <c r="A402" s="246" t="s">
        <v>303</v>
      </c>
      <c r="B402" s="235" t="s">
        <v>610</v>
      </c>
      <c r="C402" s="728"/>
      <c r="D402" s="394" t="s">
        <v>761</v>
      </c>
      <c r="E402" s="729" t="s">
        <v>761</v>
      </c>
      <c r="F402" s="103">
        <f t="shared" si="149"/>
        <v>7290000</v>
      </c>
      <c r="G402" s="103">
        <f t="shared" si="149"/>
        <v>0</v>
      </c>
      <c r="H402" s="103">
        <f t="shared" si="149"/>
        <v>0</v>
      </c>
      <c r="I402" s="103">
        <f>SUM(F402:H402)</f>
        <v>7290000</v>
      </c>
      <c r="J402" s="103">
        <f t="shared" si="150"/>
        <v>7172500</v>
      </c>
      <c r="K402" s="103">
        <f t="shared" si="150"/>
        <v>0</v>
      </c>
      <c r="L402" s="103">
        <f t="shared" si="150"/>
        <v>0</v>
      </c>
      <c r="M402" s="103">
        <f>SUM(J402:L402)</f>
        <v>7172500</v>
      </c>
      <c r="N402" s="103">
        <f>+F402-J402</f>
        <v>117500</v>
      </c>
      <c r="O402" s="103">
        <f>+G402-K402</f>
        <v>0</v>
      </c>
      <c r="P402" s="103">
        <f>+H402-L402</f>
        <v>0</v>
      </c>
      <c r="Q402" s="103">
        <f>SUM(N402:P402)</f>
        <v>117500</v>
      </c>
      <c r="R402" s="236"/>
      <c r="S402" s="730">
        <f t="shared" si="128"/>
        <v>0.98388203017832643</v>
      </c>
      <c r="T402" s="730" t="str">
        <f t="shared" si="128"/>
        <v/>
      </c>
      <c r="U402" s="730" t="str">
        <f t="shared" si="128"/>
        <v/>
      </c>
      <c r="V402" s="730">
        <f t="shared" si="127"/>
        <v>0.98388203017832643</v>
      </c>
      <c r="W402" s="254"/>
      <c r="X402" s="237" t="s">
        <v>598</v>
      </c>
    </row>
    <row r="403" spans="1:26" ht="11.25" hidden="1" customHeight="1">
      <c r="A403" s="246" t="s">
        <v>303</v>
      </c>
      <c r="B403" s="235" t="s">
        <v>610</v>
      </c>
      <c r="C403" s="411"/>
      <c r="D403" s="386"/>
      <c r="E403" s="1014"/>
      <c r="F403" s="104"/>
      <c r="G403" s="104"/>
      <c r="H403" s="104"/>
      <c r="I403" s="103"/>
      <c r="J403" s="104"/>
      <c r="K403" s="104"/>
      <c r="L403" s="104"/>
      <c r="M403" s="103"/>
      <c r="N403" s="103"/>
      <c r="O403" s="103"/>
      <c r="P403" s="103"/>
      <c r="Q403" s="103"/>
      <c r="R403" s="236"/>
      <c r="S403" s="730" t="str">
        <f t="shared" si="128"/>
        <v/>
      </c>
      <c r="T403" s="730" t="str">
        <f t="shared" si="128"/>
        <v/>
      </c>
      <c r="U403" s="730" t="str">
        <f t="shared" si="128"/>
        <v/>
      </c>
      <c r="V403" s="730" t="str">
        <f t="shared" si="127"/>
        <v/>
      </c>
      <c r="W403" s="254"/>
      <c r="X403" s="237" t="s">
        <v>598</v>
      </c>
    </row>
    <row r="404" spans="1:26" ht="11.25" hidden="1" customHeight="1">
      <c r="A404" s="246" t="s">
        <v>303</v>
      </c>
      <c r="B404" s="235" t="s">
        <v>610</v>
      </c>
      <c r="C404" s="728"/>
      <c r="D404" s="394" t="s">
        <v>289</v>
      </c>
      <c r="E404" s="729" t="s">
        <v>289</v>
      </c>
      <c r="F404" s="103">
        <f t="shared" ref="F404:H405" si="151">+F327+F343+F358+F373+F388</f>
        <v>11599915</v>
      </c>
      <c r="G404" s="103">
        <f t="shared" si="151"/>
        <v>0</v>
      </c>
      <c r="H404" s="103">
        <f t="shared" si="151"/>
        <v>0</v>
      </c>
      <c r="I404" s="103">
        <f t="shared" si="143"/>
        <v>11599915</v>
      </c>
      <c r="J404" s="103">
        <f t="shared" ref="J404:L405" si="152">+J327+J343+J358+J373+J388</f>
        <v>11582055.610000001</v>
      </c>
      <c r="K404" s="103">
        <f t="shared" si="152"/>
        <v>0</v>
      </c>
      <c r="L404" s="103">
        <f t="shared" si="152"/>
        <v>0</v>
      </c>
      <c r="M404" s="103">
        <f t="shared" si="144"/>
        <v>11582055.610000001</v>
      </c>
      <c r="N404" s="103">
        <f t="shared" si="141"/>
        <v>17859.389999998733</v>
      </c>
      <c r="O404" s="103">
        <f t="shared" si="141"/>
        <v>0</v>
      </c>
      <c r="P404" s="103">
        <f t="shared" si="141"/>
        <v>0</v>
      </c>
      <c r="Q404" s="103">
        <f t="shared" si="142"/>
        <v>17859.389999998733</v>
      </c>
      <c r="R404" s="276"/>
      <c r="S404" s="730">
        <f t="shared" si="128"/>
        <v>0.99846038613213983</v>
      </c>
      <c r="T404" s="730" t="str">
        <f t="shared" si="128"/>
        <v/>
      </c>
      <c r="U404" s="730" t="str">
        <f t="shared" si="128"/>
        <v/>
      </c>
      <c r="V404" s="730">
        <f t="shared" si="127"/>
        <v>0.99846038613213983</v>
      </c>
      <c r="W404" s="254"/>
      <c r="X404" s="237" t="s">
        <v>598</v>
      </c>
    </row>
    <row r="405" spans="1:26" ht="11.25" hidden="1" customHeight="1">
      <c r="A405" s="246" t="s">
        <v>303</v>
      </c>
      <c r="B405" s="235" t="s">
        <v>610</v>
      </c>
      <c r="C405" s="728"/>
      <c r="D405" s="394" t="s">
        <v>290</v>
      </c>
      <c r="E405" s="729" t="s">
        <v>290</v>
      </c>
      <c r="F405" s="103">
        <f t="shared" si="151"/>
        <v>0</v>
      </c>
      <c r="G405" s="103">
        <f t="shared" si="151"/>
        <v>7210000</v>
      </c>
      <c r="H405" s="103">
        <f t="shared" si="151"/>
        <v>0</v>
      </c>
      <c r="I405" s="103">
        <f t="shared" si="143"/>
        <v>7210000</v>
      </c>
      <c r="J405" s="103">
        <f t="shared" si="152"/>
        <v>0</v>
      </c>
      <c r="K405" s="103">
        <f t="shared" si="152"/>
        <v>5965627.8599999994</v>
      </c>
      <c r="L405" s="103">
        <f t="shared" si="152"/>
        <v>0</v>
      </c>
      <c r="M405" s="103">
        <f t="shared" si="144"/>
        <v>5965627.8599999994</v>
      </c>
      <c r="N405" s="103">
        <f t="shared" si="141"/>
        <v>0</v>
      </c>
      <c r="O405" s="103">
        <f t="shared" si="141"/>
        <v>1244372.1400000006</v>
      </c>
      <c r="P405" s="103">
        <f t="shared" si="141"/>
        <v>0</v>
      </c>
      <c r="Q405" s="103">
        <f t="shared" si="142"/>
        <v>1244372.1400000006</v>
      </c>
      <c r="R405" s="276"/>
      <c r="S405" s="730" t="str">
        <f t="shared" si="128"/>
        <v/>
      </c>
      <c r="T405" s="730">
        <f t="shared" si="128"/>
        <v>0.82741024410540909</v>
      </c>
      <c r="U405" s="730" t="str">
        <f t="shared" si="128"/>
        <v/>
      </c>
      <c r="V405" s="730">
        <f t="shared" si="127"/>
        <v>0.82741024410540909</v>
      </c>
      <c r="W405" s="254"/>
      <c r="X405" s="237" t="s">
        <v>598</v>
      </c>
    </row>
    <row r="406" spans="1:26" s="266" customFormat="1" ht="24.75" customHeight="1">
      <c r="A406" s="246" t="s">
        <v>303</v>
      </c>
      <c r="B406" s="1009" t="s">
        <v>610</v>
      </c>
      <c r="C406" s="1431" t="s">
        <v>611</v>
      </c>
      <c r="D406" s="1432"/>
      <c r="E406" s="1433"/>
      <c r="F406" s="666">
        <f>+F400+F398+F396</f>
        <v>389937947</v>
      </c>
      <c r="G406" s="666">
        <f t="shared" ref="G406:M406" si="153">+G400+G398+G396</f>
        <v>398319684</v>
      </c>
      <c r="H406" s="666">
        <f t="shared" si="153"/>
        <v>412488500</v>
      </c>
      <c r="I406" s="666">
        <f t="shared" si="153"/>
        <v>1200746131</v>
      </c>
      <c r="J406" s="666">
        <f t="shared" si="153"/>
        <v>349915832.77000004</v>
      </c>
      <c r="K406" s="666">
        <f t="shared" si="153"/>
        <v>304383294.38</v>
      </c>
      <c r="L406" s="666">
        <f t="shared" si="153"/>
        <v>401602644.66000003</v>
      </c>
      <c r="M406" s="666">
        <f t="shared" si="153"/>
        <v>1055901771.8100001</v>
      </c>
      <c r="N406" s="666">
        <f t="shared" si="141"/>
        <v>40022114.229999959</v>
      </c>
      <c r="O406" s="666">
        <f t="shared" si="141"/>
        <v>93936389.620000005</v>
      </c>
      <c r="P406" s="666">
        <f t="shared" si="141"/>
        <v>10885855.339999974</v>
      </c>
      <c r="Q406" s="666">
        <f t="shared" si="142"/>
        <v>144844359.18999994</v>
      </c>
      <c r="R406" s="667">
        <f>+Q406-'[3]chd2-SAOB'!CC179</f>
        <v>0</v>
      </c>
      <c r="S406" s="1010">
        <f t="shared" si="128"/>
        <v>0.89736286366097129</v>
      </c>
      <c r="T406" s="1010">
        <f t="shared" si="128"/>
        <v>0.76416834669913025</v>
      </c>
      <c r="U406" s="1010">
        <f t="shared" si="128"/>
        <v>0.97360931192021116</v>
      </c>
      <c r="V406" s="1010">
        <f t="shared" si="127"/>
        <v>0.87937137130779564</v>
      </c>
      <c r="W406" s="668"/>
      <c r="X406" s="237" t="s">
        <v>598</v>
      </c>
      <c r="Y406" s="610" t="s">
        <v>598</v>
      </c>
      <c r="Z406" s="241" t="s">
        <v>598</v>
      </c>
    </row>
    <row r="407" spans="1:26" ht="11.25" customHeight="1">
      <c r="A407" s="246" t="s">
        <v>303</v>
      </c>
      <c r="B407" s="235" t="s">
        <v>610</v>
      </c>
      <c r="C407" s="410"/>
      <c r="D407" s="386"/>
      <c r="E407" s="461"/>
      <c r="F407" s="104"/>
      <c r="G407" s="104"/>
      <c r="H407" s="104"/>
      <c r="I407" s="103">
        <f t="shared" si="143"/>
        <v>0</v>
      </c>
      <c r="J407" s="104"/>
      <c r="K407" s="104"/>
      <c r="L407" s="104"/>
      <c r="M407" s="103">
        <f t="shared" si="144"/>
        <v>0</v>
      </c>
      <c r="N407" s="103">
        <f t="shared" si="141"/>
        <v>0</v>
      </c>
      <c r="O407" s="103">
        <f t="shared" si="141"/>
        <v>0</v>
      </c>
      <c r="P407" s="103">
        <f t="shared" si="141"/>
        <v>0</v>
      </c>
      <c r="Q407" s="103">
        <f t="shared" si="142"/>
        <v>0</v>
      </c>
      <c r="S407" s="730" t="str">
        <f t="shared" si="128"/>
        <v/>
      </c>
      <c r="T407" s="730" t="str">
        <f t="shared" si="128"/>
        <v/>
      </c>
      <c r="U407" s="730" t="str">
        <f t="shared" si="128"/>
        <v/>
      </c>
      <c r="V407" s="730" t="str">
        <f t="shared" si="128"/>
        <v/>
      </c>
      <c r="W407" s="254"/>
      <c r="Y407" s="610" t="s">
        <v>598</v>
      </c>
      <c r="Z407" s="241" t="s">
        <v>598</v>
      </c>
    </row>
    <row r="408" spans="1:26" ht="11.25" customHeight="1">
      <c r="A408" s="528" t="s">
        <v>613</v>
      </c>
      <c r="B408" s="528" t="s">
        <v>139</v>
      </c>
      <c r="C408" s="408"/>
      <c r="D408" s="529"/>
      <c r="E408" s="408" t="s">
        <v>139</v>
      </c>
      <c r="F408" s="104"/>
      <c r="G408" s="104"/>
      <c r="H408" s="104"/>
      <c r="I408" s="103">
        <f t="shared" si="143"/>
        <v>0</v>
      </c>
      <c r="J408" s="104"/>
      <c r="K408" s="104"/>
      <c r="L408" s="104"/>
      <c r="M408" s="103">
        <f t="shared" si="144"/>
        <v>0</v>
      </c>
      <c r="N408" s="103">
        <f t="shared" si="141"/>
        <v>0</v>
      </c>
      <c r="O408" s="103">
        <f t="shared" si="141"/>
        <v>0</v>
      </c>
      <c r="P408" s="103">
        <f t="shared" si="141"/>
        <v>0</v>
      </c>
      <c r="Q408" s="103">
        <f t="shared" si="142"/>
        <v>0</v>
      </c>
      <c r="S408" s="730" t="str">
        <f t="shared" ref="S408:V471" si="154">IF(F408=0,"",J408/F408)</f>
        <v/>
      </c>
      <c r="T408" s="730" t="str">
        <f t="shared" si="154"/>
        <v/>
      </c>
      <c r="U408" s="730" t="str">
        <f t="shared" si="154"/>
        <v/>
      </c>
      <c r="V408" s="730" t="str">
        <f t="shared" si="154"/>
        <v/>
      </c>
      <c r="W408" s="531"/>
      <c r="X408" s="236"/>
      <c r="Y408" s="236" t="s">
        <v>598</v>
      </c>
      <c r="Z408" s="240" t="s">
        <v>598</v>
      </c>
    </row>
    <row r="409" spans="1:26" ht="11.25" customHeight="1">
      <c r="A409" s="528" t="s">
        <v>613</v>
      </c>
      <c r="B409" s="1013" t="s">
        <v>139</v>
      </c>
      <c r="C409" s="461"/>
      <c r="D409" s="645" t="s">
        <v>766</v>
      </c>
      <c r="E409" s="447" t="s">
        <v>766</v>
      </c>
      <c r="F409" s="103">
        <f>SUM(F410:F412)</f>
        <v>87622000</v>
      </c>
      <c r="G409" s="103">
        <f t="shared" ref="G409:M409" si="155">SUM(G410:G412)</f>
        <v>180582000</v>
      </c>
      <c r="H409" s="103">
        <f t="shared" si="155"/>
        <v>0</v>
      </c>
      <c r="I409" s="103">
        <f t="shared" si="155"/>
        <v>268204000</v>
      </c>
      <c r="J409" s="103">
        <f t="shared" si="155"/>
        <v>71750097.140000001</v>
      </c>
      <c r="K409" s="103">
        <f t="shared" si="155"/>
        <v>96482847.400000006</v>
      </c>
      <c r="L409" s="103">
        <f t="shared" si="155"/>
        <v>0</v>
      </c>
      <c r="M409" s="103">
        <f t="shared" si="155"/>
        <v>168232944.53999999</v>
      </c>
      <c r="N409" s="103">
        <f t="shared" si="141"/>
        <v>15871902.859999999</v>
      </c>
      <c r="O409" s="103">
        <f t="shared" si="141"/>
        <v>84099152.599999994</v>
      </c>
      <c r="P409" s="103">
        <f t="shared" si="141"/>
        <v>0</v>
      </c>
      <c r="Q409" s="103">
        <f t="shared" si="142"/>
        <v>99971055.459999993</v>
      </c>
      <c r="S409" s="730">
        <f t="shared" si="154"/>
        <v>0.81885938622720322</v>
      </c>
      <c r="T409" s="730">
        <f t="shared" si="154"/>
        <v>0.53428828676169282</v>
      </c>
      <c r="U409" s="730" t="str">
        <f t="shared" si="154"/>
        <v/>
      </c>
      <c r="V409" s="730">
        <f t="shared" si="154"/>
        <v>0.62725740309615063</v>
      </c>
      <c r="W409" s="531"/>
      <c r="X409" s="236"/>
      <c r="Y409" s="236" t="s">
        <v>688</v>
      </c>
      <c r="Z409" s="236"/>
    </row>
    <row r="410" spans="1:26" ht="11.25" hidden="1" customHeight="1">
      <c r="A410" s="528" t="s">
        <v>613</v>
      </c>
      <c r="B410" s="1013" t="s">
        <v>139</v>
      </c>
      <c r="C410" s="411"/>
      <c r="D410" s="647" t="s">
        <v>98</v>
      </c>
      <c r="E410" s="459" t="s">
        <v>775</v>
      </c>
      <c r="F410" s="103">
        <f>+'[3]chd3-SAOB'!C13</f>
        <v>27137000</v>
      </c>
      <c r="G410" s="103">
        <f>+'[3]chd3-SAOB'!C49</f>
        <v>20701000</v>
      </c>
      <c r="H410" s="103">
        <f>+'[3]chd3-SAOB'!C142</f>
        <v>0</v>
      </c>
      <c r="I410" s="103">
        <f t="shared" si="143"/>
        <v>47838000</v>
      </c>
      <c r="J410" s="103">
        <f>+'[3]chd3-SAOB'!C14</f>
        <v>21441874.870000001</v>
      </c>
      <c r="K410" s="103">
        <f>+'[3]chd3-SAOB'!C50</f>
        <v>18205651.82</v>
      </c>
      <c r="L410" s="103">
        <f>+'[3]chd3-SAOB'!C143</f>
        <v>0</v>
      </c>
      <c r="M410" s="103">
        <f t="shared" si="144"/>
        <v>39647526.689999998</v>
      </c>
      <c r="N410" s="103">
        <f t="shared" si="141"/>
        <v>5695125.129999999</v>
      </c>
      <c r="O410" s="103">
        <f t="shared" si="141"/>
        <v>2495348.1799999997</v>
      </c>
      <c r="P410" s="103">
        <f t="shared" si="141"/>
        <v>0</v>
      </c>
      <c r="Q410" s="103">
        <f t="shared" si="142"/>
        <v>8190473.3099999987</v>
      </c>
      <c r="R410" s="236"/>
      <c r="S410" s="730">
        <f t="shared" si="154"/>
        <v>0.79013431366768627</v>
      </c>
      <c r="T410" s="730">
        <f t="shared" si="154"/>
        <v>0.87945760204821022</v>
      </c>
      <c r="U410" s="730" t="str">
        <f t="shared" si="154"/>
        <v/>
      </c>
      <c r="V410" s="730">
        <f t="shared" si="154"/>
        <v>0.82878729650068983</v>
      </c>
      <c r="W410" s="531"/>
      <c r="X410" s="236"/>
      <c r="Y410" s="236"/>
      <c r="Z410" s="236"/>
    </row>
    <row r="411" spans="1:26" ht="11.25" hidden="1" customHeight="1">
      <c r="A411" s="528" t="s">
        <v>613</v>
      </c>
      <c r="B411" s="1013" t="s">
        <v>139</v>
      </c>
      <c r="C411" s="406" t="s">
        <v>776</v>
      </c>
      <c r="D411" s="647" t="s">
        <v>98</v>
      </c>
      <c r="E411" s="406" t="s">
        <v>776</v>
      </c>
      <c r="F411" s="103">
        <f>+'[3]chd3-SAOB'!D13</f>
        <v>2308000</v>
      </c>
      <c r="G411" s="103">
        <f>+'[3]chd3-SAOB'!D49</f>
        <v>8783000</v>
      </c>
      <c r="H411" s="103">
        <f>+'[3]chd3-SAOB'!D142</f>
        <v>0</v>
      </c>
      <c r="I411" s="103">
        <f t="shared" si="143"/>
        <v>11091000</v>
      </c>
      <c r="J411" s="103">
        <f>+'[3]chd3-SAOB'!D14</f>
        <v>2235685.61</v>
      </c>
      <c r="K411" s="103">
        <f>+'[3]chd3-SAOB'!D50</f>
        <v>4839846.97</v>
      </c>
      <c r="L411" s="103">
        <f>+'[3]chd3-SAOB'!D143</f>
        <v>0</v>
      </c>
      <c r="M411" s="103">
        <f t="shared" si="144"/>
        <v>7075532.5800000001</v>
      </c>
      <c r="N411" s="103">
        <f t="shared" si="141"/>
        <v>72314.39000000013</v>
      </c>
      <c r="O411" s="103">
        <f t="shared" si="141"/>
        <v>3943153.0300000003</v>
      </c>
      <c r="P411" s="103">
        <f t="shared" si="141"/>
        <v>0</v>
      </c>
      <c r="Q411" s="103">
        <f t="shared" si="142"/>
        <v>4015467.4200000004</v>
      </c>
      <c r="R411" s="236"/>
      <c r="S411" s="730">
        <f t="shared" si="154"/>
        <v>0.96866794194107442</v>
      </c>
      <c r="T411" s="730">
        <f t="shared" si="154"/>
        <v>0.55104713309803022</v>
      </c>
      <c r="U411" s="730" t="str">
        <f t="shared" si="154"/>
        <v/>
      </c>
      <c r="V411" s="730">
        <f t="shared" si="154"/>
        <v>0.63795262645388151</v>
      </c>
      <c r="W411" s="531"/>
      <c r="X411" s="236"/>
      <c r="Y411" s="236"/>
      <c r="Z411" s="236"/>
    </row>
    <row r="412" spans="1:26" ht="11.25" hidden="1" customHeight="1">
      <c r="A412" s="528" t="s">
        <v>613</v>
      </c>
      <c r="B412" s="1013" t="s">
        <v>139</v>
      </c>
      <c r="C412" s="411"/>
      <c r="D412" s="647" t="s">
        <v>98</v>
      </c>
      <c r="E412" s="406" t="s">
        <v>777</v>
      </c>
      <c r="F412" s="103">
        <f>+'[3]chd3-SAOB'!E13</f>
        <v>58177000</v>
      </c>
      <c r="G412" s="103">
        <f>+'[3]chd3-SAOB'!E49</f>
        <v>151098000</v>
      </c>
      <c r="H412" s="103">
        <f>+'[3]chd3-SAOB'!E142</f>
        <v>0</v>
      </c>
      <c r="I412" s="103">
        <f t="shared" si="143"/>
        <v>209275000</v>
      </c>
      <c r="J412" s="103">
        <f>+'[3]chd3-SAOB'!E14</f>
        <v>48072536.659999996</v>
      </c>
      <c r="K412" s="103">
        <f>+'[3]chd3-SAOB'!E50</f>
        <v>73437348.609999999</v>
      </c>
      <c r="L412" s="103">
        <f>+'[3]chd3-SAOB'!E143</f>
        <v>0</v>
      </c>
      <c r="M412" s="103">
        <f t="shared" si="144"/>
        <v>121509885.27</v>
      </c>
      <c r="N412" s="103">
        <f t="shared" si="141"/>
        <v>10104463.340000004</v>
      </c>
      <c r="O412" s="103">
        <f t="shared" si="141"/>
        <v>77660651.390000001</v>
      </c>
      <c r="P412" s="103">
        <f t="shared" si="141"/>
        <v>0</v>
      </c>
      <c r="Q412" s="103">
        <f t="shared" si="142"/>
        <v>87765114.730000004</v>
      </c>
      <c r="R412" s="236"/>
      <c r="S412" s="730">
        <f t="shared" si="154"/>
        <v>0.82631515306736336</v>
      </c>
      <c r="T412" s="730">
        <f t="shared" si="154"/>
        <v>0.48602462382030204</v>
      </c>
      <c r="U412" s="730" t="str">
        <f t="shared" si="154"/>
        <v/>
      </c>
      <c r="V412" s="730">
        <f t="shared" si="154"/>
        <v>0.58062303318599928</v>
      </c>
      <c r="W412" s="531"/>
      <c r="X412" s="236"/>
      <c r="Y412" s="236"/>
      <c r="Z412" s="236"/>
    </row>
    <row r="413" spans="1:26" ht="11.25" customHeight="1">
      <c r="A413" s="528" t="s">
        <v>613</v>
      </c>
      <c r="B413" s="1013" t="s">
        <v>139</v>
      </c>
      <c r="C413" s="728"/>
      <c r="D413" s="649" t="s">
        <v>50</v>
      </c>
      <c r="E413" s="447" t="s">
        <v>50</v>
      </c>
      <c r="F413" s="104"/>
      <c r="G413" s="104">
        <f>+'[3]chd3-SAOB'!C386</f>
        <v>191506950</v>
      </c>
      <c r="H413" s="104">
        <f>+'[3]chd3-SAOB'!D386</f>
        <v>3000000</v>
      </c>
      <c r="I413" s="103">
        <f>SUM(F413:H413)</f>
        <v>194506950</v>
      </c>
      <c r="J413" s="104"/>
      <c r="K413" s="104">
        <f>+'[3]chd3-SAOB'!G386</f>
        <v>132681824.97</v>
      </c>
      <c r="L413" s="104">
        <f>+'[3]chd3-SAOB'!H386</f>
        <v>999094.71</v>
      </c>
      <c r="M413" s="103">
        <f>SUM(J413:L413)</f>
        <v>133680919.67999999</v>
      </c>
      <c r="N413" s="103">
        <f t="shared" si="141"/>
        <v>0</v>
      </c>
      <c r="O413" s="103">
        <f t="shared" si="141"/>
        <v>58825125.030000001</v>
      </c>
      <c r="P413" s="103">
        <f t="shared" si="141"/>
        <v>2000905.29</v>
      </c>
      <c r="Q413" s="103">
        <f t="shared" si="142"/>
        <v>60826030.32</v>
      </c>
      <c r="S413" s="730" t="str">
        <f t="shared" si="154"/>
        <v/>
      </c>
      <c r="T413" s="730">
        <f t="shared" si="154"/>
        <v>0.69283033837675345</v>
      </c>
      <c r="U413" s="730">
        <f t="shared" si="154"/>
        <v>0.33303157</v>
      </c>
      <c r="V413" s="730">
        <f t="shared" si="154"/>
        <v>0.68728094127227846</v>
      </c>
      <c r="W413" s="531"/>
      <c r="X413" s="236"/>
      <c r="Y413" s="236" t="s">
        <v>688</v>
      </c>
      <c r="Z413" s="236"/>
    </row>
    <row r="414" spans="1:26" s="256" customFormat="1" ht="11.25" customHeight="1">
      <c r="A414" s="528" t="s">
        <v>613</v>
      </c>
      <c r="B414" s="528" t="s">
        <v>139</v>
      </c>
      <c r="C414" s="389"/>
      <c r="D414" s="650" t="s">
        <v>98</v>
      </c>
      <c r="E414" s="390" t="s">
        <v>767</v>
      </c>
      <c r="F414" s="391">
        <f>+F413+F409</f>
        <v>87622000</v>
      </c>
      <c r="G414" s="391">
        <f t="shared" ref="G414:M414" si="156">+G413+G409</f>
        <v>372088950</v>
      </c>
      <c r="H414" s="391">
        <f t="shared" si="156"/>
        <v>3000000</v>
      </c>
      <c r="I414" s="391">
        <f t="shared" si="156"/>
        <v>462710950</v>
      </c>
      <c r="J414" s="391">
        <f t="shared" si="156"/>
        <v>71750097.140000001</v>
      </c>
      <c r="K414" s="391">
        <f t="shared" si="156"/>
        <v>229164672.37</v>
      </c>
      <c r="L414" s="391">
        <f t="shared" si="156"/>
        <v>999094.71</v>
      </c>
      <c r="M414" s="391">
        <f t="shared" si="156"/>
        <v>301913864.21999997</v>
      </c>
      <c r="N414" s="391">
        <f t="shared" si="141"/>
        <v>15871902.859999999</v>
      </c>
      <c r="O414" s="391">
        <f t="shared" si="141"/>
        <v>142924277.63</v>
      </c>
      <c r="P414" s="391">
        <f t="shared" si="141"/>
        <v>2000905.29</v>
      </c>
      <c r="Q414" s="391">
        <f t="shared" si="142"/>
        <v>160797085.78</v>
      </c>
      <c r="R414" s="101"/>
      <c r="S414" s="254">
        <f t="shared" si="154"/>
        <v>0.81885938622720322</v>
      </c>
      <c r="T414" s="254">
        <f t="shared" si="154"/>
        <v>0.61588679903017818</v>
      </c>
      <c r="U414" s="254">
        <f t="shared" si="154"/>
        <v>0.33303157</v>
      </c>
      <c r="V414" s="254">
        <f t="shared" si="154"/>
        <v>0.6524891278669761</v>
      </c>
      <c r="W414" s="531"/>
      <c r="Y414" s="256" t="s">
        <v>598</v>
      </c>
      <c r="Z414" s="256" t="s">
        <v>598</v>
      </c>
    </row>
    <row r="415" spans="1:26" ht="11.25" hidden="1" customHeight="1">
      <c r="A415" s="528" t="s">
        <v>613</v>
      </c>
      <c r="B415" s="1013" t="s">
        <v>139</v>
      </c>
      <c r="C415" s="410"/>
      <c r="D415" s="651"/>
      <c r="E415" s="806"/>
      <c r="F415" s="807"/>
      <c r="G415" s="807"/>
      <c r="H415" s="807"/>
      <c r="I415" s="807"/>
      <c r="J415" s="807"/>
      <c r="K415" s="807"/>
      <c r="L415" s="807"/>
      <c r="M415" s="807"/>
      <c r="N415" s="807">
        <f t="shared" si="141"/>
        <v>0</v>
      </c>
      <c r="O415" s="807">
        <f t="shared" si="141"/>
        <v>0</v>
      </c>
      <c r="P415" s="807">
        <f t="shared" si="141"/>
        <v>0</v>
      </c>
      <c r="Q415" s="807">
        <f t="shared" si="142"/>
        <v>0</v>
      </c>
      <c r="R415" s="276"/>
      <c r="S415" s="730" t="str">
        <f t="shared" si="154"/>
        <v/>
      </c>
      <c r="T415" s="730" t="str">
        <f t="shared" si="154"/>
        <v/>
      </c>
      <c r="U415" s="730" t="str">
        <f t="shared" si="154"/>
        <v/>
      </c>
      <c r="V415" s="730" t="str">
        <f t="shared" si="154"/>
        <v/>
      </c>
      <c r="W415" s="531"/>
      <c r="X415" s="236"/>
      <c r="Y415" s="236"/>
      <c r="Z415" s="236"/>
    </row>
    <row r="416" spans="1:26" s="256" customFormat="1" ht="11.25" customHeight="1">
      <c r="A416" s="528" t="s">
        <v>613</v>
      </c>
      <c r="B416" s="528" t="s">
        <v>139</v>
      </c>
      <c r="C416" s="389"/>
      <c r="D416" s="650" t="s">
        <v>98</v>
      </c>
      <c r="E416" s="390" t="s">
        <v>99</v>
      </c>
      <c r="F416" s="391">
        <f>+F417</f>
        <v>7976000</v>
      </c>
      <c r="G416" s="391">
        <f t="shared" ref="G416:M416" si="157">+G417</f>
        <v>0</v>
      </c>
      <c r="H416" s="391">
        <f t="shared" si="157"/>
        <v>0</v>
      </c>
      <c r="I416" s="391">
        <f t="shared" si="157"/>
        <v>7976000</v>
      </c>
      <c r="J416" s="391">
        <f t="shared" si="157"/>
        <v>5909189.4800000004</v>
      </c>
      <c r="K416" s="391">
        <f t="shared" si="157"/>
        <v>0</v>
      </c>
      <c r="L416" s="391">
        <f t="shared" si="157"/>
        <v>0</v>
      </c>
      <c r="M416" s="391">
        <f t="shared" si="157"/>
        <v>5909189.4800000004</v>
      </c>
      <c r="N416" s="391">
        <f t="shared" si="141"/>
        <v>2066810.5199999996</v>
      </c>
      <c r="O416" s="391">
        <f t="shared" si="141"/>
        <v>0</v>
      </c>
      <c r="P416" s="391">
        <f t="shared" si="141"/>
        <v>0</v>
      </c>
      <c r="Q416" s="391">
        <f t="shared" si="142"/>
        <v>2066810.5199999996</v>
      </c>
      <c r="R416" s="101"/>
      <c r="S416" s="254">
        <f t="shared" si="154"/>
        <v>0.74087129889669012</v>
      </c>
      <c r="T416" s="254" t="str">
        <f t="shared" si="154"/>
        <v/>
      </c>
      <c r="U416" s="254" t="str">
        <f t="shared" si="154"/>
        <v/>
      </c>
      <c r="V416" s="254">
        <f t="shared" si="154"/>
        <v>0.74087129889669012</v>
      </c>
      <c r="W416" s="531"/>
      <c r="Y416" s="256" t="s">
        <v>598</v>
      </c>
      <c r="Z416" s="256" t="s">
        <v>598</v>
      </c>
    </row>
    <row r="417" spans="1:26" ht="11.25" customHeight="1">
      <c r="A417" s="528" t="s">
        <v>613</v>
      </c>
      <c r="B417" s="1013" t="s">
        <v>139</v>
      </c>
      <c r="C417" s="728"/>
      <c r="D417" s="649" t="s">
        <v>286</v>
      </c>
      <c r="E417" s="729" t="s">
        <v>286</v>
      </c>
      <c r="F417" s="103">
        <f>SUM('[3]chd3-SAOB'!AH13)</f>
        <v>7976000</v>
      </c>
      <c r="G417" s="103">
        <f>SUM('[3]chd3-SAOB'!AH49)</f>
        <v>0</v>
      </c>
      <c r="H417" s="103">
        <f>SUM('[3]chd3-SAOB'!AH142)</f>
        <v>0</v>
      </c>
      <c r="I417" s="103">
        <f t="shared" si="143"/>
        <v>7976000</v>
      </c>
      <c r="J417" s="103">
        <f>SUM('[3]chd3-SAOB'!AH14)</f>
        <v>5909189.4800000004</v>
      </c>
      <c r="K417" s="103">
        <f>SUM('[3]chd3-SAOB'!AH50)</f>
        <v>0</v>
      </c>
      <c r="L417" s="103">
        <f>SUM('[3]chd3-SAOB'!AH143)</f>
        <v>0</v>
      </c>
      <c r="M417" s="103">
        <f t="shared" si="144"/>
        <v>5909189.4800000004</v>
      </c>
      <c r="N417" s="103">
        <f t="shared" si="141"/>
        <v>2066810.5199999996</v>
      </c>
      <c r="O417" s="103">
        <f t="shared" si="141"/>
        <v>0</v>
      </c>
      <c r="P417" s="103">
        <f t="shared" si="141"/>
        <v>0</v>
      </c>
      <c r="Q417" s="103">
        <f t="shared" si="142"/>
        <v>2066810.5199999996</v>
      </c>
      <c r="S417" s="730">
        <f t="shared" si="154"/>
        <v>0.74087129889669012</v>
      </c>
      <c r="T417" s="730" t="str">
        <f t="shared" si="154"/>
        <v/>
      </c>
      <c r="U417" s="730" t="str">
        <f t="shared" si="154"/>
        <v/>
      </c>
      <c r="V417" s="730">
        <f t="shared" si="154"/>
        <v>0.74087129889669012</v>
      </c>
      <c r="W417" s="531"/>
      <c r="X417" s="236"/>
      <c r="Y417" s="236" t="s">
        <v>598</v>
      </c>
      <c r="Z417" s="236"/>
    </row>
    <row r="418" spans="1:26" s="272" customFormat="1" ht="11.25" customHeight="1">
      <c r="A418" s="528" t="s">
        <v>613</v>
      </c>
      <c r="B418" s="528" t="s">
        <v>139</v>
      </c>
      <c r="C418" s="389"/>
      <c r="D418" s="650" t="s">
        <v>98</v>
      </c>
      <c r="E418" s="390" t="s">
        <v>100</v>
      </c>
      <c r="F418" s="391">
        <f t="shared" ref="F418:M418" si="158">SUM(F419:F423)</f>
        <v>52082025</v>
      </c>
      <c r="G418" s="391">
        <f t="shared" si="158"/>
        <v>0</v>
      </c>
      <c r="H418" s="391">
        <f t="shared" si="158"/>
        <v>0</v>
      </c>
      <c r="I418" s="391">
        <f t="shared" si="158"/>
        <v>52082025</v>
      </c>
      <c r="J418" s="391">
        <f t="shared" si="158"/>
        <v>51972024.349999994</v>
      </c>
      <c r="K418" s="391">
        <f t="shared" si="158"/>
        <v>0</v>
      </c>
      <c r="L418" s="391">
        <f t="shared" si="158"/>
        <v>0</v>
      </c>
      <c r="M418" s="391">
        <f t="shared" si="158"/>
        <v>51972024.349999994</v>
      </c>
      <c r="N418" s="391">
        <f t="shared" si="141"/>
        <v>110000.65000000596</v>
      </c>
      <c r="O418" s="391">
        <f t="shared" si="141"/>
        <v>0</v>
      </c>
      <c r="P418" s="391">
        <f t="shared" si="141"/>
        <v>0</v>
      </c>
      <c r="Q418" s="391">
        <f t="shared" si="142"/>
        <v>110000.65000000596</v>
      </c>
      <c r="R418" s="102"/>
      <c r="S418" s="254">
        <f t="shared" si="154"/>
        <v>0.99788793446491364</v>
      </c>
      <c r="T418" s="254" t="str">
        <f t="shared" si="154"/>
        <v/>
      </c>
      <c r="U418" s="254" t="str">
        <f t="shared" si="154"/>
        <v/>
      </c>
      <c r="V418" s="254">
        <f t="shared" si="154"/>
        <v>0.99788793446491364</v>
      </c>
      <c r="W418" s="531"/>
      <c r="Y418" s="272" t="s">
        <v>598</v>
      </c>
      <c r="Z418" s="256" t="s">
        <v>598</v>
      </c>
    </row>
    <row r="419" spans="1:26" ht="11.25" customHeight="1">
      <c r="A419" s="528" t="s">
        <v>613</v>
      </c>
      <c r="B419" s="1013" t="s">
        <v>139</v>
      </c>
      <c r="C419" s="728"/>
      <c r="D419" s="649" t="s">
        <v>288</v>
      </c>
      <c r="E419" s="729" t="s">
        <v>288</v>
      </c>
      <c r="F419" s="103">
        <f>SUM('[3]chd3-SAOB'!AO13)</f>
        <v>46934471</v>
      </c>
      <c r="G419" s="103">
        <f>SUM('[3]chd3-SAOB'!AO49)</f>
        <v>0</v>
      </c>
      <c r="H419" s="103">
        <f>SUM('[3]chd3-SAOB'!AO142)</f>
        <v>0</v>
      </c>
      <c r="I419" s="103">
        <f t="shared" si="143"/>
        <v>46934471</v>
      </c>
      <c r="J419" s="103">
        <f>SUM('[3]chd3-SAOB'!AO14)</f>
        <v>46899470.979999997</v>
      </c>
      <c r="K419" s="103">
        <f>SUM('[3]chd3-SAOB'!AO50)</f>
        <v>0</v>
      </c>
      <c r="L419" s="103">
        <f>SUM('[3]chd3-SAOB'!AO143)</f>
        <v>0</v>
      </c>
      <c r="M419" s="103">
        <f t="shared" si="144"/>
        <v>46899470.979999997</v>
      </c>
      <c r="N419" s="103">
        <f t="shared" si="141"/>
        <v>35000.020000003278</v>
      </c>
      <c r="O419" s="103">
        <f t="shared" si="141"/>
        <v>0</v>
      </c>
      <c r="P419" s="103">
        <f t="shared" si="141"/>
        <v>0</v>
      </c>
      <c r="Q419" s="103">
        <f t="shared" si="142"/>
        <v>35000.020000003278</v>
      </c>
      <c r="S419" s="730">
        <f t="shared" si="154"/>
        <v>0.99925427901381902</v>
      </c>
      <c r="T419" s="730" t="str">
        <f t="shared" si="154"/>
        <v/>
      </c>
      <c r="U419" s="730" t="str">
        <f t="shared" si="154"/>
        <v/>
      </c>
      <c r="V419" s="730">
        <f t="shared" si="154"/>
        <v>0.99925427901381902</v>
      </c>
      <c r="W419" s="531"/>
      <c r="X419" s="236"/>
      <c r="Y419" s="236" t="s">
        <v>598</v>
      </c>
      <c r="Z419" s="236"/>
    </row>
    <row r="420" spans="1:26" ht="11.25" customHeight="1">
      <c r="A420" s="528" t="s">
        <v>613</v>
      </c>
      <c r="B420" s="1013" t="s">
        <v>139</v>
      </c>
      <c r="C420" s="728"/>
      <c r="D420" s="649" t="s">
        <v>761</v>
      </c>
      <c r="E420" s="729" t="s">
        <v>761</v>
      </c>
      <c r="F420" s="104">
        <f>+'[3]chd3-SAOB'!AA11</f>
        <v>3290000</v>
      </c>
      <c r="G420" s="104"/>
      <c r="H420" s="104"/>
      <c r="I420" s="103">
        <f>SUM(F420:H420)</f>
        <v>3290000</v>
      </c>
      <c r="J420" s="104">
        <f>+'[3]chd3-SAOB'!AA43</f>
        <v>3215000</v>
      </c>
      <c r="K420" s="104"/>
      <c r="L420" s="104"/>
      <c r="M420" s="103">
        <f>SUM(J420:L420)</f>
        <v>3215000</v>
      </c>
      <c r="N420" s="103">
        <f>+F420-J420</f>
        <v>75000</v>
      </c>
      <c r="O420" s="103">
        <f>+G420-K420</f>
        <v>0</v>
      </c>
      <c r="P420" s="103">
        <f>+H420-L420</f>
        <v>0</v>
      </c>
      <c r="Q420" s="103">
        <f>SUM(N420:P420)</f>
        <v>75000</v>
      </c>
      <c r="S420" s="730">
        <f t="shared" si="154"/>
        <v>0.97720364741641341</v>
      </c>
      <c r="T420" s="730" t="str">
        <f t="shared" si="154"/>
        <v/>
      </c>
      <c r="U420" s="730" t="str">
        <f t="shared" si="154"/>
        <v/>
      </c>
      <c r="V420" s="730">
        <f t="shared" si="154"/>
        <v>0.97720364741641341</v>
      </c>
      <c r="W420" s="531"/>
      <c r="X420" s="236"/>
      <c r="Y420" s="236" t="s">
        <v>688</v>
      </c>
      <c r="Z420" s="236"/>
    </row>
    <row r="421" spans="1:26" ht="11.25" customHeight="1">
      <c r="A421" s="528" t="s">
        <v>613</v>
      </c>
      <c r="B421" s="1013" t="s">
        <v>139</v>
      </c>
      <c r="C421" s="411"/>
      <c r="D421" s="647"/>
      <c r="E421" s="1014"/>
      <c r="F421" s="104"/>
      <c r="G421" s="104"/>
      <c r="H421" s="104"/>
      <c r="I421" s="103"/>
      <c r="J421" s="104"/>
      <c r="K421" s="104"/>
      <c r="L421" s="104"/>
      <c r="M421" s="103"/>
      <c r="N421" s="103"/>
      <c r="O421" s="103"/>
      <c r="P421" s="103"/>
      <c r="Q421" s="103"/>
      <c r="S421" s="730" t="str">
        <f t="shared" si="154"/>
        <v/>
      </c>
      <c r="T421" s="730" t="str">
        <f t="shared" si="154"/>
        <v/>
      </c>
      <c r="U421" s="730" t="str">
        <f t="shared" si="154"/>
        <v/>
      </c>
      <c r="V421" s="730" t="str">
        <f t="shared" si="154"/>
        <v/>
      </c>
      <c r="W421" s="531"/>
      <c r="X421" s="236"/>
      <c r="Y421" s="236" t="s">
        <v>688</v>
      </c>
      <c r="Z421" s="240"/>
    </row>
    <row r="422" spans="1:26" ht="11.25" customHeight="1">
      <c r="A422" s="528" t="s">
        <v>613</v>
      </c>
      <c r="B422" s="1013" t="s">
        <v>139</v>
      </c>
      <c r="C422" s="728"/>
      <c r="D422" s="649" t="s">
        <v>289</v>
      </c>
      <c r="E422" s="729" t="s">
        <v>289</v>
      </c>
      <c r="F422" s="103">
        <f>SUM('[3]chd3-SAOB'!AV13)</f>
        <v>1857554</v>
      </c>
      <c r="G422" s="103">
        <f>SUM('[3]chd3-SAOB'!AV49)</f>
        <v>0</v>
      </c>
      <c r="H422" s="103">
        <f>SUM('[3]chd3-SAOB'!AV142)</f>
        <v>0</v>
      </c>
      <c r="I422" s="103">
        <f t="shared" si="143"/>
        <v>1857554</v>
      </c>
      <c r="J422" s="103">
        <f>SUM('[3]chd3-SAOB'!AV14)</f>
        <v>1857553.37</v>
      </c>
      <c r="K422" s="103">
        <f>SUM('[3]chd3-SAOB'!AV50)</f>
        <v>0</v>
      </c>
      <c r="L422" s="103">
        <f>SUM('[3]chd3-SAOB'!AV143)</f>
        <v>0</v>
      </c>
      <c r="M422" s="103">
        <f t="shared" si="144"/>
        <v>1857553.37</v>
      </c>
      <c r="N422" s="103">
        <f t="shared" si="141"/>
        <v>0.62999999988824129</v>
      </c>
      <c r="O422" s="103">
        <f t="shared" si="141"/>
        <v>0</v>
      </c>
      <c r="P422" s="103">
        <f t="shared" si="141"/>
        <v>0</v>
      </c>
      <c r="Q422" s="103">
        <f t="shared" si="142"/>
        <v>0.62999999988824129</v>
      </c>
      <c r="S422" s="730">
        <f t="shared" si="154"/>
        <v>0.99999966084431469</v>
      </c>
      <c r="T422" s="730" t="str">
        <f t="shared" si="154"/>
        <v/>
      </c>
      <c r="U422" s="730" t="str">
        <f t="shared" si="154"/>
        <v/>
      </c>
      <c r="V422" s="730">
        <f t="shared" si="154"/>
        <v>0.99999966084431469</v>
      </c>
      <c r="W422" s="531"/>
      <c r="X422" s="236"/>
      <c r="Y422" s="236" t="s">
        <v>598</v>
      </c>
      <c r="Z422" s="236"/>
    </row>
    <row r="423" spans="1:26" ht="11.25" customHeight="1">
      <c r="A423" s="528" t="s">
        <v>613</v>
      </c>
      <c r="B423" s="1013" t="s">
        <v>139</v>
      </c>
      <c r="C423" s="728"/>
      <c r="D423" s="649" t="s">
        <v>290</v>
      </c>
      <c r="E423" s="729" t="s">
        <v>290</v>
      </c>
      <c r="F423" s="103">
        <f>SUM('[3]chd3-SAOB'!BC13)</f>
        <v>0</v>
      </c>
      <c r="G423" s="103">
        <f>SUM('[3]chd3-SAOB'!BC49)</f>
        <v>0</v>
      </c>
      <c r="H423" s="103">
        <f>SUM('[3]chd3-SAOB'!BC142)</f>
        <v>0</v>
      </c>
      <c r="I423" s="103">
        <f t="shared" si="143"/>
        <v>0</v>
      </c>
      <c r="J423" s="103">
        <f>SUM('[3]chd3-SAOB'!BC14)</f>
        <v>0</v>
      </c>
      <c r="K423" s="103">
        <f>SUM('[3]chd3-SAOB'!BC50)</f>
        <v>0</v>
      </c>
      <c r="L423" s="103">
        <f>SUM('[3]chd3-SAOB'!BC143)</f>
        <v>0</v>
      </c>
      <c r="M423" s="103">
        <f t="shared" si="144"/>
        <v>0</v>
      </c>
      <c r="N423" s="103">
        <f t="shared" si="141"/>
        <v>0</v>
      </c>
      <c r="O423" s="103">
        <f t="shared" si="141"/>
        <v>0</v>
      </c>
      <c r="P423" s="103">
        <f t="shared" si="141"/>
        <v>0</v>
      </c>
      <c r="Q423" s="103">
        <f t="shared" si="142"/>
        <v>0</v>
      </c>
      <c r="S423" s="730" t="str">
        <f t="shared" si="154"/>
        <v/>
      </c>
      <c r="T423" s="730" t="str">
        <f t="shared" si="154"/>
        <v/>
      </c>
      <c r="U423" s="730" t="str">
        <f t="shared" si="154"/>
        <v/>
      </c>
      <c r="V423" s="730" t="str">
        <f t="shared" si="154"/>
        <v/>
      </c>
      <c r="W423" s="531"/>
      <c r="X423" s="236"/>
      <c r="Y423" s="236" t="s">
        <v>598</v>
      </c>
      <c r="Z423" s="236"/>
    </row>
    <row r="424" spans="1:26" s="671" customFormat="1" ht="11.25" customHeight="1">
      <c r="A424" s="676" t="s">
        <v>613</v>
      </c>
      <c r="B424" s="1018" t="s">
        <v>139</v>
      </c>
      <c r="C424" s="1425" t="s">
        <v>304</v>
      </c>
      <c r="D424" s="1426"/>
      <c r="E424" s="1427"/>
      <c r="F424" s="652">
        <f t="shared" ref="F424:M424" si="159">+F414+F416+F418</f>
        <v>147680025</v>
      </c>
      <c r="G424" s="652">
        <f t="shared" si="159"/>
        <v>372088950</v>
      </c>
      <c r="H424" s="652">
        <f t="shared" si="159"/>
        <v>3000000</v>
      </c>
      <c r="I424" s="652">
        <f t="shared" si="159"/>
        <v>522768975</v>
      </c>
      <c r="J424" s="652">
        <f t="shared" si="159"/>
        <v>129631310.97</v>
      </c>
      <c r="K424" s="652">
        <f t="shared" si="159"/>
        <v>229164672.37</v>
      </c>
      <c r="L424" s="652">
        <f t="shared" si="159"/>
        <v>999094.71</v>
      </c>
      <c r="M424" s="652">
        <f t="shared" si="159"/>
        <v>359795078.04999995</v>
      </c>
      <c r="N424" s="652">
        <f t="shared" si="141"/>
        <v>18048714.030000001</v>
      </c>
      <c r="O424" s="652">
        <f t="shared" si="141"/>
        <v>142924277.63</v>
      </c>
      <c r="P424" s="652">
        <f t="shared" si="141"/>
        <v>2000905.29</v>
      </c>
      <c r="Q424" s="652">
        <f t="shared" si="142"/>
        <v>162973896.94999999</v>
      </c>
      <c r="R424" s="670">
        <f>+Q424-'[3]chd3-SAOB'!CI179</f>
        <v>0</v>
      </c>
      <c r="S424" s="1008">
        <f t="shared" si="154"/>
        <v>0.8777850015261035</v>
      </c>
      <c r="T424" s="1008">
        <f t="shared" si="154"/>
        <v>0.61588679903017818</v>
      </c>
      <c r="U424" s="1008">
        <f t="shared" si="154"/>
        <v>0.33303157</v>
      </c>
      <c r="V424" s="1008">
        <f t="shared" si="154"/>
        <v>0.68824872028796269</v>
      </c>
      <c r="W424" s="677"/>
      <c r="Y424" s="671" t="s">
        <v>598</v>
      </c>
      <c r="Z424" s="259" t="s">
        <v>598</v>
      </c>
    </row>
    <row r="425" spans="1:26" ht="11.25" customHeight="1">
      <c r="A425" s="246" t="s">
        <v>613</v>
      </c>
      <c r="B425" s="235" t="s">
        <v>139</v>
      </c>
      <c r="C425" s="410"/>
      <c r="D425" s="386"/>
      <c r="E425" s="461"/>
      <c r="F425" s="103"/>
      <c r="G425" s="103"/>
      <c r="H425" s="103"/>
      <c r="I425" s="103">
        <f t="shared" si="143"/>
        <v>0</v>
      </c>
      <c r="J425" s="103"/>
      <c r="K425" s="103"/>
      <c r="L425" s="103"/>
      <c r="M425" s="103">
        <f t="shared" si="144"/>
        <v>0</v>
      </c>
      <c r="N425" s="103">
        <f t="shared" si="141"/>
        <v>0</v>
      </c>
      <c r="O425" s="103">
        <f t="shared" si="141"/>
        <v>0</v>
      </c>
      <c r="P425" s="103">
        <f t="shared" si="141"/>
        <v>0</v>
      </c>
      <c r="Q425" s="103">
        <f t="shared" si="142"/>
        <v>0</v>
      </c>
      <c r="S425" s="730" t="str">
        <f t="shared" si="154"/>
        <v/>
      </c>
      <c r="T425" s="730" t="str">
        <f t="shared" si="154"/>
        <v/>
      </c>
      <c r="U425" s="730" t="str">
        <f t="shared" si="154"/>
        <v/>
      </c>
      <c r="V425" s="730" t="str">
        <f t="shared" si="154"/>
        <v/>
      </c>
      <c r="W425" s="254"/>
      <c r="Y425" s="610" t="s">
        <v>598</v>
      </c>
      <c r="Z425" s="241" t="s">
        <v>598</v>
      </c>
    </row>
    <row r="426" spans="1:26" ht="11.25" customHeight="1">
      <c r="A426" s="246" t="s">
        <v>613</v>
      </c>
      <c r="B426" s="235" t="s">
        <v>143</v>
      </c>
      <c r="C426" s="410" t="s">
        <v>142</v>
      </c>
      <c r="D426" s="386"/>
      <c r="E426" s="461"/>
      <c r="F426" s="104"/>
      <c r="G426" s="104"/>
      <c r="H426" s="104"/>
      <c r="I426" s="103">
        <f t="shared" si="143"/>
        <v>0</v>
      </c>
      <c r="J426" s="104"/>
      <c r="K426" s="104"/>
      <c r="L426" s="104"/>
      <c r="M426" s="103">
        <f t="shared" si="144"/>
        <v>0</v>
      </c>
      <c r="N426" s="103">
        <f t="shared" si="141"/>
        <v>0</v>
      </c>
      <c r="O426" s="103">
        <f t="shared" si="141"/>
        <v>0</v>
      </c>
      <c r="P426" s="103">
        <f t="shared" si="141"/>
        <v>0</v>
      </c>
      <c r="Q426" s="103">
        <f t="shared" si="142"/>
        <v>0</v>
      </c>
      <c r="S426" s="730" t="str">
        <f t="shared" si="154"/>
        <v/>
      </c>
      <c r="T426" s="730" t="str">
        <f t="shared" si="154"/>
        <v/>
      </c>
      <c r="U426" s="730" t="str">
        <f t="shared" si="154"/>
        <v/>
      </c>
      <c r="V426" s="730" t="str">
        <f t="shared" si="154"/>
        <v/>
      </c>
      <c r="W426" s="254"/>
      <c r="Y426" s="610" t="s">
        <v>598</v>
      </c>
      <c r="Z426" s="241" t="s">
        <v>598</v>
      </c>
    </row>
    <row r="427" spans="1:26" s="675" customFormat="1" ht="11.25" customHeight="1">
      <c r="A427" s="528" t="s">
        <v>613</v>
      </c>
      <c r="B427" s="528" t="s">
        <v>143</v>
      </c>
      <c r="C427" s="407" t="s">
        <v>98</v>
      </c>
      <c r="D427" s="655" t="s">
        <v>105</v>
      </c>
      <c r="E427" s="408" t="s">
        <v>797</v>
      </c>
      <c r="F427" s="673"/>
      <c r="G427" s="673"/>
      <c r="H427" s="673"/>
      <c r="I427" s="674">
        <f t="shared" si="143"/>
        <v>0</v>
      </c>
      <c r="J427" s="673"/>
      <c r="K427" s="673"/>
      <c r="L427" s="673"/>
      <c r="M427" s="674">
        <f t="shared" si="144"/>
        <v>0</v>
      </c>
      <c r="N427" s="674">
        <f t="shared" si="141"/>
        <v>0</v>
      </c>
      <c r="O427" s="674">
        <f t="shared" si="141"/>
        <v>0</v>
      </c>
      <c r="P427" s="674">
        <f t="shared" si="141"/>
        <v>0</v>
      </c>
      <c r="Q427" s="674">
        <f t="shared" si="142"/>
        <v>0</v>
      </c>
      <c r="R427" s="101"/>
      <c r="S427" s="254" t="str">
        <f t="shared" si="154"/>
        <v/>
      </c>
      <c r="T427" s="254" t="str">
        <f t="shared" si="154"/>
        <v/>
      </c>
      <c r="U427" s="254" t="str">
        <f t="shared" si="154"/>
        <v/>
      </c>
      <c r="V427" s="254" t="str">
        <f t="shared" si="154"/>
        <v/>
      </c>
      <c r="W427" s="531"/>
      <c r="Y427" s="272" t="s">
        <v>598</v>
      </c>
      <c r="Z427" s="260" t="s">
        <v>598</v>
      </c>
    </row>
    <row r="428" spans="1:26" ht="11.25" customHeight="1">
      <c r="A428" s="528" t="s">
        <v>613</v>
      </c>
      <c r="B428" s="1013" t="s">
        <v>143</v>
      </c>
      <c r="C428" s="461"/>
      <c r="D428" s="645" t="s">
        <v>766</v>
      </c>
      <c r="E428" s="447" t="s">
        <v>766</v>
      </c>
      <c r="F428" s="104">
        <f>+'[3]chd3-SAOB'!B391</f>
        <v>146749000</v>
      </c>
      <c r="G428" s="104">
        <f>+'[3]chd3-SAOB'!C391</f>
        <v>65891000</v>
      </c>
      <c r="H428" s="104">
        <f>+'[3]chd3-SAOB'!D391</f>
        <v>0</v>
      </c>
      <c r="I428" s="103">
        <f t="shared" si="143"/>
        <v>212640000</v>
      </c>
      <c r="J428" s="104">
        <f>+'[3]chd3-SAOB'!F391</f>
        <v>128935466.89</v>
      </c>
      <c r="K428" s="104">
        <f>+'[3]chd3-SAOB'!G391</f>
        <v>51088599.540000007</v>
      </c>
      <c r="L428" s="104">
        <f>+'[3]chd3-SAOB'!H391</f>
        <v>0</v>
      </c>
      <c r="M428" s="103">
        <f t="shared" si="144"/>
        <v>180024066.43000001</v>
      </c>
      <c r="N428" s="103">
        <f t="shared" si="141"/>
        <v>17813533.109999999</v>
      </c>
      <c r="O428" s="103">
        <f t="shared" si="141"/>
        <v>14802400.459999993</v>
      </c>
      <c r="P428" s="103">
        <f t="shared" si="141"/>
        <v>0</v>
      </c>
      <c r="Q428" s="103">
        <f t="shared" si="142"/>
        <v>32615933.569999993</v>
      </c>
      <c r="S428" s="730">
        <f t="shared" si="154"/>
        <v>0.8786122351089275</v>
      </c>
      <c r="T428" s="730">
        <f t="shared" si="154"/>
        <v>0.77535019259079396</v>
      </c>
      <c r="U428" s="730" t="str">
        <f t="shared" si="154"/>
        <v/>
      </c>
      <c r="V428" s="730">
        <f t="shared" si="154"/>
        <v>0.84661430789127168</v>
      </c>
      <c r="W428" s="531"/>
      <c r="X428" s="236"/>
      <c r="Y428" s="236" t="s">
        <v>688</v>
      </c>
      <c r="Z428" s="236"/>
    </row>
    <row r="429" spans="1:26" ht="11.25" customHeight="1">
      <c r="A429" s="528" t="s">
        <v>613</v>
      </c>
      <c r="B429" s="1013" t="s">
        <v>143</v>
      </c>
      <c r="C429" s="728"/>
      <c r="D429" s="649" t="s">
        <v>50</v>
      </c>
      <c r="E429" s="447" t="s">
        <v>50</v>
      </c>
      <c r="F429" s="104"/>
      <c r="G429" s="104">
        <f>+'[3]chd3-SAOB'!C393</f>
        <v>23095000</v>
      </c>
      <c r="H429" s="104">
        <f>+'[3]chd3-SAOB'!D393</f>
        <v>54292000</v>
      </c>
      <c r="I429" s="103">
        <f>SUM(F429:H429)</f>
        <v>77387000</v>
      </c>
      <c r="J429" s="104"/>
      <c r="K429" s="104">
        <f>+'[3]chd3-SAOB'!G393</f>
        <v>19249475.559999999</v>
      </c>
      <c r="L429" s="104">
        <f>+'[3]chd3-SAOB'!H393</f>
        <v>53456776.759999998</v>
      </c>
      <c r="M429" s="103">
        <f>SUM(J429:L429)</f>
        <v>72706252.319999993</v>
      </c>
      <c r="N429" s="103">
        <f t="shared" si="141"/>
        <v>0</v>
      </c>
      <c r="O429" s="103">
        <f t="shared" si="141"/>
        <v>3845524.4400000013</v>
      </c>
      <c r="P429" s="103">
        <f t="shared" si="141"/>
        <v>835223.24000000209</v>
      </c>
      <c r="Q429" s="103">
        <f t="shared" si="142"/>
        <v>4680747.6800000034</v>
      </c>
      <c r="S429" s="730" t="str">
        <f t="shared" si="154"/>
        <v/>
      </c>
      <c r="T429" s="730">
        <f t="shared" si="154"/>
        <v>0.83349103961896509</v>
      </c>
      <c r="U429" s="730">
        <f t="shared" si="154"/>
        <v>0.98461609003168049</v>
      </c>
      <c r="V429" s="730">
        <f t="shared" si="154"/>
        <v>0.93951506480416602</v>
      </c>
      <c r="W429" s="531"/>
      <c r="X429" s="236"/>
      <c r="Y429" s="236" t="s">
        <v>688</v>
      </c>
      <c r="Z429" s="236"/>
    </row>
    <row r="430" spans="1:26" s="256" customFormat="1" ht="11.25" customHeight="1">
      <c r="A430" s="528" t="s">
        <v>613</v>
      </c>
      <c r="B430" s="528" t="s">
        <v>143</v>
      </c>
      <c r="C430" s="389"/>
      <c r="D430" s="650" t="s">
        <v>98</v>
      </c>
      <c r="E430" s="390" t="s">
        <v>767</v>
      </c>
      <c r="F430" s="391">
        <f>+F428+F429</f>
        <v>146749000</v>
      </c>
      <c r="G430" s="391">
        <f t="shared" ref="G430:M430" si="160">+G428+G429</f>
        <v>88986000</v>
      </c>
      <c r="H430" s="391">
        <f t="shared" si="160"/>
        <v>54292000</v>
      </c>
      <c r="I430" s="391">
        <f t="shared" si="160"/>
        <v>290027000</v>
      </c>
      <c r="J430" s="391">
        <f t="shared" si="160"/>
        <v>128935466.89</v>
      </c>
      <c r="K430" s="391">
        <f t="shared" si="160"/>
        <v>70338075.100000009</v>
      </c>
      <c r="L430" s="391">
        <f t="shared" si="160"/>
        <v>53456776.759999998</v>
      </c>
      <c r="M430" s="391">
        <f t="shared" si="160"/>
        <v>252730318.75</v>
      </c>
      <c r="N430" s="391">
        <f t="shared" si="141"/>
        <v>17813533.109999999</v>
      </c>
      <c r="O430" s="391">
        <f t="shared" si="141"/>
        <v>18647924.899999991</v>
      </c>
      <c r="P430" s="391">
        <f t="shared" si="141"/>
        <v>835223.24000000209</v>
      </c>
      <c r="Q430" s="391">
        <f t="shared" si="142"/>
        <v>37296681.249999993</v>
      </c>
      <c r="R430" s="101"/>
      <c r="S430" s="254">
        <f t="shared" si="154"/>
        <v>0.8786122351089275</v>
      </c>
      <c r="T430" s="254">
        <f t="shared" si="154"/>
        <v>0.79043978940507509</v>
      </c>
      <c r="U430" s="254">
        <f t="shared" si="154"/>
        <v>0.98461609003168049</v>
      </c>
      <c r="V430" s="254">
        <f t="shared" si="154"/>
        <v>0.87140272715988509</v>
      </c>
      <c r="W430" s="531"/>
      <c r="Y430" s="256" t="s">
        <v>598</v>
      </c>
      <c r="Z430" s="256" t="s">
        <v>598</v>
      </c>
    </row>
    <row r="431" spans="1:26" ht="11.25" hidden="1" customHeight="1">
      <c r="A431" s="528" t="s">
        <v>613</v>
      </c>
      <c r="B431" s="1013" t="s">
        <v>143</v>
      </c>
      <c r="C431" s="410"/>
      <c r="D431" s="651"/>
      <c r="E431" s="806" t="s">
        <v>764</v>
      </c>
      <c r="F431" s="807"/>
      <c r="G431" s="807"/>
      <c r="H431" s="807"/>
      <c r="I431" s="807"/>
      <c r="J431" s="807"/>
      <c r="K431" s="807"/>
      <c r="L431" s="807"/>
      <c r="M431" s="807"/>
      <c r="N431" s="807">
        <f t="shared" si="141"/>
        <v>0</v>
      </c>
      <c r="O431" s="807">
        <f t="shared" si="141"/>
        <v>0</v>
      </c>
      <c r="P431" s="807">
        <f t="shared" si="141"/>
        <v>0</v>
      </c>
      <c r="Q431" s="807">
        <f t="shared" si="142"/>
        <v>0</v>
      </c>
      <c r="R431" s="276"/>
      <c r="S431" s="730" t="str">
        <f t="shared" si="154"/>
        <v/>
      </c>
      <c r="T431" s="730" t="str">
        <f t="shared" si="154"/>
        <v/>
      </c>
      <c r="U431" s="730" t="str">
        <f t="shared" si="154"/>
        <v/>
      </c>
      <c r="V431" s="730" t="str">
        <f t="shared" si="154"/>
        <v/>
      </c>
      <c r="W431" s="531"/>
      <c r="X431" s="236"/>
      <c r="Y431" s="236"/>
      <c r="Z431" s="236"/>
    </row>
    <row r="432" spans="1:26" s="256" customFormat="1" ht="11.25" customHeight="1">
      <c r="A432" s="528" t="s">
        <v>613</v>
      </c>
      <c r="B432" s="528" t="s">
        <v>143</v>
      </c>
      <c r="C432" s="389"/>
      <c r="D432" s="650" t="s">
        <v>98</v>
      </c>
      <c r="E432" s="390" t="s">
        <v>99</v>
      </c>
      <c r="F432" s="391">
        <f>+F433</f>
        <v>13808000</v>
      </c>
      <c r="G432" s="391">
        <f t="shared" ref="G432:M432" si="161">+G433</f>
        <v>0</v>
      </c>
      <c r="H432" s="391">
        <f t="shared" si="161"/>
        <v>0</v>
      </c>
      <c r="I432" s="391">
        <f t="shared" si="161"/>
        <v>13808000</v>
      </c>
      <c r="J432" s="391">
        <f t="shared" si="161"/>
        <v>12157016.140000001</v>
      </c>
      <c r="K432" s="391">
        <f t="shared" si="161"/>
        <v>0</v>
      </c>
      <c r="L432" s="391">
        <f t="shared" si="161"/>
        <v>0</v>
      </c>
      <c r="M432" s="391">
        <f t="shared" si="161"/>
        <v>12157016.140000001</v>
      </c>
      <c r="N432" s="391">
        <f t="shared" si="141"/>
        <v>1650983.8599999994</v>
      </c>
      <c r="O432" s="391">
        <f t="shared" si="141"/>
        <v>0</v>
      </c>
      <c r="P432" s="391">
        <f t="shared" si="141"/>
        <v>0</v>
      </c>
      <c r="Q432" s="391">
        <f t="shared" si="142"/>
        <v>1650983.8599999994</v>
      </c>
      <c r="R432" s="101"/>
      <c r="S432" s="254">
        <f t="shared" si="154"/>
        <v>0.88043280272305913</v>
      </c>
      <c r="T432" s="254" t="str">
        <f t="shared" si="154"/>
        <v/>
      </c>
      <c r="U432" s="254" t="str">
        <f t="shared" si="154"/>
        <v/>
      </c>
      <c r="V432" s="254">
        <f t="shared" si="154"/>
        <v>0.88043280272305913</v>
      </c>
      <c r="W432" s="531"/>
      <c r="Y432" s="256" t="s">
        <v>598</v>
      </c>
      <c r="Z432" s="256" t="s">
        <v>598</v>
      </c>
    </row>
    <row r="433" spans="1:26" ht="11.25" customHeight="1">
      <c r="A433" s="528" t="s">
        <v>613</v>
      </c>
      <c r="B433" s="1013" t="s">
        <v>143</v>
      </c>
      <c r="C433" s="728"/>
      <c r="D433" s="649" t="s">
        <v>286</v>
      </c>
      <c r="E433" s="729" t="s">
        <v>286</v>
      </c>
      <c r="F433" s="103">
        <f>SUM('[3]chd3-SAOB'!AI13)</f>
        <v>13808000</v>
      </c>
      <c r="G433" s="103">
        <f>SUM('[3]chd3-SAOB'!AI49)</f>
        <v>0</v>
      </c>
      <c r="H433" s="103">
        <f>SUM('[3]chd3-SAOB'!AI142)</f>
        <v>0</v>
      </c>
      <c r="I433" s="103">
        <f t="shared" si="143"/>
        <v>13808000</v>
      </c>
      <c r="J433" s="103">
        <f>SUM('[3]chd3-SAOB'!AI14)</f>
        <v>12157016.140000001</v>
      </c>
      <c r="K433" s="103">
        <f>SUM('[3]chd3-SAOB'!AI50)</f>
        <v>0</v>
      </c>
      <c r="L433" s="103">
        <f>SUM('[3]chd3-SAOB'!AI143)</f>
        <v>0</v>
      </c>
      <c r="M433" s="103">
        <f t="shared" si="144"/>
        <v>12157016.140000001</v>
      </c>
      <c r="N433" s="103">
        <f t="shared" si="141"/>
        <v>1650983.8599999994</v>
      </c>
      <c r="O433" s="103">
        <f t="shared" si="141"/>
        <v>0</v>
      </c>
      <c r="P433" s="103">
        <f t="shared" si="141"/>
        <v>0</v>
      </c>
      <c r="Q433" s="103">
        <f t="shared" si="142"/>
        <v>1650983.8599999994</v>
      </c>
      <c r="S433" s="730">
        <f t="shared" si="154"/>
        <v>0.88043280272305913</v>
      </c>
      <c r="T433" s="730" t="str">
        <f t="shared" si="154"/>
        <v/>
      </c>
      <c r="U433" s="730" t="str">
        <f t="shared" si="154"/>
        <v/>
      </c>
      <c r="V433" s="730">
        <f t="shared" si="154"/>
        <v>0.88043280272305913</v>
      </c>
      <c r="W433" s="531"/>
      <c r="X433" s="236"/>
      <c r="Y433" s="236" t="s">
        <v>598</v>
      </c>
      <c r="Z433" s="236"/>
    </row>
    <row r="434" spans="1:26" s="272" customFormat="1" ht="11.25" customHeight="1">
      <c r="A434" s="528" t="s">
        <v>613</v>
      </c>
      <c r="B434" s="528" t="s">
        <v>143</v>
      </c>
      <c r="C434" s="389"/>
      <c r="D434" s="650" t="s">
        <v>98</v>
      </c>
      <c r="E434" s="390" t="s">
        <v>100</v>
      </c>
      <c r="F434" s="391">
        <f t="shared" ref="F434:M434" si="162">SUM(F435:F439)</f>
        <v>7322875</v>
      </c>
      <c r="G434" s="391">
        <f t="shared" si="162"/>
        <v>3060000</v>
      </c>
      <c r="H434" s="391">
        <f t="shared" si="162"/>
        <v>0</v>
      </c>
      <c r="I434" s="391">
        <f t="shared" si="162"/>
        <v>10382875</v>
      </c>
      <c r="J434" s="391">
        <f t="shared" si="162"/>
        <v>7021625</v>
      </c>
      <c r="K434" s="391">
        <f t="shared" si="162"/>
        <v>1433197.89</v>
      </c>
      <c r="L434" s="391">
        <f t="shared" si="162"/>
        <v>0</v>
      </c>
      <c r="M434" s="391">
        <f t="shared" si="162"/>
        <v>8454822.8900000006</v>
      </c>
      <c r="N434" s="391">
        <f t="shared" si="141"/>
        <v>301250</v>
      </c>
      <c r="O434" s="391">
        <f t="shared" si="141"/>
        <v>1626802.11</v>
      </c>
      <c r="P434" s="391">
        <f t="shared" si="141"/>
        <v>0</v>
      </c>
      <c r="Q434" s="391">
        <f t="shared" si="142"/>
        <v>1928052.11</v>
      </c>
      <c r="R434" s="102"/>
      <c r="S434" s="254">
        <f t="shared" si="154"/>
        <v>0.95886178584230919</v>
      </c>
      <c r="T434" s="254">
        <f t="shared" si="154"/>
        <v>0.46836532352941174</v>
      </c>
      <c r="U434" s="254" t="str">
        <f t="shared" si="154"/>
        <v/>
      </c>
      <c r="V434" s="254">
        <f t="shared" si="154"/>
        <v>0.81430460156748496</v>
      </c>
      <c r="W434" s="531"/>
      <c r="Y434" s="272" t="s">
        <v>598</v>
      </c>
      <c r="Z434" s="256" t="s">
        <v>598</v>
      </c>
    </row>
    <row r="435" spans="1:26" ht="11.25" customHeight="1">
      <c r="A435" s="528" t="s">
        <v>613</v>
      </c>
      <c r="B435" s="1013" t="s">
        <v>143</v>
      </c>
      <c r="C435" s="728"/>
      <c r="D435" s="649" t="s">
        <v>288</v>
      </c>
      <c r="E435" s="729" t="s">
        <v>288</v>
      </c>
      <c r="F435" s="103">
        <f>SUM('[3]chd3-SAOB'!AP13)</f>
        <v>0</v>
      </c>
      <c r="G435" s="103">
        <f>SUM('[3]chd3-SAOB'!AP49)</f>
        <v>0</v>
      </c>
      <c r="H435" s="103">
        <f>SUM('[3]chd3-SAOB'!AP142)</f>
        <v>0</v>
      </c>
      <c r="I435" s="103">
        <f t="shared" si="143"/>
        <v>0</v>
      </c>
      <c r="J435" s="103">
        <f>SUM('[3]chd3-SAOB'!AP14)</f>
        <v>0</v>
      </c>
      <c r="K435" s="103">
        <f>SUM('[3]chd3-SAOB'!AP50)</f>
        <v>0</v>
      </c>
      <c r="L435" s="103">
        <f>SUM('[3]chd3-SAOB'!AP143)</f>
        <v>0</v>
      </c>
      <c r="M435" s="103">
        <f t="shared" si="144"/>
        <v>0</v>
      </c>
      <c r="N435" s="103">
        <f t="shared" si="141"/>
        <v>0</v>
      </c>
      <c r="O435" s="103">
        <f t="shared" si="141"/>
        <v>0</v>
      </c>
      <c r="P435" s="103">
        <f t="shared" si="141"/>
        <v>0</v>
      </c>
      <c r="Q435" s="103">
        <f t="shared" si="142"/>
        <v>0</v>
      </c>
      <c r="S435" s="730" t="str">
        <f t="shared" si="154"/>
        <v/>
      </c>
      <c r="T435" s="730" t="str">
        <f t="shared" si="154"/>
        <v/>
      </c>
      <c r="U435" s="730" t="str">
        <f t="shared" si="154"/>
        <v/>
      </c>
      <c r="V435" s="730" t="str">
        <f t="shared" si="154"/>
        <v/>
      </c>
      <c r="W435" s="531"/>
      <c r="X435" s="236"/>
      <c r="Y435" s="236" t="s">
        <v>598</v>
      </c>
      <c r="Z435" s="236"/>
    </row>
    <row r="436" spans="1:26" ht="11.25" customHeight="1">
      <c r="A436" s="528" t="s">
        <v>613</v>
      </c>
      <c r="B436" s="1013" t="s">
        <v>143</v>
      </c>
      <c r="C436" s="728"/>
      <c r="D436" s="649" t="s">
        <v>761</v>
      </c>
      <c r="E436" s="729" t="s">
        <v>761</v>
      </c>
      <c r="F436" s="104">
        <f>+'[3]chd3-SAOB'!AB11</f>
        <v>4128500</v>
      </c>
      <c r="G436" s="104"/>
      <c r="H436" s="104"/>
      <c r="I436" s="103">
        <f>SUM(F436:H436)</f>
        <v>4128500</v>
      </c>
      <c r="J436" s="104">
        <f>+'[3]chd3-SAOB'!AB14</f>
        <v>3827250</v>
      </c>
      <c r="K436" s="104"/>
      <c r="L436" s="104"/>
      <c r="M436" s="103">
        <f>SUM(J436:L436)</f>
        <v>3827250</v>
      </c>
      <c r="N436" s="103">
        <f t="shared" si="141"/>
        <v>301250</v>
      </c>
      <c r="O436" s="103">
        <f t="shared" si="141"/>
        <v>0</v>
      </c>
      <c r="P436" s="103">
        <f t="shared" si="141"/>
        <v>0</v>
      </c>
      <c r="Q436" s="103">
        <f t="shared" si="142"/>
        <v>301250</v>
      </c>
      <c r="S436" s="730">
        <f t="shared" si="154"/>
        <v>0.92703160954341768</v>
      </c>
      <c r="T436" s="730" t="str">
        <f t="shared" si="154"/>
        <v/>
      </c>
      <c r="U436" s="730" t="str">
        <f t="shared" si="154"/>
        <v/>
      </c>
      <c r="V436" s="730">
        <f t="shared" si="154"/>
        <v>0.92703160954341768</v>
      </c>
      <c r="W436" s="531"/>
      <c r="X436" s="236"/>
      <c r="Y436" s="236" t="s">
        <v>688</v>
      </c>
      <c r="Z436" s="236"/>
    </row>
    <row r="437" spans="1:26" ht="11.25" customHeight="1">
      <c r="A437" s="528" t="s">
        <v>613</v>
      </c>
      <c r="B437" s="1013" t="s">
        <v>143</v>
      </c>
      <c r="C437" s="411"/>
      <c r="D437" s="647"/>
      <c r="E437" s="1014" t="s">
        <v>764</v>
      </c>
      <c r="F437" s="104"/>
      <c r="G437" s="104"/>
      <c r="H437" s="104"/>
      <c r="I437" s="103"/>
      <c r="J437" s="104"/>
      <c r="K437" s="104"/>
      <c r="L437" s="104"/>
      <c r="M437" s="103"/>
      <c r="N437" s="103"/>
      <c r="O437" s="103"/>
      <c r="P437" s="103"/>
      <c r="Q437" s="103"/>
      <c r="S437" s="730" t="str">
        <f t="shared" si="154"/>
        <v/>
      </c>
      <c r="T437" s="730" t="str">
        <f t="shared" si="154"/>
        <v/>
      </c>
      <c r="U437" s="730" t="str">
        <f t="shared" si="154"/>
        <v/>
      </c>
      <c r="V437" s="730" t="str">
        <f t="shared" si="154"/>
        <v/>
      </c>
      <c r="W437" s="531"/>
      <c r="X437" s="236"/>
      <c r="Y437" s="236" t="s">
        <v>688</v>
      </c>
      <c r="Z437" s="240"/>
    </row>
    <row r="438" spans="1:26" ht="11.25" customHeight="1">
      <c r="A438" s="528" t="s">
        <v>613</v>
      </c>
      <c r="B438" s="1013" t="s">
        <v>143</v>
      </c>
      <c r="C438" s="728"/>
      <c r="D438" s="649" t="s">
        <v>289</v>
      </c>
      <c r="E438" s="729" t="s">
        <v>289</v>
      </c>
      <c r="F438" s="103">
        <f>SUM('[3]chd3-SAOB'!AW13)</f>
        <v>3194375</v>
      </c>
      <c r="G438" s="103">
        <f>SUM('[3]chd3-SAOB'!AW49)</f>
        <v>0</v>
      </c>
      <c r="H438" s="103">
        <f>SUM('[3]chd3-SAOB'!AW142)</f>
        <v>0</v>
      </c>
      <c r="I438" s="103">
        <f t="shared" si="143"/>
        <v>3194375</v>
      </c>
      <c r="J438" s="103">
        <f>SUM('[3]chd3-SAOB'!AW14)</f>
        <v>3194375</v>
      </c>
      <c r="K438" s="103">
        <f>SUM('[3]chd3-SAOB'!AW50)</f>
        <v>0</v>
      </c>
      <c r="L438" s="103">
        <f>SUM('[3]chd3-SAOB'!AW143)</f>
        <v>0</v>
      </c>
      <c r="M438" s="103">
        <f t="shared" si="144"/>
        <v>3194375</v>
      </c>
      <c r="N438" s="103">
        <f t="shared" si="141"/>
        <v>0</v>
      </c>
      <c r="O438" s="103">
        <f t="shared" si="141"/>
        <v>0</v>
      </c>
      <c r="P438" s="103">
        <f t="shared" si="141"/>
        <v>0</v>
      </c>
      <c r="Q438" s="103">
        <f t="shared" si="142"/>
        <v>0</v>
      </c>
      <c r="S438" s="730">
        <f t="shared" si="154"/>
        <v>1</v>
      </c>
      <c r="T438" s="730" t="str">
        <f t="shared" si="154"/>
        <v/>
      </c>
      <c r="U438" s="730" t="str">
        <f t="shared" si="154"/>
        <v/>
      </c>
      <c r="V438" s="730">
        <f t="shared" si="154"/>
        <v>1</v>
      </c>
      <c r="W438" s="531"/>
      <c r="X438" s="236"/>
      <c r="Y438" s="236" t="s">
        <v>598</v>
      </c>
      <c r="Z438" s="236"/>
    </row>
    <row r="439" spans="1:26" ht="11.25" customHeight="1">
      <c r="A439" s="528" t="s">
        <v>613</v>
      </c>
      <c r="B439" s="1013" t="s">
        <v>143</v>
      </c>
      <c r="C439" s="728"/>
      <c r="D439" s="649" t="s">
        <v>290</v>
      </c>
      <c r="E439" s="729" t="s">
        <v>290</v>
      </c>
      <c r="F439" s="103">
        <f>SUM('[3]chd3-SAOB'!BD13)</f>
        <v>0</v>
      </c>
      <c r="G439" s="103">
        <f>SUM('[3]chd3-SAOB'!BD49)</f>
        <v>3060000</v>
      </c>
      <c r="H439" s="103">
        <f>SUM('[3]chd3-SAOB'!BD142)</f>
        <v>0</v>
      </c>
      <c r="I439" s="103">
        <f t="shared" si="143"/>
        <v>3060000</v>
      </c>
      <c r="J439" s="103">
        <f>SUM('[3]chd3-SAOB'!BD14)</f>
        <v>0</v>
      </c>
      <c r="K439" s="103">
        <f>SUM('[3]chd3-SAOB'!BD50)</f>
        <v>1433197.89</v>
      </c>
      <c r="L439" s="103">
        <f>SUM('[3]chd3-SAOB'!BD143)</f>
        <v>0</v>
      </c>
      <c r="M439" s="103">
        <f t="shared" si="144"/>
        <v>1433197.89</v>
      </c>
      <c r="N439" s="103">
        <f t="shared" si="141"/>
        <v>0</v>
      </c>
      <c r="O439" s="103">
        <f t="shared" si="141"/>
        <v>1626802.11</v>
      </c>
      <c r="P439" s="103">
        <f t="shared" si="141"/>
        <v>0</v>
      </c>
      <c r="Q439" s="103">
        <f t="shared" si="142"/>
        <v>1626802.11</v>
      </c>
      <c r="S439" s="730" t="str">
        <f t="shared" si="154"/>
        <v/>
      </c>
      <c r="T439" s="730">
        <f t="shared" si="154"/>
        <v>0.46836532352941174</v>
      </c>
      <c r="U439" s="730" t="str">
        <f t="shared" si="154"/>
        <v/>
      </c>
      <c r="V439" s="730">
        <f t="shared" si="154"/>
        <v>0.46836532352941174</v>
      </c>
      <c r="W439" s="531"/>
      <c r="X439" s="236"/>
      <c r="Y439" s="236" t="s">
        <v>598</v>
      </c>
      <c r="Z439" s="236"/>
    </row>
    <row r="440" spans="1:26" s="259" customFormat="1" ht="11.25" customHeight="1">
      <c r="A440" s="246" t="s">
        <v>613</v>
      </c>
      <c r="B440" s="235" t="s">
        <v>143</v>
      </c>
      <c r="C440" s="656"/>
      <c r="D440" s="656"/>
      <c r="E440" s="657" t="s">
        <v>4</v>
      </c>
      <c r="F440" s="652">
        <f>+F430+F432+F434</f>
        <v>167879875</v>
      </c>
      <c r="G440" s="652">
        <f t="shared" ref="G440:M440" si="163">+G430+G432+G434</f>
        <v>92046000</v>
      </c>
      <c r="H440" s="652">
        <f t="shared" si="163"/>
        <v>54292000</v>
      </c>
      <c r="I440" s="652">
        <f t="shared" si="163"/>
        <v>314217875</v>
      </c>
      <c r="J440" s="652">
        <f t="shared" si="163"/>
        <v>148114108.03</v>
      </c>
      <c r="K440" s="652">
        <f t="shared" si="163"/>
        <v>71771272.99000001</v>
      </c>
      <c r="L440" s="652">
        <f t="shared" si="163"/>
        <v>53456776.759999998</v>
      </c>
      <c r="M440" s="652">
        <f t="shared" si="163"/>
        <v>273342157.77999997</v>
      </c>
      <c r="N440" s="652">
        <f t="shared" si="141"/>
        <v>19765766.969999999</v>
      </c>
      <c r="O440" s="652">
        <f t="shared" si="141"/>
        <v>20274727.00999999</v>
      </c>
      <c r="P440" s="652">
        <f t="shared" si="141"/>
        <v>835223.24000000209</v>
      </c>
      <c r="Q440" s="652">
        <f t="shared" si="142"/>
        <v>40875717.219999991</v>
      </c>
      <c r="R440" s="653">
        <f>+Q440-'[3]chd3-SAOB'!CJ179</f>
        <v>0</v>
      </c>
      <c r="S440" s="1008">
        <f t="shared" si="154"/>
        <v>0.88226243931859016</v>
      </c>
      <c r="T440" s="1008">
        <f t="shared" si="154"/>
        <v>0.77973266616691661</v>
      </c>
      <c r="U440" s="1008">
        <f t="shared" si="154"/>
        <v>0.98461609003168049</v>
      </c>
      <c r="V440" s="1008">
        <f t="shared" si="154"/>
        <v>0.86991282014112015</v>
      </c>
      <c r="W440" s="254"/>
      <c r="X440" s="520"/>
      <c r="Y440" s="610" t="s">
        <v>598</v>
      </c>
      <c r="Z440" s="241" t="s">
        <v>598</v>
      </c>
    </row>
    <row r="441" spans="1:26" ht="11.25" customHeight="1">
      <c r="A441" s="246" t="s">
        <v>613</v>
      </c>
      <c r="B441" s="235" t="s">
        <v>143</v>
      </c>
      <c r="C441" s="410"/>
      <c r="D441" s="386"/>
      <c r="E441" s="461" t="s">
        <v>764</v>
      </c>
      <c r="F441" s="103"/>
      <c r="G441" s="103"/>
      <c r="H441" s="103"/>
      <c r="I441" s="103">
        <f t="shared" si="143"/>
        <v>0</v>
      </c>
      <c r="J441" s="103"/>
      <c r="K441" s="103"/>
      <c r="L441" s="103"/>
      <c r="M441" s="103">
        <f t="shared" si="144"/>
        <v>0</v>
      </c>
      <c r="N441" s="103">
        <f t="shared" si="141"/>
        <v>0</v>
      </c>
      <c r="O441" s="103">
        <f t="shared" si="141"/>
        <v>0</v>
      </c>
      <c r="P441" s="103">
        <f t="shared" si="141"/>
        <v>0</v>
      </c>
      <c r="Q441" s="103">
        <f t="shared" si="142"/>
        <v>0</v>
      </c>
      <c r="S441" s="730" t="str">
        <f t="shared" si="154"/>
        <v/>
      </c>
      <c r="T441" s="730" t="str">
        <f t="shared" si="154"/>
        <v/>
      </c>
      <c r="U441" s="730" t="str">
        <f t="shared" si="154"/>
        <v/>
      </c>
      <c r="V441" s="730" t="str">
        <f t="shared" si="154"/>
        <v/>
      </c>
      <c r="W441" s="254"/>
      <c r="Y441" s="610" t="s">
        <v>598</v>
      </c>
      <c r="Z441" s="241" t="s">
        <v>598</v>
      </c>
    </row>
    <row r="442" spans="1:26" s="675" customFormat="1" ht="11.25" customHeight="1">
      <c r="A442" s="528" t="s">
        <v>613</v>
      </c>
      <c r="B442" s="528" t="s">
        <v>144</v>
      </c>
      <c r="C442" s="407" t="s">
        <v>98</v>
      </c>
      <c r="D442" s="655" t="s">
        <v>107</v>
      </c>
      <c r="E442" s="408" t="s">
        <v>798</v>
      </c>
      <c r="F442" s="673"/>
      <c r="G442" s="673"/>
      <c r="H442" s="673"/>
      <c r="I442" s="674">
        <f t="shared" si="143"/>
        <v>0</v>
      </c>
      <c r="J442" s="673"/>
      <c r="K442" s="673"/>
      <c r="L442" s="673"/>
      <c r="M442" s="674">
        <f t="shared" si="144"/>
        <v>0</v>
      </c>
      <c r="N442" s="674">
        <f t="shared" si="141"/>
        <v>0</v>
      </c>
      <c r="O442" s="674">
        <f t="shared" si="141"/>
        <v>0</v>
      </c>
      <c r="P442" s="674">
        <f t="shared" si="141"/>
        <v>0</v>
      </c>
      <c r="Q442" s="674">
        <f t="shared" si="142"/>
        <v>0</v>
      </c>
      <c r="R442" s="101"/>
      <c r="S442" s="254" t="str">
        <f t="shared" si="154"/>
        <v/>
      </c>
      <c r="T442" s="254" t="str">
        <f t="shared" si="154"/>
        <v/>
      </c>
      <c r="U442" s="254" t="str">
        <f t="shared" si="154"/>
        <v/>
      </c>
      <c r="V442" s="254" t="str">
        <f t="shared" si="154"/>
        <v/>
      </c>
      <c r="W442" s="531"/>
      <c r="Y442" s="272" t="s">
        <v>598</v>
      </c>
      <c r="Z442" s="260" t="s">
        <v>598</v>
      </c>
    </row>
    <row r="443" spans="1:26" ht="11.25" customHeight="1">
      <c r="A443" s="528" t="s">
        <v>613</v>
      </c>
      <c r="B443" s="1013" t="s">
        <v>144</v>
      </c>
      <c r="C443" s="461"/>
      <c r="D443" s="645" t="s">
        <v>766</v>
      </c>
      <c r="E443" s="447" t="s">
        <v>766</v>
      </c>
      <c r="F443" s="104">
        <f>+'[3]chd3-SAOB'!B398</f>
        <v>13165000</v>
      </c>
      <c r="G443" s="104">
        <f>+'[3]chd3-SAOB'!C398</f>
        <v>3633000</v>
      </c>
      <c r="H443" s="104">
        <f>+'[3]chd3-SAOB'!D398</f>
        <v>0</v>
      </c>
      <c r="I443" s="103">
        <f t="shared" si="143"/>
        <v>16798000</v>
      </c>
      <c r="J443" s="104">
        <f>+'[3]chd3-SAOB'!F398</f>
        <v>11900577.4</v>
      </c>
      <c r="K443" s="104">
        <f>+'[3]chd3-SAOB'!G398</f>
        <v>2176244.88</v>
      </c>
      <c r="L443" s="104">
        <f>+'[3]chd3-SAOB'!H398</f>
        <v>0</v>
      </c>
      <c r="M443" s="103">
        <f t="shared" si="144"/>
        <v>14076822.280000001</v>
      </c>
      <c r="N443" s="103">
        <f t="shared" si="141"/>
        <v>1264422.5999999996</v>
      </c>
      <c r="O443" s="103">
        <f t="shared" si="141"/>
        <v>1456755.12</v>
      </c>
      <c r="P443" s="103">
        <f t="shared" si="141"/>
        <v>0</v>
      </c>
      <c r="Q443" s="103">
        <f t="shared" si="142"/>
        <v>2721177.7199999997</v>
      </c>
      <c r="S443" s="730">
        <f t="shared" si="154"/>
        <v>0.9039557462969996</v>
      </c>
      <c r="T443" s="730">
        <f t="shared" si="154"/>
        <v>0.59902143682906683</v>
      </c>
      <c r="U443" s="730" t="str">
        <f t="shared" si="154"/>
        <v/>
      </c>
      <c r="V443" s="730">
        <f t="shared" si="154"/>
        <v>0.83800585069651157</v>
      </c>
      <c r="W443" s="531"/>
      <c r="X443" s="236"/>
      <c r="Y443" s="236" t="s">
        <v>688</v>
      </c>
      <c r="Z443" s="236"/>
    </row>
    <row r="444" spans="1:26" ht="11.25" customHeight="1">
      <c r="A444" s="528" t="s">
        <v>613</v>
      </c>
      <c r="B444" s="1013" t="s">
        <v>144</v>
      </c>
      <c r="C444" s="728"/>
      <c r="D444" s="649" t="s">
        <v>50</v>
      </c>
      <c r="E444" s="447" t="s">
        <v>50</v>
      </c>
      <c r="F444" s="104"/>
      <c r="G444" s="104">
        <f>+'[3]chd3-SAOB'!C400</f>
        <v>1786000</v>
      </c>
      <c r="H444" s="104">
        <f>+'[3]chd3-SAOB'!D400</f>
        <v>0</v>
      </c>
      <c r="I444" s="103">
        <f>SUM(F444:H444)</f>
        <v>1786000</v>
      </c>
      <c r="J444" s="104"/>
      <c r="K444" s="104">
        <f>+'[3]chd3-SAOB'!G400</f>
        <v>1360386.05</v>
      </c>
      <c r="L444" s="104">
        <f>+'[3]chd3-SAOB'!H400</f>
        <v>0</v>
      </c>
      <c r="M444" s="103">
        <f>SUM(J444:L444)</f>
        <v>1360386.05</v>
      </c>
      <c r="N444" s="103">
        <f t="shared" si="141"/>
        <v>0</v>
      </c>
      <c r="O444" s="103">
        <f t="shared" si="141"/>
        <v>425613.94999999995</v>
      </c>
      <c r="P444" s="103">
        <f t="shared" si="141"/>
        <v>0</v>
      </c>
      <c r="Q444" s="103">
        <f t="shared" si="142"/>
        <v>425613.94999999995</v>
      </c>
      <c r="S444" s="730" t="str">
        <f t="shared" si="154"/>
        <v/>
      </c>
      <c r="T444" s="730">
        <f t="shared" si="154"/>
        <v>0.76169431690929457</v>
      </c>
      <c r="U444" s="730" t="str">
        <f t="shared" si="154"/>
        <v/>
      </c>
      <c r="V444" s="730">
        <f t="shared" si="154"/>
        <v>0.76169431690929457</v>
      </c>
      <c r="W444" s="531"/>
      <c r="X444" s="236"/>
      <c r="Y444" s="236" t="s">
        <v>688</v>
      </c>
      <c r="Z444" s="236"/>
    </row>
    <row r="445" spans="1:26" s="256" customFormat="1" ht="11.25" customHeight="1">
      <c r="A445" s="528" t="s">
        <v>613</v>
      </c>
      <c r="B445" s="528" t="s">
        <v>144</v>
      </c>
      <c r="C445" s="389"/>
      <c r="D445" s="650" t="s">
        <v>98</v>
      </c>
      <c r="E445" s="390" t="s">
        <v>767</v>
      </c>
      <c r="F445" s="391">
        <f>+F443+F444</f>
        <v>13165000</v>
      </c>
      <c r="G445" s="391">
        <f t="shared" ref="G445:M445" si="164">+G443+G444</f>
        <v>5419000</v>
      </c>
      <c r="H445" s="391">
        <f t="shared" si="164"/>
        <v>0</v>
      </c>
      <c r="I445" s="391">
        <f t="shared" si="164"/>
        <v>18584000</v>
      </c>
      <c r="J445" s="391">
        <f t="shared" si="164"/>
        <v>11900577.4</v>
      </c>
      <c r="K445" s="391">
        <f t="shared" si="164"/>
        <v>3536630.9299999997</v>
      </c>
      <c r="L445" s="391">
        <f t="shared" si="164"/>
        <v>0</v>
      </c>
      <c r="M445" s="391">
        <f t="shared" si="164"/>
        <v>15437208.330000002</v>
      </c>
      <c r="N445" s="391">
        <f t="shared" si="141"/>
        <v>1264422.5999999996</v>
      </c>
      <c r="O445" s="391">
        <f t="shared" si="141"/>
        <v>1882369.0700000003</v>
      </c>
      <c r="P445" s="391">
        <f t="shared" si="141"/>
        <v>0</v>
      </c>
      <c r="Q445" s="391">
        <f t="shared" si="142"/>
        <v>3146791.67</v>
      </c>
      <c r="R445" s="101"/>
      <c r="S445" s="254">
        <f t="shared" si="154"/>
        <v>0.9039557462969996</v>
      </c>
      <c r="T445" s="254">
        <f t="shared" si="154"/>
        <v>0.65263534415943891</v>
      </c>
      <c r="U445" s="254" t="str">
        <f t="shared" si="154"/>
        <v/>
      </c>
      <c r="V445" s="254">
        <f t="shared" si="154"/>
        <v>0.83067199365045208</v>
      </c>
      <c r="W445" s="531"/>
      <c r="Y445" s="256" t="s">
        <v>598</v>
      </c>
      <c r="Z445" s="256" t="s">
        <v>598</v>
      </c>
    </row>
    <row r="446" spans="1:26" ht="11.25" hidden="1" customHeight="1">
      <c r="A446" s="528" t="s">
        <v>613</v>
      </c>
      <c r="B446" s="1013" t="s">
        <v>144</v>
      </c>
      <c r="C446" s="410"/>
      <c r="D446" s="651"/>
      <c r="E446" s="806" t="s">
        <v>764</v>
      </c>
      <c r="F446" s="807"/>
      <c r="G446" s="807"/>
      <c r="H446" s="807"/>
      <c r="I446" s="807"/>
      <c r="J446" s="807"/>
      <c r="K446" s="807"/>
      <c r="L446" s="807"/>
      <c r="M446" s="807"/>
      <c r="N446" s="807">
        <f t="shared" si="141"/>
        <v>0</v>
      </c>
      <c r="O446" s="807">
        <f t="shared" si="141"/>
        <v>0</v>
      </c>
      <c r="P446" s="807">
        <f t="shared" si="141"/>
        <v>0</v>
      </c>
      <c r="Q446" s="807">
        <f t="shared" si="142"/>
        <v>0</v>
      </c>
      <c r="R446" s="276"/>
      <c r="S446" s="730" t="str">
        <f t="shared" si="154"/>
        <v/>
      </c>
      <c r="T446" s="730" t="str">
        <f t="shared" si="154"/>
        <v/>
      </c>
      <c r="U446" s="730" t="str">
        <f t="shared" si="154"/>
        <v/>
      </c>
      <c r="V446" s="730" t="str">
        <f t="shared" si="154"/>
        <v/>
      </c>
      <c r="W446" s="531"/>
      <c r="X446" s="236"/>
      <c r="Y446" s="236"/>
      <c r="Z446" s="236"/>
    </row>
    <row r="447" spans="1:26" s="256" customFormat="1" ht="11.25" customHeight="1">
      <c r="A447" s="528" t="s">
        <v>613</v>
      </c>
      <c r="B447" s="528" t="s">
        <v>144</v>
      </c>
      <c r="C447" s="389"/>
      <c r="D447" s="650" t="s">
        <v>98</v>
      </c>
      <c r="E447" s="390" t="s">
        <v>99</v>
      </c>
      <c r="F447" s="391">
        <f>+F448</f>
        <v>1199000</v>
      </c>
      <c r="G447" s="391">
        <f t="shared" ref="G447:M447" si="165">+G448</f>
        <v>0</v>
      </c>
      <c r="H447" s="391">
        <f t="shared" si="165"/>
        <v>0</v>
      </c>
      <c r="I447" s="391">
        <f t="shared" si="165"/>
        <v>1199000</v>
      </c>
      <c r="J447" s="391">
        <f t="shared" si="165"/>
        <v>1044254.04</v>
      </c>
      <c r="K447" s="391">
        <f t="shared" si="165"/>
        <v>0</v>
      </c>
      <c r="L447" s="391">
        <f t="shared" si="165"/>
        <v>0</v>
      </c>
      <c r="M447" s="391">
        <f t="shared" si="165"/>
        <v>1044254.04</v>
      </c>
      <c r="N447" s="391">
        <f t="shared" si="141"/>
        <v>154745.95999999996</v>
      </c>
      <c r="O447" s="391">
        <f t="shared" si="141"/>
        <v>0</v>
      </c>
      <c r="P447" s="391">
        <f t="shared" si="141"/>
        <v>0</v>
      </c>
      <c r="Q447" s="391">
        <f t="shared" si="142"/>
        <v>154745.95999999996</v>
      </c>
      <c r="R447" s="101"/>
      <c r="S447" s="254">
        <f t="shared" si="154"/>
        <v>0.87093748123436199</v>
      </c>
      <c r="T447" s="254" t="str">
        <f t="shared" si="154"/>
        <v/>
      </c>
      <c r="U447" s="254" t="str">
        <f t="shared" si="154"/>
        <v/>
      </c>
      <c r="V447" s="254">
        <f t="shared" si="154"/>
        <v>0.87093748123436199</v>
      </c>
      <c r="W447" s="531"/>
      <c r="Y447" s="256" t="s">
        <v>598</v>
      </c>
      <c r="Z447" s="256" t="s">
        <v>598</v>
      </c>
    </row>
    <row r="448" spans="1:26" ht="11.25" customHeight="1">
      <c r="A448" s="528" t="s">
        <v>613</v>
      </c>
      <c r="B448" s="1013" t="s">
        <v>144</v>
      </c>
      <c r="C448" s="728"/>
      <c r="D448" s="649" t="s">
        <v>286</v>
      </c>
      <c r="E448" s="729" t="s">
        <v>286</v>
      </c>
      <c r="F448" s="103">
        <f>SUM('[3]chd3-SAOB'!AJ13)</f>
        <v>1199000</v>
      </c>
      <c r="G448" s="103">
        <f>SUM('[3]chd3-SAOB'!AJ49)</f>
        <v>0</v>
      </c>
      <c r="H448" s="103">
        <f>SUM('[3]chd3-SAOB'!AJ142)</f>
        <v>0</v>
      </c>
      <c r="I448" s="103">
        <f t="shared" si="143"/>
        <v>1199000</v>
      </c>
      <c r="J448" s="103">
        <f>SUM('[3]chd3-SAOB'!AJ14)</f>
        <v>1044254.04</v>
      </c>
      <c r="K448" s="103">
        <f>SUM('[3]chd3-SAOB'!AJ50)</f>
        <v>0</v>
      </c>
      <c r="L448" s="103">
        <f>SUM('[3]chd3-SAOB'!AJ143)</f>
        <v>0</v>
      </c>
      <c r="M448" s="103">
        <f t="shared" si="144"/>
        <v>1044254.04</v>
      </c>
      <c r="N448" s="103">
        <f t="shared" si="141"/>
        <v>154745.95999999996</v>
      </c>
      <c r="O448" s="103">
        <f t="shared" si="141"/>
        <v>0</v>
      </c>
      <c r="P448" s="103">
        <f t="shared" si="141"/>
        <v>0</v>
      </c>
      <c r="Q448" s="103">
        <f t="shared" si="142"/>
        <v>154745.95999999996</v>
      </c>
      <c r="S448" s="730">
        <f t="shared" si="154"/>
        <v>0.87093748123436199</v>
      </c>
      <c r="T448" s="730" t="str">
        <f t="shared" si="154"/>
        <v/>
      </c>
      <c r="U448" s="730" t="str">
        <f t="shared" si="154"/>
        <v/>
      </c>
      <c r="V448" s="730">
        <f t="shared" si="154"/>
        <v>0.87093748123436199</v>
      </c>
      <c r="W448" s="531"/>
      <c r="X448" s="236"/>
      <c r="Y448" s="236" t="s">
        <v>598</v>
      </c>
      <c r="Z448" s="236"/>
    </row>
    <row r="449" spans="1:26" s="272" customFormat="1" ht="11.25" customHeight="1">
      <c r="A449" s="528" t="s">
        <v>613</v>
      </c>
      <c r="B449" s="528" t="s">
        <v>144</v>
      </c>
      <c r="C449" s="389"/>
      <c r="D449" s="650" t="s">
        <v>98</v>
      </c>
      <c r="E449" s="390" t="s">
        <v>100</v>
      </c>
      <c r="F449" s="391">
        <f t="shared" ref="F449:M449" si="166">SUM(F450:F454)</f>
        <v>2139480</v>
      </c>
      <c r="G449" s="391">
        <f t="shared" si="166"/>
        <v>0</v>
      </c>
      <c r="H449" s="391">
        <f t="shared" si="166"/>
        <v>0</v>
      </c>
      <c r="I449" s="391">
        <f t="shared" si="166"/>
        <v>2139480</v>
      </c>
      <c r="J449" s="391">
        <f t="shared" si="166"/>
        <v>2129478.0499999998</v>
      </c>
      <c r="K449" s="391">
        <f t="shared" si="166"/>
        <v>0</v>
      </c>
      <c r="L449" s="391">
        <f t="shared" si="166"/>
        <v>0</v>
      </c>
      <c r="M449" s="391">
        <f t="shared" si="166"/>
        <v>2129478.0499999998</v>
      </c>
      <c r="N449" s="391">
        <f t="shared" si="141"/>
        <v>10001.950000000186</v>
      </c>
      <c r="O449" s="391">
        <f t="shared" si="141"/>
        <v>0</v>
      </c>
      <c r="P449" s="391">
        <f t="shared" si="141"/>
        <v>0</v>
      </c>
      <c r="Q449" s="391">
        <f t="shared" si="142"/>
        <v>10001.950000000186</v>
      </c>
      <c r="R449" s="102"/>
      <c r="S449" s="254">
        <f t="shared" si="154"/>
        <v>0.99532505562099194</v>
      </c>
      <c r="T449" s="254" t="str">
        <f t="shared" si="154"/>
        <v/>
      </c>
      <c r="U449" s="254" t="str">
        <f t="shared" si="154"/>
        <v/>
      </c>
      <c r="V449" s="254">
        <f t="shared" si="154"/>
        <v>0.99532505562099194</v>
      </c>
      <c r="W449" s="531"/>
      <c r="Y449" s="272" t="s">
        <v>598</v>
      </c>
      <c r="Z449" s="256" t="s">
        <v>598</v>
      </c>
    </row>
    <row r="450" spans="1:26" ht="11.25" customHeight="1">
      <c r="A450" s="528" t="s">
        <v>613</v>
      </c>
      <c r="B450" s="1013" t="s">
        <v>144</v>
      </c>
      <c r="C450" s="728"/>
      <c r="D450" s="649" t="s">
        <v>288</v>
      </c>
      <c r="E450" s="729" t="s">
        <v>288</v>
      </c>
      <c r="F450" s="103">
        <f>SUM('[3]chd3-SAOB'!AQ13)</f>
        <v>0</v>
      </c>
      <c r="G450" s="103">
        <f>SUM('[3]chd3-SAOB'!AQ49)</f>
        <v>0</v>
      </c>
      <c r="H450" s="103">
        <f>SUM('[3]chd3-SAOB'!AQ142)</f>
        <v>0</v>
      </c>
      <c r="I450" s="103">
        <f t="shared" si="143"/>
        <v>0</v>
      </c>
      <c r="J450" s="103">
        <f>SUM('[3]chd3-SAOB'!AQ14)</f>
        <v>0</v>
      </c>
      <c r="K450" s="103">
        <f>SUM('[3]chd3-SAOB'!AQ50)</f>
        <v>0</v>
      </c>
      <c r="L450" s="103">
        <f>SUM('[3]chd3-SAOB'!AQ143)</f>
        <v>0</v>
      </c>
      <c r="M450" s="103">
        <f t="shared" si="144"/>
        <v>0</v>
      </c>
      <c r="N450" s="103">
        <f t="shared" si="141"/>
        <v>0</v>
      </c>
      <c r="O450" s="103">
        <f t="shared" si="141"/>
        <v>0</v>
      </c>
      <c r="P450" s="103">
        <f t="shared" si="141"/>
        <v>0</v>
      </c>
      <c r="Q450" s="103">
        <f t="shared" si="142"/>
        <v>0</v>
      </c>
      <c r="S450" s="730" t="str">
        <f t="shared" si="154"/>
        <v/>
      </c>
      <c r="T450" s="730" t="str">
        <f t="shared" si="154"/>
        <v/>
      </c>
      <c r="U450" s="730" t="str">
        <f t="shared" si="154"/>
        <v/>
      </c>
      <c r="V450" s="730" t="str">
        <f t="shared" si="154"/>
        <v/>
      </c>
      <c r="W450" s="531"/>
      <c r="X450" s="236"/>
      <c r="Y450" s="236" t="s">
        <v>598</v>
      </c>
      <c r="Z450" s="236"/>
    </row>
    <row r="451" spans="1:26" ht="11.25" customHeight="1">
      <c r="A451" s="528" t="s">
        <v>613</v>
      </c>
      <c r="B451" s="1013" t="s">
        <v>144</v>
      </c>
      <c r="C451" s="728"/>
      <c r="D451" s="649" t="s">
        <v>761</v>
      </c>
      <c r="E451" s="729" t="s">
        <v>761</v>
      </c>
      <c r="F451" s="104">
        <f>+'[3]chd3-SAOB'!AC11</f>
        <v>300000</v>
      </c>
      <c r="G451" s="104"/>
      <c r="H451" s="104"/>
      <c r="I451" s="103">
        <f>SUM(F451:H451)</f>
        <v>300000</v>
      </c>
      <c r="J451" s="104">
        <f>+'[3]chd3-SAOB'!AC14</f>
        <v>290000</v>
      </c>
      <c r="K451" s="104"/>
      <c r="L451" s="104"/>
      <c r="M451" s="103">
        <f>SUM(J451:L451)</f>
        <v>290000</v>
      </c>
      <c r="N451" s="103">
        <f>+F451-J451</f>
        <v>10000</v>
      </c>
      <c r="O451" s="103">
        <f>+G451-K451</f>
        <v>0</v>
      </c>
      <c r="P451" s="103">
        <f>+H451-L451</f>
        <v>0</v>
      </c>
      <c r="Q451" s="103">
        <f>SUM(N451:P451)</f>
        <v>10000</v>
      </c>
      <c r="S451" s="730">
        <f t="shared" si="154"/>
        <v>0.96666666666666667</v>
      </c>
      <c r="T451" s="730" t="str">
        <f t="shared" si="154"/>
        <v/>
      </c>
      <c r="U451" s="730" t="str">
        <f t="shared" si="154"/>
        <v/>
      </c>
      <c r="V451" s="730">
        <f t="shared" si="154"/>
        <v>0.96666666666666667</v>
      </c>
      <c r="W451" s="531"/>
      <c r="X451" s="236"/>
      <c r="Y451" s="236" t="s">
        <v>688</v>
      </c>
      <c r="Z451" s="236"/>
    </row>
    <row r="452" spans="1:26" ht="11.25" customHeight="1">
      <c r="A452" s="528" t="s">
        <v>613</v>
      </c>
      <c r="B452" s="1013" t="s">
        <v>144</v>
      </c>
      <c r="C452" s="410"/>
      <c r="D452" s="651"/>
      <c r="E452" s="728" t="s">
        <v>764</v>
      </c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S452" s="730" t="str">
        <f t="shared" si="154"/>
        <v/>
      </c>
      <c r="T452" s="730" t="str">
        <f t="shared" si="154"/>
        <v/>
      </c>
      <c r="U452" s="730" t="str">
        <f t="shared" si="154"/>
        <v/>
      </c>
      <c r="V452" s="730" t="str">
        <f t="shared" si="154"/>
        <v/>
      </c>
      <c r="W452" s="531"/>
      <c r="X452" s="236"/>
      <c r="Y452" s="236" t="s">
        <v>688</v>
      </c>
      <c r="Z452" s="240"/>
    </row>
    <row r="453" spans="1:26" ht="11.25" customHeight="1">
      <c r="A453" s="528" t="s">
        <v>613</v>
      </c>
      <c r="B453" s="1013" t="s">
        <v>144</v>
      </c>
      <c r="C453" s="728"/>
      <c r="D453" s="649" t="s">
        <v>289</v>
      </c>
      <c r="E453" s="729" t="s">
        <v>289</v>
      </c>
      <c r="F453" s="103">
        <f>SUM('[3]chd3-SAOB'!AX13)</f>
        <v>1839480</v>
      </c>
      <c r="G453" s="103">
        <f>SUM('[3]chd3-SAOB'!AX49)</f>
        <v>0</v>
      </c>
      <c r="H453" s="103">
        <f>SUM('[3]chd3-SAOB'!AX142)</f>
        <v>0</v>
      </c>
      <c r="I453" s="103">
        <f t="shared" si="143"/>
        <v>1839480</v>
      </c>
      <c r="J453" s="103">
        <f>SUM('[3]chd3-SAOB'!AX14)</f>
        <v>1839478.05</v>
      </c>
      <c r="K453" s="103">
        <f>SUM('[3]chd3-SAOB'!AX50)</f>
        <v>0</v>
      </c>
      <c r="L453" s="103">
        <f>SUM('[3]chd3-SAOB'!AX143)</f>
        <v>0</v>
      </c>
      <c r="M453" s="103">
        <f t="shared" si="144"/>
        <v>1839478.05</v>
      </c>
      <c r="N453" s="103">
        <f t="shared" ref="N453:P519" si="167">+F453-J453</f>
        <v>1.9499999999534339</v>
      </c>
      <c r="O453" s="103">
        <f t="shared" si="167"/>
        <v>0</v>
      </c>
      <c r="P453" s="103">
        <f t="shared" si="167"/>
        <v>0</v>
      </c>
      <c r="Q453" s="103">
        <f t="shared" ref="Q453:Q519" si="168">SUM(N453:P453)</f>
        <v>1.9499999999534339</v>
      </c>
      <c r="S453" s="730">
        <f t="shared" si="154"/>
        <v>0.99999893991780286</v>
      </c>
      <c r="T453" s="730" t="str">
        <f t="shared" si="154"/>
        <v/>
      </c>
      <c r="U453" s="730" t="str">
        <f t="shared" si="154"/>
        <v/>
      </c>
      <c r="V453" s="730">
        <f t="shared" si="154"/>
        <v>0.99999893991780286</v>
      </c>
      <c r="W453" s="531"/>
      <c r="X453" s="236"/>
      <c r="Y453" s="236" t="s">
        <v>598</v>
      </c>
      <c r="Z453" s="236"/>
    </row>
    <row r="454" spans="1:26" ht="11.25" customHeight="1">
      <c r="A454" s="528" t="s">
        <v>613</v>
      </c>
      <c r="B454" s="1013" t="s">
        <v>144</v>
      </c>
      <c r="C454" s="728"/>
      <c r="D454" s="649" t="s">
        <v>290</v>
      </c>
      <c r="E454" s="729" t="s">
        <v>290</v>
      </c>
      <c r="F454" s="103">
        <f>SUM('[3]chd3-SAOB'!BE13)</f>
        <v>0</v>
      </c>
      <c r="G454" s="103">
        <f>SUM('[3]chd3-SAOB'!BE49)</f>
        <v>0</v>
      </c>
      <c r="H454" s="103">
        <f>SUM('[3]chd3-SAOB'!BE142)</f>
        <v>0</v>
      </c>
      <c r="I454" s="103">
        <f t="shared" si="143"/>
        <v>0</v>
      </c>
      <c r="J454" s="103">
        <f>SUM('[3]chd3-SAOB'!BE14)</f>
        <v>0</v>
      </c>
      <c r="K454" s="103">
        <f>SUM('[3]chd3-SAOB'!BE50)</f>
        <v>0</v>
      </c>
      <c r="L454" s="103">
        <f>SUM('[3]chd3-SAOB'!BE143)</f>
        <v>0</v>
      </c>
      <c r="M454" s="103">
        <f t="shared" si="144"/>
        <v>0</v>
      </c>
      <c r="N454" s="103">
        <f t="shared" si="167"/>
        <v>0</v>
      </c>
      <c r="O454" s="103">
        <f t="shared" si="167"/>
        <v>0</v>
      </c>
      <c r="P454" s="103">
        <f t="shared" si="167"/>
        <v>0</v>
      </c>
      <c r="Q454" s="103">
        <f t="shared" si="168"/>
        <v>0</v>
      </c>
      <c r="S454" s="730" t="str">
        <f t="shared" si="154"/>
        <v/>
      </c>
      <c r="T454" s="730" t="str">
        <f t="shared" si="154"/>
        <v/>
      </c>
      <c r="U454" s="730" t="str">
        <f t="shared" si="154"/>
        <v/>
      </c>
      <c r="V454" s="730" t="str">
        <f t="shared" si="154"/>
        <v/>
      </c>
      <c r="W454" s="531"/>
      <c r="X454" s="236"/>
      <c r="Y454" s="236" t="s">
        <v>598</v>
      </c>
      <c r="Z454" s="236"/>
    </row>
    <row r="455" spans="1:26" s="259" customFormat="1" ht="11.25" customHeight="1">
      <c r="A455" s="246" t="s">
        <v>613</v>
      </c>
      <c r="B455" s="235" t="s">
        <v>144</v>
      </c>
      <c r="C455" s="656"/>
      <c r="D455" s="656"/>
      <c r="E455" s="657" t="s">
        <v>4</v>
      </c>
      <c r="F455" s="652">
        <f>+F445+F447+F449</f>
        <v>16503480</v>
      </c>
      <c r="G455" s="652">
        <f t="shared" ref="G455:M455" si="169">+G445+G447+G449</f>
        <v>5419000</v>
      </c>
      <c r="H455" s="652">
        <f t="shared" si="169"/>
        <v>0</v>
      </c>
      <c r="I455" s="652">
        <f t="shared" si="169"/>
        <v>21922480</v>
      </c>
      <c r="J455" s="652">
        <f t="shared" si="169"/>
        <v>15074309.490000002</v>
      </c>
      <c r="K455" s="652">
        <f t="shared" si="169"/>
        <v>3536630.9299999997</v>
      </c>
      <c r="L455" s="652">
        <f t="shared" si="169"/>
        <v>0</v>
      </c>
      <c r="M455" s="652">
        <f t="shared" si="169"/>
        <v>18610940.420000002</v>
      </c>
      <c r="N455" s="652">
        <f t="shared" si="167"/>
        <v>1429170.5099999979</v>
      </c>
      <c r="O455" s="652">
        <f t="shared" si="167"/>
        <v>1882369.0700000003</v>
      </c>
      <c r="P455" s="652">
        <f t="shared" si="167"/>
        <v>0</v>
      </c>
      <c r="Q455" s="652">
        <f t="shared" si="168"/>
        <v>3311539.5799999982</v>
      </c>
      <c r="R455" s="653">
        <f>+Q455-'[3]chd3-SAOB'!CK179</f>
        <v>0</v>
      </c>
      <c r="S455" s="1008">
        <f t="shared" si="154"/>
        <v>0.91340186978746318</v>
      </c>
      <c r="T455" s="1008">
        <f t="shared" si="154"/>
        <v>0.65263534415943891</v>
      </c>
      <c r="U455" s="1008" t="str">
        <f t="shared" si="154"/>
        <v/>
      </c>
      <c r="V455" s="1008">
        <f t="shared" si="154"/>
        <v>0.84894320441847826</v>
      </c>
      <c r="W455" s="254"/>
      <c r="X455" s="520"/>
      <c r="Y455" s="610" t="s">
        <v>598</v>
      </c>
      <c r="Z455" s="241" t="s">
        <v>598</v>
      </c>
    </row>
    <row r="456" spans="1:26" ht="11.25" customHeight="1">
      <c r="A456" s="246" t="s">
        <v>613</v>
      </c>
      <c r="B456" s="235" t="s">
        <v>144</v>
      </c>
      <c r="C456" s="410"/>
      <c r="D456" s="386"/>
      <c r="E456" s="461" t="s">
        <v>764</v>
      </c>
      <c r="F456" s="103"/>
      <c r="G456" s="103"/>
      <c r="H456" s="103"/>
      <c r="I456" s="103">
        <f t="shared" si="143"/>
        <v>0</v>
      </c>
      <c r="J456" s="103"/>
      <c r="K456" s="103"/>
      <c r="L456" s="103"/>
      <c r="M456" s="103">
        <f t="shared" si="144"/>
        <v>0</v>
      </c>
      <c r="N456" s="103">
        <f t="shared" si="167"/>
        <v>0</v>
      </c>
      <c r="O456" s="103">
        <f t="shared" si="167"/>
        <v>0</v>
      </c>
      <c r="P456" s="103">
        <f t="shared" si="167"/>
        <v>0</v>
      </c>
      <c r="Q456" s="103">
        <f t="shared" si="168"/>
        <v>0</v>
      </c>
      <c r="S456" s="730" t="str">
        <f t="shared" si="154"/>
        <v/>
      </c>
      <c r="T456" s="730" t="str">
        <f t="shared" si="154"/>
        <v/>
      </c>
      <c r="U456" s="730" t="str">
        <f t="shared" si="154"/>
        <v/>
      </c>
      <c r="V456" s="730" t="str">
        <f t="shared" si="154"/>
        <v/>
      </c>
      <c r="W456" s="254"/>
      <c r="Y456" s="610" t="s">
        <v>598</v>
      </c>
      <c r="Z456" s="241" t="s">
        <v>598</v>
      </c>
    </row>
    <row r="457" spans="1:26" s="675" customFormat="1" ht="11.25" customHeight="1">
      <c r="A457" s="528" t="s">
        <v>613</v>
      </c>
      <c r="B457" s="528" t="s">
        <v>145</v>
      </c>
      <c r="C457" s="407" t="s">
        <v>98</v>
      </c>
      <c r="D457" s="655" t="s">
        <v>109</v>
      </c>
      <c r="E457" s="408" t="s">
        <v>799</v>
      </c>
      <c r="F457" s="673"/>
      <c r="G457" s="673"/>
      <c r="H457" s="673"/>
      <c r="I457" s="674">
        <f t="shared" si="143"/>
        <v>0</v>
      </c>
      <c r="J457" s="673"/>
      <c r="K457" s="673"/>
      <c r="L457" s="673"/>
      <c r="M457" s="674">
        <f t="shared" si="144"/>
        <v>0</v>
      </c>
      <c r="N457" s="674">
        <f t="shared" si="167"/>
        <v>0</v>
      </c>
      <c r="O457" s="674">
        <f t="shared" si="167"/>
        <v>0</v>
      </c>
      <c r="P457" s="674">
        <f t="shared" si="167"/>
        <v>0</v>
      </c>
      <c r="Q457" s="674">
        <f t="shared" si="168"/>
        <v>0</v>
      </c>
      <c r="R457" s="101"/>
      <c r="S457" s="254" t="str">
        <f t="shared" si="154"/>
        <v/>
      </c>
      <c r="T457" s="254" t="str">
        <f t="shared" si="154"/>
        <v/>
      </c>
      <c r="U457" s="254" t="str">
        <f t="shared" si="154"/>
        <v/>
      </c>
      <c r="V457" s="254" t="str">
        <f t="shared" si="154"/>
        <v/>
      </c>
      <c r="W457" s="531"/>
      <c r="Y457" s="272" t="s">
        <v>598</v>
      </c>
      <c r="Z457" s="260" t="s">
        <v>598</v>
      </c>
    </row>
    <row r="458" spans="1:26" ht="11.25" customHeight="1">
      <c r="A458" s="528" t="s">
        <v>613</v>
      </c>
      <c r="B458" s="1013" t="s">
        <v>145</v>
      </c>
      <c r="C458" s="461"/>
      <c r="D458" s="645" t="s">
        <v>766</v>
      </c>
      <c r="E458" s="447" t="s">
        <v>766</v>
      </c>
      <c r="F458" s="104">
        <f>+'[3]chd3-SAOB'!B405</f>
        <v>116247000</v>
      </c>
      <c r="G458" s="104">
        <f>+'[3]chd3-SAOB'!C405</f>
        <v>42240000</v>
      </c>
      <c r="H458" s="104">
        <f>+'[3]chd3-SAOB'!D405</f>
        <v>0</v>
      </c>
      <c r="I458" s="103">
        <f t="shared" si="143"/>
        <v>158487000</v>
      </c>
      <c r="J458" s="104">
        <f>+'[3]chd3-SAOB'!F405</f>
        <v>105172288.81</v>
      </c>
      <c r="K458" s="104">
        <f>+'[3]chd3-SAOB'!G405</f>
        <v>25785276.439999998</v>
      </c>
      <c r="L458" s="104">
        <f>+'[3]chd3-SAOB'!H405</f>
        <v>0</v>
      </c>
      <c r="M458" s="103">
        <f t="shared" si="144"/>
        <v>130957565.25</v>
      </c>
      <c r="N458" s="103">
        <f t="shared" si="167"/>
        <v>11074711.189999998</v>
      </c>
      <c r="O458" s="103">
        <f t="shared" si="167"/>
        <v>16454723.560000002</v>
      </c>
      <c r="P458" s="103">
        <f t="shared" si="167"/>
        <v>0</v>
      </c>
      <c r="Q458" s="103">
        <f t="shared" si="168"/>
        <v>27529434.75</v>
      </c>
      <c r="S458" s="730">
        <f t="shared" si="154"/>
        <v>0.90473120863334111</v>
      </c>
      <c r="T458" s="730">
        <f t="shared" si="154"/>
        <v>0.61044688541666658</v>
      </c>
      <c r="U458" s="730" t="str">
        <f t="shared" si="154"/>
        <v/>
      </c>
      <c r="V458" s="730">
        <f t="shared" si="154"/>
        <v>0.82629846769766602</v>
      </c>
      <c r="W458" s="531"/>
      <c r="X458" s="236"/>
      <c r="Y458" s="236" t="s">
        <v>688</v>
      </c>
      <c r="Z458" s="236"/>
    </row>
    <row r="459" spans="1:26" ht="11.25" customHeight="1">
      <c r="A459" s="528" t="s">
        <v>613</v>
      </c>
      <c r="B459" s="1013" t="s">
        <v>145</v>
      </c>
      <c r="C459" s="728"/>
      <c r="D459" s="649" t="s">
        <v>50</v>
      </c>
      <c r="E459" s="447" t="s">
        <v>50</v>
      </c>
      <c r="F459" s="104"/>
      <c r="G459" s="104">
        <f>+'[3]chd3-SAOB'!C407</f>
        <v>18972000</v>
      </c>
      <c r="H459" s="104">
        <f>+'[3]chd3-SAOB'!D407</f>
        <v>250000000</v>
      </c>
      <c r="I459" s="103">
        <f>SUM(F459:H459)</f>
        <v>268972000</v>
      </c>
      <c r="J459" s="104"/>
      <c r="K459" s="104">
        <f>+'[3]chd3-SAOB'!G407</f>
        <v>15312851.430000002</v>
      </c>
      <c r="L459" s="104">
        <f>+'[3]chd3-SAOB'!H407</f>
        <v>244815134.41999999</v>
      </c>
      <c r="M459" s="103">
        <f>SUM(J459:L459)</f>
        <v>260127985.84999999</v>
      </c>
      <c r="N459" s="103">
        <f t="shared" si="167"/>
        <v>0</v>
      </c>
      <c r="O459" s="103">
        <f t="shared" si="167"/>
        <v>3659148.5699999984</v>
      </c>
      <c r="P459" s="103">
        <f t="shared" si="167"/>
        <v>5184865.5800000131</v>
      </c>
      <c r="Q459" s="103">
        <f t="shared" si="168"/>
        <v>8844014.1500000115</v>
      </c>
      <c r="S459" s="730" t="str">
        <f t="shared" si="154"/>
        <v/>
      </c>
      <c r="T459" s="730">
        <f t="shared" si="154"/>
        <v>0.8071290022137888</v>
      </c>
      <c r="U459" s="730">
        <f t="shared" si="154"/>
        <v>0.97926053767999999</v>
      </c>
      <c r="V459" s="730">
        <f t="shared" si="154"/>
        <v>0.96711920144104213</v>
      </c>
      <c r="W459" s="531"/>
      <c r="X459" s="236"/>
      <c r="Y459" s="236" t="s">
        <v>688</v>
      </c>
      <c r="Z459" s="236"/>
    </row>
    <row r="460" spans="1:26" s="256" customFormat="1" ht="11.25" customHeight="1">
      <c r="A460" s="528" t="s">
        <v>613</v>
      </c>
      <c r="B460" s="528" t="s">
        <v>145</v>
      </c>
      <c r="C460" s="389"/>
      <c r="D460" s="650" t="s">
        <v>98</v>
      </c>
      <c r="E460" s="390" t="s">
        <v>767</v>
      </c>
      <c r="F460" s="391">
        <f>+F458+F459</f>
        <v>116247000</v>
      </c>
      <c r="G460" s="391">
        <f t="shared" ref="G460:M460" si="170">+G458+G459</f>
        <v>61212000</v>
      </c>
      <c r="H460" s="391">
        <f t="shared" si="170"/>
        <v>250000000</v>
      </c>
      <c r="I460" s="391">
        <f t="shared" si="170"/>
        <v>427459000</v>
      </c>
      <c r="J460" s="391">
        <f t="shared" si="170"/>
        <v>105172288.81</v>
      </c>
      <c r="K460" s="391">
        <f t="shared" si="170"/>
        <v>41098127.869999997</v>
      </c>
      <c r="L460" s="391">
        <f t="shared" si="170"/>
        <v>244815134.41999999</v>
      </c>
      <c r="M460" s="391">
        <f t="shared" si="170"/>
        <v>391085551.10000002</v>
      </c>
      <c r="N460" s="391">
        <f t="shared" si="167"/>
        <v>11074711.189999998</v>
      </c>
      <c r="O460" s="391">
        <f t="shared" si="167"/>
        <v>20113872.130000003</v>
      </c>
      <c r="P460" s="391">
        <f t="shared" si="167"/>
        <v>5184865.5800000131</v>
      </c>
      <c r="Q460" s="391">
        <f t="shared" si="168"/>
        <v>36373448.900000013</v>
      </c>
      <c r="R460" s="101"/>
      <c r="S460" s="254">
        <f t="shared" si="154"/>
        <v>0.90473120863334111</v>
      </c>
      <c r="T460" s="254">
        <f t="shared" si="154"/>
        <v>0.67140638877997771</v>
      </c>
      <c r="U460" s="254">
        <f t="shared" si="154"/>
        <v>0.97926053767999999</v>
      </c>
      <c r="V460" s="254">
        <f t="shared" si="154"/>
        <v>0.91490774811151487</v>
      </c>
      <c r="W460" s="531"/>
      <c r="Y460" s="256" t="s">
        <v>598</v>
      </c>
      <c r="Z460" s="256" t="s">
        <v>598</v>
      </c>
    </row>
    <row r="461" spans="1:26" ht="11.25" hidden="1" customHeight="1">
      <c r="A461" s="528" t="s">
        <v>613</v>
      </c>
      <c r="B461" s="1013" t="s">
        <v>145</v>
      </c>
      <c r="C461" s="410"/>
      <c r="D461" s="651"/>
      <c r="E461" s="806" t="s">
        <v>764</v>
      </c>
      <c r="F461" s="807"/>
      <c r="G461" s="807"/>
      <c r="H461" s="807"/>
      <c r="I461" s="807"/>
      <c r="J461" s="807"/>
      <c r="K461" s="807"/>
      <c r="L461" s="807"/>
      <c r="M461" s="807"/>
      <c r="N461" s="807">
        <f t="shared" si="167"/>
        <v>0</v>
      </c>
      <c r="O461" s="807">
        <f t="shared" si="167"/>
        <v>0</v>
      </c>
      <c r="P461" s="807">
        <f t="shared" si="167"/>
        <v>0</v>
      </c>
      <c r="Q461" s="807">
        <f t="shared" si="168"/>
        <v>0</v>
      </c>
      <c r="R461" s="276"/>
      <c r="S461" s="730" t="str">
        <f t="shared" si="154"/>
        <v/>
      </c>
      <c r="T461" s="730" t="str">
        <f t="shared" si="154"/>
        <v/>
      </c>
      <c r="U461" s="730" t="str">
        <f t="shared" si="154"/>
        <v/>
      </c>
      <c r="V461" s="730" t="str">
        <f t="shared" si="154"/>
        <v/>
      </c>
      <c r="W461" s="531"/>
      <c r="X461" s="236"/>
      <c r="Y461" s="236"/>
      <c r="Z461" s="236"/>
    </row>
    <row r="462" spans="1:26" s="256" customFormat="1" ht="11.25" customHeight="1">
      <c r="A462" s="528" t="s">
        <v>613</v>
      </c>
      <c r="B462" s="528" t="s">
        <v>145</v>
      </c>
      <c r="C462" s="389"/>
      <c r="D462" s="650" t="s">
        <v>98</v>
      </c>
      <c r="E462" s="390" t="s">
        <v>99</v>
      </c>
      <c r="F462" s="391">
        <f>SUM(F463:F464)</f>
        <v>10825000</v>
      </c>
      <c r="G462" s="391">
        <f t="shared" ref="G462:M462" si="171">SUM(G463:G464)</f>
        <v>0</v>
      </c>
      <c r="H462" s="391">
        <f t="shared" si="171"/>
        <v>0</v>
      </c>
      <c r="I462" s="391">
        <f t="shared" si="171"/>
        <v>10825000</v>
      </c>
      <c r="J462" s="391">
        <f t="shared" si="171"/>
        <v>9229473.0500000007</v>
      </c>
      <c r="K462" s="391">
        <f t="shared" si="171"/>
        <v>0</v>
      </c>
      <c r="L462" s="391">
        <f t="shared" si="171"/>
        <v>0</v>
      </c>
      <c r="M462" s="391">
        <f t="shared" si="171"/>
        <v>9229473.0500000007</v>
      </c>
      <c r="N462" s="391">
        <f t="shared" si="167"/>
        <v>1595526.9499999993</v>
      </c>
      <c r="O462" s="391">
        <f t="shared" si="167"/>
        <v>0</v>
      </c>
      <c r="P462" s="391">
        <f t="shared" si="167"/>
        <v>0</v>
      </c>
      <c r="Q462" s="391">
        <f t="shared" si="168"/>
        <v>1595526.9499999993</v>
      </c>
      <c r="R462" s="101"/>
      <c r="S462" s="254">
        <f t="shared" si="154"/>
        <v>0.85260721016166285</v>
      </c>
      <c r="T462" s="254" t="str">
        <f t="shared" si="154"/>
        <v/>
      </c>
      <c r="U462" s="254" t="str">
        <f t="shared" si="154"/>
        <v/>
      </c>
      <c r="V462" s="254">
        <f t="shared" si="154"/>
        <v>0.85260721016166285</v>
      </c>
      <c r="W462" s="531"/>
      <c r="Y462" s="256" t="s">
        <v>598</v>
      </c>
      <c r="Z462" s="256" t="s">
        <v>598</v>
      </c>
    </row>
    <row r="463" spans="1:26" ht="11.25" customHeight="1">
      <c r="A463" s="528" t="s">
        <v>613</v>
      </c>
      <c r="B463" s="1013" t="s">
        <v>145</v>
      </c>
      <c r="C463" s="728"/>
      <c r="D463" s="649" t="s">
        <v>286</v>
      </c>
      <c r="E463" s="729" t="s">
        <v>286</v>
      </c>
      <c r="F463" s="103">
        <f>SUM('[3]chd3-SAOB'!AK13)</f>
        <v>10825000</v>
      </c>
      <c r="G463" s="103"/>
      <c r="H463" s="103">
        <f>SUM('[3]chd3-SAOB'!AK142)</f>
        <v>0</v>
      </c>
      <c r="I463" s="103">
        <f t="shared" si="143"/>
        <v>10825000</v>
      </c>
      <c r="J463" s="103">
        <f>SUM('[3]chd3-SAOB'!AK14)</f>
        <v>9229473.0500000007</v>
      </c>
      <c r="K463" s="103"/>
      <c r="L463" s="103">
        <f>SUM('[3]chd3-SAOB'!AK143)</f>
        <v>0</v>
      </c>
      <c r="M463" s="103">
        <f t="shared" si="144"/>
        <v>9229473.0500000007</v>
      </c>
      <c r="N463" s="103">
        <f t="shared" si="167"/>
        <v>1595526.9499999993</v>
      </c>
      <c r="O463" s="103">
        <f t="shared" si="167"/>
        <v>0</v>
      </c>
      <c r="P463" s="103">
        <f t="shared" si="167"/>
        <v>0</v>
      </c>
      <c r="Q463" s="103">
        <f t="shared" si="168"/>
        <v>1595526.9499999993</v>
      </c>
      <c r="S463" s="730">
        <f t="shared" si="154"/>
        <v>0.85260721016166285</v>
      </c>
      <c r="T463" s="730" t="str">
        <f t="shared" si="154"/>
        <v/>
      </c>
      <c r="U463" s="730" t="str">
        <f t="shared" si="154"/>
        <v/>
      </c>
      <c r="V463" s="730">
        <f t="shared" si="154"/>
        <v>0.85260721016166285</v>
      </c>
      <c r="W463" s="531"/>
      <c r="X463" s="236"/>
      <c r="Y463" s="236" t="s">
        <v>598</v>
      </c>
      <c r="Z463" s="236"/>
    </row>
    <row r="464" spans="1:26" ht="11.25" hidden="1" customHeight="1">
      <c r="A464" s="528" t="s">
        <v>613</v>
      </c>
      <c r="B464" s="1013" t="s">
        <v>145</v>
      </c>
      <c r="C464" s="410"/>
      <c r="D464" s="651"/>
      <c r="E464" s="729" t="s">
        <v>800</v>
      </c>
      <c r="F464" s="103"/>
      <c r="G464" s="103">
        <f>+'[3]chd3-SAOB'!AK49</f>
        <v>0</v>
      </c>
      <c r="H464" s="103"/>
      <c r="I464" s="103">
        <f t="shared" si="143"/>
        <v>0</v>
      </c>
      <c r="J464" s="103"/>
      <c r="K464" s="103">
        <f>+'[3]chd3-SAOB'!AK50</f>
        <v>0</v>
      </c>
      <c r="L464" s="103"/>
      <c r="M464" s="103">
        <f t="shared" si="144"/>
        <v>0</v>
      </c>
      <c r="N464" s="103">
        <f t="shared" si="167"/>
        <v>0</v>
      </c>
      <c r="O464" s="103">
        <f t="shared" si="167"/>
        <v>0</v>
      </c>
      <c r="P464" s="103">
        <f t="shared" si="167"/>
        <v>0</v>
      </c>
      <c r="Q464" s="103">
        <f t="shared" si="168"/>
        <v>0</v>
      </c>
      <c r="R464" s="236"/>
      <c r="S464" s="730" t="str">
        <f t="shared" si="154"/>
        <v/>
      </c>
      <c r="T464" s="730" t="str">
        <f t="shared" si="154"/>
        <v/>
      </c>
      <c r="U464" s="730" t="str">
        <f t="shared" si="154"/>
        <v/>
      </c>
      <c r="V464" s="730" t="str">
        <f t="shared" si="154"/>
        <v/>
      </c>
      <c r="W464" s="531"/>
      <c r="X464" s="236"/>
      <c r="Y464" s="236"/>
      <c r="Z464" s="236"/>
    </row>
    <row r="465" spans="1:26" s="272" customFormat="1" ht="11.25" customHeight="1">
      <c r="A465" s="528" t="s">
        <v>613</v>
      </c>
      <c r="B465" s="528" t="s">
        <v>145</v>
      </c>
      <c r="C465" s="389"/>
      <c r="D465" s="650" t="s">
        <v>98</v>
      </c>
      <c r="E465" s="390" t="s">
        <v>100</v>
      </c>
      <c r="F465" s="391">
        <f t="shared" ref="F465:M465" si="172">SUM(F466:F470)</f>
        <v>6604713</v>
      </c>
      <c r="G465" s="391">
        <f t="shared" si="172"/>
        <v>7100000</v>
      </c>
      <c r="H465" s="391">
        <f t="shared" si="172"/>
        <v>0</v>
      </c>
      <c r="I465" s="391">
        <f t="shared" si="172"/>
        <v>13704713</v>
      </c>
      <c r="J465" s="391">
        <f t="shared" si="172"/>
        <v>6483975.4199999999</v>
      </c>
      <c r="K465" s="391">
        <f t="shared" si="172"/>
        <v>5969850.8799999999</v>
      </c>
      <c r="L465" s="391">
        <f t="shared" si="172"/>
        <v>0</v>
      </c>
      <c r="M465" s="391">
        <f t="shared" si="172"/>
        <v>12453826.300000001</v>
      </c>
      <c r="N465" s="391">
        <f t="shared" si="167"/>
        <v>120737.58000000007</v>
      </c>
      <c r="O465" s="391">
        <f t="shared" si="167"/>
        <v>1130149.1200000001</v>
      </c>
      <c r="P465" s="391">
        <f t="shared" si="167"/>
        <v>0</v>
      </c>
      <c r="Q465" s="391">
        <f t="shared" si="168"/>
        <v>1250886.7000000002</v>
      </c>
      <c r="R465" s="102"/>
      <c r="S465" s="254">
        <f t="shared" si="154"/>
        <v>0.98171948122499797</v>
      </c>
      <c r="T465" s="254">
        <f t="shared" si="154"/>
        <v>0.84082406760563377</v>
      </c>
      <c r="U465" s="254" t="str">
        <f t="shared" si="154"/>
        <v/>
      </c>
      <c r="V465" s="254">
        <f t="shared" si="154"/>
        <v>0.90872580111673995</v>
      </c>
      <c r="W465" s="531"/>
      <c r="Y465" s="272" t="s">
        <v>598</v>
      </c>
      <c r="Z465" s="256" t="s">
        <v>598</v>
      </c>
    </row>
    <row r="466" spans="1:26" ht="11.25" customHeight="1">
      <c r="A466" s="528" t="s">
        <v>613</v>
      </c>
      <c r="B466" s="1013" t="s">
        <v>145</v>
      </c>
      <c r="C466" s="728"/>
      <c r="D466" s="649" t="s">
        <v>288</v>
      </c>
      <c r="E466" s="729" t="s">
        <v>288</v>
      </c>
      <c r="F466" s="103">
        <f>SUM('[3]chd3-SAOB'!AR13)</f>
        <v>0</v>
      </c>
      <c r="G466" s="103">
        <f>SUM('[3]chd3-SAOB'!AR49)</f>
        <v>0</v>
      </c>
      <c r="H466" s="103">
        <f>SUM('[3]chd3-SAOB'!AR142)</f>
        <v>0</v>
      </c>
      <c r="I466" s="103">
        <f t="shared" si="143"/>
        <v>0</v>
      </c>
      <c r="J466" s="103"/>
      <c r="K466" s="103">
        <f>SUM('[3]chd3-SAOB'!AR50)</f>
        <v>0</v>
      </c>
      <c r="L466" s="103">
        <f>SUM('[3]chd3-SAOB'!AR143)</f>
        <v>0</v>
      </c>
      <c r="M466" s="103">
        <f t="shared" si="144"/>
        <v>0</v>
      </c>
      <c r="N466" s="103">
        <f t="shared" si="167"/>
        <v>0</v>
      </c>
      <c r="O466" s="103">
        <f t="shared" si="167"/>
        <v>0</v>
      </c>
      <c r="P466" s="103">
        <f t="shared" si="167"/>
        <v>0</v>
      </c>
      <c r="Q466" s="103">
        <f t="shared" si="168"/>
        <v>0</v>
      </c>
      <c r="S466" s="730" t="str">
        <f t="shared" si="154"/>
        <v/>
      </c>
      <c r="T466" s="730" t="str">
        <f t="shared" si="154"/>
        <v/>
      </c>
      <c r="U466" s="730" t="str">
        <f t="shared" si="154"/>
        <v/>
      </c>
      <c r="V466" s="730" t="str">
        <f t="shared" si="154"/>
        <v/>
      </c>
      <c r="W466" s="531"/>
      <c r="X466" s="236"/>
      <c r="Y466" s="236" t="s">
        <v>598</v>
      </c>
      <c r="Z466" s="236"/>
    </row>
    <row r="467" spans="1:26" ht="11.25" customHeight="1">
      <c r="A467" s="528" t="s">
        <v>613</v>
      </c>
      <c r="B467" s="1013" t="s">
        <v>145</v>
      </c>
      <c r="C467" s="728"/>
      <c r="D467" s="649" t="s">
        <v>761</v>
      </c>
      <c r="E467" s="729" t="s">
        <v>761</v>
      </c>
      <c r="F467" s="104">
        <f>+'[3]chd3-SAOB'!AD11</f>
        <v>3148000</v>
      </c>
      <c r="G467" s="104"/>
      <c r="H467" s="104"/>
      <c r="I467" s="103">
        <f>SUM(F467:H467)</f>
        <v>3148000</v>
      </c>
      <c r="J467" s="104">
        <f>+'[3]chd3-SAOB'!AD43</f>
        <v>3027500</v>
      </c>
      <c r="K467" s="104"/>
      <c r="L467" s="104"/>
      <c r="M467" s="103">
        <f>SUM(J467:L467)</f>
        <v>3027500</v>
      </c>
      <c r="N467" s="103">
        <f t="shared" si="167"/>
        <v>120500</v>
      </c>
      <c r="O467" s="103">
        <f t="shared" si="167"/>
        <v>0</v>
      </c>
      <c r="P467" s="103">
        <f t="shared" si="167"/>
        <v>0</v>
      </c>
      <c r="Q467" s="103">
        <f t="shared" si="168"/>
        <v>120500</v>
      </c>
      <c r="S467" s="730">
        <f t="shared" si="154"/>
        <v>0.9617217280813215</v>
      </c>
      <c r="T467" s="730" t="str">
        <f t="shared" si="154"/>
        <v/>
      </c>
      <c r="U467" s="730" t="str">
        <f t="shared" si="154"/>
        <v/>
      </c>
      <c r="V467" s="730">
        <f t="shared" si="154"/>
        <v>0.9617217280813215</v>
      </c>
      <c r="W467" s="531"/>
      <c r="X467" s="236"/>
      <c r="Y467" s="236" t="s">
        <v>688</v>
      </c>
      <c r="Z467" s="236"/>
    </row>
    <row r="468" spans="1:26" ht="11.25" customHeight="1">
      <c r="A468" s="528" t="s">
        <v>613</v>
      </c>
      <c r="B468" s="1013" t="s">
        <v>145</v>
      </c>
      <c r="C468" s="410"/>
      <c r="D468" s="651"/>
      <c r="E468" s="728" t="s">
        <v>764</v>
      </c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S468" s="730" t="str">
        <f t="shared" si="154"/>
        <v/>
      </c>
      <c r="T468" s="730" t="str">
        <f t="shared" si="154"/>
        <v/>
      </c>
      <c r="U468" s="730" t="str">
        <f t="shared" si="154"/>
        <v/>
      </c>
      <c r="V468" s="730" t="str">
        <f t="shared" si="154"/>
        <v/>
      </c>
      <c r="W468" s="531"/>
      <c r="X468" s="236"/>
      <c r="Y468" s="236" t="s">
        <v>688</v>
      </c>
      <c r="Z468" s="240"/>
    </row>
    <row r="469" spans="1:26" ht="11.25" customHeight="1">
      <c r="A469" s="528" t="s">
        <v>613</v>
      </c>
      <c r="B469" s="1013" t="s">
        <v>145</v>
      </c>
      <c r="C469" s="728"/>
      <c r="D469" s="649" t="s">
        <v>289</v>
      </c>
      <c r="E469" s="729" t="s">
        <v>289</v>
      </c>
      <c r="F469" s="103">
        <f>SUM('[3]chd3-SAOB'!AY13)</f>
        <v>3456713</v>
      </c>
      <c r="G469" s="103">
        <f>SUM('[3]chd3-SAOB'!AY49)</f>
        <v>0</v>
      </c>
      <c r="H469" s="103">
        <f>SUM('[3]chd3-SAOB'!AY142)</f>
        <v>0</v>
      </c>
      <c r="I469" s="103">
        <f t="shared" si="143"/>
        <v>3456713</v>
      </c>
      <c r="J469" s="103">
        <f>SUM('[3]chd3-SAOB'!AY14)</f>
        <v>3456475.42</v>
      </c>
      <c r="K469" s="103">
        <f>SUM('[3]chd3-SAOB'!AY50)</f>
        <v>0</v>
      </c>
      <c r="L469" s="103">
        <f>SUM('[3]chd3-SAOB'!AY143)</f>
        <v>0</v>
      </c>
      <c r="M469" s="103">
        <f t="shared" si="144"/>
        <v>3456475.42</v>
      </c>
      <c r="N469" s="103">
        <f t="shared" si="167"/>
        <v>237.58000000007451</v>
      </c>
      <c r="O469" s="103">
        <f t="shared" si="167"/>
        <v>0</v>
      </c>
      <c r="P469" s="103">
        <f t="shared" si="167"/>
        <v>0</v>
      </c>
      <c r="Q469" s="103">
        <f t="shared" si="168"/>
        <v>237.58000000007451</v>
      </c>
      <c r="S469" s="730">
        <f t="shared" si="154"/>
        <v>0.99993126996658388</v>
      </c>
      <c r="T469" s="730" t="str">
        <f t="shared" si="154"/>
        <v/>
      </c>
      <c r="U469" s="730" t="str">
        <f t="shared" si="154"/>
        <v/>
      </c>
      <c r="V469" s="730">
        <f t="shared" si="154"/>
        <v>0.99993126996658388</v>
      </c>
      <c r="W469" s="531"/>
      <c r="X469" s="236"/>
      <c r="Y469" s="236" t="s">
        <v>598</v>
      </c>
      <c r="Z469" s="236"/>
    </row>
    <row r="470" spans="1:26" ht="11.25" customHeight="1">
      <c r="A470" s="528" t="s">
        <v>613</v>
      </c>
      <c r="B470" s="1013" t="s">
        <v>145</v>
      </c>
      <c r="C470" s="728"/>
      <c r="D470" s="649" t="s">
        <v>290</v>
      </c>
      <c r="E470" s="729" t="s">
        <v>290</v>
      </c>
      <c r="F470" s="103">
        <f>SUM('[3]chd3-SAOB'!BF13)</f>
        <v>0</v>
      </c>
      <c r="G470" s="103">
        <f>SUM('[3]chd3-SAOB'!BF49)</f>
        <v>7100000</v>
      </c>
      <c r="H470" s="103">
        <f>SUM('[3]chd3-SAOB'!BF142)</f>
        <v>0</v>
      </c>
      <c r="I470" s="103">
        <f t="shared" si="143"/>
        <v>7100000</v>
      </c>
      <c r="J470" s="103">
        <f>SUM('[3]chd3-SAOB'!BF14)</f>
        <v>0</v>
      </c>
      <c r="K470" s="103">
        <f>SUM('[3]chd3-SAOB'!BF50)</f>
        <v>5969850.8799999999</v>
      </c>
      <c r="L470" s="103">
        <f>SUM('[3]chd3-SAOB'!BF143)</f>
        <v>0</v>
      </c>
      <c r="M470" s="103">
        <f t="shared" si="144"/>
        <v>5969850.8799999999</v>
      </c>
      <c r="N470" s="103">
        <f t="shared" si="167"/>
        <v>0</v>
      </c>
      <c r="O470" s="103">
        <f t="shared" si="167"/>
        <v>1130149.1200000001</v>
      </c>
      <c r="P470" s="103">
        <f t="shared" si="167"/>
        <v>0</v>
      </c>
      <c r="Q470" s="103">
        <f t="shared" si="168"/>
        <v>1130149.1200000001</v>
      </c>
      <c r="S470" s="730" t="str">
        <f t="shared" si="154"/>
        <v/>
      </c>
      <c r="T470" s="730">
        <f t="shared" si="154"/>
        <v>0.84082406760563377</v>
      </c>
      <c r="U470" s="730" t="str">
        <f t="shared" si="154"/>
        <v/>
      </c>
      <c r="V470" s="730">
        <f t="shared" si="154"/>
        <v>0.84082406760563377</v>
      </c>
      <c r="W470" s="531"/>
      <c r="X470" s="236"/>
      <c r="Y470" s="236" t="s">
        <v>598</v>
      </c>
      <c r="Z470" s="236"/>
    </row>
    <row r="471" spans="1:26" s="259" customFormat="1" ht="11.25" customHeight="1">
      <c r="A471" s="676" t="s">
        <v>613</v>
      </c>
      <c r="B471" s="1018" t="s">
        <v>145</v>
      </c>
      <c r="C471" s="656"/>
      <c r="D471" s="656"/>
      <c r="E471" s="657" t="s">
        <v>4</v>
      </c>
      <c r="F471" s="652">
        <f>+F465+F462+F460</f>
        <v>133676713</v>
      </c>
      <c r="G471" s="652">
        <f t="shared" ref="G471:M471" si="173">+G465+G462+G460</f>
        <v>68312000</v>
      </c>
      <c r="H471" s="652">
        <f t="shared" si="173"/>
        <v>250000000</v>
      </c>
      <c r="I471" s="652">
        <f t="shared" si="173"/>
        <v>451988713</v>
      </c>
      <c r="J471" s="652">
        <f t="shared" si="173"/>
        <v>120885737.28</v>
      </c>
      <c r="K471" s="652">
        <f t="shared" si="173"/>
        <v>47067978.75</v>
      </c>
      <c r="L471" s="652">
        <f t="shared" si="173"/>
        <v>244815134.41999999</v>
      </c>
      <c r="M471" s="652">
        <f t="shared" si="173"/>
        <v>412768850.45000005</v>
      </c>
      <c r="N471" s="652">
        <f t="shared" si="167"/>
        <v>12790975.719999999</v>
      </c>
      <c r="O471" s="652">
        <f t="shared" si="167"/>
        <v>21244021.25</v>
      </c>
      <c r="P471" s="652">
        <f t="shared" si="167"/>
        <v>5184865.5800000131</v>
      </c>
      <c r="Q471" s="652">
        <f t="shared" si="168"/>
        <v>39219862.550000012</v>
      </c>
      <c r="R471" s="653">
        <f>+Q471-'[3]chd3-SAOB'!CL179</f>
        <v>0</v>
      </c>
      <c r="S471" s="1008">
        <f t="shared" si="154"/>
        <v>0.90431410652654209</v>
      </c>
      <c r="T471" s="1008">
        <f t="shared" si="154"/>
        <v>0.68901479608267946</v>
      </c>
      <c r="U471" s="1008">
        <f t="shared" si="154"/>
        <v>0.97926053767999999</v>
      </c>
      <c r="V471" s="1008">
        <f t="shared" ref="V471:V534" si="174">IF(I471=0,"",M471/I471)</f>
        <v>0.91322822578978879</v>
      </c>
      <c r="W471" s="677"/>
      <c r="Y471" s="671" t="s">
        <v>598</v>
      </c>
      <c r="Z471" s="259" t="s">
        <v>598</v>
      </c>
    </row>
    <row r="472" spans="1:26" ht="11.25" customHeight="1">
      <c r="A472" s="246" t="s">
        <v>613</v>
      </c>
      <c r="B472" s="235" t="s">
        <v>145</v>
      </c>
      <c r="C472" s="410"/>
      <c r="D472" s="386"/>
      <c r="E472" s="461" t="s">
        <v>764</v>
      </c>
      <c r="F472" s="103"/>
      <c r="G472" s="103"/>
      <c r="H472" s="103"/>
      <c r="I472" s="103">
        <f>SUM(F472:H472)</f>
        <v>0</v>
      </c>
      <c r="J472" s="103"/>
      <c r="K472" s="103"/>
      <c r="L472" s="103"/>
      <c r="M472" s="103">
        <f>SUM(J472:L472)</f>
        <v>0</v>
      </c>
      <c r="N472" s="103">
        <f t="shared" si="167"/>
        <v>0</v>
      </c>
      <c r="O472" s="103">
        <f t="shared" si="167"/>
        <v>0</v>
      </c>
      <c r="P472" s="103">
        <f t="shared" si="167"/>
        <v>0</v>
      </c>
      <c r="Q472" s="103">
        <f t="shared" si="168"/>
        <v>0</v>
      </c>
      <c r="S472" s="730" t="str">
        <f t="shared" ref="S472:V535" si="175">IF(F472=0,"",J472/F472)</f>
        <v/>
      </c>
      <c r="T472" s="730" t="str">
        <f t="shared" si="175"/>
        <v/>
      </c>
      <c r="U472" s="730" t="str">
        <f t="shared" si="175"/>
        <v/>
      </c>
      <c r="V472" s="730" t="str">
        <f t="shared" si="174"/>
        <v/>
      </c>
      <c r="W472" s="254"/>
      <c r="Y472" s="610" t="s">
        <v>598</v>
      </c>
      <c r="Z472" s="241" t="s">
        <v>598</v>
      </c>
    </row>
    <row r="473" spans="1:26" s="675" customFormat="1" ht="11.25" customHeight="1">
      <c r="A473" s="528" t="s">
        <v>613</v>
      </c>
      <c r="B473" s="528" t="s">
        <v>146</v>
      </c>
      <c r="C473" s="407" t="s">
        <v>98</v>
      </c>
      <c r="D473" s="655" t="s">
        <v>111</v>
      </c>
      <c r="E473" s="408" t="s">
        <v>801</v>
      </c>
      <c r="F473" s="673"/>
      <c r="G473" s="673"/>
      <c r="H473" s="673"/>
      <c r="I473" s="674">
        <f>SUM(F473:H473)</f>
        <v>0</v>
      </c>
      <c r="J473" s="673"/>
      <c r="K473" s="673"/>
      <c r="L473" s="673"/>
      <c r="M473" s="674">
        <f>SUM(J473:L473)</f>
        <v>0</v>
      </c>
      <c r="N473" s="674">
        <f t="shared" si="167"/>
        <v>0</v>
      </c>
      <c r="O473" s="674">
        <f t="shared" si="167"/>
        <v>0</v>
      </c>
      <c r="P473" s="674">
        <f t="shared" si="167"/>
        <v>0</v>
      </c>
      <c r="Q473" s="674">
        <f t="shared" si="168"/>
        <v>0</v>
      </c>
      <c r="R473" s="101"/>
      <c r="S473" s="254" t="str">
        <f t="shared" si="175"/>
        <v/>
      </c>
      <c r="T473" s="254" t="str">
        <f t="shared" si="175"/>
        <v/>
      </c>
      <c r="U473" s="254" t="str">
        <f t="shared" si="175"/>
        <v/>
      </c>
      <c r="V473" s="254" t="str">
        <f t="shared" si="174"/>
        <v/>
      </c>
      <c r="W473" s="531"/>
      <c r="Y473" s="272" t="s">
        <v>598</v>
      </c>
      <c r="Z473" s="260" t="s">
        <v>598</v>
      </c>
    </row>
    <row r="474" spans="1:26" ht="11.25" customHeight="1">
      <c r="A474" s="528" t="s">
        <v>613</v>
      </c>
      <c r="B474" s="1013" t="s">
        <v>146</v>
      </c>
      <c r="C474" s="461"/>
      <c r="D474" s="645" t="s">
        <v>766</v>
      </c>
      <c r="E474" s="447" t="s">
        <v>766</v>
      </c>
      <c r="F474" s="104">
        <f>+'[3]chd3-SAOB'!B411</f>
        <v>21038000</v>
      </c>
      <c r="G474" s="104">
        <f>+'[3]chd3-SAOB'!C411</f>
        <v>39648000</v>
      </c>
      <c r="H474" s="104">
        <f>+'[3]chd3-SAOB'!D411</f>
        <v>0</v>
      </c>
      <c r="I474" s="103">
        <f>SUM(F474:H474)</f>
        <v>60686000</v>
      </c>
      <c r="J474" s="104">
        <f>+'[3]chd3-SAOB'!F411</f>
        <v>19154232.379999999</v>
      </c>
      <c r="K474" s="104">
        <f>+'[3]chd3-SAOB'!G411</f>
        <v>30090472.549999997</v>
      </c>
      <c r="L474" s="104">
        <f>+'[3]chd3-SAOB'!H411</f>
        <v>0</v>
      </c>
      <c r="M474" s="103">
        <f>SUM(J474:L474)</f>
        <v>49244704.929999992</v>
      </c>
      <c r="N474" s="103">
        <f t="shared" si="167"/>
        <v>1883767.620000001</v>
      </c>
      <c r="O474" s="103">
        <f t="shared" si="167"/>
        <v>9557527.450000003</v>
      </c>
      <c r="P474" s="103">
        <f t="shared" si="167"/>
        <v>0</v>
      </c>
      <c r="Q474" s="103">
        <f t="shared" si="168"/>
        <v>11441295.070000004</v>
      </c>
      <c r="S474" s="730">
        <f t="shared" si="175"/>
        <v>0.91045880692080994</v>
      </c>
      <c r="T474" s="730">
        <f t="shared" si="175"/>
        <v>0.75894049006255038</v>
      </c>
      <c r="U474" s="730" t="str">
        <f t="shared" si="175"/>
        <v/>
      </c>
      <c r="V474" s="730">
        <f t="shared" si="174"/>
        <v>0.81146730596842753</v>
      </c>
      <c r="W474" s="531"/>
      <c r="X474" s="236"/>
      <c r="Y474" s="236" t="s">
        <v>688</v>
      </c>
      <c r="Z474" s="236"/>
    </row>
    <row r="475" spans="1:26" ht="11.25" customHeight="1">
      <c r="A475" s="528" t="s">
        <v>613</v>
      </c>
      <c r="B475" s="1013" t="s">
        <v>146</v>
      </c>
      <c r="C475" s="728"/>
      <c r="D475" s="649" t="s">
        <v>50</v>
      </c>
      <c r="E475" s="447" t="s">
        <v>50</v>
      </c>
      <c r="F475" s="104"/>
      <c r="G475" s="104">
        <f>+'[3]chd3-SAOB'!C413</f>
        <v>6970000</v>
      </c>
      <c r="H475" s="104">
        <f>+'[3]chd3-SAOB'!D413</f>
        <v>20000000</v>
      </c>
      <c r="I475" s="103">
        <f>SUM(F475:H475)</f>
        <v>26970000</v>
      </c>
      <c r="J475" s="104"/>
      <c r="K475" s="104">
        <f>+'[3]chd3-SAOB'!G413</f>
        <v>5324104.37</v>
      </c>
      <c r="L475" s="104">
        <f>+'[3]chd3-SAOB'!H413</f>
        <v>17526788.68</v>
      </c>
      <c r="M475" s="103">
        <f>SUM(J475:L475)</f>
        <v>22850893.050000001</v>
      </c>
      <c r="N475" s="103">
        <f t="shared" si="167"/>
        <v>0</v>
      </c>
      <c r="O475" s="103">
        <f t="shared" si="167"/>
        <v>1645895.63</v>
      </c>
      <c r="P475" s="103">
        <f t="shared" si="167"/>
        <v>2473211.3200000003</v>
      </c>
      <c r="Q475" s="103">
        <f t="shared" si="168"/>
        <v>4119106.95</v>
      </c>
      <c r="S475" s="730" t="str">
        <f t="shared" si="175"/>
        <v/>
      </c>
      <c r="T475" s="730">
        <f t="shared" si="175"/>
        <v>0.76386002439024392</v>
      </c>
      <c r="U475" s="730">
        <f t="shared" si="175"/>
        <v>0.87633943400000003</v>
      </c>
      <c r="V475" s="730">
        <f t="shared" si="174"/>
        <v>0.84727078420467183</v>
      </c>
      <c r="W475" s="531"/>
      <c r="X475" s="236"/>
      <c r="Y475" s="236" t="s">
        <v>688</v>
      </c>
      <c r="Z475" s="236"/>
    </row>
    <row r="476" spans="1:26" s="256" customFormat="1" ht="11.25" customHeight="1">
      <c r="A476" s="528" t="s">
        <v>613</v>
      </c>
      <c r="B476" s="528" t="s">
        <v>146</v>
      </c>
      <c r="C476" s="389"/>
      <c r="D476" s="650" t="s">
        <v>98</v>
      </c>
      <c r="E476" s="390" t="s">
        <v>767</v>
      </c>
      <c r="F476" s="391">
        <f>+F474+F475</f>
        <v>21038000</v>
      </c>
      <c r="G476" s="391">
        <f t="shared" ref="G476:M476" si="176">+G474+G475</f>
        <v>46618000</v>
      </c>
      <c r="H476" s="391">
        <f t="shared" si="176"/>
        <v>20000000</v>
      </c>
      <c r="I476" s="391">
        <f t="shared" si="176"/>
        <v>87656000</v>
      </c>
      <c r="J476" s="391">
        <f t="shared" si="176"/>
        <v>19154232.379999999</v>
      </c>
      <c r="K476" s="391">
        <f t="shared" si="176"/>
        <v>35414576.919999994</v>
      </c>
      <c r="L476" s="391">
        <f t="shared" si="176"/>
        <v>17526788.68</v>
      </c>
      <c r="M476" s="391">
        <f t="shared" si="176"/>
        <v>72095597.979999989</v>
      </c>
      <c r="N476" s="391">
        <f t="shared" si="167"/>
        <v>1883767.620000001</v>
      </c>
      <c r="O476" s="391">
        <f t="shared" si="167"/>
        <v>11203423.080000006</v>
      </c>
      <c r="P476" s="391">
        <f t="shared" si="167"/>
        <v>2473211.3200000003</v>
      </c>
      <c r="Q476" s="391">
        <f t="shared" si="168"/>
        <v>15560402.020000007</v>
      </c>
      <c r="R476" s="101"/>
      <c r="S476" s="254">
        <f t="shared" si="175"/>
        <v>0.91045880692080994</v>
      </c>
      <c r="T476" s="254">
        <f t="shared" si="175"/>
        <v>0.75967602471148477</v>
      </c>
      <c r="U476" s="254">
        <f t="shared" si="175"/>
        <v>0.87633943400000003</v>
      </c>
      <c r="V476" s="254">
        <f t="shared" si="174"/>
        <v>0.82248332093638754</v>
      </c>
      <c r="W476" s="531"/>
      <c r="Y476" s="256" t="s">
        <v>598</v>
      </c>
      <c r="Z476" s="256" t="s">
        <v>598</v>
      </c>
    </row>
    <row r="477" spans="1:26" ht="11.25" hidden="1" customHeight="1">
      <c r="A477" s="528" t="s">
        <v>613</v>
      </c>
      <c r="B477" s="1013" t="s">
        <v>146</v>
      </c>
      <c r="C477" s="410"/>
      <c r="D477" s="651"/>
      <c r="E477" s="806" t="s">
        <v>764</v>
      </c>
      <c r="F477" s="807"/>
      <c r="G477" s="807"/>
      <c r="H477" s="807"/>
      <c r="I477" s="807"/>
      <c r="J477" s="807"/>
      <c r="K477" s="807"/>
      <c r="L477" s="807"/>
      <c r="M477" s="807"/>
      <c r="N477" s="807">
        <f t="shared" si="167"/>
        <v>0</v>
      </c>
      <c r="O477" s="807">
        <f t="shared" si="167"/>
        <v>0</v>
      </c>
      <c r="P477" s="807">
        <f t="shared" si="167"/>
        <v>0</v>
      </c>
      <c r="Q477" s="807">
        <f t="shared" si="168"/>
        <v>0</v>
      </c>
      <c r="R477" s="276"/>
      <c r="S477" s="730" t="str">
        <f t="shared" si="175"/>
        <v/>
      </c>
      <c r="T477" s="730" t="str">
        <f t="shared" si="175"/>
        <v/>
      </c>
      <c r="U477" s="730" t="str">
        <f t="shared" si="175"/>
        <v/>
      </c>
      <c r="V477" s="730" t="str">
        <f t="shared" si="174"/>
        <v/>
      </c>
      <c r="W477" s="531"/>
      <c r="X477" s="236"/>
      <c r="Y477" s="236"/>
      <c r="Z477" s="236"/>
    </row>
    <row r="478" spans="1:26" s="256" customFormat="1" ht="11.25" customHeight="1">
      <c r="A478" s="528" t="s">
        <v>613</v>
      </c>
      <c r="B478" s="528" t="s">
        <v>146</v>
      </c>
      <c r="C478" s="389"/>
      <c r="D478" s="650" t="s">
        <v>98</v>
      </c>
      <c r="E478" s="390" t="s">
        <v>99</v>
      </c>
      <c r="F478" s="391">
        <f>+F479</f>
        <v>1889000</v>
      </c>
      <c r="G478" s="391">
        <f t="shared" ref="G478:M478" si="177">+G479</f>
        <v>0</v>
      </c>
      <c r="H478" s="391">
        <f t="shared" si="177"/>
        <v>0</v>
      </c>
      <c r="I478" s="391">
        <f t="shared" si="177"/>
        <v>1889000</v>
      </c>
      <c r="J478" s="391">
        <f t="shared" si="177"/>
        <v>1686710.5</v>
      </c>
      <c r="K478" s="391">
        <f t="shared" si="177"/>
        <v>0</v>
      </c>
      <c r="L478" s="391">
        <f t="shared" si="177"/>
        <v>0</v>
      </c>
      <c r="M478" s="391">
        <f t="shared" si="177"/>
        <v>1686710.5</v>
      </c>
      <c r="N478" s="391">
        <f t="shared" si="167"/>
        <v>202289.5</v>
      </c>
      <c r="O478" s="391">
        <f t="shared" si="167"/>
        <v>0</v>
      </c>
      <c r="P478" s="391">
        <f t="shared" si="167"/>
        <v>0</v>
      </c>
      <c r="Q478" s="391">
        <f t="shared" si="168"/>
        <v>202289.5</v>
      </c>
      <c r="R478" s="101"/>
      <c r="S478" s="254">
        <f t="shared" si="175"/>
        <v>0.89291185812599261</v>
      </c>
      <c r="T478" s="254" t="str">
        <f t="shared" si="175"/>
        <v/>
      </c>
      <c r="U478" s="254" t="str">
        <f t="shared" si="175"/>
        <v/>
      </c>
      <c r="V478" s="254">
        <f t="shared" si="174"/>
        <v>0.89291185812599261</v>
      </c>
      <c r="W478" s="531"/>
      <c r="Y478" s="256" t="s">
        <v>598</v>
      </c>
      <c r="Z478" s="256" t="s">
        <v>598</v>
      </c>
    </row>
    <row r="479" spans="1:26" ht="11.25" customHeight="1">
      <c r="A479" s="528" t="s">
        <v>613</v>
      </c>
      <c r="B479" s="1013" t="s">
        <v>146</v>
      </c>
      <c r="C479" s="728"/>
      <c r="D479" s="649" t="s">
        <v>286</v>
      </c>
      <c r="E479" s="729" t="s">
        <v>286</v>
      </c>
      <c r="F479" s="103">
        <f>SUM('[3]chd3-SAOB'!AL13)</f>
        <v>1889000</v>
      </c>
      <c r="G479" s="103">
        <f>SUM('[3]chd3-SAOB'!AL49)</f>
        <v>0</v>
      </c>
      <c r="H479" s="103">
        <f>SUM('[3]chd3-SAOB'!AL142)</f>
        <v>0</v>
      </c>
      <c r="I479" s="103">
        <f>SUM(F479:H479)</f>
        <v>1889000</v>
      </c>
      <c r="J479" s="103">
        <f>SUM('[3]chd3-SAOB'!AL14)</f>
        <v>1686710.5</v>
      </c>
      <c r="K479" s="103">
        <f>SUM('[3]chd3-SAOB'!AL50)</f>
        <v>0</v>
      </c>
      <c r="L479" s="103">
        <f>SUM('[3]chd3-SAOB'!AL143)</f>
        <v>0</v>
      </c>
      <c r="M479" s="103">
        <f>SUM(J479:L479)</f>
        <v>1686710.5</v>
      </c>
      <c r="N479" s="103">
        <f t="shared" si="167"/>
        <v>202289.5</v>
      </c>
      <c r="O479" s="103">
        <f t="shared" si="167"/>
        <v>0</v>
      </c>
      <c r="P479" s="103">
        <f t="shared" si="167"/>
        <v>0</v>
      </c>
      <c r="Q479" s="103">
        <f t="shared" si="168"/>
        <v>202289.5</v>
      </c>
      <c r="S479" s="730">
        <f t="shared" si="175"/>
        <v>0.89291185812599261</v>
      </c>
      <c r="T479" s="730" t="str">
        <f t="shared" si="175"/>
        <v/>
      </c>
      <c r="U479" s="730" t="str">
        <f t="shared" si="175"/>
        <v/>
      </c>
      <c r="V479" s="730">
        <f t="shared" si="174"/>
        <v>0.89291185812599261</v>
      </c>
      <c r="W479" s="531"/>
      <c r="X479" s="236"/>
      <c r="Y479" s="236" t="s">
        <v>598</v>
      </c>
      <c r="Z479" s="236"/>
    </row>
    <row r="480" spans="1:26" s="272" customFormat="1" ht="11.25" customHeight="1">
      <c r="A480" s="528" t="s">
        <v>613</v>
      </c>
      <c r="B480" s="528" t="s">
        <v>146</v>
      </c>
      <c r="C480" s="389"/>
      <c r="D480" s="650" t="s">
        <v>98</v>
      </c>
      <c r="E480" s="390" t="s">
        <v>100</v>
      </c>
      <c r="F480" s="391">
        <f t="shared" ref="F480:M480" si="178">SUM(F481:F485)</f>
        <v>1410163</v>
      </c>
      <c r="G480" s="391">
        <f t="shared" si="178"/>
        <v>80000</v>
      </c>
      <c r="H480" s="391">
        <f t="shared" si="178"/>
        <v>0</v>
      </c>
      <c r="I480" s="391">
        <f t="shared" si="178"/>
        <v>1490163</v>
      </c>
      <c r="J480" s="391">
        <f t="shared" si="178"/>
        <v>1403160.74</v>
      </c>
      <c r="K480" s="391">
        <f t="shared" si="178"/>
        <v>80000</v>
      </c>
      <c r="L480" s="391">
        <f t="shared" si="178"/>
        <v>0</v>
      </c>
      <c r="M480" s="391">
        <f t="shared" si="178"/>
        <v>1483160.74</v>
      </c>
      <c r="N480" s="391">
        <f t="shared" si="167"/>
        <v>7002.2600000000093</v>
      </c>
      <c r="O480" s="391">
        <f t="shared" si="167"/>
        <v>0</v>
      </c>
      <c r="P480" s="391">
        <f t="shared" si="167"/>
        <v>0</v>
      </c>
      <c r="Q480" s="391">
        <f t="shared" si="168"/>
        <v>7002.2600000000093</v>
      </c>
      <c r="R480" s="102"/>
      <c r="S480" s="254">
        <f t="shared" si="175"/>
        <v>0.99503443218975396</v>
      </c>
      <c r="T480" s="254">
        <f t="shared" si="175"/>
        <v>1</v>
      </c>
      <c r="U480" s="254" t="str">
        <f t="shared" si="175"/>
        <v/>
      </c>
      <c r="V480" s="254">
        <f t="shared" si="174"/>
        <v>0.99530101069480315</v>
      </c>
      <c r="W480" s="531"/>
      <c r="Y480" s="272" t="s">
        <v>598</v>
      </c>
      <c r="Z480" s="256" t="s">
        <v>598</v>
      </c>
    </row>
    <row r="481" spans="1:26" ht="11.25" customHeight="1">
      <c r="A481" s="528" t="s">
        <v>613</v>
      </c>
      <c r="B481" s="1013" t="s">
        <v>146</v>
      </c>
      <c r="C481" s="728"/>
      <c r="D481" s="649" t="s">
        <v>288</v>
      </c>
      <c r="E481" s="729" t="s">
        <v>288</v>
      </c>
      <c r="F481" s="103">
        <f>SUM('[3]chd3-SAOB'!AS13)</f>
        <v>0</v>
      </c>
      <c r="G481" s="103">
        <f>SUM('[3]chd3-SAOB'!AS49)</f>
        <v>0</v>
      </c>
      <c r="H481" s="103">
        <f>SUM('[3]chd3-SAOB'!AS142)</f>
        <v>0</v>
      </c>
      <c r="I481" s="103">
        <f>SUM(F481:H481)</f>
        <v>0</v>
      </c>
      <c r="J481" s="103">
        <f>SUM('[3]chd3-SAOB'!AS14)</f>
        <v>0</v>
      </c>
      <c r="K481" s="103">
        <f>SUM('[3]chd3-SAOB'!AS50)</f>
        <v>0</v>
      </c>
      <c r="L481" s="103">
        <f>SUM('[3]chd3-SAOB'!AS143)</f>
        <v>0</v>
      </c>
      <c r="M481" s="103">
        <f>SUM(J481:L481)</f>
        <v>0</v>
      </c>
      <c r="N481" s="103">
        <f t="shared" si="167"/>
        <v>0</v>
      </c>
      <c r="O481" s="103">
        <f t="shared" si="167"/>
        <v>0</v>
      </c>
      <c r="P481" s="103">
        <f t="shared" si="167"/>
        <v>0</v>
      </c>
      <c r="Q481" s="103">
        <f t="shared" si="168"/>
        <v>0</v>
      </c>
      <c r="S481" s="730" t="str">
        <f t="shared" si="175"/>
        <v/>
      </c>
      <c r="T481" s="730" t="str">
        <f t="shared" si="175"/>
        <v/>
      </c>
      <c r="U481" s="730" t="str">
        <f t="shared" si="175"/>
        <v/>
      </c>
      <c r="V481" s="730" t="str">
        <f t="shared" si="174"/>
        <v/>
      </c>
      <c r="W481" s="531"/>
      <c r="X481" s="236"/>
      <c r="Y481" s="236" t="s">
        <v>598</v>
      </c>
      <c r="Z481" s="236"/>
    </row>
    <row r="482" spans="1:26" ht="11.25" customHeight="1">
      <c r="A482" s="528" t="s">
        <v>613</v>
      </c>
      <c r="B482" s="1013" t="s">
        <v>146</v>
      </c>
      <c r="C482" s="728"/>
      <c r="D482" s="649" t="s">
        <v>761</v>
      </c>
      <c r="E482" s="729" t="s">
        <v>761</v>
      </c>
      <c r="F482" s="104">
        <f>+'[3]chd3-SAOB'!AE11</f>
        <v>792500</v>
      </c>
      <c r="G482" s="104"/>
      <c r="H482" s="104"/>
      <c r="I482" s="103">
        <f>SUM(F482:H482)</f>
        <v>792500</v>
      </c>
      <c r="J482" s="104">
        <f>+'[3]chd3-SAOB'!AE14</f>
        <v>785500</v>
      </c>
      <c r="K482" s="104"/>
      <c r="L482" s="104"/>
      <c r="M482" s="103">
        <f>SUM(J482:L482)</f>
        <v>785500</v>
      </c>
      <c r="N482" s="103">
        <f>+F482-J482</f>
        <v>7000</v>
      </c>
      <c r="O482" s="103">
        <f>+G482-K482</f>
        <v>0</v>
      </c>
      <c r="P482" s="103">
        <f>+H482-L482</f>
        <v>0</v>
      </c>
      <c r="Q482" s="103">
        <f>SUM(N482:P482)</f>
        <v>7000</v>
      </c>
      <c r="S482" s="730">
        <f t="shared" si="175"/>
        <v>0.99116719242902207</v>
      </c>
      <c r="T482" s="730" t="str">
        <f t="shared" si="175"/>
        <v/>
      </c>
      <c r="U482" s="730" t="str">
        <f t="shared" si="175"/>
        <v/>
      </c>
      <c r="V482" s="730">
        <f t="shared" si="174"/>
        <v>0.99116719242902207</v>
      </c>
      <c r="W482" s="531"/>
      <c r="X482" s="236"/>
      <c r="Y482" s="236" t="s">
        <v>688</v>
      </c>
      <c r="Z482" s="236"/>
    </row>
    <row r="483" spans="1:26" ht="11.25" customHeight="1">
      <c r="A483" s="528" t="s">
        <v>613</v>
      </c>
      <c r="B483" s="1013" t="s">
        <v>146</v>
      </c>
      <c r="C483" s="410"/>
      <c r="D483" s="651"/>
      <c r="E483" s="728" t="s">
        <v>764</v>
      </c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S483" s="730" t="str">
        <f t="shared" si="175"/>
        <v/>
      </c>
      <c r="T483" s="730" t="str">
        <f t="shared" si="175"/>
        <v/>
      </c>
      <c r="U483" s="730" t="str">
        <f t="shared" si="175"/>
        <v/>
      </c>
      <c r="V483" s="730" t="str">
        <f t="shared" si="174"/>
        <v/>
      </c>
      <c r="W483" s="531"/>
      <c r="X483" s="236"/>
      <c r="Y483" s="236" t="s">
        <v>688</v>
      </c>
      <c r="Z483" s="240"/>
    </row>
    <row r="484" spans="1:26" ht="11.25" customHeight="1">
      <c r="A484" s="528" t="s">
        <v>613</v>
      </c>
      <c r="B484" s="1013" t="s">
        <v>146</v>
      </c>
      <c r="C484" s="728"/>
      <c r="D484" s="649" t="s">
        <v>289</v>
      </c>
      <c r="E484" s="729" t="s">
        <v>289</v>
      </c>
      <c r="F484" s="103">
        <f>SUM('[3]chd3-SAOB'!AZ13)</f>
        <v>617663</v>
      </c>
      <c r="G484" s="103">
        <f>SUM('[3]chd3-SAOB'!AZ49)</f>
        <v>0</v>
      </c>
      <c r="H484" s="103">
        <f>SUM('[3]chd3-SAOB'!AZ142)</f>
        <v>0</v>
      </c>
      <c r="I484" s="103">
        <f>SUM(F484:H484)</f>
        <v>617663</v>
      </c>
      <c r="J484" s="103">
        <f>SUM('[3]chd3-SAOB'!AZ14)</f>
        <v>617660.74</v>
      </c>
      <c r="K484" s="103">
        <f>SUM('[3]chd3-SAOB'!AZ50)</f>
        <v>0</v>
      </c>
      <c r="L484" s="103">
        <f>SUM('[3]chd3-SAOB'!AZ143)</f>
        <v>0</v>
      </c>
      <c r="M484" s="103">
        <f>SUM(J484:L484)</f>
        <v>617660.74</v>
      </c>
      <c r="N484" s="103">
        <f t="shared" si="167"/>
        <v>2.2600000000093132</v>
      </c>
      <c r="O484" s="103">
        <f t="shared" si="167"/>
        <v>0</v>
      </c>
      <c r="P484" s="103">
        <f t="shared" si="167"/>
        <v>0</v>
      </c>
      <c r="Q484" s="103">
        <f t="shared" si="168"/>
        <v>2.2600000000093132</v>
      </c>
      <c r="S484" s="730">
        <f t="shared" si="175"/>
        <v>0.99999634104681678</v>
      </c>
      <c r="T484" s="730" t="str">
        <f t="shared" si="175"/>
        <v/>
      </c>
      <c r="U484" s="730" t="str">
        <f t="shared" si="175"/>
        <v/>
      </c>
      <c r="V484" s="730">
        <f t="shared" si="174"/>
        <v>0.99999634104681678</v>
      </c>
      <c r="W484" s="531"/>
      <c r="X484" s="236"/>
      <c r="Y484" s="236" t="s">
        <v>598</v>
      </c>
      <c r="Z484" s="236"/>
    </row>
    <row r="485" spans="1:26" ht="11.25" customHeight="1">
      <c r="A485" s="528" t="s">
        <v>613</v>
      </c>
      <c r="B485" s="1013" t="s">
        <v>146</v>
      </c>
      <c r="C485" s="728"/>
      <c r="D485" s="649" t="s">
        <v>290</v>
      </c>
      <c r="E485" s="729" t="s">
        <v>290</v>
      </c>
      <c r="F485" s="103">
        <f>SUM('[3]chd3-SAOB'!BG13)</f>
        <v>0</v>
      </c>
      <c r="G485" s="103">
        <f>SUM('[3]chd3-SAOB'!BG49)</f>
        <v>80000</v>
      </c>
      <c r="H485" s="103">
        <f>SUM('[3]chd3-SAOB'!BG142)</f>
        <v>0</v>
      </c>
      <c r="I485" s="103">
        <f>SUM(F485:H485)</f>
        <v>80000</v>
      </c>
      <c r="J485" s="103">
        <f>SUM('[3]chd3-SAOB'!BG14)</f>
        <v>0</v>
      </c>
      <c r="K485" s="103">
        <f>SUM('[3]chd3-SAOB'!BG50)</f>
        <v>80000</v>
      </c>
      <c r="L485" s="103">
        <f>SUM('[3]chd3-SAOB'!BG143)</f>
        <v>0</v>
      </c>
      <c r="M485" s="103">
        <f>SUM(J485:L485)</f>
        <v>80000</v>
      </c>
      <c r="N485" s="103">
        <f t="shared" si="167"/>
        <v>0</v>
      </c>
      <c r="O485" s="103">
        <f t="shared" si="167"/>
        <v>0</v>
      </c>
      <c r="P485" s="103">
        <f t="shared" si="167"/>
        <v>0</v>
      </c>
      <c r="Q485" s="103">
        <f t="shared" si="168"/>
        <v>0</v>
      </c>
      <c r="S485" s="730" t="str">
        <f t="shared" si="175"/>
        <v/>
      </c>
      <c r="T485" s="730">
        <f t="shared" si="175"/>
        <v>1</v>
      </c>
      <c r="U485" s="730" t="str">
        <f t="shared" si="175"/>
        <v/>
      </c>
      <c r="V485" s="730">
        <f t="shared" si="174"/>
        <v>1</v>
      </c>
      <c r="W485" s="531"/>
      <c r="X485" s="236"/>
      <c r="Y485" s="236" t="s">
        <v>598</v>
      </c>
      <c r="Z485" s="236"/>
    </row>
    <row r="486" spans="1:26" s="259" customFormat="1" ht="11.25" customHeight="1">
      <c r="A486" s="246" t="s">
        <v>613</v>
      </c>
      <c r="B486" s="235" t="s">
        <v>146</v>
      </c>
      <c r="C486" s="656"/>
      <c r="D486" s="656"/>
      <c r="E486" s="657" t="s">
        <v>4</v>
      </c>
      <c r="F486" s="652">
        <f>+F476+F478+F480</f>
        <v>24337163</v>
      </c>
      <c r="G486" s="652">
        <f t="shared" ref="G486:M486" si="179">+G476+G478+G480</f>
        <v>46698000</v>
      </c>
      <c r="H486" s="652">
        <f t="shared" si="179"/>
        <v>20000000</v>
      </c>
      <c r="I486" s="652">
        <f t="shared" si="179"/>
        <v>91035163</v>
      </c>
      <c r="J486" s="652">
        <f t="shared" si="179"/>
        <v>22244103.619999997</v>
      </c>
      <c r="K486" s="652">
        <f t="shared" si="179"/>
        <v>35494576.919999994</v>
      </c>
      <c r="L486" s="652">
        <f t="shared" si="179"/>
        <v>17526788.68</v>
      </c>
      <c r="M486" s="652">
        <f t="shared" si="179"/>
        <v>75265469.219999984</v>
      </c>
      <c r="N486" s="652">
        <f t="shared" si="167"/>
        <v>2093059.3800000027</v>
      </c>
      <c r="O486" s="652">
        <f t="shared" si="167"/>
        <v>11203423.080000006</v>
      </c>
      <c r="P486" s="652">
        <f t="shared" si="167"/>
        <v>2473211.3200000003</v>
      </c>
      <c r="Q486" s="652">
        <f t="shared" si="168"/>
        <v>15769693.780000009</v>
      </c>
      <c r="R486" s="653">
        <f>+Q486-'[3]chd3-SAOB'!CM179</f>
        <v>0</v>
      </c>
      <c r="S486" s="1008">
        <f t="shared" si="175"/>
        <v>0.91399739649194101</v>
      </c>
      <c r="T486" s="1008">
        <f t="shared" si="175"/>
        <v>0.76008773223692649</v>
      </c>
      <c r="U486" s="1008">
        <f t="shared" si="175"/>
        <v>0.87633943400000003</v>
      </c>
      <c r="V486" s="1008">
        <f t="shared" si="174"/>
        <v>0.82677359758228786</v>
      </c>
      <c r="W486" s="254"/>
      <c r="X486" s="520"/>
      <c r="Y486" s="610" t="s">
        <v>598</v>
      </c>
      <c r="Z486" s="241" t="s">
        <v>598</v>
      </c>
    </row>
    <row r="487" spans="1:26" ht="11.25" customHeight="1">
      <c r="A487" s="246" t="s">
        <v>613</v>
      </c>
      <c r="B487" s="235" t="s">
        <v>146</v>
      </c>
      <c r="C487" s="410"/>
      <c r="D487" s="386"/>
      <c r="E487" s="461" t="s">
        <v>764</v>
      </c>
      <c r="F487" s="103"/>
      <c r="G487" s="103"/>
      <c r="H487" s="103"/>
      <c r="I487" s="103">
        <f>SUM(F487:H487)</f>
        <v>0</v>
      </c>
      <c r="J487" s="103"/>
      <c r="K487" s="103"/>
      <c r="L487" s="103"/>
      <c r="M487" s="103">
        <f>SUM(J487:L487)</f>
        <v>0</v>
      </c>
      <c r="N487" s="103">
        <f t="shared" si="167"/>
        <v>0</v>
      </c>
      <c r="O487" s="103">
        <f t="shared" si="167"/>
        <v>0</v>
      </c>
      <c r="P487" s="103">
        <f t="shared" si="167"/>
        <v>0</v>
      </c>
      <c r="Q487" s="103">
        <f t="shared" si="168"/>
        <v>0</v>
      </c>
      <c r="S487" s="730" t="str">
        <f t="shared" si="175"/>
        <v/>
      </c>
      <c r="T487" s="730" t="str">
        <f t="shared" si="175"/>
        <v/>
      </c>
      <c r="U487" s="730" t="str">
        <f t="shared" si="175"/>
        <v/>
      </c>
      <c r="V487" s="730" t="str">
        <f t="shared" si="174"/>
        <v/>
      </c>
      <c r="W487" s="254"/>
      <c r="Y487" s="610" t="s">
        <v>598</v>
      </c>
      <c r="Z487" s="241" t="s">
        <v>598</v>
      </c>
    </row>
    <row r="488" spans="1:26" s="675" customFormat="1" ht="11.25" customHeight="1">
      <c r="A488" s="528" t="s">
        <v>613</v>
      </c>
      <c r="B488" s="528" t="s">
        <v>147</v>
      </c>
      <c r="C488" s="407" t="s">
        <v>98</v>
      </c>
      <c r="D488" s="655" t="s">
        <v>148</v>
      </c>
      <c r="E488" s="408" t="s">
        <v>802</v>
      </c>
      <c r="F488" s="673"/>
      <c r="G488" s="673"/>
      <c r="H488" s="673"/>
      <c r="I488" s="674">
        <f>SUM(F488:H488)</f>
        <v>0</v>
      </c>
      <c r="J488" s="673"/>
      <c r="K488" s="673"/>
      <c r="L488" s="673"/>
      <c r="M488" s="674">
        <f>SUM(J488:L488)</f>
        <v>0</v>
      </c>
      <c r="N488" s="674">
        <f t="shared" si="167"/>
        <v>0</v>
      </c>
      <c r="O488" s="674">
        <f t="shared" si="167"/>
        <v>0</v>
      </c>
      <c r="P488" s="674">
        <f t="shared" si="167"/>
        <v>0</v>
      </c>
      <c r="Q488" s="674">
        <f t="shared" si="168"/>
        <v>0</v>
      </c>
      <c r="R488" s="101"/>
      <c r="S488" s="254" t="str">
        <f t="shared" si="175"/>
        <v/>
      </c>
      <c r="T488" s="254" t="str">
        <f t="shared" si="175"/>
        <v/>
      </c>
      <c r="U488" s="254" t="str">
        <f t="shared" si="175"/>
        <v/>
      </c>
      <c r="V488" s="254" t="str">
        <f t="shared" si="174"/>
        <v/>
      </c>
      <c r="W488" s="531"/>
      <c r="Y488" s="272" t="s">
        <v>598</v>
      </c>
      <c r="Z488" s="260" t="s">
        <v>598</v>
      </c>
    </row>
    <row r="489" spans="1:26" ht="11.25" customHeight="1">
      <c r="A489" s="528" t="s">
        <v>613</v>
      </c>
      <c r="B489" s="1013" t="s">
        <v>147</v>
      </c>
      <c r="C489" s="461"/>
      <c r="D489" s="645" t="s">
        <v>766</v>
      </c>
      <c r="E489" s="447" t="s">
        <v>766</v>
      </c>
      <c r="F489" s="104">
        <f>+'[3]chd3-SAOB'!B417</f>
        <v>56602000</v>
      </c>
      <c r="G489" s="104">
        <f>+'[3]chd3-SAOB'!C417</f>
        <v>17387000</v>
      </c>
      <c r="H489" s="104">
        <f>+'[3]chd3-SAOB'!D417</f>
        <v>0</v>
      </c>
      <c r="I489" s="103">
        <f>SUM(F489:H489)</f>
        <v>73989000</v>
      </c>
      <c r="J489" s="104">
        <f>+'[3]chd3-SAOB'!F417</f>
        <v>49974049.61999999</v>
      </c>
      <c r="K489" s="104">
        <f>+'[3]chd3-SAOB'!G417</f>
        <v>13166312.760000002</v>
      </c>
      <c r="L489" s="104">
        <f>+'[3]chd3-SAOB'!H417</f>
        <v>0</v>
      </c>
      <c r="M489" s="103">
        <f>SUM(J489:L489)</f>
        <v>63140362.379999995</v>
      </c>
      <c r="N489" s="103">
        <f t="shared" si="167"/>
        <v>6627950.3800000101</v>
      </c>
      <c r="O489" s="103">
        <f t="shared" si="167"/>
        <v>4220687.2399999984</v>
      </c>
      <c r="P489" s="103">
        <f t="shared" si="167"/>
        <v>0</v>
      </c>
      <c r="Q489" s="103">
        <f t="shared" si="168"/>
        <v>10848637.620000008</v>
      </c>
      <c r="S489" s="730">
        <f t="shared" si="175"/>
        <v>0.88290254089961473</v>
      </c>
      <c r="T489" s="730">
        <f t="shared" si="175"/>
        <v>0.75725040317478587</v>
      </c>
      <c r="U489" s="730" t="str">
        <f t="shared" si="175"/>
        <v/>
      </c>
      <c r="V489" s="730">
        <f t="shared" si="174"/>
        <v>0.85337499330981625</v>
      </c>
      <c r="W489" s="531"/>
      <c r="X489" s="236"/>
      <c r="Y489" s="236" t="s">
        <v>688</v>
      </c>
      <c r="Z489" s="236"/>
    </row>
    <row r="490" spans="1:26" ht="11.25" customHeight="1">
      <c r="A490" s="528" t="s">
        <v>613</v>
      </c>
      <c r="B490" s="1013" t="s">
        <v>147</v>
      </c>
      <c r="C490" s="728"/>
      <c r="D490" s="649" t="s">
        <v>50</v>
      </c>
      <c r="E490" s="447" t="s">
        <v>50</v>
      </c>
      <c r="F490" s="104">
        <f>+'[3]chd3-SAOB'!B419-85410-1210000</f>
        <v>827006</v>
      </c>
      <c r="G490" s="104">
        <f>+'[3]chd3-SAOB'!C419</f>
        <v>13460000</v>
      </c>
      <c r="H490" s="104">
        <f>+'[3]chd3-SAOB'!D419</f>
        <v>0</v>
      </c>
      <c r="I490" s="103">
        <f>SUM(F490:H490)</f>
        <v>14287006</v>
      </c>
      <c r="J490" s="104">
        <f>+'[3]chd3-SAOB'!AF14-J495-J499</f>
        <v>763888.76999999979</v>
      </c>
      <c r="K490" s="104">
        <f>+'[3]chd3-SAOB'!G419</f>
        <v>12620650.439999999</v>
      </c>
      <c r="L490" s="104">
        <f>+'[3]chd3-SAOB'!H419</f>
        <v>0</v>
      </c>
      <c r="M490" s="103">
        <f>SUM(J490:L490)</f>
        <v>13384539.209999999</v>
      </c>
      <c r="N490" s="103">
        <f t="shared" si="167"/>
        <v>63117.230000000214</v>
      </c>
      <c r="O490" s="103">
        <f t="shared" si="167"/>
        <v>839349.56000000052</v>
      </c>
      <c r="P490" s="103">
        <f t="shared" si="167"/>
        <v>0</v>
      </c>
      <c r="Q490" s="103">
        <f t="shared" si="168"/>
        <v>902466.79000000074</v>
      </c>
      <c r="S490" s="730">
        <f t="shared" si="175"/>
        <v>0.92367984029136396</v>
      </c>
      <c r="T490" s="730">
        <f t="shared" si="175"/>
        <v>0.93764119167904902</v>
      </c>
      <c r="U490" s="730" t="str">
        <f t="shared" si="175"/>
        <v/>
      </c>
      <c r="V490" s="730">
        <f t="shared" si="174"/>
        <v>0.93683303625686154</v>
      </c>
      <c r="W490" s="531"/>
      <c r="X490" s="236"/>
      <c r="Y490" s="236" t="s">
        <v>688</v>
      </c>
      <c r="Z490" s="236"/>
    </row>
    <row r="491" spans="1:26" s="256" customFormat="1" ht="11.25" customHeight="1">
      <c r="A491" s="528" t="s">
        <v>613</v>
      </c>
      <c r="B491" s="528" t="s">
        <v>147</v>
      </c>
      <c r="C491" s="389"/>
      <c r="D491" s="650" t="s">
        <v>98</v>
      </c>
      <c r="E491" s="390" t="s">
        <v>767</v>
      </c>
      <c r="F491" s="391">
        <f>+F489+F490</f>
        <v>57429006</v>
      </c>
      <c r="G491" s="391">
        <f t="shared" ref="G491:M491" si="180">+G489+G490</f>
        <v>30847000</v>
      </c>
      <c r="H491" s="391">
        <f t="shared" si="180"/>
        <v>0</v>
      </c>
      <c r="I491" s="391">
        <f t="shared" si="180"/>
        <v>88276006</v>
      </c>
      <c r="J491" s="391">
        <f t="shared" si="180"/>
        <v>50737938.389999993</v>
      </c>
      <c r="K491" s="391">
        <f t="shared" si="180"/>
        <v>25786963.200000003</v>
      </c>
      <c r="L491" s="391">
        <f t="shared" si="180"/>
        <v>0</v>
      </c>
      <c r="M491" s="391">
        <f t="shared" si="180"/>
        <v>76524901.589999989</v>
      </c>
      <c r="N491" s="391">
        <f t="shared" si="167"/>
        <v>6691067.6100000069</v>
      </c>
      <c r="O491" s="391">
        <f t="shared" si="167"/>
        <v>5060036.799999997</v>
      </c>
      <c r="P491" s="391">
        <f t="shared" si="167"/>
        <v>0</v>
      </c>
      <c r="Q491" s="391">
        <f t="shared" si="168"/>
        <v>11751104.410000004</v>
      </c>
      <c r="R491" s="101"/>
      <c r="S491" s="254">
        <f t="shared" si="175"/>
        <v>0.88348975411484565</v>
      </c>
      <c r="T491" s="254">
        <f t="shared" si="175"/>
        <v>0.83596340649009637</v>
      </c>
      <c r="U491" s="254" t="str">
        <f t="shared" si="175"/>
        <v/>
      </c>
      <c r="V491" s="254">
        <f t="shared" si="174"/>
        <v>0.86688223739982062</v>
      </c>
      <c r="W491" s="531"/>
      <c r="Y491" s="256" t="s">
        <v>598</v>
      </c>
      <c r="Z491" s="256" t="s">
        <v>598</v>
      </c>
    </row>
    <row r="492" spans="1:26" ht="11.25" hidden="1" customHeight="1">
      <c r="A492" s="528" t="s">
        <v>613</v>
      </c>
      <c r="B492" s="1013" t="s">
        <v>147</v>
      </c>
      <c r="C492" s="410"/>
      <c r="D492" s="651"/>
      <c r="E492" s="806" t="s">
        <v>764</v>
      </c>
      <c r="F492" s="807"/>
      <c r="G492" s="807"/>
      <c r="H492" s="807"/>
      <c r="I492" s="807"/>
      <c r="J492" s="807"/>
      <c r="K492" s="807"/>
      <c r="L492" s="807"/>
      <c r="M492" s="807"/>
      <c r="N492" s="807">
        <f t="shared" si="167"/>
        <v>0</v>
      </c>
      <c r="O492" s="807">
        <f t="shared" si="167"/>
        <v>0</v>
      </c>
      <c r="P492" s="807">
        <f t="shared" si="167"/>
        <v>0</v>
      </c>
      <c r="Q492" s="807">
        <f t="shared" si="168"/>
        <v>0</v>
      </c>
      <c r="R492" s="276"/>
      <c r="S492" s="730" t="str">
        <f t="shared" si="175"/>
        <v/>
      </c>
      <c r="T492" s="730" t="str">
        <f t="shared" si="175"/>
        <v/>
      </c>
      <c r="U492" s="730" t="str">
        <f t="shared" si="175"/>
        <v/>
      </c>
      <c r="V492" s="730" t="str">
        <f t="shared" si="174"/>
        <v/>
      </c>
      <c r="W492" s="531"/>
      <c r="X492" s="236"/>
      <c r="Y492" s="236"/>
      <c r="Z492" s="236"/>
    </row>
    <row r="493" spans="1:26" s="256" customFormat="1" ht="11.25" customHeight="1">
      <c r="A493" s="528" t="s">
        <v>613</v>
      </c>
      <c r="B493" s="528" t="s">
        <v>147</v>
      </c>
      <c r="C493" s="389"/>
      <c r="D493" s="650" t="s">
        <v>98</v>
      </c>
      <c r="E493" s="390" t="s">
        <v>99</v>
      </c>
      <c r="F493" s="391">
        <f>+F494+F495</f>
        <v>5268410</v>
      </c>
      <c r="G493" s="391">
        <f t="shared" ref="G493:M493" si="181">+G494+G495</f>
        <v>0</v>
      </c>
      <c r="H493" s="391">
        <f t="shared" si="181"/>
        <v>0</v>
      </c>
      <c r="I493" s="391">
        <f t="shared" si="181"/>
        <v>5268410</v>
      </c>
      <c r="J493" s="391">
        <f t="shared" si="181"/>
        <v>4663342.75</v>
      </c>
      <c r="K493" s="391">
        <f t="shared" si="181"/>
        <v>0</v>
      </c>
      <c r="L493" s="391">
        <f t="shared" si="181"/>
        <v>0</v>
      </c>
      <c r="M493" s="391">
        <f t="shared" si="181"/>
        <v>4663342.75</v>
      </c>
      <c r="N493" s="391">
        <f t="shared" si="167"/>
        <v>605067.25</v>
      </c>
      <c r="O493" s="391">
        <f t="shared" si="167"/>
        <v>0</v>
      </c>
      <c r="P493" s="391">
        <f t="shared" si="167"/>
        <v>0</v>
      </c>
      <c r="Q493" s="391">
        <f t="shared" si="168"/>
        <v>605067.25</v>
      </c>
      <c r="R493" s="101"/>
      <c r="S493" s="254">
        <f t="shared" si="175"/>
        <v>0.88515182948935256</v>
      </c>
      <c r="T493" s="254" t="str">
        <f t="shared" si="175"/>
        <v/>
      </c>
      <c r="U493" s="254" t="str">
        <f t="shared" si="175"/>
        <v/>
      </c>
      <c r="V493" s="254">
        <f t="shared" si="174"/>
        <v>0.88515182948935256</v>
      </c>
      <c r="W493" s="531"/>
      <c r="Y493" s="256" t="s">
        <v>598</v>
      </c>
      <c r="Z493" s="256" t="s">
        <v>598</v>
      </c>
    </row>
    <row r="494" spans="1:26" ht="11.25" customHeight="1">
      <c r="A494" s="528" t="s">
        <v>613</v>
      </c>
      <c r="B494" s="1013" t="s">
        <v>147</v>
      </c>
      <c r="C494" s="728"/>
      <c r="D494" s="649" t="s">
        <v>286</v>
      </c>
      <c r="E494" s="729" t="s">
        <v>286</v>
      </c>
      <c r="F494" s="103">
        <f>SUM('[3]chd3-SAOB'!AM13)</f>
        <v>5183000</v>
      </c>
      <c r="G494" s="103">
        <f>SUM('[3]chd3-SAOB'!AM49)</f>
        <v>0</v>
      </c>
      <c r="H494" s="103">
        <f>SUM('[3]chd3-SAOB'!AM142)</f>
        <v>0</v>
      </c>
      <c r="I494" s="103">
        <f>SUM(F494:H494)</f>
        <v>5183000</v>
      </c>
      <c r="J494" s="103">
        <f>SUM('[3]chd3-SAOB'!AM14)</f>
        <v>4585050.91</v>
      </c>
      <c r="K494" s="103">
        <f>SUM('[3]chd3-SAOB'!AM50)</f>
        <v>0</v>
      </c>
      <c r="L494" s="103">
        <f>SUM('[3]chd3-SAOB'!AM143)</f>
        <v>0</v>
      </c>
      <c r="M494" s="103">
        <f>SUM(J494:L494)</f>
        <v>4585050.91</v>
      </c>
      <c r="N494" s="103">
        <f t="shared" si="167"/>
        <v>597949.08999999985</v>
      </c>
      <c r="O494" s="103">
        <f t="shared" si="167"/>
        <v>0</v>
      </c>
      <c r="P494" s="103">
        <f t="shared" si="167"/>
        <v>0</v>
      </c>
      <c r="Q494" s="103">
        <f t="shared" si="168"/>
        <v>597949.08999999985</v>
      </c>
      <c r="S494" s="730">
        <f t="shared" si="175"/>
        <v>0.88463262782172492</v>
      </c>
      <c r="T494" s="730" t="str">
        <f t="shared" si="175"/>
        <v/>
      </c>
      <c r="U494" s="730" t="str">
        <f t="shared" si="175"/>
        <v/>
      </c>
      <c r="V494" s="730">
        <f t="shared" si="174"/>
        <v>0.88463262782172492</v>
      </c>
      <c r="W494" s="531"/>
      <c r="X494" s="236"/>
      <c r="Y494" s="236" t="s">
        <v>598</v>
      </c>
      <c r="Z494" s="236"/>
    </row>
    <row r="495" spans="1:26" ht="11.25" customHeight="1">
      <c r="A495" s="528" t="s">
        <v>613</v>
      </c>
      <c r="B495" s="1013" t="s">
        <v>147</v>
      </c>
      <c r="C495" s="411"/>
      <c r="D495" s="647" t="s">
        <v>98</v>
      </c>
      <c r="E495" s="447" t="s">
        <v>760</v>
      </c>
      <c r="F495" s="104">
        <v>85410</v>
      </c>
      <c r="G495" s="104"/>
      <c r="H495" s="104">
        <f>+'[3]chd3-SAOB'!D424</f>
        <v>0</v>
      </c>
      <c r="I495" s="103">
        <f>SUM(F495:H495)</f>
        <v>85410</v>
      </c>
      <c r="J495" s="104">
        <f>+'[3]chd3-SAOB'!AF36</f>
        <v>78291.839999999997</v>
      </c>
      <c r="K495" s="104"/>
      <c r="L495" s="104"/>
      <c r="M495" s="103">
        <f>SUM(J495:L495)</f>
        <v>78291.839999999997</v>
      </c>
      <c r="N495" s="103">
        <f t="shared" si="167"/>
        <v>7118.1600000000035</v>
      </c>
      <c r="O495" s="103">
        <f t="shared" si="167"/>
        <v>0</v>
      </c>
      <c r="P495" s="103">
        <f t="shared" si="167"/>
        <v>0</v>
      </c>
      <c r="Q495" s="103">
        <f t="shared" si="168"/>
        <v>7118.1600000000035</v>
      </c>
      <c r="S495" s="730">
        <f t="shared" si="175"/>
        <v>0.91665893923428166</v>
      </c>
      <c r="T495" s="730" t="str">
        <f t="shared" si="175"/>
        <v/>
      </c>
      <c r="U495" s="730" t="str">
        <f t="shared" si="175"/>
        <v/>
      </c>
      <c r="V495" s="730">
        <f t="shared" si="174"/>
        <v>0.91665893923428166</v>
      </c>
      <c r="W495" s="531"/>
      <c r="X495" s="236"/>
      <c r="Y495" s="236" t="s">
        <v>688</v>
      </c>
      <c r="Z495" s="236"/>
    </row>
    <row r="496" spans="1:26" ht="11.25" customHeight="1">
      <c r="A496" s="528" t="s">
        <v>613</v>
      </c>
      <c r="B496" s="1013" t="s">
        <v>147</v>
      </c>
      <c r="C496" s="410"/>
      <c r="D496" s="651"/>
      <c r="E496" s="1014" t="s">
        <v>764</v>
      </c>
      <c r="F496" s="103"/>
      <c r="G496" s="103"/>
      <c r="H496" s="103"/>
      <c r="I496" s="103"/>
      <c r="J496" s="103"/>
      <c r="K496" s="103"/>
      <c r="L496" s="103"/>
      <c r="M496" s="103"/>
      <c r="N496" s="103">
        <f t="shared" si="167"/>
        <v>0</v>
      </c>
      <c r="O496" s="103">
        <f t="shared" si="167"/>
        <v>0</v>
      </c>
      <c r="P496" s="103">
        <f t="shared" si="167"/>
        <v>0</v>
      </c>
      <c r="Q496" s="103">
        <f t="shared" si="168"/>
        <v>0</v>
      </c>
      <c r="S496" s="730" t="str">
        <f t="shared" si="175"/>
        <v/>
      </c>
      <c r="T496" s="730" t="str">
        <f t="shared" si="175"/>
        <v/>
      </c>
      <c r="U496" s="730" t="str">
        <f t="shared" si="175"/>
        <v/>
      </c>
      <c r="V496" s="730" t="str">
        <f t="shared" si="174"/>
        <v/>
      </c>
      <c r="W496" s="531"/>
      <c r="X496" s="236"/>
      <c r="Y496" s="236" t="s">
        <v>688</v>
      </c>
      <c r="Z496" s="240"/>
    </row>
    <row r="497" spans="1:26" s="272" customFormat="1" ht="11.25" customHeight="1">
      <c r="A497" s="528" t="s">
        <v>613</v>
      </c>
      <c r="B497" s="528" t="s">
        <v>147</v>
      </c>
      <c r="C497" s="389"/>
      <c r="D497" s="650" t="s">
        <v>98</v>
      </c>
      <c r="E497" s="390" t="s">
        <v>100</v>
      </c>
      <c r="F497" s="391">
        <f t="shared" ref="F497:M497" si="182">SUM(F498:F502)</f>
        <v>3331873</v>
      </c>
      <c r="G497" s="391">
        <f t="shared" si="182"/>
        <v>4150000</v>
      </c>
      <c r="H497" s="391">
        <f t="shared" si="182"/>
        <v>0</v>
      </c>
      <c r="I497" s="391">
        <f t="shared" si="182"/>
        <v>7481873</v>
      </c>
      <c r="J497" s="391">
        <f t="shared" si="182"/>
        <v>3318222.27</v>
      </c>
      <c r="K497" s="391">
        <f t="shared" si="182"/>
        <v>3300000</v>
      </c>
      <c r="L497" s="391">
        <f t="shared" si="182"/>
        <v>0</v>
      </c>
      <c r="M497" s="391">
        <f t="shared" si="182"/>
        <v>6618222.2699999996</v>
      </c>
      <c r="N497" s="391">
        <f t="shared" si="167"/>
        <v>13650.729999999981</v>
      </c>
      <c r="O497" s="391">
        <f t="shared" si="167"/>
        <v>850000</v>
      </c>
      <c r="P497" s="391">
        <f t="shared" si="167"/>
        <v>0</v>
      </c>
      <c r="Q497" s="391">
        <f t="shared" si="168"/>
        <v>863650.73</v>
      </c>
      <c r="R497" s="102"/>
      <c r="S497" s="254">
        <f t="shared" si="175"/>
        <v>0.9959029860982096</v>
      </c>
      <c r="T497" s="254">
        <f t="shared" si="175"/>
        <v>0.79518072289156627</v>
      </c>
      <c r="U497" s="254" t="str">
        <f t="shared" si="175"/>
        <v/>
      </c>
      <c r="V497" s="254">
        <f t="shared" si="174"/>
        <v>0.88456757686210385</v>
      </c>
      <c r="W497" s="531"/>
      <c r="Y497" s="272" t="s">
        <v>598</v>
      </c>
      <c r="Z497" s="256" t="s">
        <v>598</v>
      </c>
    </row>
    <row r="498" spans="1:26" ht="11.25" customHeight="1">
      <c r="A498" s="528" t="s">
        <v>613</v>
      </c>
      <c r="B498" s="1013" t="s">
        <v>147</v>
      </c>
      <c r="C498" s="728"/>
      <c r="D498" s="649" t="s">
        <v>288</v>
      </c>
      <c r="E498" s="729" t="s">
        <v>288</v>
      </c>
      <c r="F498" s="103">
        <f>SUM('[3]chd3-SAOB'!AT13)</f>
        <v>0</v>
      </c>
      <c r="G498" s="103">
        <f>SUM('[3]chd3-SAOB'!AT49)</f>
        <v>0</v>
      </c>
      <c r="H498" s="103">
        <f>SUM('[3]chd3-SAOB'!AT142)</f>
        <v>0</v>
      </c>
      <c r="I498" s="103">
        <f>SUM(F498:H498)</f>
        <v>0</v>
      </c>
      <c r="J498" s="103">
        <f>SUM('[3]chd3-SAOB'!AT14)</f>
        <v>0</v>
      </c>
      <c r="K498" s="103">
        <f>SUM('[3]chd3-SAOB'!AT50)</f>
        <v>0</v>
      </c>
      <c r="L498" s="103">
        <f>SUM('[3]chd3-SAOB'!AT143)</f>
        <v>0</v>
      </c>
      <c r="M498" s="103">
        <f>SUM(J498:L498)</f>
        <v>0</v>
      </c>
      <c r="N498" s="103">
        <f t="shared" si="167"/>
        <v>0</v>
      </c>
      <c r="O498" s="103">
        <f t="shared" si="167"/>
        <v>0</v>
      </c>
      <c r="P498" s="103">
        <f t="shared" si="167"/>
        <v>0</v>
      </c>
      <c r="Q498" s="103">
        <f t="shared" si="168"/>
        <v>0</v>
      </c>
      <c r="S498" s="730" t="str">
        <f t="shared" si="175"/>
        <v/>
      </c>
      <c r="T498" s="730" t="str">
        <f t="shared" si="175"/>
        <v/>
      </c>
      <c r="U498" s="730" t="str">
        <f t="shared" si="175"/>
        <v/>
      </c>
      <c r="V498" s="730" t="str">
        <f t="shared" si="174"/>
        <v/>
      </c>
      <c r="W498" s="531"/>
      <c r="X498" s="236"/>
      <c r="Y498" s="236" t="s">
        <v>598</v>
      </c>
      <c r="Z498" s="236"/>
    </row>
    <row r="499" spans="1:26" ht="11.25" customHeight="1">
      <c r="A499" s="528" t="s">
        <v>613</v>
      </c>
      <c r="B499" s="1013" t="s">
        <v>147</v>
      </c>
      <c r="C499" s="728"/>
      <c r="D499" s="649" t="s">
        <v>761</v>
      </c>
      <c r="E499" s="729" t="s">
        <v>761</v>
      </c>
      <c r="F499" s="104">
        <v>1210000</v>
      </c>
      <c r="G499" s="104">
        <f>+'[3]chd3-SAOB'!C428</f>
        <v>0</v>
      </c>
      <c r="H499" s="104">
        <f>+'[3]chd3-SAOB'!D428</f>
        <v>0</v>
      </c>
      <c r="I499" s="103">
        <f>SUM(F499:H499)</f>
        <v>1210000</v>
      </c>
      <c r="J499" s="104">
        <f>+'[3]chd3-SAOB'!AF43</f>
        <v>1196350</v>
      </c>
      <c r="K499" s="104"/>
      <c r="L499" s="104"/>
      <c r="M499" s="103">
        <f>SUM(J499:L499)</f>
        <v>1196350</v>
      </c>
      <c r="N499" s="103">
        <f t="shared" si="167"/>
        <v>13650</v>
      </c>
      <c r="O499" s="103">
        <f t="shared" si="167"/>
        <v>0</v>
      </c>
      <c r="P499" s="103">
        <f t="shared" si="167"/>
        <v>0</v>
      </c>
      <c r="Q499" s="103">
        <f t="shared" si="168"/>
        <v>13650</v>
      </c>
      <c r="S499" s="730">
        <f t="shared" si="175"/>
        <v>0.9887190082644628</v>
      </c>
      <c r="T499" s="730" t="str">
        <f t="shared" si="175"/>
        <v/>
      </c>
      <c r="U499" s="730" t="str">
        <f t="shared" si="175"/>
        <v/>
      </c>
      <c r="V499" s="730">
        <f t="shared" si="174"/>
        <v>0.9887190082644628</v>
      </c>
      <c r="W499" s="531"/>
      <c r="X499" s="236"/>
      <c r="Y499" s="236" t="s">
        <v>688</v>
      </c>
      <c r="Z499" s="236"/>
    </row>
    <row r="500" spans="1:26" ht="11.25" hidden="1" customHeight="1">
      <c r="A500" s="528" t="s">
        <v>613</v>
      </c>
      <c r="B500" s="1013" t="s">
        <v>147</v>
      </c>
      <c r="C500" s="410"/>
      <c r="D500" s="651"/>
      <c r="E500" s="728" t="s">
        <v>764</v>
      </c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236"/>
      <c r="S500" s="730" t="str">
        <f t="shared" si="175"/>
        <v/>
      </c>
      <c r="T500" s="730" t="str">
        <f t="shared" si="175"/>
        <v/>
      </c>
      <c r="U500" s="730" t="str">
        <f t="shared" si="175"/>
        <v/>
      </c>
      <c r="V500" s="730" t="str">
        <f t="shared" si="174"/>
        <v/>
      </c>
      <c r="W500" s="531"/>
      <c r="X500" s="236"/>
      <c r="Y500" s="236"/>
      <c r="Z500" s="236"/>
    </row>
    <row r="501" spans="1:26" ht="11.25" customHeight="1">
      <c r="A501" s="528" t="s">
        <v>613</v>
      </c>
      <c r="B501" s="1013" t="s">
        <v>147</v>
      </c>
      <c r="C501" s="728"/>
      <c r="D501" s="649" t="s">
        <v>289</v>
      </c>
      <c r="E501" s="729" t="s">
        <v>289</v>
      </c>
      <c r="F501" s="103">
        <f>SUM('[3]chd3-SAOB'!BA13)</f>
        <v>2121873</v>
      </c>
      <c r="G501" s="103">
        <f>SUM('[3]chd3-SAOB'!BA49)</f>
        <v>0</v>
      </c>
      <c r="H501" s="103">
        <f>SUM('[3]chd3-SAOB'!BA142)</f>
        <v>0</v>
      </c>
      <c r="I501" s="103">
        <f>SUM(F501:H501)</f>
        <v>2121873</v>
      </c>
      <c r="J501" s="103">
        <f>SUM('[3]chd3-SAOB'!BA14)</f>
        <v>2121872.27</v>
      </c>
      <c r="K501" s="103">
        <f>SUM('[3]chd3-SAOB'!BA50)</f>
        <v>0</v>
      </c>
      <c r="L501" s="103">
        <f>SUM('[3]chd3-SAOB'!BA143)</f>
        <v>0</v>
      </c>
      <c r="M501" s="103">
        <f>SUM(J501:L501)</f>
        <v>2121872.27</v>
      </c>
      <c r="N501" s="103">
        <f t="shared" si="167"/>
        <v>0.72999999998137355</v>
      </c>
      <c r="O501" s="103">
        <f t="shared" si="167"/>
        <v>0</v>
      </c>
      <c r="P501" s="103">
        <f t="shared" si="167"/>
        <v>0</v>
      </c>
      <c r="Q501" s="103">
        <f t="shared" si="168"/>
        <v>0.72999999998137355</v>
      </c>
      <c r="S501" s="730">
        <f t="shared" si="175"/>
        <v>0.9999996559643296</v>
      </c>
      <c r="T501" s="730" t="str">
        <f t="shared" si="175"/>
        <v/>
      </c>
      <c r="U501" s="730" t="str">
        <f t="shared" si="175"/>
        <v/>
      </c>
      <c r="V501" s="730">
        <f t="shared" si="174"/>
        <v>0.9999996559643296</v>
      </c>
      <c r="W501" s="531"/>
      <c r="X501" s="236"/>
      <c r="Y501" s="236" t="s">
        <v>598</v>
      </c>
      <c r="Z501" s="236"/>
    </row>
    <row r="502" spans="1:26" ht="11.25" customHeight="1">
      <c r="A502" s="528" t="s">
        <v>613</v>
      </c>
      <c r="B502" s="1013" t="s">
        <v>147</v>
      </c>
      <c r="C502" s="728"/>
      <c r="D502" s="649" t="s">
        <v>290</v>
      </c>
      <c r="E502" s="729" t="s">
        <v>290</v>
      </c>
      <c r="F502" s="103">
        <f>SUM('[3]chd3-SAOB'!BH13)</f>
        <v>0</v>
      </c>
      <c r="G502" s="103">
        <f>SUM('[3]chd3-SAOB'!BH49)</f>
        <v>4150000</v>
      </c>
      <c r="H502" s="103">
        <f>SUM('[3]chd3-SAOB'!BH142)</f>
        <v>0</v>
      </c>
      <c r="I502" s="103">
        <f>SUM(F502:H502)</f>
        <v>4150000</v>
      </c>
      <c r="J502" s="103">
        <f>SUM('[3]chd3-SAOB'!BH14)</f>
        <v>0</v>
      </c>
      <c r="K502" s="103">
        <f>SUM('[3]chd3-SAOB'!BH50)</f>
        <v>3300000</v>
      </c>
      <c r="L502" s="103">
        <f>SUM('[3]chd3-SAOB'!BH143)</f>
        <v>0</v>
      </c>
      <c r="M502" s="103">
        <f>SUM(J502:L502)</f>
        <v>3300000</v>
      </c>
      <c r="N502" s="103">
        <f t="shared" si="167"/>
        <v>0</v>
      </c>
      <c r="O502" s="103">
        <f t="shared" si="167"/>
        <v>850000</v>
      </c>
      <c r="P502" s="103">
        <f t="shared" si="167"/>
        <v>0</v>
      </c>
      <c r="Q502" s="103">
        <f t="shared" si="168"/>
        <v>850000</v>
      </c>
      <c r="S502" s="730" t="str">
        <f t="shared" si="175"/>
        <v/>
      </c>
      <c r="T502" s="730">
        <f t="shared" si="175"/>
        <v>0.79518072289156627</v>
      </c>
      <c r="U502" s="730" t="str">
        <f t="shared" si="175"/>
        <v/>
      </c>
      <c r="V502" s="730">
        <f t="shared" si="174"/>
        <v>0.79518072289156627</v>
      </c>
      <c r="W502" s="531"/>
      <c r="X502" s="236"/>
      <c r="Y502" s="236" t="s">
        <v>598</v>
      </c>
      <c r="Z502" s="236"/>
    </row>
    <row r="503" spans="1:26" s="259" customFormat="1" ht="11.25" customHeight="1">
      <c r="A503" s="246" t="s">
        <v>613</v>
      </c>
      <c r="B503" s="235" t="s">
        <v>147</v>
      </c>
      <c r="C503" s="656"/>
      <c r="D503" s="656"/>
      <c r="E503" s="657" t="s">
        <v>4</v>
      </c>
      <c r="F503" s="652">
        <f>+F491+F493+F497</f>
        <v>66029289</v>
      </c>
      <c r="G503" s="652">
        <f t="shared" ref="G503:M503" si="183">+G491+G493+G497</f>
        <v>34997000</v>
      </c>
      <c r="H503" s="652">
        <f t="shared" si="183"/>
        <v>0</v>
      </c>
      <c r="I503" s="652">
        <f t="shared" si="183"/>
        <v>101026289</v>
      </c>
      <c r="J503" s="652">
        <f t="shared" si="183"/>
        <v>58719503.409999996</v>
      </c>
      <c r="K503" s="652">
        <f t="shared" si="183"/>
        <v>29086963.200000003</v>
      </c>
      <c r="L503" s="652">
        <f t="shared" si="183"/>
        <v>0</v>
      </c>
      <c r="M503" s="652">
        <f t="shared" si="183"/>
        <v>87806466.609999985</v>
      </c>
      <c r="N503" s="652">
        <f t="shared" si="167"/>
        <v>7309785.5900000036</v>
      </c>
      <c r="O503" s="652">
        <f t="shared" si="167"/>
        <v>5910036.799999997</v>
      </c>
      <c r="P503" s="652">
        <f t="shared" si="167"/>
        <v>0</v>
      </c>
      <c r="Q503" s="652">
        <f t="shared" si="168"/>
        <v>13219822.390000001</v>
      </c>
      <c r="R503" s="653">
        <f>+Q503-'[3]chd3-SAOB'!CN179</f>
        <v>0</v>
      </c>
      <c r="S503" s="1008">
        <f t="shared" si="175"/>
        <v>0.88929480082694812</v>
      </c>
      <c r="T503" s="1008">
        <f t="shared" si="175"/>
        <v>0.83112733091407842</v>
      </c>
      <c r="U503" s="1008" t="str">
        <f t="shared" si="175"/>
        <v/>
      </c>
      <c r="V503" s="1008">
        <f t="shared" si="174"/>
        <v>0.8691447293486152</v>
      </c>
      <c r="W503" s="254"/>
      <c r="X503" s="520"/>
      <c r="Y503" s="610" t="s">
        <v>598</v>
      </c>
      <c r="Z503" s="241" t="s">
        <v>598</v>
      </c>
    </row>
    <row r="504" spans="1:26" s="660" customFormat="1" ht="18.75" hidden="1" customHeight="1">
      <c r="A504" s="246" t="s">
        <v>613</v>
      </c>
      <c r="B504" s="1009" t="s">
        <v>614</v>
      </c>
      <c r="C504" s="1428" t="s">
        <v>612</v>
      </c>
      <c r="D504" s="1429"/>
      <c r="E504" s="1430"/>
      <c r="F504" s="659">
        <f>+F440+F455+F471+F486+F503</f>
        <v>408426520</v>
      </c>
      <c r="G504" s="659">
        <f>+G440+G455+G471+G486+G503</f>
        <v>247472000</v>
      </c>
      <c r="H504" s="659">
        <f>+H440+H455+H471+H486+H503</f>
        <v>324292000</v>
      </c>
      <c r="I504" s="659">
        <f>SUM(F504:H504)</f>
        <v>980190520</v>
      </c>
      <c r="J504" s="659">
        <f>+J440+J455+J471+J486+J503</f>
        <v>365037761.83000004</v>
      </c>
      <c r="K504" s="659">
        <f>+K440+K455+K471+K486+K503</f>
        <v>186957422.79000002</v>
      </c>
      <c r="L504" s="659">
        <f>+L440+L455+L471+L486+L503</f>
        <v>315798699.86000001</v>
      </c>
      <c r="M504" s="659">
        <f>SUM(J504:L504)</f>
        <v>867793884.48000014</v>
      </c>
      <c r="N504" s="659">
        <f t="shared" si="167"/>
        <v>43388758.169999957</v>
      </c>
      <c r="O504" s="659">
        <f t="shared" si="167"/>
        <v>60514577.209999979</v>
      </c>
      <c r="P504" s="659">
        <f t="shared" si="167"/>
        <v>8493300.1399999857</v>
      </c>
      <c r="Q504" s="659">
        <f t="shared" si="168"/>
        <v>112396635.51999992</v>
      </c>
      <c r="R504" s="678"/>
      <c r="S504" s="1015">
        <f t="shared" si="175"/>
        <v>0.89376606061232278</v>
      </c>
      <c r="T504" s="1015">
        <f t="shared" si="175"/>
        <v>0.75546899362352116</v>
      </c>
      <c r="U504" s="1015">
        <f t="shared" si="175"/>
        <v>0.97380971426985563</v>
      </c>
      <c r="V504" s="1015">
        <f t="shared" si="174"/>
        <v>0.88533184801664899</v>
      </c>
      <c r="W504" s="254"/>
    </row>
    <row r="505" spans="1:26" ht="11.25" hidden="1" customHeight="1">
      <c r="A505" s="246" t="s">
        <v>613</v>
      </c>
      <c r="B505" s="235" t="s">
        <v>614</v>
      </c>
      <c r="C505" s="410"/>
      <c r="D505" s="386"/>
      <c r="E505" s="461"/>
      <c r="F505" s="104"/>
      <c r="G505" s="104"/>
      <c r="H505" s="104"/>
      <c r="I505" s="103">
        <f>SUM(F505:H505)</f>
        <v>0</v>
      </c>
      <c r="J505" s="104"/>
      <c r="K505" s="104"/>
      <c r="L505" s="104"/>
      <c r="M505" s="103">
        <f>SUM(J505:L505)</f>
        <v>0</v>
      </c>
      <c r="N505" s="103">
        <f t="shared" si="167"/>
        <v>0</v>
      </c>
      <c r="O505" s="103">
        <f t="shared" si="167"/>
        <v>0</v>
      </c>
      <c r="P505" s="103">
        <f t="shared" si="167"/>
        <v>0</v>
      </c>
      <c r="Q505" s="103">
        <f t="shared" si="168"/>
        <v>0</v>
      </c>
      <c r="R505" s="236"/>
      <c r="S505" s="730" t="str">
        <f t="shared" si="175"/>
        <v/>
      </c>
      <c r="T505" s="730" t="str">
        <f t="shared" si="175"/>
        <v/>
      </c>
      <c r="U505" s="730" t="str">
        <f t="shared" si="175"/>
        <v/>
      </c>
      <c r="V505" s="730" t="str">
        <f t="shared" si="174"/>
        <v/>
      </c>
      <c r="W505" s="254"/>
      <c r="X505" s="520" t="s">
        <v>598</v>
      </c>
      <c r="Z505" s="241"/>
    </row>
    <row r="506" spans="1:26" s="275" customFormat="1" ht="11.25" hidden="1" customHeight="1">
      <c r="A506" s="246" t="s">
        <v>613</v>
      </c>
      <c r="B506" s="246" t="s">
        <v>614</v>
      </c>
      <c r="C506" s="407" t="s">
        <v>803</v>
      </c>
      <c r="D506" s="407"/>
      <c r="E506" s="408"/>
      <c r="F506" s="409"/>
      <c r="G506" s="409"/>
      <c r="H506" s="409"/>
      <c r="I506" s="409">
        <f>SUM(F506:H506)</f>
        <v>0</v>
      </c>
      <c r="J506" s="409"/>
      <c r="K506" s="409"/>
      <c r="L506" s="409"/>
      <c r="M506" s="409">
        <f>SUM(J506:L506)</f>
        <v>0</v>
      </c>
      <c r="N506" s="409">
        <f t="shared" si="167"/>
        <v>0</v>
      </c>
      <c r="O506" s="409">
        <f t="shared" si="167"/>
        <v>0</v>
      </c>
      <c r="P506" s="409">
        <f t="shared" si="167"/>
        <v>0</v>
      </c>
      <c r="Q506" s="409">
        <f t="shared" si="168"/>
        <v>0</v>
      </c>
      <c r="R506" s="522"/>
      <c r="S506" s="254" t="str">
        <f t="shared" si="175"/>
        <v/>
      </c>
      <c r="T506" s="254" t="str">
        <f t="shared" si="175"/>
        <v/>
      </c>
      <c r="U506" s="254" t="str">
        <f t="shared" si="175"/>
        <v/>
      </c>
      <c r="V506" s="1002" t="str">
        <f t="shared" si="174"/>
        <v/>
      </c>
      <c r="W506" s="254"/>
      <c r="X506" s="274" t="s">
        <v>598</v>
      </c>
      <c r="Y506" s="663"/>
      <c r="Z506" s="253"/>
    </row>
    <row r="507" spans="1:26" ht="11.25" hidden="1" customHeight="1">
      <c r="A507" s="246" t="s">
        <v>613</v>
      </c>
      <c r="B507" s="235" t="s">
        <v>614</v>
      </c>
      <c r="C507" s="461"/>
      <c r="D507" s="664" t="s">
        <v>766</v>
      </c>
      <c r="E507" s="447" t="s">
        <v>766</v>
      </c>
      <c r="F507" s="103">
        <f>+F409+F428+F443+F458+F474+F489</f>
        <v>441423000</v>
      </c>
      <c r="G507" s="103">
        <f>+G409+G428+G443+G458+G474+G489</f>
        <v>349381000</v>
      </c>
      <c r="H507" s="103">
        <f>+H409+H428+H443+H458+H474+H489</f>
        <v>0</v>
      </c>
      <c r="I507" s="103">
        <f>SUM(F507:H507)</f>
        <v>790804000</v>
      </c>
      <c r="J507" s="103">
        <f>+J409+J428+J443+J458+J474+J489</f>
        <v>386886712.24000001</v>
      </c>
      <c r="K507" s="103">
        <f>+K409+K428+K443+K458+K474+K489</f>
        <v>218789753.56999999</v>
      </c>
      <c r="L507" s="103">
        <f>+L409+L428+L443+L458+L474+L489</f>
        <v>0</v>
      </c>
      <c r="M507" s="103">
        <f>SUM(J507:L507)</f>
        <v>605676465.80999994</v>
      </c>
      <c r="N507" s="103">
        <f t="shared" si="167"/>
        <v>54536287.75999999</v>
      </c>
      <c r="O507" s="103">
        <f t="shared" si="167"/>
        <v>130591246.43000001</v>
      </c>
      <c r="P507" s="103">
        <f t="shared" si="167"/>
        <v>0</v>
      </c>
      <c r="Q507" s="103">
        <f t="shared" si="168"/>
        <v>185127534.19</v>
      </c>
      <c r="R507" s="236"/>
      <c r="S507" s="730">
        <f t="shared" si="175"/>
        <v>0.87645345222156523</v>
      </c>
      <c r="T507" s="730">
        <f t="shared" si="175"/>
        <v>0.62622109837111917</v>
      </c>
      <c r="U507" s="730" t="str">
        <f t="shared" si="175"/>
        <v/>
      </c>
      <c r="V507" s="730">
        <f t="shared" si="174"/>
        <v>0.76589959814315545</v>
      </c>
      <c r="W507" s="254"/>
      <c r="X507" s="237" t="s">
        <v>598</v>
      </c>
    </row>
    <row r="508" spans="1:26" ht="11.25" hidden="1" customHeight="1">
      <c r="A508" s="246" t="s">
        <v>613</v>
      </c>
      <c r="B508" s="235" t="s">
        <v>614</v>
      </c>
      <c r="C508" s="728"/>
      <c r="D508" s="394" t="s">
        <v>50</v>
      </c>
      <c r="E508" s="447" t="s">
        <v>50</v>
      </c>
      <c r="F508" s="103">
        <f>+F413+F429+F444+F459+F475+F490</f>
        <v>827006</v>
      </c>
      <c r="G508" s="103">
        <f>+G413+G429+G444+G459+G475+G490</f>
        <v>255789950</v>
      </c>
      <c r="H508" s="103">
        <f>+H413+H429+H444+H459+H475+H490</f>
        <v>327292000</v>
      </c>
      <c r="I508" s="103">
        <f>SUM(F508:H508)</f>
        <v>583908956</v>
      </c>
      <c r="J508" s="103">
        <f>+J413+J429+J444+J459+J475+J490</f>
        <v>763888.76999999979</v>
      </c>
      <c r="K508" s="103">
        <f>+K413+K429+K444+K459+K475+K490</f>
        <v>186549292.82000002</v>
      </c>
      <c r="L508" s="103">
        <f>+L413+L429+L444+L459+L475+L490</f>
        <v>316797794.56999999</v>
      </c>
      <c r="M508" s="103">
        <f>SUM(J508:L508)</f>
        <v>504110976.16000003</v>
      </c>
      <c r="N508" s="103">
        <f t="shared" si="167"/>
        <v>63117.230000000214</v>
      </c>
      <c r="O508" s="103">
        <f t="shared" si="167"/>
        <v>69240657.179999977</v>
      </c>
      <c r="P508" s="103">
        <f t="shared" si="167"/>
        <v>10494205.430000007</v>
      </c>
      <c r="Q508" s="103">
        <f t="shared" si="168"/>
        <v>79797979.839999989</v>
      </c>
      <c r="R508" s="236"/>
      <c r="S508" s="730">
        <f t="shared" si="175"/>
        <v>0.92367984029136396</v>
      </c>
      <c r="T508" s="730">
        <f t="shared" si="175"/>
        <v>0.7293065768221153</v>
      </c>
      <c r="U508" s="730">
        <f t="shared" si="175"/>
        <v>0.96793626049521531</v>
      </c>
      <c r="V508" s="730">
        <f t="shared" si="174"/>
        <v>0.86333831837989483</v>
      </c>
      <c r="W508" s="254"/>
      <c r="X508" s="237" t="s">
        <v>598</v>
      </c>
    </row>
    <row r="509" spans="1:26" s="256" customFormat="1" ht="11.25" hidden="1" customHeight="1">
      <c r="A509" s="246" t="s">
        <v>613</v>
      </c>
      <c r="B509" s="246" t="s">
        <v>614</v>
      </c>
      <c r="C509" s="389"/>
      <c r="D509" s="389" t="s">
        <v>98</v>
      </c>
      <c r="E509" s="390" t="s">
        <v>767</v>
      </c>
      <c r="F509" s="391">
        <f>+F507+F508</f>
        <v>442250006</v>
      </c>
      <c r="G509" s="391">
        <f t="shared" ref="G509:M509" si="184">+G507+G508</f>
        <v>605170950</v>
      </c>
      <c r="H509" s="391">
        <f t="shared" si="184"/>
        <v>327292000</v>
      </c>
      <c r="I509" s="391">
        <f t="shared" si="184"/>
        <v>1374712956</v>
      </c>
      <c r="J509" s="391">
        <f t="shared" si="184"/>
        <v>387650601.00999999</v>
      </c>
      <c r="K509" s="391">
        <f t="shared" si="184"/>
        <v>405339046.38999999</v>
      </c>
      <c r="L509" s="391">
        <f t="shared" si="184"/>
        <v>316797794.56999999</v>
      </c>
      <c r="M509" s="391">
        <f t="shared" si="184"/>
        <v>1109787441.97</v>
      </c>
      <c r="N509" s="391">
        <f t="shared" si="167"/>
        <v>54599404.99000001</v>
      </c>
      <c r="O509" s="391">
        <f t="shared" si="167"/>
        <v>199831903.61000001</v>
      </c>
      <c r="P509" s="391">
        <f t="shared" si="167"/>
        <v>10494205.430000007</v>
      </c>
      <c r="Q509" s="391">
        <f t="shared" si="168"/>
        <v>264925514.03000003</v>
      </c>
      <c r="R509" s="665"/>
      <c r="S509" s="254">
        <f t="shared" si="175"/>
        <v>0.87654176540587769</v>
      </c>
      <c r="T509" s="254">
        <f t="shared" si="175"/>
        <v>0.66979263692350066</v>
      </c>
      <c r="U509" s="254">
        <f t="shared" si="175"/>
        <v>0.96793626049521531</v>
      </c>
      <c r="V509" s="297">
        <f t="shared" si="174"/>
        <v>0.80728666819227968</v>
      </c>
      <c r="W509" s="254"/>
      <c r="X509" s="271" t="s">
        <v>598</v>
      </c>
      <c r="Y509" s="628"/>
      <c r="Z509" s="255"/>
    </row>
    <row r="510" spans="1:26" ht="11.25" hidden="1" customHeight="1">
      <c r="A510" s="246" t="s">
        <v>613</v>
      </c>
      <c r="B510" s="235" t="s">
        <v>614</v>
      </c>
      <c r="C510" s="410"/>
      <c r="D510" s="396"/>
      <c r="E510" s="806"/>
      <c r="F510" s="807"/>
      <c r="G510" s="807"/>
      <c r="H510" s="807"/>
      <c r="I510" s="807"/>
      <c r="J510" s="807"/>
      <c r="K510" s="807"/>
      <c r="L510" s="807"/>
      <c r="M510" s="807"/>
      <c r="N510" s="807">
        <f t="shared" si="167"/>
        <v>0</v>
      </c>
      <c r="O510" s="807">
        <f t="shared" si="167"/>
        <v>0</v>
      </c>
      <c r="P510" s="807">
        <f t="shared" si="167"/>
        <v>0</v>
      </c>
      <c r="Q510" s="807">
        <f t="shared" si="168"/>
        <v>0</v>
      </c>
      <c r="R510" s="276"/>
      <c r="S510" s="730" t="str">
        <f t="shared" si="175"/>
        <v/>
      </c>
      <c r="T510" s="730" t="str">
        <f t="shared" si="175"/>
        <v/>
      </c>
      <c r="U510" s="730" t="str">
        <f t="shared" si="175"/>
        <v/>
      </c>
      <c r="V510" s="730" t="str">
        <f t="shared" si="174"/>
        <v/>
      </c>
      <c r="W510" s="254"/>
      <c r="X510" s="237" t="s">
        <v>598</v>
      </c>
    </row>
    <row r="511" spans="1:26" s="256" customFormat="1" ht="11.25" hidden="1" customHeight="1">
      <c r="A511" s="246" t="s">
        <v>613</v>
      </c>
      <c r="B511" s="246" t="s">
        <v>614</v>
      </c>
      <c r="C511" s="389"/>
      <c r="D511" s="389" t="s">
        <v>98</v>
      </c>
      <c r="E511" s="390" t="s">
        <v>99</v>
      </c>
      <c r="F511" s="391">
        <f>SUM(F512:F513)</f>
        <v>40965410</v>
      </c>
      <c r="G511" s="391">
        <f t="shared" ref="G511:M511" si="185">SUM(G512:G513)</f>
        <v>0</v>
      </c>
      <c r="H511" s="391">
        <f t="shared" si="185"/>
        <v>0</v>
      </c>
      <c r="I511" s="391">
        <f t="shared" si="185"/>
        <v>40965410</v>
      </c>
      <c r="J511" s="391">
        <f t="shared" si="185"/>
        <v>34689985.960000008</v>
      </c>
      <c r="K511" s="391">
        <f t="shared" si="185"/>
        <v>0</v>
      </c>
      <c r="L511" s="391">
        <f t="shared" si="185"/>
        <v>0</v>
      </c>
      <c r="M511" s="391">
        <f t="shared" si="185"/>
        <v>34689985.960000008</v>
      </c>
      <c r="N511" s="391">
        <f t="shared" si="167"/>
        <v>6275424.0399999917</v>
      </c>
      <c r="O511" s="391">
        <f t="shared" si="167"/>
        <v>0</v>
      </c>
      <c r="P511" s="391">
        <f t="shared" si="167"/>
        <v>0</v>
      </c>
      <c r="Q511" s="391">
        <f t="shared" si="168"/>
        <v>6275424.0399999917</v>
      </c>
      <c r="R511" s="522"/>
      <c r="S511" s="254">
        <f t="shared" si="175"/>
        <v>0.84681163840420515</v>
      </c>
      <c r="T511" s="254" t="str">
        <f t="shared" si="175"/>
        <v/>
      </c>
      <c r="U511" s="254" t="str">
        <f t="shared" si="175"/>
        <v/>
      </c>
      <c r="V511" s="297">
        <f t="shared" si="174"/>
        <v>0.84681163840420515</v>
      </c>
      <c r="W511" s="254"/>
      <c r="X511" s="271" t="s">
        <v>598</v>
      </c>
      <c r="Y511" s="628"/>
      <c r="Z511" s="255"/>
    </row>
    <row r="512" spans="1:26" ht="11.25" hidden="1" customHeight="1">
      <c r="A512" s="246" t="s">
        <v>613</v>
      </c>
      <c r="B512" s="235" t="s">
        <v>614</v>
      </c>
      <c r="C512" s="728"/>
      <c r="D512" s="394" t="s">
        <v>286</v>
      </c>
      <c r="E512" s="729" t="s">
        <v>286</v>
      </c>
      <c r="F512" s="103">
        <f>+F417+F433+F448+F463+F479+F494</f>
        <v>40880000</v>
      </c>
      <c r="G512" s="103">
        <f>+G417+G433+G448+G463+G479+G494</f>
        <v>0</v>
      </c>
      <c r="H512" s="103">
        <f>+H417+H433+H448+H463+H479+H494</f>
        <v>0</v>
      </c>
      <c r="I512" s="103">
        <f>SUM(F512:H512)</f>
        <v>40880000</v>
      </c>
      <c r="J512" s="103">
        <f>+J417+J433+J448+J463+J479+J494</f>
        <v>34611694.120000005</v>
      </c>
      <c r="K512" s="103">
        <f>+K417+K433+K448+K463+K479+K494</f>
        <v>0</v>
      </c>
      <c r="L512" s="103">
        <f>+L417+L433+L448+L463+L479+L494</f>
        <v>0</v>
      </c>
      <c r="M512" s="103">
        <f>SUM(J512:L512)</f>
        <v>34611694.120000005</v>
      </c>
      <c r="N512" s="103">
        <f t="shared" si="167"/>
        <v>6268305.8799999952</v>
      </c>
      <c r="O512" s="103">
        <f t="shared" si="167"/>
        <v>0</v>
      </c>
      <c r="P512" s="103">
        <f t="shared" si="167"/>
        <v>0</v>
      </c>
      <c r="Q512" s="103">
        <f t="shared" si="168"/>
        <v>6268305.8799999952</v>
      </c>
      <c r="R512" s="236"/>
      <c r="S512" s="730">
        <f t="shared" si="175"/>
        <v>0.84666570743639935</v>
      </c>
      <c r="T512" s="730" t="str">
        <f t="shared" si="175"/>
        <v/>
      </c>
      <c r="U512" s="730" t="str">
        <f t="shared" si="175"/>
        <v/>
      </c>
      <c r="V512" s="730">
        <f t="shared" si="174"/>
        <v>0.84666570743639935</v>
      </c>
      <c r="W512" s="254"/>
      <c r="X512" s="237" t="s">
        <v>598</v>
      </c>
    </row>
    <row r="513" spans="1:26" ht="11.25" hidden="1" customHeight="1">
      <c r="A513" s="246" t="s">
        <v>613</v>
      </c>
      <c r="B513" s="235" t="s">
        <v>614</v>
      </c>
      <c r="C513" s="410"/>
      <c r="D513" s="396"/>
      <c r="E513" s="447" t="s">
        <v>760</v>
      </c>
      <c r="F513" s="103">
        <f>+F495</f>
        <v>85410</v>
      </c>
      <c r="G513" s="103">
        <f>+G495</f>
        <v>0</v>
      </c>
      <c r="H513" s="103">
        <f>+H495</f>
        <v>0</v>
      </c>
      <c r="I513" s="103">
        <f>SUM(F513:H513)</f>
        <v>85410</v>
      </c>
      <c r="J513" s="103">
        <f>+J495</f>
        <v>78291.839999999997</v>
      </c>
      <c r="K513" s="103">
        <f>+K495</f>
        <v>0</v>
      </c>
      <c r="L513" s="103">
        <f>+L495</f>
        <v>0</v>
      </c>
      <c r="M513" s="103">
        <f>SUM(J513:L513)</f>
        <v>78291.839999999997</v>
      </c>
      <c r="N513" s="103">
        <f t="shared" si="167"/>
        <v>7118.1600000000035</v>
      </c>
      <c r="O513" s="103">
        <f t="shared" si="167"/>
        <v>0</v>
      </c>
      <c r="P513" s="103">
        <f t="shared" si="167"/>
        <v>0</v>
      </c>
      <c r="Q513" s="103">
        <f t="shared" si="168"/>
        <v>7118.1600000000035</v>
      </c>
      <c r="R513" s="236"/>
      <c r="S513" s="730">
        <f t="shared" si="175"/>
        <v>0.91665893923428166</v>
      </c>
      <c r="T513" s="730" t="str">
        <f t="shared" si="175"/>
        <v/>
      </c>
      <c r="U513" s="730" t="str">
        <f t="shared" si="175"/>
        <v/>
      </c>
      <c r="V513" s="730">
        <f t="shared" si="174"/>
        <v>0.91665893923428166</v>
      </c>
      <c r="W513" s="254"/>
      <c r="X513" s="237" t="s">
        <v>598</v>
      </c>
    </row>
    <row r="514" spans="1:26" s="272" customFormat="1" ht="11.25" hidden="1" customHeight="1">
      <c r="A514" s="246" t="s">
        <v>613</v>
      </c>
      <c r="B514" s="246" t="s">
        <v>614</v>
      </c>
      <c r="C514" s="389"/>
      <c r="D514" s="389" t="s">
        <v>98</v>
      </c>
      <c r="E514" s="390" t="s">
        <v>100</v>
      </c>
      <c r="F514" s="391">
        <f t="shared" ref="F514:M514" si="186">SUM(F515:F519)</f>
        <v>72891129</v>
      </c>
      <c r="G514" s="391">
        <f t="shared" si="186"/>
        <v>14390000</v>
      </c>
      <c r="H514" s="391">
        <f t="shared" si="186"/>
        <v>0</v>
      </c>
      <c r="I514" s="391">
        <f t="shared" si="186"/>
        <v>87281129</v>
      </c>
      <c r="J514" s="391">
        <f t="shared" si="186"/>
        <v>72328485.829999998</v>
      </c>
      <c r="K514" s="391">
        <f t="shared" si="186"/>
        <v>10783048.77</v>
      </c>
      <c r="L514" s="391">
        <f t="shared" si="186"/>
        <v>0</v>
      </c>
      <c r="M514" s="391">
        <f t="shared" si="186"/>
        <v>83111534.599999994</v>
      </c>
      <c r="N514" s="391">
        <f t="shared" si="167"/>
        <v>562643.17000000179</v>
      </c>
      <c r="O514" s="391">
        <f t="shared" si="167"/>
        <v>3606951.2300000004</v>
      </c>
      <c r="P514" s="391">
        <f t="shared" si="167"/>
        <v>0</v>
      </c>
      <c r="Q514" s="391">
        <f t="shared" si="168"/>
        <v>4169594.4000000022</v>
      </c>
      <c r="R514" s="94"/>
      <c r="S514" s="254">
        <f t="shared" si="175"/>
        <v>0.99228104739604184</v>
      </c>
      <c r="T514" s="254">
        <f t="shared" si="175"/>
        <v>0.74934320847810976</v>
      </c>
      <c r="U514" s="254" t="str">
        <f t="shared" si="175"/>
        <v/>
      </c>
      <c r="V514" s="297">
        <f t="shared" si="174"/>
        <v>0.95222799650082435</v>
      </c>
      <c r="W514" s="254"/>
      <c r="X514" s="527" t="s">
        <v>598</v>
      </c>
      <c r="Y514" s="629"/>
      <c r="Z514" s="277"/>
    </row>
    <row r="515" spans="1:26" ht="11.25" hidden="1" customHeight="1">
      <c r="A515" s="246" t="s">
        <v>613</v>
      </c>
      <c r="B515" s="235" t="s">
        <v>614</v>
      </c>
      <c r="C515" s="728"/>
      <c r="D515" s="394" t="s">
        <v>288</v>
      </c>
      <c r="E515" s="729" t="s">
        <v>288</v>
      </c>
      <c r="F515" s="103">
        <f t="shared" ref="F515:H516" si="187">+F419+F435+F450+F466+F481+F498</f>
        <v>46934471</v>
      </c>
      <c r="G515" s="103">
        <f t="shared" si="187"/>
        <v>0</v>
      </c>
      <c r="H515" s="103">
        <f t="shared" si="187"/>
        <v>0</v>
      </c>
      <c r="I515" s="103">
        <f>SUM(F515:H515)</f>
        <v>46934471</v>
      </c>
      <c r="J515" s="103">
        <f t="shared" ref="J515:L516" si="188">+J419+J435+J450+J466+J481+J498</f>
        <v>46899470.979999997</v>
      </c>
      <c r="K515" s="103">
        <f t="shared" si="188"/>
        <v>0</v>
      </c>
      <c r="L515" s="103">
        <f t="shared" si="188"/>
        <v>0</v>
      </c>
      <c r="M515" s="103">
        <f>SUM(J515:L515)</f>
        <v>46899470.979999997</v>
      </c>
      <c r="N515" s="103">
        <f t="shared" si="167"/>
        <v>35000.020000003278</v>
      </c>
      <c r="O515" s="103">
        <f t="shared" si="167"/>
        <v>0</v>
      </c>
      <c r="P515" s="103">
        <f t="shared" si="167"/>
        <v>0</v>
      </c>
      <c r="Q515" s="103">
        <f t="shared" si="168"/>
        <v>35000.020000003278</v>
      </c>
      <c r="R515" s="236"/>
      <c r="S515" s="730">
        <f t="shared" si="175"/>
        <v>0.99925427901381902</v>
      </c>
      <c r="T515" s="730" t="str">
        <f t="shared" si="175"/>
        <v/>
      </c>
      <c r="U515" s="730" t="str">
        <f t="shared" si="175"/>
        <v/>
      </c>
      <c r="V515" s="730">
        <f t="shared" si="174"/>
        <v>0.99925427901381902</v>
      </c>
      <c r="W515" s="254"/>
      <c r="X515" s="237" t="s">
        <v>598</v>
      </c>
    </row>
    <row r="516" spans="1:26" ht="11.25" hidden="1" customHeight="1">
      <c r="A516" s="246" t="s">
        <v>613</v>
      </c>
      <c r="B516" s="235" t="s">
        <v>614</v>
      </c>
      <c r="C516" s="728"/>
      <c r="D516" s="394" t="s">
        <v>761</v>
      </c>
      <c r="E516" s="729" t="s">
        <v>761</v>
      </c>
      <c r="F516" s="103">
        <f t="shared" si="187"/>
        <v>12869000</v>
      </c>
      <c r="G516" s="103">
        <f t="shared" si="187"/>
        <v>0</v>
      </c>
      <c r="H516" s="103">
        <f t="shared" si="187"/>
        <v>0</v>
      </c>
      <c r="I516" s="103">
        <f>SUM(F516:H516)</f>
        <v>12869000</v>
      </c>
      <c r="J516" s="103">
        <f t="shared" si="188"/>
        <v>12341600</v>
      </c>
      <c r="K516" s="103">
        <f t="shared" si="188"/>
        <v>0</v>
      </c>
      <c r="L516" s="103">
        <f t="shared" si="188"/>
        <v>0</v>
      </c>
      <c r="M516" s="103">
        <f>SUM(J516:L516)</f>
        <v>12341600</v>
      </c>
      <c r="N516" s="103">
        <f t="shared" si="167"/>
        <v>527400</v>
      </c>
      <c r="O516" s="103">
        <f t="shared" si="167"/>
        <v>0</v>
      </c>
      <c r="P516" s="103">
        <f t="shared" si="167"/>
        <v>0</v>
      </c>
      <c r="Q516" s="103">
        <f>SUM(N516:P516)</f>
        <v>527400</v>
      </c>
      <c r="R516" s="236"/>
      <c r="S516" s="730">
        <f t="shared" si="175"/>
        <v>0.9590177947004429</v>
      </c>
      <c r="T516" s="730" t="str">
        <f t="shared" si="175"/>
        <v/>
      </c>
      <c r="U516" s="730" t="str">
        <f t="shared" si="175"/>
        <v/>
      </c>
      <c r="V516" s="730">
        <f t="shared" si="174"/>
        <v>0.9590177947004429</v>
      </c>
      <c r="W516" s="254"/>
      <c r="X516" s="237" t="s">
        <v>598</v>
      </c>
    </row>
    <row r="517" spans="1:26" ht="11.25" hidden="1" customHeight="1">
      <c r="A517" s="246" t="s">
        <v>613</v>
      </c>
      <c r="B517" s="235" t="s">
        <v>614</v>
      </c>
      <c r="C517" s="410"/>
      <c r="D517" s="386"/>
      <c r="E517" s="461"/>
      <c r="F517" s="104"/>
      <c r="G517" s="104"/>
      <c r="H517" s="104"/>
      <c r="I517" s="103">
        <f>SUM(F517:H517)</f>
        <v>0</v>
      </c>
      <c r="J517" s="104"/>
      <c r="K517" s="104"/>
      <c r="L517" s="104"/>
      <c r="M517" s="103">
        <f>SUM(J517:L517)</f>
        <v>0</v>
      </c>
      <c r="N517" s="103">
        <f t="shared" si="167"/>
        <v>0</v>
      </c>
      <c r="O517" s="103">
        <f t="shared" si="167"/>
        <v>0</v>
      </c>
      <c r="P517" s="103">
        <f t="shared" si="167"/>
        <v>0</v>
      </c>
      <c r="Q517" s="103">
        <f>SUM(N517:P517)</f>
        <v>0</v>
      </c>
      <c r="R517" s="236"/>
      <c r="S517" s="730" t="str">
        <f t="shared" si="175"/>
        <v/>
      </c>
      <c r="T517" s="730" t="str">
        <f t="shared" si="175"/>
        <v/>
      </c>
      <c r="U517" s="730" t="str">
        <f t="shared" si="175"/>
        <v/>
      </c>
      <c r="V517" s="730" t="str">
        <f t="shared" si="174"/>
        <v/>
      </c>
      <c r="W517" s="254"/>
      <c r="X517" s="237" t="s">
        <v>598</v>
      </c>
      <c r="Z517" s="241"/>
    </row>
    <row r="518" spans="1:26" ht="11.25" hidden="1" customHeight="1">
      <c r="A518" s="246" t="s">
        <v>613</v>
      </c>
      <c r="B518" s="235" t="s">
        <v>614</v>
      </c>
      <c r="C518" s="728"/>
      <c r="D518" s="394" t="s">
        <v>289</v>
      </c>
      <c r="E518" s="729" t="s">
        <v>289</v>
      </c>
      <c r="F518" s="103">
        <f t="shared" ref="F518:H519" si="189">+F422+F438+F453+F469+F484+F501</f>
        <v>13087658</v>
      </c>
      <c r="G518" s="103">
        <f t="shared" si="189"/>
        <v>0</v>
      </c>
      <c r="H518" s="103">
        <f t="shared" si="189"/>
        <v>0</v>
      </c>
      <c r="I518" s="103">
        <f>SUM(F518:H518)</f>
        <v>13087658</v>
      </c>
      <c r="J518" s="103">
        <f t="shared" ref="J518:L519" si="190">+J422+J438+J453+J469+J484+J501</f>
        <v>13087414.85</v>
      </c>
      <c r="K518" s="103">
        <f t="shared" si="190"/>
        <v>0</v>
      </c>
      <c r="L518" s="103">
        <f t="shared" si="190"/>
        <v>0</v>
      </c>
      <c r="M518" s="103">
        <f>SUM(J518:L518)</f>
        <v>13087414.85</v>
      </c>
      <c r="N518" s="103">
        <f t="shared" si="167"/>
        <v>243.15000000037253</v>
      </c>
      <c r="O518" s="103">
        <f t="shared" si="167"/>
        <v>0</v>
      </c>
      <c r="P518" s="103">
        <f t="shared" si="167"/>
        <v>0</v>
      </c>
      <c r="Q518" s="103">
        <f t="shared" si="168"/>
        <v>243.15000000037253</v>
      </c>
      <c r="R518" s="236"/>
      <c r="S518" s="730">
        <f t="shared" si="175"/>
        <v>0.99998142142772983</v>
      </c>
      <c r="T518" s="730" t="str">
        <f t="shared" si="175"/>
        <v/>
      </c>
      <c r="U518" s="730" t="str">
        <f t="shared" si="175"/>
        <v/>
      </c>
      <c r="V518" s="730">
        <f t="shared" si="174"/>
        <v>0.99998142142772983</v>
      </c>
      <c r="W518" s="254"/>
      <c r="X518" s="237" t="s">
        <v>598</v>
      </c>
    </row>
    <row r="519" spans="1:26" ht="11.25" hidden="1" customHeight="1">
      <c r="A519" s="246" t="s">
        <v>613</v>
      </c>
      <c r="B519" s="235" t="s">
        <v>614</v>
      </c>
      <c r="C519" s="728"/>
      <c r="D519" s="394" t="s">
        <v>290</v>
      </c>
      <c r="E519" s="729" t="s">
        <v>290</v>
      </c>
      <c r="F519" s="103">
        <f t="shared" si="189"/>
        <v>0</v>
      </c>
      <c r="G519" s="103">
        <f t="shared" si="189"/>
        <v>14390000</v>
      </c>
      <c r="H519" s="103">
        <f t="shared" si="189"/>
        <v>0</v>
      </c>
      <c r="I519" s="103">
        <f>SUM(F519:H519)</f>
        <v>14390000</v>
      </c>
      <c r="J519" s="103">
        <f t="shared" si="190"/>
        <v>0</v>
      </c>
      <c r="K519" s="103">
        <f t="shared" si="190"/>
        <v>10783048.77</v>
      </c>
      <c r="L519" s="103">
        <f t="shared" si="190"/>
        <v>0</v>
      </c>
      <c r="M519" s="103">
        <f>SUM(J519:L519)</f>
        <v>10783048.77</v>
      </c>
      <c r="N519" s="103">
        <f t="shared" si="167"/>
        <v>0</v>
      </c>
      <c r="O519" s="103">
        <f t="shared" si="167"/>
        <v>3606951.2300000004</v>
      </c>
      <c r="P519" s="103">
        <f t="shared" si="167"/>
        <v>0</v>
      </c>
      <c r="Q519" s="103">
        <f t="shared" si="168"/>
        <v>3606951.2300000004</v>
      </c>
      <c r="R519" s="236"/>
      <c r="S519" s="730" t="str">
        <f t="shared" si="175"/>
        <v/>
      </c>
      <c r="T519" s="730">
        <f t="shared" si="175"/>
        <v>0.74934320847810976</v>
      </c>
      <c r="U519" s="730" t="str">
        <f t="shared" si="175"/>
        <v/>
      </c>
      <c r="V519" s="730">
        <f t="shared" si="174"/>
        <v>0.74934320847810976</v>
      </c>
      <c r="W519" s="254"/>
      <c r="X519" s="237" t="s">
        <v>598</v>
      </c>
    </row>
    <row r="520" spans="1:26" s="266" customFormat="1" ht="26.25" customHeight="1">
      <c r="A520" s="246" t="s">
        <v>613</v>
      </c>
      <c r="B520" s="1009" t="s">
        <v>614</v>
      </c>
      <c r="C520" s="1431" t="s">
        <v>615</v>
      </c>
      <c r="D520" s="1432"/>
      <c r="E520" s="1433"/>
      <c r="F520" s="666">
        <f t="shared" ref="F520:M520" si="191">+F514+F511+F509</f>
        <v>556106545</v>
      </c>
      <c r="G520" s="666">
        <f t="shared" si="191"/>
        <v>619560950</v>
      </c>
      <c r="H520" s="666">
        <f t="shared" si="191"/>
        <v>327292000</v>
      </c>
      <c r="I520" s="666">
        <f t="shared" si="191"/>
        <v>1502959495</v>
      </c>
      <c r="J520" s="666">
        <f t="shared" si="191"/>
        <v>494669072.80000001</v>
      </c>
      <c r="K520" s="666">
        <f t="shared" si="191"/>
        <v>416122095.15999997</v>
      </c>
      <c r="L520" s="666">
        <f t="shared" si="191"/>
        <v>316797794.56999999</v>
      </c>
      <c r="M520" s="666">
        <f t="shared" si="191"/>
        <v>1227588962.53</v>
      </c>
      <c r="N520" s="666">
        <f t="shared" ref="N520:P586" si="192">+F520-J520</f>
        <v>61437472.199999988</v>
      </c>
      <c r="O520" s="666">
        <f t="shared" si="192"/>
        <v>203438854.84000003</v>
      </c>
      <c r="P520" s="666">
        <f t="shared" si="192"/>
        <v>10494205.430000007</v>
      </c>
      <c r="Q520" s="666">
        <f t="shared" ref="Q520:Q586" si="193">SUM(N520:P520)</f>
        <v>275370532.47000003</v>
      </c>
      <c r="R520" s="667">
        <f>+Q520-'[3]chd3-SAOB'!CO179</f>
        <v>0</v>
      </c>
      <c r="S520" s="1010">
        <f t="shared" si="175"/>
        <v>0.88952211990240104</v>
      </c>
      <c r="T520" s="1010">
        <f t="shared" si="175"/>
        <v>0.67164028843328483</v>
      </c>
      <c r="U520" s="1010">
        <f t="shared" si="175"/>
        <v>0.96793626049521531</v>
      </c>
      <c r="V520" s="1010">
        <f t="shared" si="174"/>
        <v>0.81678113522946272</v>
      </c>
      <c r="W520" s="254"/>
      <c r="X520" s="237" t="s">
        <v>598</v>
      </c>
      <c r="Y520" s="610" t="s">
        <v>598</v>
      </c>
      <c r="Z520" s="241" t="s">
        <v>598</v>
      </c>
    </row>
    <row r="521" spans="1:26" ht="11.25" customHeight="1">
      <c r="A521" s="246" t="s">
        <v>613</v>
      </c>
      <c r="B521" s="235" t="s">
        <v>614</v>
      </c>
      <c r="C521" s="410"/>
      <c r="D521" s="386"/>
      <c r="E521" s="461"/>
      <c r="F521" s="104"/>
      <c r="G521" s="104"/>
      <c r="H521" s="104"/>
      <c r="I521" s="103">
        <f>SUM(F521:H521)</f>
        <v>0</v>
      </c>
      <c r="J521" s="104"/>
      <c r="K521" s="104"/>
      <c r="L521" s="104"/>
      <c r="M521" s="103">
        <f>SUM(J521:L521)</f>
        <v>0</v>
      </c>
      <c r="N521" s="103">
        <f t="shared" si="192"/>
        <v>0</v>
      </c>
      <c r="O521" s="103">
        <f t="shared" si="192"/>
        <v>0</v>
      </c>
      <c r="P521" s="103">
        <f t="shared" si="192"/>
        <v>0</v>
      </c>
      <c r="Q521" s="103">
        <f t="shared" si="193"/>
        <v>0</v>
      </c>
      <c r="S521" s="730" t="str">
        <f t="shared" si="175"/>
        <v/>
      </c>
      <c r="T521" s="730" t="str">
        <f t="shared" si="175"/>
        <v/>
      </c>
      <c r="U521" s="730" t="str">
        <f t="shared" si="175"/>
        <v/>
      </c>
      <c r="V521" s="730" t="str">
        <f t="shared" si="174"/>
        <v/>
      </c>
      <c r="W521" s="254"/>
      <c r="Y521" s="610" t="s">
        <v>598</v>
      </c>
      <c r="Z521" s="241" t="s">
        <v>598</v>
      </c>
    </row>
    <row r="522" spans="1:26" ht="11.25" customHeight="1">
      <c r="A522" s="528" t="s">
        <v>155</v>
      </c>
      <c r="B522" s="528" t="s">
        <v>150</v>
      </c>
      <c r="C522" s="408"/>
      <c r="D522" s="529"/>
      <c r="E522" s="408" t="s">
        <v>150</v>
      </c>
      <c r="F522" s="104"/>
      <c r="G522" s="104"/>
      <c r="H522" s="104"/>
      <c r="I522" s="103"/>
      <c r="J522" s="104"/>
      <c r="K522" s="104"/>
      <c r="L522" s="104"/>
      <c r="M522" s="103"/>
      <c r="N522" s="103">
        <f t="shared" si="192"/>
        <v>0</v>
      </c>
      <c r="O522" s="103">
        <f t="shared" si="192"/>
        <v>0</v>
      </c>
      <c r="P522" s="103">
        <f t="shared" si="192"/>
        <v>0</v>
      </c>
      <c r="Q522" s="103">
        <f t="shared" si="193"/>
        <v>0</v>
      </c>
      <c r="S522" s="730" t="str">
        <f t="shared" si="175"/>
        <v/>
      </c>
      <c r="T522" s="730" t="str">
        <f t="shared" si="175"/>
        <v/>
      </c>
      <c r="U522" s="730" t="str">
        <f t="shared" si="175"/>
        <v/>
      </c>
      <c r="V522" s="730" t="str">
        <f t="shared" si="174"/>
        <v/>
      </c>
      <c r="W522" s="531"/>
      <c r="X522" s="236"/>
      <c r="Y522" s="236" t="s">
        <v>598</v>
      </c>
      <c r="Z522" s="240" t="s">
        <v>598</v>
      </c>
    </row>
    <row r="523" spans="1:26" ht="11.25" customHeight="1">
      <c r="A523" s="528" t="s">
        <v>155</v>
      </c>
      <c r="B523" s="1013" t="s">
        <v>150</v>
      </c>
      <c r="C523" s="461"/>
      <c r="D523" s="645" t="s">
        <v>766</v>
      </c>
      <c r="E523" s="447" t="s">
        <v>766</v>
      </c>
      <c r="F523" s="103">
        <f>SUM(F524:F526)</f>
        <v>80349000</v>
      </c>
      <c r="G523" s="103">
        <f t="shared" ref="G523:M523" si="194">SUM(G524:G526)</f>
        <v>177915000</v>
      </c>
      <c r="H523" s="103">
        <f t="shared" si="194"/>
        <v>0</v>
      </c>
      <c r="I523" s="103">
        <f t="shared" si="194"/>
        <v>258264000</v>
      </c>
      <c r="J523" s="103">
        <f t="shared" si="194"/>
        <v>74002201.379999995</v>
      </c>
      <c r="K523" s="103">
        <f t="shared" si="194"/>
        <v>159885498.07999998</v>
      </c>
      <c r="L523" s="103">
        <f t="shared" si="194"/>
        <v>0</v>
      </c>
      <c r="M523" s="103">
        <f t="shared" si="194"/>
        <v>233887699.46000001</v>
      </c>
      <c r="N523" s="103">
        <f t="shared" si="192"/>
        <v>6346798.6200000048</v>
      </c>
      <c r="O523" s="103">
        <f t="shared" si="192"/>
        <v>18029501.920000017</v>
      </c>
      <c r="P523" s="103">
        <f t="shared" si="192"/>
        <v>0</v>
      </c>
      <c r="Q523" s="103">
        <f t="shared" si="193"/>
        <v>24376300.540000021</v>
      </c>
      <c r="S523" s="730">
        <f t="shared" si="175"/>
        <v>0.92100961281409843</v>
      </c>
      <c r="T523" s="730">
        <f t="shared" si="175"/>
        <v>0.89866227175898594</v>
      </c>
      <c r="U523" s="730" t="str">
        <f t="shared" si="175"/>
        <v/>
      </c>
      <c r="V523" s="730">
        <f t="shared" si="174"/>
        <v>0.90561479517083299</v>
      </c>
      <c r="W523" s="531"/>
      <c r="X523" s="236"/>
      <c r="Y523" s="236" t="s">
        <v>688</v>
      </c>
      <c r="Z523" s="236"/>
    </row>
    <row r="524" spans="1:26" ht="11.25" hidden="1" customHeight="1">
      <c r="A524" s="528" t="s">
        <v>155</v>
      </c>
      <c r="B524" s="1013" t="s">
        <v>150</v>
      </c>
      <c r="C524" s="411"/>
      <c r="D524" s="647" t="s">
        <v>98</v>
      </c>
      <c r="E524" s="459" t="s">
        <v>775</v>
      </c>
      <c r="F524" s="103">
        <f>+'[3]chd4A-SAOB'!C13</f>
        <v>22712000</v>
      </c>
      <c r="G524" s="103">
        <f>+'[3]chd4A-SAOB'!C49</f>
        <v>11770000</v>
      </c>
      <c r="H524" s="103">
        <f>+'[3]chd4A-SAOB'!C141</f>
        <v>0</v>
      </c>
      <c r="I524" s="103">
        <f>SUM(F524:H524)</f>
        <v>34482000</v>
      </c>
      <c r="J524" s="103">
        <f>+'[3]chd4A-SAOB'!C14</f>
        <v>18993930.82</v>
      </c>
      <c r="K524" s="103">
        <f>+'[3]chd4A-SAOB'!C50</f>
        <v>8990731.629999999</v>
      </c>
      <c r="L524" s="103">
        <f>+'[3]chd4A-SAOB'!C142</f>
        <v>0</v>
      </c>
      <c r="M524" s="103">
        <f>SUM(J524:L524)</f>
        <v>27984662.449999999</v>
      </c>
      <c r="N524" s="103">
        <f t="shared" si="192"/>
        <v>3718069.1799999997</v>
      </c>
      <c r="O524" s="103">
        <f t="shared" si="192"/>
        <v>2779268.370000001</v>
      </c>
      <c r="P524" s="103">
        <f t="shared" si="192"/>
        <v>0</v>
      </c>
      <c r="Q524" s="103">
        <f t="shared" si="193"/>
        <v>6497337.5500000007</v>
      </c>
      <c r="R524" s="236"/>
      <c r="S524" s="730">
        <f t="shared" si="175"/>
        <v>0.83629494628390277</v>
      </c>
      <c r="T524" s="730">
        <f t="shared" si="175"/>
        <v>0.76386844774851304</v>
      </c>
      <c r="U524" s="730" t="str">
        <f t="shared" si="175"/>
        <v/>
      </c>
      <c r="V524" s="730">
        <f t="shared" si="174"/>
        <v>0.81157306565744447</v>
      </c>
      <c r="W524" s="531"/>
      <c r="X524" s="236"/>
      <c r="Y524" s="236"/>
      <c r="Z524" s="236"/>
    </row>
    <row r="525" spans="1:26" ht="11.25" hidden="1" customHeight="1">
      <c r="A525" s="528" t="s">
        <v>155</v>
      </c>
      <c r="B525" s="1013" t="s">
        <v>150</v>
      </c>
      <c r="C525" s="406" t="s">
        <v>776</v>
      </c>
      <c r="D525" s="647" t="s">
        <v>98</v>
      </c>
      <c r="E525" s="406" t="s">
        <v>776</v>
      </c>
      <c r="F525" s="103">
        <f>+'[3]chd4A-SAOB'!D13</f>
        <v>1943000</v>
      </c>
      <c r="G525" s="103">
        <f>+'[3]chd4A-SAOB'!D49</f>
        <v>6268000</v>
      </c>
      <c r="H525" s="103">
        <f>+'[3]chd4A-SAOB'!D141</f>
        <v>0</v>
      </c>
      <c r="I525" s="103">
        <f>SUM(F525:H525)</f>
        <v>8211000</v>
      </c>
      <c r="J525" s="103">
        <f>+'[3]chd4A-SAOB'!D14</f>
        <v>1936424</v>
      </c>
      <c r="K525" s="103">
        <f>+'[3]chd4A-SAOB'!D50</f>
        <v>3973093.4800000004</v>
      </c>
      <c r="L525" s="103">
        <f>+'[3]chd4A-SAOB'!D142</f>
        <v>0</v>
      </c>
      <c r="M525" s="103">
        <f>SUM(J525:L525)</f>
        <v>5909517.4800000004</v>
      </c>
      <c r="N525" s="103">
        <f t="shared" si="192"/>
        <v>6576</v>
      </c>
      <c r="O525" s="103">
        <f t="shared" si="192"/>
        <v>2294906.5199999996</v>
      </c>
      <c r="P525" s="103">
        <f t="shared" si="192"/>
        <v>0</v>
      </c>
      <c r="Q525" s="103">
        <f t="shared" si="193"/>
        <v>2301482.5199999996</v>
      </c>
      <c r="R525" s="236"/>
      <c r="S525" s="730">
        <f t="shared" si="175"/>
        <v>0.99661554297478128</v>
      </c>
      <c r="T525" s="730">
        <f t="shared" si="175"/>
        <v>0.6338694128908744</v>
      </c>
      <c r="U525" s="730" t="str">
        <f t="shared" si="175"/>
        <v/>
      </c>
      <c r="V525" s="730">
        <f t="shared" si="174"/>
        <v>0.71970740226525398</v>
      </c>
      <c r="W525" s="531"/>
      <c r="X525" s="236"/>
      <c r="Y525" s="236"/>
      <c r="Z525" s="236"/>
    </row>
    <row r="526" spans="1:26" ht="11.25" hidden="1" customHeight="1">
      <c r="A526" s="528" t="s">
        <v>155</v>
      </c>
      <c r="B526" s="1013" t="s">
        <v>150</v>
      </c>
      <c r="C526" s="411"/>
      <c r="D526" s="647" t="s">
        <v>98</v>
      </c>
      <c r="E526" s="406" t="s">
        <v>777</v>
      </c>
      <c r="F526" s="103">
        <f>+'[3]chd4A-SAOB'!E13</f>
        <v>55694000</v>
      </c>
      <c r="G526" s="103">
        <f>+'[3]chd4A-SAOB'!E49</f>
        <v>159877000</v>
      </c>
      <c r="H526" s="103">
        <f>+'[3]chd4A-SAOB'!E141</f>
        <v>0</v>
      </c>
      <c r="I526" s="103">
        <f>SUM(F526:H526)</f>
        <v>215571000</v>
      </c>
      <c r="J526" s="103">
        <f>+'[3]chd4A-SAOB'!E14</f>
        <v>53071846.560000002</v>
      </c>
      <c r="K526" s="103">
        <f>+'[3]chd4A-SAOB'!E50</f>
        <v>146921672.97</v>
      </c>
      <c r="L526" s="103">
        <f>+'[3]chd4A-SAOB'!E142</f>
        <v>0</v>
      </c>
      <c r="M526" s="103">
        <f>SUM(J526:L526)</f>
        <v>199993519.53</v>
      </c>
      <c r="N526" s="103">
        <f t="shared" si="192"/>
        <v>2622153.4399999976</v>
      </c>
      <c r="O526" s="103">
        <f t="shared" si="192"/>
        <v>12955327.030000001</v>
      </c>
      <c r="P526" s="103">
        <f t="shared" si="192"/>
        <v>0</v>
      </c>
      <c r="Q526" s="103">
        <f t="shared" si="193"/>
        <v>15577480.469999999</v>
      </c>
      <c r="R526" s="236"/>
      <c r="S526" s="730">
        <f t="shared" si="175"/>
        <v>0.95291856501598027</v>
      </c>
      <c r="T526" s="730">
        <f t="shared" si="175"/>
        <v>0.91896691187600466</v>
      </c>
      <c r="U526" s="730" t="str">
        <f t="shared" si="175"/>
        <v/>
      </c>
      <c r="V526" s="730">
        <f t="shared" si="174"/>
        <v>0.92773851552388775</v>
      </c>
      <c r="W526" s="531"/>
      <c r="X526" s="236"/>
      <c r="Y526" s="236"/>
      <c r="Z526" s="236"/>
    </row>
    <row r="527" spans="1:26" ht="11.25" customHeight="1">
      <c r="A527" s="528" t="s">
        <v>155</v>
      </c>
      <c r="B527" s="1013" t="s">
        <v>150</v>
      </c>
      <c r="C527" s="728"/>
      <c r="D527" s="649" t="s">
        <v>50</v>
      </c>
      <c r="E527" s="447" t="s">
        <v>50</v>
      </c>
      <c r="F527" s="104"/>
      <c r="G527" s="104">
        <f>+'[3]chd4A-SAOB'!D383</f>
        <v>194791768.78999999</v>
      </c>
      <c r="H527" s="104">
        <f>+'[3]chd4A-SAOB'!E383</f>
        <v>309065592</v>
      </c>
      <c r="I527" s="103">
        <f>SUM(F527:H527)</f>
        <v>503857360.78999996</v>
      </c>
      <c r="J527" s="104"/>
      <c r="K527" s="104">
        <f>+'[3]chd4A-SAOB'!H383</f>
        <v>166558129.52000004</v>
      </c>
      <c r="L527" s="104">
        <f>+'[3]chd4A-SAOB'!I383</f>
        <v>288424376.06999999</v>
      </c>
      <c r="M527" s="103">
        <f>SUM(J527:L527)</f>
        <v>454982505.59000003</v>
      </c>
      <c r="N527" s="103">
        <f t="shared" si="192"/>
        <v>0</v>
      </c>
      <c r="O527" s="103">
        <f t="shared" si="192"/>
        <v>28233639.269999951</v>
      </c>
      <c r="P527" s="103">
        <f t="shared" si="192"/>
        <v>20641215.930000007</v>
      </c>
      <c r="Q527" s="103">
        <f t="shared" si="193"/>
        <v>48874855.199999958</v>
      </c>
      <c r="S527" s="730" t="str">
        <f t="shared" si="175"/>
        <v/>
      </c>
      <c r="T527" s="730">
        <f t="shared" si="175"/>
        <v>0.85505732893447917</v>
      </c>
      <c r="U527" s="730">
        <f t="shared" si="175"/>
        <v>0.9332141252074414</v>
      </c>
      <c r="V527" s="730">
        <f t="shared" si="174"/>
        <v>0.90299862817649656</v>
      </c>
      <c r="W527" s="531"/>
      <c r="X527" s="236"/>
      <c r="Y527" s="236" t="s">
        <v>688</v>
      </c>
      <c r="Z527" s="236"/>
    </row>
    <row r="528" spans="1:26" s="256" customFormat="1" ht="11.25" customHeight="1">
      <c r="A528" s="528" t="s">
        <v>155</v>
      </c>
      <c r="B528" s="528" t="s">
        <v>150</v>
      </c>
      <c r="C528" s="389"/>
      <c r="D528" s="650" t="s">
        <v>98</v>
      </c>
      <c r="E528" s="390" t="s">
        <v>767</v>
      </c>
      <c r="F528" s="391">
        <f>+F527+F523</f>
        <v>80349000</v>
      </c>
      <c r="G528" s="391">
        <f t="shared" ref="G528:M528" si="195">+G527+G523</f>
        <v>372706768.78999996</v>
      </c>
      <c r="H528" s="391">
        <f t="shared" si="195"/>
        <v>309065592</v>
      </c>
      <c r="I528" s="391">
        <f t="shared" si="195"/>
        <v>762121360.78999996</v>
      </c>
      <c r="J528" s="391">
        <f t="shared" si="195"/>
        <v>74002201.379999995</v>
      </c>
      <c r="K528" s="391">
        <f t="shared" si="195"/>
        <v>326443627.60000002</v>
      </c>
      <c r="L528" s="391">
        <f t="shared" si="195"/>
        <v>288424376.06999999</v>
      </c>
      <c r="M528" s="391">
        <f t="shared" si="195"/>
        <v>688870205.05000007</v>
      </c>
      <c r="N528" s="391">
        <f t="shared" si="192"/>
        <v>6346798.6200000048</v>
      </c>
      <c r="O528" s="391">
        <f t="shared" si="192"/>
        <v>46263141.189999938</v>
      </c>
      <c r="P528" s="391">
        <f t="shared" si="192"/>
        <v>20641215.930000007</v>
      </c>
      <c r="Q528" s="391">
        <f t="shared" si="193"/>
        <v>73251155.73999995</v>
      </c>
      <c r="R528" s="101"/>
      <c r="S528" s="254">
        <f t="shared" si="175"/>
        <v>0.92100961281409843</v>
      </c>
      <c r="T528" s="254">
        <f t="shared" si="175"/>
        <v>0.87587254897410594</v>
      </c>
      <c r="U528" s="254">
        <f t="shared" si="175"/>
        <v>0.9332141252074414</v>
      </c>
      <c r="V528" s="254">
        <f t="shared" si="174"/>
        <v>0.90388518219188974</v>
      </c>
      <c r="W528" s="531"/>
      <c r="Y528" s="256" t="s">
        <v>598</v>
      </c>
      <c r="Z528" s="256" t="s">
        <v>598</v>
      </c>
    </row>
    <row r="529" spans="1:26" ht="11.25" hidden="1" customHeight="1">
      <c r="A529" s="528" t="s">
        <v>155</v>
      </c>
      <c r="B529" s="1013" t="s">
        <v>150</v>
      </c>
      <c r="C529" s="410"/>
      <c r="D529" s="651"/>
      <c r="E529" s="806"/>
      <c r="F529" s="807"/>
      <c r="G529" s="807"/>
      <c r="H529" s="807"/>
      <c r="I529" s="807"/>
      <c r="J529" s="807"/>
      <c r="K529" s="807"/>
      <c r="L529" s="807"/>
      <c r="M529" s="807"/>
      <c r="N529" s="807">
        <f t="shared" si="192"/>
        <v>0</v>
      </c>
      <c r="O529" s="807">
        <f t="shared" si="192"/>
        <v>0</v>
      </c>
      <c r="P529" s="807">
        <f t="shared" si="192"/>
        <v>0</v>
      </c>
      <c r="Q529" s="807">
        <f t="shared" si="193"/>
        <v>0</v>
      </c>
      <c r="R529" s="276"/>
      <c r="S529" s="730" t="str">
        <f t="shared" si="175"/>
        <v/>
      </c>
      <c r="T529" s="730" t="str">
        <f t="shared" si="175"/>
        <v/>
      </c>
      <c r="U529" s="730" t="str">
        <f t="shared" si="175"/>
        <v/>
      </c>
      <c r="V529" s="730" t="str">
        <f t="shared" si="174"/>
        <v/>
      </c>
      <c r="W529" s="531"/>
      <c r="X529" s="236"/>
      <c r="Y529" s="236"/>
      <c r="Z529" s="236"/>
    </row>
    <row r="530" spans="1:26" s="256" customFormat="1" ht="11.25" customHeight="1">
      <c r="A530" s="528" t="s">
        <v>155</v>
      </c>
      <c r="B530" s="528" t="s">
        <v>150</v>
      </c>
      <c r="C530" s="389"/>
      <c r="D530" s="650" t="s">
        <v>98</v>
      </c>
      <c r="E530" s="390" t="s">
        <v>99</v>
      </c>
      <c r="F530" s="391">
        <f>+F531</f>
        <v>7233000</v>
      </c>
      <c r="G530" s="391">
        <f t="shared" ref="G530:M530" si="196">+G531</f>
        <v>0</v>
      </c>
      <c r="H530" s="391">
        <f t="shared" si="196"/>
        <v>0</v>
      </c>
      <c r="I530" s="391">
        <f t="shared" si="196"/>
        <v>7233000</v>
      </c>
      <c r="J530" s="391">
        <f t="shared" si="196"/>
        <v>5883853.1299999999</v>
      </c>
      <c r="K530" s="391">
        <f t="shared" si="196"/>
        <v>0</v>
      </c>
      <c r="L530" s="391">
        <f t="shared" si="196"/>
        <v>0</v>
      </c>
      <c r="M530" s="391">
        <f t="shared" si="196"/>
        <v>5883853.1299999999</v>
      </c>
      <c r="N530" s="391">
        <f t="shared" si="192"/>
        <v>1349146.87</v>
      </c>
      <c r="O530" s="391">
        <f t="shared" si="192"/>
        <v>0</v>
      </c>
      <c r="P530" s="391">
        <f t="shared" si="192"/>
        <v>0</v>
      </c>
      <c r="Q530" s="391">
        <f t="shared" si="193"/>
        <v>1349146.87</v>
      </c>
      <c r="R530" s="101"/>
      <c r="S530" s="254">
        <f t="shared" si="175"/>
        <v>0.81347340384349509</v>
      </c>
      <c r="T530" s="254" t="str">
        <f t="shared" si="175"/>
        <v/>
      </c>
      <c r="U530" s="254" t="str">
        <f t="shared" si="175"/>
        <v/>
      </c>
      <c r="V530" s="254">
        <f t="shared" si="174"/>
        <v>0.81347340384349509</v>
      </c>
      <c r="W530" s="531"/>
      <c r="Y530" s="256" t="s">
        <v>598</v>
      </c>
      <c r="Z530" s="256" t="s">
        <v>598</v>
      </c>
    </row>
    <row r="531" spans="1:26" ht="11.25" customHeight="1">
      <c r="A531" s="528" t="s">
        <v>155</v>
      </c>
      <c r="B531" s="1013" t="s">
        <v>150</v>
      </c>
      <c r="C531" s="728"/>
      <c r="D531" s="649" t="s">
        <v>286</v>
      </c>
      <c r="E531" s="729" t="s">
        <v>286</v>
      </c>
      <c r="F531" s="103">
        <f>SUM('[3]chd4A-SAOB'!R13)</f>
        <v>7233000</v>
      </c>
      <c r="G531" s="103">
        <f>SUM('[3]chd4A-SAOB'!R49)</f>
        <v>0</v>
      </c>
      <c r="H531" s="103">
        <f>SUM('[3]chd4A-SAOB'!R141)</f>
        <v>0</v>
      </c>
      <c r="I531" s="103">
        <f>SUM(F531:H531)</f>
        <v>7233000</v>
      </c>
      <c r="J531" s="103">
        <f>SUM('[3]chd4A-SAOB'!R14)</f>
        <v>5883853.1299999999</v>
      </c>
      <c r="K531" s="103">
        <f>SUM('[3]chd4A-SAOB'!R50)</f>
        <v>0</v>
      </c>
      <c r="L531" s="103">
        <f>SUM('[3]chd4A-SAOB'!R142)</f>
        <v>0</v>
      </c>
      <c r="M531" s="103">
        <f>SUM(J531:L531)</f>
        <v>5883853.1299999999</v>
      </c>
      <c r="N531" s="103">
        <f t="shared" si="192"/>
        <v>1349146.87</v>
      </c>
      <c r="O531" s="103">
        <f t="shared" si="192"/>
        <v>0</v>
      </c>
      <c r="P531" s="103">
        <f t="shared" si="192"/>
        <v>0</v>
      </c>
      <c r="Q531" s="103">
        <f t="shared" si="193"/>
        <v>1349146.87</v>
      </c>
      <c r="S531" s="730">
        <f t="shared" si="175"/>
        <v>0.81347340384349509</v>
      </c>
      <c r="T531" s="730" t="str">
        <f t="shared" si="175"/>
        <v/>
      </c>
      <c r="U531" s="730" t="str">
        <f t="shared" si="175"/>
        <v/>
      </c>
      <c r="V531" s="730">
        <f t="shared" si="174"/>
        <v>0.81347340384349509</v>
      </c>
      <c r="W531" s="531"/>
      <c r="X531" s="236"/>
      <c r="Y531" s="236" t="s">
        <v>598</v>
      </c>
      <c r="Z531" s="236"/>
    </row>
    <row r="532" spans="1:26" s="272" customFormat="1" ht="11.25" customHeight="1">
      <c r="A532" s="528" t="s">
        <v>155</v>
      </c>
      <c r="B532" s="528" t="s">
        <v>150</v>
      </c>
      <c r="C532" s="389"/>
      <c r="D532" s="650" t="s">
        <v>98</v>
      </c>
      <c r="E532" s="390" t="s">
        <v>100</v>
      </c>
      <c r="F532" s="391">
        <f t="shared" ref="F532:M532" si="197">SUM(F533:F537)</f>
        <v>2694217</v>
      </c>
      <c r="G532" s="391">
        <f t="shared" si="197"/>
        <v>0</v>
      </c>
      <c r="H532" s="391">
        <f t="shared" si="197"/>
        <v>0</v>
      </c>
      <c r="I532" s="391">
        <f t="shared" si="197"/>
        <v>2694217</v>
      </c>
      <c r="J532" s="391">
        <f t="shared" si="197"/>
        <v>2694216.79</v>
      </c>
      <c r="K532" s="391">
        <f t="shared" si="197"/>
        <v>0</v>
      </c>
      <c r="L532" s="391">
        <f t="shared" si="197"/>
        <v>0</v>
      </c>
      <c r="M532" s="391">
        <f t="shared" si="197"/>
        <v>2694216.79</v>
      </c>
      <c r="N532" s="391">
        <f t="shared" si="192"/>
        <v>0.2099999999627471</v>
      </c>
      <c r="O532" s="391">
        <f t="shared" si="192"/>
        <v>0</v>
      </c>
      <c r="P532" s="391">
        <f t="shared" si="192"/>
        <v>0</v>
      </c>
      <c r="Q532" s="391">
        <f t="shared" si="193"/>
        <v>0.2099999999627471</v>
      </c>
      <c r="R532" s="102"/>
      <c r="S532" s="254">
        <f t="shared" si="175"/>
        <v>0.99999992205527621</v>
      </c>
      <c r="T532" s="254" t="str">
        <f t="shared" si="175"/>
        <v/>
      </c>
      <c r="U532" s="254" t="str">
        <f t="shared" si="175"/>
        <v/>
      </c>
      <c r="V532" s="254">
        <f t="shared" si="174"/>
        <v>0.99999992205527621</v>
      </c>
      <c r="W532" s="531"/>
      <c r="Y532" s="272" t="s">
        <v>598</v>
      </c>
      <c r="Z532" s="256" t="s">
        <v>598</v>
      </c>
    </row>
    <row r="533" spans="1:26" ht="11.25" customHeight="1">
      <c r="A533" s="528" t="s">
        <v>155</v>
      </c>
      <c r="B533" s="1013" t="s">
        <v>150</v>
      </c>
      <c r="C533" s="728"/>
      <c r="D533" s="649" t="s">
        <v>288</v>
      </c>
      <c r="E533" s="729" t="s">
        <v>288</v>
      </c>
      <c r="F533" s="103">
        <f>SUM('[3]chd4A-SAOB'!U13)</f>
        <v>0</v>
      </c>
      <c r="G533" s="103">
        <f>SUM('[3]chd4A-SAOB'!U49)</f>
        <v>0</v>
      </c>
      <c r="H533" s="103">
        <f>SUM('[3]chd4A-SAOB'!U141)</f>
        <v>0</v>
      </c>
      <c r="I533" s="103">
        <f>SUM(F533:H533)</f>
        <v>0</v>
      </c>
      <c r="J533" s="103">
        <f>SUM('[3]chd4A-SAOB'!U14)</f>
        <v>0</v>
      </c>
      <c r="K533" s="103">
        <f>SUM('[3]chd4A-SAOB'!U50)</f>
        <v>0</v>
      </c>
      <c r="L533" s="103">
        <f>SUM('[3]chd4A-SAOB'!U142)</f>
        <v>0</v>
      </c>
      <c r="M533" s="103">
        <f>SUM(J533:L533)</f>
        <v>0</v>
      </c>
      <c r="N533" s="103">
        <f t="shared" si="192"/>
        <v>0</v>
      </c>
      <c r="O533" s="103">
        <f t="shared" si="192"/>
        <v>0</v>
      </c>
      <c r="P533" s="103">
        <f t="shared" si="192"/>
        <v>0</v>
      </c>
      <c r="Q533" s="103">
        <f t="shared" si="193"/>
        <v>0</v>
      </c>
      <c r="S533" s="730" t="str">
        <f t="shared" si="175"/>
        <v/>
      </c>
      <c r="T533" s="730" t="str">
        <f t="shared" si="175"/>
        <v/>
      </c>
      <c r="U533" s="730" t="str">
        <f t="shared" si="175"/>
        <v/>
      </c>
      <c r="V533" s="730" t="str">
        <f t="shared" si="174"/>
        <v/>
      </c>
      <c r="W533" s="531"/>
      <c r="X533" s="236"/>
      <c r="Y533" s="236" t="s">
        <v>598</v>
      </c>
      <c r="Z533" s="236"/>
    </row>
    <row r="534" spans="1:26" ht="11.25" customHeight="1">
      <c r="A534" s="528" t="s">
        <v>155</v>
      </c>
      <c r="B534" s="1013" t="s">
        <v>150</v>
      </c>
      <c r="C534" s="728"/>
      <c r="D534" s="649" t="s">
        <v>761</v>
      </c>
      <c r="E534" s="729" t="s">
        <v>761</v>
      </c>
      <c r="F534" s="104">
        <f>+'[3]chd4A-SAOB'!C383</f>
        <v>1110000</v>
      </c>
      <c r="G534" s="104"/>
      <c r="H534" s="104"/>
      <c r="I534" s="103">
        <f>SUM(F534:H534)</f>
        <v>1110000</v>
      </c>
      <c r="J534" s="104">
        <f>+'[3]chd4A-SAOB'!G383</f>
        <v>1110000</v>
      </c>
      <c r="K534" s="104"/>
      <c r="L534" s="104"/>
      <c r="M534" s="103">
        <f>SUM(J534:L534)</f>
        <v>1110000</v>
      </c>
      <c r="N534" s="103">
        <f t="shared" si="192"/>
        <v>0</v>
      </c>
      <c r="O534" s="103">
        <f t="shared" si="192"/>
        <v>0</v>
      </c>
      <c r="P534" s="103">
        <f t="shared" si="192"/>
        <v>0</v>
      </c>
      <c r="Q534" s="103">
        <f>SUM(N534:P534)</f>
        <v>0</v>
      </c>
      <c r="S534" s="730">
        <f t="shared" si="175"/>
        <v>1</v>
      </c>
      <c r="T534" s="730" t="str">
        <f t="shared" si="175"/>
        <v/>
      </c>
      <c r="U534" s="730" t="str">
        <f t="shared" si="175"/>
        <v/>
      </c>
      <c r="V534" s="730">
        <f t="shared" si="174"/>
        <v>1</v>
      </c>
      <c r="W534" s="531"/>
      <c r="X534" s="236"/>
      <c r="Y534" s="236" t="s">
        <v>688</v>
      </c>
      <c r="Z534" s="236"/>
    </row>
    <row r="535" spans="1:26" ht="11.25" customHeight="1">
      <c r="A535" s="528" t="s">
        <v>155</v>
      </c>
      <c r="B535" s="1013" t="s">
        <v>150</v>
      </c>
      <c r="C535" s="410"/>
      <c r="D535" s="647"/>
      <c r="E535" s="461"/>
      <c r="F535" s="104"/>
      <c r="G535" s="104"/>
      <c r="H535" s="104"/>
      <c r="I535" s="103">
        <f>SUM(F535:H535)</f>
        <v>0</v>
      </c>
      <c r="J535" s="104"/>
      <c r="K535" s="104"/>
      <c r="L535" s="104"/>
      <c r="M535" s="103">
        <f>SUM(J535:L535)</f>
        <v>0</v>
      </c>
      <c r="N535" s="103">
        <f t="shared" si="192"/>
        <v>0</v>
      </c>
      <c r="O535" s="103">
        <f t="shared" si="192"/>
        <v>0</v>
      </c>
      <c r="P535" s="103">
        <f t="shared" si="192"/>
        <v>0</v>
      </c>
      <c r="Q535" s="103">
        <f>SUM(N535:P535)</f>
        <v>0</v>
      </c>
      <c r="S535" s="730" t="str">
        <f t="shared" si="175"/>
        <v/>
      </c>
      <c r="T535" s="730" t="str">
        <f t="shared" si="175"/>
        <v/>
      </c>
      <c r="U535" s="730" t="str">
        <f t="shared" si="175"/>
        <v/>
      </c>
      <c r="V535" s="730" t="str">
        <f t="shared" si="175"/>
        <v/>
      </c>
      <c r="W535" s="531"/>
      <c r="X535" s="236"/>
      <c r="Y535" s="236" t="s">
        <v>598</v>
      </c>
      <c r="Z535" s="240"/>
    </row>
    <row r="536" spans="1:26" ht="11.25" customHeight="1">
      <c r="A536" s="528" t="s">
        <v>155</v>
      </c>
      <c r="B536" s="1013" t="s">
        <v>150</v>
      </c>
      <c r="C536" s="728"/>
      <c r="D536" s="649" t="s">
        <v>289</v>
      </c>
      <c r="E536" s="729" t="s">
        <v>289</v>
      </c>
      <c r="F536" s="103">
        <f>SUM('[3]chd4A-SAOB'!X13)</f>
        <v>1584217</v>
      </c>
      <c r="G536" s="103">
        <f>SUM('[3]chd4A-SAOB'!X49)</f>
        <v>0</v>
      </c>
      <c r="H536" s="103">
        <f>SUM('[3]chd4A-SAOB'!X141)</f>
        <v>0</v>
      </c>
      <c r="I536" s="103">
        <f>SUM(F536:H536)</f>
        <v>1584217</v>
      </c>
      <c r="J536" s="103">
        <f>SUM('[3]chd4A-SAOB'!X14)</f>
        <v>1584216.79</v>
      </c>
      <c r="K536" s="103">
        <f>SUM('[3]chd4A-SAOB'!X50)</f>
        <v>0</v>
      </c>
      <c r="L536" s="103">
        <f>SUM('[3]chd4A-SAOB'!X142)</f>
        <v>0</v>
      </c>
      <c r="M536" s="103">
        <f>SUM(J536:L536)</f>
        <v>1584216.79</v>
      </c>
      <c r="N536" s="103">
        <f t="shared" si="192"/>
        <v>0.2099999999627471</v>
      </c>
      <c r="O536" s="103">
        <f t="shared" si="192"/>
        <v>0</v>
      </c>
      <c r="P536" s="103">
        <f t="shared" si="192"/>
        <v>0</v>
      </c>
      <c r="Q536" s="103">
        <f t="shared" si="193"/>
        <v>0.2099999999627471</v>
      </c>
      <c r="S536" s="730">
        <f t="shared" ref="S536:V599" si="198">IF(F536=0,"",J536/F536)</f>
        <v>0.99999986744240221</v>
      </c>
      <c r="T536" s="730" t="str">
        <f t="shared" si="198"/>
        <v/>
      </c>
      <c r="U536" s="730" t="str">
        <f t="shared" si="198"/>
        <v/>
      </c>
      <c r="V536" s="730">
        <f t="shared" si="198"/>
        <v>0.99999986744240221</v>
      </c>
      <c r="W536" s="531"/>
      <c r="X536" s="236"/>
      <c r="Y536" s="236" t="s">
        <v>598</v>
      </c>
      <c r="Z536" s="236"/>
    </row>
    <row r="537" spans="1:26" ht="11.25" customHeight="1">
      <c r="A537" s="528" t="s">
        <v>155</v>
      </c>
      <c r="B537" s="1013" t="s">
        <v>150</v>
      </c>
      <c r="C537" s="728"/>
      <c r="D537" s="649" t="s">
        <v>290</v>
      </c>
      <c r="E537" s="729" t="s">
        <v>290</v>
      </c>
      <c r="F537" s="103">
        <f>SUM('[3]chd4A-SAOB'!AA13)</f>
        <v>0</v>
      </c>
      <c r="G537" s="103">
        <f>SUM('[3]chd4A-SAOB'!AA49)</f>
        <v>0</v>
      </c>
      <c r="H537" s="103">
        <f>SUM('[3]chd4A-SAOB'!AA141)</f>
        <v>0</v>
      </c>
      <c r="I537" s="103">
        <f>SUM(F537:H537)</f>
        <v>0</v>
      </c>
      <c r="J537" s="103">
        <f>SUM('[3]chd4A-SAOB'!AA14)</f>
        <v>0</v>
      </c>
      <c r="K537" s="103">
        <f>SUM('[3]chd4A-SAOB'!AA50)</f>
        <v>0</v>
      </c>
      <c r="L537" s="103">
        <f>SUM('[3]chd4A-SAOB'!AA142)</f>
        <v>0</v>
      </c>
      <c r="M537" s="103">
        <f>SUM(J537:L537)</f>
        <v>0</v>
      </c>
      <c r="N537" s="103">
        <f t="shared" si="192"/>
        <v>0</v>
      </c>
      <c r="O537" s="103">
        <f t="shared" si="192"/>
        <v>0</v>
      </c>
      <c r="P537" s="103">
        <f t="shared" si="192"/>
        <v>0</v>
      </c>
      <c r="Q537" s="103">
        <f t="shared" si="193"/>
        <v>0</v>
      </c>
      <c r="S537" s="730" t="str">
        <f t="shared" si="198"/>
        <v/>
      </c>
      <c r="T537" s="730" t="str">
        <f t="shared" si="198"/>
        <v/>
      </c>
      <c r="U537" s="730" t="str">
        <f t="shared" si="198"/>
        <v/>
      </c>
      <c r="V537" s="730" t="str">
        <f t="shared" si="198"/>
        <v/>
      </c>
      <c r="W537" s="531"/>
      <c r="X537" s="236"/>
      <c r="Y537" s="236" t="s">
        <v>598</v>
      </c>
      <c r="Z537" s="236"/>
    </row>
    <row r="538" spans="1:26" s="671" customFormat="1" ht="11.25" customHeight="1">
      <c r="A538" s="246" t="s">
        <v>155</v>
      </c>
      <c r="B538" s="235" t="s">
        <v>150</v>
      </c>
      <c r="C538" s="1425" t="s">
        <v>305</v>
      </c>
      <c r="D538" s="1426"/>
      <c r="E538" s="1427"/>
      <c r="F538" s="652">
        <f t="shared" ref="F538:M538" si="199">+F528+F530+F532</f>
        <v>90276217</v>
      </c>
      <c r="G538" s="652">
        <f t="shared" si="199"/>
        <v>372706768.78999996</v>
      </c>
      <c r="H538" s="652">
        <f t="shared" si="199"/>
        <v>309065592</v>
      </c>
      <c r="I538" s="652">
        <f t="shared" si="199"/>
        <v>772048577.78999996</v>
      </c>
      <c r="J538" s="652">
        <f t="shared" si="199"/>
        <v>82580271.299999997</v>
      </c>
      <c r="K538" s="652">
        <f t="shared" si="199"/>
        <v>326443627.60000002</v>
      </c>
      <c r="L538" s="652">
        <f t="shared" si="199"/>
        <v>288424376.06999999</v>
      </c>
      <c r="M538" s="652">
        <f t="shared" si="199"/>
        <v>697448274.97000003</v>
      </c>
      <c r="N538" s="652">
        <f t="shared" si="192"/>
        <v>7695945.700000003</v>
      </c>
      <c r="O538" s="652">
        <f t="shared" si="192"/>
        <v>46263141.189999938</v>
      </c>
      <c r="P538" s="652">
        <f t="shared" si="192"/>
        <v>20641215.930000007</v>
      </c>
      <c r="Q538" s="652">
        <f t="shared" si="193"/>
        <v>74600302.819999948</v>
      </c>
      <c r="R538" s="670">
        <f>+Q538-'[3]chd4A-SAOB'!AQ178</f>
        <v>0</v>
      </c>
      <c r="S538" s="1008">
        <f t="shared" si="198"/>
        <v>0.91475112764195687</v>
      </c>
      <c r="T538" s="1008">
        <f t="shared" si="198"/>
        <v>0.87587254897410594</v>
      </c>
      <c r="U538" s="1008">
        <f t="shared" si="198"/>
        <v>0.9332141252074414</v>
      </c>
      <c r="V538" s="1008">
        <f t="shared" si="198"/>
        <v>0.90337356357349385</v>
      </c>
      <c r="W538" s="254"/>
      <c r="X538" s="237"/>
      <c r="Y538" s="610" t="s">
        <v>598</v>
      </c>
      <c r="Z538" s="241" t="s">
        <v>598</v>
      </c>
    </row>
    <row r="539" spans="1:26" ht="11.25" customHeight="1">
      <c r="A539" s="246" t="s">
        <v>155</v>
      </c>
      <c r="B539" s="235" t="s">
        <v>150</v>
      </c>
      <c r="C539" s="410"/>
      <c r="D539" s="386"/>
      <c r="E539" s="461"/>
      <c r="F539" s="103"/>
      <c r="G539" s="103"/>
      <c r="H539" s="103"/>
      <c r="I539" s="103">
        <f>SUM(F539:H539)</f>
        <v>0</v>
      </c>
      <c r="J539" s="103"/>
      <c r="K539" s="103"/>
      <c r="L539" s="103"/>
      <c r="M539" s="103">
        <f>SUM(J539:L539)</f>
        <v>0</v>
      </c>
      <c r="N539" s="103">
        <f t="shared" si="192"/>
        <v>0</v>
      </c>
      <c r="O539" s="103">
        <f t="shared" si="192"/>
        <v>0</v>
      </c>
      <c r="P539" s="103">
        <f t="shared" si="192"/>
        <v>0</v>
      </c>
      <c r="Q539" s="103">
        <f t="shared" si="193"/>
        <v>0</v>
      </c>
      <c r="S539" s="730" t="str">
        <f t="shared" si="198"/>
        <v/>
      </c>
      <c r="T539" s="730" t="str">
        <f t="shared" si="198"/>
        <v/>
      </c>
      <c r="U539" s="730" t="str">
        <f t="shared" si="198"/>
        <v/>
      </c>
      <c r="V539" s="730" t="str">
        <f t="shared" si="198"/>
        <v/>
      </c>
      <c r="W539" s="254"/>
      <c r="Y539" s="610" t="s">
        <v>598</v>
      </c>
      <c r="Z539" s="241" t="s">
        <v>598</v>
      </c>
    </row>
    <row r="540" spans="1:26" ht="11.25" customHeight="1">
      <c r="A540" s="246" t="s">
        <v>155</v>
      </c>
      <c r="B540" s="235" t="s">
        <v>154</v>
      </c>
      <c r="C540" s="410" t="s">
        <v>153</v>
      </c>
      <c r="D540" s="386"/>
      <c r="E540" s="461"/>
      <c r="F540" s="104"/>
      <c r="G540" s="104"/>
      <c r="H540" s="104"/>
      <c r="I540" s="103">
        <f>SUM(F540:H540)</f>
        <v>0</v>
      </c>
      <c r="J540" s="104"/>
      <c r="K540" s="104"/>
      <c r="L540" s="104"/>
      <c r="M540" s="103">
        <f>SUM(J540:L540)</f>
        <v>0</v>
      </c>
      <c r="N540" s="103">
        <f t="shared" si="192"/>
        <v>0</v>
      </c>
      <c r="O540" s="103">
        <f t="shared" si="192"/>
        <v>0</v>
      </c>
      <c r="P540" s="103">
        <f t="shared" si="192"/>
        <v>0</v>
      </c>
      <c r="Q540" s="103">
        <f t="shared" si="193"/>
        <v>0</v>
      </c>
      <c r="S540" s="730" t="str">
        <f t="shared" si="198"/>
        <v/>
      </c>
      <c r="T540" s="730" t="str">
        <f t="shared" si="198"/>
        <v/>
      </c>
      <c r="U540" s="730" t="str">
        <f t="shared" si="198"/>
        <v/>
      </c>
      <c r="V540" s="730" t="str">
        <f t="shared" si="198"/>
        <v/>
      </c>
      <c r="W540" s="254"/>
      <c r="Y540" s="610" t="s">
        <v>598</v>
      </c>
      <c r="Z540" s="241" t="s">
        <v>598</v>
      </c>
    </row>
    <row r="541" spans="1:26" s="675" customFormat="1" ht="11.25" customHeight="1">
      <c r="A541" s="528" t="s">
        <v>155</v>
      </c>
      <c r="B541" s="528" t="s">
        <v>154</v>
      </c>
      <c r="C541" s="407" t="s">
        <v>98</v>
      </c>
      <c r="D541" s="655" t="s">
        <v>105</v>
      </c>
      <c r="E541" s="408" t="s">
        <v>804</v>
      </c>
      <c r="F541" s="673"/>
      <c r="G541" s="673"/>
      <c r="H541" s="673"/>
      <c r="I541" s="674">
        <f>SUM(F541:H541)</f>
        <v>0</v>
      </c>
      <c r="J541" s="673"/>
      <c r="K541" s="673"/>
      <c r="L541" s="673"/>
      <c r="M541" s="674">
        <f>SUM(J541:L541)</f>
        <v>0</v>
      </c>
      <c r="N541" s="674">
        <f t="shared" si="192"/>
        <v>0</v>
      </c>
      <c r="O541" s="674">
        <f t="shared" si="192"/>
        <v>0</v>
      </c>
      <c r="P541" s="674">
        <f t="shared" si="192"/>
        <v>0</v>
      </c>
      <c r="Q541" s="674">
        <f t="shared" si="193"/>
        <v>0</v>
      </c>
      <c r="R541" s="101"/>
      <c r="S541" s="254" t="str">
        <f t="shared" si="198"/>
        <v/>
      </c>
      <c r="T541" s="254" t="str">
        <f t="shared" si="198"/>
        <v/>
      </c>
      <c r="U541" s="254" t="str">
        <f t="shared" si="198"/>
        <v/>
      </c>
      <c r="V541" s="254" t="str">
        <f t="shared" si="198"/>
        <v/>
      </c>
      <c r="W541" s="531"/>
      <c r="Y541" s="272" t="s">
        <v>598</v>
      </c>
      <c r="Z541" s="260" t="s">
        <v>598</v>
      </c>
    </row>
    <row r="542" spans="1:26" ht="11.25" customHeight="1">
      <c r="A542" s="528" t="s">
        <v>155</v>
      </c>
      <c r="B542" s="1013" t="s">
        <v>154</v>
      </c>
      <c r="C542" s="461"/>
      <c r="D542" s="645" t="s">
        <v>766</v>
      </c>
      <c r="E542" s="447" t="s">
        <v>766</v>
      </c>
      <c r="F542" s="104">
        <f>+'[3]chd4A-SAOB'!C388</f>
        <v>127889000</v>
      </c>
      <c r="G542" s="104">
        <f>+'[3]chd4A-SAOB'!D388</f>
        <v>46846000</v>
      </c>
      <c r="H542" s="104">
        <f>+'[3]chd4A-SAOB'!E388</f>
        <v>0</v>
      </c>
      <c r="I542" s="103">
        <f>SUM(F542:H542)</f>
        <v>174735000</v>
      </c>
      <c r="J542" s="104">
        <f>+'[3]chd4A-SAOB'!G388</f>
        <v>117648675.23999998</v>
      </c>
      <c r="K542" s="104">
        <f>+'[3]chd4A-SAOB'!H388</f>
        <v>40509185.180000007</v>
      </c>
      <c r="L542" s="104">
        <f>+'[3]chd4A-SAOB'!I388</f>
        <v>0</v>
      </c>
      <c r="M542" s="103">
        <f>SUM(J542:L542)</f>
        <v>158157860.41999999</v>
      </c>
      <c r="N542" s="103">
        <f t="shared" si="192"/>
        <v>10240324.76000002</v>
      </c>
      <c r="O542" s="103">
        <f t="shared" si="192"/>
        <v>6336814.8199999928</v>
      </c>
      <c r="P542" s="103">
        <f t="shared" si="192"/>
        <v>0</v>
      </c>
      <c r="Q542" s="103">
        <f t="shared" si="193"/>
        <v>16577139.580000013</v>
      </c>
      <c r="S542" s="730">
        <f t="shared" si="198"/>
        <v>0.91992802539702379</v>
      </c>
      <c r="T542" s="730">
        <f t="shared" si="198"/>
        <v>0.86473093070913221</v>
      </c>
      <c r="U542" s="730" t="str">
        <f t="shared" si="198"/>
        <v/>
      </c>
      <c r="V542" s="730">
        <f t="shared" si="198"/>
        <v>0.90512982756745919</v>
      </c>
      <c r="W542" s="531"/>
      <c r="X542" s="236"/>
      <c r="Y542" s="236" t="s">
        <v>688</v>
      </c>
      <c r="Z542" s="236"/>
    </row>
    <row r="543" spans="1:26" ht="11.25" customHeight="1">
      <c r="A543" s="528" t="s">
        <v>155</v>
      </c>
      <c r="B543" s="1013" t="s">
        <v>154</v>
      </c>
      <c r="C543" s="728"/>
      <c r="D543" s="649" t="s">
        <v>50</v>
      </c>
      <c r="E543" s="447" t="s">
        <v>50</v>
      </c>
      <c r="F543" s="104"/>
      <c r="G543" s="104">
        <f>+'[3]chd4A-SAOB'!D390</f>
        <v>23885000</v>
      </c>
      <c r="H543" s="104">
        <f>+'[3]chd4A-SAOB'!E390</f>
        <v>45000000</v>
      </c>
      <c r="I543" s="103">
        <f>SUM(F543:H543)</f>
        <v>68885000</v>
      </c>
      <c r="J543" s="104"/>
      <c r="K543" s="104">
        <f>+'[3]chd4A-SAOB'!H390</f>
        <v>15829869.209999999</v>
      </c>
      <c r="L543" s="104">
        <f>+'[3]chd4A-SAOB'!I390</f>
        <v>44985805</v>
      </c>
      <c r="M543" s="103">
        <f>SUM(J543:L543)</f>
        <v>60815674.210000001</v>
      </c>
      <c r="N543" s="103">
        <f t="shared" si="192"/>
        <v>0</v>
      </c>
      <c r="O543" s="103">
        <f t="shared" si="192"/>
        <v>8055130.790000001</v>
      </c>
      <c r="P543" s="103">
        <f t="shared" si="192"/>
        <v>14195</v>
      </c>
      <c r="Q543" s="103">
        <f t="shared" si="193"/>
        <v>8069325.790000001</v>
      </c>
      <c r="S543" s="730" t="str">
        <f t="shared" si="198"/>
        <v/>
      </c>
      <c r="T543" s="730">
        <f t="shared" si="198"/>
        <v>0.66275357797781032</v>
      </c>
      <c r="U543" s="730">
        <f t="shared" si="198"/>
        <v>0.99968455555555558</v>
      </c>
      <c r="V543" s="730">
        <f t="shared" si="198"/>
        <v>0.88285801277491471</v>
      </c>
      <c r="W543" s="531"/>
      <c r="X543" s="236"/>
      <c r="Y543" s="236" t="s">
        <v>688</v>
      </c>
      <c r="Z543" s="236"/>
    </row>
    <row r="544" spans="1:26" s="256" customFormat="1" ht="11.25" customHeight="1">
      <c r="A544" s="528" t="s">
        <v>155</v>
      </c>
      <c r="B544" s="528" t="s">
        <v>154</v>
      </c>
      <c r="C544" s="389"/>
      <c r="D544" s="650" t="s">
        <v>98</v>
      </c>
      <c r="E544" s="390" t="s">
        <v>767</v>
      </c>
      <c r="F544" s="391">
        <f>+F542+F543</f>
        <v>127889000</v>
      </c>
      <c r="G544" s="391">
        <f t="shared" ref="G544:M544" si="200">+G542+G543</f>
        <v>70731000</v>
      </c>
      <c r="H544" s="391">
        <f t="shared" si="200"/>
        <v>45000000</v>
      </c>
      <c r="I544" s="391">
        <f t="shared" si="200"/>
        <v>243620000</v>
      </c>
      <c r="J544" s="391">
        <f t="shared" si="200"/>
        <v>117648675.23999998</v>
      </c>
      <c r="K544" s="391">
        <f t="shared" si="200"/>
        <v>56339054.390000008</v>
      </c>
      <c r="L544" s="391">
        <f t="shared" si="200"/>
        <v>44985805</v>
      </c>
      <c r="M544" s="391">
        <f t="shared" si="200"/>
        <v>218973534.63</v>
      </c>
      <c r="N544" s="391">
        <f t="shared" si="192"/>
        <v>10240324.76000002</v>
      </c>
      <c r="O544" s="391">
        <f t="shared" si="192"/>
        <v>14391945.609999992</v>
      </c>
      <c r="P544" s="391">
        <f t="shared" si="192"/>
        <v>14195</v>
      </c>
      <c r="Q544" s="391">
        <f t="shared" si="193"/>
        <v>24646465.370000012</v>
      </c>
      <c r="R544" s="101"/>
      <c r="S544" s="254">
        <f t="shared" si="198"/>
        <v>0.91992802539702379</v>
      </c>
      <c r="T544" s="254">
        <f t="shared" si="198"/>
        <v>0.79652563077010097</v>
      </c>
      <c r="U544" s="254">
        <f t="shared" si="198"/>
        <v>0.99968455555555558</v>
      </c>
      <c r="V544" s="254">
        <f t="shared" si="198"/>
        <v>0.89883233983252608</v>
      </c>
      <c r="W544" s="531"/>
      <c r="Y544" s="256" t="s">
        <v>598</v>
      </c>
      <c r="Z544" s="256" t="s">
        <v>598</v>
      </c>
    </row>
    <row r="545" spans="1:26" ht="11.25" hidden="1" customHeight="1">
      <c r="A545" s="528" t="s">
        <v>155</v>
      </c>
      <c r="B545" s="1013" t="s">
        <v>154</v>
      </c>
      <c r="C545" s="410"/>
      <c r="D545" s="651"/>
      <c r="E545" s="806" t="s">
        <v>764</v>
      </c>
      <c r="F545" s="807"/>
      <c r="G545" s="807"/>
      <c r="H545" s="807"/>
      <c r="I545" s="807"/>
      <c r="J545" s="807"/>
      <c r="K545" s="807"/>
      <c r="L545" s="807"/>
      <c r="M545" s="807"/>
      <c r="N545" s="807">
        <f t="shared" si="192"/>
        <v>0</v>
      </c>
      <c r="O545" s="807">
        <f t="shared" si="192"/>
        <v>0</v>
      </c>
      <c r="P545" s="807">
        <f t="shared" si="192"/>
        <v>0</v>
      </c>
      <c r="Q545" s="807">
        <f t="shared" si="193"/>
        <v>0</v>
      </c>
      <c r="R545" s="276"/>
      <c r="S545" s="730" t="str">
        <f t="shared" si="198"/>
        <v/>
      </c>
      <c r="T545" s="730" t="str">
        <f t="shared" si="198"/>
        <v/>
      </c>
      <c r="U545" s="730" t="str">
        <f t="shared" si="198"/>
        <v/>
      </c>
      <c r="V545" s="730" t="str">
        <f t="shared" si="198"/>
        <v/>
      </c>
      <c r="W545" s="531"/>
      <c r="X545" s="236"/>
      <c r="Y545" s="236"/>
      <c r="Z545" s="236"/>
    </row>
    <row r="546" spans="1:26" s="256" customFormat="1" ht="11.25" customHeight="1">
      <c r="A546" s="528" t="s">
        <v>155</v>
      </c>
      <c r="B546" s="528" t="s">
        <v>154</v>
      </c>
      <c r="C546" s="389"/>
      <c r="D546" s="650" t="s">
        <v>98</v>
      </c>
      <c r="E546" s="390" t="s">
        <v>99</v>
      </c>
      <c r="F546" s="391">
        <f>+F547</f>
        <v>12039000</v>
      </c>
      <c r="G546" s="391">
        <f t="shared" ref="G546:M546" si="201">+G547</f>
        <v>0</v>
      </c>
      <c r="H546" s="391">
        <f t="shared" si="201"/>
        <v>0</v>
      </c>
      <c r="I546" s="391">
        <f t="shared" si="201"/>
        <v>12039000</v>
      </c>
      <c r="J546" s="391">
        <f t="shared" si="201"/>
        <v>10074441.42</v>
      </c>
      <c r="K546" s="391">
        <f t="shared" si="201"/>
        <v>0</v>
      </c>
      <c r="L546" s="391">
        <f t="shared" si="201"/>
        <v>0</v>
      </c>
      <c r="M546" s="391">
        <f t="shared" si="201"/>
        <v>10074441.42</v>
      </c>
      <c r="N546" s="391">
        <f t="shared" si="192"/>
        <v>1964558.58</v>
      </c>
      <c r="O546" s="391">
        <f t="shared" si="192"/>
        <v>0</v>
      </c>
      <c r="P546" s="391">
        <f t="shared" si="192"/>
        <v>0</v>
      </c>
      <c r="Q546" s="391">
        <f t="shared" si="193"/>
        <v>1964558.58</v>
      </c>
      <c r="R546" s="101"/>
      <c r="S546" s="254">
        <f t="shared" si="198"/>
        <v>0.83681712932967856</v>
      </c>
      <c r="T546" s="254" t="str">
        <f t="shared" si="198"/>
        <v/>
      </c>
      <c r="U546" s="254" t="str">
        <f t="shared" si="198"/>
        <v/>
      </c>
      <c r="V546" s="254">
        <f t="shared" si="198"/>
        <v>0.83681712932967856</v>
      </c>
      <c r="W546" s="531"/>
      <c r="Y546" s="256" t="s">
        <v>598</v>
      </c>
      <c r="Z546" s="256" t="s">
        <v>598</v>
      </c>
    </row>
    <row r="547" spans="1:26" ht="11.25" customHeight="1">
      <c r="A547" s="528" t="s">
        <v>155</v>
      </c>
      <c r="B547" s="1013" t="s">
        <v>154</v>
      </c>
      <c r="C547" s="728"/>
      <c r="D547" s="649" t="s">
        <v>286</v>
      </c>
      <c r="E547" s="729" t="s">
        <v>286</v>
      </c>
      <c r="F547" s="103">
        <f>SUM('[3]chd4A-SAOB'!S13)</f>
        <v>12039000</v>
      </c>
      <c r="G547" s="103">
        <f>SUM('[3]chd4A-SAOB'!S49)</f>
        <v>0</v>
      </c>
      <c r="H547" s="103">
        <f>SUM('[3]chd4A-SAOB'!S141)</f>
        <v>0</v>
      </c>
      <c r="I547" s="103">
        <f>SUM(F547:H547)</f>
        <v>12039000</v>
      </c>
      <c r="J547" s="103">
        <f>SUM('[3]chd4A-SAOB'!S14)</f>
        <v>10074441.42</v>
      </c>
      <c r="K547" s="103">
        <f>SUM('[3]chd4A-SAOB'!S50)</f>
        <v>0</v>
      </c>
      <c r="L547" s="103">
        <f>SUM('[3]chd4A-SAOB'!S142)</f>
        <v>0</v>
      </c>
      <c r="M547" s="103">
        <f>SUM(J547:L547)</f>
        <v>10074441.42</v>
      </c>
      <c r="N547" s="103">
        <f t="shared" si="192"/>
        <v>1964558.58</v>
      </c>
      <c r="O547" s="103">
        <f t="shared" si="192"/>
        <v>0</v>
      </c>
      <c r="P547" s="103">
        <f t="shared" si="192"/>
        <v>0</v>
      </c>
      <c r="Q547" s="103">
        <f t="shared" si="193"/>
        <v>1964558.58</v>
      </c>
      <c r="S547" s="730">
        <f t="shared" si="198"/>
        <v>0.83681712932967856</v>
      </c>
      <c r="T547" s="730" t="str">
        <f t="shared" si="198"/>
        <v/>
      </c>
      <c r="U547" s="730" t="str">
        <f t="shared" si="198"/>
        <v/>
      </c>
      <c r="V547" s="730">
        <f t="shared" si="198"/>
        <v>0.83681712932967856</v>
      </c>
      <c r="W547" s="531"/>
      <c r="X547" s="236"/>
      <c r="Y547" s="236" t="s">
        <v>598</v>
      </c>
      <c r="Z547" s="236"/>
    </row>
    <row r="548" spans="1:26" s="272" customFormat="1" ht="11.25" customHeight="1">
      <c r="A548" s="528" t="s">
        <v>155</v>
      </c>
      <c r="B548" s="528" t="s">
        <v>154</v>
      </c>
      <c r="C548" s="389"/>
      <c r="D548" s="650" t="s">
        <v>98</v>
      </c>
      <c r="E548" s="390" t="s">
        <v>100</v>
      </c>
      <c r="F548" s="391">
        <f t="shared" ref="F548:M548" si="202">SUM(F549:F553)</f>
        <v>7224663</v>
      </c>
      <c r="G548" s="391">
        <f t="shared" si="202"/>
        <v>5180000</v>
      </c>
      <c r="H548" s="391">
        <f t="shared" si="202"/>
        <v>0</v>
      </c>
      <c r="I548" s="391">
        <f t="shared" si="202"/>
        <v>12404663</v>
      </c>
      <c r="J548" s="391">
        <f t="shared" si="202"/>
        <v>5445018.5600000005</v>
      </c>
      <c r="K548" s="391">
        <f t="shared" si="202"/>
        <v>5177986.01</v>
      </c>
      <c r="L548" s="391">
        <f t="shared" si="202"/>
        <v>0</v>
      </c>
      <c r="M548" s="391">
        <f t="shared" si="202"/>
        <v>10623004.57</v>
      </c>
      <c r="N548" s="391">
        <f t="shared" si="192"/>
        <v>1779644.4399999995</v>
      </c>
      <c r="O548" s="391">
        <f t="shared" si="192"/>
        <v>2013.9900000002235</v>
      </c>
      <c r="P548" s="391">
        <f t="shared" si="192"/>
        <v>0</v>
      </c>
      <c r="Q548" s="391">
        <f t="shared" si="193"/>
        <v>1781658.4299999997</v>
      </c>
      <c r="R548" s="102"/>
      <c r="S548" s="254">
        <f t="shared" si="198"/>
        <v>0.75367094077606123</v>
      </c>
      <c r="T548" s="254">
        <f t="shared" si="198"/>
        <v>0.9996111988416988</v>
      </c>
      <c r="U548" s="254" t="str">
        <f t="shared" si="198"/>
        <v/>
      </c>
      <c r="V548" s="254">
        <f t="shared" si="198"/>
        <v>0.8563718796713784</v>
      </c>
      <c r="W548" s="531"/>
      <c r="Y548" s="272" t="s">
        <v>598</v>
      </c>
      <c r="Z548" s="256" t="s">
        <v>598</v>
      </c>
    </row>
    <row r="549" spans="1:26" ht="11.25" customHeight="1">
      <c r="A549" s="528" t="s">
        <v>155</v>
      </c>
      <c r="B549" s="1013" t="s">
        <v>154</v>
      </c>
      <c r="C549" s="728"/>
      <c r="D549" s="649" t="s">
        <v>288</v>
      </c>
      <c r="E549" s="729" t="s">
        <v>288</v>
      </c>
      <c r="F549" s="103">
        <f>SUM('[3]chd4A-SAOB'!V13)</f>
        <v>1627141</v>
      </c>
      <c r="G549" s="103">
        <f>SUM('[3]chd4A-SAOB'!V49)</f>
        <v>0</v>
      </c>
      <c r="H549" s="103">
        <f>SUM('[3]chd4A-SAOB'!V141)</f>
        <v>0</v>
      </c>
      <c r="I549" s="103">
        <f>SUM(F549:H549)</f>
        <v>1627141</v>
      </c>
      <c r="J549" s="103">
        <f>SUM('[3]chd4A-SAOB'!V14)</f>
        <v>0</v>
      </c>
      <c r="K549" s="103">
        <f>SUM('[3]chd4A-SAOB'!V50)</f>
        <v>0</v>
      </c>
      <c r="L549" s="103">
        <f>SUM('[3]chd4A-SAOB'!V142)</f>
        <v>0</v>
      </c>
      <c r="M549" s="103">
        <f>SUM(J549:L549)</f>
        <v>0</v>
      </c>
      <c r="N549" s="103">
        <f t="shared" si="192"/>
        <v>1627141</v>
      </c>
      <c r="O549" s="103">
        <f t="shared" si="192"/>
        <v>0</v>
      </c>
      <c r="P549" s="103">
        <f t="shared" si="192"/>
        <v>0</v>
      </c>
      <c r="Q549" s="103">
        <f t="shared" si="193"/>
        <v>1627141</v>
      </c>
      <c r="S549" s="730">
        <f t="shared" si="198"/>
        <v>0</v>
      </c>
      <c r="T549" s="730" t="str">
        <f t="shared" si="198"/>
        <v/>
      </c>
      <c r="U549" s="730" t="str">
        <f t="shared" si="198"/>
        <v/>
      </c>
      <c r="V549" s="730">
        <f t="shared" si="198"/>
        <v>0</v>
      </c>
      <c r="W549" s="531"/>
      <c r="X549" s="236"/>
      <c r="Y549" s="236" t="s">
        <v>598</v>
      </c>
      <c r="Z549" s="236"/>
    </row>
    <row r="550" spans="1:26" ht="11.25" customHeight="1">
      <c r="A550" s="528" t="s">
        <v>155</v>
      </c>
      <c r="B550" s="1013" t="s">
        <v>154</v>
      </c>
      <c r="C550" s="728"/>
      <c r="D550" s="649" t="s">
        <v>761</v>
      </c>
      <c r="E550" s="729" t="s">
        <v>761</v>
      </c>
      <c r="F550" s="104">
        <f>+'[3]chd4A-SAOB'!C390</f>
        <v>2370000</v>
      </c>
      <c r="G550" s="104"/>
      <c r="H550" s="104"/>
      <c r="I550" s="103">
        <f>SUM(F550:H550)</f>
        <v>2370000</v>
      </c>
      <c r="J550" s="104">
        <f>+'[3]chd4A-SAOB'!G390</f>
        <v>2217500</v>
      </c>
      <c r="K550" s="104"/>
      <c r="L550" s="104"/>
      <c r="M550" s="103">
        <f>SUM(J550:L550)</f>
        <v>2217500</v>
      </c>
      <c r="N550" s="103">
        <f t="shared" si="192"/>
        <v>152500</v>
      </c>
      <c r="O550" s="103">
        <f t="shared" si="192"/>
        <v>0</v>
      </c>
      <c r="P550" s="103">
        <f t="shared" si="192"/>
        <v>0</v>
      </c>
      <c r="Q550" s="103">
        <f>SUM(N550:P550)</f>
        <v>152500</v>
      </c>
      <c r="S550" s="730">
        <f t="shared" si="198"/>
        <v>0.93565400843881852</v>
      </c>
      <c r="T550" s="730" t="str">
        <f t="shared" si="198"/>
        <v/>
      </c>
      <c r="U550" s="730" t="str">
        <f t="shared" si="198"/>
        <v/>
      </c>
      <c r="V550" s="730">
        <f t="shared" si="198"/>
        <v>0.93565400843881852</v>
      </c>
      <c r="W550" s="531"/>
      <c r="X550" s="236"/>
      <c r="Y550" s="236" t="s">
        <v>688</v>
      </c>
      <c r="Z550" s="236"/>
    </row>
    <row r="551" spans="1:26" ht="11.25" customHeight="1">
      <c r="A551" s="528" t="s">
        <v>155</v>
      </c>
      <c r="B551" s="1013" t="s">
        <v>154</v>
      </c>
      <c r="C551" s="410"/>
      <c r="D551" s="647"/>
      <c r="E551" s="461" t="s">
        <v>764</v>
      </c>
      <c r="F551" s="104"/>
      <c r="G551" s="104"/>
      <c r="H551" s="104"/>
      <c r="I551" s="103">
        <f>SUM(F551:H551)</f>
        <v>0</v>
      </c>
      <c r="J551" s="104"/>
      <c r="K551" s="104"/>
      <c r="L551" s="104"/>
      <c r="M551" s="103">
        <f>SUM(J551:L551)</f>
        <v>0</v>
      </c>
      <c r="N551" s="103">
        <f t="shared" si="192"/>
        <v>0</v>
      </c>
      <c r="O551" s="103">
        <f t="shared" si="192"/>
        <v>0</v>
      </c>
      <c r="P551" s="103">
        <f t="shared" si="192"/>
        <v>0</v>
      </c>
      <c r="Q551" s="103">
        <f>SUM(N551:P551)</f>
        <v>0</v>
      </c>
      <c r="S551" s="730" t="str">
        <f t="shared" si="198"/>
        <v/>
      </c>
      <c r="T551" s="730" t="str">
        <f t="shared" si="198"/>
        <v/>
      </c>
      <c r="U551" s="730" t="str">
        <f t="shared" si="198"/>
        <v/>
      </c>
      <c r="V551" s="730" t="str">
        <f t="shared" si="198"/>
        <v/>
      </c>
      <c r="W551" s="531"/>
      <c r="X551" s="236"/>
      <c r="Y551" s="236" t="s">
        <v>598</v>
      </c>
      <c r="Z551" s="240"/>
    </row>
    <row r="552" spans="1:26" ht="11.25" customHeight="1">
      <c r="A552" s="528" t="s">
        <v>155</v>
      </c>
      <c r="B552" s="1013" t="s">
        <v>154</v>
      </c>
      <c r="C552" s="728"/>
      <c r="D552" s="649" t="s">
        <v>289</v>
      </c>
      <c r="E552" s="729" t="s">
        <v>289</v>
      </c>
      <c r="F552" s="103">
        <f>SUM('[3]chd4A-SAOB'!Y13)</f>
        <v>3227522</v>
      </c>
      <c r="G552" s="103">
        <f>SUM('[3]chd4A-SAOB'!Y49)</f>
        <v>0</v>
      </c>
      <c r="H552" s="103">
        <f>SUM('[3]chd4A-SAOB'!Y141)</f>
        <v>0</v>
      </c>
      <c r="I552" s="103">
        <f>SUM(F552:H552)</f>
        <v>3227522</v>
      </c>
      <c r="J552" s="103">
        <f>SUM('[3]chd4A-SAOB'!Y14)</f>
        <v>3227518.56</v>
      </c>
      <c r="K552" s="103">
        <f>SUM('[3]chd4A-SAOB'!Y50)</f>
        <v>0</v>
      </c>
      <c r="L552" s="103">
        <f>SUM('[3]chd4A-SAOB'!Y142)</f>
        <v>0</v>
      </c>
      <c r="M552" s="103">
        <f>SUM(J552:L552)</f>
        <v>3227518.56</v>
      </c>
      <c r="N552" s="103">
        <f t="shared" si="192"/>
        <v>3.4399999999441206</v>
      </c>
      <c r="O552" s="103">
        <f t="shared" si="192"/>
        <v>0</v>
      </c>
      <c r="P552" s="103">
        <f t="shared" si="192"/>
        <v>0</v>
      </c>
      <c r="Q552" s="103">
        <f t="shared" si="193"/>
        <v>3.4399999999441206</v>
      </c>
      <c r="S552" s="730">
        <f t="shared" si="198"/>
        <v>0.99999893416683139</v>
      </c>
      <c r="T552" s="730" t="str">
        <f t="shared" si="198"/>
        <v/>
      </c>
      <c r="U552" s="730" t="str">
        <f t="shared" si="198"/>
        <v/>
      </c>
      <c r="V552" s="730">
        <f t="shared" si="198"/>
        <v>0.99999893416683139</v>
      </c>
      <c r="W552" s="531"/>
      <c r="X552" s="236"/>
      <c r="Y552" s="236" t="s">
        <v>598</v>
      </c>
      <c r="Z552" s="236"/>
    </row>
    <row r="553" spans="1:26" ht="11.25" customHeight="1">
      <c r="A553" s="528" t="s">
        <v>155</v>
      </c>
      <c r="B553" s="1013" t="s">
        <v>154</v>
      </c>
      <c r="C553" s="728"/>
      <c r="D553" s="649" t="s">
        <v>290</v>
      </c>
      <c r="E553" s="729" t="s">
        <v>290</v>
      </c>
      <c r="F553" s="103">
        <f>SUM('[3]chd4A-SAOB'!AB13)</f>
        <v>0</v>
      </c>
      <c r="G553" s="103">
        <f>SUM('[3]chd4A-SAOB'!AB49)</f>
        <v>5180000</v>
      </c>
      <c r="H553" s="103">
        <f>SUM('[3]chd4A-SAOB'!AB141)</f>
        <v>0</v>
      </c>
      <c r="I553" s="103">
        <f>SUM(F553:H553)</f>
        <v>5180000</v>
      </c>
      <c r="J553" s="103">
        <f>SUM('[3]chd4A-SAOB'!AB14)</f>
        <v>0</v>
      </c>
      <c r="K553" s="103">
        <f>SUM('[3]chd4A-SAOB'!AB50)</f>
        <v>5177986.01</v>
      </c>
      <c r="L553" s="103">
        <f>SUM('[3]chd4A-SAOB'!AB142)</f>
        <v>0</v>
      </c>
      <c r="M553" s="103">
        <f>SUM(J553:L553)</f>
        <v>5177986.01</v>
      </c>
      <c r="N553" s="103">
        <f t="shared" si="192"/>
        <v>0</v>
      </c>
      <c r="O553" s="103">
        <f t="shared" si="192"/>
        <v>2013.9900000002235</v>
      </c>
      <c r="P553" s="103">
        <f t="shared" si="192"/>
        <v>0</v>
      </c>
      <c r="Q553" s="103">
        <f t="shared" si="193"/>
        <v>2013.9900000002235</v>
      </c>
      <c r="S553" s="730" t="str">
        <f t="shared" si="198"/>
        <v/>
      </c>
      <c r="T553" s="730">
        <f t="shared" si="198"/>
        <v>0.9996111988416988</v>
      </c>
      <c r="U553" s="730" t="str">
        <f t="shared" si="198"/>
        <v/>
      </c>
      <c r="V553" s="730">
        <f t="shared" si="198"/>
        <v>0.9996111988416988</v>
      </c>
      <c r="W553" s="531"/>
      <c r="X553" s="236"/>
      <c r="Y553" s="236" t="s">
        <v>598</v>
      </c>
      <c r="Z553" s="236"/>
    </row>
    <row r="554" spans="1:26" s="286" customFormat="1" ht="11.25" customHeight="1">
      <c r="A554" s="246" t="s">
        <v>155</v>
      </c>
      <c r="B554" s="1019" t="s">
        <v>154</v>
      </c>
      <c r="C554" s="1434" t="s">
        <v>616</v>
      </c>
      <c r="D554" s="1435"/>
      <c r="E554" s="1436"/>
      <c r="F554" s="420">
        <f t="shared" ref="F554:M554" si="203">+F543+F548+F546+F542</f>
        <v>147152663</v>
      </c>
      <c r="G554" s="420">
        <f t="shared" si="203"/>
        <v>75911000</v>
      </c>
      <c r="H554" s="420">
        <f t="shared" si="203"/>
        <v>45000000</v>
      </c>
      <c r="I554" s="420">
        <f t="shared" si="203"/>
        <v>268063663</v>
      </c>
      <c r="J554" s="420">
        <f t="shared" si="203"/>
        <v>133168135.21999998</v>
      </c>
      <c r="K554" s="420">
        <f t="shared" si="203"/>
        <v>61517040.400000006</v>
      </c>
      <c r="L554" s="420">
        <f t="shared" si="203"/>
        <v>44985805</v>
      </c>
      <c r="M554" s="420">
        <f t="shared" si="203"/>
        <v>239670980.62</v>
      </c>
      <c r="N554" s="420">
        <f t="shared" si="192"/>
        <v>13984527.780000016</v>
      </c>
      <c r="O554" s="420">
        <f t="shared" si="192"/>
        <v>14393959.599999994</v>
      </c>
      <c r="P554" s="420">
        <f t="shared" si="192"/>
        <v>14195</v>
      </c>
      <c r="Q554" s="420">
        <f t="shared" si="193"/>
        <v>28392682.38000001</v>
      </c>
      <c r="R554" s="157">
        <f>+Q554-'[3]chd4A-SAOB'!AR178</f>
        <v>0</v>
      </c>
      <c r="S554" s="1020">
        <f t="shared" si="198"/>
        <v>0.90496585318337042</v>
      </c>
      <c r="T554" s="1020">
        <f t="shared" si="198"/>
        <v>0.81038374412140546</v>
      </c>
      <c r="U554" s="1020">
        <f t="shared" si="198"/>
        <v>0.99968455555555558</v>
      </c>
      <c r="V554" s="1020">
        <f t="shared" si="198"/>
        <v>0.89408231588628262</v>
      </c>
      <c r="W554" s="254"/>
      <c r="X554" s="520"/>
      <c r="Y554" s="612" t="s">
        <v>598</v>
      </c>
      <c r="Z554" s="241" t="s">
        <v>598</v>
      </c>
    </row>
    <row r="555" spans="1:26" ht="11.25" hidden="1" customHeight="1">
      <c r="A555" s="246" t="s">
        <v>155</v>
      </c>
      <c r="B555" s="235" t="s">
        <v>617</v>
      </c>
      <c r="C555" s="1016"/>
      <c r="D555" s="386"/>
      <c r="E555" s="461"/>
      <c r="F555" s="103"/>
      <c r="G555" s="103"/>
      <c r="H555" s="103"/>
      <c r="I555" s="103">
        <f>SUM(F555:H555)</f>
        <v>0</v>
      </c>
      <c r="J555" s="103"/>
      <c r="K555" s="103"/>
      <c r="L555" s="103"/>
      <c r="M555" s="103">
        <f>SUM(J555:L555)</f>
        <v>0</v>
      </c>
      <c r="N555" s="103">
        <f t="shared" si="192"/>
        <v>0</v>
      </c>
      <c r="O555" s="103">
        <f t="shared" si="192"/>
        <v>0</v>
      </c>
      <c r="P555" s="103">
        <f t="shared" si="192"/>
        <v>0</v>
      </c>
      <c r="Q555" s="103">
        <f t="shared" si="193"/>
        <v>0</v>
      </c>
      <c r="R555" s="236"/>
      <c r="S555" s="730" t="str">
        <f t="shared" si="198"/>
        <v/>
      </c>
      <c r="T555" s="730" t="str">
        <f t="shared" si="198"/>
        <v/>
      </c>
      <c r="U555" s="730" t="str">
        <f t="shared" si="198"/>
        <v/>
      </c>
      <c r="V555" s="730" t="str">
        <f t="shared" si="198"/>
        <v/>
      </c>
      <c r="W555" s="254"/>
      <c r="X555" s="520" t="s">
        <v>598</v>
      </c>
      <c r="Z555" s="241"/>
    </row>
    <row r="556" spans="1:26" s="275" customFormat="1" ht="11.25" hidden="1" customHeight="1">
      <c r="A556" s="246" t="s">
        <v>155</v>
      </c>
      <c r="B556" s="246" t="s">
        <v>617</v>
      </c>
      <c r="C556" s="407" t="s">
        <v>805</v>
      </c>
      <c r="D556" s="407"/>
      <c r="E556" s="408"/>
      <c r="F556" s="409"/>
      <c r="G556" s="409"/>
      <c r="H556" s="409"/>
      <c r="I556" s="409">
        <f>SUM(F556:H556)</f>
        <v>0</v>
      </c>
      <c r="J556" s="409"/>
      <c r="K556" s="409"/>
      <c r="L556" s="409"/>
      <c r="M556" s="409">
        <f>SUM(J556:L556)</f>
        <v>0</v>
      </c>
      <c r="N556" s="409">
        <f t="shared" si="192"/>
        <v>0</v>
      </c>
      <c r="O556" s="409">
        <f t="shared" si="192"/>
        <v>0</v>
      </c>
      <c r="P556" s="409">
        <f t="shared" si="192"/>
        <v>0</v>
      </c>
      <c r="Q556" s="409">
        <f t="shared" si="193"/>
        <v>0</v>
      </c>
      <c r="R556" s="522"/>
      <c r="S556" s="254" t="str">
        <f t="shared" si="198"/>
        <v/>
      </c>
      <c r="T556" s="254" t="str">
        <f t="shared" si="198"/>
        <v/>
      </c>
      <c r="U556" s="254" t="str">
        <f t="shared" si="198"/>
        <v/>
      </c>
      <c r="V556" s="1002" t="str">
        <f t="shared" si="198"/>
        <v/>
      </c>
      <c r="W556" s="254"/>
      <c r="X556" s="274" t="s">
        <v>598</v>
      </c>
      <c r="Y556" s="663"/>
      <c r="Z556" s="253"/>
    </row>
    <row r="557" spans="1:26" ht="11.25" hidden="1" customHeight="1">
      <c r="A557" s="246" t="s">
        <v>155</v>
      </c>
      <c r="B557" s="235" t="s">
        <v>617</v>
      </c>
      <c r="C557" s="461"/>
      <c r="D557" s="664" t="s">
        <v>766</v>
      </c>
      <c r="E557" s="447" t="s">
        <v>766</v>
      </c>
      <c r="F557" s="103">
        <f>F523+F542</f>
        <v>208238000</v>
      </c>
      <c r="G557" s="103">
        <f>G523+G542</f>
        <v>224761000</v>
      </c>
      <c r="H557" s="103">
        <f>H523+H542</f>
        <v>0</v>
      </c>
      <c r="I557" s="103">
        <f>SUM(F557:H557)</f>
        <v>432999000</v>
      </c>
      <c r="J557" s="103">
        <f>J523+J542</f>
        <v>191650876.61999997</v>
      </c>
      <c r="K557" s="103">
        <f>K523+K542</f>
        <v>200394683.25999999</v>
      </c>
      <c r="L557" s="103">
        <f>L523+L542</f>
        <v>0</v>
      </c>
      <c r="M557" s="103">
        <f>SUM(J557:L557)</f>
        <v>392045559.88</v>
      </c>
      <c r="N557" s="103">
        <f t="shared" si="192"/>
        <v>16587123.380000025</v>
      </c>
      <c r="O557" s="103">
        <f t="shared" si="192"/>
        <v>24366316.74000001</v>
      </c>
      <c r="P557" s="103">
        <f t="shared" si="192"/>
        <v>0</v>
      </c>
      <c r="Q557" s="103">
        <f t="shared" si="193"/>
        <v>40953440.120000035</v>
      </c>
      <c r="R557" s="236"/>
      <c r="S557" s="730">
        <f t="shared" si="198"/>
        <v>0.92034535781173454</v>
      </c>
      <c r="T557" s="730">
        <f t="shared" si="198"/>
        <v>0.89159010353219637</v>
      </c>
      <c r="U557" s="730" t="str">
        <f t="shared" si="198"/>
        <v/>
      </c>
      <c r="V557" s="730">
        <f t="shared" si="198"/>
        <v>0.90541908845055064</v>
      </c>
      <c r="W557" s="254"/>
      <c r="X557" s="237" t="s">
        <v>598</v>
      </c>
    </row>
    <row r="558" spans="1:26" ht="11.25" hidden="1" customHeight="1">
      <c r="A558" s="246" t="s">
        <v>155</v>
      </c>
      <c r="B558" s="235" t="s">
        <v>617</v>
      </c>
      <c r="C558" s="728"/>
      <c r="D558" s="394" t="s">
        <v>50</v>
      </c>
      <c r="E558" s="447" t="s">
        <v>50</v>
      </c>
      <c r="F558" s="103">
        <f>F527+F543</f>
        <v>0</v>
      </c>
      <c r="G558" s="103">
        <f>G527+G543</f>
        <v>218676768.78999999</v>
      </c>
      <c r="H558" s="103">
        <f>H527+H543</f>
        <v>354065592</v>
      </c>
      <c r="I558" s="103">
        <f>SUM(F558:H558)</f>
        <v>572742360.78999996</v>
      </c>
      <c r="J558" s="103">
        <f>J527+J543</f>
        <v>0</v>
      </c>
      <c r="K558" s="103">
        <f>K527+K543</f>
        <v>182387998.73000005</v>
      </c>
      <c r="L558" s="103">
        <f>L527+L543</f>
        <v>333410181.06999999</v>
      </c>
      <c r="M558" s="103">
        <f>SUM(J558:L558)</f>
        <v>515798179.80000007</v>
      </c>
      <c r="N558" s="103">
        <f t="shared" si="192"/>
        <v>0</v>
      </c>
      <c r="O558" s="103">
        <f t="shared" si="192"/>
        <v>36288770.059999943</v>
      </c>
      <c r="P558" s="103">
        <f t="shared" si="192"/>
        <v>20655410.930000007</v>
      </c>
      <c r="Q558" s="103">
        <f t="shared" si="193"/>
        <v>56944180.98999995</v>
      </c>
      <c r="R558" s="236"/>
      <c r="S558" s="730" t="str">
        <f t="shared" si="198"/>
        <v/>
      </c>
      <c r="T558" s="730">
        <f t="shared" si="198"/>
        <v>0.83405292541683373</v>
      </c>
      <c r="U558" s="730">
        <f t="shared" si="198"/>
        <v>0.94166219085756286</v>
      </c>
      <c r="V558" s="730">
        <f t="shared" si="198"/>
        <v>0.90057627148190134</v>
      </c>
      <c r="W558" s="254"/>
      <c r="X558" s="237" t="s">
        <v>598</v>
      </c>
    </row>
    <row r="559" spans="1:26" s="256" customFormat="1" ht="11.25" hidden="1" customHeight="1">
      <c r="A559" s="246" t="s">
        <v>155</v>
      </c>
      <c r="B559" s="246" t="s">
        <v>617</v>
      </c>
      <c r="C559" s="389"/>
      <c r="D559" s="389" t="s">
        <v>98</v>
      </c>
      <c r="E559" s="390" t="s">
        <v>767</v>
      </c>
      <c r="F559" s="391">
        <f>+F557+F558</f>
        <v>208238000</v>
      </c>
      <c r="G559" s="391">
        <f t="shared" ref="G559:M559" si="204">+G557+G558</f>
        <v>443437768.78999996</v>
      </c>
      <c r="H559" s="391">
        <f t="shared" si="204"/>
        <v>354065592</v>
      </c>
      <c r="I559" s="391">
        <f t="shared" si="204"/>
        <v>1005741360.79</v>
      </c>
      <c r="J559" s="391">
        <f t="shared" si="204"/>
        <v>191650876.61999997</v>
      </c>
      <c r="K559" s="391">
        <f t="shared" si="204"/>
        <v>382782681.99000001</v>
      </c>
      <c r="L559" s="391">
        <f t="shared" si="204"/>
        <v>333410181.06999999</v>
      </c>
      <c r="M559" s="391">
        <f t="shared" si="204"/>
        <v>907843739.68000007</v>
      </c>
      <c r="N559" s="391">
        <f t="shared" si="192"/>
        <v>16587123.380000025</v>
      </c>
      <c r="O559" s="391">
        <f t="shared" si="192"/>
        <v>60655086.799999952</v>
      </c>
      <c r="P559" s="391">
        <f t="shared" si="192"/>
        <v>20655410.930000007</v>
      </c>
      <c r="Q559" s="391">
        <f t="shared" si="193"/>
        <v>97897621.109999985</v>
      </c>
      <c r="R559" s="665"/>
      <c r="S559" s="254">
        <f t="shared" si="198"/>
        <v>0.92034535781173454</v>
      </c>
      <c r="T559" s="254">
        <f t="shared" si="198"/>
        <v>0.86321623671003866</v>
      </c>
      <c r="U559" s="254">
        <f t="shared" si="198"/>
        <v>0.94166219085756286</v>
      </c>
      <c r="V559" s="297">
        <f t="shared" si="198"/>
        <v>0.90266123585381608</v>
      </c>
      <c r="W559" s="254"/>
      <c r="X559" s="271" t="s">
        <v>598</v>
      </c>
      <c r="Y559" s="628"/>
      <c r="Z559" s="255"/>
    </row>
    <row r="560" spans="1:26" ht="11.25" hidden="1" customHeight="1">
      <c r="A560" s="246" t="s">
        <v>155</v>
      </c>
      <c r="B560" s="235" t="s">
        <v>617</v>
      </c>
      <c r="C560" s="410"/>
      <c r="D560" s="396"/>
      <c r="E560" s="806"/>
      <c r="F560" s="807"/>
      <c r="G560" s="807"/>
      <c r="H560" s="807"/>
      <c r="I560" s="807"/>
      <c r="J560" s="807"/>
      <c r="K560" s="807"/>
      <c r="L560" s="807"/>
      <c r="M560" s="807"/>
      <c r="N560" s="807">
        <f t="shared" si="192"/>
        <v>0</v>
      </c>
      <c r="O560" s="807">
        <f t="shared" si="192"/>
        <v>0</v>
      </c>
      <c r="P560" s="807">
        <f t="shared" si="192"/>
        <v>0</v>
      </c>
      <c r="Q560" s="807">
        <f t="shared" si="193"/>
        <v>0</v>
      </c>
      <c r="R560" s="276"/>
      <c r="S560" s="730" t="str">
        <f t="shared" si="198"/>
        <v/>
      </c>
      <c r="T560" s="730" t="str">
        <f t="shared" si="198"/>
        <v/>
      </c>
      <c r="U560" s="730" t="str">
        <f t="shared" si="198"/>
        <v/>
      </c>
      <c r="V560" s="730" t="str">
        <f t="shared" si="198"/>
        <v/>
      </c>
      <c r="W560" s="254"/>
      <c r="X560" s="237" t="s">
        <v>598</v>
      </c>
    </row>
    <row r="561" spans="1:26" s="256" customFormat="1" ht="11.25" hidden="1" customHeight="1">
      <c r="A561" s="246" t="s">
        <v>155</v>
      </c>
      <c r="B561" s="246" t="s">
        <v>617</v>
      </c>
      <c r="C561" s="389"/>
      <c r="D561" s="389" t="s">
        <v>98</v>
      </c>
      <c r="E561" s="390" t="s">
        <v>99</v>
      </c>
      <c r="F561" s="391">
        <f>+F562</f>
        <v>19272000</v>
      </c>
      <c r="G561" s="391">
        <f t="shared" ref="G561:M561" si="205">+G562</f>
        <v>0</v>
      </c>
      <c r="H561" s="391">
        <f t="shared" si="205"/>
        <v>0</v>
      </c>
      <c r="I561" s="391">
        <f t="shared" si="205"/>
        <v>19272000</v>
      </c>
      <c r="J561" s="391">
        <f t="shared" si="205"/>
        <v>15958294.550000001</v>
      </c>
      <c r="K561" s="391">
        <f t="shared" si="205"/>
        <v>0</v>
      </c>
      <c r="L561" s="391">
        <f t="shared" si="205"/>
        <v>0</v>
      </c>
      <c r="M561" s="391">
        <f t="shared" si="205"/>
        <v>15958294.550000001</v>
      </c>
      <c r="N561" s="391">
        <f t="shared" si="192"/>
        <v>3313705.4499999993</v>
      </c>
      <c r="O561" s="391">
        <f t="shared" si="192"/>
        <v>0</v>
      </c>
      <c r="P561" s="391">
        <f t="shared" si="192"/>
        <v>0</v>
      </c>
      <c r="Q561" s="391">
        <f t="shared" si="193"/>
        <v>3313705.4499999993</v>
      </c>
      <c r="R561" s="522"/>
      <c r="S561" s="254">
        <f t="shared" si="198"/>
        <v>0.82805596461187214</v>
      </c>
      <c r="T561" s="254" t="str">
        <f t="shared" si="198"/>
        <v/>
      </c>
      <c r="U561" s="254" t="str">
        <f t="shared" si="198"/>
        <v/>
      </c>
      <c r="V561" s="297">
        <f t="shared" si="198"/>
        <v>0.82805596461187214</v>
      </c>
      <c r="W561" s="254"/>
      <c r="X561" s="271" t="s">
        <v>598</v>
      </c>
      <c r="Y561" s="628"/>
      <c r="Z561" s="255"/>
    </row>
    <row r="562" spans="1:26" ht="11.25" hidden="1" customHeight="1">
      <c r="A562" s="246" t="s">
        <v>155</v>
      </c>
      <c r="B562" s="235" t="s">
        <v>617</v>
      </c>
      <c r="C562" s="728"/>
      <c r="D562" s="394" t="s">
        <v>286</v>
      </c>
      <c r="E562" s="729" t="s">
        <v>286</v>
      </c>
      <c r="F562" s="103">
        <f>+F531+F547</f>
        <v>19272000</v>
      </c>
      <c r="G562" s="103">
        <f>+G531+G547</f>
        <v>0</v>
      </c>
      <c r="H562" s="103">
        <f>+H531+H547</f>
        <v>0</v>
      </c>
      <c r="I562" s="103">
        <f>SUM(F562:H562)</f>
        <v>19272000</v>
      </c>
      <c r="J562" s="103">
        <f>+J531+J547</f>
        <v>15958294.550000001</v>
      </c>
      <c r="K562" s="103">
        <f>+K531+K547</f>
        <v>0</v>
      </c>
      <c r="L562" s="103">
        <f>+L531+L547</f>
        <v>0</v>
      </c>
      <c r="M562" s="103">
        <f>SUM(J562:L562)</f>
        <v>15958294.550000001</v>
      </c>
      <c r="N562" s="103">
        <f t="shared" si="192"/>
        <v>3313705.4499999993</v>
      </c>
      <c r="O562" s="103">
        <f t="shared" si="192"/>
        <v>0</v>
      </c>
      <c r="P562" s="103">
        <f t="shared" si="192"/>
        <v>0</v>
      </c>
      <c r="Q562" s="103">
        <f t="shared" si="193"/>
        <v>3313705.4499999993</v>
      </c>
      <c r="R562" s="236"/>
      <c r="S562" s="730">
        <f t="shared" si="198"/>
        <v>0.82805596461187214</v>
      </c>
      <c r="T562" s="730" t="str">
        <f t="shared" si="198"/>
        <v/>
      </c>
      <c r="U562" s="730" t="str">
        <f t="shared" si="198"/>
        <v/>
      </c>
      <c r="V562" s="730">
        <f t="shared" si="198"/>
        <v>0.82805596461187214</v>
      </c>
      <c r="W562" s="254"/>
      <c r="X562" s="237" t="s">
        <v>598</v>
      </c>
    </row>
    <row r="563" spans="1:26" s="272" customFormat="1" ht="11.25" hidden="1" customHeight="1">
      <c r="A563" s="246" t="s">
        <v>155</v>
      </c>
      <c r="B563" s="246" t="s">
        <v>617</v>
      </c>
      <c r="C563" s="389"/>
      <c r="D563" s="389" t="s">
        <v>98</v>
      </c>
      <c r="E563" s="390" t="s">
        <v>100</v>
      </c>
      <c r="F563" s="391">
        <f t="shared" ref="F563:M563" si="206">SUM(F564:F568)</f>
        <v>9918880</v>
      </c>
      <c r="G563" s="391">
        <f t="shared" si="206"/>
        <v>5180000</v>
      </c>
      <c r="H563" s="391">
        <f t="shared" si="206"/>
        <v>0</v>
      </c>
      <c r="I563" s="391">
        <f t="shared" si="206"/>
        <v>15098880</v>
      </c>
      <c r="J563" s="391">
        <f t="shared" si="206"/>
        <v>8139235.3499999996</v>
      </c>
      <c r="K563" s="391">
        <f t="shared" si="206"/>
        <v>5177986.01</v>
      </c>
      <c r="L563" s="391">
        <f t="shared" si="206"/>
        <v>0</v>
      </c>
      <c r="M563" s="391">
        <f t="shared" si="206"/>
        <v>13317221.359999999</v>
      </c>
      <c r="N563" s="391">
        <f t="shared" si="192"/>
        <v>1779644.6500000004</v>
      </c>
      <c r="O563" s="391">
        <f t="shared" si="192"/>
        <v>2013.9900000002235</v>
      </c>
      <c r="P563" s="391">
        <f t="shared" si="192"/>
        <v>0</v>
      </c>
      <c r="Q563" s="391">
        <f t="shared" si="193"/>
        <v>1781658.6400000006</v>
      </c>
      <c r="R563" s="94"/>
      <c r="S563" s="254">
        <f t="shared" si="198"/>
        <v>0.82058008061394028</v>
      </c>
      <c r="T563" s="254">
        <f t="shared" si="198"/>
        <v>0.9996111988416988</v>
      </c>
      <c r="U563" s="254" t="str">
        <f t="shared" si="198"/>
        <v/>
      </c>
      <c r="V563" s="297">
        <f t="shared" si="198"/>
        <v>0.88200060931671753</v>
      </c>
      <c r="W563" s="254"/>
      <c r="X563" s="527" t="s">
        <v>598</v>
      </c>
      <c r="Y563" s="629"/>
      <c r="Z563" s="277"/>
    </row>
    <row r="564" spans="1:26" ht="11.25" hidden="1" customHeight="1">
      <c r="A564" s="246" t="s">
        <v>155</v>
      </c>
      <c r="B564" s="235" t="s">
        <v>617</v>
      </c>
      <c r="C564" s="728"/>
      <c r="D564" s="394" t="s">
        <v>288</v>
      </c>
      <c r="E564" s="729" t="s">
        <v>288</v>
      </c>
      <c r="F564" s="103">
        <f t="shared" ref="F564:H565" si="207">+F533+F549</f>
        <v>1627141</v>
      </c>
      <c r="G564" s="103">
        <f t="shared" si="207"/>
        <v>0</v>
      </c>
      <c r="H564" s="103">
        <f t="shared" si="207"/>
        <v>0</v>
      </c>
      <c r="I564" s="103">
        <f>SUM(F564:H564)</f>
        <v>1627141</v>
      </c>
      <c r="J564" s="103">
        <f t="shared" ref="J564:L565" si="208">+J533+J549</f>
        <v>0</v>
      </c>
      <c r="K564" s="103">
        <f t="shared" si="208"/>
        <v>0</v>
      </c>
      <c r="L564" s="103">
        <f t="shared" si="208"/>
        <v>0</v>
      </c>
      <c r="M564" s="103">
        <f>SUM(J564:L564)</f>
        <v>0</v>
      </c>
      <c r="N564" s="103">
        <f t="shared" si="192"/>
        <v>1627141</v>
      </c>
      <c r="O564" s="103">
        <f t="shared" si="192"/>
        <v>0</v>
      </c>
      <c r="P564" s="103">
        <f t="shared" si="192"/>
        <v>0</v>
      </c>
      <c r="Q564" s="103">
        <f t="shared" si="193"/>
        <v>1627141</v>
      </c>
      <c r="R564" s="236"/>
      <c r="S564" s="730">
        <f t="shared" si="198"/>
        <v>0</v>
      </c>
      <c r="T564" s="730" t="str">
        <f t="shared" si="198"/>
        <v/>
      </c>
      <c r="U564" s="730" t="str">
        <f t="shared" si="198"/>
        <v/>
      </c>
      <c r="V564" s="730">
        <f t="shared" si="198"/>
        <v>0</v>
      </c>
      <c r="W564" s="254"/>
      <c r="X564" s="237" t="s">
        <v>598</v>
      </c>
    </row>
    <row r="565" spans="1:26" ht="11.25" hidden="1" customHeight="1">
      <c r="A565" s="246" t="s">
        <v>155</v>
      </c>
      <c r="B565" s="235" t="s">
        <v>617</v>
      </c>
      <c r="C565" s="728"/>
      <c r="D565" s="394" t="s">
        <v>761</v>
      </c>
      <c r="E565" s="729" t="s">
        <v>761</v>
      </c>
      <c r="F565" s="104">
        <f t="shared" si="207"/>
        <v>3480000</v>
      </c>
      <c r="G565" s="104">
        <f t="shared" si="207"/>
        <v>0</v>
      </c>
      <c r="H565" s="104">
        <f t="shared" si="207"/>
        <v>0</v>
      </c>
      <c r="I565" s="104">
        <f>+I534+I550</f>
        <v>3480000</v>
      </c>
      <c r="J565" s="104">
        <f t="shared" si="208"/>
        <v>3327500</v>
      </c>
      <c r="K565" s="104">
        <f t="shared" si="208"/>
        <v>0</v>
      </c>
      <c r="L565" s="104">
        <f t="shared" si="208"/>
        <v>0</v>
      </c>
      <c r="M565" s="103">
        <f>SUM(J565:L565)</f>
        <v>3327500</v>
      </c>
      <c r="N565" s="103">
        <f t="shared" si="192"/>
        <v>152500</v>
      </c>
      <c r="O565" s="103">
        <f t="shared" si="192"/>
        <v>0</v>
      </c>
      <c r="P565" s="103">
        <f t="shared" si="192"/>
        <v>0</v>
      </c>
      <c r="Q565" s="103">
        <f>SUM(N565:P565)</f>
        <v>152500</v>
      </c>
      <c r="R565" s="236"/>
      <c r="S565" s="730">
        <f t="shared" si="198"/>
        <v>0.95617816091954022</v>
      </c>
      <c r="T565" s="730" t="str">
        <f t="shared" si="198"/>
        <v/>
      </c>
      <c r="U565" s="730" t="str">
        <f t="shared" si="198"/>
        <v/>
      </c>
      <c r="V565" s="730">
        <f t="shared" si="198"/>
        <v>0.95617816091954022</v>
      </c>
      <c r="W565" s="254"/>
      <c r="X565" s="237" t="s">
        <v>598</v>
      </c>
    </row>
    <row r="566" spans="1:26" ht="11.25" hidden="1" customHeight="1">
      <c r="A566" s="246" t="s">
        <v>155</v>
      </c>
      <c r="B566" s="235" t="s">
        <v>617</v>
      </c>
      <c r="C566" s="410"/>
      <c r="D566" s="386"/>
      <c r="E566" s="461"/>
      <c r="F566" s="104"/>
      <c r="G566" s="104"/>
      <c r="H566" s="104"/>
      <c r="I566" s="103">
        <f>SUM(F566:H566)</f>
        <v>0</v>
      </c>
      <c r="J566" s="104"/>
      <c r="K566" s="104"/>
      <c r="L566" s="104"/>
      <c r="M566" s="103">
        <f>SUM(J566:L566)</f>
        <v>0</v>
      </c>
      <c r="N566" s="103">
        <f t="shared" si="192"/>
        <v>0</v>
      </c>
      <c r="O566" s="103">
        <f t="shared" si="192"/>
        <v>0</v>
      </c>
      <c r="P566" s="103">
        <f t="shared" si="192"/>
        <v>0</v>
      </c>
      <c r="Q566" s="103">
        <f>SUM(N566:P566)</f>
        <v>0</v>
      </c>
      <c r="R566" s="236"/>
      <c r="S566" s="730" t="str">
        <f t="shared" si="198"/>
        <v/>
      </c>
      <c r="T566" s="730" t="str">
        <f t="shared" si="198"/>
        <v/>
      </c>
      <c r="U566" s="730" t="str">
        <f t="shared" si="198"/>
        <v/>
      </c>
      <c r="V566" s="730" t="str">
        <f t="shared" si="198"/>
        <v/>
      </c>
      <c r="W566" s="254"/>
      <c r="X566" s="237" t="s">
        <v>598</v>
      </c>
      <c r="Z566" s="241" t="s">
        <v>598</v>
      </c>
    </row>
    <row r="567" spans="1:26" ht="11.25" hidden="1" customHeight="1">
      <c r="A567" s="246" t="s">
        <v>155</v>
      </c>
      <c r="B567" s="235" t="s">
        <v>617</v>
      </c>
      <c r="C567" s="728"/>
      <c r="D567" s="394" t="s">
        <v>289</v>
      </c>
      <c r="E567" s="729" t="s">
        <v>289</v>
      </c>
      <c r="F567" s="103">
        <f t="shared" ref="F567:H568" si="209">+F536+F552</f>
        <v>4811739</v>
      </c>
      <c r="G567" s="103">
        <f t="shared" si="209"/>
        <v>0</v>
      </c>
      <c r="H567" s="103">
        <f t="shared" si="209"/>
        <v>0</v>
      </c>
      <c r="I567" s="103">
        <f>SUM(F567:H567)</f>
        <v>4811739</v>
      </c>
      <c r="J567" s="103">
        <f t="shared" ref="J567:L568" si="210">+J536+J552</f>
        <v>4811735.3499999996</v>
      </c>
      <c r="K567" s="103">
        <f t="shared" si="210"/>
        <v>0</v>
      </c>
      <c r="L567" s="103">
        <f t="shared" si="210"/>
        <v>0</v>
      </c>
      <c r="M567" s="103">
        <f>SUM(J567:L567)</f>
        <v>4811735.3499999996</v>
      </c>
      <c r="N567" s="103">
        <f t="shared" si="192"/>
        <v>3.650000000372529</v>
      </c>
      <c r="O567" s="103">
        <f t="shared" si="192"/>
        <v>0</v>
      </c>
      <c r="P567" s="103">
        <f t="shared" si="192"/>
        <v>0</v>
      </c>
      <c r="Q567" s="103">
        <f t="shared" si="193"/>
        <v>3.650000000372529</v>
      </c>
      <c r="R567" s="236"/>
      <c r="S567" s="730">
        <f t="shared" si="198"/>
        <v>0.99999924143849028</v>
      </c>
      <c r="T567" s="730" t="str">
        <f t="shared" si="198"/>
        <v/>
      </c>
      <c r="U567" s="730" t="str">
        <f t="shared" si="198"/>
        <v/>
      </c>
      <c r="V567" s="730">
        <f t="shared" si="198"/>
        <v>0.99999924143849028</v>
      </c>
      <c r="W567" s="254"/>
      <c r="X567" s="237" t="s">
        <v>598</v>
      </c>
    </row>
    <row r="568" spans="1:26" ht="11.25" hidden="1" customHeight="1">
      <c r="A568" s="246" t="s">
        <v>155</v>
      </c>
      <c r="B568" s="235" t="s">
        <v>617</v>
      </c>
      <c r="C568" s="728"/>
      <c r="D568" s="394" t="s">
        <v>290</v>
      </c>
      <c r="E568" s="729" t="s">
        <v>290</v>
      </c>
      <c r="F568" s="103">
        <f t="shared" si="209"/>
        <v>0</v>
      </c>
      <c r="G568" s="103">
        <f t="shared" si="209"/>
        <v>5180000</v>
      </c>
      <c r="H568" s="103">
        <f t="shared" si="209"/>
        <v>0</v>
      </c>
      <c r="I568" s="103">
        <f>SUM(F568:H568)</f>
        <v>5180000</v>
      </c>
      <c r="J568" s="103">
        <f t="shared" si="210"/>
        <v>0</v>
      </c>
      <c r="K568" s="103">
        <f t="shared" si="210"/>
        <v>5177986.01</v>
      </c>
      <c r="L568" s="103">
        <f t="shared" si="210"/>
        <v>0</v>
      </c>
      <c r="M568" s="103">
        <f>SUM(J568:L568)</f>
        <v>5177986.01</v>
      </c>
      <c r="N568" s="103">
        <f t="shared" si="192"/>
        <v>0</v>
      </c>
      <c r="O568" s="103">
        <f t="shared" si="192"/>
        <v>2013.9900000002235</v>
      </c>
      <c r="P568" s="103">
        <f t="shared" si="192"/>
        <v>0</v>
      </c>
      <c r="Q568" s="103">
        <f t="shared" si="193"/>
        <v>2013.9900000002235</v>
      </c>
      <c r="R568" s="236"/>
      <c r="S568" s="730" t="str">
        <f t="shared" si="198"/>
        <v/>
      </c>
      <c r="T568" s="730">
        <f t="shared" si="198"/>
        <v>0.9996111988416988</v>
      </c>
      <c r="U568" s="730" t="str">
        <f t="shared" si="198"/>
        <v/>
      </c>
      <c r="V568" s="730">
        <f t="shared" si="198"/>
        <v>0.9996111988416988</v>
      </c>
      <c r="W568" s="254"/>
      <c r="X568" s="237" t="s">
        <v>598</v>
      </c>
    </row>
    <row r="569" spans="1:26" s="266" customFormat="1" ht="25.5" customHeight="1">
      <c r="A569" s="246" t="s">
        <v>155</v>
      </c>
      <c r="B569" s="1009" t="s">
        <v>617</v>
      </c>
      <c r="C569" s="1431" t="s">
        <v>618</v>
      </c>
      <c r="D569" s="1432"/>
      <c r="E569" s="1433"/>
      <c r="F569" s="666">
        <f>+F563+F561+F559</f>
        <v>237428880</v>
      </c>
      <c r="G569" s="666">
        <f t="shared" ref="G569:M569" si="211">+G563+G561+G559</f>
        <v>448617768.78999996</v>
      </c>
      <c r="H569" s="666">
        <f t="shared" si="211"/>
        <v>354065592</v>
      </c>
      <c r="I569" s="666">
        <f>+I563+I561+I559</f>
        <v>1040112240.79</v>
      </c>
      <c r="J569" s="666">
        <f t="shared" si="211"/>
        <v>215748406.51999998</v>
      </c>
      <c r="K569" s="666">
        <f t="shared" si="211"/>
        <v>387960668</v>
      </c>
      <c r="L569" s="666">
        <f t="shared" si="211"/>
        <v>333410181.06999999</v>
      </c>
      <c r="M569" s="666">
        <f t="shared" si="211"/>
        <v>937119255.59000003</v>
      </c>
      <c r="N569" s="666">
        <f t="shared" si="192"/>
        <v>21680473.480000019</v>
      </c>
      <c r="O569" s="666">
        <f t="shared" si="192"/>
        <v>60657100.789999962</v>
      </c>
      <c r="P569" s="666">
        <f t="shared" si="192"/>
        <v>20655410.930000007</v>
      </c>
      <c r="Q569" s="666">
        <f t="shared" si="193"/>
        <v>102992985.19999999</v>
      </c>
      <c r="R569" s="667">
        <f>+Q569-'[3]chd4A-SAOB'!AS178</f>
        <v>0</v>
      </c>
      <c r="S569" s="1010">
        <f t="shared" si="198"/>
        <v>0.90868645179137419</v>
      </c>
      <c r="T569" s="1010">
        <f t="shared" si="198"/>
        <v>0.86479113176100297</v>
      </c>
      <c r="U569" s="1010">
        <f t="shared" si="198"/>
        <v>0.94166219085756286</v>
      </c>
      <c r="V569" s="1010">
        <f t="shared" si="198"/>
        <v>0.9009789701909735</v>
      </c>
      <c r="W569" s="254"/>
      <c r="X569" s="237" t="s">
        <v>598</v>
      </c>
      <c r="Y569" s="610" t="s">
        <v>598</v>
      </c>
      <c r="Z569" s="241" t="s">
        <v>598</v>
      </c>
    </row>
    <row r="570" spans="1:26" ht="11.25" customHeight="1">
      <c r="A570" s="246" t="s">
        <v>155</v>
      </c>
      <c r="B570" s="235" t="s">
        <v>617</v>
      </c>
      <c r="C570" s="410"/>
      <c r="D570" s="386"/>
      <c r="E570" s="461"/>
      <c r="F570" s="104"/>
      <c r="G570" s="104"/>
      <c r="H570" s="104"/>
      <c r="I570" s="103">
        <f>SUM(F570:H570)</f>
        <v>0</v>
      </c>
      <c r="J570" s="104"/>
      <c r="K570" s="104"/>
      <c r="L570" s="104"/>
      <c r="M570" s="103">
        <f>SUM(J570:L570)</f>
        <v>0</v>
      </c>
      <c r="N570" s="103">
        <f t="shared" si="192"/>
        <v>0</v>
      </c>
      <c r="O570" s="103">
        <f t="shared" si="192"/>
        <v>0</v>
      </c>
      <c r="P570" s="103">
        <f t="shared" si="192"/>
        <v>0</v>
      </c>
      <c r="Q570" s="103">
        <f t="shared" si="193"/>
        <v>0</v>
      </c>
      <c r="S570" s="730" t="str">
        <f t="shared" si="198"/>
        <v/>
      </c>
      <c r="T570" s="730" t="str">
        <f t="shared" si="198"/>
        <v/>
      </c>
      <c r="U570" s="730" t="str">
        <f t="shared" si="198"/>
        <v/>
      </c>
      <c r="V570" s="730" t="str">
        <f t="shared" si="198"/>
        <v/>
      </c>
      <c r="W570" s="254"/>
      <c r="Y570" s="610" t="s">
        <v>598</v>
      </c>
      <c r="Z570" s="241" t="s">
        <v>598</v>
      </c>
    </row>
    <row r="571" spans="1:26" ht="11.25" customHeight="1">
      <c r="A571" s="528" t="s">
        <v>620</v>
      </c>
      <c r="B571" s="528" t="s">
        <v>157</v>
      </c>
      <c r="C571" s="408"/>
      <c r="D571" s="529"/>
      <c r="E571" s="408" t="s">
        <v>157</v>
      </c>
      <c r="F571" s="104"/>
      <c r="G571" s="104"/>
      <c r="H571" s="104"/>
      <c r="I571" s="103">
        <f>SUM(F571:H571)</f>
        <v>0</v>
      </c>
      <c r="J571" s="104"/>
      <c r="K571" s="104"/>
      <c r="L571" s="104"/>
      <c r="M571" s="103">
        <f>SUM(J571:L571)</f>
        <v>0</v>
      </c>
      <c r="N571" s="103">
        <f t="shared" si="192"/>
        <v>0</v>
      </c>
      <c r="O571" s="103">
        <f t="shared" si="192"/>
        <v>0</v>
      </c>
      <c r="P571" s="103">
        <f t="shared" si="192"/>
        <v>0</v>
      </c>
      <c r="Q571" s="103">
        <f t="shared" si="193"/>
        <v>0</v>
      </c>
      <c r="S571" s="730" t="str">
        <f t="shared" si="198"/>
        <v/>
      </c>
      <c r="T571" s="730" t="str">
        <f t="shared" si="198"/>
        <v/>
      </c>
      <c r="U571" s="730" t="str">
        <f t="shared" si="198"/>
        <v/>
      </c>
      <c r="V571" s="730" t="str">
        <f t="shared" si="198"/>
        <v/>
      </c>
      <c r="W571" s="531"/>
      <c r="X571" s="236"/>
      <c r="Y571" s="236" t="s">
        <v>598</v>
      </c>
      <c r="Z571" s="240" t="s">
        <v>598</v>
      </c>
    </row>
    <row r="572" spans="1:26" ht="11.25" customHeight="1">
      <c r="A572" s="528" t="s">
        <v>620</v>
      </c>
      <c r="B572" s="1013" t="s">
        <v>157</v>
      </c>
      <c r="C572" s="461"/>
      <c r="D572" s="645" t="s">
        <v>766</v>
      </c>
      <c r="E572" s="447" t="s">
        <v>766</v>
      </c>
      <c r="F572" s="103">
        <f>SUM(F573:F575)</f>
        <v>57049000</v>
      </c>
      <c r="G572" s="103">
        <f t="shared" ref="G572:M572" si="212">SUM(G573:G575)</f>
        <v>161851000</v>
      </c>
      <c r="H572" s="103">
        <f t="shared" si="212"/>
        <v>0</v>
      </c>
      <c r="I572" s="103">
        <f t="shared" si="212"/>
        <v>218900000</v>
      </c>
      <c r="J572" s="103">
        <f t="shared" si="212"/>
        <v>51747575.620000005</v>
      </c>
      <c r="K572" s="103">
        <f t="shared" si="212"/>
        <v>132958193.12</v>
      </c>
      <c r="L572" s="103">
        <f t="shared" si="212"/>
        <v>0</v>
      </c>
      <c r="M572" s="103">
        <f t="shared" si="212"/>
        <v>184705768.74000001</v>
      </c>
      <c r="N572" s="103">
        <f t="shared" si="192"/>
        <v>5301424.3799999952</v>
      </c>
      <c r="O572" s="103">
        <f t="shared" si="192"/>
        <v>28892806.879999995</v>
      </c>
      <c r="P572" s="103">
        <f t="shared" si="192"/>
        <v>0</v>
      </c>
      <c r="Q572" s="103">
        <f t="shared" si="193"/>
        <v>34194231.25999999</v>
      </c>
      <c r="S572" s="730">
        <f t="shared" si="198"/>
        <v>0.9070724398324248</v>
      </c>
      <c r="T572" s="730">
        <f t="shared" si="198"/>
        <v>0.82148515066326444</v>
      </c>
      <c r="U572" s="730" t="str">
        <f t="shared" si="198"/>
        <v/>
      </c>
      <c r="V572" s="730">
        <f t="shared" si="198"/>
        <v>0.84379062923709458</v>
      </c>
      <c r="W572" s="531"/>
      <c r="X572" s="236"/>
      <c r="Y572" s="236" t="s">
        <v>688</v>
      </c>
      <c r="Z572" s="236"/>
    </row>
    <row r="573" spans="1:26" ht="11.25" hidden="1" customHeight="1">
      <c r="A573" s="528" t="s">
        <v>620</v>
      </c>
      <c r="B573" s="1013" t="s">
        <v>157</v>
      </c>
      <c r="C573" s="411"/>
      <c r="D573" s="647" t="s">
        <v>98</v>
      </c>
      <c r="E573" s="459" t="s">
        <v>775</v>
      </c>
      <c r="F573" s="103">
        <f>+'[3]chd4b-SAOB'!C14</f>
        <v>17962000</v>
      </c>
      <c r="G573" s="103">
        <f>+'[3]chd4b-SAOB'!C50</f>
        <v>10339000</v>
      </c>
      <c r="H573" s="103">
        <f>+'[3]chd4b-SAOB'!C143</f>
        <v>0</v>
      </c>
      <c r="I573" s="103">
        <f>SUM(F573:H573)</f>
        <v>28301000</v>
      </c>
      <c r="J573" s="103">
        <f>+'[3]chd4b-SAOB'!C15</f>
        <v>16482438.110000001</v>
      </c>
      <c r="K573" s="103">
        <f>+'[3]chd4b-SAOB'!C51</f>
        <v>10263933.640000001</v>
      </c>
      <c r="L573" s="103">
        <f>+'[3]chd4b-SAOB'!C144</f>
        <v>0</v>
      </c>
      <c r="M573" s="103">
        <f>SUM(J573:L573)</f>
        <v>26746371.75</v>
      </c>
      <c r="N573" s="103">
        <f t="shared" si="192"/>
        <v>1479561.8899999987</v>
      </c>
      <c r="O573" s="103">
        <f t="shared" si="192"/>
        <v>75066.359999999404</v>
      </c>
      <c r="P573" s="103">
        <f t="shared" si="192"/>
        <v>0</v>
      </c>
      <c r="Q573" s="103">
        <f t="shared" si="193"/>
        <v>1554628.2499999981</v>
      </c>
      <c r="R573" s="236"/>
      <c r="S573" s="730">
        <f t="shared" si="198"/>
        <v>0.91762822124485033</v>
      </c>
      <c r="T573" s="730">
        <f t="shared" si="198"/>
        <v>0.99273949511558179</v>
      </c>
      <c r="U573" s="730" t="str">
        <f t="shared" si="198"/>
        <v/>
      </c>
      <c r="V573" s="730">
        <f t="shared" si="198"/>
        <v>0.94506808063319314</v>
      </c>
      <c r="W573" s="531"/>
      <c r="X573" s="236"/>
      <c r="Y573" s="236"/>
      <c r="Z573" s="236"/>
    </row>
    <row r="574" spans="1:26" ht="11.25" hidden="1" customHeight="1">
      <c r="A574" s="528" t="s">
        <v>620</v>
      </c>
      <c r="B574" s="1013" t="s">
        <v>157</v>
      </c>
      <c r="C574" s="406" t="s">
        <v>776</v>
      </c>
      <c r="D574" s="647" t="s">
        <v>98</v>
      </c>
      <c r="E574" s="406" t="s">
        <v>776</v>
      </c>
      <c r="F574" s="103">
        <f>+'[3]chd4b-SAOB'!D14</f>
        <v>776000</v>
      </c>
      <c r="G574" s="103">
        <f>+'[3]chd4b-SAOB'!D50</f>
        <v>5176000</v>
      </c>
      <c r="H574" s="103">
        <f>+'[3]chd4b-SAOB'!D143</f>
        <v>0</v>
      </c>
      <c r="I574" s="103">
        <f>SUM(F574:H574)</f>
        <v>5952000</v>
      </c>
      <c r="J574" s="103">
        <f>+'[3]chd4b-SAOB'!D15</f>
        <v>743846.2</v>
      </c>
      <c r="K574" s="103">
        <f>+'[3]chd4b-SAOB'!D51</f>
        <v>3111765.73</v>
      </c>
      <c r="L574" s="103">
        <f>+'[3]chd4b-SAOB'!D144</f>
        <v>0</v>
      </c>
      <c r="M574" s="103">
        <f>SUM(J574:L574)</f>
        <v>3855611.9299999997</v>
      </c>
      <c r="N574" s="103">
        <f t="shared" si="192"/>
        <v>32153.800000000047</v>
      </c>
      <c r="O574" s="103">
        <f t="shared" si="192"/>
        <v>2064234.27</v>
      </c>
      <c r="P574" s="103">
        <f t="shared" si="192"/>
        <v>0</v>
      </c>
      <c r="Q574" s="103">
        <f t="shared" si="193"/>
        <v>2096388.07</v>
      </c>
      <c r="R574" s="236"/>
      <c r="S574" s="730">
        <f t="shared" si="198"/>
        <v>0.9585646907216494</v>
      </c>
      <c r="T574" s="730">
        <f t="shared" si="198"/>
        <v>0.60119121522411123</v>
      </c>
      <c r="U574" s="730" t="str">
        <f t="shared" si="198"/>
        <v/>
      </c>
      <c r="V574" s="730">
        <f t="shared" si="198"/>
        <v>0.64778426243279563</v>
      </c>
      <c r="W574" s="531"/>
      <c r="X574" s="236"/>
      <c r="Y574" s="236"/>
      <c r="Z574" s="236"/>
    </row>
    <row r="575" spans="1:26" ht="11.25" hidden="1" customHeight="1">
      <c r="A575" s="528" t="s">
        <v>620</v>
      </c>
      <c r="B575" s="1013" t="s">
        <v>157</v>
      </c>
      <c r="C575" s="411"/>
      <c r="D575" s="647" t="s">
        <v>98</v>
      </c>
      <c r="E575" s="406" t="s">
        <v>777</v>
      </c>
      <c r="F575" s="103">
        <f>+'[3]chd4b-SAOB'!E14</f>
        <v>38311000</v>
      </c>
      <c r="G575" s="103">
        <f>+'[3]chd4b-SAOB'!E50</f>
        <v>146336000</v>
      </c>
      <c r="H575" s="103">
        <f>+'[3]chd4b-SAOB'!E143</f>
        <v>0</v>
      </c>
      <c r="I575" s="103">
        <f>SUM(F575:H575)</f>
        <v>184647000</v>
      </c>
      <c r="J575" s="103">
        <f>+'[3]chd4b-SAOB'!E15</f>
        <v>34521291.310000002</v>
      </c>
      <c r="K575" s="103">
        <f>+'[3]chd4b-SAOB'!E51</f>
        <v>119582493.75</v>
      </c>
      <c r="L575" s="103">
        <f>+'[3]chd4b-SAOB'!E144</f>
        <v>0</v>
      </c>
      <c r="M575" s="103">
        <f>SUM(J575:L575)</f>
        <v>154103785.06</v>
      </c>
      <c r="N575" s="103">
        <f t="shared" si="192"/>
        <v>3789708.6899999976</v>
      </c>
      <c r="O575" s="103">
        <f t="shared" si="192"/>
        <v>26753506.25</v>
      </c>
      <c r="P575" s="103">
        <f t="shared" si="192"/>
        <v>0</v>
      </c>
      <c r="Q575" s="103">
        <f t="shared" si="193"/>
        <v>30543214.939999998</v>
      </c>
      <c r="R575" s="236"/>
      <c r="S575" s="730">
        <f t="shared" si="198"/>
        <v>0.90108040275638857</v>
      </c>
      <c r="T575" s="730">
        <f t="shared" si="198"/>
        <v>0.81717754858681391</v>
      </c>
      <c r="U575" s="730" t="str">
        <f t="shared" si="198"/>
        <v/>
      </c>
      <c r="V575" s="730">
        <f t="shared" si="198"/>
        <v>0.83458591290408191</v>
      </c>
      <c r="W575" s="531"/>
      <c r="X575" s="236"/>
      <c r="Y575" s="236"/>
      <c r="Z575" s="236"/>
    </row>
    <row r="576" spans="1:26" ht="11.25" customHeight="1">
      <c r="A576" s="528" t="s">
        <v>620</v>
      </c>
      <c r="B576" s="1013" t="s">
        <v>157</v>
      </c>
      <c r="C576" s="728"/>
      <c r="D576" s="649" t="s">
        <v>50</v>
      </c>
      <c r="E576" s="447" t="s">
        <v>50</v>
      </c>
      <c r="F576" s="104"/>
      <c r="G576" s="104">
        <f>+'[3]chd4b-SAOB'!D387</f>
        <v>124048717</v>
      </c>
      <c r="H576" s="104">
        <f>+'[3]chd4b-SAOB'!E387</f>
        <v>22000000</v>
      </c>
      <c r="I576" s="103">
        <f>SUM(F576:H576)</f>
        <v>146048717</v>
      </c>
      <c r="J576" s="104"/>
      <c r="K576" s="104">
        <f>+'[3]chd4b-SAOB'!H387</f>
        <v>96803491.879999995</v>
      </c>
      <c r="L576" s="104">
        <f>+'[3]chd4b-SAOB'!I387</f>
        <v>15500000</v>
      </c>
      <c r="M576" s="103">
        <f>SUM(J576:L576)</f>
        <v>112303491.88</v>
      </c>
      <c r="N576" s="103">
        <f t="shared" si="192"/>
        <v>0</v>
      </c>
      <c r="O576" s="103">
        <f t="shared" si="192"/>
        <v>27245225.120000005</v>
      </c>
      <c r="P576" s="103">
        <f t="shared" si="192"/>
        <v>6500000</v>
      </c>
      <c r="Q576" s="103">
        <f t="shared" si="193"/>
        <v>33745225.120000005</v>
      </c>
      <c r="S576" s="730" t="str">
        <f t="shared" si="198"/>
        <v/>
      </c>
      <c r="T576" s="730">
        <f t="shared" si="198"/>
        <v>0.78036673188647321</v>
      </c>
      <c r="U576" s="730">
        <f t="shared" si="198"/>
        <v>0.70454545454545459</v>
      </c>
      <c r="V576" s="730">
        <f t="shared" si="198"/>
        <v>0.76894541894537827</v>
      </c>
      <c r="W576" s="531"/>
      <c r="X576" s="236"/>
      <c r="Y576" s="236" t="s">
        <v>688</v>
      </c>
      <c r="Z576" s="236"/>
    </row>
    <row r="577" spans="1:26" s="256" customFormat="1" ht="11.25" customHeight="1">
      <c r="A577" s="528" t="s">
        <v>620</v>
      </c>
      <c r="B577" s="528" t="s">
        <v>157</v>
      </c>
      <c r="C577" s="389"/>
      <c r="D577" s="650" t="s">
        <v>98</v>
      </c>
      <c r="E577" s="390" t="s">
        <v>767</v>
      </c>
      <c r="F577" s="391">
        <f>+F576+F572</f>
        <v>57049000</v>
      </c>
      <c r="G577" s="391">
        <f t="shared" ref="G577:M577" si="213">+G576+G572</f>
        <v>285899717</v>
      </c>
      <c r="H577" s="391">
        <f t="shared" si="213"/>
        <v>22000000</v>
      </c>
      <c r="I577" s="391">
        <f t="shared" si="213"/>
        <v>364948717</v>
      </c>
      <c r="J577" s="391">
        <f t="shared" si="213"/>
        <v>51747575.620000005</v>
      </c>
      <c r="K577" s="391">
        <f t="shared" si="213"/>
        <v>229761685</v>
      </c>
      <c r="L577" s="391">
        <f t="shared" si="213"/>
        <v>15500000</v>
      </c>
      <c r="M577" s="391">
        <f t="shared" si="213"/>
        <v>297009260.62</v>
      </c>
      <c r="N577" s="391">
        <f t="shared" si="192"/>
        <v>5301424.3799999952</v>
      </c>
      <c r="O577" s="391">
        <f t="shared" si="192"/>
        <v>56138032</v>
      </c>
      <c r="P577" s="391">
        <f t="shared" si="192"/>
        <v>6500000</v>
      </c>
      <c r="Q577" s="391">
        <f t="shared" si="193"/>
        <v>67939456.379999995</v>
      </c>
      <c r="R577" s="101"/>
      <c r="S577" s="254">
        <f t="shared" si="198"/>
        <v>0.9070724398324248</v>
      </c>
      <c r="T577" s="254">
        <f t="shared" si="198"/>
        <v>0.80364432469864944</v>
      </c>
      <c r="U577" s="254">
        <f t="shared" si="198"/>
        <v>0.70454545454545459</v>
      </c>
      <c r="V577" s="254">
        <f t="shared" si="198"/>
        <v>0.81383834710124492</v>
      </c>
      <c r="W577" s="531"/>
      <c r="Y577" s="256" t="s">
        <v>598</v>
      </c>
      <c r="Z577" s="256" t="s">
        <v>598</v>
      </c>
    </row>
    <row r="578" spans="1:26" ht="11.25" hidden="1" customHeight="1">
      <c r="A578" s="528" t="s">
        <v>620</v>
      </c>
      <c r="B578" s="1013" t="s">
        <v>157</v>
      </c>
      <c r="C578" s="410"/>
      <c r="D578" s="651"/>
      <c r="E578" s="806"/>
      <c r="F578" s="807"/>
      <c r="G578" s="807"/>
      <c r="H578" s="807"/>
      <c r="I578" s="807"/>
      <c r="J578" s="807"/>
      <c r="K578" s="807"/>
      <c r="L578" s="807"/>
      <c r="M578" s="807"/>
      <c r="N578" s="807">
        <f t="shared" si="192"/>
        <v>0</v>
      </c>
      <c r="O578" s="807">
        <f t="shared" si="192"/>
        <v>0</v>
      </c>
      <c r="P578" s="807">
        <f t="shared" si="192"/>
        <v>0</v>
      </c>
      <c r="Q578" s="807">
        <f t="shared" si="193"/>
        <v>0</v>
      </c>
      <c r="R578" s="276"/>
      <c r="S578" s="730" t="str">
        <f t="shared" si="198"/>
        <v/>
      </c>
      <c r="T578" s="730" t="str">
        <f t="shared" si="198"/>
        <v/>
      </c>
      <c r="U578" s="730" t="str">
        <f t="shared" si="198"/>
        <v/>
      </c>
      <c r="V578" s="730" t="str">
        <f t="shared" si="198"/>
        <v/>
      </c>
      <c r="W578" s="531"/>
      <c r="X578" s="236"/>
      <c r="Y578" s="236"/>
      <c r="Z578" s="236"/>
    </row>
    <row r="579" spans="1:26" s="256" customFormat="1" ht="11.25" customHeight="1">
      <c r="A579" s="528" t="s">
        <v>620</v>
      </c>
      <c r="B579" s="528" t="s">
        <v>157</v>
      </c>
      <c r="C579" s="389"/>
      <c r="D579" s="650" t="s">
        <v>98</v>
      </c>
      <c r="E579" s="390" t="s">
        <v>99</v>
      </c>
      <c r="F579" s="391">
        <f>+F580</f>
        <v>4915000</v>
      </c>
      <c r="G579" s="391">
        <f t="shared" ref="G579:M579" si="214">+G580</f>
        <v>0</v>
      </c>
      <c r="H579" s="391">
        <f t="shared" si="214"/>
        <v>0</v>
      </c>
      <c r="I579" s="391">
        <f t="shared" si="214"/>
        <v>4915000</v>
      </c>
      <c r="J579" s="391">
        <f t="shared" si="214"/>
        <v>4225045.1900000004</v>
      </c>
      <c r="K579" s="391">
        <f t="shared" si="214"/>
        <v>0</v>
      </c>
      <c r="L579" s="391">
        <f t="shared" si="214"/>
        <v>0</v>
      </c>
      <c r="M579" s="391">
        <f t="shared" si="214"/>
        <v>4225045.1900000004</v>
      </c>
      <c r="N579" s="391">
        <f t="shared" si="192"/>
        <v>689954.80999999959</v>
      </c>
      <c r="O579" s="391">
        <f t="shared" si="192"/>
        <v>0</v>
      </c>
      <c r="P579" s="391">
        <f t="shared" si="192"/>
        <v>0</v>
      </c>
      <c r="Q579" s="391">
        <f t="shared" si="193"/>
        <v>689954.80999999959</v>
      </c>
      <c r="R579" s="101"/>
      <c r="S579" s="254">
        <f t="shared" si="198"/>
        <v>0.85962262258392685</v>
      </c>
      <c r="T579" s="254" t="str">
        <f t="shared" si="198"/>
        <v/>
      </c>
      <c r="U579" s="254" t="str">
        <f t="shared" si="198"/>
        <v/>
      </c>
      <c r="V579" s="254">
        <f t="shared" si="198"/>
        <v>0.85962262258392685</v>
      </c>
      <c r="W579" s="531"/>
      <c r="Y579" s="256" t="s">
        <v>598</v>
      </c>
      <c r="Z579" s="256" t="s">
        <v>598</v>
      </c>
    </row>
    <row r="580" spans="1:26" ht="11.25" customHeight="1">
      <c r="A580" s="528" t="s">
        <v>620</v>
      </c>
      <c r="B580" s="1013" t="s">
        <v>157</v>
      </c>
      <c r="C580" s="728"/>
      <c r="D580" s="649" t="s">
        <v>286</v>
      </c>
      <c r="E580" s="729" t="s">
        <v>286</v>
      </c>
      <c r="F580" s="103">
        <f>SUM('[3]chd4b-SAOB'!V14)</f>
        <v>4915000</v>
      </c>
      <c r="G580" s="103">
        <f>SUM('[3]chd4b-SAOB'!V50)</f>
        <v>0</v>
      </c>
      <c r="H580" s="103">
        <f>SUM('[3]chd4b-SAOB'!V143)</f>
        <v>0</v>
      </c>
      <c r="I580" s="103">
        <f>SUM(F580:H580)</f>
        <v>4915000</v>
      </c>
      <c r="J580" s="103">
        <f>SUM('[3]chd4b-SAOB'!V15)</f>
        <v>4225045.1900000004</v>
      </c>
      <c r="K580" s="103">
        <f>SUM('[3]chd4b-SAOB'!V51)</f>
        <v>0</v>
      </c>
      <c r="L580" s="103">
        <f>SUM('[3]chd4b-SAOB'!V144)</f>
        <v>0</v>
      </c>
      <c r="M580" s="103">
        <f>SUM(J580:L580)</f>
        <v>4225045.1900000004</v>
      </c>
      <c r="N580" s="103">
        <f t="shared" si="192"/>
        <v>689954.80999999959</v>
      </c>
      <c r="O580" s="103">
        <f t="shared" si="192"/>
        <v>0</v>
      </c>
      <c r="P580" s="103">
        <f t="shared" si="192"/>
        <v>0</v>
      </c>
      <c r="Q580" s="103">
        <f t="shared" si="193"/>
        <v>689954.80999999959</v>
      </c>
      <c r="S580" s="730">
        <f t="shared" si="198"/>
        <v>0.85962262258392685</v>
      </c>
      <c r="T580" s="730" t="str">
        <f t="shared" si="198"/>
        <v/>
      </c>
      <c r="U580" s="730" t="str">
        <f t="shared" si="198"/>
        <v/>
      </c>
      <c r="V580" s="730">
        <f t="shared" si="198"/>
        <v>0.85962262258392685</v>
      </c>
      <c r="W580" s="531"/>
      <c r="X580" s="236"/>
      <c r="Y580" s="236" t="s">
        <v>598</v>
      </c>
      <c r="Z580" s="236"/>
    </row>
    <row r="581" spans="1:26" s="272" customFormat="1" ht="11.25" customHeight="1">
      <c r="A581" s="528" t="s">
        <v>620</v>
      </c>
      <c r="B581" s="528" t="s">
        <v>157</v>
      </c>
      <c r="C581" s="389"/>
      <c r="D581" s="650" t="s">
        <v>98</v>
      </c>
      <c r="E581" s="390" t="s">
        <v>100</v>
      </c>
      <c r="F581" s="391">
        <f t="shared" ref="F581:M581" si="215">SUM(F582:F586)</f>
        <v>2038979</v>
      </c>
      <c r="G581" s="391">
        <f t="shared" si="215"/>
        <v>0</v>
      </c>
      <c r="H581" s="391">
        <f t="shared" si="215"/>
        <v>0</v>
      </c>
      <c r="I581" s="391">
        <f t="shared" si="215"/>
        <v>2038979</v>
      </c>
      <c r="J581" s="391">
        <f t="shared" si="215"/>
        <v>2008979</v>
      </c>
      <c r="K581" s="391">
        <f t="shared" si="215"/>
        <v>0</v>
      </c>
      <c r="L581" s="391">
        <f t="shared" si="215"/>
        <v>0</v>
      </c>
      <c r="M581" s="391">
        <f t="shared" si="215"/>
        <v>2008979</v>
      </c>
      <c r="N581" s="391">
        <f t="shared" si="192"/>
        <v>30000</v>
      </c>
      <c r="O581" s="391">
        <f t="shared" si="192"/>
        <v>0</v>
      </c>
      <c r="P581" s="391">
        <f t="shared" si="192"/>
        <v>0</v>
      </c>
      <c r="Q581" s="391">
        <f t="shared" si="193"/>
        <v>30000</v>
      </c>
      <c r="R581" s="102"/>
      <c r="S581" s="254">
        <f t="shared" si="198"/>
        <v>0.98528675381158903</v>
      </c>
      <c r="T581" s="254" t="str">
        <f t="shared" si="198"/>
        <v/>
      </c>
      <c r="U581" s="254" t="str">
        <f t="shared" si="198"/>
        <v/>
      </c>
      <c r="V581" s="254">
        <f t="shared" si="198"/>
        <v>0.98528675381158903</v>
      </c>
      <c r="W581" s="531"/>
      <c r="Y581" s="272" t="s">
        <v>598</v>
      </c>
      <c r="Z581" s="256" t="s">
        <v>598</v>
      </c>
    </row>
    <row r="582" spans="1:26" ht="11.25" customHeight="1">
      <c r="A582" s="528" t="s">
        <v>620</v>
      </c>
      <c r="B582" s="1013" t="s">
        <v>157</v>
      </c>
      <c r="C582" s="728"/>
      <c r="D582" s="649" t="s">
        <v>288</v>
      </c>
      <c r="E582" s="729" t="s">
        <v>288</v>
      </c>
      <c r="F582" s="103">
        <f>SUM('[3]chd4b-SAOB'!Z14)</f>
        <v>0</v>
      </c>
      <c r="G582" s="103">
        <f>SUM('[3]chd4b-SAOB'!Z50)</f>
        <v>0</v>
      </c>
      <c r="H582" s="103">
        <f>SUM('[3]chd4b-SAOB'!Z143)</f>
        <v>0</v>
      </c>
      <c r="I582" s="103">
        <f>SUM(F582:H582)</f>
        <v>0</v>
      </c>
      <c r="J582" s="103">
        <f>SUM('[3]chd4b-SAOB'!Z15)</f>
        <v>0</v>
      </c>
      <c r="K582" s="103">
        <f>SUM('[3]chd4b-SAOB'!Z51)</f>
        <v>0</v>
      </c>
      <c r="L582" s="103">
        <f>SUM('[3]chd4b-SAOB'!Z144)</f>
        <v>0</v>
      </c>
      <c r="M582" s="103">
        <f>SUM(J582:L582)</f>
        <v>0</v>
      </c>
      <c r="N582" s="103">
        <f t="shared" si="192"/>
        <v>0</v>
      </c>
      <c r="O582" s="103">
        <f t="shared" si="192"/>
        <v>0</v>
      </c>
      <c r="P582" s="103">
        <f t="shared" si="192"/>
        <v>0</v>
      </c>
      <c r="Q582" s="103">
        <f t="shared" si="193"/>
        <v>0</v>
      </c>
      <c r="S582" s="730" t="str">
        <f t="shared" si="198"/>
        <v/>
      </c>
      <c r="T582" s="730" t="str">
        <f t="shared" si="198"/>
        <v/>
      </c>
      <c r="U582" s="730" t="str">
        <f t="shared" si="198"/>
        <v/>
      </c>
      <c r="V582" s="730" t="str">
        <f t="shared" si="198"/>
        <v/>
      </c>
      <c r="W582" s="531"/>
      <c r="X582" s="236"/>
      <c r="Y582" s="236" t="s">
        <v>598</v>
      </c>
      <c r="Z582" s="236"/>
    </row>
    <row r="583" spans="1:26" ht="11.25" customHeight="1">
      <c r="A583" s="528" t="s">
        <v>620</v>
      </c>
      <c r="B583" s="1013" t="s">
        <v>157</v>
      </c>
      <c r="C583" s="728"/>
      <c r="D583" s="649" t="s">
        <v>761</v>
      </c>
      <c r="E583" s="729" t="s">
        <v>761</v>
      </c>
      <c r="F583" s="104">
        <f>+'[3]chd4b-SAOB'!C387</f>
        <v>1110000</v>
      </c>
      <c r="G583" s="104"/>
      <c r="H583" s="104"/>
      <c r="I583" s="103">
        <f>SUM(F583:H583)</f>
        <v>1110000</v>
      </c>
      <c r="J583" s="104">
        <f>+'[3]chd4b-SAOB'!G387</f>
        <v>1080000</v>
      </c>
      <c r="K583" s="104"/>
      <c r="L583" s="104"/>
      <c r="M583" s="103">
        <f>SUM(J583:L583)</f>
        <v>1080000</v>
      </c>
      <c r="N583" s="103">
        <f t="shared" si="192"/>
        <v>30000</v>
      </c>
      <c r="O583" s="103">
        <f t="shared" si="192"/>
        <v>0</v>
      </c>
      <c r="P583" s="103">
        <f t="shared" si="192"/>
        <v>0</v>
      </c>
      <c r="Q583" s="103">
        <f>SUM(N583:P583)</f>
        <v>30000</v>
      </c>
      <c r="S583" s="730">
        <f t="shared" si="198"/>
        <v>0.97297297297297303</v>
      </c>
      <c r="T583" s="730" t="str">
        <f t="shared" si="198"/>
        <v/>
      </c>
      <c r="U583" s="730" t="str">
        <f t="shared" si="198"/>
        <v/>
      </c>
      <c r="V583" s="730">
        <f t="shared" si="198"/>
        <v>0.97297297297297303</v>
      </c>
      <c r="W583" s="531"/>
      <c r="X583" s="236"/>
      <c r="Y583" s="236" t="s">
        <v>688</v>
      </c>
      <c r="Z583" s="236"/>
    </row>
    <row r="584" spans="1:26" ht="11.25" customHeight="1">
      <c r="A584" s="528" t="s">
        <v>620</v>
      </c>
      <c r="B584" s="1013" t="s">
        <v>157</v>
      </c>
      <c r="C584" s="410"/>
      <c r="D584" s="647"/>
      <c r="E584" s="461"/>
      <c r="F584" s="104"/>
      <c r="G584" s="104"/>
      <c r="H584" s="104"/>
      <c r="I584" s="103">
        <f>SUM(F584:H584)</f>
        <v>0</v>
      </c>
      <c r="J584" s="104"/>
      <c r="K584" s="104"/>
      <c r="L584" s="104"/>
      <c r="M584" s="103">
        <f>SUM(J584:L584)</f>
        <v>0</v>
      </c>
      <c r="N584" s="103">
        <f t="shared" si="192"/>
        <v>0</v>
      </c>
      <c r="O584" s="103">
        <f t="shared" si="192"/>
        <v>0</v>
      </c>
      <c r="P584" s="103">
        <f t="shared" si="192"/>
        <v>0</v>
      </c>
      <c r="Q584" s="103">
        <f>SUM(N584:P584)</f>
        <v>0</v>
      </c>
      <c r="S584" s="730" t="str">
        <f t="shared" si="198"/>
        <v/>
      </c>
      <c r="T584" s="730" t="str">
        <f t="shared" si="198"/>
        <v/>
      </c>
      <c r="U584" s="730" t="str">
        <f t="shared" si="198"/>
        <v/>
      </c>
      <c r="V584" s="730" t="str">
        <f t="shared" si="198"/>
        <v/>
      </c>
      <c r="W584" s="531"/>
      <c r="X584" s="236"/>
      <c r="Y584" s="236" t="s">
        <v>598</v>
      </c>
      <c r="Z584" s="240"/>
    </row>
    <row r="585" spans="1:26" ht="11.25" customHeight="1">
      <c r="A585" s="528" t="s">
        <v>620</v>
      </c>
      <c r="B585" s="1013" t="s">
        <v>157</v>
      </c>
      <c r="C585" s="728"/>
      <c r="D585" s="649" t="s">
        <v>289</v>
      </c>
      <c r="E585" s="729" t="s">
        <v>289</v>
      </c>
      <c r="F585" s="103">
        <f>SUM('[3]chd4b-SAOB'!AD14)</f>
        <v>928979</v>
      </c>
      <c r="G585" s="103">
        <f>SUM('[3]chd4b-SAOB'!AD50)</f>
        <v>0</v>
      </c>
      <c r="H585" s="103">
        <f>SUM('[3]chd4b-SAOB'!AD143)</f>
        <v>0</v>
      </c>
      <c r="I585" s="103">
        <f>SUM(F585:H585)</f>
        <v>928979</v>
      </c>
      <c r="J585" s="103">
        <f>SUM('[3]chd4b-SAOB'!AD15)</f>
        <v>928979</v>
      </c>
      <c r="K585" s="103">
        <f>SUM('[3]chd4b-SAOB'!AD51)</f>
        <v>0</v>
      </c>
      <c r="L585" s="103">
        <f>SUM('[3]chd4b-SAOB'!AD144)</f>
        <v>0</v>
      </c>
      <c r="M585" s="103">
        <f>SUM(J585:L585)</f>
        <v>928979</v>
      </c>
      <c r="N585" s="103">
        <f t="shared" si="192"/>
        <v>0</v>
      </c>
      <c r="O585" s="103">
        <f t="shared" si="192"/>
        <v>0</v>
      </c>
      <c r="P585" s="103">
        <f t="shared" si="192"/>
        <v>0</v>
      </c>
      <c r="Q585" s="103">
        <f t="shared" si="193"/>
        <v>0</v>
      </c>
      <c r="S585" s="730">
        <f t="shared" si="198"/>
        <v>1</v>
      </c>
      <c r="T585" s="730" t="str">
        <f t="shared" si="198"/>
        <v/>
      </c>
      <c r="U585" s="730" t="str">
        <f t="shared" si="198"/>
        <v/>
      </c>
      <c r="V585" s="730">
        <f t="shared" si="198"/>
        <v>1</v>
      </c>
      <c r="W585" s="531"/>
      <c r="X585" s="236"/>
      <c r="Y585" s="236" t="s">
        <v>598</v>
      </c>
      <c r="Z585" s="236"/>
    </row>
    <row r="586" spans="1:26" ht="11.25" customHeight="1">
      <c r="A586" s="528" t="s">
        <v>620</v>
      </c>
      <c r="B586" s="1013" t="s">
        <v>157</v>
      </c>
      <c r="C586" s="728"/>
      <c r="D586" s="649" t="s">
        <v>290</v>
      </c>
      <c r="E586" s="729" t="s">
        <v>290</v>
      </c>
      <c r="F586" s="103">
        <f>SUM('[3]chd4b-SAOB'!AH14)</f>
        <v>0</v>
      </c>
      <c r="G586" s="103">
        <f>SUM('[3]chd4b-SAOB'!AH50)</f>
        <v>0</v>
      </c>
      <c r="H586" s="103">
        <f>SUM('[3]chd4b-SAOB'!AH143)</f>
        <v>0</v>
      </c>
      <c r="I586" s="103">
        <f>SUM(F586:H586)</f>
        <v>0</v>
      </c>
      <c r="J586" s="103">
        <f>SUM('[3]chd4b-SAOB'!AH15)</f>
        <v>0</v>
      </c>
      <c r="K586" s="103">
        <f>SUM('[3]chd4b-SAOB'!AH51)</f>
        <v>0</v>
      </c>
      <c r="L586" s="103">
        <f>SUM('[3]chd4b-SAOB'!AH144)</f>
        <v>0</v>
      </c>
      <c r="M586" s="103">
        <f>SUM(J586:L586)</f>
        <v>0</v>
      </c>
      <c r="N586" s="103">
        <f t="shared" si="192"/>
        <v>0</v>
      </c>
      <c r="O586" s="103">
        <f t="shared" si="192"/>
        <v>0</v>
      </c>
      <c r="P586" s="103">
        <f t="shared" si="192"/>
        <v>0</v>
      </c>
      <c r="Q586" s="103">
        <f t="shared" si="193"/>
        <v>0</v>
      </c>
      <c r="S586" s="730" t="str">
        <f t="shared" si="198"/>
        <v/>
      </c>
      <c r="T586" s="730" t="str">
        <f t="shared" si="198"/>
        <v/>
      </c>
      <c r="U586" s="730" t="str">
        <f t="shared" si="198"/>
        <v/>
      </c>
      <c r="V586" s="730" t="str">
        <f t="shared" si="198"/>
        <v/>
      </c>
      <c r="W586" s="531"/>
      <c r="X586" s="236"/>
      <c r="Y586" s="236" t="s">
        <v>598</v>
      </c>
      <c r="Z586" s="236"/>
    </row>
    <row r="587" spans="1:26" s="289" customFormat="1" ht="11.25" customHeight="1">
      <c r="A587" s="246" t="s">
        <v>620</v>
      </c>
      <c r="B587" s="1019" t="s">
        <v>157</v>
      </c>
      <c r="C587" s="1434" t="s">
        <v>306</v>
      </c>
      <c r="D587" s="1435"/>
      <c r="E587" s="1436"/>
      <c r="F587" s="420">
        <f t="shared" ref="F587:M587" si="216">+F577+F579+F581</f>
        <v>64002979</v>
      </c>
      <c r="G587" s="420">
        <f t="shared" si="216"/>
        <v>285899717</v>
      </c>
      <c r="H587" s="420">
        <f t="shared" si="216"/>
        <v>22000000</v>
      </c>
      <c r="I587" s="420">
        <f t="shared" si="216"/>
        <v>371902696</v>
      </c>
      <c r="J587" s="420">
        <f t="shared" si="216"/>
        <v>57981599.810000002</v>
      </c>
      <c r="K587" s="420">
        <f t="shared" si="216"/>
        <v>229761685</v>
      </c>
      <c r="L587" s="420">
        <f t="shared" si="216"/>
        <v>15500000</v>
      </c>
      <c r="M587" s="420">
        <f t="shared" si="216"/>
        <v>303243284.81</v>
      </c>
      <c r="N587" s="420">
        <f t="shared" ref="N587:P653" si="217">+F587-J587</f>
        <v>6021379.1899999976</v>
      </c>
      <c r="O587" s="420">
        <f t="shared" si="217"/>
        <v>56138032</v>
      </c>
      <c r="P587" s="420">
        <f t="shared" si="217"/>
        <v>6500000</v>
      </c>
      <c r="Q587" s="420">
        <f t="shared" ref="Q587:Q653" si="218">SUM(N587:P587)</f>
        <v>68659411.189999998</v>
      </c>
      <c r="R587" s="156">
        <f>+Q587-'[3]chd4b-SAOB'!BB180</f>
        <v>0</v>
      </c>
      <c r="S587" s="1020">
        <f t="shared" si="198"/>
        <v>0.90592032927092347</v>
      </c>
      <c r="T587" s="1020">
        <f t="shared" si="198"/>
        <v>0.80364432469864944</v>
      </c>
      <c r="U587" s="1020">
        <f t="shared" si="198"/>
        <v>0.70454545454545459</v>
      </c>
      <c r="V587" s="1020">
        <f t="shared" si="198"/>
        <v>0.81538340020530531</v>
      </c>
      <c r="W587" s="254"/>
      <c r="X587" s="237"/>
      <c r="Y587" s="610" t="s">
        <v>598</v>
      </c>
      <c r="Z587" s="241" t="s">
        <v>598</v>
      </c>
    </row>
    <row r="588" spans="1:26" ht="11.25" hidden="1" customHeight="1">
      <c r="A588" s="246" t="s">
        <v>620</v>
      </c>
      <c r="B588" s="235" t="s">
        <v>157</v>
      </c>
      <c r="C588" s="410"/>
      <c r="D588" s="386"/>
      <c r="E588" s="461"/>
      <c r="F588" s="103"/>
      <c r="G588" s="103"/>
      <c r="H588" s="103"/>
      <c r="I588" s="103"/>
      <c r="J588" s="103"/>
      <c r="K588" s="103"/>
      <c r="L588" s="103"/>
      <c r="M588" s="103"/>
      <c r="N588" s="103">
        <f t="shared" si="217"/>
        <v>0</v>
      </c>
      <c r="O588" s="103">
        <f t="shared" si="217"/>
        <v>0</v>
      </c>
      <c r="P588" s="103">
        <f t="shared" si="217"/>
        <v>0</v>
      </c>
      <c r="Q588" s="103">
        <f t="shared" si="218"/>
        <v>0</v>
      </c>
      <c r="R588" s="236"/>
      <c r="S588" s="730" t="str">
        <f t="shared" si="198"/>
        <v/>
      </c>
      <c r="T588" s="730" t="str">
        <f t="shared" si="198"/>
        <v/>
      </c>
      <c r="U588" s="730" t="str">
        <f t="shared" si="198"/>
        <v/>
      </c>
      <c r="V588" s="730" t="str">
        <f t="shared" si="198"/>
        <v/>
      </c>
      <c r="W588" s="254"/>
    </row>
    <row r="589" spans="1:26" ht="11.25" customHeight="1">
      <c r="A589" s="246" t="s">
        <v>620</v>
      </c>
      <c r="B589" s="235" t="s">
        <v>161</v>
      </c>
      <c r="C589" s="410" t="s">
        <v>160</v>
      </c>
      <c r="D589" s="386"/>
      <c r="E589" s="461"/>
      <c r="F589" s="104"/>
      <c r="G589" s="104"/>
      <c r="H589" s="104"/>
      <c r="I589" s="103">
        <f>SUM(F589:H589)</f>
        <v>0</v>
      </c>
      <c r="J589" s="104"/>
      <c r="K589" s="104"/>
      <c r="L589" s="104"/>
      <c r="M589" s="103">
        <f>SUM(J589:L589)</f>
        <v>0</v>
      </c>
      <c r="N589" s="103">
        <f t="shared" si="217"/>
        <v>0</v>
      </c>
      <c r="O589" s="103">
        <f t="shared" si="217"/>
        <v>0</v>
      </c>
      <c r="P589" s="103">
        <f t="shared" si="217"/>
        <v>0</v>
      </c>
      <c r="Q589" s="103">
        <f t="shared" si="218"/>
        <v>0</v>
      </c>
      <c r="S589" s="730" t="str">
        <f t="shared" si="198"/>
        <v/>
      </c>
      <c r="T589" s="730" t="str">
        <f t="shared" si="198"/>
        <v/>
      </c>
      <c r="U589" s="730" t="str">
        <f t="shared" si="198"/>
        <v/>
      </c>
      <c r="V589" s="730" t="str">
        <f t="shared" si="198"/>
        <v/>
      </c>
      <c r="W589" s="254"/>
      <c r="Y589" s="610" t="s">
        <v>598</v>
      </c>
      <c r="Z589" s="241" t="s">
        <v>598</v>
      </c>
    </row>
    <row r="590" spans="1:26" s="675" customFormat="1" ht="11.25" customHeight="1">
      <c r="A590" s="528" t="s">
        <v>620</v>
      </c>
      <c r="B590" s="528" t="s">
        <v>161</v>
      </c>
      <c r="C590" s="407" t="s">
        <v>98</v>
      </c>
      <c r="D590" s="655" t="s">
        <v>105</v>
      </c>
      <c r="E590" s="408" t="s">
        <v>806</v>
      </c>
      <c r="F590" s="673"/>
      <c r="G590" s="673"/>
      <c r="H590" s="673"/>
      <c r="I590" s="674">
        <f>SUM(F590:H590)</f>
        <v>0</v>
      </c>
      <c r="J590" s="673"/>
      <c r="K590" s="673"/>
      <c r="L590" s="673"/>
      <c r="M590" s="674">
        <f>SUM(J590:L590)</f>
        <v>0</v>
      </c>
      <c r="N590" s="674">
        <f t="shared" si="217"/>
        <v>0</v>
      </c>
      <c r="O590" s="674">
        <f t="shared" si="217"/>
        <v>0</v>
      </c>
      <c r="P590" s="674">
        <f t="shared" si="217"/>
        <v>0</v>
      </c>
      <c r="Q590" s="674">
        <f t="shared" si="218"/>
        <v>0</v>
      </c>
      <c r="R590" s="101"/>
      <c r="S590" s="254" t="str">
        <f t="shared" si="198"/>
        <v/>
      </c>
      <c r="T590" s="254" t="str">
        <f t="shared" si="198"/>
        <v/>
      </c>
      <c r="U590" s="254" t="str">
        <f t="shared" si="198"/>
        <v/>
      </c>
      <c r="V590" s="254" t="str">
        <f t="shared" si="198"/>
        <v/>
      </c>
      <c r="W590" s="531"/>
      <c r="Y590" s="272" t="s">
        <v>598</v>
      </c>
      <c r="Z590" s="260" t="s">
        <v>598</v>
      </c>
    </row>
    <row r="591" spans="1:26" ht="11.25" customHeight="1">
      <c r="A591" s="528" t="s">
        <v>620</v>
      </c>
      <c r="B591" s="1013" t="s">
        <v>161</v>
      </c>
      <c r="C591" s="461"/>
      <c r="D591" s="645" t="s">
        <v>766</v>
      </c>
      <c r="E591" s="447" t="s">
        <v>766</v>
      </c>
      <c r="F591" s="104">
        <f>'[3]chd4b-SAOB'!C392</f>
        <v>44111000</v>
      </c>
      <c r="G591" s="104">
        <f>'[3]chd4b-SAOB'!D392</f>
        <v>16327000</v>
      </c>
      <c r="H591" s="104">
        <f>'[3]chd4b-SAOB'!E392</f>
        <v>0</v>
      </c>
      <c r="I591" s="103">
        <f>SUM(F591:H591)</f>
        <v>60438000</v>
      </c>
      <c r="J591" s="104">
        <f>'[3]chd4b-SAOB'!G392</f>
        <v>40870108.800000004</v>
      </c>
      <c r="K591" s="104">
        <f>'[3]chd4b-SAOB'!H392</f>
        <v>15238096.57</v>
      </c>
      <c r="L591" s="104">
        <f>'[3]chd4b-SAOB'!I392</f>
        <v>0</v>
      </c>
      <c r="M591" s="103">
        <f>SUM(J591:L591)</f>
        <v>56108205.370000005</v>
      </c>
      <c r="N591" s="103">
        <f t="shared" si="217"/>
        <v>3240891.1999999955</v>
      </c>
      <c r="O591" s="103">
        <f t="shared" si="217"/>
        <v>1088903.4299999997</v>
      </c>
      <c r="P591" s="103">
        <f t="shared" si="217"/>
        <v>0</v>
      </c>
      <c r="Q591" s="103">
        <f t="shared" si="218"/>
        <v>4329794.6299999952</v>
      </c>
      <c r="S591" s="730">
        <f t="shared" si="198"/>
        <v>0.92652872979528922</v>
      </c>
      <c r="T591" s="730">
        <f t="shared" si="198"/>
        <v>0.93330658234825747</v>
      </c>
      <c r="U591" s="730" t="str">
        <f t="shared" si="198"/>
        <v/>
      </c>
      <c r="V591" s="730">
        <f t="shared" si="198"/>
        <v>0.92835973013666906</v>
      </c>
      <c r="W591" s="531"/>
      <c r="X591" s="236"/>
      <c r="Y591" s="236" t="s">
        <v>688</v>
      </c>
      <c r="Z591" s="236"/>
    </row>
    <row r="592" spans="1:26" ht="11.25" customHeight="1">
      <c r="A592" s="528" t="s">
        <v>620</v>
      </c>
      <c r="B592" s="1013" t="s">
        <v>161</v>
      </c>
      <c r="C592" s="728"/>
      <c r="D592" s="649" t="s">
        <v>50</v>
      </c>
      <c r="E592" s="447" t="s">
        <v>50</v>
      </c>
      <c r="F592" s="104"/>
      <c r="G592" s="104">
        <f>'[3]chd4b-SAOB'!D394</f>
        <v>4898000</v>
      </c>
      <c r="H592" s="104">
        <f>'[3]chd4b-SAOB'!E394</f>
        <v>0</v>
      </c>
      <c r="I592" s="103">
        <f>SUM(F592:H592)</f>
        <v>4898000</v>
      </c>
      <c r="J592" s="104"/>
      <c r="K592" s="104">
        <f>'[3]chd4b-SAOB'!H394</f>
        <v>3620691.19</v>
      </c>
      <c r="L592" s="104">
        <f>'[3]chd4b-SAOB'!I394</f>
        <v>0</v>
      </c>
      <c r="M592" s="103">
        <f>SUM(J592:L592)</f>
        <v>3620691.19</v>
      </c>
      <c r="N592" s="103">
        <f t="shared" si="217"/>
        <v>0</v>
      </c>
      <c r="O592" s="103">
        <f t="shared" si="217"/>
        <v>1277308.81</v>
      </c>
      <c r="P592" s="103">
        <f t="shared" si="217"/>
        <v>0</v>
      </c>
      <c r="Q592" s="103">
        <f t="shared" si="218"/>
        <v>1277308.81</v>
      </c>
      <c r="S592" s="730" t="str">
        <f t="shared" si="198"/>
        <v/>
      </c>
      <c r="T592" s="730">
        <f t="shared" si="198"/>
        <v>0.73921829113924054</v>
      </c>
      <c r="U592" s="730" t="str">
        <f t="shared" si="198"/>
        <v/>
      </c>
      <c r="V592" s="730">
        <f t="shared" si="198"/>
        <v>0.73921829113924054</v>
      </c>
      <c r="W592" s="531"/>
      <c r="X592" s="236"/>
      <c r="Y592" s="236" t="s">
        <v>688</v>
      </c>
      <c r="Z592" s="236"/>
    </row>
    <row r="593" spans="1:26" s="256" customFormat="1" ht="11.25" customHeight="1">
      <c r="A593" s="528" t="s">
        <v>620</v>
      </c>
      <c r="B593" s="528" t="s">
        <v>161</v>
      </c>
      <c r="C593" s="389"/>
      <c r="D593" s="650" t="s">
        <v>98</v>
      </c>
      <c r="E593" s="390" t="s">
        <v>767</v>
      </c>
      <c r="F593" s="391">
        <f>+F591+F592</f>
        <v>44111000</v>
      </c>
      <c r="G593" s="391">
        <f t="shared" ref="G593:M593" si="219">+G591+G592</f>
        <v>21225000</v>
      </c>
      <c r="H593" s="391">
        <f t="shared" si="219"/>
        <v>0</v>
      </c>
      <c r="I593" s="391">
        <f t="shared" si="219"/>
        <v>65336000</v>
      </c>
      <c r="J593" s="391">
        <f t="shared" si="219"/>
        <v>40870108.800000004</v>
      </c>
      <c r="K593" s="391">
        <f t="shared" si="219"/>
        <v>18858787.760000002</v>
      </c>
      <c r="L593" s="391">
        <f t="shared" si="219"/>
        <v>0</v>
      </c>
      <c r="M593" s="391">
        <f t="shared" si="219"/>
        <v>59728896.560000002</v>
      </c>
      <c r="N593" s="391">
        <f t="shared" si="217"/>
        <v>3240891.1999999955</v>
      </c>
      <c r="O593" s="391">
        <f t="shared" si="217"/>
        <v>2366212.2399999984</v>
      </c>
      <c r="P593" s="391">
        <f t="shared" si="217"/>
        <v>0</v>
      </c>
      <c r="Q593" s="391">
        <f t="shared" si="218"/>
        <v>5607103.4399999939</v>
      </c>
      <c r="R593" s="101"/>
      <c r="S593" s="254">
        <f t="shared" si="198"/>
        <v>0.92652872979528922</v>
      </c>
      <c r="T593" s="254">
        <f t="shared" si="198"/>
        <v>0.8885176800942286</v>
      </c>
      <c r="U593" s="254" t="str">
        <f t="shared" si="198"/>
        <v/>
      </c>
      <c r="V593" s="254">
        <f t="shared" si="198"/>
        <v>0.91418049100036736</v>
      </c>
      <c r="W593" s="531"/>
      <c r="Y593" s="256" t="s">
        <v>598</v>
      </c>
      <c r="Z593" s="256" t="s">
        <v>598</v>
      </c>
    </row>
    <row r="594" spans="1:26" ht="11.25" hidden="1" customHeight="1">
      <c r="A594" s="528" t="s">
        <v>620</v>
      </c>
      <c r="B594" s="1013" t="s">
        <v>161</v>
      </c>
      <c r="C594" s="410"/>
      <c r="D594" s="651"/>
      <c r="E594" s="806" t="s">
        <v>764</v>
      </c>
      <c r="F594" s="807"/>
      <c r="G594" s="807"/>
      <c r="H594" s="807"/>
      <c r="I594" s="807"/>
      <c r="J594" s="807"/>
      <c r="K594" s="807"/>
      <c r="L594" s="807"/>
      <c r="M594" s="807"/>
      <c r="N594" s="807">
        <f t="shared" si="217"/>
        <v>0</v>
      </c>
      <c r="O594" s="807">
        <f t="shared" si="217"/>
        <v>0</v>
      </c>
      <c r="P594" s="807">
        <f t="shared" si="217"/>
        <v>0</v>
      </c>
      <c r="Q594" s="807">
        <f t="shared" si="218"/>
        <v>0</v>
      </c>
      <c r="R594" s="276"/>
      <c r="S594" s="730" t="str">
        <f t="shared" si="198"/>
        <v/>
      </c>
      <c r="T594" s="730" t="str">
        <f t="shared" si="198"/>
        <v/>
      </c>
      <c r="U594" s="730" t="str">
        <f t="shared" si="198"/>
        <v/>
      </c>
      <c r="V594" s="730" t="str">
        <f t="shared" si="198"/>
        <v/>
      </c>
      <c r="W594" s="531"/>
      <c r="X594" s="236"/>
      <c r="Y594" s="236"/>
      <c r="Z594" s="236"/>
    </row>
    <row r="595" spans="1:26" s="256" customFormat="1" ht="11.25" customHeight="1">
      <c r="A595" s="528" t="s">
        <v>620</v>
      </c>
      <c r="B595" s="528" t="s">
        <v>161</v>
      </c>
      <c r="C595" s="389"/>
      <c r="D595" s="650" t="s">
        <v>98</v>
      </c>
      <c r="E595" s="390" t="s">
        <v>99</v>
      </c>
      <c r="F595" s="391">
        <f>+F596</f>
        <v>3998694</v>
      </c>
      <c r="G595" s="391">
        <f t="shared" ref="G595:M595" si="220">+G596</f>
        <v>0</v>
      </c>
      <c r="H595" s="391">
        <f t="shared" si="220"/>
        <v>0</v>
      </c>
      <c r="I595" s="391">
        <f t="shared" si="220"/>
        <v>3998694</v>
      </c>
      <c r="J595" s="391">
        <f t="shared" si="220"/>
        <v>3486033.67</v>
      </c>
      <c r="K595" s="391">
        <f t="shared" si="220"/>
        <v>0</v>
      </c>
      <c r="L595" s="391">
        <f t="shared" si="220"/>
        <v>0</v>
      </c>
      <c r="M595" s="391">
        <f t="shared" si="220"/>
        <v>3486033.67</v>
      </c>
      <c r="N595" s="391">
        <f t="shared" si="217"/>
        <v>512660.33000000007</v>
      </c>
      <c r="O595" s="391">
        <f t="shared" si="217"/>
        <v>0</v>
      </c>
      <c r="P595" s="391">
        <f t="shared" si="217"/>
        <v>0</v>
      </c>
      <c r="Q595" s="391">
        <f t="shared" si="218"/>
        <v>512660.33000000007</v>
      </c>
      <c r="R595" s="101"/>
      <c r="S595" s="254">
        <f t="shared" si="198"/>
        <v>0.87179305793341522</v>
      </c>
      <c r="T595" s="254" t="str">
        <f t="shared" si="198"/>
        <v/>
      </c>
      <c r="U595" s="254" t="str">
        <f t="shared" si="198"/>
        <v/>
      </c>
      <c r="V595" s="254">
        <f t="shared" si="198"/>
        <v>0.87179305793341522</v>
      </c>
      <c r="W595" s="531"/>
      <c r="Y595" s="256" t="s">
        <v>598</v>
      </c>
      <c r="Z595" s="256" t="s">
        <v>598</v>
      </c>
    </row>
    <row r="596" spans="1:26" ht="11.25" customHeight="1">
      <c r="A596" s="528" t="s">
        <v>620</v>
      </c>
      <c r="B596" s="1013" t="s">
        <v>161</v>
      </c>
      <c r="C596" s="728"/>
      <c r="D596" s="649" t="s">
        <v>286</v>
      </c>
      <c r="E596" s="729" t="s">
        <v>286</v>
      </c>
      <c r="F596" s="103">
        <f>SUM('[3]chd4b-SAOB'!W14)</f>
        <v>3998694</v>
      </c>
      <c r="G596" s="103">
        <f>SUM('[3]chd4b-SAOB'!W50)</f>
        <v>0</v>
      </c>
      <c r="H596" s="103">
        <f>SUM('[3]chd4b-SAOB'!W143)</f>
        <v>0</v>
      </c>
      <c r="I596" s="103">
        <f>SUM(F596:H596)</f>
        <v>3998694</v>
      </c>
      <c r="J596" s="103">
        <f>SUM('[3]chd4b-SAOB'!W15)</f>
        <v>3486033.67</v>
      </c>
      <c r="K596" s="103">
        <f>SUM('[3]chd4b-SAOB'!W51)</f>
        <v>0</v>
      </c>
      <c r="L596" s="103">
        <f>SUM('[3]chd4b-SAOB'!W144)</f>
        <v>0</v>
      </c>
      <c r="M596" s="103">
        <f>SUM(J596:L596)</f>
        <v>3486033.67</v>
      </c>
      <c r="N596" s="103">
        <f t="shared" si="217"/>
        <v>512660.33000000007</v>
      </c>
      <c r="O596" s="103">
        <f t="shared" si="217"/>
        <v>0</v>
      </c>
      <c r="P596" s="103">
        <f t="shared" si="217"/>
        <v>0</v>
      </c>
      <c r="Q596" s="103">
        <f t="shared" si="218"/>
        <v>512660.33000000007</v>
      </c>
      <c r="S596" s="730">
        <f t="shared" si="198"/>
        <v>0.87179305793341522</v>
      </c>
      <c r="T596" s="730" t="str">
        <f t="shared" si="198"/>
        <v/>
      </c>
      <c r="U596" s="730" t="str">
        <f t="shared" si="198"/>
        <v/>
      </c>
      <c r="V596" s="730">
        <f t="shared" si="198"/>
        <v>0.87179305793341522</v>
      </c>
      <c r="W596" s="531"/>
      <c r="X596" s="236"/>
      <c r="Y596" s="236" t="s">
        <v>598</v>
      </c>
      <c r="Z596" s="236"/>
    </row>
    <row r="597" spans="1:26" s="272" customFormat="1" ht="11.25" customHeight="1">
      <c r="A597" s="528" t="s">
        <v>620</v>
      </c>
      <c r="B597" s="528" t="s">
        <v>161</v>
      </c>
      <c r="C597" s="389"/>
      <c r="D597" s="650" t="s">
        <v>98</v>
      </c>
      <c r="E597" s="390" t="s">
        <v>100</v>
      </c>
      <c r="F597" s="391">
        <f t="shared" ref="F597:M597" si="221">SUM(F598:F602)</f>
        <v>4622310</v>
      </c>
      <c r="G597" s="391">
        <f t="shared" si="221"/>
        <v>0</v>
      </c>
      <c r="H597" s="391">
        <f t="shared" si="221"/>
        <v>0</v>
      </c>
      <c r="I597" s="391">
        <f t="shared" si="221"/>
        <v>4622310</v>
      </c>
      <c r="J597" s="391">
        <f t="shared" si="221"/>
        <v>4185456.85</v>
      </c>
      <c r="K597" s="391">
        <f t="shared" si="221"/>
        <v>0</v>
      </c>
      <c r="L597" s="391">
        <f t="shared" si="221"/>
        <v>0</v>
      </c>
      <c r="M597" s="391">
        <f t="shared" si="221"/>
        <v>4185456.85</v>
      </c>
      <c r="N597" s="391">
        <f t="shared" si="217"/>
        <v>436853.14999999991</v>
      </c>
      <c r="O597" s="391">
        <f t="shared" si="217"/>
        <v>0</v>
      </c>
      <c r="P597" s="391">
        <f t="shared" si="217"/>
        <v>0</v>
      </c>
      <c r="Q597" s="391">
        <f t="shared" si="218"/>
        <v>436853.14999999991</v>
      </c>
      <c r="R597" s="102"/>
      <c r="S597" s="254">
        <f t="shared" si="198"/>
        <v>0.90549029597755237</v>
      </c>
      <c r="T597" s="254" t="str">
        <f t="shared" si="198"/>
        <v/>
      </c>
      <c r="U597" s="254" t="str">
        <f t="shared" si="198"/>
        <v/>
      </c>
      <c r="V597" s="254">
        <f t="shared" si="198"/>
        <v>0.90549029597755237</v>
      </c>
      <c r="W597" s="531"/>
      <c r="Y597" s="272" t="s">
        <v>598</v>
      </c>
      <c r="Z597" s="256" t="s">
        <v>598</v>
      </c>
    </row>
    <row r="598" spans="1:26" ht="11.25" customHeight="1">
      <c r="A598" s="528" t="s">
        <v>620</v>
      </c>
      <c r="B598" s="1013" t="s">
        <v>161</v>
      </c>
      <c r="C598" s="728"/>
      <c r="D598" s="649" t="s">
        <v>288</v>
      </c>
      <c r="E598" s="729" t="s">
        <v>288</v>
      </c>
      <c r="F598" s="103">
        <f>SUM('[3]chd4b-SAOB'!AA14)</f>
        <v>1895002</v>
      </c>
      <c r="G598" s="103">
        <f>SUM('[3]chd4b-SAOB'!AA50)</f>
        <v>0</v>
      </c>
      <c r="H598" s="103">
        <f>SUM('[3]chd4b-SAOB'!AA143)</f>
        <v>0</v>
      </c>
      <c r="I598" s="103">
        <f>SUM(F598:H598)</f>
        <v>1895002</v>
      </c>
      <c r="J598" s="103">
        <f>SUM('[3]chd4b-SAOB'!AA15)</f>
        <v>1458148.85</v>
      </c>
      <c r="K598" s="103">
        <f>SUM('[3]chd4b-SAOB'!AA51)</f>
        <v>0</v>
      </c>
      <c r="L598" s="103">
        <f>SUM('[3]chd4b-SAOB'!AA144)</f>
        <v>0</v>
      </c>
      <c r="M598" s="103">
        <f>SUM(J598:L598)</f>
        <v>1458148.85</v>
      </c>
      <c r="N598" s="103">
        <f t="shared" si="217"/>
        <v>436853.14999999991</v>
      </c>
      <c r="O598" s="103">
        <f t="shared" si="217"/>
        <v>0</v>
      </c>
      <c r="P598" s="103">
        <f t="shared" si="217"/>
        <v>0</v>
      </c>
      <c r="Q598" s="103">
        <f t="shared" si="218"/>
        <v>436853.14999999991</v>
      </c>
      <c r="S598" s="730">
        <f t="shared" si="198"/>
        <v>0.76947087654788759</v>
      </c>
      <c r="T598" s="730" t="str">
        <f t="shared" si="198"/>
        <v/>
      </c>
      <c r="U598" s="730" t="str">
        <f t="shared" si="198"/>
        <v/>
      </c>
      <c r="V598" s="730">
        <f t="shared" si="198"/>
        <v>0.76947087654788759</v>
      </c>
      <c r="W598" s="531"/>
      <c r="X598" s="236"/>
      <c r="Y598" s="236" t="s">
        <v>598</v>
      </c>
      <c r="Z598" s="236"/>
    </row>
    <row r="599" spans="1:26" ht="11.25" customHeight="1">
      <c r="A599" s="528" t="s">
        <v>620</v>
      </c>
      <c r="B599" s="1013" t="s">
        <v>161</v>
      </c>
      <c r="C599" s="728"/>
      <c r="D599" s="649" t="s">
        <v>761</v>
      </c>
      <c r="E599" s="729" t="s">
        <v>761</v>
      </c>
      <c r="F599" s="104">
        <f>+'[3]chd4b-SAOB'!C394</f>
        <v>2390000</v>
      </c>
      <c r="G599" s="104"/>
      <c r="H599" s="104"/>
      <c r="I599" s="103">
        <f>SUM(F599:H599)</f>
        <v>2390000</v>
      </c>
      <c r="J599" s="104">
        <f>+'[3]chd4b-SAOB'!G394</f>
        <v>2390000</v>
      </c>
      <c r="K599" s="104"/>
      <c r="L599" s="104"/>
      <c r="M599" s="103">
        <f>SUM(J599:L599)</f>
        <v>2390000</v>
      </c>
      <c r="N599" s="103">
        <f t="shared" si="217"/>
        <v>0</v>
      </c>
      <c r="O599" s="103">
        <f t="shared" si="217"/>
        <v>0</v>
      </c>
      <c r="P599" s="103">
        <f t="shared" si="217"/>
        <v>0</v>
      </c>
      <c r="Q599" s="103">
        <f>SUM(N599:P599)</f>
        <v>0</v>
      </c>
      <c r="S599" s="730">
        <f t="shared" si="198"/>
        <v>1</v>
      </c>
      <c r="T599" s="730" t="str">
        <f t="shared" si="198"/>
        <v/>
      </c>
      <c r="U599" s="730" t="str">
        <f t="shared" si="198"/>
        <v/>
      </c>
      <c r="V599" s="730">
        <f t="shared" ref="V599:V662" si="222">IF(I599=0,"",M599/I599)</f>
        <v>1</v>
      </c>
      <c r="W599" s="531"/>
      <c r="X599" s="236"/>
      <c r="Y599" s="236" t="s">
        <v>688</v>
      </c>
      <c r="Z599" s="236"/>
    </row>
    <row r="600" spans="1:26" ht="11.25" customHeight="1">
      <c r="A600" s="528" t="s">
        <v>620</v>
      </c>
      <c r="B600" s="1013" t="s">
        <v>161</v>
      </c>
      <c r="C600" s="410"/>
      <c r="D600" s="647"/>
      <c r="E600" s="461" t="s">
        <v>764</v>
      </c>
      <c r="F600" s="104"/>
      <c r="G600" s="104"/>
      <c r="H600" s="104"/>
      <c r="I600" s="103">
        <f>SUM(F600:H600)</f>
        <v>0</v>
      </c>
      <c r="J600" s="104"/>
      <c r="K600" s="104"/>
      <c r="L600" s="104"/>
      <c r="M600" s="103">
        <f>SUM(J600:L600)</f>
        <v>0</v>
      </c>
      <c r="N600" s="103">
        <f t="shared" si="217"/>
        <v>0</v>
      </c>
      <c r="O600" s="103">
        <f t="shared" si="217"/>
        <v>0</v>
      </c>
      <c r="P600" s="103">
        <f t="shared" si="217"/>
        <v>0</v>
      </c>
      <c r="Q600" s="103">
        <f>SUM(N600:P600)</f>
        <v>0</v>
      </c>
      <c r="S600" s="730" t="str">
        <f t="shared" ref="S600:V663" si="223">IF(F600=0,"",J600/F600)</f>
        <v/>
      </c>
      <c r="T600" s="730" t="str">
        <f t="shared" si="223"/>
        <v/>
      </c>
      <c r="U600" s="730" t="str">
        <f t="shared" si="223"/>
        <v/>
      </c>
      <c r="V600" s="730" t="str">
        <f t="shared" si="222"/>
        <v/>
      </c>
      <c r="W600" s="531"/>
      <c r="X600" s="236"/>
      <c r="Y600" s="236" t="s">
        <v>598</v>
      </c>
      <c r="Z600" s="240"/>
    </row>
    <row r="601" spans="1:26" ht="11.25" customHeight="1">
      <c r="A601" s="528" t="s">
        <v>620</v>
      </c>
      <c r="B601" s="1013" t="s">
        <v>161</v>
      </c>
      <c r="C601" s="728"/>
      <c r="D601" s="649" t="s">
        <v>289</v>
      </c>
      <c r="E601" s="729" t="s">
        <v>289</v>
      </c>
      <c r="F601" s="103">
        <f>SUM('[3]chd4b-SAOB'!AE14)</f>
        <v>337308</v>
      </c>
      <c r="G601" s="103">
        <f>SUM('[3]chd4b-SAOB'!AE50)</f>
        <v>0</v>
      </c>
      <c r="H601" s="103">
        <f>SUM('[3]chd4b-SAOB'!AE143)</f>
        <v>0</v>
      </c>
      <c r="I601" s="103">
        <f>SUM(F601:H601)</f>
        <v>337308</v>
      </c>
      <c r="J601" s="103">
        <f>SUM('[3]chd4b-SAOB'!AE15)</f>
        <v>337308</v>
      </c>
      <c r="K601" s="103">
        <f>SUM('[3]chd4b-SAOB'!AE51)</f>
        <v>0</v>
      </c>
      <c r="L601" s="103">
        <f>SUM('[3]chd4b-SAOB'!AE144)</f>
        <v>0</v>
      </c>
      <c r="M601" s="103">
        <f>SUM(J601:L601)</f>
        <v>337308</v>
      </c>
      <c r="N601" s="103">
        <f t="shared" si="217"/>
        <v>0</v>
      </c>
      <c r="O601" s="103">
        <f t="shared" si="217"/>
        <v>0</v>
      </c>
      <c r="P601" s="103">
        <f t="shared" si="217"/>
        <v>0</v>
      </c>
      <c r="Q601" s="103">
        <f t="shared" si="218"/>
        <v>0</v>
      </c>
      <c r="S601" s="730">
        <f t="shared" si="223"/>
        <v>1</v>
      </c>
      <c r="T601" s="730" t="str">
        <f t="shared" si="223"/>
        <v/>
      </c>
      <c r="U601" s="730" t="str">
        <f t="shared" si="223"/>
        <v/>
      </c>
      <c r="V601" s="730">
        <f t="shared" si="222"/>
        <v>1</v>
      </c>
      <c r="W601" s="531"/>
      <c r="X601" s="236"/>
      <c r="Y601" s="236" t="s">
        <v>598</v>
      </c>
      <c r="Z601" s="236"/>
    </row>
    <row r="602" spans="1:26" ht="11.25" customHeight="1">
      <c r="A602" s="528" t="s">
        <v>620</v>
      </c>
      <c r="B602" s="1013" t="s">
        <v>161</v>
      </c>
      <c r="C602" s="728"/>
      <c r="D602" s="649" t="s">
        <v>290</v>
      </c>
      <c r="E602" s="729" t="s">
        <v>290</v>
      </c>
      <c r="F602" s="103">
        <f>SUM('[3]chd4b-SAOB'!AI14)</f>
        <v>0</v>
      </c>
      <c r="G602" s="103">
        <f>SUM('[3]chd4b-SAOB'!AI50)</f>
        <v>0</v>
      </c>
      <c r="H602" s="103">
        <f>SUM('[3]chd4b-SAOB'!AI143)</f>
        <v>0</v>
      </c>
      <c r="I602" s="103">
        <f>SUM(F602:H602)</f>
        <v>0</v>
      </c>
      <c r="J602" s="103">
        <f>SUM('[3]chd4b-SAOB'!AI15)</f>
        <v>0</v>
      </c>
      <c r="K602" s="103">
        <f>SUM('[3]chd4b-SAOB'!AI51)</f>
        <v>0</v>
      </c>
      <c r="L602" s="103">
        <f>SUM('[3]chd4b-SAOB'!AI144)</f>
        <v>0</v>
      </c>
      <c r="M602" s="103">
        <f>SUM(J602:L602)</f>
        <v>0</v>
      </c>
      <c r="N602" s="103">
        <f t="shared" si="217"/>
        <v>0</v>
      </c>
      <c r="O602" s="103">
        <f t="shared" si="217"/>
        <v>0</v>
      </c>
      <c r="P602" s="103">
        <f t="shared" si="217"/>
        <v>0</v>
      </c>
      <c r="Q602" s="103">
        <f t="shared" si="218"/>
        <v>0</v>
      </c>
      <c r="S602" s="730" t="str">
        <f t="shared" si="223"/>
        <v/>
      </c>
      <c r="T602" s="730" t="str">
        <f t="shared" si="223"/>
        <v/>
      </c>
      <c r="U602" s="730" t="str">
        <f t="shared" si="223"/>
        <v/>
      </c>
      <c r="V602" s="730" t="str">
        <f t="shared" si="222"/>
        <v/>
      </c>
      <c r="W602" s="531"/>
      <c r="X602" s="236"/>
      <c r="Y602" s="236" t="s">
        <v>598</v>
      </c>
      <c r="Z602" s="236"/>
    </row>
    <row r="603" spans="1:26" s="259" customFormat="1" ht="11.25" customHeight="1">
      <c r="A603" s="246" t="s">
        <v>620</v>
      </c>
      <c r="B603" s="235" t="s">
        <v>161</v>
      </c>
      <c r="C603" s="656"/>
      <c r="D603" s="656"/>
      <c r="E603" s="657" t="s">
        <v>4</v>
      </c>
      <c r="F603" s="652">
        <f>+F593+F595+F597</f>
        <v>52732004</v>
      </c>
      <c r="G603" s="652">
        <f t="shared" ref="G603:M603" si="224">+G593+G595+G597</f>
        <v>21225000</v>
      </c>
      <c r="H603" s="652">
        <f t="shared" si="224"/>
        <v>0</v>
      </c>
      <c r="I603" s="652">
        <f t="shared" si="224"/>
        <v>73957004</v>
      </c>
      <c r="J603" s="652">
        <f t="shared" si="224"/>
        <v>48541599.320000008</v>
      </c>
      <c r="K603" s="652">
        <f t="shared" si="224"/>
        <v>18858787.760000002</v>
      </c>
      <c r="L603" s="652">
        <f t="shared" si="224"/>
        <v>0</v>
      </c>
      <c r="M603" s="652">
        <f t="shared" si="224"/>
        <v>67400387.079999998</v>
      </c>
      <c r="N603" s="652">
        <f t="shared" si="217"/>
        <v>4190404.6799999923</v>
      </c>
      <c r="O603" s="652">
        <f t="shared" si="217"/>
        <v>2366212.2399999984</v>
      </c>
      <c r="P603" s="652">
        <f t="shared" si="217"/>
        <v>0</v>
      </c>
      <c r="Q603" s="652">
        <f t="shared" si="218"/>
        <v>6556616.9199999906</v>
      </c>
      <c r="R603" s="653">
        <f>+Q603-'[3]chd4b-SAOB'!BC180</f>
        <v>0</v>
      </c>
      <c r="S603" s="1008">
        <f t="shared" si="223"/>
        <v>0.9205339383650204</v>
      </c>
      <c r="T603" s="1008">
        <f t="shared" si="223"/>
        <v>0.8885176800942286</v>
      </c>
      <c r="U603" s="1008" t="str">
        <f t="shared" si="223"/>
        <v/>
      </c>
      <c r="V603" s="1008">
        <f t="shared" si="222"/>
        <v>0.91134555802179329</v>
      </c>
      <c r="W603" s="254"/>
      <c r="X603" s="520"/>
      <c r="Y603" s="610" t="s">
        <v>598</v>
      </c>
      <c r="Z603" s="241" t="s">
        <v>598</v>
      </c>
    </row>
    <row r="604" spans="1:26" ht="11.25" customHeight="1">
      <c r="A604" s="246" t="s">
        <v>620</v>
      </c>
      <c r="B604" s="235" t="s">
        <v>161</v>
      </c>
      <c r="C604" s="410"/>
      <c r="D604" s="386"/>
      <c r="E604" s="461" t="s">
        <v>764</v>
      </c>
      <c r="F604" s="103"/>
      <c r="G604" s="103"/>
      <c r="H604" s="103"/>
      <c r="I604" s="103">
        <f>SUM(F604:H604)</f>
        <v>0</v>
      </c>
      <c r="J604" s="103"/>
      <c r="K604" s="103"/>
      <c r="L604" s="103"/>
      <c r="M604" s="103">
        <f>SUM(J604:L604)</f>
        <v>0</v>
      </c>
      <c r="N604" s="103">
        <f t="shared" si="217"/>
        <v>0</v>
      </c>
      <c r="O604" s="103">
        <f t="shared" si="217"/>
        <v>0</v>
      </c>
      <c r="P604" s="103">
        <f t="shared" si="217"/>
        <v>0</v>
      </c>
      <c r="Q604" s="103">
        <f t="shared" si="218"/>
        <v>0</v>
      </c>
      <c r="S604" s="730" t="str">
        <f t="shared" si="223"/>
        <v/>
      </c>
      <c r="T604" s="730" t="str">
        <f t="shared" si="223"/>
        <v/>
      </c>
      <c r="U604" s="730" t="str">
        <f t="shared" si="223"/>
        <v/>
      </c>
      <c r="V604" s="730" t="str">
        <f t="shared" si="222"/>
        <v/>
      </c>
      <c r="W604" s="254"/>
      <c r="Y604" s="610" t="s">
        <v>598</v>
      </c>
      <c r="Z604" s="241" t="s">
        <v>598</v>
      </c>
    </row>
    <row r="605" spans="1:26" s="675" customFormat="1" ht="11.25" customHeight="1">
      <c r="A605" s="528" t="s">
        <v>620</v>
      </c>
      <c r="B605" s="528" t="s">
        <v>162</v>
      </c>
      <c r="C605" s="407" t="s">
        <v>98</v>
      </c>
      <c r="D605" s="655" t="s">
        <v>107</v>
      </c>
      <c r="E605" s="408" t="s">
        <v>807</v>
      </c>
      <c r="F605" s="673"/>
      <c r="G605" s="673"/>
      <c r="H605" s="673"/>
      <c r="I605" s="674">
        <f>SUM(F605:H605)</f>
        <v>0</v>
      </c>
      <c r="J605" s="673"/>
      <c r="K605" s="673"/>
      <c r="L605" s="673"/>
      <c r="M605" s="674">
        <f>SUM(J605:L605)</f>
        <v>0</v>
      </c>
      <c r="N605" s="674">
        <f t="shared" si="217"/>
        <v>0</v>
      </c>
      <c r="O605" s="674">
        <f t="shared" si="217"/>
        <v>0</v>
      </c>
      <c r="P605" s="674">
        <f t="shared" si="217"/>
        <v>0</v>
      </c>
      <c r="Q605" s="674">
        <f t="shared" si="218"/>
        <v>0</v>
      </c>
      <c r="R605" s="101"/>
      <c r="S605" s="254" t="str">
        <f t="shared" si="223"/>
        <v/>
      </c>
      <c r="T605" s="254" t="str">
        <f t="shared" si="223"/>
        <v/>
      </c>
      <c r="U605" s="254" t="str">
        <f t="shared" si="223"/>
        <v/>
      </c>
      <c r="V605" s="254" t="str">
        <f t="shared" si="222"/>
        <v/>
      </c>
      <c r="W605" s="531"/>
      <c r="Y605" s="272" t="s">
        <v>598</v>
      </c>
      <c r="Z605" s="260" t="s">
        <v>598</v>
      </c>
    </row>
    <row r="606" spans="1:26" ht="11.25" customHeight="1">
      <c r="A606" s="528" t="s">
        <v>620</v>
      </c>
      <c r="B606" s="1013" t="s">
        <v>162</v>
      </c>
      <c r="C606" s="461"/>
      <c r="D606" s="645" t="s">
        <v>766</v>
      </c>
      <c r="E606" s="447" t="s">
        <v>766</v>
      </c>
      <c r="F606" s="104">
        <f>'[3]chd4b-SAOB'!C399</f>
        <v>25299000</v>
      </c>
      <c r="G606" s="104">
        <f>'[3]chd4b-SAOB'!D399</f>
        <v>20568000</v>
      </c>
      <c r="H606" s="104">
        <f>'[3]chd4b-SAOB'!E399</f>
        <v>0</v>
      </c>
      <c r="I606" s="103">
        <f>SUM(F606:H606)</f>
        <v>45867000</v>
      </c>
      <c r="J606" s="104">
        <f>'[3]chd4b-SAOB'!G399</f>
        <v>22592665.43</v>
      </c>
      <c r="K606" s="104">
        <f>'[3]chd4b-SAOB'!H399</f>
        <v>14946383.320000002</v>
      </c>
      <c r="L606" s="104">
        <f>'[3]chd4b-SAOB'!I399</f>
        <v>0</v>
      </c>
      <c r="M606" s="103">
        <f>SUM(J606:L606)</f>
        <v>37539048.75</v>
      </c>
      <c r="N606" s="103">
        <f t="shared" si="217"/>
        <v>2706334.5700000003</v>
      </c>
      <c r="O606" s="103">
        <f t="shared" si="217"/>
        <v>5621616.6799999978</v>
      </c>
      <c r="P606" s="103">
        <f t="shared" si="217"/>
        <v>0</v>
      </c>
      <c r="Q606" s="103">
        <f t="shared" si="218"/>
        <v>8327951.2499999981</v>
      </c>
      <c r="S606" s="730">
        <f t="shared" si="223"/>
        <v>0.89302602592987868</v>
      </c>
      <c r="T606" s="730">
        <f t="shared" si="223"/>
        <v>0.72668141384675233</v>
      </c>
      <c r="U606" s="730" t="str">
        <f t="shared" si="223"/>
        <v/>
      </c>
      <c r="V606" s="730">
        <f t="shared" si="222"/>
        <v>0.81843261495192621</v>
      </c>
      <c r="W606" s="531"/>
      <c r="X606" s="236"/>
      <c r="Y606" s="236" t="s">
        <v>688</v>
      </c>
      <c r="Z606" s="236"/>
    </row>
    <row r="607" spans="1:26" ht="11.25" customHeight="1">
      <c r="A607" s="528" t="s">
        <v>620</v>
      </c>
      <c r="B607" s="1013" t="s">
        <v>162</v>
      </c>
      <c r="C607" s="728"/>
      <c r="D607" s="649" t="s">
        <v>50</v>
      </c>
      <c r="E607" s="447" t="s">
        <v>50</v>
      </c>
      <c r="F607" s="104"/>
      <c r="G607" s="104">
        <f>'[3]chd4b-SAOB'!D401</f>
        <v>6648000</v>
      </c>
      <c r="H607" s="104">
        <f>'[3]chd4b-SAOB'!E401</f>
        <v>30000000</v>
      </c>
      <c r="I607" s="103">
        <f>SUM(F607:H607)</f>
        <v>36648000</v>
      </c>
      <c r="J607" s="104"/>
      <c r="K607" s="104">
        <f>'[3]chd4b-SAOB'!H401</f>
        <v>5651304.3900000006</v>
      </c>
      <c r="L607" s="104">
        <f>'[3]chd4b-SAOB'!I401</f>
        <v>29915000</v>
      </c>
      <c r="M607" s="103">
        <f>SUM(J607:L607)</f>
        <v>35566304.390000001</v>
      </c>
      <c r="N607" s="103">
        <f t="shared" si="217"/>
        <v>0</v>
      </c>
      <c r="O607" s="103">
        <f t="shared" si="217"/>
        <v>996695.6099999994</v>
      </c>
      <c r="P607" s="103">
        <f t="shared" si="217"/>
        <v>85000</v>
      </c>
      <c r="Q607" s="103">
        <f t="shared" si="218"/>
        <v>1081695.6099999994</v>
      </c>
      <c r="S607" s="730" t="str">
        <f t="shared" si="223"/>
        <v/>
      </c>
      <c r="T607" s="730">
        <f t="shared" si="223"/>
        <v>0.85007587093862824</v>
      </c>
      <c r="U607" s="730">
        <f t="shared" si="223"/>
        <v>0.99716666666666665</v>
      </c>
      <c r="V607" s="730">
        <f t="shared" si="222"/>
        <v>0.9704841844029688</v>
      </c>
      <c r="W607" s="531"/>
      <c r="X607" s="236"/>
      <c r="Y607" s="236" t="s">
        <v>688</v>
      </c>
      <c r="Z607" s="236"/>
    </row>
    <row r="608" spans="1:26" s="256" customFormat="1" ht="11.25" customHeight="1">
      <c r="A608" s="528" t="s">
        <v>620</v>
      </c>
      <c r="B608" s="528" t="s">
        <v>162</v>
      </c>
      <c r="C608" s="389"/>
      <c r="D608" s="650" t="s">
        <v>98</v>
      </c>
      <c r="E608" s="390" t="s">
        <v>767</v>
      </c>
      <c r="F608" s="391">
        <f>+F606+F607</f>
        <v>25299000</v>
      </c>
      <c r="G608" s="391">
        <f t="shared" ref="G608:M608" si="225">+G606+G607</f>
        <v>27216000</v>
      </c>
      <c r="H608" s="391">
        <f t="shared" si="225"/>
        <v>30000000</v>
      </c>
      <c r="I608" s="391">
        <f t="shared" si="225"/>
        <v>82515000</v>
      </c>
      <c r="J608" s="391">
        <f t="shared" si="225"/>
        <v>22592665.43</v>
      </c>
      <c r="K608" s="391">
        <f t="shared" si="225"/>
        <v>20597687.710000001</v>
      </c>
      <c r="L608" s="391">
        <f t="shared" si="225"/>
        <v>29915000</v>
      </c>
      <c r="M608" s="391">
        <f t="shared" si="225"/>
        <v>73105353.140000001</v>
      </c>
      <c r="N608" s="391">
        <f t="shared" si="217"/>
        <v>2706334.5700000003</v>
      </c>
      <c r="O608" s="391">
        <f t="shared" si="217"/>
        <v>6618312.2899999991</v>
      </c>
      <c r="P608" s="391">
        <f t="shared" si="217"/>
        <v>85000</v>
      </c>
      <c r="Q608" s="391">
        <f t="shared" si="218"/>
        <v>9409646.8599999994</v>
      </c>
      <c r="R608" s="101"/>
      <c r="S608" s="254">
        <f t="shared" si="223"/>
        <v>0.89302602592987868</v>
      </c>
      <c r="T608" s="254">
        <f t="shared" si="223"/>
        <v>0.75682274066725463</v>
      </c>
      <c r="U608" s="254">
        <f t="shared" si="223"/>
        <v>0.99716666666666665</v>
      </c>
      <c r="V608" s="254">
        <f t="shared" si="222"/>
        <v>0.88596440816821187</v>
      </c>
      <c r="W608" s="531"/>
      <c r="Y608" s="256" t="s">
        <v>598</v>
      </c>
      <c r="Z608" s="256" t="s">
        <v>598</v>
      </c>
    </row>
    <row r="609" spans="1:26" ht="11.25" hidden="1" customHeight="1">
      <c r="A609" s="528" t="s">
        <v>620</v>
      </c>
      <c r="B609" s="1013" t="s">
        <v>162</v>
      </c>
      <c r="C609" s="410"/>
      <c r="D609" s="651"/>
      <c r="E609" s="806" t="s">
        <v>764</v>
      </c>
      <c r="F609" s="807"/>
      <c r="G609" s="807"/>
      <c r="H609" s="807"/>
      <c r="I609" s="807"/>
      <c r="J609" s="807"/>
      <c r="K609" s="807"/>
      <c r="L609" s="807"/>
      <c r="M609" s="807"/>
      <c r="N609" s="807">
        <f t="shared" si="217"/>
        <v>0</v>
      </c>
      <c r="O609" s="807">
        <f t="shared" si="217"/>
        <v>0</v>
      </c>
      <c r="P609" s="807">
        <f t="shared" si="217"/>
        <v>0</v>
      </c>
      <c r="Q609" s="807">
        <f t="shared" si="218"/>
        <v>0</v>
      </c>
      <c r="R609" s="276"/>
      <c r="S609" s="730" t="str">
        <f t="shared" si="223"/>
        <v/>
      </c>
      <c r="T609" s="730" t="str">
        <f t="shared" si="223"/>
        <v/>
      </c>
      <c r="U609" s="730" t="str">
        <f t="shared" si="223"/>
        <v/>
      </c>
      <c r="V609" s="730" t="str">
        <f t="shared" si="222"/>
        <v/>
      </c>
      <c r="W609" s="531"/>
      <c r="X609" s="236"/>
      <c r="Y609" s="236"/>
      <c r="Z609" s="236"/>
    </row>
    <row r="610" spans="1:26" s="256" customFormat="1" ht="11.25" customHeight="1">
      <c r="A610" s="528" t="s">
        <v>620</v>
      </c>
      <c r="B610" s="528" t="s">
        <v>162</v>
      </c>
      <c r="C610" s="389"/>
      <c r="D610" s="650" t="s">
        <v>98</v>
      </c>
      <c r="E610" s="390" t="s">
        <v>99</v>
      </c>
      <c r="F610" s="391">
        <f>+F611</f>
        <v>2272000</v>
      </c>
      <c r="G610" s="391">
        <f t="shared" ref="G610:M610" si="226">+G611</f>
        <v>0</v>
      </c>
      <c r="H610" s="391">
        <f t="shared" si="226"/>
        <v>0</v>
      </c>
      <c r="I610" s="391">
        <f t="shared" si="226"/>
        <v>2272000</v>
      </c>
      <c r="J610" s="391">
        <f t="shared" si="226"/>
        <v>1811865.24</v>
      </c>
      <c r="K610" s="391">
        <f t="shared" si="226"/>
        <v>0</v>
      </c>
      <c r="L610" s="391">
        <f t="shared" si="226"/>
        <v>0</v>
      </c>
      <c r="M610" s="391">
        <f t="shared" si="226"/>
        <v>1811865.24</v>
      </c>
      <c r="N610" s="391">
        <f t="shared" si="217"/>
        <v>460134.76</v>
      </c>
      <c r="O610" s="391">
        <f t="shared" si="217"/>
        <v>0</v>
      </c>
      <c r="P610" s="391">
        <f t="shared" si="217"/>
        <v>0</v>
      </c>
      <c r="Q610" s="391">
        <f t="shared" si="218"/>
        <v>460134.76</v>
      </c>
      <c r="R610" s="101"/>
      <c r="S610" s="254">
        <f t="shared" si="223"/>
        <v>0.79747589788732398</v>
      </c>
      <c r="T610" s="254" t="str">
        <f t="shared" si="223"/>
        <v/>
      </c>
      <c r="U610" s="254" t="str">
        <f t="shared" si="223"/>
        <v/>
      </c>
      <c r="V610" s="254">
        <f t="shared" si="222"/>
        <v>0.79747589788732398</v>
      </c>
      <c r="W610" s="531"/>
      <c r="Y610" s="256" t="s">
        <v>598</v>
      </c>
      <c r="Z610" s="256" t="s">
        <v>598</v>
      </c>
    </row>
    <row r="611" spans="1:26" ht="11.25" customHeight="1">
      <c r="A611" s="528" t="s">
        <v>620</v>
      </c>
      <c r="B611" s="1013" t="s">
        <v>162</v>
      </c>
      <c r="C611" s="728"/>
      <c r="D611" s="649" t="s">
        <v>286</v>
      </c>
      <c r="E611" s="729" t="s">
        <v>286</v>
      </c>
      <c r="F611" s="103">
        <f>SUM('[3]chd4b-SAOB'!X14)</f>
        <v>2272000</v>
      </c>
      <c r="G611" s="103">
        <f>SUM('[3]chd4b-SAOB'!X50)</f>
        <v>0</v>
      </c>
      <c r="H611" s="103">
        <f>SUM('[3]chd4b-SAOB'!X143)</f>
        <v>0</v>
      </c>
      <c r="I611" s="103">
        <f>SUM(F611:H611)</f>
        <v>2272000</v>
      </c>
      <c r="J611" s="103">
        <f>SUM('[3]chd4b-SAOB'!X15)</f>
        <v>1811865.24</v>
      </c>
      <c r="K611" s="103">
        <f>SUM('[3]chd4b-SAOB'!X51)</f>
        <v>0</v>
      </c>
      <c r="L611" s="103">
        <f>SUM('[3]chd4b-SAOB'!X144)</f>
        <v>0</v>
      </c>
      <c r="M611" s="103">
        <f>SUM(J611:L611)</f>
        <v>1811865.24</v>
      </c>
      <c r="N611" s="103">
        <f t="shared" si="217"/>
        <v>460134.76</v>
      </c>
      <c r="O611" s="103">
        <f t="shared" si="217"/>
        <v>0</v>
      </c>
      <c r="P611" s="103">
        <f t="shared" si="217"/>
        <v>0</v>
      </c>
      <c r="Q611" s="103">
        <f t="shared" si="218"/>
        <v>460134.76</v>
      </c>
      <c r="S611" s="730">
        <f t="shared" si="223"/>
        <v>0.79747589788732398</v>
      </c>
      <c r="T611" s="730" t="str">
        <f t="shared" si="223"/>
        <v/>
      </c>
      <c r="U611" s="730" t="str">
        <f t="shared" si="223"/>
        <v/>
      </c>
      <c r="V611" s="730">
        <f t="shared" si="222"/>
        <v>0.79747589788732398</v>
      </c>
      <c r="W611" s="531"/>
      <c r="X611" s="236"/>
      <c r="Y611" s="236" t="s">
        <v>598</v>
      </c>
      <c r="Z611" s="236"/>
    </row>
    <row r="612" spans="1:26" s="272" customFormat="1" ht="11.25" customHeight="1">
      <c r="A612" s="528" t="s">
        <v>620</v>
      </c>
      <c r="B612" s="528" t="s">
        <v>162</v>
      </c>
      <c r="C612" s="389"/>
      <c r="D612" s="650" t="s">
        <v>98</v>
      </c>
      <c r="E612" s="390" t="s">
        <v>100</v>
      </c>
      <c r="F612" s="391">
        <f t="shared" ref="F612:M612" si="227">SUM(F613:F617)</f>
        <v>550000</v>
      </c>
      <c r="G612" s="391">
        <f t="shared" si="227"/>
        <v>0</v>
      </c>
      <c r="H612" s="391">
        <f t="shared" si="227"/>
        <v>0</v>
      </c>
      <c r="I612" s="391">
        <f t="shared" si="227"/>
        <v>550000</v>
      </c>
      <c r="J612" s="391">
        <f t="shared" si="227"/>
        <v>545000</v>
      </c>
      <c r="K612" s="391">
        <f t="shared" si="227"/>
        <v>0</v>
      </c>
      <c r="L612" s="391">
        <f t="shared" si="227"/>
        <v>0</v>
      </c>
      <c r="M612" s="391">
        <f t="shared" si="227"/>
        <v>545000</v>
      </c>
      <c r="N612" s="391">
        <f t="shared" si="217"/>
        <v>5000</v>
      </c>
      <c r="O612" s="391">
        <f t="shared" si="217"/>
        <v>0</v>
      </c>
      <c r="P612" s="391">
        <f t="shared" si="217"/>
        <v>0</v>
      </c>
      <c r="Q612" s="391">
        <f t="shared" si="218"/>
        <v>5000</v>
      </c>
      <c r="R612" s="102"/>
      <c r="S612" s="254">
        <f t="shared" si="223"/>
        <v>0.99090909090909096</v>
      </c>
      <c r="T612" s="254" t="str">
        <f t="shared" si="223"/>
        <v/>
      </c>
      <c r="U612" s="254" t="str">
        <f t="shared" si="223"/>
        <v/>
      </c>
      <c r="V612" s="254">
        <f t="shared" si="222"/>
        <v>0.99090909090909096</v>
      </c>
      <c r="W612" s="531"/>
      <c r="Y612" s="272" t="s">
        <v>598</v>
      </c>
      <c r="Z612" s="256" t="s">
        <v>598</v>
      </c>
    </row>
    <row r="613" spans="1:26" ht="11.25" customHeight="1">
      <c r="A613" s="528" t="s">
        <v>620</v>
      </c>
      <c r="B613" s="1013" t="s">
        <v>162</v>
      </c>
      <c r="C613" s="728"/>
      <c r="D613" s="649" t="s">
        <v>288</v>
      </c>
      <c r="E613" s="729" t="s">
        <v>288</v>
      </c>
      <c r="F613" s="103">
        <f>SUM('[3]chd4b-SAOB'!AB14)</f>
        <v>0</v>
      </c>
      <c r="G613" s="103">
        <f>SUM('[3]chd4b-SAOB'!AB50)</f>
        <v>0</v>
      </c>
      <c r="H613" s="103">
        <f>SUM('[3]chd4b-SAOB'!AB143)</f>
        <v>0</v>
      </c>
      <c r="I613" s="103">
        <f>SUM(F613:H613)</f>
        <v>0</v>
      </c>
      <c r="J613" s="103">
        <f>SUM('[3]chd4b-SAOB'!AB15)</f>
        <v>0</v>
      </c>
      <c r="K613" s="103">
        <f>SUM('[3]chd4b-SAOB'!AB51)</f>
        <v>0</v>
      </c>
      <c r="L613" s="103">
        <f>SUM('[3]chd4b-SAOB'!AB144)</f>
        <v>0</v>
      </c>
      <c r="M613" s="103">
        <f>SUM(J613:L613)</f>
        <v>0</v>
      </c>
      <c r="N613" s="103">
        <f t="shared" si="217"/>
        <v>0</v>
      </c>
      <c r="O613" s="103">
        <f t="shared" si="217"/>
        <v>0</v>
      </c>
      <c r="P613" s="103">
        <f t="shared" si="217"/>
        <v>0</v>
      </c>
      <c r="Q613" s="103">
        <f t="shared" si="218"/>
        <v>0</v>
      </c>
      <c r="S613" s="730" t="str">
        <f t="shared" si="223"/>
        <v/>
      </c>
      <c r="T613" s="730" t="str">
        <f t="shared" si="223"/>
        <v/>
      </c>
      <c r="U613" s="730" t="str">
        <f t="shared" si="223"/>
        <v/>
      </c>
      <c r="V613" s="730" t="str">
        <f t="shared" si="222"/>
        <v/>
      </c>
      <c r="W613" s="531"/>
      <c r="X613" s="236"/>
      <c r="Y613" s="236" t="s">
        <v>598</v>
      </c>
      <c r="Z613" s="236"/>
    </row>
    <row r="614" spans="1:26" ht="11.25" customHeight="1">
      <c r="A614" s="528" t="s">
        <v>620</v>
      </c>
      <c r="B614" s="1013" t="s">
        <v>162</v>
      </c>
      <c r="C614" s="728"/>
      <c r="D614" s="649" t="s">
        <v>761</v>
      </c>
      <c r="E614" s="729" t="s">
        <v>761</v>
      </c>
      <c r="F614" s="104">
        <f>+'[3]chd4b-SAOB'!C401</f>
        <v>550000</v>
      </c>
      <c r="G614" s="104"/>
      <c r="H614" s="104"/>
      <c r="I614" s="103">
        <f>SUM(F614:H614)</f>
        <v>550000</v>
      </c>
      <c r="J614" s="104">
        <f>+'[3]chd4b-SAOB'!G401</f>
        <v>545000</v>
      </c>
      <c r="K614" s="104"/>
      <c r="L614" s="104"/>
      <c r="M614" s="103">
        <f>SUM(J614:L614)</f>
        <v>545000</v>
      </c>
      <c r="N614" s="103">
        <f t="shared" si="217"/>
        <v>5000</v>
      </c>
      <c r="O614" s="103">
        <f t="shared" si="217"/>
        <v>0</v>
      </c>
      <c r="P614" s="103">
        <f t="shared" si="217"/>
        <v>0</v>
      </c>
      <c r="Q614" s="103">
        <f>SUM(N614:P614)</f>
        <v>5000</v>
      </c>
      <c r="S614" s="730">
        <f t="shared" si="223"/>
        <v>0.99090909090909096</v>
      </c>
      <c r="T614" s="730" t="str">
        <f t="shared" si="223"/>
        <v/>
      </c>
      <c r="U614" s="730" t="str">
        <f t="shared" si="223"/>
        <v/>
      </c>
      <c r="V614" s="730">
        <f t="shared" si="222"/>
        <v>0.99090909090909096</v>
      </c>
      <c r="W614" s="531"/>
      <c r="X614" s="236"/>
      <c r="Y614" s="236" t="s">
        <v>688</v>
      </c>
      <c r="Z614" s="236"/>
    </row>
    <row r="615" spans="1:26" ht="11.25" customHeight="1">
      <c r="A615" s="528" t="s">
        <v>620</v>
      </c>
      <c r="B615" s="1013" t="s">
        <v>162</v>
      </c>
      <c r="C615" s="410"/>
      <c r="D615" s="647"/>
      <c r="E615" s="461" t="s">
        <v>764</v>
      </c>
      <c r="F615" s="104"/>
      <c r="G615" s="104"/>
      <c r="H615" s="104"/>
      <c r="I615" s="103">
        <f>SUM(F615:H615)</f>
        <v>0</v>
      </c>
      <c r="J615" s="104"/>
      <c r="K615" s="104"/>
      <c r="L615" s="104"/>
      <c r="M615" s="103">
        <f>SUM(J615:L615)</f>
        <v>0</v>
      </c>
      <c r="N615" s="103">
        <f t="shared" si="217"/>
        <v>0</v>
      </c>
      <c r="O615" s="103">
        <f t="shared" si="217"/>
        <v>0</v>
      </c>
      <c r="P615" s="103">
        <f t="shared" si="217"/>
        <v>0</v>
      </c>
      <c r="Q615" s="103">
        <f>SUM(N615:P615)</f>
        <v>0</v>
      </c>
      <c r="S615" s="730" t="str">
        <f t="shared" si="223"/>
        <v/>
      </c>
      <c r="T615" s="730" t="str">
        <f t="shared" si="223"/>
        <v/>
      </c>
      <c r="U615" s="730" t="str">
        <f t="shared" si="223"/>
        <v/>
      </c>
      <c r="V615" s="730" t="str">
        <f t="shared" si="222"/>
        <v/>
      </c>
      <c r="W615" s="531"/>
      <c r="X615" s="236"/>
      <c r="Y615" s="236" t="s">
        <v>598</v>
      </c>
      <c r="Z615" s="240"/>
    </row>
    <row r="616" spans="1:26" ht="11.25" customHeight="1">
      <c r="A616" s="528" t="s">
        <v>620</v>
      </c>
      <c r="B616" s="1013" t="s">
        <v>162</v>
      </c>
      <c r="C616" s="728"/>
      <c r="D616" s="649" t="s">
        <v>289</v>
      </c>
      <c r="E616" s="729" t="s">
        <v>289</v>
      </c>
      <c r="F616" s="103">
        <f>SUM('[3]chd4b-SAOB'!AF14)</f>
        <v>0</v>
      </c>
      <c r="G616" s="103">
        <f>SUM('[3]chd4b-SAOB'!AF50)</f>
        <v>0</v>
      </c>
      <c r="H616" s="103">
        <f>SUM('[3]chd4b-SAOB'!AF143)</f>
        <v>0</v>
      </c>
      <c r="I616" s="103">
        <f>SUM(F616:H616)</f>
        <v>0</v>
      </c>
      <c r="J616" s="103">
        <f>SUM('[3]chd4b-SAOB'!AF15)</f>
        <v>0</v>
      </c>
      <c r="K616" s="103">
        <f>SUM('[3]chd4b-SAOB'!AF51)</f>
        <v>0</v>
      </c>
      <c r="L616" s="103">
        <f>SUM('[3]chd4b-SAOB'!AF144)</f>
        <v>0</v>
      </c>
      <c r="M616" s="103">
        <f>SUM(J616:L616)</f>
        <v>0</v>
      </c>
      <c r="N616" s="103">
        <f t="shared" si="217"/>
        <v>0</v>
      </c>
      <c r="O616" s="103">
        <f t="shared" si="217"/>
        <v>0</v>
      </c>
      <c r="P616" s="103">
        <f t="shared" si="217"/>
        <v>0</v>
      </c>
      <c r="Q616" s="103">
        <f t="shared" si="218"/>
        <v>0</v>
      </c>
      <c r="S616" s="730" t="str">
        <f t="shared" si="223"/>
        <v/>
      </c>
      <c r="T616" s="730" t="str">
        <f t="shared" si="223"/>
        <v/>
      </c>
      <c r="U616" s="730" t="str">
        <f t="shared" si="223"/>
        <v/>
      </c>
      <c r="V616" s="730" t="str">
        <f t="shared" si="222"/>
        <v/>
      </c>
      <c r="W616" s="531"/>
      <c r="X616" s="236"/>
      <c r="Y616" s="236" t="s">
        <v>598</v>
      </c>
      <c r="Z616" s="236"/>
    </row>
    <row r="617" spans="1:26" ht="11.25" customHeight="1">
      <c r="A617" s="528" t="s">
        <v>620</v>
      </c>
      <c r="B617" s="1013" t="s">
        <v>162</v>
      </c>
      <c r="C617" s="728"/>
      <c r="D617" s="649" t="s">
        <v>290</v>
      </c>
      <c r="E617" s="729" t="s">
        <v>290</v>
      </c>
      <c r="F617" s="103">
        <f>SUM('[3]chd4b-SAOB'!AJ14)</f>
        <v>0</v>
      </c>
      <c r="G617" s="103">
        <f>SUM('[3]chd4b-SAOB'!AJ50)</f>
        <v>0</v>
      </c>
      <c r="H617" s="103">
        <f>SUM('[3]chd4b-SAOB'!AJ143)</f>
        <v>0</v>
      </c>
      <c r="I617" s="103">
        <f>SUM(F617:H617)</f>
        <v>0</v>
      </c>
      <c r="J617" s="103">
        <f>SUM('[3]chd4b-SAOB'!AJ15)</f>
        <v>0</v>
      </c>
      <c r="K617" s="103">
        <f>SUM('[3]chd4b-SAOB'!AJ51)</f>
        <v>0</v>
      </c>
      <c r="L617" s="103">
        <f>SUM('[3]chd4b-SAOB'!AJ144)</f>
        <v>0</v>
      </c>
      <c r="M617" s="103">
        <f>SUM(J617:L617)</f>
        <v>0</v>
      </c>
      <c r="N617" s="103">
        <f t="shared" si="217"/>
        <v>0</v>
      </c>
      <c r="O617" s="103">
        <f t="shared" si="217"/>
        <v>0</v>
      </c>
      <c r="P617" s="103">
        <f t="shared" si="217"/>
        <v>0</v>
      </c>
      <c r="Q617" s="103">
        <f t="shared" si="218"/>
        <v>0</v>
      </c>
      <c r="S617" s="730" t="str">
        <f t="shared" si="223"/>
        <v/>
      </c>
      <c r="T617" s="730" t="str">
        <f t="shared" si="223"/>
        <v/>
      </c>
      <c r="U617" s="730" t="str">
        <f t="shared" si="223"/>
        <v/>
      </c>
      <c r="V617" s="730" t="str">
        <f t="shared" si="222"/>
        <v/>
      </c>
      <c r="W617" s="531"/>
      <c r="X617" s="236"/>
      <c r="Y617" s="236" t="s">
        <v>598</v>
      </c>
      <c r="Z617" s="236"/>
    </row>
    <row r="618" spans="1:26" s="259" customFormat="1" ht="11.25" customHeight="1">
      <c r="A618" s="246" t="s">
        <v>620</v>
      </c>
      <c r="B618" s="235" t="s">
        <v>162</v>
      </c>
      <c r="C618" s="656"/>
      <c r="D618" s="656"/>
      <c r="E618" s="657" t="s">
        <v>4</v>
      </c>
      <c r="F618" s="652">
        <f>+F608+F610+F612</f>
        <v>28121000</v>
      </c>
      <c r="G618" s="652">
        <f t="shared" ref="G618:M618" si="228">+G608+G610+G612</f>
        <v>27216000</v>
      </c>
      <c r="H618" s="652">
        <f t="shared" si="228"/>
        <v>30000000</v>
      </c>
      <c r="I618" s="652">
        <f t="shared" si="228"/>
        <v>85337000</v>
      </c>
      <c r="J618" s="652">
        <f t="shared" si="228"/>
        <v>24949530.669999998</v>
      </c>
      <c r="K618" s="652">
        <f t="shared" si="228"/>
        <v>20597687.710000001</v>
      </c>
      <c r="L618" s="652">
        <f t="shared" si="228"/>
        <v>29915000</v>
      </c>
      <c r="M618" s="652">
        <f t="shared" si="228"/>
        <v>75462218.379999995</v>
      </c>
      <c r="N618" s="652">
        <f t="shared" si="217"/>
        <v>3171469.3300000019</v>
      </c>
      <c r="O618" s="652">
        <f t="shared" si="217"/>
        <v>6618312.2899999991</v>
      </c>
      <c r="P618" s="652">
        <f t="shared" si="217"/>
        <v>85000</v>
      </c>
      <c r="Q618" s="652">
        <f t="shared" si="218"/>
        <v>9874781.620000001</v>
      </c>
      <c r="R618" s="653">
        <f>+Q618-'[3]chd4b-SAOB'!BD180</f>
        <v>0</v>
      </c>
      <c r="S618" s="1008">
        <f t="shared" si="223"/>
        <v>0.88722060630845268</v>
      </c>
      <c r="T618" s="1008">
        <f t="shared" si="223"/>
        <v>0.75682274066725463</v>
      </c>
      <c r="U618" s="1008">
        <f t="shared" si="223"/>
        <v>0.99716666666666665</v>
      </c>
      <c r="V618" s="1008">
        <f t="shared" si="222"/>
        <v>0.88428487502490116</v>
      </c>
      <c r="W618" s="254"/>
      <c r="X618" s="520"/>
      <c r="Y618" s="610" t="s">
        <v>598</v>
      </c>
      <c r="Z618" s="241" t="s">
        <v>598</v>
      </c>
    </row>
    <row r="619" spans="1:26" s="660" customFormat="1" ht="15.75" hidden="1" customHeight="1">
      <c r="A619" s="246" t="s">
        <v>620</v>
      </c>
      <c r="B619" s="1009" t="s">
        <v>621</v>
      </c>
      <c r="C619" s="1428" t="s">
        <v>619</v>
      </c>
      <c r="D619" s="1429"/>
      <c r="E619" s="1430"/>
      <c r="F619" s="659">
        <f>+F603+F618</f>
        <v>80853004</v>
      </c>
      <c r="G619" s="659">
        <f>+G603+G618</f>
        <v>48441000</v>
      </c>
      <c r="H619" s="659">
        <f>+H603+H618</f>
        <v>30000000</v>
      </c>
      <c r="I619" s="659">
        <f>SUM(F619:H619)</f>
        <v>159294004</v>
      </c>
      <c r="J619" s="659">
        <f>+J603+J618</f>
        <v>73491129.99000001</v>
      </c>
      <c r="K619" s="659">
        <f>+K603+K618</f>
        <v>39456475.469999999</v>
      </c>
      <c r="L619" s="659">
        <f>+L603+L618</f>
        <v>29915000</v>
      </c>
      <c r="M619" s="659">
        <f>SUM(J619:L619)</f>
        <v>142862605.46000001</v>
      </c>
      <c r="N619" s="659">
        <f t="shared" si="217"/>
        <v>7361874.0099999905</v>
      </c>
      <c r="O619" s="659">
        <f t="shared" si="217"/>
        <v>8984524.5300000012</v>
      </c>
      <c r="P619" s="659">
        <f t="shared" si="217"/>
        <v>85000</v>
      </c>
      <c r="Q619" s="659">
        <f t="shared" si="218"/>
        <v>16431398.539999992</v>
      </c>
      <c r="R619" s="678"/>
      <c r="S619" s="1015">
        <f t="shared" si="223"/>
        <v>0.90894742748210089</v>
      </c>
      <c r="T619" s="1015">
        <f t="shared" si="223"/>
        <v>0.81452644392147144</v>
      </c>
      <c r="U619" s="1015">
        <f t="shared" si="223"/>
        <v>0.99716666666666665</v>
      </c>
      <c r="V619" s="1015">
        <f t="shared" si="222"/>
        <v>0.89684860617854778</v>
      </c>
      <c r="W619" s="254"/>
    </row>
    <row r="620" spans="1:26" ht="11.25" hidden="1" customHeight="1">
      <c r="A620" s="246" t="s">
        <v>620</v>
      </c>
      <c r="B620" s="235" t="s">
        <v>621</v>
      </c>
      <c r="C620" s="1016"/>
      <c r="D620" s="386"/>
      <c r="E620" s="461"/>
      <c r="F620" s="103"/>
      <c r="G620" s="103"/>
      <c r="H620" s="103"/>
      <c r="I620" s="103">
        <f>SUM(F620:H620)</f>
        <v>0</v>
      </c>
      <c r="J620" s="103"/>
      <c r="K620" s="103"/>
      <c r="L620" s="103"/>
      <c r="M620" s="103">
        <f>SUM(J620:L620)</f>
        <v>0</v>
      </c>
      <c r="N620" s="103">
        <f t="shared" si="217"/>
        <v>0</v>
      </c>
      <c r="O620" s="103">
        <f t="shared" si="217"/>
        <v>0</v>
      </c>
      <c r="P620" s="103">
        <f t="shared" si="217"/>
        <v>0</v>
      </c>
      <c r="Q620" s="103">
        <f t="shared" si="218"/>
        <v>0</v>
      </c>
      <c r="R620" s="236"/>
      <c r="S620" s="730" t="str">
        <f t="shared" si="223"/>
        <v/>
      </c>
      <c r="T620" s="730" t="str">
        <f t="shared" si="223"/>
        <v/>
      </c>
      <c r="U620" s="730" t="str">
        <f t="shared" si="223"/>
        <v/>
      </c>
      <c r="V620" s="730" t="str">
        <f t="shared" si="222"/>
        <v/>
      </c>
      <c r="W620" s="254"/>
      <c r="X620" s="520" t="s">
        <v>598</v>
      </c>
      <c r="Z620" s="241" t="s">
        <v>598</v>
      </c>
    </row>
    <row r="621" spans="1:26" s="275" customFormat="1" ht="11.25" hidden="1" customHeight="1">
      <c r="A621" s="246" t="s">
        <v>620</v>
      </c>
      <c r="B621" s="246" t="s">
        <v>621</v>
      </c>
      <c r="C621" s="407" t="s">
        <v>808</v>
      </c>
      <c r="D621" s="407"/>
      <c r="E621" s="408"/>
      <c r="F621" s="409"/>
      <c r="G621" s="409"/>
      <c r="H621" s="409"/>
      <c r="I621" s="409">
        <f>SUM(F621:H621)</f>
        <v>0</v>
      </c>
      <c r="J621" s="409"/>
      <c r="K621" s="409"/>
      <c r="L621" s="409"/>
      <c r="M621" s="409">
        <f>SUM(J621:L621)</f>
        <v>0</v>
      </c>
      <c r="N621" s="409">
        <f t="shared" si="217"/>
        <v>0</v>
      </c>
      <c r="O621" s="409">
        <f t="shared" si="217"/>
        <v>0</v>
      </c>
      <c r="P621" s="409">
        <f t="shared" si="217"/>
        <v>0</v>
      </c>
      <c r="Q621" s="409">
        <f t="shared" si="218"/>
        <v>0</v>
      </c>
      <c r="R621" s="522"/>
      <c r="S621" s="254" t="str">
        <f t="shared" si="223"/>
        <v/>
      </c>
      <c r="T621" s="254" t="str">
        <f t="shared" si="223"/>
        <v/>
      </c>
      <c r="U621" s="254" t="str">
        <f t="shared" si="223"/>
        <v/>
      </c>
      <c r="V621" s="1002" t="str">
        <f t="shared" si="222"/>
        <v/>
      </c>
      <c r="W621" s="254"/>
      <c r="X621" s="274" t="s">
        <v>598</v>
      </c>
      <c r="Y621" s="663"/>
      <c r="Z621" s="253"/>
    </row>
    <row r="622" spans="1:26" ht="11.25" hidden="1" customHeight="1">
      <c r="A622" s="246" t="s">
        <v>620</v>
      </c>
      <c r="B622" s="235" t="s">
        <v>621</v>
      </c>
      <c r="C622" s="461"/>
      <c r="D622" s="664" t="s">
        <v>766</v>
      </c>
      <c r="E622" s="447" t="s">
        <v>766</v>
      </c>
      <c r="F622" s="103">
        <f>+F572+F591+F606</f>
        <v>126459000</v>
      </c>
      <c r="G622" s="103">
        <f>+G572+G591+G606</f>
        <v>198746000</v>
      </c>
      <c r="H622" s="103">
        <f>+H572+H591+H606</f>
        <v>0</v>
      </c>
      <c r="I622" s="103">
        <f>SUM(F622:H622)</f>
        <v>325205000</v>
      </c>
      <c r="J622" s="103">
        <f>+J572+J591+J606</f>
        <v>115210349.85000002</v>
      </c>
      <c r="K622" s="103">
        <f>+K572+K591+K606</f>
        <v>163142673.00999999</v>
      </c>
      <c r="L622" s="103">
        <f>+L572+L591+L606</f>
        <v>0</v>
      </c>
      <c r="M622" s="103">
        <f>SUM(J622:L622)</f>
        <v>278353022.86000001</v>
      </c>
      <c r="N622" s="103">
        <f t="shared" si="217"/>
        <v>11248650.149999976</v>
      </c>
      <c r="O622" s="103">
        <f t="shared" si="217"/>
        <v>35603326.99000001</v>
      </c>
      <c r="P622" s="103">
        <f t="shared" si="217"/>
        <v>0</v>
      </c>
      <c r="Q622" s="103">
        <f t="shared" si="218"/>
        <v>46851977.139999986</v>
      </c>
      <c r="R622" s="236"/>
      <c r="S622" s="730">
        <f t="shared" si="223"/>
        <v>0.91104903446967023</v>
      </c>
      <c r="T622" s="730">
        <f t="shared" si="223"/>
        <v>0.82086015824217839</v>
      </c>
      <c r="U622" s="730" t="str">
        <f t="shared" si="223"/>
        <v/>
      </c>
      <c r="V622" s="730">
        <f t="shared" si="222"/>
        <v>0.85593094466567243</v>
      </c>
      <c r="W622" s="254"/>
      <c r="X622" s="237" t="s">
        <v>598</v>
      </c>
    </row>
    <row r="623" spans="1:26" ht="11.25" hidden="1" customHeight="1">
      <c r="A623" s="246" t="s">
        <v>620</v>
      </c>
      <c r="B623" s="235" t="s">
        <v>621</v>
      </c>
      <c r="C623" s="728"/>
      <c r="D623" s="394" t="s">
        <v>50</v>
      </c>
      <c r="E623" s="447" t="s">
        <v>50</v>
      </c>
      <c r="F623" s="103">
        <f>+F576+F592+F607</f>
        <v>0</v>
      </c>
      <c r="G623" s="103">
        <f>+G576+G592+G607</f>
        <v>135594717</v>
      </c>
      <c r="H623" s="103">
        <f>+H576+H592+H607</f>
        <v>52000000</v>
      </c>
      <c r="I623" s="103">
        <f>SUM(F623:H623)</f>
        <v>187594717</v>
      </c>
      <c r="J623" s="103">
        <f>+J576+J592+J607</f>
        <v>0</v>
      </c>
      <c r="K623" s="103">
        <f>+K576+K592+K607</f>
        <v>106075487.45999999</v>
      </c>
      <c r="L623" s="103">
        <f>+L576+L592+L607</f>
        <v>45415000</v>
      </c>
      <c r="M623" s="103">
        <f>SUM(J623:L623)</f>
        <v>151490487.45999998</v>
      </c>
      <c r="N623" s="103">
        <f t="shared" si="217"/>
        <v>0</v>
      </c>
      <c r="O623" s="103">
        <f t="shared" si="217"/>
        <v>29519229.540000007</v>
      </c>
      <c r="P623" s="103">
        <f t="shared" si="217"/>
        <v>6585000</v>
      </c>
      <c r="Q623" s="103">
        <f t="shared" si="218"/>
        <v>36104229.540000007</v>
      </c>
      <c r="R623" s="236"/>
      <c r="S623" s="730" t="str">
        <f t="shared" si="223"/>
        <v/>
      </c>
      <c r="T623" s="730">
        <f t="shared" si="223"/>
        <v>0.78229808510902377</v>
      </c>
      <c r="U623" s="730">
        <f t="shared" si="223"/>
        <v>0.8733653846153846</v>
      </c>
      <c r="V623" s="730">
        <f t="shared" si="222"/>
        <v>0.80754133102799464</v>
      </c>
      <c r="W623" s="254"/>
      <c r="X623" s="237" t="s">
        <v>598</v>
      </c>
    </row>
    <row r="624" spans="1:26" s="256" customFormat="1" ht="11.25" hidden="1" customHeight="1">
      <c r="A624" s="246" t="s">
        <v>620</v>
      </c>
      <c r="B624" s="246" t="s">
        <v>621</v>
      </c>
      <c r="C624" s="389"/>
      <c r="D624" s="389" t="s">
        <v>98</v>
      </c>
      <c r="E624" s="390" t="s">
        <v>767</v>
      </c>
      <c r="F624" s="391">
        <f>+F622+F623</f>
        <v>126459000</v>
      </c>
      <c r="G624" s="391">
        <f t="shared" ref="G624:M624" si="229">+G622+G623</f>
        <v>334340717</v>
      </c>
      <c r="H624" s="391">
        <f t="shared" si="229"/>
        <v>52000000</v>
      </c>
      <c r="I624" s="391">
        <f t="shared" si="229"/>
        <v>512799717</v>
      </c>
      <c r="J624" s="391">
        <f t="shared" si="229"/>
        <v>115210349.85000002</v>
      </c>
      <c r="K624" s="391">
        <f t="shared" si="229"/>
        <v>269218160.46999997</v>
      </c>
      <c r="L624" s="391">
        <f t="shared" si="229"/>
        <v>45415000</v>
      </c>
      <c r="M624" s="391">
        <f t="shared" si="229"/>
        <v>429843510.31999999</v>
      </c>
      <c r="N624" s="391">
        <f t="shared" si="217"/>
        <v>11248650.149999976</v>
      </c>
      <c r="O624" s="391">
        <f t="shared" si="217"/>
        <v>65122556.530000031</v>
      </c>
      <c r="P624" s="391">
        <f t="shared" si="217"/>
        <v>6585000</v>
      </c>
      <c r="Q624" s="391">
        <f t="shared" si="218"/>
        <v>82956206.680000007</v>
      </c>
      <c r="R624" s="665"/>
      <c r="S624" s="254">
        <f t="shared" si="223"/>
        <v>0.91104903446967023</v>
      </c>
      <c r="T624" s="254">
        <f t="shared" si="223"/>
        <v>0.8052209820139854</v>
      </c>
      <c r="U624" s="254">
        <f t="shared" si="223"/>
        <v>0.8733653846153846</v>
      </c>
      <c r="V624" s="297">
        <f t="shared" si="222"/>
        <v>0.8382288368540578</v>
      </c>
      <c r="W624" s="254"/>
      <c r="X624" s="271" t="s">
        <v>598</v>
      </c>
      <c r="Y624" s="628"/>
      <c r="Z624" s="255"/>
    </row>
    <row r="625" spans="1:26" ht="11.25" hidden="1" customHeight="1">
      <c r="A625" s="246" t="s">
        <v>620</v>
      </c>
      <c r="B625" s="235" t="s">
        <v>621</v>
      </c>
      <c r="C625" s="410"/>
      <c r="D625" s="396"/>
      <c r="E625" s="806"/>
      <c r="F625" s="807"/>
      <c r="G625" s="807"/>
      <c r="H625" s="807"/>
      <c r="I625" s="807"/>
      <c r="J625" s="807"/>
      <c r="K625" s="807"/>
      <c r="L625" s="807"/>
      <c r="M625" s="807"/>
      <c r="N625" s="807">
        <f t="shared" si="217"/>
        <v>0</v>
      </c>
      <c r="O625" s="807">
        <f t="shared" si="217"/>
        <v>0</v>
      </c>
      <c r="P625" s="807">
        <f t="shared" si="217"/>
        <v>0</v>
      </c>
      <c r="Q625" s="807">
        <f t="shared" si="218"/>
        <v>0</v>
      </c>
      <c r="R625" s="276"/>
      <c r="S625" s="730" t="str">
        <f t="shared" si="223"/>
        <v/>
      </c>
      <c r="T625" s="730" t="str">
        <f t="shared" si="223"/>
        <v/>
      </c>
      <c r="U625" s="730" t="str">
        <f t="shared" si="223"/>
        <v/>
      </c>
      <c r="V625" s="730" t="str">
        <f t="shared" si="222"/>
        <v/>
      </c>
      <c r="W625" s="254"/>
      <c r="X625" s="237" t="s">
        <v>598</v>
      </c>
    </row>
    <row r="626" spans="1:26" s="256" customFormat="1" ht="11.25" hidden="1" customHeight="1">
      <c r="A626" s="246" t="s">
        <v>620</v>
      </c>
      <c r="B626" s="246" t="s">
        <v>621</v>
      </c>
      <c r="C626" s="389"/>
      <c r="D626" s="389" t="s">
        <v>98</v>
      </c>
      <c r="E626" s="390" t="s">
        <v>99</v>
      </c>
      <c r="F626" s="391">
        <f>+F627</f>
        <v>11185694</v>
      </c>
      <c r="G626" s="391">
        <f t="shared" ref="G626:M626" si="230">+G627</f>
        <v>0</v>
      </c>
      <c r="H626" s="391">
        <f t="shared" si="230"/>
        <v>0</v>
      </c>
      <c r="I626" s="391">
        <f t="shared" si="230"/>
        <v>11185694</v>
      </c>
      <c r="J626" s="391">
        <f t="shared" si="230"/>
        <v>9522944.0999999996</v>
      </c>
      <c r="K626" s="391">
        <f t="shared" si="230"/>
        <v>0</v>
      </c>
      <c r="L626" s="391">
        <f t="shared" si="230"/>
        <v>0</v>
      </c>
      <c r="M626" s="391">
        <f t="shared" si="230"/>
        <v>9522944.0999999996</v>
      </c>
      <c r="N626" s="391">
        <f t="shared" si="217"/>
        <v>1662749.9000000004</v>
      </c>
      <c r="O626" s="391">
        <f t="shared" si="217"/>
        <v>0</v>
      </c>
      <c r="P626" s="391">
        <f t="shared" si="217"/>
        <v>0</v>
      </c>
      <c r="Q626" s="391">
        <f t="shared" si="218"/>
        <v>1662749.9000000004</v>
      </c>
      <c r="R626" s="522"/>
      <c r="S626" s="254">
        <f t="shared" si="223"/>
        <v>0.85135031407081219</v>
      </c>
      <c r="T626" s="254" t="str">
        <f t="shared" si="223"/>
        <v/>
      </c>
      <c r="U626" s="254" t="str">
        <f t="shared" si="223"/>
        <v/>
      </c>
      <c r="V626" s="297">
        <f t="shared" si="222"/>
        <v>0.85135031407081219</v>
      </c>
      <c r="W626" s="254"/>
      <c r="X626" s="271" t="s">
        <v>598</v>
      </c>
      <c r="Y626" s="628"/>
      <c r="Z626" s="255"/>
    </row>
    <row r="627" spans="1:26" ht="11.25" hidden="1" customHeight="1">
      <c r="A627" s="246" t="s">
        <v>620</v>
      </c>
      <c r="B627" s="235" t="s">
        <v>621</v>
      </c>
      <c r="C627" s="728"/>
      <c r="D627" s="394" t="s">
        <v>286</v>
      </c>
      <c r="E627" s="729" t="s">
        <v>286</v>
      </c>
      <c r="F627" s="103">
        <f>+F580+F596+F611</f>
        <v>11185694</v>
      </c>
      <c r="G627" s="103">
        <f>+G580+G596+G611</f>
        <v>0</v>
      </c>
      <c r="H627" s="103">
        <f>+H580+H596+H611</f>
        <v>0</v>
      </c>
      <c r="I627" s="103">
        <f>SUM(F627:H627)</f>
        <v>11185694</v>
      </c>
      <c r="J627" s="103">
        <f>+J580+J596+J611</f>
        <v>9522944.0999999996</v>
      </c>
      <c r="K627" s="103">
        <f>+K580+K596+K611</f>
        <v>0</v>
      </c>
      <c r="L627" s="103">
        <f>+L580+L596+L611</f>
        <v>0</v>
      </c>
      <c r="M627" s="103">
        <f>SUM(J627:L627)</f>
        <v>9522944.0999999996</v>
      </c>
      <c r="N627" s="103">
        <f t="shared" si="217"/>
        <v>1662749.9000000004</v>
      </c>
      <c r="O627" s="103">
        <f t="shared" si="217"/>
        <v>0</v>
      </c>
      <c r="P627" s="103">
        <f t="shared" si="217"/>
        <v>0</v>
      </c>
      <c r="Q627" s="103">
        <f t="shared" si="218"/>
        <v>1662749.9000000004</v>
      </c>
      <c r="R627" s="236"/>
      <c r="S627" s="730">
        <f t="shared" si="223"/>
        <v>0.85135031407081219</v>
      </c>
      <c r="T627" s="730" t="str">
        <f t="shared" si="223"/>
        <v/>
      </c>
      <c r="U627" s="730" t="str">
        <f t="shared" si="223"/>
        <v/>
      </c>
      <c r="V627" s="730">
        <f t="shared" si="222"/>
        <v>0.85135031407081219</v>
      </c>
      <c r="W627" s="254"/>
      <c r="X627" s="237" t="s">
        <v>598</v>
      </c>
    </row>
    <row r="628" spans="1:26" s="272" customFormat="1" ht="11.25" hidden="1" customHeight="1">
      <c r="A628" s="246" t="s">
        <v>620</v>
      </c>
      <c r="B628" s="246" t="s">
        <v>621</v>
      </c>
      <c r="C628" s="389"/>
      <c r="D628" s="389" t="s">
        <v>98</v>
      </c>
      <c r="E628" s="390" t="s">
        <v>100</v>
      </c>
      <c r="F628" s="391">
        <f t="shared" ref="F628:M628" si="231">SUM(F629:F633)</f>
        <v>7211289</v>
      </c>
      <c r="G628" s="391">
        <f t="shared" si="231"/>
        <v>0</v>
      </c>
      <c r="H628" s="391">
        <f t="shared" si="231"/>
        <v>0</v>
      </c>
      <c r="I628" s="391">
        <f t="shared" si="231"/>
        <v>7211289</v>
      </c>
      <c r="J628" s="391">
        <f t="shared" si="231"/>
        <v>6739435.8499999996</v>
      </c>
      <c r="K628" s="391">
        <f t="shared" si="231"/>
        <v>0</v>
      </c>
      <c r="L628" s="391">
        <f t="shared" si="231"/>
        <v>0</v>
      </c>
      <c r="M628" s="391">
        <f t="shared" si="231"/>
        <v>6739435.8499999996</v>
      </c>
      <c r="N628" s="391">
        <f t="shared" si="217"/>
        <v>471853.15000000037</v>
      </c>
      <c r="O628" s="391">
        <f t="shared" si="217"/>
        <v>0</v>
      </c>
      <c r="P628" s="391">
        <f t="shared" si="217"/>
        <v>0</v>
      </c>
      <c r="Q628" s="391">
        <f t="shared" si="218"/>
        <v>471853.15000000037</v>
      </c>
      <c r="R628" s="94"/>
      <c r="S628" s="254">
        <f t="shared" si="223"/>
        <v>0.93456743308997869</v>
      </c>
      <c r="T628" s="254" t="str">
        <f t="shared" si="223"/>
        <v/>
      </c>
      <c r="U628" s="254" t="str">
        <f t="shared" si="223"/>
        <v/>
      </c>
      <c r="V628" s="297">
        <f t="shared" si="222"/>
        <v>0.93456743308997869</v>
      </c>
      <c r="W628" s="254"/>
      <c r="X628" s="527" t="s">
        <v>598</v>
      </c>
      <c r="Y628" s="629"/>
      <c r="Z628" s="277"/>
    </row>
    <row r="629" spans="1:26" ht="11.25" hidden="1" customHeight="1">
      <c r="A629" s="246" t="s">
        <v>620</v>
      </c>
      <c r="B629" s="235" t="s">
        <v>621</v>
      </c>
      <c r="C629" s="728"/>
      <c r="D629" s="394" t="s">
        <v>288</v>
      </c>
      <c r="E629" s="729" t="s">
        <v>288</v>
      </c>
      <c r="F629" s="103">
        <f t="shared" ref="F629:H630" si="232">+F582+F598+F613</f>
        <v>1895002</v>
      </c>
      <c r="G629" s="103">
        <f t="shared" si="232"/>
        <v>0</v>
      </c>
      <c r="H629" s="103">
        <f t="shared" si="232"/>
        <v>0</v>
      </c>
      <c r="I629" s="103">
        <f>SUM(F629:H629)</f>
        <v>1895002</v>
      </c>
      <c r="J629" s="103">
        <f t="shared" ref="J629:L630" si="233">+J582+J598+J613</f>
        <v>1458148.85</v>
      </c>
      <c r="K629" s="103">
        <f t="shared" si="233"/>
        <v>0</v>
      </c>
      <c r="L629" s="103">
        <f t="shared" si="233"/>
        <v>0</v>
      </c>
      <c r="M629" s="103">
        <f>SUM(J629:L629)</f>
        <v>1458148.85</v>
      </c>
      <c r="N629" s="103">
        <f t="shared" si="217"/>
        <v>436853.14999999991</v>
      </c>
      <c r="O629" s="103">
        <f t="shared" si="217"/>
        <v>0</v>
      </c>
      <c r="P629" s="103">
        <f t="shared" si="217"/>
        <v>0</v>
      </c>
      <c r="Q629" s="103">
        <f t="shared" si="218"/>
        <v>436853.14999999991</v>
      </c>
      <c r="R629" s="236"/>
      <c r="S629" s="730">
        <f t="shared" si="223"/>
        <v>0.76947087654788759</v>
      </c>
      <c r="T629" s="730" t="str">
        <f t="shared" si="223"/>
        <v/>
      </c>
      <c r="U629" s="730" t="str">
        <f t="shared" si="223"/>
        <v/>
      </c>
      <c r="V629" s="730">
        <f t="shared" si="222"/>
        <v>0.76947087654788759</v>
      </c>
      <c r="W629" s="254"/>
      <c r="X629" s="237" t="s">
        <v>598</v>
      </c>
    </row>
    <row r="630" spans="1:26" ht="11.25" hidden="1" customHeight="1">
      <c r="A630" s="246" t="s">
        <v>620</v>
      </c>
      <c r="B630" s="235" t="s">
        <v>621</v>
      </c>
      <c r="C630" s="728"/>
      <c r="D630" s="394" t="s">
        <v>761</v>
      </c>
      <c r="E630" s="729" t="s">
        <v>761</v>
      </c>
      <c r="F630" s="103">
        <f t="shared" si="232"/>
        <v>4050000</v>
      </c>
      <c r="G630" s="103">
        <f t="shared" si="232"/>
        <v>0</v>
      </c>
      <c r="H630" s="103">
        <f t="shared" si="232"/>
        <v>0</v>
      </c>
      <c r="I630" s="103">
        <f>SUM(F630:H630)</f>
        <v>4050000</v>
      </c>
      <c r="J630" s="103">
        <f t="shared" si="233"/>
        <v>4015000</v>
      </c>
      <c r="K630" s="103">
        <f t="shared" si="233"/>
        <v>0</v>
      </c>
      <c r="L630" s="103">
        <f t="shared" si="233"/>
        <v>0</v>
      </c>
      <c r="M630" s="103">
        <f>SUM(J630:L630)</f>
        <v>4015000</v>
      </c>
      <c r="N630" s="103">
        <f>+F630-J630</f>
        <v>35000</v>
      </c>
      <c r="O630" s="103">
        <f>+G630-K630</f>
        <v>0</v>
      </c>
      <c r="P630" s="103">
        <f t="shared" si="217"/>
        <v>0</v>
      </c>
      <c r="Q630" s="103">
        <f>SUM(N630:P630)</f>
        <v>35000</v>
      </c>
      <c r="R630" s="236"/>
      <c r="S630" s="730">
        <f t="shared" si="223"/>
        <v>0.99135802469135803</v>
      </c>
      <c r="T630" s="730" t="str">
        <f t="shared" si="223"/>
        <v/>
      </c>
      <c r="U630" s="730" t="str">
        <f t="shared" si="223"/>
        <v/>
      </c>
      <c r="V630" s="730">
        <f t="shared" si="222"/>
        <v>0.99135802469135803</v>
      </c>
      <c r="W630" s="254"/>
      <c r="X630" s="237" t="s">
        <v>598</v>
      </c>
    </row>
    <row r="631" spans="1:26" ht="11.25" hidden="1" customHeight="1">
      <c r="A631" s="246" t="s">
        <v>620</v>
      </c>
      <c r="B631" s="235" t="s">
        <v>621</v>
      </c>
      <c r="C631" s="410"/>
      <c r="D631" s="386"/>
      <c r="E631" s="461"/>
      <c r="F631" s="104"/>
      <c r="G631" s="104"/>
      <c r="H631" s="104"/>
      <c r="I631" s="103">
        <f>SUM(F631:H631)</f>
        <v>0</v>
      </c>
      <c r="J631" s="104"/>
      <c r="K631" s="104"/>
      <c r="L631" s="104"/>
      <c r="M631" s="103">
        <f>SUM(J631:L631)</f>
        <v>0</v>
      </c>
      <c r="N631" s="103">
        <f t="shared" si="217"/>
        <v>0</v>
      </c>
      <c r="O631" s="103">
        <f t="shared" si="217"/>
        <v>0</v>
      </c>
      <c r="P631" s="103">
        <f t="shared" si="217"/>
        <v>0</v>
      </c>
      <c r="Q631" s="103">
        <f>SUM(N631:P631)</f>
        <v>0</v>
      </c>
      <c r="R631" s="236"/>
      <c r="S631" s="730" t="str">
        <f t="shared" si="223"/>
        <v/>
      </c>
      <c r="T631" s="730" t="str">
        <f t="shared" si="223"/>
        <v/>
      </c>
      <c r="U631" s="730" t="str">
        <f t="shared" si="223"/>
        <v/>
      </c>
      <c r="V631" s="730" t="str">
        <f t="shared" si="222"/>
        <v/>
      </c>
      <c r="W631" s="254"/>
      <c r="X631" s="237" t="s">
        <v>598</v>
      </c>
      <c r="Z631" s="241" t="s">
        <v>598</v>
      </c>
    </row>
    <row r="632" spans="1:26" ht="11.25" hidden="1" customHeight="1">
      <c r="A632" s="246" t="s">
        <v>620</v>
      </c>
      <c r="B632" s="235" t="s">
        <v>621</v>
      </c>
      <c r="C632" s="728"/>
      <c r="D632" s="394" t="s">
        <v>289</v>
      </c>
      <c r="E632" s="729" t="s">
        <v>289</v>
      </c>
      <c r="F632" s="103">
        <f t="shared" ref="F632:H633" si="234">+F585+F601+F616</f>
        <v>1266287</v>
      </c>
      <c r="G632" s="103">
        <f t="shared" si="234"/>
        <v>0</v>
      </c>
      <c r="H632" s="103">
        <f t="shared" si="234"/>
        <v>0</v>
      </c>
      <c r="I632" s="103">
        <f>SUM(F632:H632)</f>
        <v>1266287</v>
      </c>
      <c r="J632" s="103">
        <f t="shared" ref="J632:L633" si="235">+J585+J601+J616</f>
        <v>1266287</v>
      </c>
      <c r="K632" s="103">
        <f t="shared" si="235"/>
        <v>0</v>
      </c>
      <c r="L632" s="103">
        <f t="shared" si="235"/>
        <v>0</v>
      </c>
      <c r="M632" s="103">
        <f>SUM(J632:L632)</f>
        <v>1266287</v>
      </c>
      <c r="N632" s="103">
        <f t="shared" si="217"/>
        <v>0</v>
      </c>
      <c r="O632" s="103">
        <f t="shared" si="217"/>
        <v>0</v>
      </c>
      <c r="P632" s="103">
        <f t="shared" si="217"/>
        <v>0</v>
      </c>
      <c r="Q632" s="103">
        <f t="shared" si="218"/>
        <v>0</v>
      </c>
      <c r="R632" s="236"/>
      <c r="S632" s="730">
        <f t="shared" si="223"/>
        <v>1</v>
      </c>
      <c r="T632" s="730" t="str">
        <f t="shared" si="223"/>
        <v/>
      </c>
      <c r="U632" s="730" t="str">
        <f t="shared" si="223"/>
        <v/>
      </c>
      <c r="V632" s="730">
        <f t="shared" si="222"/>
        <v>1</v>
      </c>
      <c r="W632" s="254"/>
      <c r="X632" s="237" t="s">
        <v>598</v>
      </c>
    </row>
    <row r="633" spans="1:26" ht="11.25" hidden="1" customHeight="1">
      <c r="A633" s="246" t="s">
        <v>620</v>
      </c>
      <c r="B633" s="235" t="s">
        <v>621</v>
      </c>
      <c r="C633" s="728"/>
      <c r="D633" s="394" t="s">
        <v>290</v>
      </c>
      <c r="E633" s="729" t="s">
        <v>290</v>
      </c>
      <c r="F633" s="103">
        <f t="shared" si="234"/>
        <v>0</v>
      </c>
      <c r="G633" s="103">
        <f t="shared" si="234"/>
        <v>0</v>
      </c>
      <c r="H633" s="103">
        <f t="shared" si="234"/>
        <v>0</v>
      </c>
      <c r="I633" s="103">
        <f>SUM(F633:H633)</f>
        <v>0</v>
      </c>
      <c r="J633" s="103">
        <f t="shared" si="235"/>
        <v>0</v>
      </c>
      <c r="K633" s="103">
        <f t="shared" si="235"/>
        <v>0</v>
      </c>
      <c r="L633" s="103">
        <f t="shared" si="235"/>
        <v>0</v>
      </c>
      <c r="M633" s="103">
        <f>SUM(J633:L633)</f>
        <v>0</v>
      </c>
      <c r="N633" s="103">
        <f t="shared" si="217"/>
        <v>0</v>
      </c>
      <c r="O633" s="103">
        <f t="shared" si="217"/>
        <v>0</v>
      </c>
      <c r="P633" s="103">
        <f t="shared" si="217"/>
        <v>0</v>
      </c>
      <c r="Q633" s="103">
        <f t="shared" si="218"/>
        <v>0</v>
      </c>
      <c r="R633" s="236"/>
      <c r="S633" s="730" t="str">
        <f t="shared" si="223"/>
        <v/>
      </c>
      <c r="T633" s="730" t="str">
        <f t="shared" si="223"/>
        <v/>
      </c>
      <c r="U633" s="730" t="str">
        <f t="shared" si="223"/>
        <v/>
      </c>
      <c r="V633" s="730" t="str">
        <f t="shared" si="222"/>
        <v/>
      </c>
      <c r="W633" s="254"/>
      <c r="X633" s="237" t="s">
        <v>598</v>
      </c>
    </row>
    <row r="634" spans="1:26" s="266" customFormat="1" ht="24" customHeight="1">
      <c r="A634" s="246" t="s">
        <v>620</v>
      </c>
      <c r="B634" s="1009" t="s">
        <v>621</v>
      </c>
      <c r="C634" s="1431" t="s">
        <v>622</v>
      </c>
      <c r="D634" s="1432"/>
      <c r="E634" s="1433"/>
      <c r="F634" s="666">
        <f>+F628+F626+F624</f>
        <v>144855983</v>
      </c>
      <c r="G634" s="666">
        <f t="shared" ref="G634:M634" si="236">+G628+G626+G624</f>
        <v>334340717</v>
      </c>
      <c r="H634" s="666">
        <f t="shared" si="236"/>
        <v>52000000</v>
      </c>
      <c r="I634" s="666">
        <f t="shared" si="236"/>
        <v>531196700</v>
      </c>
      <c r="J634" s="666">
        <f t="shared" si="236"/>
        <v>131472729.80000003</v>
      </c>
      <c r="K634" s="666">
        <f t="shared" si="236"/>
        <v>269218160.46999997</v>
      </c>
      <c r="L634" s="666">
        <f t="shared" si="236"/>
        <v>45415000</v>
      </c>
      <c r="M634" s="666">
        <f t="shared" si="236"/>
        <v>446105890.26999998</v>
      </c>
      <c r="N634" s="666">
        <f t="shared" si="217"/>
        <v>13383253.199999973</v>
      </c>
      <c r="O634" s="666">
        <f t="shared" si="217"/>
        <v>65122556.530000031</v>
      </c>
      <c r="P634" s="666">
        <f t="shared" si="217"/>
        <v>6585000</v>
      </c>
      <c r="Q634" s="666">
        <f t="shared" si="218"/>
        <v>85090809.730000004</v>
      </c>
      <c r="R634" s="667">
        <f>+Q634-'[3]chd4b-SAOB'!BE180</f>
        <v>0</v>
      </c>
      <c r="S634" s="1010">
        <f t="shared" si="223"/>
        <v>0.90760993834821468</v>
      </c>
      <c r="T634" s="1010">
        <f t="shared" si="223"/>
        <v>0.8052209820139854</v>
      </c>
      <c r="U634" s="1010">
        <f t="shared" si="223"/>
        <v>0.8733653846153846</v>
      </c>
      <c r="V634" s="1010">
        <f t="shared" si="222"/>
        <v>0.83981299256941921</v>
      </c>
      <c r="W634" s="254"/>
      <c r="X634" s="237" t="s">
        <v>598</v>
      </c>
      <c r="Y634" s="610" t="s">
        <v>598</v>
      </c>
      <c r="Z634" s="241" t="s">
        <v>598</v>
      </c>
    </row>
    <row r="635" spans="1:26" ht="11.25" customHeight="1">
      <c r="A635" s="246" t="s">
        <v>620</v>
      </c>
      <c r="B635" s="235" t="s">
        <v>621</v>
      </c>
      <c r="C635" s="410"/>
      <c r="D635" s="386"/>
      <c r="E635" s="461"/>
      <c r="F635" s="104"/>
      <c r="G635" s="104"/>
      <c r="H635" s="104"/>
      <c r="I635" s="103">
        <f>SUM(F635:H635)</f>
        <v>0</v>
      </c>
      <c r="J635" s="104"/>
      <c r="K635" s="104"/>
      <c r="L635" s="104"/>
      <c r="M635" s="103">
        <f>SUM(J635:L635)</f>
        <v>0</v>
      </c>
      <c r="N635" s="103">
        <f t="shared" si="217"/>
        <v>0</v>
      </c>
      <c r="O635" s="103">
        <f t="shared" si="217"/>
        <v>0</v>
      </c>
      <c r="P635" s="103">
        <f t="shared" si="217"/>
        <v>0</v>
      </c>
      <c r="Q635" s="103">
        <f t="shared" si="218"/>
        <v>0</v>
      </c>
      <c r="S635" s="730" t="str">
        <f t="shared" si="223"/>
        <v/>
      </c>
      <c r="T635" s="730" t="str">
        <f t="shared" si="223"/>
        <v/>
      </c>
      <c r="U635" s="730" t="str">
        <f t="shared" si="223"/>
        <v/>
      </c>
      <c r="V635" s="730" t="str">
        <f t="shared" si="222"/>
        <v/>
      </c>
      <c r="W635" s="254"/>
      <c r="Y635" s="610" t="s">
        <v>598</v>
      </c>
      <c r="Z635" s="241" t="s">
        <v>598</v>
      </c>
    </row>
    <row r="636" spans="1:26" ht="11.25" customHeight="1">
      <c r="A636" s="528" t="s">
        <v>624</v>
      </c>
      <c r="B636" s="528" t="s">
        <v>164</v>
      </c>
      <c r="C636" s="408"/>
      <c r="D636" s="529"/>
      <c r="E636" s="408" t="s">
        <v>164</v>
      </c>
      <c r="F636" s="104"/>
      <c r="G636" s="104"/>
      <c r="H636" s="104"/>
      <c r="I636" s="103">
        <f>SUM(F636:H636)</f>
        <v>0</v>
      </c>
      <c r="J636" s="104"/>
      <c r="K636" s="104"/>
      <c r="L636" s="104"/>
      <c r="M636" s="103">
        <f>SUM(J636:L636)</f>
        <v>0</v>
      </c>
      <c r="N636" s="103">
        <f t="shared" si="217"/>
        <v>0</v>
      </c>
      <c r="O636" s="103">
        <f t="shared" si="217"/>
        <v>0</v>
      </c>
      <c r="P636" s="103">
        <f t="shared" si="217"/>
        <v>0</v>
      </c>
      <c r="Q636" s="103">
        <f t="shared" si="218"/>
        <v>0</v>
      </c>
      <c r="S636" s="730" t="str">
        <f t="shared" si="223"/>
        <v/>
      </c>
      <c r="T636" s="730" t="str">
        <f t="shared" si="223"/>
        <v/>
      </c>
      <c r="U636" s="730" t="str">
        <f t="shared" si="223"/>
        <v/>
      </c>
      <c r="V636" s="730" t="str">
        <f t="shared" si="222"/>
        <v/>
      </c>
      <c r="W636" s="531"/>
      <c r="X636" s="236"/>
      <c r="Y636" s="236" t="s">
        <v>598</v>
      </c>
      <c r="Z636" s="240" t="s">
        <v>598</v>
      </c>
    </row>
    <row r="637" spans="1:26" ht="11.25" customHeight="1">
      <c r="A637" s="528" t="s">
        <v>624</v>
      </c>
      <c r="B637" s="1013" t="s">
        <v>164</v>
      </c>
      <c r="C637" s="461"/>
      <c r="D637" s="645" t="s">
        <v>766</v>
      </c>
      <c r="E637" s="447" t="s">
        <v>766</v>
      </c>
      <c r="F637" s="103">
        <f>SUM(F638:F640)</f>
        <v>92819825</v>
      </c>
      <c r="G637" s="103">
        <f t="shared" ref="G637:M637" si="237">SUM(G638:G640)</f>
        <v>203906175</v>
      </c>
      <c r="H637" s="103">
        <f t="shared" si="237"/>
        <v>0</v>
      </c>
      <c r="I637" s="103">
        <f t="shared" si="237"/>
        <v>296726000</v>
      </c>
      <c r="J637" s="103">
        <f t="shared" si="237"/>
        <v>80381657.429999992</v>
      </c>
      <c r="K637" s="103">
        <f t="shared" si="237"/>
        <v>143779800.47000003</v>
      </c>
      <c r="L637" s="103">
        <f t="shared" si="237"/>
        <v>0</v>
      </c>
      <c r="M637" s="103">
        <f t="shared" si="237"/>
        <v>224161457.90000004</v>
      </c>
      <c r="N637" s="103">
        <f t="shared" si="217"/>
        <v>12438167.570000008</v>
      </c>
      <c r="O637" s="103">
        <f t="shared" si="217"/>
        <v>60126374.529999971</v>
      </c>
      <c r="P637" s="103">
        <f t="shared" si="217"/>
        <v>0</v>
      </c>
      <c r="Q637" s="103">
        <f t="shared" si="218"/>
        <v>72564542.099999979</v>
      </c>
      <c r="S637" s="730">
        <f t="shared" si="223"/>
        <v>0.86599664920721398</v>
      </c>
      <c r="T637" s="730">
        <f t="shared" si="223"/>
        <v>0.70512725016787758</v>
      </c>
      <c r="U637" s="730" t="str">
        <f t="shared" si="223"/>
        <v/>
      </c>
      <c r="V637" s="730">
        <f t="shared" si="222"/>
        <v>0.75544933002163628</v>
      </c>
      <c r="W637" s="531"/>
      <c r="X637" s="236"/>
      <c r="Y637" s="236" t="s">
        <v>688</v>
      </c>
      <c r="Z637" s="236"/>
    </row>
    <row r="638" spans="1:26" ht="11.25" hidden="1" customHeight="1">
      <c r="A638" s="528" t="s">
        <v>624</v>
      </c>
      <c r="B638" s="1013" t="s">
        <v>164</v>
      </c>
      <c r="C638" s="411"/>
      <c r="D638" s="647" t="s">
        <v>98</v>
      </c>
      <c r="E638" s="459" t="s">
        <v>775</v>
      </c>
      <c r="F638" s="103">
        <f>+'[3]chd5-SAOB'!C14</f>
        <v>30665000</v>
      </c>
      <c r="G638" s="103">
        <f>+'[3]chd5-SAOB'!C50</f>
        <v>13969000</v>
      </c>
      <c r="H638" s="103">
        <f>+'[3]chd5-SAOB'!C143</f>
        <v>0</v>
      </c>
      <c r="I638" s="103">
        <f t="shared" ref="I638:I719" si="238">SUM(F638:H638)</f>
        <v>44634000</v>
      </c>
      <c r="J638" s="103">
        <f>+'[3]chd5-SAOB'!C15</f>
        <v>22368925.929999996</v>
      </c>
      <c r="K638" s="103">
        <f>+'[3]chd5-SAOB'!C51</f>
        <v>13968516.989999998</v>
      </c>
      <c r="L638" s="103">
        <f>+'[3]chd5-SAOB'!C144</f>
        <v>0</v>
      </c>
      <c r="M638" s="103">
        <f t="shared" ref="M638:M719" si="239">SUM(J638:L638)</f>
        <v>36337442.919999994</v>
      </c>
      <c r="N638" s="103">
        <f t="shared" si="217"/>
        <v>8296074.070000004</v>
      </c>
      <c r="O638" s="103">
        <f t="shared" si="217"/>
        <v>483.01000000163913</v>
      </c>
      <c r="P638" s="103">
        <f t="shared" si="217"/>
        <v>0</v>
      </c>
      <c r="Q638" s="103">
        <f t="shared" si="218"/>
        <v>8296557.0800000057</v>
      </c>
      <c r="R638" s="236"/>
      <c r="S638" s="730">
        <f t="shared" si="223"/>
        <v>0.7294611423446925</v>
      </c>
      <c r="T638" s="730">
        <f t="shared" si="223"/>
        <v>0.99996542272174083</v>
      </c>
      <c r="U638" s="730" t="str">
        <f t="shared" si="223"/>
        <v/>
      </c>
      <c r="V638" s="730">
        <f t="shared" si="222"/>
        <v>0.81412024286418416</v>
      </c>
      <c r="W638" s="531"/>
      <c r="X638" s="236"/>
      <c r="Y638" s="236"/>
      <c r="Z638" s="236"/>
    </row>
    <row r="639" spans="1:26" ht="11.25" hidden="1" customHeight="1">
      <c r="A639" s="528" t="s">
        <v>624</v>
      </c>
      <c r="B639" s="1013" t="s">
        <v>164</v>
      </c>
      <c r="C639" s="406" t="s">
        <v>776</v>
      </c>
      <c r="D639" s="647" t="s">
        <v>98</v>
      </c>
      <c r="E639" s="406" t="s">
        <v>776</v>
      </c>
      <c r="F639" s="103">
        <f>+'[3]chd5-SAOB'!D14</f>
        <v>2543215</v>
      </c>
      <c r="G639" s="103">
        <f>+'[3]chd5-SAOB'!D50</f>
        <v>6647785</v>
      </c>
      <c r="H639" s="103">
        <f>+'[3]chd5-SAOB'!D143</f>
        <v>0</v>
      </c>
      <c r="I639" s="103">
        <f t="shared" si="238"/>
        <v>9191000</v>
      </c>
      <c r="J639" s="103">
        <f>+'[3]chd5-SAOB'!D15</f>
        <v>2533355.9800000004</v>
      </c>
      <c r="K639" s="103">
        <f>+'[3]chd5-SAOB'!D51</f>
        <v>4914770.03</v>
      </c>
      <c r="L639" s="103">
        <f>+'[3]chd5-SAOB'!D144</f>
        <v>0</v>
      </c>
      <c r="M639" s="103">
        <f t="shared" si="239"/>
        <v>7448126.0100000007</v>
      </c>
      <c r="N639" s="103">
        <f t="shared" si="217"/>
        <v>9859.019999999553</v>
      </c>
      <c r="O639" s="103">
        <f t="shared" si="217"/>
        <v>1733014.9699999997</v>
      </c>
      <c r="P639" s="103">
        <f t="shared" si="217"/>
        <v>0</v>
      </c>
      <c r="Q639" s="103">
        <f t="shared" si="218"/>
        <v>1742873.9899999993</v>
      </c>
      <c r="R639" s="236"/>
      <c r="S639" s="730">
        <f t="shared" si="223"/>
        <v>0.99612340285819345</v>
      </c>
      <c r="T639" s="730">
        <f t="shared" si="223"/>
        <v>0.73930941358663083</v>
      </c>
      <c r="U639" s="730" t="str">
        <f t="shared" si="223"/>
        <v/>
      </c>
      <c r="V639" s="730">
        <f t="shared" si="222"/>
        <v>0.81037166902404534</v>
      </c>
      <c r="W639" s="531"/>
      <c r="X639" s="236"/>
      <c r="Y639" s="236"/>
      <c r="Z639" s="236"/>
    </row>
    <row r="640" spans="1:26" ht="11.25" hidden="1" customHeight="1">
      <c r="A640" s="528" t="s">
        <v>624</v>
      </c>
      <c r="B640" s="1013" t="s">
        <v>164</v>
      </c>
      <c r="C640" s="411"/>
      <c r="D640" s="647" t="s">
        <v>98</v>
      </c>
      <c r="E640" s="406" t="s">
        <v>777</v>
      </c>
      <c r="F640" s="103">
        <f>+'[3]chd5-SAOB'!E14</f>
        <v>59611610</v>
      </c>
      <c r="G640" s="103">
        <f>+'[3]chd5-SAOB'!E50</f>
        <v>183289390</v>
      </c>
      <c r="H640" s="103">
        <f>+'[3]chd5-SAOB'!E143</f>
        <v>0</v>
      </c>
      <c r="I640" s="103">
        <f t="shared" si="238"/>
        <v>242901000</v>
      </c>
      <c r="J640" s="103">
        <f>+'[3]chd5-SAOB'!E15</f>
        <v>55479375.519999996</v>
      </c>
      <c r="K640" s="103">
        <f>+'[3]chd5-SAOB'!E51</f>
        <v>124896513.45000002</v>
      </c>
      <c r="L640" s="103">
        <f>+'[3]chd5-SAOB'!E144</f>
        <v>0</v>
      </c>
      <c r="M640" s="103">
        <f t="shared" si="239"/>
        <v>180375888.97000003</v>
      </c>
      <c r="N640" s="103">
        <f t="shared" si="217"/>
        <v>4132234.4800000042</v>
      </c>
      <c r="O640" s="103">
        <f t="shared" si="217"/>
        <v>58392876.549999982</v>
      </c>
      <c r="P640" s="103">
        <f t="shared" si="217"/>
        <v>0</v>
      </c>
      <c r="Q640" s="103">
        <f t="shared" si="218"/>
        <v>62525111.029999986</v>
      </c>
      <c r="R640" s="236"/>
      <c r="S640" s="730">
        <f t="shared" si="223"/>
        <v>0.93068071001605213</v>
      </c>
      <c r="T640" s="730">
        <f t="shared" si="223"/>
        <v>0.68141703919686791</v>
      </c>
      <c r="U640" s="730" t="str">
        <f t="shared" si="223"/>
        <v/>
      </c>
      <c r="V640" s="730">
        <f t="shared" si="222"/>
        <v>0.74259014565604931</v>
      </c>
      <c r="W640" s="531"/>
      <c r="X640" s="236"/>
      <c r="Y640" s="236"/>
      <c r="Z640" s="236"/>
    </row>
    <row r="641" spans="1:26" ht="11.25" customHeight="1">
      <c r="A641" s="528" t="s">
        <v>624</v>
      </c>
      <c r="B641" s="1013" t="s">
        <v>164</v>
      </c>
      <c r="C641" s="728"/>
      <c r="D641" s="649" t="s">
        <v>50</v>
      </c>
      <c r="E641" s="447" t="s">
        <v>50</v>
      </c>
      <c r="F641" s="104"/>
      <c r="G641" s="104">
        <f>+'[3]chd5-SAOB'!D388</f>
        <v>220641643</v>
      </c>
      <c r="H641" s="104">
        <f>+'[3]chd5-SAOB'!E388</f>
        <v>68107051</v>
      </c>
      <c r="I641" s="103">
        <f>SUM(F641:H641)</f>
        <v>288748694</v>
      </c>
      <c r="J641" s="104"/>
      <c r="K641" s="104">
        <f>+'[3]chd5-SAOB'!H388</f>
        <v>206363901.97999999</v>
      </c>
      <c r="L641" s="104">
        <f>+'[3]chd5-SAOB'!I388</f>
        <v>63088957.359999999</v>
      </c>
      <c r="M641" s="103">
        <f>SUM(J641:L641)</f>
        <v>269452859.33999997</v>
      </c>
      <c r="N641" s="103">
        <f t="shared" si="217"/>
        <v>0</v>
      </c>
      <c r="O641" s="103">
        <f t="shared" si="217"/>
        <v>14277741.020000011</v>
      </c>
      <c r="P641" s="103">
        <f t="shared" si="217"/>
        <v>5018093.6400000006</v>
      </c>
      <c r="Q641" s="103">
        <f t="shared" si="218"/>
        <v>19295834.660000011</v>
      </c>
      <c r="S641" s="730" t="str">
        <f t="shared" si="223"/>
        <v/>
      </c>
      <c r="T641" s="730">
        <f t="shared" si="223"/>
        <v>0.93528990798894651</v>
      </c>
      <c r="U641" s="730">
        <f t="shared" si="223"/>
        <v>0.92632049741810141</v>
      </c>
      <c r="V641" s="730">
        <f t="shared" si="222"/>
        <v>0.93317429633118953</v>
      </c>
      <c r="W641" s="531"/>
      <c r="X641" s="236"/>
      <c r="Y641" s="236" t="s">
        <v>688</v>
      </c>
      <c r="Z641" s="236"/>
    </row>
    <row r="642" spans="1:26" s="256" customFormat="1" ht="11.25" customHeight="1">
      <c r="A642" s="528" t="s">
        <v>624</v>
      </c>
      <c r="B642" s="528" t="s">
        <v>164</v>
      </c>
      <c r="C642" s="389"/>
      <c r="D642" s="650" t="s">
        <v>98</v>
      </c>
      <c r="E642" s="390" t="s">
        <v>767</v>
      </c>
      <c r="F642" s="391">
        <f>+F641+F637</f>
        <v>92819825</v>
      </c>
      <c r="G642" s="391">
        <f t="shared" ref="G642:M642" si="240">+G641+G637</f>
        <v>424547818</v>
      </c>
      <c r="H642" s="391">
        <f t="shared" si="240"/>
        <v>68107051</v>
      </c>
      <c r="I642" s="391">
        <f t="shared" si="240"/>
        <v>585474694</v>
      </c>
      <c r="J642" s="391">
        <f t="shared" si="240"/>
        <v>80381657.429999992</v>
      </c>
      <c r="K642" s="391">
        <f t="shared" si="240"/>
        <v>350143702.45000005</v>
      </c>
      <c r="L642" s="391">
        <f t="shared" si="240"/>
        <v>63088957.359999999</v>
      </c>
      <c r="M642" s="391">
        <f t="shared" si="240"/>
        <v>493614317.24000001</v>
      </c>
      <c r="N642" s="391">
        <f t="shared" si="217"/>
        <v>12438167.570000008</v>
      </c>
      <c r="O642" s="391">
        <f t="shared" si="217"/>
        <v>74404115.549999952</v>
      </c>
      <c r="P642" s="391">
        <f t="shared" si="217"/>
        <v>5018093.6400000006</v>
      </c>
      <c r="Q642" s="391">
        <f t="shared" si="218"/>
        <v>91860376.759999961</v>
      </c>
      <c r="R642" s="101"/>
      <c r="S642" s="254">
        <f t="shared" si="223"/>
        <v>0.86599664920721398</v>
      </c>
      <c r="T642" s="254">
        <f t="shared" si="223"/>
        <v>0.82474502895690316</v>
      </c>
      <c r="U642" s="254">
        <f t="shared" si="223"/>
        <v>0.92632049741810141</v>
      </c>
      <c r="V642" s="254">
        <f t="shared" si="222"/>
        <v>0.84310102946994325</v>
      </c>
      <c r="W642" s="531"/>
      <c r="Y642" s="256" t="s">
        <v>598</v>
      </c>
      <c r="Z642" s="256" t="s">
        <v>598</v>
      </c>
    </row>
    <row r="643" spans="1:26" ht="11.25" hidden="1" customHeight="1">
      <c r="A643" s="528"/>
      <c r="B643" s="1013"/>
      <c r="C643" s="410"/>
      <c r="D643" s="651"/>
      <c r="E643" s="806"/>
      <c r="F643" s="807"/>
      <c r="G643" s="807"/>
      <c r="H643" s="807"/>
      <c r="I643" s="807"/>
      <c r="J643" s="807"/>
      <c r="K643" s="807"/>
      <c r="L643" s="807"/>
      <c r="M643" s="807"/>
      <c r="N643" s="807"/>
      <c r="O643" s="807"/>
      <c r="P643" s="807"/>
      <c r="Q643" s="807"/>
      <c r="R643" s="276"/>
      <c r="S643" s="730" t="str">
        <f t="shared" si="223"/>
        <v/>
      </c>
      <c r="T643" s="730" t="str">
        <f t="shared" si="223"/>
        <v/>
      </c>
      <c r="U643" s="730" t="str">
        <f t="shared" si="223"/>
        <v/>
      </c>
      <c r="V643" s="730" t="str">
        <f t="shared" si="222"/>
        <v/>
      </c>
      <c r="W643" s="531"/>
      <c r="X643" s="236"/>
      <c r="Y643" s="236"/>
      <c r="Z643" s="236"/>
    </row>
    <row r="644" spans="1:26" s="256" customFormat="1" ht="11.25" customHeight="1">
      <c r="A644" s="528" t="s">
        <v>624</v>
      </c>
      <c r="B644" s="528" t="s">
        <v>164</v>
      </c>
      <c r="C644" s="389"/>
      <c r="D644" s="650" t="s">
        <v>98</v>
      </c>
      <c r="E644" s="390" t="s">
        <v>99</v>
      </c>
      <c r="F644" s="391">
        <f>+F645</f>
        <v>8446000</v>
      </c>
      <c r="G644" s="391">
        <f t="shared" ref="G644:M644" si="241">+G645</f>
        <v>0</v>
      </c>
      <c r="H644" s="391">
        <f t="shared" si="241"/>
        <v>0</v>
      </c>
      <c r="I644" s="391">
        <f t="shared" si="241"/>
        <v>8446000</v>
      </c>
      <c r="J644" s="391">
        <f t="shared" si="241"/>
        <v>6584925.0800000001</v>
      </c>
      <c r="K644" s="391">
        <f t="shared" si="241"/>
        <v>0</v>
      </c>
      <c r="L644" s="391">
        <f t="shared" si="241"/>
        <v>0</v>
      </c>
      <c r="M644" s="391">
        <f t="shared" si="241"/>
        <v>6584925.0800000001</v>
      </c>
      <c r="N644" s="391">
        <f t="shared" si="217"/>
        <v>1861074.92</v>
      </c>
      <c r="O644" s="391">
        <f t="shared" si="217"/>
        <v>0</v>
      </c>
      <c r="P644" s="391">
        <f t="shared" si="217"/>
        <v>0</v>
      </c>
      <c r="Q644" s="391">
        <f t="shared" si="218"/>
        <v>1861074.92</v>
      </c>
      <c r="R644" s="101"/>
      <c r="S644" s="254">
        <f t="shared" si="223"/>
        <v>0.77965013971110586</v>
      </c>
      <c r="T644" s="254" t="str">
        <f t="shared" si="223"/>
        <v/>
      </c>
      <c r="U644" s="254" t="str">
        <f t="shared" si="223"/>
        <v/>
      </c>
      <c r="V644" s="254">
        <f t="shared" si="222"/>
        <v>0.77965013971110586</v>
      </c>
      <c r="W644" s="531"/>
      <c r="Y644" s="256" t="s">
        <v>598</v>
      </c>
      <c r="Z644" s="256" t="s">
        <v>598</v>
      </c>
    </row>
    <row r="645" spans="1:26" ht="11.25" customHeight="1">
      <c r="A645" s="528" t="s">
        <v>624</v>
      </c>
      <c r="B645" s="1013" t="s">
        <v>164</v>
      </c>
      <c r="C645" s="728"/>
      <c r="D645" s="649" t="s">
        <v>286</v>
      </c>
      <c r="E645" s="729" t="s">
        <v>286</v>
      </c>
      <c r="F645" s="103">
        <f>SUM('[3]chd5-SAOB'!Z14)</f>
        <v>8446000</v>
      </c>
      <c r="G645" s="103">
        <f>SUM('[3]chd5-SAOB'!Z50)</f>
        <v>0</v>
      </c>
      <c r="H645" s="103">
        <f>SUM('[3]chd5-SAOB'!Z143)</f>
        <v>0</v>
      </c>
      <c r="I645" s="103">
        <f t="shared" si="238"/>
        <v>8446000</v>
      </c>
      <c r="J645" s="103">
        <f>SUM('[3]chd5-SAOB'!Z15)</f>
        <v>6584925.0800000001</v>
      </c>
      <c r="K645" s="103">
        <f>SUM('[3]chd5-SAOB'!Z51)</f>
        <v>0</v>
      </c>
      <c r="L645" s="103">
        <f>SUM('[3]chd5-SAOB'!Z144)</f>
        <v>0</v>
      </c>
      <c r="M645" s="103">
        <f t="shared" si="239"/>
        <v>6584925.0800000001</v>
      </c>
      <c r="N645" s="103">
        <f t="shared" si="217"/>
        <v>1861074.92</v>
      </c>
      <c r="O645" s="103">
        <f t="shared" si="217"/>
        <v>0</v>
      </c>
      <c r="P645" s="103">
        <f t="shared" si="217"/>
        <v>0</v>
      </c>
      <c r="Q645" s="103">
        <f t="shared" si="218"/>
        <v>1861074.92</v>
      </c>
      <c r="S645" s="730">
        <f t="shared" si="223"/>
        <v>0.77965013971110586</v>
      </c>
      <c r="T645" s="730" t="str">
        <f t="shared" si="223"/>
        <v/>
      </c>
      <c r="U645" s="730" t="str">
        <f t="shared" si="223"/>
        <v/>
      </c>
      <c r="V645" s="730">
        <f t="shared" si="222"/>
        <v>0.77965013971110586</v>
      </c>
      <c r="W645" s="531"/>
      <c r="X645" s="236"/>
      <c r="Y645" s="236" t="s">
        <v>598</v>
      </c>
      <c r="Z645" s="236"/>
    </row>
    <row r="646" spans="1:26" s="272" customFormat="1" ht="11.25" customHeight="1">
      <c r="A646" s="528" t="s">
        <v>624</v>
      </c>
      <c r="B646" s="528" t="s">
        <v>164</v>
      </c>
      <c r="C646" s="389"/>
      <c r="D646" s="650" t="s">
        <v>98</v>
      </c>
      <c r="E646" s="390" t="s">
        <v>100</v>
      </c>
      <c r="F646" s="391">
        <f t="shared" ref="F646:M646" si="242">SUM(F647:F651)</f>
        <v>5365998</v>
      </c>
      <c r="G646" s="391">
        <f t="shared" si="242"/>
        <v>0</v>
      </c>
      <c r="H646" s="391">
        <f t="shared" si="242"/>
        <v>0</v>
      </c>
      <c r="I646" s="391">
        <f t="shared" si="242"/>
        <v>5365998</v>
      </c>
      <c r="J646" s="391">
        <f t="shared" si="242"/>
        <v>5350995.71</v>
      </c>
      <c r="K646" s="391">
        <f t="shared" si="242"/>
        <v>0</v>
      </c>
      <c r="L646" s="391">
        <f t="shared" si="242"/>
        <v>0</v>
      </c>
      <c r="M646" s="391">
        <f t="shared" si="242"/>
        <v>5350995.71</v>
      </c>
      <c r="N646" s="391">
        <f t="shared" si="217"/>
        <v>15002.290000000037</v>
      </c>
      <c r="O646" s="391">
        <f t="shared" si="217"/>
        <v>0</v>
      </c>
      <c r="P646" s="391">
        <f t="shared" si="217"/>
        <v>0</v>
      </c>
      <c r="Q646" s="391">
        <f t="shared" si="218"/>
        <v>15002.290000000037</v>
      </c>
      <c r="R646" s="102"/>
      <c r="S646" s="254">
        <f t="shared" si="223"/>
        <v>0.99720419388900261</v>
      </c>
      <c r="T646" s="254" t="str">
        <f t="shared" si="223"/>
        <v/>
      </c>
      <c r="U646" s="254" t="str">
        <f t="shared" si="223"/>
        <v/>
      </c>
      <c r="V646" s="254">
        <f t="shared" si="222"/>
        <v>0.99720419388900261</v>
      </c>
      <c r="W646" s="531"/>
      <c r="Y646" s="272" t="s">
        <v>598</v>
      </c>
      <c r="Z646" s="256" t="s">
        <v>598</v>
      </c>
    </row>
    <row r="647" spans="1:26" ht="11.25" customHeight="1">
      <c r="A647" s="528" t="s">
        <v>624</v>
      </c>
      <c r="B647" s="1013" t="s">
        <v>164</v>
      </c>
      <c r="C647" s="728"/>
      <c r="D647" s="649" t="s">
        <v>288</v>
      </c>
      <c r="E647" s="729" t="s">
        <v>288</v>
      </c>
      <c r="F647" s="103">
        <f>SUM('[3]chd5-SAOB'!AE14)</f>
        <v>0</v>
      </c>
      <c r="G647" s="103">
        <f>SUM('[3]chd5-SAOB'!AE50)</f>
        <v>0</v>
      </c>
      <c r="H647" s="103">
        <f>SUM('[3]chd5-SAOB'!AE143)</f>
        <v>0</v>
      </c>
      <c r="I647" s="103">
        <f t="shared" si="238"/>
        <v>0</v>
      </c>
      <c r="J647" s="103">
        <f>SUM('[3]chd5-SAOB'!AE15)</f>
        <v>0</v>
      </c>
      <c r="K647" s="103">
        <f>SUM('[3]chd5-SAOB'!AE51)</f>
        <v>0</v>
      </c>
      <c r="L647" s="103">
        <f>SUM('[3]chd5-SAOB'!AE144)</f>
        <v>0</v>
      </c>
      <c r="M647" s="103">
        <f>SUM(J647:L647)</f>
        <v>0</v>
      </c>
      <c r="N647" s="103">
        <f t="shared" si="217"/>
        <v>0</v>
      </c>
      <c r="O647" s="103">
        <f t="shared" si="217"/>
        <v>0</v>
      </c>
      <c r="P647" s="103">
        <f t="shared" si="217"/>
        <v>0</v>
      </c>
      <c r="Q647" s="103">
        <f t="shared" si="218"/>
        <v>0</v>
      </c>
      <c r="S647" s="730" t="str">
        <f t="shared" si="223"/>
        <v/>
      </c>
      <c r="T647" s="730" t="str">
        <f t="shared" si="223"/>
        <v/>
      </c>
      <c r="U647" s="730" t="str">
        <f t="shared" si="223"/>
        <v/>
      </c>
      <c r="V647" s="730" t="str">
        <f t="shared" si="222"/>
        <v/>
      </c>
      <c r="W647" s="531"/>
      <c r="X647" s="236"/>
      <c r="Y647" s="236" t="s">
        <v>598</v>
      </c>
      <c r="Z647" s="236"/>
    </row>
    <row r="648" spans="1:26" ht="11.25" customHeight="1">
      <c r="A648" s="528" t="s">
        <v>624</v>
      </c>
      <c r="B648" s="1013" t="s">
        <v>164</v>
      </c>
      <c r="C648" s="728"/>
      <c r="D648" s="649" t="s">
        <v>761</v>
      </c>
      <c r="E648" s="729" t="s">
        <v>761</v>
      </c>
      <c r="F648" s="104">
        <f>+'[3]chd5-SAOB'!C388</f>
        <v>1810000</v>
      </c>
      <c r="G648" s="104"/>
      <c r="H648" s="104"/>
      <c r="I648" s="103">
        <f t="shared" si="238"/>
        <v>1810000</v>
      </c>
      <c r="J648" s="104">
        <f>+'[3]chd5-SAOB'!G388</f>
        <v>1795000</v>
      </c>
      <c r="K648" s="104"/>
      <c r="L648" s="104"/>
      <c r="M648" s="103">
        <f>SUM(J648:L648)</f>
        <v>1795000</v>
      </c>
      <c r="N648" s="103">
        <f t="shared" si="217"/>
        <v>15000</v>
      </c>
      <c r="O648" s="103">
        <f t="shared" si="217"/>
        <v>0</v>
      </c>
      <c r="P648" s="103">
        <f t="shared" si="217"/>
        <v>0</v>
      </c>
      <c r="Q648" s="103">
        <f>SUM(N648:P648)</f>
        <v>15000</v>
      </c>
      <c r="S648" s="730">
        <f t="shared" si="223"/>
        <v>0.99171270718232041</v>
      </c>
      <c r="T648" s="730" t="str">
        <f t="shared" si="223"/>
        <v/>
      </c>
      <c r="U648" s="730" t="str">
        <f t="shared" si="223"/>
        <v/>
      </c>
      <c r="V648" s="730">
        <f t="shared" si="222"/>
        <v>0.99171270718232041</v>
      </c>
      <c r="W648" s="531"/>
      <c r="X648" s="236"/>
      <c r="Y648" s="236" t="s">
        <v>688</v>
      </c>
      <c r="Z648" s="236"/>
    </row>
    <row r="649" spans="1:26" ht="11.25" customHeight="1">
      <c r="A649" s="528" t="s">
        <v>624</v>
      </c>
      <c r="B649" s="1013" t="s">
        <v>164</v>
      </c>
      <c r="C649" s="410"/>
      <c r="D649" s="647"/>
      <c r="E649" s="461"/>
      <c r="F649" s="104"/>
      <c r="G649" s="104"/>
      <c r="H649" s="104"/>
      <c r="I649" s="103"/>
      <c r="J649" s="104"/>
      <c r="K649" s="104"/>
      <c r="L649" s="104"/>
      <c r="M649" s="103"/>
      <c r="N649" s="103"/>
      <c r="O649" s="103"/>
      <c r="P649" s="103"/>
      <c r="Q649" s="103"/>
      <c r="S649" s="730" t="str">
        <f t="shared" si="223"/>
        <v/>
      </c>
      <c r="T649" s="730" t="str">
        <f t="shared" si="223"/>
        <v/>
      </c>
      <c r="U649" s="730" t="str">
        <f t="shared" si="223"/>
        <v/>
      </c>
      <c r="V649" s="730" t="str">
        <f t="shared" si="222"/>
        <v/>
      </c>
      <c r="W649" s="531"/>
      <c r="X649" s="236"/>
      <c r="Y649" s="236" t="s">
        <v>688</v>
      </c>
      <c r="Z649" s="240"/>
    </row>
    <row r="650" spans="1:26" ht="11.25" customHeight="1">
      <c r="A650" s="528" t="s">
        <v>624</v>
      </c>
      <c r="B650" s="1013" t="s">
        <v>164</v>
      </c>
      <c r="C650" s="728"/>
      <c r="D650" s="649" t="s">
        <v>289</v>
      </c>
      <c r="E650" s="729" t="s">
        <v>289</v>
      </c>
      <c r="F650" s="103">
        <f>SUM('[3]chd5-SAOB'!AJ14)</f>
        <v>3555998</v>
      </c>
      <c r="G650" s="103">
        <f>SUM('[3]chd5-SAOB'!AJ50)</f>
        <v>0</v>
      </c>
      <c r="H650" s="103">
        <f>SUM('[3]chd5-SAOB'!AJ143)</f>
        <v>0</v>
      </c>
      <c r="I650" s="103">
        <f t="shared" si="238"/>
        <v>3555998</v>
      </c>
      <c r="J650" s="103">
        <f>SUM('[3]chd5-SAOB'!AJ15)</f>
        <v>3555995.71</v>
      </c>
      <c r="K650" s="103">
        <f>SUM('[3]chd5-SAOB'!AJ51)</f>
        <v>0</v>
      </c>
      <c r="L650" s="103">
        <f>SUM('[3]chd5-SAOB'!AJ144)</f>
        <v>0</v>
      </c>
      <c r="M650" s="103">
        <f t="shared" si="239"/>
        <v>3555995.71</v>
      </c>
      <c r="N650" s="103">
        <f t="shared" si="217"/>
        <v>2.2900000000372529</v>
      </c>
      <c r="O650" s="103">
        <f t="shared" si="217"/>
        <v>0</v>
      </c>
      <c r="P650" s="103">
        <f t="shared" si="217"/>
        <v>0</v>
      </c>
      <c r="Q650" s="103">
        <f t="shared" si="218"/>
        <v>2.2900000000372529</v>
      </c>
      <c r="S650" s="730">
        <f t="shared" si="223"/>
        <v>0.99999935601763557</v>
      </c>
      <c r="T650" s="730" t="str">
        <f t="shared" si="223"/>
        <v/>
      </c>
      <c r="U650" s="730" t="str">
        <f t="shared" si="223"/>
        <v/>
      </c>
      <c r="V650" s="730">
        <f t="shared" si="222"/>
        <v>0.99999935601763557</v>
      </c>
      <c r="W650" s="531"/>
      <c r="X650" s="236"/>
      <c r="Y650" s="236" t="s">
        <v>598</v>
      </c>
      <c r="Z650" s="236"/>
    </row>
    <row r="651" spans="1:26" ht="11.25" customHeight="1">
      <c r="A651" s="528" t="s">
        <v>624</v>
      </c>
      <c r="B651" s="1013" t="s">
        <v>164</v>
      </c>
      <c r="C651" s="728"/>
      <c r="D651" s="649" t="s">
        <v>290</v>
      </c>
      <c r="E651" s="729" t="s">
        <v>290</v>
      </c>
      <c r="F651" s="103">
        <f>SUM('[3]chd5-SAOB'!AO14)</f>
        <v>0</v>
      </c>
      <c r="G651" s="103">
        <f>SUM('[3]chd5-SAOB'!AO50)</f>
        <v>0</v>
      </c>
      <c r="H651" s="103">
        <f>SUM('[3]chd5-SAOB'!AO143)</f>
        <v>0</v>
      </c>
      <c r="I651" s="103">
        <f t="shared" si="238"/>
        <v>0</v>
      </c>
      <c r="J651" s="103">
        <f>SUM('[3]chd5-SAOB'!AO15)</f>
        <v>0</v>
      </c>
      <c r="K651" s="103">
        <f>SUM('[3]chd5-SAOB'!AO51)</f>
        <v>0</v>
      </c>
      <c r="L651" s="103">
        <f>SUM('[3]chd5-SAOB'!AO144)</f>
        <v>0</v>
      </c>
      <c r="M651" s="103">
        <f t="shared" si="239"/>
        <v>0</v>
      </c>
      <c r="N651" s="103">
        <f t="shared" si="217"/>
        <v>0</v>
      </c>
      <c r="O651" s="103">
        <f t="shared" si="217"/>
        <v>0</v>
      </c>
      <c r="P651" s="103">
        <f t="shared" si="217"/>
        <v>0</v>
      </c>
      <c r="Q651" s="103">
        <f t="shared" si="218"/>
        <v>0</v>
      </c>
      <c r="S651" s="730" t="str">
        <f t="shared" si="223"/>
        <v/>
      </c>
      <c r="T651" s="730" t="str">
        <f t="shared" si="223"/>
        <v/>
      </c>
      <c r="U651" s="730" t="str">
        <f t="shared" si="223"/>
        <v/>
      </c>
      <c r="V651" s="730" t="str">
        <f t="shared" si="222"/>
        <v/>
      </c>
      <c r="W651" s="531"/>
      <c r="X651" s="236"/>
      <c r="Y651" s="236" t="s">
        <v>598</v>
      </c>
      <c r="Z651" s="236"/>
    </row>
    <row r="652" spans="1:26" s="671" customFormat="1" ht="11.25" customHeight="1">
      <c r="A652" s="246" t="s">
        <v>624</v>
      </c>
      <c r="B652" s="235" t="s">
        <v>164</v>
      </c>
      <c r="C652" s="1425" t="s">
        <v>307</v>
      </c>
      <c r="D652" s="1426"/>
      <c r="E652" s="1427"/>
      <c r="F652" s="652">
        <f t="shared" ref="F652:M652" si="243">+F642+F644+F646</f>
        <v>106631823</v>
      </c>
      <c r="G652" s="652">
        <f t="shared" si="243"/>
        <v>424547818</v>
      </c>
      <c r="H652" s="652">
        <f t="shared" si="243"/>
        <v>68107051</v>
      </c>
      <c r="I652" s="652">
        <f t="shared" si="243"/>
        <v>599286692</v>
      </c>
      <c r="J652" s="652">
        <f t="shared" si="243"/>
        <v>92317578.219999984</v>
      </c>
      <c r="K652" s="652">
        <f t="shared" si="243"/>
        <v>350143702.45000005</v>
      </c>
      <c r="L652" s="652">
        <f t="shared" si="243"/>
        <v>63088957.359999999</v>
      </c>
      <c r="M652" s="652">
        <f t="shared" si="243"/>
        <v>505550238.02999997</v>
      </c>
      <c r="N652" s="652">
        <f t="shared" si="217"/>
        <v>14314244.780000016</v>
      </c>
      <c r="O652" s="652">
        <f t="shared" si="217"/>
        <v>74404115.549999952</v>
      </c>
      <c r="P652" s="652">
        <f t="shared" si="217"/>
        <v>5018093.6400000006</v>
      </c>
      <c r="Q652" s="652">
        <f t="shared" si="218"/>
        <v>93736453.969999969</v>
      </c>
      <c r="R652" s="670">
        <f>+Q652-'[3]chd5-SAOB'!BM180</f>
        <v>0</v>
      </c>
      <c r="S652" s="1008">
        <f t="shared" si="223"/>
        <v>0.86576010446712504</v>
      </c>
      <c r="T652" s="1008">
        <f t="shared" si="223"/>
        <v>0.82474502895690316</v>
      </c>
      <c r="U652" s="1008">
        <f t="shared" si="223"/>
        <v>0.92632049741810141</v>
      </c>
      <c r="V652" s="1008">
        <f t="shared" si="222"/>
        <v>0.84358662519741046</v>
      </c>
      <c r="W652" s="254"/>
      <c r="X652" s="237"/>
      <c r="Y652" s="610" t="s">
        <v>598</v>
      </c>
      <c r="Z652" s="241" t="s">
        <v>598</v>
      </c>
    </row>
    <row r="653" spans="1:26" ht="11.25" customHeight="1">
      <c r="A653" s="246" t="s">
        <v>624</v>
      </c>
      <c r="B653" s="235" t="s">
        <v>164</v>
      </c>
      <c r="C653" s="410"/>
      <c r="D653" s="386"/>
      <c r="E653" s="461"/>
      <c r="F653" s="103"/>
      <c r="G653" s="103"/>
      <c r="H653" s="103"/>
      <c r="I653" s="103">
        <f t="shared" si="238"/>
        <v>0</v>
      </c>
      <c r="J653" s="103"/>
      <c r="K653" s="103"/>
      <c r="L653" s="103"/>
      <c r="M653" s="103">
        <f t="shared" si="239"/>
        <v>0</v>
      </c>
      <c r="N653" s="103">
        <f t="shared" si="217"/>
        <v>0</v>
      </c>
      <c r="O653" s="103">
        <f t="shared" si="217"/>
        <v>0</v>
      </c>
      <c r="P653" s="103">
        <f t="shared" si="217"/>
        <v>0</v>
      </c>
      <c r="Q653" s="103">
        <f t="shared" si="218"/>
        <v>0</v>
      </c>
      <c r="S653" s="730" t="str">
        <f t="shared" si="223"/>
        <v/>
      </c>
      <c r="T653" s="730" t="str">
        <f t="shared" si="223"/>
        <v/>
      </c>
      <c r="U653" s="730" t="str">
        <f t="shared" si="223"/>
        <v/>
      </c>
      <c r="V653" s="730" t="str">
        <f t="shared" si="222"/>
        <v/>
      </c>
      <c r="W653" s="254"/>
      <c r="Y653" s="610" t="s">
        <v>598</v>
      </c>
      <c r="Z653" s="241" t="s">
        <v>598</v>
      </c>
    </row>
    <row r="654" spans="1:26" ht="11.25" customHeight="1">
      <c r="A654" s="246" t="s">
        <v>624</v>
      </c>
      <c r="B654" s="235" t="s">
        <v>167</v>
      </c>
      <c r="C654" s="410" t="s">
        <v>166</v>
      </c>
      <c r="D654" s="386"/>
      <c r="E654" s="461"/>
      <c r="F654" s="104"/>
      <c r="G654" s="104"/>
      <c r="H654" s="104"/>
      <c r="I654" s="103">
        <f t="shared" si="238"/>
        <v>0</v>
      </c>
      <c r="J654" s="104"/>
      <c r="K654" s="104"/>
      <c r="L654" s="104"/>
      <c r="M654" s="103">
        <f t="shared" si="239"/>
        <v>0</v>
      </c>
      <c r="N654" s="103">
        <f t="shared" ref="N654:P720" si="244">+F654-J654</f>
        <v>0</v>
      </c>
      <c r="O654" s="103">
        <f t="shared" si="244"/>
        <v>0</v>
      </c>
      <c r="P654" s="103">
        <f t="shared" si="244"/>
        <v>0</v>
      </c>
      <c r="Q654" s="103">
        <f t="shared" ref="Q654:Q720" si="245">SUM(N654:P654)</f>
        <v>0</v>
      </c>
      <c r="S654" s="730" t="str">
        <f t="shared" si="223"/>
        <v/>
      </c>
      <c r="T654" s="730" t="str">
        <f t="shared" si="223"/>
        <v/>
      </c>
      <c r="U654" s="730" t="str">
        <f t="shared" si="223"/>
        <v/>
      </c>
      <c r="V654" s="730" t="str">
        <f t="shared" si="222"/>
        <v/>
      </c>
      <c r="W654" s="254"/>
      <c r="Y654" s="610" t="s">
        <v>598</v>
      </c>
      <c r="Z654" s="241" t="s">
        <v>598</v>
      </c>
    </row>
    <row r="655" spans="1:26" s="675" customFormat="1" ht="11.25" customHeight="1">
      <c r="A655" s="528" t="s">
        <v>624</v>
      </c>
      <c r="B655" s="528" t="s">
        <v>167</v>
      </c>
      <c r="C655" s="407" t="s">
        <v>98</v>
      </c>
      <c r="D655" s="655" t="s">
        <v>105</v>
      </c>
      <c r="E655" s="408" t="s">
        <v>809</v>
      </c>
      <c r="F655" s="673"/>
      <c r="G655" s="673"/>
      <c r="H655" s="673"/>
      <c r="I655" s="674">
        <f t="shared" si="238"/>
        <v>0</v>
      </c>
      <c r="J655" s="673"/>
      <c r="K655" s="673"/>
      <c r="L655" s="673"/>
      <c r="M655" s="674">
        <f t="shared" si="239"/>
        <v>0</v>
      </c>
      <c r="N655" s="674">
        <f t="shared" si="244"/>
        <v>0</v>
      </c>
      <c r="O655" s="674">
        <f t="shared" si="244"/>
        <v>0</v>
      </c>
      <c r="P655" s="674">
        <f t="shared" si="244"/>
        <v>0</v>
      </c>
      <c r="Q655" s="674">
        <f t="shared" si="245"/>
        <v>0</v>
      </c>
      <c r="R655" s="101"/>
      <c r="S655" s="254" t="str">
        <f t="shared" si="223"/>
        <v/>
      </c>
      <c r="T655" s="254" t="str">
        <f t="shared" si="223"/>
        <v/>
      </c>
      <c r="U655" s="254" t="str">
        <f t="shared" si="223"/>
        <v/>
      </c>
      <c r="V655" s="254" t="str">
        <f t="shared" si="222"/>
        <v/>
      </c>
      <c r="W655" s="531"/>
      <c r="Y655" s="272" t="s">
        <v>598</v>
      </c>
      <c r="Z655" s="260" t="s">
        <v>598</v>
      </c>
    </row>
    <row r="656" spans="1:26" ht="11.25" customHeight="1">
      <c r="A656" s="528" t="s">
        <v>624</v>
      </c>
      <c r="B656" s="1013" t="s">
        <v>167</v>
      </c>
      <c r="C656" s="461"/>
      <c r="D656" s="645" t="s">
        <v>766</v>
      </c>
      <c r="E656" s="447" t="s">
        <v>766</v>
      </c>
      <c r="F656" s="104">
        <f>+'[3]chd5-SAOB'!C393</f>
        <v>193074000</v>
      </c>
      <c r="G656" s="104">
        <f>+'[3]chd5-SAOB'!D393</f>
        <v>82464000</v>
      </c>
      <c r="H656" s="104">
        <f>+'[3]chd5-SAOB'!E393</f>
        <v>0</v>
      </c>
      <c r="I656" s="103">
        <f t="shared" si="238"/>
        <v>275538000</v>
      </c>
      <c r="J656" s="104">
        <f>+'[3]chd5-SAOB'!G393</f>
        <v>180282388.15999997</v>
      </c>
      <c r="K656" s="104">
        <f>+'[3]chd5-SAOB'!H393</f>
        <v>70939207.879999995</v>
      </c>
      <c r="L656" s="104">
        <f>+'[3]chd5-SAOB'!I393</f>
        <v>0</v>
      </c>
      <c r="M656" s="103">
        <f t="shared" si="239"/>
        <v>251221596.03999996</v>
      </c>
      <c r="N656" s="103">
        <f t="shared" si="244"/>
        <v>12791611.840000033</v>
      </c>
      <c r="O656" s="103">
        <f t="shared" si="244"/>
        <v>11524792.120000005</v>
      </c>
      <c r="P656" s="103">
        <f t="shared" si="244"/>
        <v>0</v>
      </c>
      <c r="Q656" s="103">
        <f t="shared" si="245"/>
        <v>24316403.960000038</v>
      </c>
      <c r="S656" s="730">
        <f t="shared" si="223"/>
        <v>0.93374762091218899</v>
      </c>
      <c r="T656" s="730">
        <f t="shared" si="223"/>
        <v>0.86024456587116793</v>
      </c>
      <c r="U656" s="730" t="str">
        <f t="shared" si="223"/>
        <v/>
      </c>
      <c r="V656" s="730">
        <f t="shared" si="222"/>
        <v>0.91174936320943012</v>
      </c>
      <c r="W656" s="531"/>
      <c r="X656" s="236"/>
      <c r="Y656" s="236" t="s">
        <v>688</v>
      </c>
      <c r="Z656" s="236"/>
    </row>
    <row r="657" spans="1:26" ht="11.25" customHeight="1">
      <c r="A657" s="528" t="s">
        <v>624</v>
      </c>
      <c r="B657" s="1013" t="s">
        <v>167</v>
      </c>
      <c r="C657" s="728"/>
      <c r="D657" s="649" t="s">
        <v>50</v>
      </c>
      <c r="E657" s="447" t="s">
        <v>50</v>
      </c>
      <c r="F657" s="104"/>
      <c r="G657" s="104">
        <f>+'[3]chd5-SAOB'!D395</f>
        <v>46083477</v>
      </c>
      <c r="H657" s="104">
        <f>+'[3]chd5-SAOB'!E395</f>
        <v>200000000</v>
      </c>
      <c r="I657" s="103">
        <f>SUM(F657:H657)</f>
        <v>246083477</v>
      </c>
      <c r="J657" s="104"/>
      <c r="K657" s="104">
        <f>+'[3]chd5-SAOB'!H395</f>
        <v>35641249.130000003</v>
      </c>
      <c r="L657" s="104">
        <f>+'[3]chd5-SAOB'!I395</f>
        <v>191409165.19999999</v>
      </c>
      <c r="M657" s="103">
        <f>SUM(J657:L657)</f>
        <v>227050414.32999998</v>
      </c>
      <c r="N657" s="103">
        <f t="shared" si="244"/>
        <v>0</v>
      </c>
      <c r="O657" s="103">
        <f t="shared" si="244"/>
        <v>10442227.869999997</v>
      </c>
      <c r="P657" s="103">
        <f t="shared" si="244"/>
        <v>8590834.8000000119</v>
      </c>
      <c r="Q657" s="103">
        <f t="shared" si="245"/>
        <v>19033062.670000009</v>
      </c>
      <c r="S657" s="730" t="str">
        <f t="shared" si="223"/>
        <v/>
      </c>
      <c r="T657" s="730">
        <f t="shared" si="223"/>
        <v>0.77340624992337281</v>
      </c>
      <c r="U657" s="730">
        <f t="shared" si="223"/>
        <v>0.95704582599999999</v>
      </c>
      <c r="V657" s="730">
        <f t="shared" si="222"/>
        <v>0.92265607223194424</v>
      </c>
      <c r="W657" s="531"/>
      <c r="X657" s="236"/>
      <c r="Y657" s="236" t="s">
        <v>688</v>
      </c>
      <c r="Z657" s="236"/>
    </row>
    <row r="658" spans="1:26" s="256" customFormat="1" ht="11.25" customHeight="1">
      <c r="A658" s="528" t="s">
        <v>624</v>
      </c>
      <c r="B658" s="528" t="s">
        <v>167</v>
      </c>
      <c r="C658" s="389"/>
      <c r="D658" s="650" t="s">
        <v>98</v>
      </c>
      <c r="E658" s="390" t="s">
        <v>767</v>
      </c>
      <c r="F658" s="391">
        <f>+F656+F657</f>
        <v>193074000</v>
      </c>
      <c r="G658" s="391">
        <f t="shared" ref="G658:M658" si="246">+G656+G657</f>
        <v>128547477</v>
      </c>
      <c r="H658" s="391">
        <f t="shared" si="246"/>
        <v>200000000</v>
      </c>
      <c r="I658" s="391">
        <f t="shared" si="246"/>
        <v>521621477</v>
      </c>
      <c r="J658" s="391">
        <f t="shared" si="246"/>
        <v>180282388.15999997</v>
      </c>
      <c r="K658" s="391">
        <f t="shared" si="246"/>
        <v>106580457.00999999</v>
      </c>
      <c r="L658" s="391">
        <f t="shared" si="246"/>
        <v>191409165.19999999</v>
      </c>
      <c r="M658" s="391">
        <f t="shared" si="246"/>
        <v>478272010.36999995</v>
      </c>
      <c r="N658" s="391">
        <f t="shared" si="244"/>
        <v>12791611.840000033</v>
      </c>
      <c r="O658" s="391">
        <f t="shared" si="244"/>
        <v>21967019.99000001</v>
      </c>
      <c r="P658" s="391">
        <f t="shared" si="244"/>
        <v>8590834.8000000119</v>
      </c>
      <c r="Q658" s="391">
        <f t="shared" si="245"/>
        <v>43349466.630000055</v>
      </c>
      <c r="R658" s="101"/>
      <c r="S658" s="254">
        <f t="shared" si="223"/>
        <v>0.93374762091218899</v>
      </c>
      <c r="T658" s="254">
        <f t="shared" si="223"/>
        <v>0.82911356564392147</v>
      </c>
      <c r="U658" s="254">
        <f t="shared" si="223"/>
        <v>0.95704582599999999</v>
      </c>
      <c r="V658" s="254">
        <f t="shared" si="222"/>
        <v>0.91689478186497286</v>
      </c>
      <c r="W658" s="531"/>
      <c r="Y658" s="256" t="s">
        <v>598</v>
      </c>
      <c r="Z658" s="256" t="s">
        <v>598</v>
      </c>
    </row>
    <row r="659" spans="1:26" ht="11.25" hidden="1" customHeight="1">
      <c r="A659" s="528" t="s">
        <v>624</v>
      </c>
      <c r="B659" s="1013" t="s">
        <v>167</v>
      </c>
      <c r="C659" s="410"/>
      <c r="D659" s="651"/>
      <c r="E659" s="806" t="s">
        <v>764</v>
      </c>
      <c r="F659" s="807"/>
      <c r="G659" s="807"/>
      <c r="H659" s="807"/>
      <c r="I659" s="807"/>
      <c r="J659" s="807"/>
      <c r="K659" s="807"/>
      <c r="L659" s="807"/>
      <c r="M659" s="807"/>
      <c r="N659" s="807">
        <f t="shared" si="244"/>
        <v>0</v>
      </c>
      <c r="O659" s="807">
        <f t="shared" si="244"/>
        <v>0</v>
      </c>
      <c r="P659" s="807">
        <f t="shared" si="244"/>
        <v>0</v>
      </c>
      <c r="Q659" s="807">
        <f t="shared" si="245"/>
        <v>0</v>
      </c>
      <c r="R659" s="276"/>
      <c r="S659" s="730" t="str">
        <f t="shared" si="223"/>
        <v/>
      </c>
      <c r="T659" s="730" t="str">
        <f t="shared" si="223"/>
        <v/>
      </c>
      <c r="U659" s="730" t="str">
        <f t="shared" si="223"/>
        <v/>
      </c>
      <c r="V659" s="730" t="str">
        <f t="shared" si="222"/>
        <v/>
      </c>
      <c r="W659" s="531"/>
      <c r="X659" s="236"/>
      <c r="Y659" s="236"/>
      <c r="Z659" s="236"/>
    </row>
    <row r="660" spans="1:26" s="256" customFormat="1" ht="11.25" customHeight="1">
      <c r="A660" s="528" t="s">
        <v>624</v>
      </c>
      <c r="B660" s="528" t="s">
        <v>167</v>
      </c>
      <c r="C660" s="389"/>
      <c r="D660" s="650" t="s">
        <v>98</v>
      </c>
      <c r="E660" s="390" t="s">
        <v>99</v>
      </c>
      <c r="F660" s="391">
        <f>+F661</f>
        <v>17986437</v>
      </c>
      <c r="G660" s="391">
        <f t="shared" ref="G660:M660" si="247">+G661</f>
        <v>0</v>
      </c>
      <c r="H660" s="391">
        <f t="shared" si="247"/>
        <v>0</v>
      </c>
      <c r="I660" s="391">
        <f t="shared" si="247"/>
        <v>17986437</v>
      </c>
      <c r="J660" s="391">
        <f t="shared" si="247"/>
        <v>16354851.32</v>
      </c>
      <c r="K660" s="391">
        <f t="shared" si="247"/>
        <v>0</v>
      </c>
      <c r="L660" s="391">
        <f t="shared" si="247"/>
        <v>0</v>
      </c>
      <c r="M660" s="391">
        <f t="shared" si="247"/>
        <v>16354851.32</v>
      </c>
      <c r="N660" s="391">
        <f t="shared" si="244"/>
        <v>1631585.6799999997</v>
      </c>
      <c r="O660" s="391">
        <f t="shared" si="244"/>
        <v>0</v>
      </c>
      <c r="P660" s="391">
        <f t="shared" si="244"/>
        <v>0</v>
      </c>
      <c r="Q660" s="391">
        <f t="shared" si="245"/>
        <v>1631585.6799999997</v>
      </c>
      <c r="R660" s="101"/>
      <c r="S660" s="254">
        <f t="shared" si="223"/>
        <v>0.90928799961882389</v>
      </c>
      <c r="T660" s="254" t="str">
        <f t="shared" si="223"/>
        <v/>
      </c>
      <c r="U660" s="254" t="str">
        <f t="shared" si="223"/>
        <v/>
      </c>
      <c r="V660" s="254">
        <f t="shared" si="222"/>
        <v>0.90928799961882389</v>
      </c>
      <c r="W660" s="531"/>
      <c r="Y660" s="256" t="s">
        <v>598</v>
      </c>
      <c r="Z660" s="256" t="s">
        <v>598</v>
      </c>
    </row>
    <row r="661" spans="1:26" ht="11.25" customHeight="1">
      <c r="A661" s="528" t="s">
        <v>624</v>
      </c>
      <c r="B661" s="1013" t="s">
        <v>167</v>
      </c>
      <c r="C661" s="728"/>
      <c r="D661" s="649" t="s">
        <v>286</v>
      </c>
      <c r="E661" s="729" t="s">
        <v>286</v>
      </c>
      <c r="F661" s="103">
        <f>SUM('[3]chd5-SAOB'!AA14)</f>
        <v>17986437</v>
      </c>
      <c r="G661" s="103">
        <f>SUM('[3]chd5-SAOB'!AA50)</f>
        <v>0</v>
      </c>
      <c r="H661" s="103">
        <f>SUM('[3]chd5-SAOB'!AA143)</f>
        <v>0</v>
      </c>
      <c r="I661" s="103">
        <f t="shared" si="238"/>
        <v>17986437</v>
      </c>
      <c r="J661" s="103">
        <f>SUM('[3]chd5-SAOB'!AA15)</f>
        <v>16354851.32</v>
      </c>
      <c r="K661" s="103">
        <f>SUM('[3]chd5-SAOB'!AA51)</f>
        <v>0</v>
      </c>
      <c r="L661" s="103">
        <f>SUM('[3]chd5-SAOB'!AA144)</f>
        <v>0</v>
      </c>
      <c r="M661" s="103">
        <f t="shared" si="239"/>
        <v>16354851.32</v>
      </c>
      <c r="N661" s="103">
        <f t="shared" si="244"/>
        <v>1631585.6799999997</v>
      </c>
      <c r="O661" s="103">
        <f t="shared" si="244"/>
        <v>0</v>
      </c>
      <c r="P661" s="103">
        <f t="shared" si="244"/>
        <v>0</v>
      </c>
      <c r="Q661" s="103">
        <f t="shared" si="245"/>
        <v>1631585.6799999997</v>
      </c>
      <c r="S661" s="730">
        <f t="shared" si="223"/>
        <v>0.90928799961882389</v>
      </c>
      <c r="T661" s="730" t="str">
        <f t="shared" si="223"/>
        <v/>
      </c>
      <c r="U661" s="730" t="str">
        <f t="shared" si="223"/>
        <v/>
      </c>
      <c r="V661" s="730">
        <f t="shared" si="222"/>
        <v>0.90928799961882389</v>
      </c>
      <c r="W661" s="531"/>
      <c r="X661" s="236"/>
      <c r="Y661" s="236" t="s">
        <v>598</v>
      </c>
      <c r="Z661" s="236"/>
    </row>
    <row r="662" spans="1:26" s="272" customFormat="1" ht="11.25" customHeight="1">
      <c r="A662" s="528" t="s">
        <v>624</v>
      </c>
      <c r="B662" s="528" t="s">
        <v>167</v>
      </c>
      <c r="C662" s="389"/>
      <c r="D662" s="650" t="s">
        <v>98</v>
      </c>
      <c r="E662" s="390" t="s">
        <v>100</v>
      </c>
      <c r="F662" s="391">
        <f t="shared" ref="F662:M662" si="248">SUM(F663:F667)</f>
        <v>9555697</v>
      </c>
      <c r="G662" s="391">
        <f t="shared" si="248"/>
        <v>6950000</v>
      </c>
      <c r="H662" s="391">
        <f t="shared" si="248"/>
        <v>0</v>
      </c>
      <c r="I662" s="391">
        <f t="shared" si="248"/>
        <v>16505697</v>
      </c>
      <c r="J662" s="391">
        <f t="shared" si="248"/>
        <v>9072660.3900000006</v>
      </c>
      <c r="K662" s="391">
        <f t="shared" si="248"/>
        <v>6950000</v>
      </c>
      <c r="L662" s="391">
        <f t="shared" si="248"/>
        <v>0</v>
      </c>
      <c r="M662" s="391">
        <f t="shared" si="248"/>
        <v>16022660.390000001</v>
      </c>
      <c r="N662" s="391">
        <f t="shared" si="244"/>
        <v>483036.6099999994</v>
      </c>
      <c r="O662" s="391">
        <f t="shared" si="244"/>
        <v>0</v>
      </c>
      <c r="P662" s="391">
        <f t="shared" si="244"/>
        <v>0</v>
      </c>
      <c r="Q662" s="391">
        <f t="shared" si="245"/>
        <v>483036.6099999994</v>
      </c>
      <c r="R662" s="102"/>
      <c r="S662" s="254">
        <f t="shared" si="223"/>
        <v>0.94945040534458136</v>
      </c>
      <c r="T662" s="254">
        <f t="shared" si="223"/>
        <v>1</v>
      </c>
      <c r="U662" s="254" t="str">
        <f t="shared" si="223"/>
        <v/>
      </c>
      <c r="V662" s="254">
        <f t="shared" si="222"/>
        <v>0.97073515829110402</v>
      </c>
      <c r="W662" s="531"/>
      <c r="Y662" s="272" t="s">
        <v>598</v>
      </c>
      <c r="Z662" s="256" t="s">
        <v>598</v>
      </c>
    </row>
    <row r="663" spans="1:26" ht="11.25" customHeight="1">
      <c r="A663" s="528" t="s">
        <v>624</v>
      </c>
      <c r="B663" s="1013" t="s">
        <v>167</v>
      </c>
      <c r="C663" s="728"/>
      <c r="D663" s="649" t="s">
        <v>288</v>
      </c>
      <c r="E663" s="729" t="s">
        <v>288</v>
      </c>
      <c r="F663" s="103">
        <f>SUM('[3]chd5-SAOB'!AF14)</f>
        <v>2835304</v>
      </c>
      <c r="G663" s="103">
        <f>SUM('[3]chd5-SAOB'!AF50)</f>
        <v>0</v>
      </c>
      <c r="H663" s="103">
        <f>SUM('[3]chd5-SAOB'!AF143)</f>
        <v>0</v>
      </c>
      <c r="I663" s="103">
        <f t="shared" si="238"/>
        <v>2835304</v>
      </c>
      <c r="J663" s="103">
        <f>SUM('[3]chd5-SAOB'!AF15)</f>
        <v>2427267.3899999997</v>
      </c>
      <c r="K663" s="103">
        <f>SUM('[3]chd5-SAOB'!AF51)</f>
        <v>0</v>
      </c>
      <c r="L663" s="103">
        <f>SUM('[3]chd5-SAOB'!AF144)</f>
        <v>0</v>
      </c>
      <c r="M663" s="103">
        <f t="shared" si="239"/>
        <v>2427267.3899999997</v>
      </c>
      <c r="N663" s="103">
        <f t="shared" si="244"/>
        <v>408036.61000000034</v>
      </c>
      <c r="O663" s="103">
        <f t="shared" si="244"/>
        <v>0</v>
      </c>
      <c r="P663" s="103">
        <f t="shared" si="244"/>
        <v>0</v>
      </c>
      <c r="Q663" s="103">
        <f t="shared" si="245"/>
        <v>408036.61000000034</v>
      </c>
      <c r="S663" s="730">
        <f t="shared" si="223"/>
        <v>0.85608717442644588</v>
      </c>
      <c r="T663" s="730" t="str">
        <f t="shared" si="223"/>
        <v/>
      </c>
      <c r="U663" s="730" t="str">
        <f t="shared" si="223"/>
        <v/>
      </c>
      <c r="V663" s="730">
        <f t="shared" si="223"/>
        <v>0.85608717442644588</v>
      </c>
      <c r="W663" s="531"/>
      <c r="X663" s="236"/>
      <c r="Y663" s="236" t="s">
        <v>598</v>
      </c>
      <c r="Z663" s="236"/>
    </row>
    <row r="664" spans="1:26" ht="11.25" customHeight="1">
      <c r="A664" s="528" t="s">
        <v>624</v>
      </c>
      <c r="B664" s="1013" t="s">
        <v>167</v>
      </c>
      <c r="C664" s="728"/>
      <c r="D664" s="649" t="s">
        <v>761</v>
      </c>
      <c r="E664" s="729" t="s">
        <v>761</v>
      </c>
      <c r="F664" s="104">
        <f>+'[3]chd5-SAOB'!C395</f>
        <v>3825000</v>
      </c>
      <c r="G664" s="104"/>
      <c r="H664" s="104"/>
      <c r="I664" s="103">
        <f>SUM(F664:H664)</f>
        <v>3825000</v>
      </c>
      <c r="J664" s="104">
        <f>+'[3]chd5-SAOB'!G395</f>
        <v>3750000</v>
      </c>
      <c r="K664" s="104"/>
      <c r="L664" s="104"/>
      <c r="M664" s="103">
        <f t="shared" si="239"/>
        <v>3750000</v>
      </c>
      <c r="N664" s="103">
        <f t="shared" si="244"/>
        <v>75000</v>
      </c>
      <c r="O664" s="103">
        <f t="shared" si="244"/>
        <v>0</v>
      </c>
      <c r="P664" s="103">
        <f t="shared" si="244"/>
        <v>0</v>
      </c>
      <c r="Q664" s="103">
        <f>SUM(N664:P664)</f>
        <v>75000</v>
      </c>
      <c r="S664" s="730">
        <f t="shared" ref="S664:V727" si="249">IF(F664=0,"",J664/F664)</f>
        <v>0.98039215686274506</v>
      </c>
      <c r="T664" s="730" t="str">
        <f t="shared" si="249"/>
        <v/>
      </c>
      <c r="U664" s="730" t="str">
        <f t="shared" si="249"/>
        <v/>
      </c>
      <c r="V664" s="730">
        <f t="shared" si="249"/>
        <v>0.98039215686274506</v>
      </c>
      <c r="W664" s="531"/>
      <c r="X664" s="236"/>
      <c r="Y664" s="236" t="s">
        <v>688</v>
      </c>
      <c r="Z664" s="236"/>
    </row>
    <row r="665" spans="1:26" ht="11.25" customHeight="1">
      <c r="A665" s="528" t="s">
        <v>624</v>
      </c>
      <c r="B665" s="1013" t="s">
        <v>167</v>
      </c>
      <c r="C665" s="410"/>
      <c r="D665" s="647"/>
      <c r="E665" s="461" t="s">
        <v>764</v>
      </c>
      <c r="F665" s="104"/>
      <c r="G665" s="104"/>
      <c r="H665" s="104"/>
      <c r="I665" s="103"/>
      <c r="J665" s="104"/>
      <c r="K665" s="104"/>
      <c r="L665" s="104"/>
      <c r="M665" s="103"/>
      <c r="N665" s="103"/>
      <c r="O665" s="103"/>
      <c r="P665" s="103"/>
      <c r="Q665" s="103"/>
      <c r="S665" s="730" t="str">
        <f t="shared" si="249"/>
        <v/>
      </c>
      <c r="T665" s="730" t="str">
        <f t="shared" si="249"/>
        <v/>
      </c>
      <c r="U665" s="730" t="str">
        <f t="shared" si="249"/>
        <v/>
      </c>
      <c r="V665" s="730" t="str">
        <f t="shared" si="249"/>
        <v/>
      </c>
      <c r="W665" s="531"/>
      <c r="X665" s="236"/>
      <c r="Y665" s="236" t="s">
        <v>688</v>
      </c>
      <c r="Z665" s="240"/>
    </row>
    <row r="666" spans="1:26" ht="11.25" customHeight="1">
      <c r="A666" s="528" t="s">
        <v>624</v>
      </c>
      <c r="B666" s="1013" t="s">
        <v>167</v>
      </c>
      <c r="C666" s="728"/>
      <c r="D666" s="649" t="s">
        <v>289</v>
      </c>
      <c r="E666" s="729" t="s">
        <v>289</v>
      </c>
      <c r="F666" s="103">
        <f>SUM('[3]chd5-SAOB'!AK14)</f>
        <v>2895393</v>
      </c>
      <c r="G666" s="103">
        <f>SUM('[3]chd5-SAOB'!AK50)</f>
        <v>0</v>
      </c>
      <c r="H666" s="103">
        <f>SUM('[3]chd5-SAOB'!AK143)</f>
        <v>0</v>
      </c>
      <c r="I666" s="103">
        <f t="shared" si="238"/>
        <v>2895393</v>
      </c>
      <c r="J666" s="103">
        <f>SUM('[3]chd5-SAOB'!AK15)</f>
        <v>2895393</v>
      </c>
      <c r="K666" s="103">
        <f>SUM('[3]chd5-SAOB'!AK51)</f>
        <v>0</v>
      </c>
      <c r="L666" s="103">
        <f>SUM('[3]chd5-SAOB'!AK144)</f>
        <v>0</v>
      </c>
      <c r="M666" s="103">
        <f t="shared" si="239"/>
        <v>2895393</v>
      </c>
      <c r="N666" s="103">
        <f t="shared" si="244"/>
        <v>0</v>
      </c>
      <c r="O666" s="103">
        <f t="shared" si="244"/>
        <v>0</v>
      </c>
      <c r="P666" s="103">
        <f t="shared" si="244"/>
        <v>0</v>
      </c>
      <c r="Q666" s="103">
        <f t="shared" si="245"/>
        <v>0</v>
      </c>
      <c r="S666" s="730">
        <f t="shared" si="249"/>
        <v>1</v>
      </c>
      <c r="T666" s="730" t="str">
        <f t="shared" si="249"/>
        <v/>
      </c>
      <c r="U666" s="730" t="str">
        <f t="shared" si="249"/>
        <v/>
      </c>
      <c r="V666" s="730">
        <f t="shared" si="249"/>
        <v>1</v>
      </c>
      <c r="W666" s="531"/>
      <c r="X666" s="236"/>
      <c r="Y666" s="236" t="s">
        <v>598</v>
      </c>
      <c r="Z666" s="236"/>
    </row>
    <row r="667" spans="1:26" ht="11.25" customHeight="1">
      <c r="A667" s="528" t="s">
        <v>624</v>
      </c>
      <c r="B667" s="1013" t="s">
        <v>167</v>
      </c>
      <c r="C667" s="728"/>
      <c r="D667" s="649" t="s">
        <v>290</v>
      </c>
      <c r="E667" s="729" t="s">
        <v>290</v>
      </c>
      <c r="F667" s="103">
        <f>SUM('[3]chd5-SAOB'!AP14)</f>
        <v>0</v>
      </c>
      <c r="G667" s="103">
        <f>SUM('[3]chd5-SAOB'!AP50)</f>
        <v>6950000</v>
      </c>
      <c r="H667" s="103">
        <f>SUM('[3]chd5-SAOB'!AP143)</f>
        <v>0</v>
      </c>
      <c r="I667" s="103">
        <f t="shared" si="238"/>
        <v>6950000</v>
      </c>
      <c r="J667" s="103">
        <f>SUM('[3]chd5-SAOB'!AP15)</f>
        <v>0</v>
      </c>
      <c r="K667" s="103">
        <f>SUM('[3]chd5-SAOB'!AP51)</f>
        <v>6950000</v>
      </c>
      <c r="L667" s="103">
        <f>SUM('[3]chd5-SAOB'!AP144)</f>
        <v>0</v>
      </c>
      <c r="M667" s="103">
        <f t="shared" si="239"/>
        <v>6950000</v>
      </c>
      <c r="N667" s="103">
        <f t="shared" si="244"/>
        <v>0</v>
      </c>
      <c r="O667" s="103">
        <f t="shared" si="244"/>
        <v>0</v>
      </c>
      <c r="P667" s="103">
        <f t="shared" si="244"/>
        <v>0</v>
      </c>
      <c r="Q667" s="103">
        <f t="shared" si="245"/>
        <v>0</v>
      </c>
      <c r="S667" s="730" t="str">
        <f t="shared" si="249"/>
        <v/>
      </c>
      <c r="T667" s="730">
        <f t="shared" si="249"/>
        <v>1</v>
      </c>
      <c r="U667" s="730" t="str">
        <f t="shared" si="249"/>
        <v/>
      </c>
      <c r="V667" s="730">
        <f t="shared" si="249"/>
        <v>1</v>
      </c>
      <c r="W667" s="531"/>
      <c r="X667" s="236"/>
      <c r="Y667" s="236" t="s">
        <v>598</v>
      </c>
      <c r="Z667" s="236"/>
    </row>
    <row r="668" spans="1:26" s="259" customFormat="1" ht="11.25" customHeight="1">
      <c r="A668" s="246" t="s">
        <v>624</v>
      </c>
      <c r="B668" s="235" t="s">
        <v>167</v>
      </c>
      <c r="C668" s="656"/>
      <c r="D668" s="656"/>
      <c r="E668" s="657" t="s">
        <v>4</v>
      </c>
      <c r="F668" s="652">
        <f>+F658+F660+F662</f>
        <v>220616134</v>
      </c>
      <c r="G668" s="652">
        <f t="shared" ref="G668:M668" si="250">+G658+G660+G662</f>
        <v>135497477</v>
      </c>
      <c r="H668" s="652">
        <f t="shared" si="250"/>
        <v>200000000</v>
      </c>
      <c r="I668" s="652">
        <f t="shared" si="250"/>
        <v>556113611</v>
      </c>
      <c r="J668" s="652">
        <f t="shared" si="250"/>
        <v>205709899.86999995</v>
      </c>
      <c r="K668" s="652">
        <f t="shared" si="250"/>
        <v>113530457.00999999</v>
      </c>
      <c r="L668" s="652">
        <f t="shared" si="250"/>
        <v>191409165.19999999</v>
      </c>
      <c r="M668" s="652">
        <f t="shared" si="250"/>
        <v>510649522.07999992</v>
      </c>
      <c r="N668" s="652">
        <f t="shared" si="244"/>
        <v>14906234.130000055</v>
      </c>
      <c r="O668" s="652">
        <f t="shared" si="244"/>
        <v>21967019.99000001</v>
      </c>
      <c r="P668" s="652">
        <f t="shared" si="244"/>
        <v>8590834.8000000119</v>
      </c>
      <c r="Q668" s="652">
        <f t="shared" si="245"/>
        <v>45464088.920000076</v>
      </c>
      <c r="R668" s="653">
        <f>+Q668-'[3]chd5-SAOB'!BN180</f>
        <v>0</v>
      </c>
      <c r="S668" s="1008">
        <f t="shared" si="249"/>
        <v>0.93243361734368868</v>
      </c>
      <c r="T668" s="1008">
        <f t="shared" si="249"/>
        <v>0.83787875260585098</v>
      </c>
      <c r="U668" s="1008">
        <f t="shared" si="249"/>
        <v>0.95704582599999999</v>
      </c>
      <c r="V668" s="1008">
        <f t="shared" si="249"/>
        <v>0.91824676105616831</v>
      </c>
      <c r="W668" s="254"/>
      <c r="X668" s="520"/>
      <c r="Y668" s="610" t="s">
        <v>598</v>
      </c>
      <c r="Z668" s="241" t="s">
        <v>598</v>
      </c>
    </row>
    <row r="669" spans="1:26" ht="11.25" customHeight="1">
      <c r="A669" s="246" t="s">
        <v>624</v>
      </c>
      <c r="B669" s="235" t="s">
        <v>167</v>
      </c>
      <c r="C669" s="410"/>
      <c r="D669" s="386"/>
      <c r="E669" s="461" t="s">
        <v>764</v>
      </c>
      <c r="F669" s="103"/>
      <c r="G669" s="103"/>
      <c r="H669" s="103"/>
      <c r="I669" s="103">
        <f t="shared" si="238"/>
        <v>0</v>
      </c>
      <c r="J669" s="103"/>
      <c r="K669" s="103"/>
      <c r="L669" s="103"/>
      <c r="M669" s="103">
        <f t="shared" si="239"/>
        <v>0</v>
      </c>
      <c r="N669" s="103">
        <f t="shared" si="244"/>
        <v>0</v>
      </c>
      <c r="O669" s="103">
        <f t="shared" si="244"/>
        <v>0</v>
      </c>
      <c r="P669" s="103">
        <f t="shared" si="244"/>
        <v>0</v>
      </c>
      <c r="Q669" s="103">
        <f t="shared" si="245"/>
        <v>0</v>
      </c>
      <c r="R669" s="95" t="s">
        <v>202</v>
      </c>
      <c r="S669" s="730" t="str">
        <f t="shared" si="249"/>
        <v/>
      </c>
      <c r="T669" s="730" t="str">
        <f t="shared" si="249"/>
        <v/>
      </c>
      <c r="U669" s="730" t="str">
        <f t="shared" si="249"/>
        <v/>
      </c>
      <c r="V669" s="730" t="str">
        <f t="shared" si="249"/>
        <v/>
      </c>
      <c r="W669" s="254"/>
      <c r="Y669" s="610" t="s">
        <v>598</v>
      </c>
      <c r="Z669" s="241" t="s">
        <v>598</v>
      </c>
    </row>
    <row r="670" spans="1:26" s="675" customFormat="1" ht="11.25" customHeight="1">
      <c r="A670" s="528" t="s">
        <v>624</v>
      </c>
      <c r="B670" s="528" t="s">
        <v>168</v>
      </c>
      <c r="C670" s="407" t="s">
        <v>98</v>
      </c>
      <c r="D670" s="655" t="s">
        <v>107</v>
      </c>
      <c r="E670" s="408" t="s">
        <v>810</v>
      </c>
      <c r="F670" s="673"/>
      <c r="G670" s="673"/>
      <c r="H670" s="673"/>
      <c r="I670" s="674">
        <f t="shared" si="238"/>
        <v>0</v>
      </c>
      <c r="J670" s="673"/>
      <c r="K670" s="673"/>
      <c r="L670" s="673"/>
      <c r="M670" s="674">
        <f t="shared" si="239"/>
        <v>0</v>
      </c>
      <c r="N670" s="674">
        <f t="shared" si="244"/>
        <v>0</v>
      </c>
      <c r="O670" s="674">
        <f t="shared" si="244"/>
        <v>0</v>
      </c>
      <c r="P670" s="674">
        <f t="shared" si="244"/>
        <v>0</v>
      </c>
      <c r="Q670" s="674">
        <f t="shared" si="245"/>
        <v>0</v>
      </c>
      <c r="R670" s="101"/>
      <c r="S670" s="254" t="str">
        <f t="shared" si="249"/>
        <v/>
      </c>
      <c r="T670" s="254" t="str">
        <f t="shared" si="249"/>
        <v/>
      </c>
      <c r="U670" s="254" t="str">
        <f t="shared" si="249"/>
        <v/>
      </c>
      <c r="V670" s="254" t="str">
        <f t="shared" si="249"/>
        <v/>
      </c>
      <c r="W670" s="531"/>
      <c r="Y670" s="272" t="s">
        <v>598</v>
      </c>
      <c r="Z670" s="260" t="s">
        <v>598</v>
      </c>
    </row>
    <row r="671" spans="1:26" ht="11.25" customHeight="1">
      <c r="A671" s="528" t="s">
        <v>624</v>
      </c>
      <c r="B671" s="1013" t="s">
        <v>168</v>
      </c>
      <c r="C671" s="461"/>
      <c r="D671" s="645" t="s">
        <v>766</v>
      </c>
      <c r="E671" s="447" t="s">
        <v>766</v>
      </c>
      <c r="F671" s="104">
        <f>+'[3]chd5-SAOB'!C400</f>
        <v>113914000</v>
      </c>
      <c r="G671" s="104">
        <f>+'[3]chd5-SAOB'!D400</f>
        <v>46432000</v>
      </c>
      <c r="H671" s="104">
        <f>+'[3]chd5-SAOB'!E400</f>
        <v>0</v>
      </c>
      <c r="I671" s="103">
        <f t="shared" si="238"/>
        <v>160346000</v>
      </c>
      <c r="J671" s="104">
        <f>+'[3]chd5-SAOB'!G400</f>
        <v>105558631.65000002</v>
      </c>
      <c r="K671" s="104">
        <f>+'[3]chd5-SAOB'!H400</f>
        <v>29751912.93</v>
      </c>
      <c r="L671" s="104">
        <f>+'[3]chd5-SAOB'!I400</f>
        <v>0</v>
      </c>
      <c r="M671" s="103">
        <f t="shared" si="239"/>
        <v>135310544.58000001</v>
      </c>
      <c r="N671" s="103">
        <f t="shared" si="244"/>
        <v>8355368.3499999791</v>
      </c>
      <c r="O671" s="103">
        <f t="shared" si="244"/>
        <v>16680087.07</v>
      </c>
      <c r="P671" s="103">
        <f t="shared" si="244"/>
        <v>0</v>
      </c>
      <c r="Q671" s="103">
        <f t="shared" si="245"/>
        <v>25035455.419999979</v>
      </c>
      <c r="S671" s="730">
        <f t="shared" si="249"/>
        <v>0.92665196244535375</v>
      </c>
      <c r="T671" s="730">
        <f t="shared" si="249"/>
        <v>0.64076311444693312</v>
      </c>
      <c r="U671" s="730" t="str">
        <f t="shared" si="249"/>
        <v/>
      </c>
      <c r="V671" s="730">
        <f t="shared" si="249"/>
        <v>0.84386604330635007</v>
      </c>
      <c r="W671" s="531"/>
      <c r="X671" s="236"/>
      <c r="Y671" s="236" t="s">
        <v>688</v>
      </c>
      <c r="Z671" s="236"/>
    </row>
    <row r="672" spans="1:26" ht="11.25" customHeight="1">
      <c r="A672" s="528" t="s">
        <v>624</v>
      </c>
      <c r="B672" s="1013" t="s">
        <v>168</v>
      </c>
      <c r="C672" s="728"/>
      <c r="D672" s="649" t="s">
        <v>50</v>
      </c>
      <c r="E672" s="447" t="s">
        <v>50</v>
      </c>
      <c r="F672" s="104"/>
      <c r="G672" s="104">
        <f>+'[3]chd5-SAOB'!D402</f>
        <v>25980978</v>
      </c>
      <c r="H672" s="104">
        <f>+'[3]chd5-SAOB'!E402</f>
        <v>20000000</v>
      </c>
      <c r="I672" s="103">
        <f>SUM(F672:H672)</f>
        <v>45980978</v>
      </c>
      <c r="J672" s="104"/>
      <c r="K672" s="104">
        <f>+'[3]chd5-SAOB'!H402</f>
        <v>19093113.43</v>
      </c>
      <c r="L672" s="104">
        <f>+'[3]chd5-SAOB'!I402</f>
        <v>19995795</v>
      </c>
      <c r="M672" s="103">
        <f>SUM(J672:L672)</f>
        <v>39088908.43</v>
      </c>
      <c r="N672" s="103">
        <f t="shared" si="244"/>
        <v>0</v>
      </c>
      <c r="O672" s="103">
        <f t="shared" si="244"/>
        <v>6887864.5700000003</v>
      </c>
      <c r="P672" s="103">
        <f t="shared" si="244"/>
        <v>4205</v>
      </c>
      <c r="Q672" s="103">
        <f t="shared" si="245"/>
        <v>6892069.5700000003</v>
      </c>
      <c r="S672" s="730" t="str">
        <f t="shared" si="249"/>
        <v/>
      </c>
      <c r="T672" s="730">
        <f t="shared" si="249"/>
        <v>0.73488817203109136</v>
      </c>
      <c r="U672" s="730">
        <f t="shared" si="249"/>
        <v>0.99978975000000003</v>
      </c>
      <c r="V672" s="730">
        <f t="shared" si="249"/>
        <v>0.85011041805156906</v>
      </c>
      <c r="W672" s="531"/>
      <c r="X672" s="236"/>
      <c r="Y672" s="236" t="s">
        <v>688</v>
      </c>
      <c r="Z672" s="236"/>
    </row>
    <row r="673" spans="1:26" s="256" customFormat="1" ht="11.25" customHeight="1">
      <c r="A673" s="528" t="s">
        <v>624</v>
      </c>
      <c r="B673" s="528" t="s">
        <v>168</v>
      </c>
      <c r="C673" s="389"/>
      <c r="D673" s="650" t="s">
        <v>98</v>
      </c>
      <c r="E673" s="390" t="s">
        <v>767</v>
      </c>
      <c r="F673" s="391">
        <f>+F671+F672</f>
        <v>113914000</v>
      </c>
      <c r="G673" s="391">
        <f t="shared" ref="G673:M673" si="251">+G671+G672</f>
        <v>72412978</v>
      </c>
      <c r="H673" s="391">
        <f t="shared" si="251"/>
        <v>20000000</v>
      </c>
      <c r="I673" s="391">
        <f t="shared" si="251"/>
        <v>206326978</v>
      </c>
      <c r="J673" s="391">
        <f t="shared" si="251"/>
        <v>105558631.65000002</v>
      </c>
      <c r="K673" s="391">
        <f t="shared" si="251"/>
        <v>48845026.359999999</v>
      </c>
      <c r="L673" s="391">
        <f t="shared" si="251"/>
        <v>19995795</v>
      </c>
      <c r="M673" s="391">
        <f t="shared" si="251"/>
        <v>174399453.01000002</v>
      </c>
      <c r="N673" s="391">
        <f t="shared" si="244"/>
        <v>8355368.3499999791</v>
      </c>
      <c r="O673" s="391">
        <f t="shared" si="244"/>
        <v>23567951.640000001</v>
      </c>
      <c r="P673" s="391">
        <f t="shared" si="244"/>
        <v>4205</v>
      </c>
      <c r="Q673" s="391">
        <f t="shared" si="245"/>
        <v>31927524.98999998</v>
      </c>
      <c r="R673" s="101"/>
      <c r="S673" s="254">
        <f t="shared" si="249"/>
        <v>0.92665196244535375</v>
      </c>
      <c r="T673" s="254">
        <f t="shared" si="249"/>
        <v>0.67453414718008142</v>
      </c>
      <c r="U673" s="254">
        <f t="shared" si="249"/>
        <v>0.99978975000000003</v>
      </c>
      <c r="V673" s="254">
        <f t="shared" si="249"/>
        <v>0.84525763281426058</v>
      </c>
      <c r="W673" s="531"/>
      <c r="Y673" s="256" t="s">
        <v>598</v>
      </c>
      <c r="Z673" s="256" t="s">
        <v>598</v>
      </c>
    </row>
    <row r="674" spans="1:26" ht="11.25" hidden="1" customHeight="1">
      <c r="A674" s="528" t="s">
        <v>624</v>
      </c>
      <c r="B674" s="1013" t="s">
        <v>168</v>
      </c>
      <c r="C674" s="410"/>
      <c r="D674" s="651"/>
      <c r="E674" s="806" t="s">
        <v>764</v>
      </c>
      <c r="F674" s="807"/>
      <c r="G674" s="807"/>
      <c r="H674" s="807"/>
      <c r="I674" s="807"/>
      <c r="J674" s="807"/>
      <c r="K674" s="807"/>
      <c r="L674" s="807"/>
      <c r="M674" s="807"/>
      <c r="N674" s="807">
        <f t="shared" si="244"/>
        <v>0</v>
      </c>
      <c r="O674" s="807">
        <f t="shared" si="244"/>
        <v>0</v>
      </c>
      <c r="P674" s="807">
        <f t="shared" si="244"/>
        <v>0</v>
      </c>
      <c r="Q674" s="807">
        <f t="shared" si="245"/>
        <v>0</v>
      </c>
      <c r="R674" s="276"/>
      <c r="S674" s="730" t="str">
        <f t="shared" si="249"/>
        <v/>
      </c>
      <c r="T674" s="730" t="str">
        <f t="shared" si="249"/>
        <v/>
      </c>
      <c r="U674" s="730" t="str">
        <f t="shared" si="249"/>
        <v/>
      </c>
      <c r="V674" s="730" t="str">
        <f t="shared" si="249"/>
        <v/>
      </c>
      <c r="W674" s="531"/>
      <c r="X674" s="236"/>
      <c r="Y674" s="236"/>
      <c r="Z674" s="236"/>
    </row>
    <row r="675" spans="1:26" s="256" customFormat="1" ht="11.25" customHeight="1">
      <c r="A675" s="528" t="s">
        <v>624</v>
      </c>
      <c r="B675" s="528" t="s">
        <v>168</v>
      </c>
      <c r="C675" s="389"/>
      <c r="D675" s="650" t="s">
        <v>98</v>
      </c>
      <c r="E675" s="390" t="s">
        <v>99</v>
      </c>
      <c r="F675" s="391">
        <f>+F676</f>
        <v>10539000</v>
      </c>
      <c r="G675" s="391">
        <f t="shared" ref="G675:M675" si="252">+G676</f>
        <v>0</v>
      </c>
      <c r="H675" s="391">
        <f t="shared" si="252"/>
        <v>0</v>
      </c>
      <c r="I675" s="391">
        <f t="shared" si="252"/>
        <v>10539000</v>
      </c>
      <c r="J675" s="391">
        <f t="shared" si="252"/>
        <v>9330601.25</v>
      </c>
      <c r="K675" s="391">
        <f t="shared" si="252"/>
        <v>0</v>
      </c>
      <c r="L675" s="391">
        <f t="shared" si="252"/>
        <v>0</v>
      </c>
      <c r="M675" s="391">
        <f t="shared" si="252"/>
        <v>9330601.25</v>
      </c>
      <c r="N675" s="391">
        <f t="shared" si="244"/>
        <v>1208398.75</v>
      </c>
      <c r="O675" s="391">
        <f t="shared" si="244"/>
        <v>0</v>
      </c>
      <c r="P675" s="391">
        <f t="shared" si="244"/>
        <v>0</v>
      </c>
      <c r="Q675" s="391">
        <f t="shared" si="245"/>
        <v>1208398.75</v>
      </c>
      <c r="R675" s="101"/>
      <c r="S675" s="254">
        <f t="shared" si="249"/>
        <v>0.88534028370813167</v>
      </c>
      <c r="T675" s="254" t="str">
        <f t="shared" si="249"/>
        <v/>
      </c>
      <c r="U675" s="254" t="str">
        <f t="shared" si="249"/>
        <v/>
      </c>
      <c r="V675" s="254">
        <f t="shared" si="249"/>
        <v>0.88534028370813167</v>
      </c>
      <c r="W675" s="531"/>
      <c r="Y675" s="256" t="s">
        <v>598</v>
      </c>
      <c r="Z675" s="256" t="s">
        <v>598</v>
      </c>
    </row>
    <row r="676" spans="1:26" ht="11.25" customHeight="1">
      <c r="A676" s="528" t="s">
        <v>624</v>
      </c>
      <c r="B676" s="1013" t="s">
        <v>168</v>
      </c>
      <c r="C676" s="728"/>
      <c r="D676" s="649" t="s">
        <v>286</v>
      </c>
      <c r="E676" s="729" t="s">
        <v>286</v>
      </c>
      <c r="F676" s="103">
        <f>SUM('[3]chd5-SAOB'!AB14)</f>
        <v>10539000</v>
      </c>
      <c r="G676" s="103">
        <f>SUM('[3]chd5-SAOB'!AB50)</f>
        <v>0</v>
      </c>
      <c r="H676" s="103">
        <f>SUM('[3]chd5-SAOB'!AB143)</f>
        <v>0</v>
      </c>
      <c r="I676" s="103">
        <f t="shared" si="238"/>
        <v>10539000</v>
      </c>
      <c r="J676" s="103">
        <f>SUM('[3]chd5-SAOB'!AB15)</f>
        <v>9330601.25</v>
      </c>
      <c r="K676" s="103">
        <f>SUM('[3]chd5-SAOB'!AB51)</f>
        <v>0</v>
      </c>
      <c r="L676" s="103">
        <f>SUM('[3]chd5-SAOB'!AB144)</f>
        <v>0</v>
      </c>
      <c r="M676" s="103">
        <f t="shared" si="239"/>
        <v>9330601.25</v>
      </c>
      <c r="N676" s="103">
        <f t="shared" si="244"/>
        <v>1208398.75</v>
      </c>
      <c r="O676" s="103">
        <f t="shared" si="244"/>
        <v>0</v>
      </c>
      <c r="P676" s="103">
        <f t="shared" si="244"/>
        <v>0</v>
      </c>
      <c r="Q676" s="103">
        <f t="shared" si="245"/>
        <v>1208398.75</v>
      </c>
      <c r="S676" s="730">
        <f t="shared" si="249"/>
        <v>0.88534028370813167</v>
      </c>
      <c r="T676" s="730" t="str">
        <f t="shared" si="249"/>
        <v/>
      </c>
      <c r="U676" s="730" t="str">
        <f t="shared" si="249"/>
        <v/>
      </c>
      <c r="V676" s="730">
        <f t="shared" si="249"/>
        <v>0.88534028370813167</v>
      </c>
      <c r="W676" s="531"/>
      <c r="X676" s="236"/>
      <c r="Y676" s="236" t="s">
        <v>598</v>
      </c>
      <c r="Z676" s="236"/>
    </row>
    <row r="677" spans="1:26" s="272" customFormat="1" ht="11.25" customHeight="1">
      <c r="A677" s="528" t="s">
        <v>624</v>
      </c>
      <c r="B677" s="528" t="s">
        <v>168</v>
      </c>
      <c r="C677" s="389"/>
      <c r="D677" s="650" t="s">
        <v>98</v>
      </c>
      <c r="E677" s="390" t="s">
        <v>100</v>
      </c>
      <c r="F677" s="391">
        <f t="shared" ref="F677:M677" si="253">SUM(F678:F682)</f>
        <v>5507041</v>
      </c>
      <c r="G677" s="391">
        <f t="shared" si="253"/>
        <v>14006835</v>
      </c>
      <c r="H677" s="391">
        <f t="shared" si="253"/>
        <v>1000000</v>
      </c>
      <c r="I677" s="391">
        <f t="shared" si="253"/>
        <v>20513876</v>
      </c>
      <c r="J677" s="391">
        <f t="shared" si="253"/>
        <v>5507041</v>
      </c>
      <c r="K677" s="391">
        <f t="shared" si="253"/>
        <v>10855465.76</v>
      </c>
      <c r="L677" s="391">
        <f t="shared" si="253"/>
        <v>0</v>
      </c>
      <c r="M677" s="391">
        <f t="shared" si="253"/>
        <v>16362506.76</v>
      </c>
      <c r="N677" s="391">
        <f t="shared" si="244"/>
        <v>0</v>
      </c>
      <c r="O677" s="391">
        <f t="shared" si="244"/>
        <v>3151369.24</v>
      </c>
      <c r="P677" s="391">
        <f t="shared" si="244"/>
        <v>1000000</v>
      </c>
      <c r="Q677" s="391">
        <f t="shared" si="245"/>
        <v>4151369.24</v>
      </c>
      <c r="R677" s="102"/>
      <c r="S677" s="254">
        <f t="shared" si="249"/>
        <v>1</v>
      </c>
      <c r="T677" s="254">
        <f t="shared" si="249"/>
        <v>0.77501203947929709</v>
      </c>
      <c r="U677" s="254">
        <f t="shared" si="249"/>
        <v>0</v>
      </c>
      <c r="V677" s="254">
        <f t="shared" si="249"/>
        <v>0.79763116243853671</v>
      </c>
      <c r="W677" s="531"/>
      <c r="Y677" s="272" t="s">
        <v>598</v>
      </c>
      <c r="Z677" s="256" t="s">
        <v>598</v>
      </c>
    </row>
    <row r="678" spans="1:26" ht="11.25" customHeight="1">
      <c r="A678" s="528" t="s">
        <v>624</v>
      </c>
      <c r="B678" s="1013" t="s">
        <v>168</v>
      </c>
      <c r="C678" s="728"/>
      <c r="D678" s="649" t="s">
        <v>288</v>
      </c>
      <c r="E678" s="729" t="s">
        <v>288</v>
      </c>
      <c r="F678" s="103">
        <f>SUM('[3]chd5-SAOB'!AG14)</f>
        <v>0</v>
      </c>
      <c r="G678" s="103">
        <f>SUM('[3]chd5-SAOB'!AG50)</f>
        <v>0</v>
      </c>
      <c r="H678" s="103">
        <f>SUM('[3]chd5-SAOB'!AG143)</f>
        <v>0</v>
      </c>
      <c r="I678" s="103">
        <f t="shared" si="238"/>
        <v>0</v>
      </c>
      <c r="J678" s="103">
        <f>SUM('[3]chd5-SAOB'!AG15)</f>
        <v>0</v>
      </c>
      <c r="K678" s="103">
        <f>SUM('[3]chd5-SAOB'!AG51)</f>
        <v>0</v>
      </c>
      <c r="L678" s="103">
        <f>SUM('[3]chd5-SAOB'!AG144)</f>
        <v>0</v>
      </c>
      <c r="M678" s="103">
        <f t="shared" si="239"/>
        <v>0</v>
      </c>
      <c r="N678" s="103">
        <f t="shared" si="244"/>
        <v>0</v>
      </c>
      <c r="O678" s="103">
        <f t="shared" si="244"/>
        <v>0</v>
      </c>
      <c r="P678" s="103">
        <f t="shared" si="244"/>
        <v>0</v>
      </c>
      <c r="Q678" s="103">
        <f t="shared" si="245"/>
        <v>0</v>
      </c>
      <c r="S678" s="730" t="str">
        <f t="shared" si="249"/>
        <v/>
      </c>
      <c r="T678" s="730" t="str">
        <f t="shared" si="249"/>
        <v/>
      </c>
      <c r="U678" s="730" t="str">
        <f t="shared" si="249"/>
        <v/>
      </c>
      <c r="V678" s="730" t="str">
        <f t="shared" si="249"/>
        <v/>
      </c>
      <c r="W678" s="531"/>
      <c r="X678" s="236"/>
      <c r="Y678" s="236" t="s">
        <v>598</v>
      </c>
      <c r="Z678" s="236"/>
    </row>
    <row r="679" spans="1:26" ht="11.25" customHeight="1">
      <c r="A679" s="528" t="s">
        <v>624</v>
      </c>
      <c r="B679" s="1013" t="s">
        <v>168</v>
      </c>
      <c r="C679" s="728"/>
      <c r="D679" s="649" t="s">
        <v>761</v>
      </c>
      <c r="E679" s="729" t="s">
        <v>761</v>
      </c>
      <c r="F679" s="104">
        <f>+'[3]chd5-SAOB'!C402</f>
        <v>2660000</v>
      </c>
      <c r="G679" s="104"/>
      <c r="H679" s="104"/>
      <c r="I679" s="103">
        <f>SUM(F679:H679)</f>
        <v>2660000</v>
      </c>
      <c r="J679" s="104">
        <f>+'[3]chd5-SAOB'!G402</f>
        <v>2660000</v>
      </c>
      <c r="K679" s="104"/>
      <c r="L679" s="104"/>
      <c r="M679" s="103">
        <f>SUM(J679:L679)</f>
        <v>2660000</v>
      </c>
      <c r="N679" s="103">
        <f>+F679-J679</f>
        <v>0</v>
      </c>
      <c r="O679" s="103">
        <f>+G679-K679</f>
        <v>0</v>
      </c>
      <c r="P679" s="103">
        <f>+H679-L679</f>
        <v>0</v>
      </c>
      <c r="Q679" s="103">
        <f>SUM(N679:P679)</f>
        <v>0</v>
      </c>
      <c r="S679" s="730">
        <f t="shared" si="249"/>
        <v>1</v>
      </c>
      <c r="T679" s="730" t="str">
        <f t="shared" si="249"/>
        <v/>
      </c>
      <c r="U679" s="730" t="str">
        <f t="shared" si="249"/>
        <v/>
      </c>
      <c r="V679" s="730">
        <f t="shared" si="249"/>
        <v>1</v>
      </c>
      <c r="W679" s="531"/>
      <c r="X679" s="236"/>
      <c r="Y679" s="236" t="s">
        <v>688</v>
      </c>
      <c r="Z679" s="236"/>
    </row>
    <row r="680" spans="1:26" ht="11.25" customHeight="1">
      <c r="A680" s="528" t="s">
        <v>624</v>
      </c>
      <c r="B680" s="1013" t="s">
        <v>168</v>
      </c>
      <c r="C680" s="410"/>
      <c r="D680" s="647"/>
      <c r="E680" s="461" t="s">
        <v>764</v>
      </c>
      <c r="F680" s="104"/>
      <c r="G680" s="104"/>
      <c r="H680" s="104"/>
      <c r="I680" s="103"/>
      <c r="J680" s="104"/>
      <c r="K680" s="104"/>
      <c r="L680" s="104"/>
      <c r="M680" s="103"/>
      <c r="N680" s="103"/>
      <c r="O680" s="103"/>
      <c r="P680" s="103"/>
      <c r="Q680" s="103"/>
      <c r="S680" s="730" t="str">
        <f t="shared" si="249"/>
        <v/>
      </c>
      <c r="T680" s="730" t="str">
        <f t="shared" si="249"/>
        <v/>
      </c>
      <c r="U680" s="730" t="str">
        <f t="shared" si="249"/>
        <v/>
      </c>
      <c r="V680" s="730" t="str">
        <f t="shared" si="249"/>
        <v/>
      </c>
      <c r="W680" s="531"/>
      <c r="X680" s="236"/>
      <c r="Y680" s="236" t="s">
        <v>688</v>
      </c>
      <c r="Z680" s="240"/>
    </row>
    <row r="681" spans="1:26" ht="11.25" customHeight="1">
      <c r="A681" s="528" t="s">
        <v>624</v>
      </c>
      <c r="B681" s="1013" t="s">
        <v>168</v>
      </c>
      <c r="C681" s="728"/>
      <c r="D681" s="649" t="s">
        <v>289</v>
      </c>
      <c r="E681" s="729" t="s">
        <v>289</v>
      </c>
      <c r="F681" s="103">
        <f>SUM('[3]chd5-SAOB'!AL14)</f>
        <v>2847041</v>
      </c>
      <c r="G681" s="103">
        <f>SUM('[3]chd5-SAOB'!AL50)</f>
        <v>0</v>
      </c>
      <c r="H681" s="103">
        <f>SUM('[3]chd5-SAOB'!AL143)</f>
        <v>0</v>
      </c>
      <c r="I681" s="103">
        <f t="shared" si="238"/>
        <v>2847041</v>
      </c>
      <c r="J681" s="103">
        <f>SUM('[3]chd5-SAOB'!AL15)</f>
        <v>2847041</v>
      </c>
      <c r="K681" s="103">
        <f>SUM('[3]chd5-SAOB'!AL51)</f>
        <v>0</v>
      </c>
      <c r="L681" s="103">
        <f>SUM('[3]chd5-SAOB'!AL144)</f>
        <v>0</v>
      </c>
      <c r="M681" s="103">
        <f t="shared" si="239"/>
        <v>2847041</v>
      </c>
      <c r="N681" s="103">
        <f t="shared" si="244"/>
        <v>0</v>
      </c>
      <c r="O681" s="103">
        <f t="shared" si="244"/>
        <v>0</v>
      </c>
      <c r="P681" s="103">
        <f t="shared" si="244"/>
        <v>0</v>
      </c>
      <c r="Q681" s="103">
        <f t="shared" si="245"/>
        <v>0</v>
      </c>
      <c r="S681" s="730">
        <f t="shared" si="249"/>
        <v>1</v>
      </c>
      <c r="T681" s="730" t="str">
        <f t="shared" si="249"/>
        <v/>
      </c>
      <c r="U681" s="730" t="str">
        <f t="shared" si="249"/>
        <v/>
      </c>
      <c r="V681" s="730">
        <f t="shared" si="249"/>
        <v>1</v>
      </c>
      <c r="W681" s="531"/>
      <c r="X681" s="236"/>
      <c r="Y681" s="236" t="s">
        <v>598</v>
      </c>
      <c r="Z681" s="236"/>
    </row>
    <row r="682" spans="1:26" ht="11.25" customHeight="1">
      <c r="A682" s="528" t="s">
        <v>624</v>
      </c>
      <c r="B682" s="1013" t="s">
        <v>168</v>
      </c>
      <c r="C682" s="728"/>
      <c r="D682" s="649" t="s">
        <v>290</v>
      </c>
      <c r="E682" s="729" t="s">
        <v>290</v>
      </c>
      <c r="F682" s="103">
        <f>SUM('[3]chd5-SAOB'!AQ14)</f>
        <v>0</v>
      </c>
      <c r="G682" s="103">
        <f>SUM('[3]chd5-SAOB'!AQ50)</f>
        <v>14006835</v>
      </c>
      <c r="H682" s="103">
        <f>SUM('[3]chd5-SAOB'!AQ143)</f>
        <v>1000000</v>
      </c>
      <c r="I682" s="103">
        <f t="shared" si="238"/>
        <v>15006835</v>
      </c>
      <c r="J682" s="103">
        <f>SUM('[3]chd5-SAOB'!AQ15)</f>
        <v>0</v>
      </c>
      <c r="K682" s="103">
        <f>SUM('[3]chd5-SAOB'!AQ51)</f>
        <v>10855465.76</v>
      </c>
      <c r="L682" s="103">
        <f>SUM('[3]chd5-SAOB'!AQ144)</f>
        <v>0</v>
      </c>
      <c r="M682" s="103">
        <f t="shared" si="239"/>
        <v>10855465.76</v>
      </c>
      <c r="N682" s="103">
        <f t="shared" si="244"/>
        <v>0</v>
      </c>
      <c r="O682" s="103">
        <f t="shared" si="244"/>
        <v>3151369.24</v>
      </c>
      <c r="P682" s="103">
        <f t="shared" si="244"/>
        <v>1000000</v>
      </c>
      <c r="Q682" s="103">
        <f t="shared" si="245"/>
        <v>4151369.24</v>
      </c>
      <c r="S682" s="730" t="str">
        <f t="shared" si="249"/>
        <v/>
      </c>
      <c r="T682" s="730">
        <f t="shared" si="249"/>
        <v>0.77501203947929709</v>
      </c>
      <c r="U682" s="730">
        <f t="shared" si="249"/>
        <v>0</v>
      </c>
      <c r="V682" s="730">
        <f t="shared" si="249"/>
        <v>0.72336810260124806</v>
      </c>
      <c r="W682" s="531"/>
      <c r="X682" s="236"/>
      <c r="Y682" s="236" t="s">
        <v>598</v>
      </c>
      <c r="Z682" s="236"/>
    </row>
    <row r="683" spans="1:26" s="259" customFormat="1" ht="11.25" customHeight="1">
      <c r="A683" s="246" t="s">
        <v>624</v>
      </c>
      <c r="B683" s="235" t="s">
        <v>168</v>
      </c>
      <c r="C683" s="656"/>
      <c r="D683" s="656"/>
      <c r="E683" s="657" t="s">
        <v>4</v>
      </c>
      <c r="F683" s="652">
        <f>+F673+F675+F677</f>
        <v>129960041</v>
      </c>
      <c r="G683" s="652">
        <f t="shared" ref="G683:M683" si="254">+G673+G675+G677</f>
        <v>86419813</v>
      </c>
      <c r="H683" s="652">
        <f t="shared" si="254"/>
        <v>21000000</v>
      </c>
      <c r="I683" s="652">
        <f t="shared" si="254"/>
        <v>237379854</v>
      </c>
      <c r="J683" s="652">
        <f t="shared" si="254"/>
        <v>120396273.90000002</v>
      </c>
      <c r="K683" s="652">
        <f t="shared" si="254"/>
        <v>59700492.119999997</v>
      </c>
      <c r="L683" s="652">
        <f t="shared" si="254"/>
        <v>19995795</v>
      </c>
      <c r="M683" s="652">
        <f t="shared" si="254"/>
        <v>200092561.02000001</v>
      </c>
      <c r="N683" s="652">
        <f t="shared" si="244"/>
        <v>9563767.0999999791</v>
      </c>
      <c r="O683" s="652">
        <f t="shared" si="244"/>
        <v>26719320.880000003</v>
      </c>
      <c r="P683" s="652">
        <f t="shared" si="244"/>
        <v>1004205</v>
      </c>
      <c r="Q683" s="652">
        <f t="shared" si="245"/>
        <v>37287292.979999982</v>
      </c>
      <c r="R683" s="653">
        <f>+Q683-'[3]chd5-SAOB'!BO180</f>
        <v>0</v>
      </c>
      <c r="S683" s="1008">
        <f t="shared" si="249"/>
        <v>0.92640994088329054</v>
      </c>
      <c r="T683" s="1008">
        <f t="shared" si="249"/>
        <v>0.6908195013104228</v>
      </c>
      <c r="U683" s="1008">
        <f t="shared" si="249"/>
        <v>0.95218071428571427</v>
      </c>
      <c r="V683" s="1008">
        <f t="shared" si="249"/>
        <v>0.84292140907627322</v>
      </c>
      <c r="W683" s="254"/>
      <c r="X683" s="520"/>
      <c r="Y683" s="610" t="s">
        <v>598</v>
      </c>
      <c r="Z683" s="241" t="s">
        <v>598</v>
      </c>
    </row>
    <row r="684" spans="1:26" ht="11.25" customHeight="1">
      <c r="A684" s="246" t="s">
        <v>624</v>
      </c>
      <c r="B684" s="235" t="s">
        <v>168</v>
      </c>
      <c r="C684" s="410"/>
      <c r="D684" s="386"/>
      <c r="E684" s="461" t="s">
        <v>764</v>
      </c>
      <c r="F684" s="103"/>
      <c r="G684" s="103"/>
      <c r="H684" s="103"/>
      <c r="I684" s="103">
        <f t="shared" si="238"/>
        <v>0</v>
      </c>
      <c r="J684" s="103"/>
      <c r="K684" s="103"/>
      <c r="L684" s="103"/>
      <c r="M684" s="103">
        <f t="shared" si="239"/>
        <v>0</v>
      </c>
      <c r="N684" s="103">
        <f t="shared" si="244"/>
        <v>0</v>
      </c>
      <c r="O684" s="103">
        <f t="shared" si="244"/>
        <v>0</v>
      </c>
      <c r="P684" s="103">
        <f t="shared" si="244"/>
        <v>0</v>
      </c>
      <c r="Q684" s="103">
        <f t="shared" si="245"/>
        <v>0</v>
      </c>
      <c r="S684" s="730" t="str">
        <f t="shared" si="249"/>
        <v/>
      </c>
      <c r="T684" s="730" t="str">
        <f t="shared" si="249"/>
        <v/>
      </c>
      <c r="U684" s="730" t="str">
        <f t="shared" si="249"/>
        <v/>
      </c>
      <c r="V684" s="730" t="str">
        <f t="shared" si="249"/>
        <v/>
      </c>
      <c r="W684" s="254"/>
      <c r="Y684" s="610" t="s">
        <v>598</v>
      </c>
      <c r="Z684" s="241" t="s">
        <v>598</v>
      </c>
    </row>
    <row r="685" spans="1:26" s="675" customFormat="1" ht="11.25" customHeight="1">
      <c r="A685" s="528" t="s">
        <v>624</v>
      </c>
      <c r="B685" s="528" t="s">
        <v>169</v>
      </c>
      <c r="C685" s="407" t="s">
        <v>98</v>
      </c>
      <c r="D685" s="655" t="s">
        <v>109</v>
      </c>
      <c r="E685" s="408" t="s">
        <v>811</v>
      </c>
      <c r="F685" s="673"/>
      <c r="G685" s="673"/>
      <c r="H685" s="673"/>
      <c r="I685" s="674">
        <f t="shared" si="238"/>
        <v>0</v>
      </c>
      <c r="J685" s="673"/>
      <c r="K685" s="673"/>
      <c r="L685" s="673"/>
      <c r="M685" s="674">
        <f t="shared" si="239"/>
        <v>0</v>
      </c>
      <c r="N685" s="674">
        <f t="shared" si="244"/>
        <v>0</v>
      </c>
      <c r="O685" s="674">
        <f t="shared" si="244"/>
        <v>0</v>
      </c>
      <c r="P685" s="674">
        <f t="shared" si="244"/>
        <v>0</v>
      </c>
      <c r="Q685" s="674">
        <f t="shared" si="245"/>
        <v>0</v>
      </c>
      <c r="R685" s="101"/>
      <c r="S685" s="254" t="str">
        <f t="shared" si="249"/>
        <v/>
      </c>
      <c r="T685" s="254" t="str">
        <f t="shared" si="249"/>
        <v/>
      </c>
      <c r="U685" s="254" t="str">
        <f t="shared" si="249"/>
        <v/>
      </c>
      <c r="V685" s="254" t="str">
        <f t="shared" si="249"/>
        <v/>
      </c>
      <c r="W685" s="531"/>
      <c r="Y685" s="272" t="s">
        <v>598</v>
      </c>
      <c r="Z685" s="260" t="s">
        <v>598</v>
      </c>
    </row>
    <row r="686" spans="1:26" ht="11.25" customHeight="1">
      <c r="A686" s="528" t="s">
        <v>624</v>
      </c>
      <c r="B686" s="1013" t="s">
        <v>169</v>
      </c>
      <c r="C686" s="461"/>
      <c r="D686" s="645" t="s">
        <v>766</v>
      </c>
      <c r="E686" s="447" t="s">
        <v>766</v>
      </c>
      <c r="F686" s="104">
        <f>+'[3]chd5-SAOB'!C407</f>
        <v>23085000</v>
      </c>
      <c r="G686" s="104">
        <f>+'[3]chd5-SAOB'!D407</f>
        <v>12547000</v>
      </c>
      <c r="H686" s="104">
        <f>+'[3]chd5-SAOB'!E407</f>
        <v>0</v>
      </c>
      <c r="I686" s="103">
        <f t="shared" si="238"/>
        <v>35632000</v>
      </c>
      <c r="J686" s="104">
        <f>+'[3]chd5-SAOB'!G407</f>
        <v>20948260.780000001</v>
      </c>
      <c r="K686" s="104">
        <f>+'[3]chd5-SAOB'!H407</f>
        <v>10712171.359999999</v>
      </c>
      <c r="L686" s="104">
        <f>+'[3]chd5-SAOB'!I407</f>
        <v>0</v>
      </c>
      <c r="M686" s="103">
        <f t="shared" si="239"/>
        <v>31660432.140000001</v>
      </c>
      <c r="N686" s="103">
        <f t="shared" si="244"/>
        <v>2136739.2199999988</v>
      </c>
      <c r="O686" s="103">
        <f t="shared" si="244"/>
        <v>1834828.6400000006</v>
      </c>
      <c r="P686" s="103">
        <f t="shared" si="244"/>
        <v>0</v>
      </c>
      <c r="Q686" s="103">
        <f t="shared" si="245"/>
        <v>3971567.8599999994</v>
      </c>
      <c r="S686" s="730">
        <f t="shared" si="249"/>
        <v>0.90744036300628117</v>
      </c>
      <c r="T686" s="730">
        <f t="shared" si="249"/>
        <v>0.85376355782258706</v>
      </c>
      <c r="U686" s="730" t="str">
        <f t="shared" si="249"/>
        <v/>
      </c>
      <c r="V686" s="730">
        <f t="shared" si="249"/>
        <v>0.88853929445442303</v>
      </c>
      <c r="W686" s="531"/>
      <c r="X686" s="236"/>
      <c r="Y686" s="236" t="s">
        <v>688</v>
      </c>
      <c r="Z686" s="236"/>
    </row>
    <row r="687" spans="1:26" ht="11.25" customHeight="1">
      <c r="A687" s="528" t="s">
        <v>624</v>
      </c>
      <c r="B687" s="1013" t="s">
        <v>169</v>
      </c>
      <c r="C687" s="728"/>
      <c r="D687" s="649" t="s">
        <v>50</v>
      </c>
      <c r="E687" s="447" t="s">
        <v>50</v>
      </c>
      <c r="F687" s="104"/>
      <c r="G687" s="104">
        <f>+'[3]chd5-SAOB'!D409</f>
        <v>6258300</v>
      </c>
      <c r="H687" s="104">
        <f>+'[3]chd5-SAOB'!E409</f>
        <v>5000000</v>
      </c>
      <c r="I687" s="103">
        <f>SUM(F687:H687)</f>
        <v>11258300</v>
      </c>
      <c r="J687" s="104"/>
      <c r="K687" s="104">
        <f>+'[3]chd5-SAOB'!H409</f>
        <v>3225480.5900000003</v>
      </c>
      <c r="L687" s="104">
        <f>+'[3]chd5-SAOB'!I409</f>
        <v>4890785.22</v>
      </c>
      <c r="M687" s="103">
        <f>SUM(J687:L687)</f>
        <v>8116265.8100000005</v>
      </c>
      <c r="N687" s="103">
        <f t="shared" si="244"/>
        <v>0</v>
      </c>
      <c r="O687" s="103">
        <f t="shared" si="244"/>
        <v>3032819.4099999997</v>
      </c>
      <c r="P687" s="103">
        <f t="shared" si="244"/>
        <v>109214.78000000026</v>
      </c>
      <c r="Q687" s="103">
        <f t="shared" si="245"/>
        <v>3142034.19</v>
      </c>
      <c r="S687" s="730" t="str">
        <f t="shared" si="249"/>
        <v/>
      </c>
      <c r="T687" s="730">
        <f t="shared" si="249"/>
        <v>0.51539245322212113</v>
      </c>
      <c r="U687" s="730">
        <f t="shared" si="249"/>
        <v>0.97815704399999992</v>
      </c>
      <c r="V687" s="730">
        <f t="shared" si="249"/>
        <v>0.72091397546698888</v>
      </c>
      <c r="W687" s="531"/>
      <c r="X687" s="236"/>
      <c r="Y687" s="236" t="s">
        <v>688</v>
      </c>
      <c r="Z687" s="236"/>
    </row>
    <row r="688" spans="1:26" s="256" customFormat="1" ht="11.25" customHeight="1">
      <c r="A688" s="528" t="s">
        <v>624</v>
      </c>
      <c r="B688" s="528" t="s">
        <v>169</v>
      </c>
      <c r="C688" s="389"/>
      <c r="D688" s="650" t="s">
        <v>98</v>
      </c>
      <c r="E688" s="390" t="s">
        <v>767</v>
      </c>
      <c r="F688" s="391">
        <f>+F686+F687</f>
        <v>23085000</v>
      </c>
      <c r="G688" s="391">
        <f t="shared" ref="G688:M688" si="255">+G686+G687</f>
        <v>18805300</v>
      </c>
      <c r="H688" s="391">
        <f t="shared" si="255"/>
        <v>5000000</v>
      </c>
      <c r="I688" s="391">
        <f t="shared" si="255"/>
        <v>46890300</v>
      </c>
      <c r="J688" s="391">
        <f t="shared" si="255"/>
        <v>20948260.780000001</v>
      </c>
      <c r="K688" s="391">
        <f t="shared" si="255"/>
        <v>13937651.949999999</v>
      </c>
      <c r="L688" s="391">
        <f t="shared" si="255"/>
        <v>4890785.22</v>
      </c>
      <c r="M688" s="391">
        <f t="shared" si="255"/>
        <v>39776697.950000003</v>
      </c>
      <c r="N688" s="391">
        <f t="shared" si="244"/>
        <v>2136739.2199999988</v>
      </c>
      <c r="O688" s="391">
        <f t="shared" si="244"/>
        <v>4867648.0500000007</v>
      </c>
      <c r="P688" s="391">
        <f t="shared" si="244"/>
        <v>109214.78000000026</v>
      </c>
      <c r="Q688" s="391">
        <f t="shared" si="245"/>
        <v>7113602.0499999998</v>
      </c>
      <c r="R688" s="101"/>
      <c r="S688" s="254">
        <f t="shared" si="249"/>
        <v>0.90744036300628117</v>
      </c>
      <c r="T688" s="254">
        <f t="shared" si="249"/>
        <v>0.74115552264521167</v>
      </c>
      <c r="U688" s="254">
        <f t="shared" si="249"/>
        <v>0.97815704399999992</v>
      </c>
      <c r="V688" s="254">
        <f t="shared" si="249"/>
        <v>0.84829267353802396</v>
      </c>
      <c r="W688" s="531"/>
      <c r="Y688" s="256" t="s">
        <v>598</v>
      </c>
      <c r="Z688" s="256" t="s">
        <v>598</v>
      </c>
    </row>
    <row r="689" spans="1:26" ht="11.25" hidden="1" customHeight="1">
      <c r="A689" s="528" t="s">
        <v>624</v>
      </c>
      <c r="B689" s="1013" t="s">
        <v>169</v>
      </c>
      <c r="C689" s="410"/>
      <c r="D689" s="651"/>
      <c r="E689" s="806" t="s">
        <v>764</v>
      </c>
      <c r="F689" s="807"/>
      <c r="G689" s="807"/>
      <c r="H689" s="807"/>
      <c r="I689" s="807"/>
      <c r="J689" s="807"/>
      <c r="K689" s="807"/>
      <c r="L689" s="807"/>
      <c r="M689" s="807"/>
      <c r="N689" s="807">
        <f t="shared" si="244"/>
        <v>0</v>
      </c>
      <c r="O689" s="807">
        <f t="shared" si="244"/>
        <v>0</v>
      </c>
      <c r="P689" s="807">
        <f t="shared" si="244"/>
        <v>0</v>
      </c>
      <c r="Q689" s="807">
        <f t="shared" si="245"/>
        <v>0</v>
      </c>
      <c r="R689" s="276"/>
      <c r="S689" s="730" t="str">
        <f t="shared" si="249"/>
        <v/>
      </c>
      <c r="T689" s="730" t="str">
        <f t="shared" si="249"/>
        <v/>
      </c>
      <c r="U689" s="730" t="str">
        <f t="shared" si="249"/>
        <v/>
      </c>
      <c r="V689" s="730" t="str">
        <f t="shared" si="249"/>
        <v/>
      </c>
      <c r="W689" s="531"/>
      <c r="X689" s="236"/>
      <c r="Y689" s="236"/>
      <c r="Z689" s="236"/>
    </row>
    <row r="690" spans="1:26" s="256" customFormat="1" ht="11.25" customHeight="1">
      <c r="A690" s="528" t="s">
        <v>624</v>
      </c>
      <c r="B690" s="528" t="s">
        <v>169</v>
      </c>
      <c r="C690" s="389"/>
      <c r="D690" s="650" t="s">
        <v>98</v>
      </c>
      <c r="E690" s="390" t="s">
        <v>99</v>
      </c>
      <c r="F690" s="391">
        <f>+F691</f>
        <v>2001000</v>
      </c>
      <c r="G690" s="391">
        <f t="shared" ref="G690:M690" si="256">+G691</f>
        <v>0</v>
      </c>
      <c r="H690" s="391">
        <f t="shared" si="256"/>
        <v>0</v>
      </c>
      <c r="I690" s="391">
        <f t="shared" si="256"/>
        <v>2001000</v>
      </c>
      <c r="J690" s="391">
        <f t="shared" si="256"/>
        <v>1771141.9000000001</v>
      </c>
      <c r="K690" s="391">
        <f t="shared" si="256"/>
        <v>0</v>
      </c>
      <c r="L690" s="391">
        <f t="shared" si="256"/>
        <v>0</v>
      </c>
      <c r="M690" s="391">
        <f t="shared" si="256"/>
        <v>1771141.9000000001</v>
      </c>
      <c r="N690" s="391">
        <f t="shared" si="244"/>
        <v>229858.09999999986</v>
      </c>
      <c r="O690" s="391">
        <f t="shared" si="244"/>
        <v>0</v>
      </c>
      <c r="P690" s="391">
        <f t="shared" si="244"/>
        <v>0</v>
      </c>
      <c r="Q690" s="391">
        <f t="shared" si="245"/>
        <v>229858.09999999986</v>
      </c>
      <c r="R690" s="101"/>
      <c r="S690" s="254">
        <f t="shared" si="249"/>
        <v>0.88512838580709652</v>
      </c>
      <c r="T690" s="254" t="str">
        <f t="shared" si="249"/>
        <v/>
      </c>
      <c r="U690" s="254" t="str">
        <f t="shared" si="249"/>
        <v/>
      </c>
      <c r="V690" s="254">
        <f t="shared" si="249"/>
        <v>0.88512838580709652</v>
      </c>
      <c r="W690" s="531"/>
      <c r="Y690" s="256" t="s">
        <v>598</v>
      </c>
      <c r="Z690" s="256" t="s">
        <v>598</v>
      </c>
    </row>
    <row r="691" spans="1:26" ht="11.25" customHeight="1">
      <c r="A691" s="528" t="s">
        <v>624</v>
      </c>
      <c r="B691" s="1013" t="s">
        <v>169</v>
      </c>
      <c r="C691" s="728"/>
      <c r="D691" s="649" t="s">
        <v>286</v>
      </c>
      <c r="E691" s="729" t="s">
        <v>286</v>
      </c>
      <c r="F691" s="103">
        <f>SUM('[3]chd5-SAOB'!AC14)</f>
        <v>2001000</v>
      </c>
      <c r="G691" s="103">
        <f>SUM('[3]chd5-SAOB'!AC50)</f>
        <v>0</v>
      </c>
      <c r="H691" s="103">
        <f>SUM('[3]chd5-SAOB'!AC143)</f>
        <v>0</v>
      </c>
      <c r="I691" s="103">
        <f t="shared" si="238"/>
        <v>2001000</v>
      </c>
      <c r="J691" s="103">
        <f>SUM('[3]chd5-SAOB'!AC15)</f>
        <v>1771141.9000000001</v>
      </c>
      <c r="K691" s="103">
        <f>SUM('[3]chd5-SAOB'!AC51)</f>
        <v>0</v>
      </c>
      <c r="L691" s="103">
        <f>SUM('[3]chd5-SAOB'!AC144)</f>
        <v>0</v>
      </c>
      <c r="M691" s="103">
        <f t="shared" si="239"/>
        <v>1771141.9000000001</v>
      </c>
      <c r="N691" s="103">
        <f t="shared" si="244"/>
        <v>229858.09999999986</v>
      </c>
      <c r="O691" s="103">
        <f t="shared" si="244"/>
        <v>0</v>
      </c>
      <c r="P691" s="103">
        <f t="shared" si="244"/>
        <v>0</v>
      </c>
      <c r="Q691" s="103">
        <f t="shared" si="245"/>
        <v>229858.09999999986</v>
      </c>
      <c r="S691" s="730">
        <f t="shared" si="249"/>
        <v>0.88512838580709652</v>
      </c>
      <c r="T691" s="730" t="str">
        <f t="shared" si="249"/>
        <v/>
      </c>
      <c r="U691" s="730" t="str">
        <f t="shared" si="249"/>
        <v/>
      </c>
      <c r="V691" s="730">
        <f t="shared" si="249"/>
        <v>0.88512838580709652</v>
      </c>
      <c r="W691" s="531"/>
      <c r="X691" s="236"/>
      <c r="Y691" s="236" t="s">
        <v>598</v>
      </c>
      <c r="Z691" s="236"/>
    </row>
    <row r="692" spans="1:26" s="272" customFormat="1" ht="11.25" customHeight="1">
      <c r="A692" s="528" t="s">
        <v>624</v>
      </c>
      <c r="B692" s="528" t="s">
        <v>169</v>
      </c>
      <c r="C692" s="389"/>
      <c r="D692" s="650" t="s">
        <v>98</v>
      </c>
      <c r="E692" s="390" t="s">
        <v>100</v>
      </c>
      <c r="F692" s="391">
        <f t="shared" ref="F692:M692" si="257">SUM(F693:F697)</f>
        <v>1305011</v>
      </c>
      <c r="G692" s="391">
        <f t="shared" si="257"/>
        <v>1400000</v>
      </c>
      <c r="H692" s="391">
        <f t="shared" si="257"/>
        <v>0</v>
      </c>
      <c r="I692" s="391">
        <f t="shared" si="257"/>
        <v>2705011</v>
      </c>
      <c r="J692" s="391">
        <f t="shared" si="257"/>
        <v>1305010.68</v>
      </c>
      <c r="K692" s="391">
        <f t="shared" si="257"/>
        <v>1079135.08</v>
      </c>
      <c r="L692" s="391">
        <f t="shared" si="257"/>
        <v>0</v>
      </c>
      <c r="M692" s="391">
        <f t="shared" si="257"/>
        <v>2384145.7599999998</v>
      </c>
      <c r="N692" s="391">
        <f t="shared" si="244"/>
        <v>0.32000000006519258</v>
      </c>
      <c r="O692" s="391">
        <f t="shared" si="244"/>
        <v>320864.91999999993</v>
      </c>
      <c r="P692" s="391">
        <f t="shared" si="244"/>
        <v>0</v>
      </c>
      <c r="Q692" s="391">
        <f t="shared" si="245"/>
        <v>320865.24</v>
      </c>
      <c r="R692" s="102"/>
      <c r="S692" s="254">
        <f t="shared" si="249"/>
        <v>0.99999975479133885</v>
      </c>
      <c r="T692" s="254">
        <f t="shared" si="249"/>
        <v>0.77081077142857146</v>
      </c>
      <c r="U692" s="254" t="str">
        <f t="shared" si="249"/>
        <v/>
      </c>
      <c r="V692" s="254">
        <f t="shared" si="249"/>
        <v>0.8813811699841515</v>
      </c>
      <c r="W692" s="531"/>
      <c r="Y692" s="272" t="s">
        <v>598</v>
      </c>
      <c r="Z692" s="256" t="s">
        <v>598</v>
      </c>
    </row>
    <row r="693" spans="1:26" ht="11.25" customHeight="1">
      <c r="A693" s="528" t="s">
        <v>624</v>
      </c>
      <c r="B693" s="1013" t="s">
        <v>169</v>
      </c>
      <c r="C693" s="728"/>
      <c r="D693" s="649" t="s">
        <v>288</v>
      </c>
      <c r="E693" s="729" t="s">
        <v>288</v>
      </c>
      <c r="F693" s="103">
        <f>SUM('[3]chd5-SAOB'!AH14)</f>
        <v>0</v>
      </c>
      <c r="G693" s="103">
        <f>SUM('[3]chd5-SAOB'!AH50)</f>
        <v>0</v>
      </c>
      <c r="H693" s="103">
        <f>SUM('[3]chd5-SAOB'!AH143)</f>
        <v>0</v>
      </c>
      <c r="I693" s="103">
        <f t="shared" si="238"/>
        <v>0</v>
      </c>
      <c r="J693" s="103">
        <f>SUM('[3]chd5-SAOB'!AH15)</f>
        <v>0</v>
      </c>
      <c r="K693" s="103">
        <f>SUM('[3]chd5-SAOB'!AH51)</f>
        <v>0</v>
      </c>
      <c r="L693" s="103">
        <f>SUM('[3]chd5-SAOB'!AH144)</f>
        <v>0</v>
      </c>
      <c r="M693" s="103">
        <f t="shared" si="239"/>
        <v>0</v>
      </c>
      <c r="N693" s="103">
        <f t="shared" si="244"/>
        <v>0</v>
      </c>
      <c r="O693" s="103">
        <f t="shared" si="244"/>
        <v>0</v>
      </c>
      <c r="P693" s="103">
        <f t="shared" si="244"/>
        <v>0</v>
      </c>
      <c r="Q693" s="103">
        <f t="shared" si="245"/>
        <v>0</v>
      </c>
      <c r="S693" s="730" t="str">
        <f t="shared" si="249"/>
        <v/>
      </c>
      <c r="T693" s="730" t="str">
        <f t="shared" si="249"/>
        <v/>
      </c>
      <c r="U693" s="730" t="str">
        <f t="shared" si="249"/>
        <v/>
      </c>
      <c r="V693" s="730" t="str">
        <f t="shared" si="249"/>
        <v/>
      </c>
      <c r="W693" s="531"/>
      <c r="X693" s="236"/>
      <c r="Y693" s="236" t="s">
        <v>598</v>
      </c>
      <c r="Z693" s="236"/>
    </row>
    <row r="694" spans="1:26" ht="11.25" customHeight="1">
      <c r="A694" s="528" t="s">
        <v>624</v>
      </c>
      <c r="B694" s="1013" t="s">
        <v>169</v>
      </c>
      <c r="C694" s="728"/>
      <c r="D694" s="649" t="s">
        <v>761</v>
      </c>
      <c r="E694" s="729" t="s">
        <v>761</v>
      </c>
      <c r="F694" s="104">
        <f>+'[3]chd5-SAOB'!C409</f>
        <v>827000</v>
      </c>
      <c r="G694" s="104"/>
      <c r="H694" s="104"/>
      <c r="I694" s="103">
        <f>SUM(F694:H694)</f>
        <v>827000</v>
      </c>
      <c r="J694" s="104">
        <f>+'[3]chd5-SAOB'!G409</f>
        <v>827000</v>
      </c>
      <c r="K694" s="104"/>
      <c r="L694" s="104"/>
      <c r="M694" s="103">
        <f t="shared" si="239"/>
        <v>827000</v>
      </c>
      <c r="N694" s="103">
        <f t="shared" si="244"/>
        <v>0</v>
      </c>
      <c r="O694" s="103">
        <f t="shared" si="244"/>
        <v>0</v>
      </c>
      <c r="P694" s="103">
        <f t="shared" si="244"/>
        <v>0</v>
      </c>
      <c r="Q694" s="103">
        <f>SUM(N694:P694)</f>
        <v>0</v>
      </c>
      <c r="S694" s="730">
        <f t="shared" si="249"/>
        <v>1</v>
      </c>
      <c r="T694" s="730" t="str">
        <f t="shared" si="249"/>
        <v/>
      </c>
      <c r="U694" s="730" t="str">
        <f t="shared" si="249"/>
        <v/>
      </c>
      <c r="V694" s="730">
        <f t="shared" si="249"/>
        <v>1</v>
      </c>
      <c r="W694" s="531"/>
      <c r="X694" s="236"/>
      <c r="Y694" s="236" t="s">
        <v>688</v>
      </c>
      <c r="Z694" s="236"/>
    </row>
    <row r="695" spans="1:26" ht="11.25" customHeight="1">
      <c r="A695" s="528" t="s">
        <v>624</v>
      </c>
      <c r="B695" s="1013" t="s">
        <v>169</v>
      </c>
      <c r="C695" s="410"/>
      <c r="D695" s="647"/>
      <c r="E695" s="461" t="s">
        <v>764</v>
      </c>
      <c r="F695" s="104"/>
      <c r="G695" s="104"/>
      <c r="H695" s="104"/>
      <c r="I695" s="103"/>
      <c r="J695" s="104"/>
      <c r="K695" s="104"/>
      <c r="L695" s="104"/>
      <c r="M695" s="103"/>
      <c r="N695" s="103"/>
      <c r="O695" s="103"/>
      <c r="P695" s="103"/>
      <c r="Q695" s="103"/>
      <c r="S695" s="730" t="str">
        <f t="shared" si="249"/>
        <v/>
      </c>
      <c r="T695" s="730" t="str">
        <f t="shared" si="249"/>
        <v/>
      </c>
      <c r="U695" s="730" t="str">
        <f t="shared" si="249"/>
        <v/>
      </c>
      <c r="V695" s="730" t="str">
        <f t="shared" si="249"/>
        <v/>
      </c>
      <c r="W695" s="531"/>
      <c r="X695" s="236"/>
      <c r="Y695" s="236" t="s">
        <v>688</v>
      </c>
      <c r="Z695" s="240"/>
    </row>
    <row r="696" spans="1:26" ht="11.25" customHeight="1">
      <c r="A696" s="528" t="s">
        <v>624</v>
      </c>
      <c r="B696" s="1013" t="s">
        <v>169</v>
      </c>
      <c r="C696" s="728"/>
      <c r="D696" s="649" t="s">
        <v>289</v>
      </c>
      <c r="E696" s="729" t="s">
        <v>289</v>
      </c>
      <c r="F696" s="103">
        <f>SUM('[3]chd5-SAOB'!AM14)</f>
        <v>478011</v>
      </c>
      <c r="G696" s="103">
        <f>SUM('[3]chd5-SAOB'!AM50)</f>
        <v>0</v>
      </c>
      <c r="H696" s="103">
        <f>SUM('[3]chd5-SAOB'!AM143)</f>
        <v>0</v>
      </c>
      <c r="I696" s="103">
        <f t="shared" si="238"/>
        <v>478011</v>
      </c>
      <c r="J696" s="103">
        <f>SUM('[3]chd5-SAOB'!AM15)</f>
        <v>478010.68</v>
      </c>
      <c r="K696" s="103">
        <f>SUM('[3]chd5-SAOB'!AM51)</f>
        <v>0</v>
      </c>
      <c r="L696" s="103">
        <f>SUM('[3]chd5-SAOB'!AM144)</f>
        <v>0</v>
      </c>
      <c r="M696" s="103">
        <f t="shared" si="239"/>
        <v>478010.68</v>
      </c>
      <c r="N696" s="103">
        <f t="shared" si="244"/>
        <v>0.32000000000698492</v>
      </c>
      <c r="O696" s="103">
        <f t="shared" si="244"/>
        <v>0</v>
      </c>
      <c r="P696" s="103">
        <f t="shared" si="244"/>
        <v>0</v>
      </c>
      <c r="Q696" s="103">
        <f t="shared" si="245"/>
        <v>0.32000000000698492</v>
      </c>
      <c r="S696" s="730">
        <f t="shared" si="249"/>
        <v>0.99999933055933854</v>
      </c>
      <c r="T696" s="730" t="str">
        <f t="shared" si="249"/>
        <v/>
      </c>
      <c r="U696" s="730" t="str">
        <f t="shared" si="249"/>
        <v/>
      </c>
      <c r="V696" s="730">
        <f t="shared" si="249"/>
        <v>0.99999933055933854</v>
      </c>
      <c r="W696" s="531"/>
      <c r="X696" s="236"/>
      <c r="Y696" s="236" t="s">
        <v>598</v>
      </c>
      <c r="Z696" s="236"/>
    </row>
    <row r="697" spans="1:26" ht="11.25" customHeight="1">
      <c r="A697" s="528" t="s">
        <v>624</v>
      </c>
      <c r="B697" s="1013" t="s">
        <v>169</v>
      </c>
      <c r="C697" s="728"/>
      <c r="D697" s="649" t="s">
        <v>290</v>
      </c>
      <c r="E697" s="729" t="s">
        <v>290</v>
      </c>
      <c r="F697" s="103">
        <f>SUM('[3]chd5-SAOB'!AR14)</f>
        <v>0</v>
      </c>
      <c r="G697" s="103">
        <f>SUM('[3]chd5-SAOB'!AR50)</f>
        <v>1400000</v>
      </c>
      <c r="H697" s="103">
        <f>SUM('[3]chd5-SAOB'!AR143)</f>
        <v>0</v>
      </c>
      <c r="I697" s="103">
        <f t="shared" si="238"/>
        <v>1400000</v>
      </c>
      <c r="J697" s="103">
        <f>SUM('[3]chd5-SAOB'!AR15)</f>
        <v>0</v>
      </c>
      <c r="K697" s="103">
        <f>SUM('[3]chd5-SAOB'!AR51)</f>
        <v>1079135.08</v>
      </c>
      <c r="L697" s="103">
        <f>SUM('[3]chd5-SAOB'!AR144)</f>
        <v>0</v>
      </c>
      <c r="M697" s="103">
        <f t="shared" si="239"/>
        <v>1079135.08</v>
      </c>
      <c r="N697" s="103">
        <f t="shared" si="244"/>
        <v>0</v>
      </c>
      <c r="O697" s="103">
        <f t="shared" si="244"/>
        <v>320864.91999999993</v>
      </c>
      <c r="P697" s="103">
        <f t="shared" si="244"/>
        <v>0</v>
      </c>
      <c r="Q697" s="103">
        <f t="shared" si="245"/>
        <v>320864.91999999993</v>
      </c>
      <c r="S697" s="730" t="str">
        <f t="shared" si="249"/>
        <v/>
      </c>
      <c r="T697" s="730">
        <f t="shared" si="249"/>
        <v>0.77081077142857146</v>
      </c>
      <c r="U697" s="730" t="str">
        <f t="shared" si="249"/>
        <v/>
      </c>
      <c r="V697" s="730">
        <f t="shared" si="249"/>
        <v>0.77081077142857146</v>
      </c>
      <c r="W697" s="531"/>
      <c r="X697" s="236"/>
      <c r="Y697" s="236" t="s">
        <v>598</v>
      </c>
      <c r="Z697" s="236"/>
    </row>
    <row r="698" spans="1:26" s="259" customFormat="1" ht="11.25" customHeight="1">
      <c r="A698" s="246" t="s">
        <v>624</v>
      </c>
      <c r="B698" s="235" t="s">
        <v>169</v>
      </c>
      <c r="C698" s="656"/>
      <c r="D698" s="656"/>
      <c r="E698" s="657" t="s">
        <v>4</v>
      </c>
      <c r="F698" s="652">
        <f>+F688+F690+F692</f>
        <v>26391011</v>
      </c>
      <c r="G698" s="652">
        <f t="shared" ref="G698:M698" si="258">+G688+G690+G692</f>
        <v>20205300</v>
      </c>
      <c r="H698" s="652">
        <f t="shared" si="258"/>
        <v>5000000</v>
      </c>
      <c r="I698" s="652">
        <f t="shared" si="258"/>
        <v>51596311</v>
      </c>
      <c r="J698" s="652">
        <f t="shared" si="258"/>
        <v>24024413.359999999</v>
      </c>
      <c r="K698" s="652">
        <f t="shared" si="258"/>
        <v>15016787.029999999</v>
      </c>
      <c r="L698" s="652">
        <f t="shared" si="258"/>
        <v>4890785.22</v>
      </c>
      <c r="M698" s="652">
        <f t="shared" si="258"/>
        <v>43931985.609999999</v>
      </c>
      <c r="N698" s="652">
        <f t="shared" si="244"/>
        <v>2366597.6400000006</v>
      </c>
      <c r="O698" s="652">
        <f t="shared" si="244"/>
        <v>5188512.9700000007</v>
      </c>
      <c r="P698" s="652">
        <f t="shared" si="244"/>
        <v>109214.78000000026</v>
      </c>
      <c r="Q698" s="652">
        <f t="shared" si="245"/>
        <v>7664325.3900000015</v>
      </c>
      <c r="R698" s="653">
        <f>+Q698-'[3]chd5-SAOB'!BP180</f>
        <v>0</v>
      </c>
      <c r="S698" s="1008">
        <f t="shared" si="249"/>
        <v>0.91032561655178723</v>
      </c>
      <c r="T698" s="1008">
        <f t="shared" si="249"/>
        <v>0.74321029779315329</v>
      </c>
      <c r="U698" s="1008">
        <f t="shared" si="249"/>
        <v>0.97815704399999992</v>
      </c>
      <c r="V698" s="1008">
        <f t="shared" si="249"/>
        <v>0.85145594246069256</v>
      </c>
      <c r="W698" s="254"/>
      <c r="X698" s="520"/>
      <c r="Y698" s="610" t="s">
        <v>598</v>
      </c>
      <c r="Z698" s="241" t="s">
        <v>598</v>
      </c>
    </row>
    <row r="699" spans="1:26" s="660" customFormat="1" ht="17.25" hidden="1" customHeight="1">
      <c r="A699" s="246" t="s">
        <v>624</v>
      </c>
      <c r="B699" s="1009" t="s">
        <v>625</v>
      </c>
      <c r="C699" s="1428" t="s">
        <v>623</v>
      </c>
      <c r="D699" s="1429"/>
      <c r="E699" s="1430"/>
      <c r="F699" s="659">
        <f>+F668+F683+F698</f>
        <v>376967186</v>
      </c>
      <c r="G699" s="659">
        <f>+G668+G683+G698</f>
        <v>242122590</v>
      </c>
      <c r="H699" s="659">
        <f>+H668+H683+H698</f>
        <v>226000000</v>
      </c>
      <c r="I699" s="659">
        <f t="shared" si="238"/>
        <v>845089776</v>
      </c>
      <c r="J699" s="659">
        <f>+J668+J683+J698</f>
        <v>350130587.13</v>
      </c>
      <c r="K699" s="659">
        <f>+K668+K683+K698</f>
        <v>188247736.16</v>
      </c>
      <c r="L699" s="659">
        <f>+L668+L683+L698</f>
        <v>216295745.41999999</v>
      </c>
      <c r="M699" s="659">
        <f t="shared" si="239"/>
        <v>754674068.70999992</v>
      </c>
      <c r="N699" s="659">
        <f t="shared" si="244"/>
        <v>26836598.870000005</v>
      </c>
      <c r="O699" s="659">
        <f t="shared" si="244"/>
        <v>53874853.840000004</v>
      </c>
      <c r="P699" s="659">
        <f t="shared" si="244"/>
        <v>9704254.5800000131</v>
      </c>
      <c r="Q699" s="659">
        <f t="shared" si="245"/>
        <v>90415707.290000021</v>
      </c>
      <c r="S699" s="1015">
        <f t="shared" si="249"/>
        <v>0.92880919117983918</v>
      </c>
      <c r="T699" s="1015">
        <f t="shared" si="249"/>
        <v>0.77748935429775468</v>
      </c>
      <c r="U699" s="1015">
        <f t="shared" si="249"/>
        <v>0.95706082044247787</v>
      </c>
      <c r="V699" s="1015">
        <f t="shared" si="249"/>
        <v>0.89301052993688079</v>
      </c>
      <c r="W699" s="254"/>
    </row>
    <row r="700" spans="1:26" ht="11.25" hidden="1" customHeight="1">
      <c r="A700" s="246" t="s">
        <v>624</v>
      </c>
      <c r="B700" s="235" t="s">
        <v>625</v>
      </c>
      <c r="C700" s="1016"/>
      <c r="D700" s="386"/>
      <c r="E700" s="461"/>
      <c r="F700" s="103"/>
      <c r="G700" s="103"/>
      <c r="H700" s="103"/>
      <c r="I700" s="103">
        <f t="shared" si="238"/>
        <v>0</v>
      </c>
      <c r="J700" s="103"/>
      <c r="K700" s="103"/>
      <c r="L700" s="103"/>
      <c r="M700" s="103">
        <f t="shared" si="239"/>
        <v>0</v>
      </c>
      <c r="N700" s="103">
        <f t="shared" si="244"/>
        <v>0</v>
      </c>
      <c r="O700" s="103">
        <f t="shared" si="244"/>
        <v>0</v>
      </c>
      <c r="P700" s="103">
        <f t="shared" si="244"/>
        <v>0</v>
      </c>
      <c r="Q700" s="103">
        <f t="shared" si="245"/>
        <v>0</v>
      </c>
      <c r="R700" s="236"/>
      <c r="S700" s="730" t="str">
        <f t="shared" si="249"/>
        <v/>
      </c>
      <c r="T700" s="730" t="str">
        <f t="shared" si="249"/>
        <v/>
      </c>
      <c r="U700" s="730" t="str">
        <f t="shared" si="249"/>
        <v/>
      </c>
      <c r="V700" s="730" t="str">
        <f t="shared" si="249"/>
        <v/>
      </c>
      <c r="W700" s="254"/>
      <c r="X700" s="520" t="s">
        <v>598</v>
      </c>
      <c r="Z700" s="241"/>
    </row>
    <row r="701" spans="1:26" s="275" customFormat="1" ht="11.25" hidden="1" customHeight="1">
      <c r="A701" s="246" t="s">
        <v>624</v>
      </c>
      <c r="B701" s="246" t="s">
        <v>625</v>
      </c>
      <c r="C701" s="407" t="s">
        <v>812</v>
      </c>
      <c r="D701" s="407"/>
      <c r="E701" s="408"/>
      <c r="F701" s="409"/>
      <c r="G701" s="409"/>
      <c r="H701" s="409"/>
      <c r="I701" s="409">
        <f t="shared" si="238"/>
        <v>0</v>
      </c>
      <c r="J701" s="409"/>
      <c r="K701" s="409"/>
      <c r="L701" s="409"/>
      <c r="M701" s="409">
        <f t="shared" si="239"/>
        <v>0</v>
      </c>
      <c r="N701" s="409">
        <f t="shared" si="244"/>
        <v>0</v>
      </c>
      <c r="O701" s="409">
        <f t="shared" si="244"/>
        <v>0</v>
      </c>
      <c r="P701" s="409">
        <f t="shared" si="244"/>
        <v>0</v>
      </c>
      <c r="Q701" s="409">
        <f t="shared" si="245"/>
        <v>0</v>
      </c>
      <c r="R701" s="522"/>
      <c r="S701" s="254" t="str">
        <f t="shared" si="249"/>
        <v/>
      </c>
      <c r="T701" s="254" t="str">
        <f t="shared" si="249"/>
        <v/>
      </c>
      <c r="U701" s="254" t="str">
        <f t="shared" si="249"/>
        <v/>
      </c>
      <c r="V701" s="1002" t="str">
        <f t="shared" si="249"/>
        <v/>
      </c>
      <c r="W701" s="254"/>
      <c r="X701" s="274" t="s">
        <v>598</v>
      </c>
      <c r="Y701" s="663"/>
      <c r="Z701" s="253"/>
    </row>
    <row r="702" spans="1:26" ht="11.25" hidden="1" customHeight="1">
      <c r="A702" s="246" t="s">
        <v>624</v>
      </c>
      <c r="B702" s="235" t="s">
        <v>625</v>
      </c>
      <c r="C702" s="461"/>
      <c r="D702" s="664" t="s">
        <v>766</v>
      </c>
      <c r="E702" s="447" t="s">
        <v>766</v>
      </c>
      <c r="F702" s="103">
        <f>+F637+F656+F671+F686</f>
        <v>422892825</v>
      </c>
      <c r="G702" s="103">
        <f>+G637+G656+G671+G686</f>
        <v>345349175</v>
      </c>
      <c r="H702" s="103">
        <f>+H637+H656+H671+H686</f>
        <v>0</v>
      </c>
      <c r="I702" s="103">
        <f t="shared" si="238"/>
        <v>768242000</v>
      </c>
      <c r="J702" s="103">
        <f>+J637+J656+J671+J686</f>
        <v>387170938.01999998</v>
      </c>
      <c r="K702" s="103">
        <f>+K637+K656+K671+K686</f>
        <v>255183092.64000005</v>
      </c>
      <c r="L702" s="103">
        <f>+L637+L656+L671+L686</f>
        <v>0</v>
      </c>
      <c r="M702" s="103">
        <f t="shared" si="239"/>
        <v>642354030.66000009</v>
      </c>
      <c r="N702" s="103">
        <f t="shared" si="244"/>
        <v>35721886.980000019</v>
      </c>
      <c r="O702" s="103">
        <f t="shared" si="244"/>
        <v>90166082.359999955</v>
      </c>
      <c r="P702" s="103">
        <f t="shared" si="244"/>
        <v>0</v>
      </c>
      <c r="Q702" s="103">
        <f t="shared" si="245"/>
        <v>125887969.33999997</v>
      </c>
      <c r="R702" s="236"/>
      <c r="S702" s="730">
        <f t="shared" si="249"/>
        <v>0.91552969246995375</v>
      </c>
      <c r="T702" s="730">
        <f t="shared" si="249"/>
        <v>0.7389132828824625</v>
      </c>
      <c r="U702" s="730" t="str">
        <f t="shared" si="249"/>
        <v/>
      </c>
      <c r="V702" s="730">
        <f t="shared" si="249"/>
        <v>0.83613500779702243</v>
      </c>
      <c r="W702" s="254"/>
      <c r="X702" s="237" t="s">
        <v>598</v>
      </c>
    </row>
    <row r="703" spans="1:26" ht="11.25" hidden="1" customHeight="1">
      <c r="A703" s="246" t="s">
        <v>624</v>
      </c>
      <c r="B703" s="235" t="s">
        <v>625</v>
      </c>
      <c r="C703" s="728"/>
      <c r="D703" s="394" t="s">
        <v>50</v>
      </c>
      <c r="E703" s="447" t="s">
        <v>50</v>
      </c>
      <c r="F703" s="103">
        <f>+F641+F657+F672+F687</f>
        <v>0</v>
      </c>
      <c r="G703" s="103">
        <f>+G641+G657+G672+G687</f>
        <v>298964398</v>
      </c>
      <c r="H703" s="103">
        <f>+H641+H657+H672+H687</f>
        <v>293107051</v>
      </c>
      <c r="I703" s="103">
        <f>SUM(F703:H703)</f>
        <v>592071449</v>
      </c>
      <c r="J703" s="103">
        <f>+J641+J657+J672+J687</f>
        <v>0</v>
      </c>
      <c r="K703" s="103">
        <f>+K641+K657+K672+K687</f>
        <v>264323745.13</v>
      </c>
      <c r="L703" s="103">
        <f>+L641+L657+L672+L687</f>
        <v>279384702.78000003</v>
      </c>
      <c r="M703" s="103">
        <f>SUM(J703:L703)</f>
        <v>543708447.91000009</v>
      </c>
      <c r="N703" s="103">
        <f t="shared" si="244"/>
        <v>0</v>
      </c>
      <c r="O703" s="103">
        <f t="shared" si="244"/>
        <v>34640652.870000005</v>
      </c>
      <c r="P703" s="103">
        <f t="shared" si="244"/>
        <v>13722348.219999969</v>
      </c>
      <c r="Q703" s="103">
        <f t="shared" si="245"/>
        <v>48363001.089999974</v>
      </c>
      <c r="R703" s="236"/>
      <c r="S703" s="730" t="str">
        <f t="shared" si="249"/>
        <v/>
      </c>
      <c r="T703" s="730">
        <f t="shared" si="249"/>
        <v>0.88413117715106659</v>
      </c>
      <c r="U703" s="730">
        <f t="shared" si="249"/>
        <v>0.95318315211734717</v>
      </c>
      <c r="V703" s="730">
        <f t="shared" si="249"/>
        <v>0.91831559996401735</v>
      </c>
      <c r="W703" s="254"/>
      <c r="X703" s="237" t="s">
        <v>598</v>
      </c>
    </row>
    <row r="704" spans="1:26" s="256" customFormat="1" ht="11.25" hidden="1" customHeight="1">
      <c r="A704" s="246" t="s">
        <v>624</v>
      </c>
      <c r="B704" s="246" t="s">
        <v>625</v>
      </c>
      <c r="C704" s="389"/>
      <c r="D704" s="389" t="s">
        <v>98</v>
      </c>
      <c r="E704" s="390" t="s">
        <v>767</v>
      </c>
      <c r="F704" s="391">
        <f>+F702+F703</f>
        <v>422892825</v>
      </c>
      <c r="G704" s="391">
        <f t="shared" ref="G704:M704" si="259">+G702+G703</f>
        <v>644313573</v>
      </c>
      <c r="H704" s="391">
        <f t="shared" si="259"/>
        <v>293107051</v>
      </c>
      <c r="I704" s="391">
        <f t="shared" si="259"/>
        <v>1360313449</v>
      </c>
      <c r="J704" s="391">
        <f t="shared" si="259"/>
        <v>387170938.01999998</v>
      </c>
      <c r="K704" s="391">
        <f t="shared" si="259"/>
        <v>519506837.77000004</v>
      </c>
      <c r="L704" s="391">
        <f t="shared" si="259"/>
        <v>279384702.78000003</v>
      </c>
      <c r="M704" s="391">
        <f t="shared" si="259"/>
        <v>1186062478.5700002</v>
      </c>
      <c r="N704" s="391">
        <f t="shared" si="244"/>
        <v>35721886.980000019</v>
      </c>
      <c r="O704" s="391">
        <f t="shared" si="244"/>
        <v>124806735.22999996</v>
      </c>
      <c r="P704" s="391">
        <f t="shared" si="244"/>
        <v>13722348.219999969</v>
      </c>
      <c r="Q704" s="391">
        <f t="shared" si="245"/>
        <v>174250970.42999995</v>
      </c>
      <c r="R704" s="665"/>
      <c r="S704" s="254">
        <f t="shared" si="249"/>
        <v>0.91552969246995375</v>
      </c>
      <c r="T704" s="254">
        <f t="shared" si="249"/>
        <v>0.80629503946520154</v>
      </c>
      <c r="U704" s="254">
        <f t="shared" si="249"/>
        <v>0.95318315211734717</v>
      </c>
      <c r="V704" s="297">
        <f t="shared" si="249"/>
        <v>0.87190380970055392</v>
      </c>
      <c r="W704" s="254"/>
      <c r="X704" s="271" t="s">
        <v>598</v>
      </c>
      <c r="Y704" s="628"/>
      <c r="Z704" s="255"/>
    </row>
    <row r="705" spans="1:26" ht="11.25" hidden="1" customHeight="1">
      <c r="A705" s="246" t="s">
        <v>624</v>
      </c>
      <c r="B705" s="235" t="s">
        <v>625</v>
      </c>
      <c r="C705" s="410"/>
      <c r="D705" s="396"/>
      <c r="E705" s="806"/>
      <c r="F705" s="807"/>
      <c r="G705" s="807"/>
      <c r="H705" s="807"/>
      <c r="I705" s="807"/>
      <c r="J705" s="807"/>
      <c r="K705" s="807"/>
      <c r="L705" s="807"/>
      <c r="M705" s="807"/>
      <c r="N705" s="807">
        <f t="shared" si="244"/>
        <v>0</v>
      </c>
      <c r="O705" s="807">
        <f t="shared" si="244"/>
        <v>0</v>
      </c>
      <c r="P705" s="807">
        <f t="shared" si="244"/>
        <v>0</v>
      </c>
      <c r="Q705" s="807">
        <f t="shared" si="245"/>
        <v>0</v>
      </c>
      <c r="R705" s="276"/>
      <c r="S705" s="730" t="str">
        <f t="shared" si="249"/>
        <v/>
      </c>
      <c r="T705" s="730" t="str">
        <f t="shared" si="249"/>
        <v/>
      </c>
      <c r="U705" s="730" t="str">
        <f t="shared" si="249"/>
        <v/>
      </c>
      <c r="V705" s="730" t="str">
        <f t="shared" si="249"/>
        <v/>
      </c>
      <c r="W705" s="254"/>
      <c r="X705" s="237" t="s">
        <v>598</v>
      </c>
    </row>
    <row r="706" spans="1:26" s="256" customFormat="1" ht="11.25" hidden="1" customHeight="1">
      <c r="A706" s="246" t="s">
        <v>624</v>
      </c>
      <c r="B706" s="246" t="s">
        <v>625</v>
      </c>
      <c r="C706" s="389"/>
      <c r="D706" s="389" t="s">
        <v>98</v>
      </c>
      <c r="E706" s="390" t="s">
        <v>99</v>
      </c>
      <c r="F706" s="391">
        <f>+F707</f>
        <v>38972437</v>
      </c>
      <c r="G706" s="391">
        <f t="shared" ref="G706:M706" si="260">+G707</f>
        <v>0</v>
      </c>
      <c r="H706" s="391">
        <f t="shared" si="260"/>
        <v>0</v>
      </c>
      <c r="I706" s="391">
        <f t="shared" si="260"/>
        <v>38972437</v>
      </c>
      <c r="J706" s="391">
        <f t="shared" si="260"/>
        <v>34041519.549999997</v>
      </c>
      <c r="K706" s="391">
        <f t="shared" si="260"/>
        <v>0</v>
      </c>
      <c r="L706" s="391">
        <f t="shared" si="260"/>
        <v>0</v>
      </c>
      <c r="M706" s="391">
        <f t="shared" si="260"/>
        <v>34041519.549999997</v>
      </c>
      <c r="N706" s="391">
        <f t="shared" si="244"/>
        <v>4930917.450000003</v>
      </c>
      <c r="O706" s="391">
        <f t="shared" si="244"/>
        <v>0</v>
      </c>
      <c r="P706" s="391">
        <f t="shared" si="244"/>
        <v>0</v>
      </c>
      <c r="Q706" s="391">
        <f t="shared" si="245"/>
        <v>4930917.450000003</v>
      </c>
      <c r="R706" s="522"/>
      <c r="S706" s="254">
        <f t="shared" si="249"/>
        <v>0.87347679977005277</v>
      </c>
      <c r="T706" s="254" t="str">
        <f t="shared" si="249"/>
        <v/>
      </c>
      <c r="U706" s="254" t="str">
        <f t="shared" si="249"/>
        <v/>
      </c>
      <c r="V706" s="297">
        <f t="shared" si="249"/>
        <v>0.87347679977005277</v>
      </c>
      <c r="W706" s="254"/>
      <c r="X706" s="271" t="s">
        <v>598</v>
      </c>
      <c r="Y706" s="628"/>
      <c r="Z706" s="255"/>
    </row>
    <row r="707" spans="1:26" ht="11.25" hidden="1" customHeight="1">
      <c r="A707" s="246" t="s">
        <v>624</v>
      </c>
      <c r="B707" s="235" t="s">
        <v>625</v>
      </c>
      <c r="C707" s="728"/>
      <c r="D707" s="394" t="s">
        <v>286</v>
      </c>
      <c r="E707" s="729" t="s">
        <v>286</v>
      </c>
      <c r="F707" s="103">
        <f>+F661+F645+F676+F691</f>
        <v>38972437</v>
      </c>
      <c r="G707" s="103">
        <f>+G661+G645+G676+G691</f>
        <v>0</v>
      </c>
      <c r="H707" s="103">
        <f>+H661+H645+H676+H691</f>
        <v>0</v>
      </c>
      <c r="I707" s="103">
        <f t="shared" si="238"/>
        <v>38972437</v>
      </c>
      <c r="J707" s="103">
        <f>+J661+J645+J676+J691</f>
        <v>34041519.549999997</v>
      </c>
      <c r="K707" s="103">
        <f>+K661+K645+K676+K691</f>
        <v>0</v>
      </c>
      <c r="L707" s="103">
        <f>+L661+L645+L676+L691</f>
        <v>0</v>
      </c>
      <c r="M707" s="103">
        <f t="shared" si="239"/>
        <v>34041519.549999997</v>
      </c>
      <c r="N707" s="103">
        <f t="shared" si="244"/>
        <v>4930917.450000003</v>
      </c>
      <c r="O707" s="103">
        <f t="shared" si="244"/>
        <v>0</v>
      </c>
      <c r="P707" s="103">
        <f t="shared" si="244"/>
        <v>0</v>
      </c>
      <c r="Q707" s="103">
        <f t="shared" si="245"/>
        <v>4930917.450000003</v>
      </c>
      <c r="R707" s="236"/>
      <c r="S707" s="730">
        <f t="shared" si="249"/>
        <v>0.87347679977005277</v>
      </c>
      <c r="T707" s="730" t="str">
        <f t="shared" si="249"/>
        <v/>
      </c>
      <c r="U707" s="730" t="str">
        <f t="shared" si="249"/>
        <v/>
      </c>
      <c r="V707" s="730">
        <f t="shared" si="249"/>
        <v>0.87347679977005277</v>
      </c>
      <c r="W707" s="254"/>
      <c r="X707" s="237" t="s">
        <v>598</v>
      </c>
    </row>
    <row r="708" spans="1:26" s="272" customFormat="1" ht="11.25" hidden="1" customHeight="1">
      <c r="A708" s="246" t="s">
        <v>624</v>
      </c>
      <c r="B708" s="246" t="s">
        <v>625</v>
      </c>
      <c r="C708" s="389"/>
      <c r="D708" s="389" t="s">
        <v>98</v>
      </c>
      <c r="E708" s="390" t="s">
        <v>100</v>
      </c>
      <c r="F708" s="391">
        <f t="shared" ref="F708:M708" si="261">SUM(F709:F713)</f>
        <v>21733747</v>
      </c>
      <c r="G708" s="391">
        <f t="shared" si="261"/>
        <v>22356835</v>
      </c>
      <c r="H708" s="391">
        <f t="shared" si="261"/>
        <v>1000000</v>
      </c>
      <c r="I708" s="391">
        <f t="shared" si="261"/>
        <v>45090582</v>
      </c>
      <c r="J708" s="391">
        <f t="shared" si="261"/>
        <v>21235707.780000001</v>
      </c>
      <c r="K708" s="391">
        <f t="shared" si="261"/>
        <v>18884600.839999996</v>
      </c>
      <c r="L708" s="391">
        <f t="shared" si="261"/>
        <v>0</v>
      </c>
      <c r="M708" s="391">
        <f t="shared" si="261"/>
        <v>40120308.619999997</v>
      </c>
      <c r="N708" s="391">
        <f t="shared" si="244"/>
        <v>498039.21999999881</v>
      </c>
      <c r="O708" s="391">
        <f t="shared" si="244"/>
        <v>3472234.1600000039</v>
      </c>
      <c r="P708" s="391">
        <f t="shared" si="244"/>
        <v>1000000</v>
      </c>
      <c r="Q708" s="391">
        <f t="shared" si="245"/>
        <v>4970273.3800000027</v>
      </c>
      <c r="R708" s="94"/>
      <c r="S708" s="254">
        <f t="shared" si="249"/>
        <v>0.97708452113664535</v>
      </c>
      <c r="T708" s="254">
        <f t="shared" si="249"/>
        <v>0.84469026317902318</v>
      </c>
      <c r="U708" s="254">
        <f t="shared" si="249"/>
        <v>0</v>
      </c>
      <c r="V708" s="297">
        <f t="shared" si="249"/>
        <v>0.88977136334146223</v>
      </c>
      <c r="W708" s="254"/>
      <c r="X708" s="527" t="s">
        <v>598</v>
      </c>
      <c r="Y708" s="629"/>
      <c r="Z708" s="277"/>
    </row>
    <row r="709" spans="1:26" ht="11.25" hidden="1" customHeight="1">
      <c r="A709" s="246" t="s">
        <v>624</v>
      </c>
      <c r="B709" s="235" t="s">
        <v>625</v>
      </c>
      <c r="C709" s="728"/>
      <c r="D709" s="394" t="s">
        <v>288</v>
      </c>
      <c r="E709" s="729" t="s">
        <v>288</v>
      </c>
      <c r="F709" s="103">
        <f t="shared" ref="F709:H710" si="262">+F663+F647+F678+F693</f>
        <v>2835304</v>
      </c>
      <c r="G709" s="103">
        <f t="shared" si="262"/>
        <v>0</v>
      </c>
      <c r="H709" s="103">
        <f t="shared" si="262"/>
        <v>0</v>
      </c>
      <c r="I709" s="103">
        <f t="shared" si="238"/>
        <v>2835304</v>
      </c>
      <c r="J709" s="103">
        <f t="shared" ref="J709:L710" si="263">+J663+J647+J678+J693</f>
        <v>2427267.3899999997</v>
      </c>
      <c r="K709" s="103">
        <f t="shared" si="263"/>
        <v>0</v>
      </c>
      <c r="L709" s="103">
        <f t="shared" si="263"/>
        <v>0</v>
      </c>
      <c r="M709" s="103">
        <f t="shared" si="239"/>
        <v>2427267.3899999997</v>
      </c>
      <c r="N709" s="103">
        <f t="shared" si="244"/>
        <v>408036.61000000034</v>
      </c>
      <c r="O709" s="103">
        <f t="shared" si="244"/>
        <v>0</v>
      </c>
      <c r="P709" s="103">
        <f t="shared" si="244"/>
        <v>0</v>
      </c>
      <c r="Q709" s="103">
        <f t="shared" si="245"/>
        <v>408036.61000000034</v>
      </c>
      <c r="R709" s="236"/>
      <c r="S709" s="730">
        <f t="shared" si="249"/>
        <v>0.85608717442644588</v>
      </c>
      <c r="T709" s="730" t="str">
        <f t="shared" si="249"/>
        <v/>
      </c>
      <c r="U709" s="730" t="str">
        <f t="shared" si="249"/>
        <v/>
      </c>
      <c r="V709" s="730">
        <f t="shared" si="249"/>
        <v>0.85608717442644588</v>
      </c>
      <c r="W709" s="254"/>
      <c r="X709" s="237" t="s">
        <v>598</v>
      </c>
    </row>
    <row r="710" spans="1:26" ht="11.25" hidden="1" customHeight="1">
      <c r="A710" s="246" t="s">
        <v>624</v>
      </c>
      <c r="B710" s="235" t="s">
        <v>625</v>
      </c>
      <c r="C710" s="728"/>
      <c r="D710" s="394" t="s">
        <v>761</v>
      </c>
      <c r="E710" s="729" t="s">
        <v>761</v>
      </c>
      <c r="F710" s="103">
        <f t="shared" si="262"/>
        <v>9122000</v>
      </c>
      <c r="G710" s="103">
        <f t="shared" si="262"/>
        <v>0</v>
      </c>
      <c r="H710" s="103">
        <f t="shared" si="262"/>
        <v>0</v>
      </c>
      <c r="I710" s="103">
        <f>SUM(F710:H710)</f>
        <v>9122000</v>
      </c>
      <c r="J710" s="103">
        <f t="shared" si="263"/>
        <v>9032000</v>
      </c>
      <c r="K710" s="103">
        <f t="shared" si="263"/>
        <v>0</v>
      </c>
      <c r="L710" s="103">
        <f t="shared" si="263"/>
        <v>0</v>
      </c>
      <c r="M710" s="103">
        <f>SUM(J710:L710)</f>
        <v>9032000</v>
      </c>
      <c r="N710" s="103">
        <f>+F710-J710</f>
        <v>90000</v>
      </c>
      <c r="O710" s="103">
        <f>+G710-K710</f>
        <v>0</v>
      </c>
      <c r="P710" s="103">
        <f>+H710-L710</f>
        <v>0</v>
      </c>
      <c r="Q710" s="103">
        <f>SUM(N710:P710)</f>
        <v>90000</v>
      </c>
      <c r="R710" s="236"/>
      <c r="S710" s="730">
        <f t="shared" si="249"/>
        <v>0.99013374260030695</v>
      </c>
      <c r="T710" s="730" t="str">
        <f t="shared" si="249"/>
        <v/>
      </c>
      <c r="U710" s="730" t="str">
        <f t="shared" si="249"/>
        <v/>
      </c>
      <c r="V710" s="730">
        <f t="shared" si="249"/>
        <v>0.99013374260030695</v>
      </c>
      <c r="W710" s="254"/>
      <c r="X710" s="237" t="s">
        <v>598</v>
      </c>
    </row>
    <row r="711" spans="1:26" ht="11.25" hidden="1" customHeight="1">
      <c r="A711" s="246" t="s">
        <v>624</v>
      </c>
      <c r="B711" s="235" t="s">
        <v>625</v>
      </c>
      <c r="C711" s="410"/>
      <c r="D711" s="386"/>
      <c r="E711" s="461"/>
      <c r="F711" s="104"/>
      <c r="G711" s="104"/>
      <c r="H711" s="104"/>
      <c r="I711" s="103"/>
      <c r="J711" s="104"/>
      <c r="K711" s="104"/>
      <c r="L711" s="104"/>
      <c r="M711" s="103"/>
      <c r="N711" s="103"/>
      <c r="O711" s="103"/>
      <c r="P711" s="103"/>
      <c r="Q711" s="103"/>
      <c r="R711" s="236"/>
      <c r="S711" s="730" t="str">
        <f t="shared" si="249"/>
        <v/>
      </c>
      <c r="T711" s="730" t="str">
        <f t="shared" si="249"/>
        <v/>
      </c>
      <c r="U711" s="730" t="str">
        <f t="shared" si="249"/>
        <v/>
      </c>
      <c r="V711" s="730" t="str">
        <f t="shared" si="249"/>
        <v/>
      </c>
      <c r="W711" s="254"/>
      <c r="X711" s="237" t="s">
        <v>598</v>
      </c>
    </row>
    <row r="712" spans="1:26" ht="11.25" hidden="1" customHeight="1">
      <c r="A712" s="246" t="s">
        <v>624</v>
      </c>
      <c r="B712" s="235" t="s">
        <v>625</v>
      </c>
      <c r="C712" s="728"/>
      <c r="D712" s="394" t="s">
        <v>289</v>
      </c>
      <c r="E712" s="729" t="s">
        <v>289</v>
      </c>
      <c r="F712" s="103">
        <f t="shared" ref="F712:H713" si="264">+F666+F650+F681+F696</f>
        <v>9776443</v>
      </c>
      <c r="G712" s="103">
        <f t="shared" si="264"/>
        <v>0</v>
      </c>
      <c r="H712" s="103">
        <f t="shared" si="264"/>
        <v>0</v>
      </c>
      <c r="I712" s="103">
        <f t="shared" si="238"/>
        <v>9776443</v>
      </c>
      <c r="J712" s="103">
        <f t="shared" ref="J712:L713" si="265">+J666+J650+J681+J696</f>
        <v>9776440.3900000006</v>
      </c>
      <c r="K712" s="103">
        <f t="shared" si="265"/>
        <v>0</v>
      </c>
      <c r="L712" s="103">
        <f t="shared" si="265"/>
        <v>0</v>
      </c>
      <c r="M712" s="103">
        <f t="shared" si="239"/>
        <v>9776440.3900000006</v>
      </c>
      <c r="N712" s="103">
        <f t="shared" si="244"/>
        <v>2.6099999994039536</v>
      </c>
      <c r="O712" s="103">
        <f t="shared" si="244"/>
        <v>0</v>
      </c>
      <c r="P712" s="103">
        <f t="shared" si="244"/>
        <v>0</v>
      </c>
      <c r="Q712" s="103">
        <f t="shared" si="245"/>
        <v>2.6099999994039536</v>
      </c>
      <c r="R712" s="236"/>
      <c r="S712" s="730">
        <f t="shared" si="249"/>
        <v>0.99999973303173773</v>
      </c>
      <c r="T712" s="730" t="str">
        <f t="shared" si="249"/>
        <v/>
      </c>
      <c r="U712" s="730" t="str">
        <f t="shared" si="249"/>
        <v/>
      </c>
      <c r="V712" s="730">
        <f t="shared" si="249"/>
        <v>0.99999973303173773</v>
      </c>
      <c r="W712" s="254"/>
      <c r="X712" s="237" t="s">
        <v>598</v>
      </c>
    </row>
    <row r="713" spans="1:26" ht="11.25" hidden="1" customHeight="1">
      <c r="A713" s="246" t="s">
        <v>624</v>
      </c>
      <c r="B713" s="235" t="s">
        <v>625</v>
      </c>
      <c r="C713" s="728"/>
      <c r="D713" s="394" t="s">
        <v>290</v>
      </c>
      <c r="E713" s="729" t="s">
        <v>290</v>
      </c>
      <c r="F713" s="103">
        <f t="shared" si="264"/>
        <v>0</v>
      </c>
      <c r="G713" s="103">
        <f t="shared" si="264"/>
        <v>22356835</v>
      </c>
      <c r="H713" s="103">
        <f t="shared" si="264"/>
        <v>1000000</v>
      </c>
      <c r="I713" s="103">
        <f t="shared" si="238"/>
        <v>23356835</v>
      </c>
      <c r="J713" s="103">
        <f t="shared" si="265"/>
        <v>0</v>
      </c>
      <c r="K713" s="103">
        <f t="shared" si="265"/>
        <v>18884600.839999996</v>
      </c>
      <c r="L713" s="103">
        <f t="shared" si="265"/>
        <v>0</v>
      </c>
      <c r="M713" s="103">
        <f t="shared" si="239"/>
        <v>18884600.839999996</v>
      </c>
      <c r="N713" s="103">
        <f t="shared" si="244"/>
        <v>0</v>
      </c>
      <c r="O713" s="103">
        <f t="shared" si="244"/>
        <v>3472234.1600000039</v>
      </c>
      <c r="P713" s="103">
        <f t="shared" si="244"/>
        <v>1000000</v>
      </c>
      <c r="Q713" s="103">
        <f t="shared" si="245"/>
        <v>4472234.1600000039</v>
      </c>
      <c r="R713" s="236"/>
      <c r="S713" s="730" t="str">
        <f t="shared" si="249"/>
        <v/>
      </c>
      <c r="T713" s="730">
        <f t="shared" si="249"/>
        <v>0.84469026317902318</v>
      </c>
      <c r="U713" s="730">
        <f t="shared" si="249"/>
        <v>0</v>
      </c>
      <c r="V713" s="730">
        <f t="shared" si="249"/>
        <v>0.80852567738736847</v>
      </c>
      <c r="W713" s="254"/>
      <c r="X713" s="237" t="s">
        <v>598</v>
      </c>
    </row>
    <row r="714" spans="1:26" s="266" customFormat="1" ht="17.25" customHeight="1">
      <c r="A714" s="246" t="s">
        <v>624</v>
      </c>
      <c r="B714" s="1009" t="s">
        <v>625</v>
      </c>
      <c r="C714" s="1431" t="s">
        <v>626</v>
      </c>
      <c r="D714" s="1432"/>
      <c r="E714" s="1433"/>
      <c r="F714" s="666">
        <f>+F708+F706+F704</f>
        <v>483599009</v>
      </c>
      <c r="G714" s="666">
        <f t="shared" ref="G714:M714" si="266">+G708+G706+G704</f>
        <v>666670408</v>
      </c>
      <c r="H714" s="666">
        <f t="shared" si="266"/>
        <v>294107051</v>
      </c>
      <c r="I714" s="666">
        <f t="shared" si="266"/>
        <v>1444376468</v>
      </c>
      <c r="J714" s="666">
        <f t="shared" si="266"/>
        <v>442448165.34999996</v>
      </c>
      <c r="K714" s="666">
        <f t="shared" si="266"/>
        <v>538391438.61000001</v>
      </c>
      <c r="L714" s="666">
        <f t="shared" si="266"/>
        <v>279384702.78000003</v>
      </c>
      <c r="M714" s="666">
        <f t="shared" si="266"/>
        <v>1260224306.7400002</v>
      </c>
      <c r="N714" s="666">
        <f t="shared" si="244"/>
        <v>41150843.650000036</v>
      </c>
      <c r="O714" s="666">
        <f t="shared" si="244"/>
        <v>128278969.38999999</v>
      </c>
      <c r="P714" s="666">
        <f t="shared" si="244"/>
        <v>14722348.219999969</v>
      </c>
      <c r="Q714" s="666">
        <f t="shared" si="245"/>
        <v>184152161.25999999</v>
      </c>
      <c r="R714" s="667">
        <f>+Q714-'[3]chd5-SAOB'!BQ180</f>
        <v>0</v>
      </c>
      <c r="S714" s="1010">
        <f t="shared" si="249"/>
        <v>0.91490709682161475</v>
      </c>
      <c r="T714" s="1010">
        <f t="shared" si="249"/>
        <v>0.80758262576130424</v>
      </c>
      <c r="U714" s="1010">
        <f t="shared" si="249"/>
        <v>0.94994221264011802</v>
      </c>
      <c r="V714" s="1010">
        <f t="shared" si="249"/>
        <v>0.87250404216638089</v>
      </c>
      <c r="W714" s="254"/>
      <c r="X714" s="237" t="s">
        <v>598</v>
      </c>
      <c r="Y714" s="610" t="s">
        <v>598</v>
      </c>
      <c r="Z714" s="241" t="s">
        <v>598</v>
      </c>
    </row>
    <row r="715" spans="1:26" ht="11.25" customHeight="1">
      <c r="A715" s="246" t="s">
        <v>624</v>
      </c>
      <c r="B715" s="235" t="s">
        <v>625</v>
      </c>
      <c r="C715" s="410"/>
      <c r="D715" s="386"/>
      <c r="E715" s="461"/>
      <c r="F715" s="104"/>
      <c r="G715" s="104"/>
      <c r="H715" s="104"/>
      <c r="I715" s="103">
        <f t="shared" si="238"/>
        <v>0</v>
      </c>
      <c r="J715" s="104"/>
      <c r="K715" s="104"/>
      <c r="L715" s="104"/>
      <c r="M715" s="103">
        <f t="shared" si="239"/>
        <v>0</v>
      </c>
      <c r="N715" s="103">
        <f t="shared" si="244"/>
        <v>0</v>
      </c>
      <c r="O715" s="103">
        <f t="shared" si="244"/>
        <v>0</v>
      </c>
      <c r="P715" s="103">
        <f t="shared" si="244"/>
        <v>0</v>
      </c>
      <c r="Q715" s="103">
        <f t="shared" si="245"/>
        <v>0</v>
      </c>
      <c r="S715" s="730" t="str">
        <f t="shared" si="249"/>
        <v/>
      </c>
      <c r="T715" s="730" t="str">
        <f t="shared" si="249"/>
        <v/>
      </c>
      <c r="U715" s="730" t="str">
        <f t="shared" si="249"/>
        <v/>
      </c>
      <c r="V715" s="730" t="str">
        <f t="shared" si="249"/>
        <v/>
      </c>
      <c r="W715" s="254"/>
      <c r="Y715" s="610" t="s">
        <v>598</v>
      </c>
      <c r="Z715" s="241" t="s">
        <v>598</v>
      </c>
    </row>
    <row r="716" spans="1:26" ht="11.25" customHeight="1">
      <c r="A716" s="528" t="s">
        <v>628</v>
      </c>
      <c r="B716" s="528" t="s">
        <v>171</v>
      </c>
      <c r="C716" s="408"/>
      <c r="D716" s="529"/>
      <c r="E716" s="408" t="s">
        <v>171</v>
      </c>
      <c r="F716" s="104"/>
      <c r="G716" s="104"/>
      <c r="H716" s="104"/>
      <c r="I716" s="103">
        <f t="shared" si="238"/>
        <v>0</v>
      </c>
      <c r="J716" s="104"/>
      <c r="K716" s="104"/>
      <c r="L716" s="104"/>
      <c r="M716" s="103">
        <f t="shared" si="239"/>
        <v>0</v>
      </c>
      <c r="N716" s="103">
        <f t="shared" si="244"/>
        <v>0</v>
      </c>
      <c r="O716" s="103">
        <f t="shared" si="244"/>
        <v>0</v>
      </c>
      <c r="P716" s="103">
        <f t="shared" si="244"/>
        <v>0</v>
      </c>
      <c r="Q716" s="103">
        <f t="shared" si="245"/>
        <v>0</v>
      </c>
      <c r="S716" s="730" t="str">
        <f t="shared" si="249"/>
        <v/>
      </c>
      <c r="T716" s="730" t="str">
        <f t="shared" si="249"/>
        <v/>
      </c>
      <c r="U716" s="730" t="str">
        <f t="shared" si="249"/>
        <v/>
      </c>
      <c r="V716" s="730" t="str">
        <f t="shared" si="249"/>
        <v/>
      </c>
      <c r="W716" s="531"/>
      <c r="X716" s="236"/>
      <c r="Y716" s="236" t="s">
        <v>598</v>
      </c>
      <c r="Z716" s="240" t="s">
        <v>598</v>
      </c>
    </row>
    <row r="717" spans="1:26" ht="11.25" customHeight="1">
      <c r="A717" s="528" t="s">
        <v>628</v>
      </c>
      <c r="B717" s="1013" t="s">
        <v>171</v>
      </c>
      <c r="C717" s="461"/>
      <c r="D717" s="645" t="s">
        <v>766</v>
      </c>
      <c r="E717" s="447" t="s">
        <v>766</v>
      </c>
      <c r="F717" s="103">
        <f>SUM(F718:F720)</f>
        <v>82152000</v>
      </c>
      <c r="G717" s="103">
        <f t="shared" ref="G717:M717" si="267">SUM(G718:G720)</f>
        <v>203497000</v>
      </c>
      <c r="H717" s="103">
        <f t="shared" si="267"/>
        <v>0</v>
      </c>
      <c r="I717" s="103">
        <f t="shared" si="267"/>
        <v>285649000</v>
      </c>
      <c r="J717" s="103">
        <f t="shared" si="267"/>
        <v>74071103.160000011</v>
      </c>
      <c r="K717" s="103">
        <f t="shared" si="267"/>
        <v>114864768.08000001</v>
      </c>
      <c r="L717" s="103">
        <f t="shared" si="267"/>
        <v>0</v>
      </c>
      <c r="M717" s="103">
        <f t="shared" si="267"/>
        <v>188935871.24000001</v>
      </c>
      <c r="N717" s="103">
        <f t="shared" si="244"/>
        <v>8080896.8399999887</v>
      </c>
      <c r="O717" s="103">
        <f t="shared" si="244"/>
        <v>88632231.919999987</v>
      </c>
      <c r="P717" s="103">
        <f t="shared" si="244"/>
        <v>0</v>
      </c>
      <c r="Q717" s="103">
        <f t="shared" si="245"/>
        <v>96713128.759999976</v>
      </c>
      <c r="S717" s="730">
        <f t="shared" si="249"/>
        <v>0.90163481302950643</v>
      </c>
      <c r="T717" s="730">
        <f t="shared" si="249"/>
        <v>0.56445435598559202</v>
      </c>
      <c r="U717" s="730" t="str">
        <f t="shared" si="249"/>
        <v/>
      </c>
      <c r="V717" s="730">
        <f t="shared" si="249"/>
        <v>0.66142668533759963</v>
      </c>
      <c r="W717" s="531"/>
      <c r="X717" s="236"/>
      <c r="Y717" s="236" t="s">
        <v>688</v>
      </c>
      <c r="Z717" s="236"/>
    </row>
    <row r="718" spans="1:26" ht="11.25" hidden="1" customHeight="1">
      <c r="A718" s="528" t="s">
        <v>628</v>
      </c>
      <c r="B718" s="1013" t="s">
        <v>171</v>
      </c>
      <c r="C718" s="411"/>
      <c r="D718" s="647" t="s">
        <v>98</v>
      </c>
      <c r="E718" s="459" t="s">
        <v>775</v>
      </c>
      <c r="F718" s="103">
        <f>+'[3]chd6-SAOB'!C14</f>
        <v>26290000</v>
      </c>
      <c r="G718" s="103">
        <f>+'[3]chd6-SAOB'!C50</f>
        <v>17959000</v>
      </c>
      <c r="H718" s="103">
        <f>+'[3]chd6-SAOB'!C143</f>
        <v>0</v>
      </c>
      <c r="I718" s="103">
        <f t="shared" si="238"/>
        <v>44249000</v>
      </c>
      <c r="J718" s="103">
        <f>+'[3]chd6-SAOB'!C15</f>
        <v>23098877.680000003</v>
      </c>
      <c r="K718" s="103">
        <f>+'[3]chd6-SAOB'!C51</f>
        <v>10027500.510000002</v>
      </c>
      <c r="L718" s="103">
        <f>+'[3]chd6-SAOB'!C144</f>
        <v>0</v>
      </c>
      <c r="M718" s="103">
        <f t="shared" si="239"/>
        <v>33126378.190000005</v>
      </c>
      <c r="N718" s="103">
        <f t="shared" si="244"/>
        <v>3191122.3199999966</v>
      </c>
      <c r="O718" s="103">
        <f t="shared" si="244"/>
        <v>7931499.4899999984</v>
      </c>
      <c r="P718" s="103">
        <f t="shared" si="244"/>
        <v>0</v>
      </c>
      <c r="Q718" s="103">
        <f t="shared" si="245"/>
        <v>11122621.809999995</v>
      </c>
      <c r="R718" s="236"/>
      <c r="S718" s="730">
        <f t="shared" si="249"/>
        <v>0.87861839786991269</v>
      </c>
      <c r="T718" s="730">
        <f t="shared" si="249"/>
        <v>0.5583551706665183</v>
      </c>
      <c r="U718" s="730" t="str">
        <f t="shared" si="249"/>
        <v/>
      </c>
      <c r="V718" s="730">
        <f t="shared" si="249"/>
        <v>0.74863563447761539</v>
      </c>
      <c r="W718" s="531"/>
      <c r="X718" s="236"/>
      <c r="Y718" s="236"/>
      <c r="Z718" s="236"/>
    </row>
    <row r="719" spans="1:26" ht="11.25" hidden="1" customHeight="1">
      <c r="A719" s="528" t="s">
        <v>628</v>
      </c>
      <c r="B719" s="1013" t="s">
        <v>171</v>
      </c>
      <c r="C719" s="406" t="s">
        <v>776</v>
      </c>
      <c r="D719" s="647" t="s">
        <v>98</v>
      </c>
      <c r="E719" s="406" t="s">
        <v>776</v>
      </c>
      <c r="F719" s="103">
        <f>+'[3]chd6-SAOB'!D14</f>
        <v>0</v>
      </c>
      <c r="G719" s="103">
        <f>+'[3]chd6-SAOB'!D50</f>
        <v>5323000</v>
      </c>
      <c r="H719" s="103">
        <f>+'[3]chd6-SAOB'!D143</f>
        <v>0</v>
      </c>
      <c r="I719" s="103">
        <f t="shared" si="238"/>
        <v>5323000</v>
      </c>
      <c r="J719" s="103">
        <f>+'[3]chd6-SAOB'!D15</f>
        <v>0</v>
      </c>
      <c r="K719" s="103">
        <f>+'[3]chd6-SAOB'!D51</f>
        <v>2668414.62</v>
      </c>
      <c r="L719" s="103">
        <f>+'[3]chd6-SAOB'!D144</f>
        <v>0</v>
      </c>
      <c r="M719" s="103">
        <f t="shared" si="239"/>
        <v>2668414.62</v>
      </c>
      <c r="N719" s="103">
        <f t="shared" si="244"/>
        <v>0</v>
      </c>
      <c r="O719" s="103">
        <f t="shared" si="244"/>
        <v>2654585.38</v>
      </c>
      <c r="P719" s="103">
        <f t="shared" si="244"/>
        <v>0</v>
      </c>
      <c r="Q719" s="103">
        <f t="shared" si="245"/>
        <v>2654585.38</v>
      </c>
      <c r="R719" s="236"/>
      <c r="S719" s="730" t="str">
        <f t="shared" si="249"/>
        <v/>
      </c>
      <c r="T719" s="730">
        <f t="shared" si="249"/>
        <v>0.50129900807815142</v>
      </c>
      <c r="U719" s="730" t="str">
        <f t="shared" si="249"/>
        <v/>
      </c>
      <c r="V719" s="730">
        <f t="shared" si="249"/>
        <v>0.50129900807815142</v>
      </c>
      <c r="W719" s="531"/>
      <c r="X719" s="236"/>
      <c r="Y719" s="236"/>
      <c r="Z719" s="236"/>
    </row>
    <row r="720" spans="1:26" ht="11.25" hidden="1" customHeight="1">
      <c r="A720" s="528" t="s">
        <v>628</v>
      </c>
      <c r="B720" s="1013" t="s">
        <v>171</v>
      </c>
      <c r="C720" s="411"/>
      <c r="D720" s="647" t="s">
        <v>98</v>
      </c>
      <c r="E720" s="406" t="s">
        <v>777</v>
      </c>
      <c r="F720" s="103">
        <f>+'[3]chd6-SAOB'!E14</f>
        <v>55862000</v>
      </c>
      <c r="G720" s="103">
        <f>+'[3]chd6-SAOB'!E50</f>
        <v>180215000</v>
      </c>
      <c r="H720" s="103">
        <f>+'[3]chd6-SAOB'!E143</f>
        <v>0</v>
      </c>
      <c r="I720" s="103">
        <f>SUM(F720:H720)</f>
        <v>236077000</v>
      </c>
      <c r="J720" s="103">
        <f>+'[3]chd6-SAOB'!E15</f>
        <v>50972225.480000004</v>
      </c>
      <c r="K720" s="103">
        <f>+'[3]chd6-SAOB'!E51</f>
        <v>102168852.95</v>
      </c>
      <c r="L720" s="103">
        <f>+'[3]chd6-SAOB'!E144</f>
        <v>0</v>
      </c>
      <c r="M720" s="103">
        <f t="shared" ref="M720:M808" si="268">SUM(J720:L720)</f>
        <v>153141078.43000001</v>
      </c>
      <c r="N720" s="103">
        <f t="shared" si="244"/>
        <v>4889774.5199999958</v>
      </c>
      <c r="O720" s="103">
        <f t="shared" si="244"/>
        <v>78046147.049999997</v>
      </c>
      <c r="P720" s="103">
        <f t="shared" si="244"/>
        <v>0</v>
      </c>
      <c r="Q720" s="103">
        <f t="shared" si="245"/>
        <v>82935921.569999993</v>
      </c>
      <c r="R720" s="236"/>
      <c r="S720" s="730">
        <f t="shared" si="249"/>
        <v>0.91246689126776703</v>
      </c>
      <c r="T720" s="730">
        <f t="shared" si="249"/>
        <v>0.56692757511860836</v>
      </c>
      <c r="U720" s="730" t="str">
        <f t="shared" si="249"/>
        <v/>
      </c>
      <c r="V720" s="730">
        <f t="shared" si="249"/>
        <v>0.64869122544762936</v>
      </c>
      <c r="W720" s="531"/>
      <c r="X720" s="236"/>
      <c r="Y720" s="236"/>
      <c r="Z720" s="236"/>
    </row>
    <row r="721" spans="1:26" ht="11.25" customHeight="1">
      <c r="A721" s="528" t="s">
        <v>628</v>
      </c>
      <c r="B721" s="1013" t="s">
        <v>171</v>
      </c>
      <c r="C721" s="728"/>
      <c r="D721" s="649" t="s">
        <v>50</v>
      </c>
      <c r="E721" s="447" t="s">
        <v>50</v>
      </c>
      <c r="F721" s="104"/>
      <c r="G721" s="104">
        <f>'[3]chd6-SAOB'!D386</f>
        <v>179750925</v>
      </c>
      <c r="H721" s="104">
        <f>'[3]chd6-SAOB'!E386</f>
        <v>81800000</v>
      </c>
      <c r="I721" s="103">
        <f>SUM(F721:H721)</f>
        <v>261550925</v>
      </c>
      <c r="J721" s="104"/>
      <c r="K721" s="104">
        <f>'[3]chd6-SAOB'!H386</f>
        <v>118567442.73999999</v>
      </c>
      <c r="L721" s="104">
        <f>'[3]chd6-SAOB'!I386</f>
        <v>81800000</v>
      </c>
      <c r="M721" s="103">
        <f>SUM(J721:L721)</f>
        <v>200367442.74000001</v>
      </c>
      <c r="N721" s="103">
        <f t="shared" ref="N721:P788" si="269">+F721-J721</f>
        <v>0</v>
      </c>
      <c r="O721" s="103">
        <f t="shared" si="269"/>
        <v>61183482.260000005</v>
      </c>
      <c r="P721" s="103">
        <f t="shared" si="269"/>
        <v>0</v>
      </c>
      <c r="Q721" s="103">
        <f t="shared" ref="Q721:Q788" si="270">SUM(N721:P721)</f>
        <v>61183482.260000005</v>
      </c>
      <c r="S721" s="730" t="str">
        <f t="shared" si="249"/>
        <v/>
      </c>
      <c r="T721" s="730">
        <f t="shared" si="249"/>
        <v>0.65962076545642256</v>
      </c>
      <c r="U721" s="730">
        <f t="shared" si="249"/>
        <v>1</v>
      </c>
      <c r="V721" s="730">
        <f t="shared" si="249"/>
        <v>0.7660743036561618</v>
      </c>
      <c r="W721" s="531"/>
      <c r="X721" s="236"/>
      <c r="Y721" s="236" t="s">
        <v>688</v>
      </c>
      <c r="Z721" s="236"/>
    </row>
    <row r="722" spans="1:26" s="256" customFormat="1" ht="11.25" customHeight="1">
      <c r="A722" s="528" t="s">
        <v>628</v>
      </c>
      <c r="B722" s="528" t="s">
        <v>171</v>
      </c>
      <c r="C722" s="389"/>
      <c r="D722" s="650" t="s">
        <v>98</v>
      </c>
      <c r="E722" s="390" t="s">
        <v>767</v>
      </c>
      <c r="F722" s="391">
        <f>+F721+F717</f>
        <v>82152000</v>
      </c>
      <c r="G722" s="391">
        <f t="shared" ref="G722:M722" si="271">+G721+G717</f>
        <v>383247925</v>
      </c>
      <c r="H722" s="391">
        <f t="shared" si="271"/>
        <v>81800000</v>
      </c>
      <c r="I722" s="391">
        <f t="shared" si="271"/>
        <v>547199925</v>
      </c>
      <c r="J722" s="391">
        <f t="shared" si="271"/>
        <v>74071103.160000011</v>
      </c>
      <c r="K722" s="391">
        <f t="shared" si="271"/>
        <v>233432210.81999999</v>
      </c>
      <c r="L722" s="391">
        <f t="shared" si="271"/>
        <v>81800000</v>
      </c>
      <c r="M722" s="391">
        <f t="shared" si="271"/>
        <v>389303313.98000002</v>
      </c>
      <c r="N722" s="391">
        <f t="shared" si="269"/>
        <v>8080896.8399999887</v>
      </c>
      <c r="O722" s="391">
        <f t="shared" si="269"/>
        <v>149815714.18000001</v>
      </c>
      <c r="P722" s="391">
        <f t="shared" si="269"/>
        <v>0</v>
      </c>
      <c r="Q722" s="391">
        <f t="shared" si="270"/>
        <v>157896611.01999998</v>
      </c>
      <c r="R722" s="101"/>
      <c r="S722" s="254">
        <f t="shared" si="249"/>
        <v>0.90163481302950643</v>
      </c>
      <c r="T722" s="254">
        <f t="shared" si="249"/>
        <v>0.60908930118799731</v>
      </c>
      <c r="U722" s="254">
        <f t="shared" si="249"/>
        <v>1</v>
      </c>
      <c r="V722" s="254">
        <f t="shared" si="249"/>
        <v>0.71144621224134852</v>
      </c>
      <c r="W722" s="531"/>
      <c r="Y722" s="256" t="s">
        <v>598</v>
      </c>
      <c r="Z722" s="256" t="s">
        <v>598</v>
      </c>
    </row>
    <row r="723" spans="1:26" ht="11.25" hidden="1" customHeight="1">
      <c r="A723" s="528" t="s">
        <v>628</v>
      </c>
      <c r="B723" s="1013" t="s">
        <v>171</v>
      </c>
      <c r="C723" s="410"/>
      <c r="D723" s="651"/>
      <c r="E723" s="806"/>
      <c r="F723" s="807"/>
      <c r="G723" s="807"/>
      <c r="H723" s="807"/>
      <c r="I723" s="807"/>
      <c r="J723" s="807"/>
      <c r="K723" s="807"/>
      <c r="L723" s="807"/>
      <c r="M723" s="807"/>
      <c r="N723" s="807">
        <f t="shared" si="269"/>
        <v>0</v>
      </c>
      <c r="O723" s="807">
        <f t="shared" si="269"/>
        <v>0</v>
      </c>
      <c r="P723" s="807">
        <f t="shared" si="269"/>
        <v>0</v>
      </c>
      <c r="Q723" s="807">
        <f t="shared" si="270"/>
        <v>0</v>
      </c>
      <c r="R723" s="276"/>
      <c r="S723" s="730" t="str">
        <f t="shared" si="249"/>
        <v/>
      </c>
      <c r="T723" s="730" t="str">
        <f t="shared" si="249"/>
        <v/>
      </c>
      <c r="U723" s="730" t="str">
        <f t="shared" si="249"/>
        <v/>
      </c>
      <c r="V723" s="730" t="str">
        <f t="shared" si="249"/>
        <v/>
      </c>
      <c r="W723" s="531"/>
      <c r="X723" s="236"/>
      <c r="Y723" s="236"/>
      <c r="Z723" s="236"/>
    </row>
    <row r="724" spans="1:26" s="256" customFormat="1" ht="11.25" customHeight="1">
      <c r="A724" s="528" t="s">
        <v>628</v>
      </c>
      <c r="B724" s="528" t="s">
        <v>171</v>
      </c>
      <c r="C724" s="389"/>
      <c r="D724" s="650" t="s">
        <v>98</v>
      </c>
      <c r="E724" s="390" t="s">
        <v>99</v>
      </c>
      <c r="F724" s="391">
        <f>+F725</f>
        <v>7721000</v>
      </c>
      <c r="G724" s="391">
        <f t="shared" ref="G724:M724" si="272">+G725</f>
        <v>0</v>
      </c>
      <c r="H724" s="391">
        <f t="shared" si="272"/>
        <v>0</v>
      </c>
      <c r="I724" s="391">
        <f t="shared" si="272"/>
        <v>7721000</v>
      </c>
      <c r="J724" s="391">
        <f t="shared" si="272"/>
        <v>6170695.7199999997</v>
      </c>
      <c r="K724" s="391">
        <f t="shared" si="272"/>
        <v>0</v>
      </c>
      <c r="L724" s="391">
        <f t="shared" si="272"/>
        <v>0</v>
      </c>
      <c r="M724" s="391">
        <f t="shared" si="272"/>
        <v>6170695.7199999997</v>
      </c>
      <c r="N724" s="391">
        <f t="shared" si="269"/>
        <v>1550304.2800000003</v>
      </c>
      <c r="O724" s="391">
        <f t="shared" si="269"/>
        <v>0</v>
      </c>
      <c r="P724" s="391">
        <f t="shared" si="269"/>
        <v>0</v>
      </c>
      <c r="Q724" s="391">
        <f t="shared" si="270"/>
        <v>1550304.2800000003</v>
      </c>
      <c r="R724" s="101"/>
      <c r="S724" s="254">
        <f t="shared" si="249"/>
        <v>0.79920939256572976</v>
      </c>
      <c r="T724" s="254" t="str">
        <f t="shared" si="249"/>
        <v/>
      </c>
      <c r="U724" s="254" t="str">
        <f t="shared" si="249"/>
        <v/>
      </c>
      <c r="V724" s="254">
        <f t="shared" si="249"/>
        <v>0.79920939256572976</v>
      </c>
      <c r="W724" s="531"/>
      <c r="Y724" s="256" t="s">
        <v>598</v>
      </c>
      <c r="Z724" s="256" t="s">
        <v>598</v>
      </c>
    </row>
    <row r="725" spans="1:26" ht="11.25" customHeight="1">
      <c r="A725" s="528" t="s">
        <v>628</v>
      </c>
      <c r="B725" s="1013" t="s">
        <v>171</v>
      </c>
      <c r="C725" s="728"/>
      <c r="D725" s="649" t="s">
        <v>286</v>
      </c>
      <c r="E725" s="729" t="s">
        <v>286</v>
      </c>
      <c r="F725" s="103">
        <f>SUM('[3]chd6-SAOB'!AD14)</f>
        <v>7721000</v>
      </c>
      <c r="G725" s="103">
        <f>SUM('[3]chd6-SAOB'!AD50)</f>
        <v>0</v>
      </c>
      <c r="H725" s="103">
        <f>SUM('[3]chd6-SAOB'!AD143)</f>
        <v>0</v>
      </c>
      <c r="I725" s="103">
        <f>SUM(F725:H725)</f>
        <v>7721000</v>
      </c>
      <c r="J725" s="103">
        <f>SUM('[3]chd6-SAOB'!AD15)</f>
        <v>6170695.7199999997</v>
      </c>
      <c r="K725" s="103">
        <f>SUM('[3]chd6-SAOB'!AD51)</f>
        <v>0</v>
      </c>
      <c r="L725" s="103">
        <f>SUM('[3]chd6-SAOB'!AD144)</f>
        <v>0</v>
      </c>
      <c r="M725" s="103">
        <f t="shared" si="268"/>
        <v>6170695.7199999997</v>
      </c>
      <c r="N725" s="103">
        <f t="shared" si="269"/>
        <v>1550304.2800000003</v>
      </c>
      <c r="O725" s="103">
        <f t="shared" si="269"/>
        <v>0</v>
      </c>
      <c r="P725" s="103">
        <f t="shared" si="269"/>
        <v>0</v>
      </c>
      <c r="Q725" s="103">
        <f t="shared" si="270"/>
        <v>1550304.2800000003</v>
      </c>
      <c r="S725" s="730">
        <f t="shared" si="249"/>
        <v>0.79920939256572976</v>
      </c>
      <c r="T725" s="730" t="str">
        <f t="shared" si="249"/>
        <v/>
      </c>
      <c r="U725" s="730" t="str">
        <f t="shared" si="249"/>
        <v/>
      </c>
      <c r="V725" s="730">
        <f t="shared" si="249"/>
        <v>0.79920939256572976</v>
      </c>
      <c r="W725" s="531"/>
      <c r="X725" s="236"/>
      <c r="Y725" s="236" t="s">
        <v>598</v>
      </c>
      <c r="Z725" s="236"/>
    </row>
    <row r="726" spans="1:26" s="272" customFormat="1" ht="11.25" customHeight="1">
      <c r="A726" s="528" t="s">
        <v>628</v>
      </c>
      <c r="B726" s="528" t="s">
        <v>171</v>
      </c>
      <c r="C726" s="389"/>
      <c r="D726" s="650" t="s">
        <v>98</v>
      </c>
      <c r="E726" s="390" t="s">
        <v>100</v>
      </c>
      <c r="F726" s="391">
        <f t="shared" ref="F726:M726" si="273">SUM(F727:F731)</f>
        <v>4552377</v>
      </c>
      <c r="G726" s="391">
        <f t="shared" si="273"/>
        <v>0</v>
      </c>
      <c r="H726" s="391">
        <f t="shared" si="273"/>
        <v>0</v>
      </c>
      <c r="I726" s="391">
        <f t="shared" si="273"/>
        <v>4552377</v>
      </c>
      <c r="J726" s="391">
        <f t="shared" si="273"/>
        <v>4552374.51</v>
      </c>
      <c r="K726" s="391">
        <f t="shared" si="273"/>
        <v>0</v>
      </c>
      <c r="L726" s="391">
        <f t="shared" si="273"/>
        <v>0</v>
      </c>
      <c r="M726" s="391">
        <f t="shared" si="273"/>
        <v>4552374.51</v>
      </c>
      <c r="N726" s="391">
        <f t="shared" si="269"/>
        <v>2.4900000002235174</v>
      </c>
      <c r="O726" s="391">
        <f t="shared" si="269"/>
        <v>0</v>
      </c>
      <c r="P726" s="391">
        <f t="shared" si="269"/>
        <v>0</v>
      </c>
      <c r="Q726" s="391">
        <f t="shared" si="270"/>
        <v>2.4900000002235174</v>
      </c>
      <c r="R726" s="102"/>
      <c r="S726" s="254">
        <f t="shared" si="249"/>
        <v>0.99999945303299786</v>
      </c>
      <c r="T726" s="254" t="str">
        <f t="shared" si="249"/>
        <v/>
      </c>
      <c r="U726" s="254" t="str">
        <f t="shared" si="249"/>
        <v/>
      </c>
      <c r="V726" s="254">
        <f t="shared" si="249"/>
        <v>0.99999945303299786</v>
      </c>
      <c r="W726" s="531"/>
      <c r="Y726" s="272" t="s">
        <v>598</v>
      </c>
      <c r="Z726" s="256" t="s">
        <v>598</v>
      </c>
    </row>
    <row r="727" spans="1:26" ht="11.25" customHeight="1">
      <c r="A727" s="528" t="s">
        <v>628</v>
      </c>
      <c r="B727" s="1013" t="s">
        <v>171</v>
      </c>
      <c r="C727" s="728"/>
      <c r="D727" s="649" t="s">
        <v>288</v>
      </c>
      <c r="E727" s="729" t="s">
        <v>288</v>
      </c>
      <c r="F727" s="103">
        <f>SUM('[3]chd6-SAOB'!AJ14)</f>
        <v>0</v>
      </c>
      <c r="G727" s="103">
        <f>SUM('[3]chd6-SAOB'!AJ50)</f>
        <v>0</v>
      </c>
      <c r="H727" s="103">
        <f>SUM('[3]chd6-SAOB'!AJ143)</f>
        <v>0</v>
      </c>
      <c r="I727" s="103">
        <f>SUM(F727:H727)</f>
        <v>0</v>
      </c>
      <c r="J727" s="103">
        <f>SUM('[3]chd6-SAOB'!AJ15)</f>
        <v>0</v>
      </c>
      <c r="K727" s="103">
        <f>SUM('[3]chd6-SAOB'!AJ51)</f>
        <v>0</v>
      </c>
      <c r="L727" s="103">
        <f>SUM('[3]chd6-SAOB'!AJ144)</f>
        <v>0</v>
      </c>
      <c r="M727" s="103">
        <f t="shared" si="268"/>
        <v>0</v>
      </c>
      <c r="N727" s="103">
        <f t="shared" si="269"/>
        <v>0</v>
      </c>
      <c r="O727" s="103">
        <f t="shared" si="269"/>
        <v>0</v>
      </c>
      <c r="P727" s="103">
        <f t="shared" si="269"/>
        <v>0</v>
      </c>
      <c r="Q727" s="103">
        <f t="shared" si="270"/>
        <v>0</v>
      </c>
      <c r="S727" s="730" t="str">
        <f t="shared" si="249"/>
        <v/>
      </c>
      <c r="T727" s="730" t="str">
        <f t="shared" si="249"/>
        <v/>
      </c>
      <c r="U727" s="730" t="str">
        <f t="shared" si="249"/>
        <v/>
      </c>
      <c r="V727" s="730" t="str">
        <f t="shared" ref="V727:V790" si="274">IF(I727=0,"",M727/I727)</f>
        <v/>
      </c>
      <c r="W727" s="531"/>
      <c r="X727" s="236"/>
      <c r="Y727" s="236" t="s">
        <v>598</v>
      </c>
      <c r="Z727" s="236"/>
    </row>
    <row r="728" spans="1:26" ht="11.25" customHeight="1">
      <c r="A728" s="528" t="s">
        <v>628</v>
      </c>
      <c r="B728" s="1013" t="s">
        <v>171</v>
      </c>
      <c r="C728" s="728"/>
      <c r="D728" s="649" t="s">
        <v>761</v>
      </c>
      <c r="E728" s="729" t="s">
        <v>761</v>
      </c>
      <c r="F728" s="104">
        <f>'[3]chd6-SAOB'!C386</f>
        <v>1956500</v>
      </c>
      <c r="G728" s="104"/>
      <c r="H728" s="104"/>
      <c r="I728" s="103">
        <f>SUM(F728:H728)</f>
        <v>1956500</v>
      </c>
      <c r="J728" s="104">
        <f>'[3]chd6-SAOB'!G386</f>
        <v>1956500</v>
      </c>
      <c r="K728" s="104"/>
      <c r="L728" s="104"/>
      <c r="M728" s="103">
        <f t="shared" si="268"/>
        <v>1956500</v>
      </c>
      <c r="N728" s="103">
        <f t="shared" si="269"/>
        <v>0</v>
      </c>
      <c r="O728" s="103">
        <f t="shared" si="269"/>
        <v>0</v>
      </c>
      <c r="P728" s="103">
        <f t="shared" si="269"/>
        <v>0</v>
      </c>
      <c r="Q728" s="103">
        <f>SUM(N728:P728)</f>
        <v>0</v>
      </c>
      <c r="S728" s="730">
        <f t="shared" ref="S728:V791" si="275">IF(F728=0,"",J728/F728)</f>
        <v>1</v>
      </c>
      <c r="T728" s="730" t="str">
        <f t="shared" si="275"/>
        <v/>
      </c>
      <c r="U728" s="730" t="str">
        <f t="shared" si="275"/>
        <v/>
      </c>
      <c r="V728" s="730">
        <f t="shared" si="274"/>
        <v>1</v>
      </c>
      <c r="W728" s="531"/>
      <c r="X728" s="236"/>
      <c r="Y728" s="236" t="s">
        <v>688</v>
      </c>
      <c r="Z728" s="236"/>
    </row>
    <row r="729" spans="1:26" ht="11.25" customHeight="1">
      <c r="A729" s="528" t="s">
        <v>628</v>
      </c>
      <c r="B729" s="1013" t="s">
        <v>171</v>
      </c>
      <c r="C729" s="410"/>
      <c r="D729" s="647"/>
      <c r="E729" s="461"/>
      <c r="F729" s="104"/>
      <c r="G729" s="104"/>
      <c r="H729" s="104"/>
      <c r="I729" s="103"/>
      <c r="J729" s="104"/>
      <c r="K729" s="104"/>
      <c r="L729" s="104"/>
      <c r="M729" s="103"/>
      <c r="N729" s="103"/>
      <c r="O729" s="103"/>
      <c r="P729" s="103"/>
      <c r="Q729" s="103"/>
      <c r="S729" s="730" t="str">
        <f t="shared" si="275"/>
        <v/>
      </c>
      <c r="T729" s="730" t="str">
        <f t="shared" si="275"/>
        <v/>
      </c>
      <c r="U729" s="730" t="str">
        <f t="shared" si="275"/>
        <v/>
      </c>
      <c r="V729" s="730" t="str">
        <f t="shared" si="274"/>
        <v/>
      </c>
      <c r="W729" s="531"/>
      <c r="X729" s="236"/>
      <c r="Y729" s="236" t="s">
        <v>688</v>
      </c>
      <c r="Z729" s="240"/>
    </row>
    <row r="730" spans="1:26" ht="11.25" customHeight="1">
      <c r="A730" s="528" t="s">
        <v>628</v>
      </c>
      <c r="B730" s="1013" t="s">
        <v>171</v>
      </c>
      <c r="C730" s="728"/>
      <c r="D730" s="649" t="s">
        <v>289</v>
      </c>
      <c r="E730" s="729" t="s">
        <v>289</v>
      </c>
      <c r="F730" s="103">
        <f>SUM('[3]chd6-SAOB'!AP14)</f>
        <v>2595877</v>
      </c>
      <c r="G730" s="103">
        <f>SUM('[3]chd6-SAOB'!AP50)</f>
        <v>0</v>
      </c>
      <c r="H730" s="103">
        <f>SUM('[3]chd6-SAOB'!AP143)</f>
        <v>0</v>
      </c>
      <c r="I730" s="103">
        <f>SUM(F730:H730)</f>
        <v>2595877</v>
      </c>
      <c r="J730" s="103">
        <f>SUM('[3]chd6-SAOB'!AP15)</f>
        <v>2595874.5100000002</v>
      </c>
      <c r="K730" s="103">
        <f>SUM('[3]chd6-SAOB'!AP51)</f>
        <v>0</v>
      </c>
      <c r="L730" s="103">
        <f>SUM('[3]chd6-SAOB'!AP144)</f>
        <v>0</v>
      </c>
      <c r="M730" s="103">
        <f t="shared" si="268"/>
        <v>2595874.5100000002</v>
      </c>
      <c r="N730" s="103">
        <f t="shared" si="269"/>
        <v>2.4899999997578561</v>
      </c>
      <c r="O730" s="103">
        <f t="shared" si="269"/>
        <v>0</v>
      </c>
      <c r="P730" s="103">
        <f t="shared" si="269"/>
        <v>0</v>
      </c>
      <c r="Q730" s="103">
        <f t="shared" si="270"/>
        <v>2.4899999997578561</v>
      </c>
      <c r="S730" s="730">
        <f t="shared" si="275"/>
        <v>0.99999904078660129</v>
      </c>
      <c r="T730" s="730" t="str">
        <f t="shared" si="275"/>
        <v/>
      </c>
      <c r="U730" s="730" t="str">
        <f t="shared" si="275"/>
        <v/>
      </c>
      <c r="V730" s="730">
        <f t="shared" si="274"/>
        <v>0.99999904078660129</v>
      </c>
      <c r="W730" s="531"/>
      <c r="X730" s="236"/>
      <c r="Y730" s="236" t="s">
        <v>598</v>
      </c>
      <c r="Z730" s="236"/>
    </row>
    <row r="731" spans="1:26" ht="11.25" customHeight="1">
      <c r="A731" s="528" t="s">
        <v>628</v>
      </c>
      <c r="B731" s="1013" t="s">
        <v>171</v>
      </c>
      <c r="C731" s="728"/>
      <c r="D731" s="649" t="s">
        <v>290</v>
      </c>
      <c r="E731" s="729" t="s">
        <v>290</v>
      </c>
      <c r="F731" s="103">
        <f>SUM('[3]chd6-SAOB'!AV14)</f>
        <v>0</v>
      </c>
      <c r="G731" s="103">
        <f>SUM('[3]chd6-SAOB'!AV50)</f>
        <v>0</v>
      </c>
      <c r="H731" s="103">
        <f>SUM('[3]chd6-SAOB'!AV143)</f>
        <v>0</v>
      </c>
      <c r="I731" s="103">
        <f>SUM(F731:H731)</f>
        <v>0</v>
      </c>
      <c r="J731" s="103">
        <f>SUM('[3]chd6-SAOB'!AV15)</f>
        <v>0</v>
      </c>
      <c r="K731" s="103">
        <f>SUM('[3]chd6-SAOB'!AV51)</f>
        <v>0</v>
      </c>
      <c r="L731" s="103">
        <f>SUM('[3]chd6-SAOB'!AV144)</f>
        <v>0</v>
      </c>
      <c r="M731" s="103">
        <f t="shared" si="268"/>
        <v>0</v>
      </c>
      <c r="N731" s="103">
        <f t="shared" si="269"/>
        <v>0</v>
      </c>
      <c r="O731" s="103">
        <f t="shared" si="269"/>
        <v>0</v>
      </c>
      <c r="P731" s="103">
        <f t="shared" si="269"/>
        <v>0</v>
      </c>
      <c r="Q731" s="103">
        <f t="shared" si="270"/>
        <v>0</v>
      </c>
      <c r="S731" s="730" t="str">
        <f t="shared" si="275"/>
        <v/>
      </c>
      <c r="T731" s="730" t="str">
        <f t="shared" si="275"/>
        <v/>
      </c>
      <c r="U731" s="730" t="str">
        <f t="shared" si="275"/>
        <v/>
      </c>
      <c r="V731" s="730" t="str">
        <f t="shared" si="274"/>
        <v/>
      </c>
      <c r="W731" s="531"/>
      <c r="X731" s="236"/>
      <c r="Y731" s="236" t="s">
        <v>598</v>
      </c>
      <c r="Z731" s="236"/>
    </row>
    <row r="732" spans="1:26" s="671" customFormat="1" ht="11.25" customHeight="1">
      <c r="A732" s="246" t="s">
        <v>628</v>
      </c>
      <c r="B732" s="235" t="s">
        <v>171</v>
      </c>
      <c r="C732" s="1425" t="s">
        <v>309</v>
      </c>
      <c r="D732" s="1426"/>
      <c r="E732" s="1427"/>
      <c r="F732" s="652">
        <f t="shared" ref="F732:M732" si="276">+F722+F724+F726</f>
        <v>94425377</v>
      </c>
      <c r="G732" s="652">
        <f t="shared" si="276"/>
        <v>383247925</v>
      </c>
      <c r="H732" s="652">
        <f t="shared" si="276"/>
        <v>81800000</v>
      </c>
      <c r="I732" s="652">
        <f t="shared" si="276"/>
        <v>559473302</v>
      </c>
      <c r="J732" s="652">
        <f t="shared" si="276"/>
        <v>84794173.390000015</v>
      </c>
      <c r="K732" s="652">
        <f t="shared" si="276"/>
        <v>233432210.81999999</v>
      </c>
      <c r="L732" s="652">
        <f t="shared" si="276"/>
        <v>81800000</v>
      </c>
      <c r="M732" s="652">
        <f t="shared" si="276"/>
        <v>400026384.21000004</v>
      </c>
      <c r="N732" s="652">
        <f t="shared" si="269"/>
        <v>9631203.6099999845</v>
      </c>
      <c r="O732" s="652">
        <f t="shared" si="269"/>
        <v>149815714.18000001</v>
      </c>
      <c r="P732" s="652">
        <f t="shared" si="269"/>
        <v>0</v>
      </c>
      <c r="Q732" s="652">
        <f t="shared" si="270"/>
        <v>159446917.78999999</v>
      </c>
      <c r="R732" s="670">
        <f>+Q732-'[3]chd6-SAOB'!BX180</f>
        <v>0</v>
      </c>
      <c r="S732" s="1008">
        <f t="shared" si="275"/>
        <v>0.8980019575669792</v>
      </c>
      <c r="T732" s="1008">
        <f t="shared" si="275"/>
        <v>0.60908930118799731</v>
      </c>
      <c r="U732" s="1008">
        <f t="shared" si="275"/>
        <v>1</v>
      </c>
      <c r="V732" s="1008">
        <f t="shared" si="274"/>
        <v>0.71500531442696091</v>
      </c>
      <c r="W732" s="254"/>
      <c r="X732" s="237"/>
      <c r="Y732" s="610" t="s">
        <v>598</v>
      </c>
      <c r="Z732" s="241" t="s">
        <v>598</v>
      </c>
    </row>
    <row r="733" spans="1:26" ht="11.25" customHeight="1">
      <c r="A733" s="246" t="s">
        <v>628</v>
      </c>
      <c r="B733" s="235" t="s">
        <v>171</v>
      </c>
      <c r="C733" s="410"/>
      <c r="D733" s="386"/>
      <c r="E733" s="461"/>
      <c r="F733" s="103"/>
      <c r="G733" s="103"/>
      <c r="H733" s="103"/>
      <c r="I733" s="103">
        <f>SUM(F733:H733)</f>
        <v>0</v>
      </c>
      <c r="J733" s="103"/>
      <c r="K733" s="103"/>
      <c r="L733" s="103"/>
      <c r="M733" s="103">
        <f t="shared" si="268"/>
        <v>0</v>
      </c>
      <c r="N733" s="103">
        <f t="shared" si="269"/>
        <v>0</v>
      </c>
      <c r="O733" s="103">
        <f t="shared" si="269"/>
        <v>0</v>
      </c>
      <c r="P733" s="103">
        <f t="shared" si="269"/>
        <v>0</v>
      </c>
      <c r="Q733" s="103">
        <f t="shared" si="270"/>
        <v>0</v>
      </c>
      <c r="S733" s="730" t="str">
        <f t="shared" si="275"/>
        <v/>
      </c>
      <c r="T733" s="730" t="str">
        <f t="shared" si="275"/>
        <v/>
      </c>
      <c r="U733" s="730" t="str">
        <f t="shared" si="275"/>
        <v/>
      </c>
      <c r="V733" s="730" t="str">
        <f t="shared" si="274"/>
        <v/>
      </c>
      <c r="W733" s="254"/>
      <c r="Y733" s="610" t="s">
        <v>598</v>
      </c>
      <c r="Z733" s="241" t="s">
        <v>598</v>
      </c>
    </row>
    <row r="734" spans="1:26" ht="11.25" customHeight="1">
      <c r="A734" s="246" t="s">
        <v>628</v>
      </c>
      <c r="B734" s="235" t="s">
        <v>175</v>
      </c>
      <c r="C734" s="410" t="s">
        <v>174</v>
      </c>
      <c r="D734" s="386"/>
      <c r="E734" s="461"/>
      <c r="F734" s="104"/>
      <c r="G734" s="104"/>
      <c r="H734" s="104"/>
      <c r="I734" s="103">
        <f>SUM(F734:H734)</f>
        <v>0</v>
      </c>
      <c r="J734" s="104"/>
      <c r="K734" s="104"/>
      <c r="L734" s="104"/>
      <c r="M734" s="103">
        <f t="shared" si="268"/>
        <v>0</v>
      </c>
      <c r="N734" s="103">
        <f t="shared" si="269"/>
        <v>0</v>
      </c>
      <c r="O734" s="103">
        <f t="shared" si="269"/>
        <v>0</v>
      </c>
      <c r="P734" s="103">
        <f t="shared" si="269"/>
        <v>0</v>
      </c>
      <c r="Q734" s="103">
        <f t="shared" si="270"/>
        <v>0</v>
      </c>
      <c r="S734" s="730" t="str">
        <f t="shared" si="275"/>
        <v/>
      </c>
      <c r="T734" s="730" t="str">
        <f t="shared" si="275"/>
        <v/>
      </c>
      <c r="U734" s="730" t="str">
        <f t="shared" si="275"/>
        <v/>
      </c>
      <c r="V734" s="730" t="str">
        <f t="shared" si="274"/>
        <v/>
      </c>
      <c r="W734" s="254"/>
      <c r="Y734" s="610" t="s">
        <v>598</v>
      </c>
      <c r="Z734" s="241" t="s">
        <v>598</v>
      </c>
    </row>
    <row r="735" spans="1:26" s="675" customFormat="1" ht="11.25" customHeight="1">
      <c r="A735" s="528" t="s">
        <v>628</v>
      </c>
      <c r="B735" s="528" t="s">
        <v>175</v>
      </c>
      <c r="C735" s="407" t="s">
        <v>98</v>
      </c>
      <c r="D735" s="655" t="s">
        <v>105</v>
      </c>
      <c r="E735" s="408" t="s">
        <v>813</v>
      </c>
      <c r="F735" s="673"/>
      <c r="G735" s="673"/>
      <c r="H735" s="673"/>
      <c r="I735" s="674">
        <f>SUM(F735:H735)</f>
        <v>0</v>
      </c>
      <c r="J735" s="673"/>
      <c r="K735" s="673"/>
      <c r="L735" s="673"/>
      <c r="M735" s="674">
        <f t="shared" si="268"/>
        <v>0</v>
      </c>
      <c r="N735" s="674">
        <f t="shared" si="269"/>
        <v>0</v>
      </c>
      <c r="O735" s="674">
        <f t="shared" si="269"/>
        <v>0</v>
      </c>
      <c r="P735" s="674">
        <f t="shared" si="269"/>
        <v>0</v>
      </c>
      <c r="Q735" s="674">
        <f t="shared" si="270"/>
        <v>0</v>
      </c>
      <c r="R735" s="101"/>
      <c r="S735" s="254" t="str">
        <f t="shared" si="275"/>
        <v/>
      </c>
      <c r="T735" s="254" t="str">
        <f t="shared" si="275"/>
        <v/>
      </c>
      <c r="U735" s="254" t="str">
        <f t="shared" si="275"/>
        <v/>
      </c>
      <c r="V735" s="254" t="str">
        <f t="shared" si="274"/>
        <v/>
      </c>
      <c r="W735" s="531"/>
      <c r="Y735" s="272" t="s">
        <v>598</v>
      </c>
      <c r="Z735" s="260" t="s">
        <v>598</v>
      </c>
    </row>
    <row r="736" spans="1:26" ht="11.25" customHeight="1">
      <c r="A736" s="528" t="s">
        <v>628</v>
      </c>
      <c r="B736" s="1013" t="s">
        <v>175</v>
      </c>
      <c r="C736" s="461"/>
      <c r="D736" s="645" t="s">
        <v>766</v>
      </c>
      <c r="E736" s="447" t="s">
        <v>766</v>
      </c>
      <c r="F736" s="104">
        <f>'[3]chd6-SAOB'!C391</f>
        <v>188491681</v>
      </c>
      <c r="G736" s="104">
        <f>'[3]chd6-SAOB'!D391</f>
        <v>47828319</v>
      </c>
      <c r="H736" s="104">
        <f>'[3]chd6-SAOB'!E391</f>
        <v>0</v>
      </c>
      <c r="I736" s="103">
        <f>SUM(F736:H736)</f>
        <v>236320000</v>
      </c>
      <c r="J736" s="104">
        <f>'[3]chd6-SAOB'!G391</f>
        <v>175442649.88999999</v>
      </c>
      <c r="K736" s="104">
        <f>'[3]chd6-SAOB'!H391</f>
        <v>41704696.619999997</v>
      </c>
      <c r="L736" s="104">
        <f>'[3]chd6-SAOB'!I391</f>
        <v>0</v>
      </c>
      <c r="M736" s="103">
        <f t="shared" si="268"/>
        <v>217147346.50999999</v>
      </c>
      <c r="N736" s="103">
        <f t="shared" si="269"/>
        <v>13049031.110000014</v>
      </c>
      <c r="O736" s="103">
        <f t="shared" si="269"/>
        <v>6123622.3800000027</v>
      </c>
      <c r="P736" s="103">
        <f t="shared" si="269"/>
        <v>0</v>
      </c>
      <c r="Q736" s="103">
        <f t="shared" si="270"/>
        <v>19172653.490000017</v>
      </c>
      <c r="S736" s="730">
        <f t="shared" si="275"/>
        <v>0.93077131552559067</v>
      </c>
      <c r="T736" s="730">
        <f t="shared" si="275"/>
        <v>0.87196659828249445</v>
      </c>
      <c r="U736" s="730" t="str">
        <f t="shared" si="275"/>
        <v/>
      </c>
      <c r="V736" s="730">
        <f t="shared" si="274"/>
        <v>0.9188699496868652</v>
      </c>
      <c r="W736" s="531"/>
      <c r="X736" s="236"/>
      <c r="Y736" s="236" t="s">
        <v>688</v>
      </c>
      <c r="Z736" s="236"/>
    </row>
    <row r="737" spans="1:26" ht="11.25" customHeight="1">
      <c r="A737" s="528" t="s">
        <v>628</v>
      </c>
      <c r="B737" s="1013" t="s">
        <v>175</v>
      </c>
      <c r="C737" s="728"/>
      <c r="D737" s="649" t="s">
        <v>50</v>
      </c>
      <c r="E737" s="447" t="s">
        <v>50</v>
      </c>
      <c r="F737" s="104"/>
      <c r="G737" s="104">
        <f>'[3]chd6-SAOB'!D393</f>
        <v>39525975.060000002</v>
      </c>
      <c r="H737" s="104">
        <f>'[3]chd6-SAOB'!E393</f>
        <v>97780932</v>
      </c>
      <c r="I737" s="103">
        <f>SUM(F737:H737)</f>
        <v>137306907.06</v>
      </c>
      <c r="J737" s="104"/>
      <c r="K737" s="104">
        <f>'[3]chd6-SAOB'!H393</f>
        <v>34784359.710000001</v>
      </c>
      <c r="L737" s="104">
        <f>'[3]chd6-SAOB'!I393</f>
        <v>85202888.879999995</v>
      </c>
      <c r="M737" s="103">
        <f>SUM(J737:L737)</f>
        <v>119987248.59</v>
      </c>
      <c r="N737" s="103">
        <f t="shared" si="269"/>
        <v>0</v>
      </c>
      <c r="O737" s="103">
        <f t="shared" si="269"/>
        <v>4741615.3500000015</v>
      </c>
      <c r="P737" s="103">
        <f t="shared" si="269"/>
        <v>12578043.120000005</v>
      </c>
      <c r="Q737" s="103">
        <f t="shared" si="270"/>
        <v>17319658.470000006</v>
      </c>
      <c r="S737" s="730" t="str">
        <f t="shared" si="275"/>
        <v/>
      </c>
      <c r="T737" s="730">
        <f t="shared" si="275"/>
        <v>0.88003799165479712</v>
      </c>
      <c r="U737" s="730">
        <f t="shared" si="275"/>
        <v>0.87136507228219096</v>
      </c>
      <c r="V737" s="730">
        <f t="shared" si="274"/>
        <v>0.87386170993982337</v>
      </c>
      <c r="W737" s="531"/>
      <c r="X737" s="236"/>
      <c r="Y737" s="236" t="s">
        <v>688</v>
      </c>
      <c r="Z737" s="236"/>
    </row>
    <row r="738" spans="1:26" s="256" customFormat="1" ht="11.25" customHeight="1">
      <c r="A738" s="528" t="s">
        <v>628</v>
      </c>
      <c r="B738" s="528" t="s">
        <v>175</v>
      </c>
      <c r="C738" s="389"/>
      <c r="D738" s="650" t="s">
        <v>98</v>
      </c>
      <c r="E738" s="390" t="s">
        <v>767</v>
      </c>
      <c r="F738" s="391">
        <f>+F736+F737</f>
        <v>188491681</v>
      </c>
      <c r="G738" s="391">
        <f t="shared" ref="G738:M738" si="277">+G736+G737</f>
        <v>87354294.060000002</v>
      </c>
      <c r="H738" s="391">
        <f t="shared" si="277"/>
        <v>97780932</v>
      </c>
      <c r="I738" s="391">
        <f t="shared" si="277"/>
        <v>373626907.06</v>
      </c>
      <c r="J738" s="391">
        <f t="shared" si="277"/>
        <v>175442649.88999999</v>
      </c>
      <c r="K738" s="391">
        <f t="shared" si="277"/>
        <v>76489056.329999998</v>
      </c>
      <c r="L738" s="391">
        <f t="shared" si="277"/>
        <v>85202888.879999995</v>
      </c>
      <c r="M738" s="391">
        <f t="shared" si="277"/>
        <v>337134595.10000002</v>
      </c>
      <c r="N738" s="391">
        <f t="shared" si="269"/>
        <v>13049031.110000014</v>
      </c>
      <c r="O738" s="391">
        <f t="shared" si="269"/>
        <v>10865237.730000004</v>
      </c>
      <c r="P738" s="391">
        <f t="shared" si="269"/>
        <v>12578043.120000005</v>
      </c>
      <c r="Q738" s="391">
        <f t="shared" si="270"/>
        <v>36492311.960000023</v>
      </c>
      <c r="R738" s="101"/>
      <c r="S738" s="254">
        <f t="shared" si="275"/>
        <v>0.93077131552559067</v>
      </c>
      <c r="T738" s="254">
        <f t="shared" si="275"/>
        <v>0.87561873349308816</v>
      </c>
      <c r="U738" s="254">
        <f t="shared" si="275"/>
        <v>0.87136507228219096</v>
      </c>
      <c r="V738" s="254">
        <f t="shared" si="274"/>
        <v>0.90232953978836505</v>
      </c>
      <c r="W738" s="531"/>
      <c r="Y738" s="256" t="s">
        <v>598</v>
      </c>
      <c r="Z738" s="256" t="s">
        <v>598</v>
      </c>
    </row>
    <row r="739" spans="1:26" ht="11.25" hidden="1" customHeight="1">
      <c r="A739" s="528" t="s">
        <v>628</v>
      </c>
      <c r="B739" s="1013" t="s">
        <v>175</v>
      </c>
      <c r="C739" s="410"/>
      <c r="D739" s="651"/>
      <c r="E739" s="806" t="s">
        <v>764</v>
      </c>
      <c r="F739" s="807"/>
      <c r="G739" s="807"/>
      <c r="H739" s="807"/>
      <c r="I739" s="807"/>
      <c r="J739" s="807"/>
      <c r="K739" s="807"/>
      <c r="L739" s="807"/>
      <c r="M739" s="807"/>
      <c r="N739" s="807">
        <f t="shared" si="269"/>
        <v>0</v>
      </c>
      <c r="O739" s="807">
        <f t="shared" si="269"/>
        <v>0</v>
      </c>
      <c r="P739" s="807">
        <f t="shared" si="269"/>
        <v>0</v>
      </c>
      <c r="Q739" s="807">
        <f t="shared" si="270"/>
        <v>0</v>
      </c>
      <c r="R739" s="276"/>
      <c r="S739" s="730" t="str">
        <f t="shared" si="275"/>
        <v/>
      </c>
      <c r="T739" s="730" t="str">
        <f t="shared" si="275"/>
        <v/>
      </c>
      <c r="U739" s="730" t="str">
        <f t="shared" si="275"/>
        <v/>
      </c>
      <c r="V739" s="730" t="str">
        <f t="shared" si="274"/>
        <v/>
      </c>
      <c r="W739" s="531"/>
      <c r="X739" s="236"/>
      <c r="Y739" s="236"/>
      <c r="Z739" s="236"/>
    </row>
    <row r="740" spans="1:26" s="256" customFormat="1" ht="11.25" customHeight="1">
      <c r="A740" s="528" t="s">
        <v>628</v>
      </c>
      <c r="B740" s="528" t="s">
        <v>175</v>
      </c>
      <c r="C740" s="389"/>
      <c r="D740" s="650" t="s">
        <v>98</v>
      </c>
      <c r="E740" s="390" t="s">
        <v>99</v>
      </c>
      <c r="F740" s="391">
        <f>+F741</f>
        <v>16056000</v>
      </c>
      <c r="G740" s="391">
        <f t="shared" ref="G740:M740" si="278">+G741</f>
        <v>0</v>
      </c>
      <c r="H740" s="391">
        <f t="shared" si="278"/>
        <v>0</v>
      </c>
      <c r="I740" s="391">
        <f t="shared" si="278"/>
        <v>16056000</v>
      </c>
      <c r="J740" s="391">
        <f t="shared" si="278"/>
        <v>14941816.560000001</v>
      </c>
      <c r="K740" s="391">
        <f t="shared" si="278"/>
        <v>0</v>
      </c>
      <c r="L740" s="391">
        <f t="shared" si="278"/>
        <v>0</v>
      </c>
      <c r="M740" s="391">
        <f t="shared" si="278"/>
        <v>14941816.560000001</v>
      </c>
      <c r="N740" s="391">
        <f t="shared" si="269"/>
        <v>1114183.4399999995</v>
      </c>
      <c r="O740" s="391">
        <f t="shared" si="269"/>
        <v>0</v>
      </c>
      <c r="P740" s="391">
        <f t="shared" si="269"/>
        <v>0</v>
      </c>
      <c r="Q740" s="391">
        <f t="shared" si="270"/>
        <v>1114183.4399999995</v>
      </c>
      <c r="R740" s="101"/>
      <c r="S740" s="254">
        <f t="shared" si="275"/>
        <v>0.93060641255605381</v>
      </c>
      <c r="T740" s="254" t="str">
        <f t="shared" si="275"/>
        <v/>
      </c>
      <c r="U740" s="254" t="str">
        <f t="shared" si="275"/>
        <v/>
      </c>
      <c r="V740" s="254">
        <f t="shared" si="274"/>
        <v>0.93060641255605381</v>
      </c>
      <c r="W740" s="531"/>
      <c r="Y740" s="256" t="s">
        <v>598</v>
      </c>
      <c r="Z740" s="256" t="s">
        <v>598</v>
      </c>
    </row>
    <row r="741" spans="1:26" ht="11.25" customHeight="1">
      <c r="A741" s="528" t="s">
        <v>628</v>
      </c>
      <c r="B741" s="1013" t="s">
        <v>175</v>
      </c>
      <c r="C741" s="728"/>
      <c r="D741" s="649" t="s">
        <v>286</v>
      </c>
      <c r="E741" s="729" t="s">
        <v>286</v>
      </c>
      <c r="F741" s="103">
        <f>SUM('[3]chd6-SAOB'!AE14)</f>
        <v>16056000</v>
      </c>
      <c r="G741" s="103">
        <f>SUM('[3]chd6-SAOB'!AE50)</f>
        <v>0</v>
      </c>
      <c r="H741" s="103">
        <f>SUM('[3]chd6-SAOB'!AE143)</f>
        <v>0</v>
      </c>
      <c r="I741" s="103">
        <f>SUM(F741:H741)</f>
        <v>16056000</v>
      </c>
      <c r="J741" s="103">
        <f>SUM('[3]chd6-SAOB'!AE15)</f>
        <v>14941816.560000001</v>
      </c>
      <c r="K741" s="103">
        <f>SUM('[3]chd6-SAOB'!AE51)</f>
        <v>0</v>
      </c>
      <c r="L741" s="103">
        <f>SUM('[3]chd6-SAOB'!AE144)</f>
        <v>0</v>
      </c>
      <c r="M741" s="103">
        <f t="shared" si="268"/>
        <v>14941816.560000001</v>
      </c>
      <c r="N741" s="103">
        <f t="shared" si="269"/>
        <v>1114183.4399999995</v>
      </c>
      <c r="O741" s="103">
        <f t="shared" si="269"/>
        <v>0</v>
      </c>
      <c r="P741" s="103">
        <f t="shared" si="269"/>
        <v>0</v>
      </c>
      <c r="Q741" s="103">
        <f t="shared" si="270"/>
        <v>1114183.4399999995</v>
      </c>
      <c r="S741" s="730">
        <f t="shared" si="275"/>
        <v>0.93060641255605381</v>
      </c>
      <c r="T741" s="730" t="str">
        <f t="shared" si="275"/>
        <v/>
      </c>
      <c r="U741" s="730" t="str">
        <f t="shared" si="275"/>
        <v/>
      </c>
      <c r="V741" s="730">
        <f t="shared" si="274"/>
        <v>0.93060641255605381</v>
      </c>
      <c r="W741" s="531"/>
      <c r="X741" s="236"/>
      <c r="Y741" s="236" t="s">
        <v>598</v>
      </c>
      <c r="Z741" s="236"/>
    </row>
    <row r="742" spans="1:26" s="272" customFormat="1" ht="11.25" customHeight="1">
      <c r="A742" s="528" t="s">
        <v>628</v>
      </c>
      <c r="B742" s="528" t="s">
        <v>175</v>
      </c>
      <c r="C742" s="389"/>
      <c r="D742" s="650" t="s">
        <v>98</v>
      </c>
      <c r="E742" s="390" t="s">
        <v>100</v>
      </c>
      <c r="F742" s="391">
        <f t="shared" ref="F742:M742" si="279">SUM(F743:F747)</f>
        <v>12687906</v>
      </c>
      <c r="G742" s="391">
        <f t="shared" si="279"/>
        <v>6475000</v>
      </c>
      <c r="H742" s="391">
        <f t="shared" si="279"/>
        <v>0</v>
      </c>
      <c r="I742" s="391">
        <f t="shared" si="279"/>
        <v>19162906</v>
      </c>
      <c r="J742" s="391">
        <f t="shared" si="279"/>
        <v>12687899.93</v>
      </c>
      <c r="K742" s="391">
        <f t="shared" si="279"/>
        <v>3395771</v>
      </c>
      <c r="L742" s="391">
        <f t="shared" si="279"/>
        <v>0</v>
      </c>
      <c r="M742" s="391">
        <f t="shared" si="279"/>
        <v>16083670.93</v>
      </c>
      <c r="N742" s="391">
        <f t="shared" si="269"/>
        <v>6.0700000002980232</v>
      </c>
      <c r="O742" s="391">
        <f t="shared" si="269"/>
        <v>3079229</v>
      </c>
      <c r="P742" s="391">
        <f t="shared" si="269"/>
        <v>0</v>
      </c>
      <c r="Q742" s="391">
        <f t="shared" si="270"/>
        <v>3079235.0700000003</v>
      </c>
      <c r="R742" s="102"/>
      <c r="S742" s="254">
        <f t="shared" si="275"/>
        <v>0.99999952159166372</v>
      </c>
      <c r="T742" s="254">
        <f t="shared" si="275"/>
        <v>0.52444339768339765</v>
      </c>
      <c r="U742" s="254" t="str">
        <f t="shared" si="275"/>
        <v/>
      </c>
      <c r="V742" s="254">
        <f t="shared" si="274"/>
        <v>0.83931272897753606</v>
      </c>
      <c r="W742" s="531"/>
      <c r="Y742" s="272" t="s">
        <v>598</v>
      </c>
      <c r="Z742" s="256" t="s">
        <v>598</v>
      </c>
    </row>
    <row r="743" spans="1:26" ht="11.25" customHeight="1">
      <c r="A743" s="528" t="s">
        <v>628</v>
      </c>
      <c r="B743" s="1013" t="s">
        <v>175</v>
      </c>
      <c r="C743" s="728"/>
      <c r="D743" s="649" t="s">
        <v>288</v>
      </c>
      <c r="E743" s="729" t="s">
        <v>288</v>
      </c>
      <c r="F743" s="103">
        <f>SUM('[3]chd6-SAOB'!AK14)</f>
        <v>0</v>
      </c>
      <c r="G743" s="103">
        <f>SUM('[3]chd6-SAOB'!AK50)</f>
        <v>0</v>
      </c>
      <c r="H743" s="103">
        <f>SUM('[3]chd6-SAOB'!AK143)</f>
        <v>0</v>
      </c>
      <c r="I743" s="103">
        <f>SUM(F743:H743)</f>
        <v>0</v>
      </c>
      <c r="J743" s="103">
        <f>SUM('[3]chd6-SAOB'!AK15)</f>
        <v>0</v>
      </c>
      <c r="K743" s="103">
        <f>SUM('[3]chd6-SAOB'!AK51)</f>
        <v>0</v>
      </c>
      <c r="L743" s="103">
        <f>SUM('[3]chd6-SAOB'!AK144)</f>
        <v>0</v>
      </c>
      <c r="M743" s="103">
        <f t="shared" si="268"/>
        <v>0</v>
      </c>
      <c r="N743" s="103">
        <f t="shared" si="269"/>
        <v>0</v>
      </c>
      <c r="O743" s="103">
        <f t="shared" si="269"/>
        <v>0</v>
      </c>
      <c r="P743" s="103">
        <f t="shared" si="269"/>
        <v>0</v>
      </c>
      <c r="Q743" s="103">
        <f t="shared" si="270"/>
        <v>0</v>
      </c>
      <c r="S743" s="730" t="str">
        <f t="shared" si="275"/>
        <v/>
      </c>
      <c r="T743" s="730" t="str">
        <f t="shared" si="275"/>
        <v/>
      </c>
      <c r="U743" s="730" t="str">
        <f t="shared" si="275"/>
        <v/>
      </c>
      <c r="V743" s="730" t="str">
        <f t="shared" si="274"/>
        <v/>
      </c>
      <c r="W743" s="531"/>
      <c r="X743" s="236"/>
      <c r="Y743" s="236" t="s">
        <v>598</v>
      </c>
      <c r="Z743" s="236"/>
    </row>
    <row r="744" spans="1:26" ht="11.25" customHeight="1">
      <c r="A744" s="528" t="s">
        <v>628</v>
      </c>
      <c r="B744" s="1013" t="s">
        <v>175</v>
      </c>
      <c r="C744" s="728"/>
      <c r="D744" s="649" t="s">
        <v>761</v>
      </c>
      <c r="E744" s="729" t="s">
        <v>761</v>
      </c>
      <c r="F744" s="104">
        <f>'[3]chd6-SAOB'!C393</f>
        <v>3650000</v>
      </c>
      <c r="G744" s="104"/>
      <c r="H744" s="104"/>
      <c r="I744" s="103">
        <f>SUM(F744:H744)</f>
        <v>3650000</v>
      </c>
      <c r="J744" s="104">
        <f>'[3]chd6-SAOB'!G393</f>
        <v>3650000</v>
      </c>
      <c r="K744" s="104"/>
      <c r="L744" s="104"/>
      <c r="M744" s="103">
        <f>SUM(J744:L744)</f>
        <v>3650000</v>
      </c>
      <c r="N744" s="103">
        <f>+F744-J744</f>
        <v>0</v>
      </c>
      <c r="O744" s="103">
        <f>+G744-K744</f>
        <v>0</v>
      </c>
      <c r="P744" s="103">
        <f>+H744-L744</f>
        <v>0</v>
      </c>
      <c r="Q744" s="103">
        <f>SUM(N744:P744)</f>
        <v>0</v>
      </c>
      <c r="S744" s="730">
        <f t="shared" si="275"/>
        <v>1</v>
      </c>
      <c r="T744" s="730" t="str">
        <f t="shared" si="275"/>
        <v/>
      </c>
      <c r="U744" s="730" t="str">
        <f t="shared" si="275"/>
        <v/>
      </c>
      <c r="V744" s="730">
        <f t="shared" si="274"/>
        <v>1</v>
      </c>
      <c r="W744" s="531"/>
      <c r="X744" s="236"/>
      <c r="Y744" s="236" t="s">
        <v>688</v>
      </c>
      <c r="Z744" s="236"/>
    </row>
    <row r="745" spans="1:26" ht="11.25" customHeight="1">
      <c r="A745" s="528" t="s">
        <v>628</v>
      </c>
      <c r="B745" s="1013" t="s">
        <v>175</v>
      </c>
      <c r="C745" s="410"/>
      <c r="D745" s="647"/>
      <c r="E745" s="461" t="s">
        <v>764</v>
      </c>
      <c r="F745" s="104"/>
      <c r="G745" s="104"/>
      <c r="H745" s="104"/>
      <c r="I745" s="103"/>
      <c r="J745" s="104"/>
      <c r="K745" s="104"/>
      <c r="L745" s="104"/>
      <c r="M745" s="103"/>
      <c r="N745" s="103"/>
      <c r="O745" s="103"/>
      <c r="P745" s="103"/>
      <c r="Q745" s="103"/>
      <c r="S745" s="730" t="str">
        <f t="shared" si="275"/>
        <v/>
      </c>
      <c r="T745" s="730" t="str">
        <f t="shared" si="275"/>
        <v/>
      </c>
      <c r="U745" s="730" t="str">
        <f t="shared" si="275"/>
        <v/>
      </c>
      <c r="V745" s="730" t="str">
        <f t="shared" si="274"/>
        <v/>
      </c>
      <c r="W745" s="531"/>
      <c r="X745" s="236"/>
      <c r="Y745" s="236" t="s">
        <v>688</v>
      </c>
      <c r="Z745" s="240"/>
    </row>
    <row r="746" spans="1:26" ht="11.25" customHeight="1">
      <c r="A746" s="528" t="s">
        <v>628</v>
      </c>
      <c r="B746" s="1013" t="s">
        <v>175</v>
      </c>
      <c r="C746" s="728"/>
      <c r="D746" s="649" t="s">
        <v>289</v>
      </c>
      <c r="E746" s="729" t="s">
        <v>289</v>
      </c>
      <c r="F746" s="103">
        <f>SUM('[3]chd6-SAOB'!AQ14)</f>
        <v>9037906</v>
      </c>
      <c r="G746" s="103">
        <f>SUM('[3]chd6-SAOB'!AQ50)</f>
        <v>0</v>
      </c>
      <c r="H746" s="103">
        <f>SUM('[3]chd6-SAOB'!AQ143)</f>
        <v>0</v>
      </c>
      <c r="I746" s="103">
        <f>SUM(F746:H746)</f>
        <v>9037906</v>
      </c>
      <c r="J746" s="103">
        <f>SUM('[3]chd6-SAOB'!AQ15)</f>
        <v>9037899.9299999997</v>
      </c>
      <c r="K746" s="103">
        <f>SUM('[3]chd6-SAOB'!AQ51)</f>
        <v>0</v>
      </c>
      <c r="L746" s="103">
        <f>SUM('[3]chd6-SAOB'!AQ144)</f>
        <v>0</v>
      </c>
      <c r="M746" s="103">
        <f t="shared" si="268"/>
        <v>9037899.9299999997</v>
      </c>
      <c r="N746" s="103">
        <f t="shared" si="269"/>
        <v>6.0700000002980232</v>
      </c>
      <c r="O746" s="103">
        <f t="shared" si="269"/>
        <v>0</v>
      </c>
      <c r="P746" s="103">
        <f t="shared" si="269"/>
        <v>0</v>
      </c>
      <c r="Q746" s="103">
        <f t="shared" si="270"/>
        <v>6.0700000002980232</v>
      </c>
      <c r="S746" s="730">
        <f t="shared" si="275"/>
        <v>0.99999932838425176</v>
      </c>
      <c r="T746" s="730" t="str">
        <f t="shared" si="275"/>
        <v/>
      </c>
      <c r="U746" s="730" t="str">
        <f t="shared" si="275"/>
        <v/>
      </c>
      <c r="V746" s="730">
        <f t="shared" si="274"/>
        <v>0.99999932838425176</v>
      </c>
      <c r="W746" s="531"/>
      <c r="X746" s="236"/>
      <c r="Y746" s="236" t="s">
        <v>598</v>
      </c>
      <c r="Z746" s="236"/>
    </row>
    <row r="747" spans="1:26" ht="11.25" customHeight="1">
      <c r="A747" s="528" t="s">
        <v>628</v>
      </c>
      <c r="B747" s="1013" t="s">
        <v>175</v>
      </c>
      <c r="C747" s="728"/>
      <c r="D747" s="649" t="s">
        <v>290</v>
      </c>
      <c r="E747" s="729" t="s">
        <v>290</v>
      </c>
      <c r="F747" s="103">
        <f>SUM('[3]chd6-SAOB'!AW14)</f>
        <v>0</v>
      </c>
      <c r="G747" s="103">
        <f>SUM('[3]chd6-SAOB'!AW50)</f>
        <v>6475000</v>
      </c>
      <c r="H747" s="103">
        <f>SUM('[3]chd6-SAOB'!AW143)</f>
        <v>0</v>
      </c>
      <c r="I747" s="103">
        <f>SUM(F747:H747)</f>
        <v>6475000</v>
      </c>
      <c r="J747" s="103">
        <f>SUM('[3]chd6-SAOB'!AW15)</f>
        <v>0</v>
      </c>
      <c r="K747" s="103">
        <f>SUM('[3]chd6-SAOB'!AW51)</f>
        <v>3395771</v>
      </c>
      <c r="L747" s="103">
        <f>SUM('[3]chd6-SAOB'!AW144)</f>
        <v>0</v>
      </c>
      <c r="M747" s="103">
        <f t="shared" si="268"/>
        <v>3395771</v>
      </c>
      <c r="N747" s="103">
        <f t="shared" si="269"/>
        <v>0</v>
      </c>
      <c r="O747" s="103">
        <f t="shared" si="269"/>
        <v>3079229</v>
      </c>
      <c r="P747" s="103">
        <f t="shared" si="269"/>
        <v>0</v>
      </c>
      <c r="Q747" s="103">
        <f t="shared" si="270"/>
        <v>3079229</v>
      </c>
      <c r="S747" s="730" t="str">
        <f t="shared" si="275"/>
        <v/>
      </c>
      <c r="T747" s="730">
        <f t="shared" si="275"/>
        <v>0.52444339768339765</v>
      </c>
      <c r="U747" s="730" t="str">
        <f t="shared" si="275"/>
        <v/>
      </c>
      <c r="V747" s="730">
        <f t="shared" si="274"/>
        <v>0.52444339768339765</v>
      </c>
      <c r="W747" s="531"/>
      <c r="X747" s="236"/>
      <c r="Y747" s="236" t="s">
        <v>598</v>
      </c>
      <c r="Z747" s="236"/>
    </row>
    <row r="748" spans="1:26" s="259" customFormat="1" ht="11.25" customHeight="1">
      <c r="A748" s="246" t="s">
        <v>628</v>
      </c>
      <c r="B748" s="235" t="s">
        <v>175</v>
      </c>
      <c r="C748" s="656"/>
      <c r="D748" s="656"/>
      <c r="E748" s="657" t="s">
        <v>4</v>
      </c>
      <c r="F748" s="652">
        <f>+F738+F740+F742</f>
        <v>217235587</v>
      </c>
      <c r="G748" s="652">
        <f t="shared" ref="G748:M748" si="280">+G738+G740+G742</f>
        <v>93829294.060000002</v>
      </c>
      <c r="H748" s="652">
        <f t="shared" si="280"/>
        <v>97780932</v>
      </c>
      <c r="I748" s="652">
        <f t="shared" si="280"/>
        <v>408845813.06</v>
      </c>
      <c r="J748" s="652">
        <f t="shared" si="280"/>
        <v>203072366.38</v>
      </c>
      <c r="K748" s="652">
        <f t="shared" si="280"/>
        <v>79884827.329999998</v>
      </c>
      <c r="L748" s="652">
        <f t="shared" si="280"/>
        <v>85202888.879999995</v>
      </c>
      <c r="M748" s="652">
        <f t="shared" si="280"/>
        <v>368160082.59000003</v>
      </c>
      <c r="N748" s="652">
        <f t="shared" si="269"/>
        <v>14163220.620000005</v>
      </c>
      <c r="O748" s="652">
        <f t="shared" si="269"/>
        <v>13944466.730000004</v>
      </c>
      <c r="P748" s="652">
        <f t="shared" si="269"/>
        <v>12578043.120000005</v>
      </c>
      <c r="Q748" s="652">
        <f t="shared" si="270"/>
        <v>40685730.470000014</v>
      </c>
      <c r="R748" s="653">
        <f>+Q748-'[3]chd6-SAOB'!BY180</f>
        <v>0</v>
      </c>
      <c r="S748" s="1008">
        <f t="shared" si="275"/>
        <v>0.93480248418045797</v>
      </c>
      <c r="T748" s="1008">
        <f t="shared" si="275"/>
        <v>0.85138472084120032</v>
      </c>
      <c r="U748" s="1008">
        <f t="shared" si="275"/>
        <v>0.87136507228219096</v>
      </c>
      <c r="V748" s="1008">
        <f t="shared" si="274"/>
        <v>0.90048637121782349</v>
      </c>
      <c r="W748" s="254"/>
      <c r="X748" s="520"/>
      <c r="Y748" s="610" t="s">
        <v>598</v>
      </c>
      <c r="Z748" s="241" t="s">
        <v>598</v>
      </c>
    </row>
    <row r="749" spans="1:26" ht="11.25" customHeight="1">
      <c r="A749" s="246" t="s">
        <v>628</v>
      </c>
      <c r="B749" s="235" t="s">
        <v>175</v>
      </c>
      <c r="C749" s="410"/>
      <c r="D749" s="386"/>
      <c r="E749" s="461" t="s">
        <v>764</v>
      </c>
      <c r="F749" s="103"/>
      <c r="G749" s="103"/>
      <c r="H749" s="103"/>
      <c r="I749" s="103">
        <f>SUM(F749:H749)</f>
        <v>0</v>
      </c>
      <c r="J749" s="103"/>
      <c r="K749" s="103"/>
      <c r="L749" s="103"/>
      <c r="M749" s="103">
        <f t="shared" si="268"/>
        <v>0</v>
      </c>
      <c r="N749" s="103">
        <f t="shared" si="269"/>
        <v>0</v>
      </c>
      <c r="O749" s="103">
        <f t="shared" si="269"/>
        <v>0</v>
      </c>
      <c r="P749" s="103">
        <f t="shared" si="269"/>
        <v>0</v>
      </c>
      <c r="Q749" s="103">
        <f t="shared" si="270"/>
        <v>0</v>
      </c>
      <c r="S749" s="730" t="str">
        <f t="shared" si="275"/>
        <v/>
      </c>
      <c r="T749" s="730" t="str">
        <f t="shared" si="275"/>
        <v/>
      </c>
      <c r="U749" s="730" t="str">
        <f t="shared" si="275"/>
        <v/>
      </c>
      <c r="V749" s="730" t="str">
        <f t="shared" si="274"/>
        <v/>
      </c>
      <c r="W749" s="254"/>
      <c r="Y749" s="610" t="s">
        <v>598</v>
      </c>
      <c r="Z749" s="241" t="s">
        <v>598</v>
      </c>
    </row>
    <row r="750" spans="1:26" s="675" customFormat="1" ht="11.25" customHeight="1">
      <c r="A750" s="528" t="s">
        <v>628</v>
      </c>
      <c r="B750" s="528" t="s">
        <v>176</v>
      </c>
      <c r="C750" s="407" t="s">
        <v>98</v>
      </c>
      <c r="D750" s="655">
        <v>2</v>
      </c>
      <c r="E750" s="408" t="s">
        <v>814</v>
      </c>
      <c r="F750" s="673"/>
      <c r="G750" s="673"/>
      <c r="H750" s="673"/>
      <c r="I750" s="674">
        <f>SUM(F750:H750)</f>
        <v>0</v>
      </c>
      <c r="J750" s="673"/>
      <c r="K750" s="673"/>
      <c r="L750" s="673"/>
      <c r="M750" s="674">
        <f t="shared" si="268"/>
        <v>0</v>
      </c>
      <c r="N750" s="674">
        <f t="shared" si="269"/>
        <v>0</v>
      </c>
      <c r="O750" s="674">
        <f t="shared" si="269"/>
        <v>0</v>
      </c>
      <c r="P750" s="674">
        <f t="shared" si="269"/>
        <v>0</v>
      </c>
      <c r="Q750" s="674">
        <f t="shared" si="270"/>
        <v>0</v>
      </c>
      <c r="R750" s="101"/>
      <c r="S750" s="254" t="str">
        <f t="shared" si="275"/>
        <v/>
      </c>
      <c r="T750" s="254" t="str">
        <f t="shared" si="275"/>
        <v/>
      </c>
      <c r="U750" s="254" t="str">
        <f t="shared" si="275"/>
        <v/>
      </c>
      <c r="V750" s="254" t="str">
        <f t="shared" si="274"/>
        <v/>
      </c>
      <c r="W750" s="531"/>
      <c r="Y750" s="272" t="s">
        <v>598</v>
      </c>
      <c r="Z750" s="260" t="s">
        <v>598</v>
      </c>
    </row>
    <row r="751" spans="1:26" ht="11.25" customHeight="1">
      <c r="A751" s="528" t="s">
        <v>628</v>
      </c>
      <c r="B751" s="1013" t="s">
        <v>176</v>
      </c>
      <c r="C751" s="461"/>
      <c r="D751" s="645" t="s">
        <v>766</v>
      </c>
      <c r="E751" s="447" t="s">
        <v>766</v>
      </c>
      <c r="F751" s="104">
        <f>'[3]chd6-SAOB'!C405</f>
        <v>15606000</v>
      </c>
      <c r="G751" s="104">
        <f>'[3]chd6-SAOB'!D405</f>
        <v>13105000</v>
      </c>
      <c r="H751" s="104">
        <f>'[3]chd6-SAOB'!E405</f>
        <v>0</v>
      </c>
      <c r="I751" s="103">
        <f>SUM(F751:H751)</f>
        <v>28711000</v>
      </c>
      <c r="J751" s="104">
        <f>'[3]chd6-SAOB'!G405</f>
        <v>14462098.92</v>
      </c>
      <c r="K751" s="104">
        <f>'[3]chd6-SAOB'!H405</f>
        <v>11411954.800000001</v>
      </c>
      <c r="L751" s="104">
        <f>'[3]chd6-SAOB'!I405</f>
        <v>0</v>
      </c>
      <c r="M751" s="103">
        <f t="shared" si="268"/>
        <v>25874053.719999999</v>
      </c>
      <c r="N751" s="103">
        <f t="shared" si="269"/>
        <v>1143901.08</v>
      </c>
      <c r="O751" s="103">
        <f t="shared" si="269"/>
        <v>1693045.1999999993</v>
      </c>
      <c r="P751" s="103">
        <f t="shared" si="269"/>
        <v>0</v>
      </c>
      <c r="Q751" s="103">
        <f t="shared" si="270"/>
        <v>2836946.2799999993</v>
      </c>
      <c r="S751" s="730">
        <f t="shared" si="275"/>
        <v>0.92670119953863894</v>
      </c>
      <c r="T751" s="730">
        <f t="shared" si="275"/>
        <v>0.87080921785578025</v>
      </c>
      <c r="U751" s="730" t="str">
        <f t="shared" si="275"/>
        <v/>
      </c>
      <c r="V751" s="730">
        <f t="shared" si="274"/>
        <v>0.9011895691546794</v>
      </c>
      <c r="W751" s="531"/>
      <c r="X751" s="236"/>
      <c r="Y751" s="236" t="s">
        <v>688</v>
      </c>
      <c r="Z751" s="236"/>
    </row>
    <row r="752" spans="1:26" ht="11.25" customHeight="1">
      <c r="A752" s="528" t="s">
        <v>628</v>
      </c>
      <c r="B752" s="1013" t="s">
        <v>176</v>
      </c>
      <c r="C752" s="728"/>
      <c r="D752" s="649" t="s">
        <v>50</v>
      </c>
      <c r="E752" s="447" t="s">
        <v>50</v>
      </c>
      <c r="F752" s="104"/>
      <c r="G752" s="104">
        <f>'[3]chd6-SAOB'!D407</f>
        <v>6896000</v>
      </c>
      <c r="H752" s="104">
        <f>'[3]chd6-SAOB'!E407</f>
        <v>4250000</v>
      </c>
      <c r="I752" s="103">
        <f>SUM(F752:H752)</f>
        <v>11146000</v>
      </c>
      <c r="J752" s="104"/>
      <c r="K752" s="104">
        <f>'[3]chd6-SAOB'!H407</f>
        <v>2645719.75</v>
      </c>
      <c r="L752" s="104">
        <f>'[3]chd6-SAOB'!I407</f>
        <v>3990203.12</v>
      </c>
      <c r="M752" s="103">
        <f>SUM(J752:L752)</f>
        <v>6635922.8700000001</v>
      </c>
      <c r="N752" s="103">
        <f t="shared" si="269"/>
        <v>0</v>
      </c>
      <c r="O752" s="103">
        <f t="shared" si="269"/>
        <v>4250280.25</v>
      </c>
      <c r="P752" s="103">
        <f t="shared" si="269"/>
        <v>259796.87999999989</v>
      </c>
      <c r="Q752" s="103">
        <f t="shared" si="270"/>
        <v>4510077.13</v>
      </c>
      <c r="S752" s="730" t="str">
        <f t="shared" si="275"/>
        <v/>
      </c>
      <c r="T752" s="730">
        <f t="shared" si="275"/>
        <v>0.38366005655452434</v>
      </c>
      <c r="U752" s="730">
        <f t="shared" si="275"/>
        <v>0.93887132235294124</v>
      </c>
      <c r="V752" s="730">
        <f t="shared" si="274"/>
        <v>0.59536361654405168</v>
      </c>
      <c r="W752" s="531"/>
      <c r="X752" s="236"/>
      <c r="Y752" s="236" t="s">
        <v>688</v>
      </c>
      <c r="Z752" s="236"/>
    </row>
    <row r="753" spans="1:26" s="256" customFormat="1" ht="11.25" customHeight="1">
      <c r="A753" s="528" t="s">
        <v>628</v>
      </c>
      <c r="B753" s="528" t="s">
        <v>176</v>
      </c>
      <c r="C753" s="389"/>
      <c r="D753" s="650" t="s">
        <v>98</v>
      </c>
      <c r="E753" s="390" t="s">
        <v>767</v>
      </c>
      <c r="F753" s="391">
        <f>+F751+F752</f>
        <v>15606000</v>
      </c>
      <c r="G753" s="391">
        <f t="shared" ref="G753:M753" si="281">+G751+G752</f>
        <v>20001000</v>
      </c>
      <c r="H753" s="391">
        <f t="shared" si="281"/>
        <v>4250000</v>
      </c>
      <c r="I753" s="391">
        <f t="shared" si="281"/>
        <v>39857000</v>
      </c>
      <c r="J753" s="391">
        <f t="shared" si="281"/>
        <v>14462098.92</v>
      </c>
      <c r="K753" s="391">
        <f t="shared" si="281"/>
        <v>14057674.550000001</v>
      </c>
      <c r="L753" s="391">
        <f t="shared" si="281"/>
        <v>3990203.12</v>
      </c>
      <c r="M753" s="391">
        <f t="shared" si="281"/>
        <v>32509976.59</v>
      </c>
      <c r="N753" s="391">
        <f t="shared" si="269"/>
        <v>1143901.08</v>
      </c>
      <c r="O753" s="391">
        <f t="shared" si="269"/>
        <v>5943325.4499999993</v>
      </c>
      <c r="P753" s="391">
        <f t="shared" si="269"/>
        <v>259796.87999999989</v>
      </c>
      <c r="Q753" s="391">
        <f t="shared" si="270"/>
        <v>7347023.4099999992</v>
      </c>
      <c r="R753" s="101"/>
      <c r="S753" s="254">
        <f t="shared" si="275"/>
        <v>0.92670119953863894</v>
      </c>
      <c r="T753" s="254">
        <f t="shared" si="275"/>
        <v>0.70284858507074655</v>
      </c>
      <c r="U753" s="254">
        <f t="shared" si="275"/>
        <v>0.93887132235294124</v>
      </c>
      <c r="V753" s="254">
        <f t="shared" si="274"/>
        <v>0.81566541862157216</v>
      </c>
      <c r="W753" s="531"/>
      <c r="Y753" s="256" t="s">
        <v>598</v>
      </c>
      <c r="Z753" s="256" t="s">
        <v>598</v>
      </c>
    </row>
    <row r="754" spans="1:26" ht="11.25" hidden="1" customHeight="1">
      <c r="A754" s="528" t="s">
        <v>628</v>
      </c>
      <c r="B754" s="1013" t="s">
        <v>176</v>
      </c>
      <c r="C754" s="410"/>
      <c r="D754" s="651"/>
      <c r="E754" s="806" t="s">
        <v>764</v>
      </c>
      <c r="F754" s="807"/>
      <c r="G754" s="807"/>
      <c r="H754" s="807"/>
      <c r="I754" s="807"/>
      <c r="J754" s="807"/>
      <c r="K754" s="807"/>
      <c r="L754" s="807"/>
      <c r="M754" s="807"/>
      <c r="N754" s="807">
        <f t="shared" si="269"/>
        <v>0</v>
      </c>
      <c r="O754" s="807">
        <f t="shared" si="269"/>
        <v>0</v>
      </c>
      <c r="P754" s="807">
        <f t="shared" si="269"/>
        <v>0</v>
      </c>
      <c r="Q754" s="807">
        <f t="shared" si="270"/>
        <v>0</v>
      </c>
      <c r="R754" s="276"/>
      <c r="S754" s="730" t="str">
        <f t="shared" si="275"/>
        <v/>
      </c>
      <c r="T754" s="730" t="str">
        <f t="shared" si="275"/>
        <v/>
      </c>
      <c r="U754" s="730" t="str">
        <f t="shared" si="275"/>
        <v/>
      </c>
      <c r="V754" s="730" t="str">
        <f t="shared" si="274"/>
        <v/>
      </c>
      <c r="W754" s="531"/>
      <c r="X754" s="236"/>
      <c r="Y754" s="236"/>
      <c r="Z754" s="236"/>
    </row>
    <row r="755" spans="1:26" s="256" customFormat="1" ht="11.25" customHeight="1">
      <c r="A755" s="528" t="s">
        <v>628</v>
      </c>
      <c r="B755" s="528" t="s">
        <v>176</v>
      </c>
      <c r="C755" s="389"/>
      <c r="D755" s="650" t="s">
        <v>98</v>
      </c>
      <c r="E755" s="390" t="s">
        <v>99</v>
      </c>
      <c r="F755" s="391">
        <f>+F756</f>
        <v>1401000</v>
      </c>
      <c r="G755" s="391">
        <f t="shared" ref="G755:M755" si="282">+G756</f>
        <v>0</v>
      </c>
      <c r="H755" s="391">
        <f t="shared" si="282"/>
        <v>0</v>
      </c>
      <c r="I755" s="391">
        <f t="shared" si="282"/>
        <v>1401000</v>
      </c>
      <c r="J755" s="391">
        <f t="shared" si="282"/>
        <v>1248022.96</v>
      </c>
      <c r="K755" s="391">
        <f t="shared" si="282"/>
        <v>0</v>
      </c>
      <c r="L755" s="391">
        <f t="shared" si="282"/>
        <v>0</v>
      </c>
      <c r="M755" s="391">
        <f t="shared" si="282"/>
        <v>1248022.96</v>
      </c>
      <c r="N755" s="391">
        <f t="shared" si="269"/>
        <v>152977.04000000004</v>
      </c>
      <c r="O755" s="391">
        <f t="shared" si="269"/>
        <v>0</v>
      </c>
      <c r="P755" s="391">
        <f t="shared" si="269"/>
        <v>0</v>
      </c>
      <c r="Q755" s="391">
        <f t="shared" si="270"/>
        <v>152977.04000000004</v>
      </c>
      <c r="R755" s="101"/>
      <c r="S755" s="254">
        <f t="shared" si="275"/>
        <v>0.89080867951463238</v>
      </c>
      <c r="T755" s="254" t="str">
        <f t="shared" si="275"/>
        <v/>
      </c>
      <c r="U755" s="254" t="str">
        <f t="shared" si="275"/>
        <v/>
      </c>
      <c r="V755" s="254">
        <f t="shared" si="274"/>
        <v>0.89080867951463238</v>
      </c>
      <c r="W755" s="531"/>
      <c r="Y755" s="256" t="s">
        <v>598</v>
      </c>
      <c r="Z755" s="256" t="s">
        <v>598</v>
      </c>
    </row>
    <row r="756" spans="1:26" ht="11.25" customHeight="1">
      <c r="A756" s="528" t="s">
        <v>628</v>
      </c>
      <c r="B756" s="1013" t="s">
        <v>176</v>
      </c>
      <c r="C756" s="728"/>
      <c r="D756" s="649" t="s">
        <v>286</v>
      </c>
      <c r="E756" s="729" t="s">
        <v>286</v>
      </c>
      <c r="F756" s="103">
        <f>SUM('[3]chd6-SAOB'!AG14)</f>
        <v>1401000</v>
      </c>
      <c r="G756" s="103">
        <f>SUM('[3]chd6-SAOB'!AG50)</f>
        <v>0</v>
      </c>
      <c r="H756" s="103">
        <f>SUM('[3]chd6-SAOB'!AG143)</f>
        <v>0</v>
      </c>
      <c r="I756" s="103">
        <f>SUM(F756:H756)</f>
        <v>1401000</v>
      </c>
      <c r="J756" s="103">
        <f>SUM('[3]chd6-SAOB'!AG15)</f>
        <v>1248022.96</v>
      </c>
      <c r="K756" s="103">
        <f>SUM('[3]chd6-SAOB'!AG51)</f>
        <v>0</v>
      </c>
      <c r="L756" s="103">
        <f>SUM('[3]chd6-SAOB'!AG144)</f>
        <v>0</v>
      </c>
      <c r="M756" s="103">
        <f t="shared" si="268"/>
        <v>1248022.96</v>
      </c>
      <c r="N756" s="103">
        <f t="shared" si="269"/>
        <v>152977.04000000004</v>
      </c>
      <c r="O756" s="103">
        <f t="shared" si="269"/>
        <v>0</v>
      </c>
      <c r="P756" s="103">
        <f t="shared" si="269"/>
        <v>0</v>
      </c>
      <c r="Q756" s="103">
        <f t="shared" si="270"/>
        <v>152977.04000000004</v>
      </c>
      <c r="S756" s="730">
        <f t="shared" si="275"/>
        <v>0.89080867951463238</v>
      </c>
      <c r="T756" s="730" t="str">
        <f t="shared" si="275"/>
        <v/>
      </c>
      <c r="U756" s="730" t="str">
        <f t="shared" si="275"/>
        <v/>
      </c>
      <c r="V756" s="730">
        <f t="shared" si="274"/>
        <v>0.89080867951463238</v>
      </c>
      <c r="W756" s="531"/>
      <c r="X756" s="236"/>
      <c r="Y756" s="236" t="s">
        <v>598</v>
      </c>
      <c r="Z756" s="236"/>
    </row>
    <row r="757" spans="1:26" s="272" customFormat="1" ht="11.25" customHeight="1">
      <c r="A757" s="528" t="s">
        <v>628</v>
      </c>
      <c r="B757" s="528" t="s">
        <v>176</v>
      </c>
      <c r="C757" s="389"/>
      <c r="D757" s="650" t="s">
        <v>98</v>
      </c>
      <c r="E757" s="390" t="s">
        <v>100</v>
      </c>
      <c r="F757" s="391">
        <f t="shared" ref="F757:M757" si="283">SUM(F758:F762)</f>
        <v>967302</v>
      </c>
      <c r="G757" s="391">
        <f t="shared" si="283"/>
        <v>150000</v>
      </c>
      <c r="H757" s="391">
        <f t="shared" si="283"/>
        <v>0</v>
      </c>
      <c r="I757" s="391">
        <f t="shared" si="283"/>
        <v>1117302</v>
      </c>
      <c r="J757" s="391">
        <f t="shared" si="283"/>
        <v>967301.19</v>
      </c>
      <c r="K757" s="391">
        <f t="shared" si="283"/>
        <v>150000</v>
      </c>
      <c r="L757" s="391">
        <f t="shared" si="283"/>
        <v>0</v>
      </c>
      <c r="M757" s="391">
        <f t="shared" si="283"/>
        <v>1117301.19</v>
      </c>
      <c r="N757" s="391">
        <f t="shared" si="269"/>
        <v>0.81000000005587935</v>
      </c>
      <c r="O757" s="391">
        <f t="shared" si="269"/>
        <v>0</v>
      </c>
      <c r="P757" s="391">
        <f t="shared" si="269"/>
        <v>0</v>
      </c>
      <c r="Q757" s="391">
        <f t="shared" si="270"/>
        <v>0.81000000005587935</v>
      </c>
      <c r="R757" s="102"/>
      <c r="S757" s="254">
        <f t="shared" si="275"/>
        <v>0.99999916261932664</v>
      </c>
      <c r="T757" s="254">
        <f t="shared" si="275"/>
        <v>1</v>
      </c>
      <c r="U757" s="254" t="str">
        <f t="shared" si="275"/>
        <v/>
      </c>
      <c r="V757" s="254">
        <f t="shared" si="274"/>
        <v>0.99999927503933583</v>
      </c>
      <c r="W757" s="531"/>
      <c r="Y757" s="272" t="s">
        <v>598</v>
      </c>
      <c r="Z757" s="256" t="s">
        <v>598</v>
      </c>
    </row>
    <row r="758" spans="1:26" ht="11.25" customHeight="1">
      <c r="A758" s="528" t="s">
        <v>628</v>
      </c>
      <c r="B758" s="1013" t="s">
        <v>176</v>
      </c>
      <c r="C758" s="728"/>
      <c r="D758" s="649" t="s">
        <v>288</v>
      </c>
      <c r="E758" s="729" t="s">
        <v>288</v>
      </c>
      <c r="F758" s="103">
        <f>SUM('[3]chd6-SAOB'!AM14)</f>
        <v>0</v>
      </c>
      <c r="G758" s="103">
        <f>SUM('[3]chd6-SAOB'!AM50)</f>
        <v>0</v>
      </c>
      <c r="H758" s="103">
        <f>SUM('[3]chd6-SAOB'!AM143)</f>
        <v>0</v>
      </c>
      <c r="I758" s="103">
        <f>SUM(F758:H758)</f>
        <v>0</v>
      </c>
      <c r="J758" s="103">
        <f>SUM('[3]chd6-SAOB'!AM15)</f>
        <v>0</v>
      </c>
      <c r="K758" s="103">
        <f>SUM('[3]chd6-SAOB'!AM51)</f>
        <v>0</v>
      </c>
      <c r="L758" s="103">
        <f>SUM('[3]chd6-SAOB'!AM144)</f>
        <v>0</v>
      </c>
      <c r="M758" s="103">
        <f t="shared" si="268"/>
        <v>0</v>
      </c>
      <c r="N758" s="103">
        <f t="shared" si="269"/>
        <v>0</v>
      </c>
      <c r="O758" s="103">
        <f t="shared" si="269"/>
        <v>0</v>
      </c>
      <c r="P758" s="103">
        <f t="shared" si="269"/>
        <v>0</v>
      </c>
      <c r="Q758" s="103">
        <f t="shared" si="270"/>
        <v>0</v>
      </c>
      <c r="S758" s="730" t="str">
        <f t="shared" si="275"/>
        <v/>
      </c>
      <c r="T758" s="730" t="str">
        <f t="shared" si="275"/>
        <v/>
      </c>
      <c r="U758" s="730" t="str">
        <f t="shared" si="275"/>
        <v/>
      </c>
      <c r="V758" s="730" t="str">
        <f t="shared" si="274"/>
        <v/>
      </c>
      <c r="W758" s="531"/>
      <c r="X758" s="236"/>
      <c r="Y758" s="236" t="s">
        <v>598</v>
      </c>
      <c r="Z758" s="236"/>
    </row>
    <row r="759" spans="1:26" ht="11.25" customHeight="1">
      <c r="A759" s="528" t="s">
        <v>628</v>
      </c>
      <c r="B759" s="1013" t="s">
        <v>176</v>
      </c>
      <c r="C759" s="728"/>
      <c r="D759" s="649" t="s">
        <v>761</v>
      </c>
      <c r="E759" s="729" t="s">
        <v>761</v>
      </c>
      <c r="F759" s="104">
        <f>'[3]chd6-SAOB'!C407</f>
        <v>497000</v>
      </c>
      <c r="G759" s="104"/>
      <c r="H759" s="104"/>
      <c r="I759" s="103">
        <f>SUM(F759:H759)</f>
        <v>497000</v>
      </c>
      <c r="J759" s="104">
        <f>'[3]chd6-SAOB'!G407</f>
        <v>497000</v>
      </c>
      <c r="K759" s="104"/>
      <c r="L759" s="104"/>
      <c r="M759" s="103">
        <f t="shared" si="268"/>
        <v>497000</v>
      </c>
      <c r="N759" s="103">
        <f t="shared" si="269"/>
        <v>0</v>
      </c>
      <c r="O759" s="103">
        <f t="shared" si="269"/>
        <v>0</v>
      </c>
      <c r="P759" s="103">
        <f t="shared" si="269"/>
        <v>0</v>
      </c>
      <c r="Q759" s="103">
        <f>SUM(N759:P759)</f>
        <v>0</v>
      </c>
      <c r="S759" s="730">
        <f t="shared" si="275"/>
        <v>1</v>
      </c>
      <c r="T759" s="730" t="str">
        <f t="shared" si="275"/>
        <v/>
      </c>
      <c r="U759" s="730" t="str">
        <f t="shared" si="275"/>
        <v/>
      </c>
      <c r="V759" s="730">
        <f t="shared" si="274"/>
        <v>1</v>
      </c>
      <c r="W759" s="531"/>
      <c r="X759" s="236"/>
      <c r="Y759" s="236" t="s">
        <v>688</v>
      </c>
      <c r="Z759" s="236"/>
    </row>
    <row r="760" spans="1:26" ht="11.25" customHeight="1">
      <c r="A760" s="528" t="s">
        <v>628</v>
      </c>
      <c r="B760" s="1013" t="s">
        <v>176</v>
      </c>
      <c r="C760" s="410"/>
      <c r="D760" s="647"/>
      <c r="E760" s="461" t="s">
        <v>764</v>
      </c>
      <c r="F760" s="104"/>
      <c r="G760" s="104"/>
      <c r="H760" s="104"/>
      <c r="I760" s="103"/>
      <c r="J760" s="104"/>
      <c r="K760" s="104"/>
      <c r="L760" s="104"/>
      <c r="M760" s="103"/>
      <c r="N760" s="103"/>
      <c r="O760" s="103"/>
      <c r="P760" s="103"/>
      <c r="Q760" s="103"/>
      <c r="S760" s="730" t="str">
        <f t="shared" si="275"/>
        <v/>
      </c>
      <c r="T760" s="730" t="str">
        <f t="shared" si="275"/>
        <v/>
      </c>
      <c r="U760" s="730" t="str">
        <f t="shared" si="275"/>
        <v/>
      </c>
      <c r="V760" s="730" t="str">
        <f t="shared" si="274"/>
        <v/>
      </c>
      <c r="W760" s="531"/>
      <c r="X760" s="236"/>
      <c r="Y760" s="236" t="s">
        <v>688</v>
      </c>
      <c r="Z760" s="240"/>
    </row>
    <row r="761" spans="1:26" ht="11.25" customHeight="1">
      <c r="A761" s="528" t="s">
        <v>628</v>
      </c>
      <c r="B761" s="1013" t="s">
        <v>176</v>
      </c>
      <c r="C761" s="728"/>
      <c r="D761" s="649" t="s">
        <v>289</v>
      </c>
      <c r="E761" s="729" t="s">
        <v>289</v>
      </c>
      <c r="F761" s="103">
        <f>SUM('[3]chd6-SAOB'!AS14)</f>
        <v>470302</v>
      </c>
      <c r="G761" s="103">
        <f>SUM('[3]chd6-SAOB'!AS50)</f>
        <v>0</v>
      </c>
      <c r="H761" s="103">
        <f>SUM('[3]chd6-SAOB'!AS143)</f>
        <v>0</v>
      </c>
      <c r="I761" s="103">
        <f>SUM(F761:H761)</f>
        <v>470302</v>
      </c>
      <c r="J761" s="103">
        <f>SUM('[3]chd6-SAOB'!AS15)</f>
        <v>470301.19</v>
      </c>
      <c r="K761" s="103">
        <f>SUM('[3]chd6-SAOB'!AS51)</f>
        <v>0</v>
      </c>
      <c r="L761" s="103">
        <f>SUM('[3]chd6-SAOB'!AS144)</f>
        <v>0</v>
      </c>
      <c r="M761" s="103">
        <f t="shared" si="268"/>
        <v>470301.19</v>
      </c>
      <c r="N761" s="103">
        <f t="shared" si="269"/>
        <v>0.80999999999767169</v>
      </c>
      <c r="O761" s="103">
        <f t="shared" si="269"/>
        <v>0</v>
      </c>
      <c r="P761" s="103">
        <f t="shared" si="269"/>
        <v>0</v>
      </c>
      <c r="Q761" s="103">
        <f t="shared" si="270"/>
        <v>0.80999999999767169</v>
      </c>
      <c r="S761" s="730">
        <f t="shared" si="275"/>
        <v>0.99999827770241245</v>
      </c>
      <c r="T761" s="730" t="str">
        <f t="shared" si="275"/>
        <v/>
      </c>
      <c r="U761" s="730" t="str">
        <f t="shared" si="275"/>
        <v/>
      </c>
      <c r="V761" s="730">
        <f t="shared" si="274"/>
        <v>0.99999827770241245</v>
      </c>
      <c r="W761" s="531"/>
      <c r="X761" s="236"/>
      <c r="Y761" s="236" t="s">
        <v>598</v>
      </c>
      <c r="Z761" s="236"/>
    </row>
    <row r="762" spans="1:26" ht="11.25" customHeight="1">
      <c r="A762" s="528" t="s">
        <v>628</v>
      </c>
      <c r="B762" s="1013" t="s">
        <v>176</v>
      </c>
      <c r="C762" s="728"/>
      <c r="D762" s="649" t="s">
        <v>290</v>
      </c>
      <c r="E762" s="729" t="s">
        <v>290</v>
      </c>
      <c r="F762" s="103">
        <f>SUM('[3]chd6-SAOB'!AY14)</f>
        <v>0</v>
      </c>
      <c r="G762" s="103">
        <f>SUM('[3]chd6-SAOB'!AY50)</f>
        <v>150000</v>
      </c>
      <c r="H762" s="103">
        <f>SUM('[3]chd6-SAOB'!AY143)</f>
        <v>0</v>
      </c>
      <c r="I762" s="103">
        <f>SUM(F762:H762)</f>
        <v>150000</v>
      </c>
      <c r="J762" s="103">
        <f>SUM('[3]chd6-SAOB'!AY15)</f>
        <v>0</v>
      </c>
      <c r="K762" s="103">
        <f>SUM('[3]chd6-SAOB'!AY51)</f>
        <v>150000</v>
      </c>
      <c r="L762" s="103">
        <f>SUM('[3]chd6-SAOB'!AY144)</f>
        <v>0</v>
      </c>
      <c r="M762" s="103">
        <f t="shared" si="268"/>
        <v>150000</v>
      </c>
      <c r="N762" s="103">
        <f t="shared" si="269"/>
        <v>0</v>
      </c>
      <c r="O762" s="103">
        <f t="shared" si="269"/>
        <v>0</v>
      </c>
      <c r="P762" s="103">
        <f t="shared" si="269"/>
        <v>0</v>
      </c>
      <c r="Q762" s="103">
        <f t="shared" si="270"/>
        <v>0</v>
      </c>
      <c r="S762" s="730" t="str">
        <f t="shared" si="275"/>
        <v/>
      </c>
      <c r="T762" s="730">
        <f t="shared" si="275"/>
        <v>1</v>
      </c>
      <c r="U762" s="730" t="str">
        <f t="shared" si="275"/>
        <v/>
      </c>
      <c r="V762" s="730">
        <f t="shared" si="274"/>
        <v>1</v>
      </c>
      <c r="W762" s="531"/>
      <c r="X762" s="236"/>
      <c r="Y762" s="236" t="s">
        <v>598</v>
      </c>
      <c r="Z762" s="236"/>
    </row>
    <row r="763" spans="1:26" s="259" customFormat="1" ht="11.25" customHeight="1">
      <c r="A763" s="246" t="s">
        <v>628</v>
      </c>
      <c r="B763" s="235" t="s">
        <v>176</v>
      </c>
      <c r="C763" s="656"/>
      <c r="D763" s="656"/>
      <c r="E763" s="657" t="s">
        <v>4</v>
      </c>
      <c r="F763" s="652">
        <f>+F753+F755+F757</f>
        <v>17974302</v>
      </c>
      <c r="G763" s="652">
        <f t="shared" ref="G763:M763" si="284">+G753+G755+G757</f>
        <v>20151000</v>
      </c>
      <c r="H763" s="652">
        <f t="shared" si="284"/>
        <v>4250000</v>
      </c>
      <c r="I763" s="652">
        <f t="shared" si="284"/>
        <v>42375302</v>
      </c>
      <c r="J763" s="652">
        <f t="shared" si="284"/>
        <v>16677423.069999998</v>
      </c>
      <c r="K763" s="652">
        <f t="shared" si="284"/>
        <v>14207674.550000001</v>
      </c>
      <c r="L763" s="652">
        <f t="shared" si="284"/>
        <v>3990203.12</v>
      </c>
      <c r="M763" s="652">
        <f t="shared" si="284"/>
        <v>34875300.739999995</v>
      </c>
      <c r="N763" s="652">
        <f t="shared" si="269"/>
        <v>1296878.9300000016</v>
      </c>
      <c r="O763" s="652">
        <f t="shared" si="269"/>
        <v>5943325.4499999993</v>
      </c>
      <c r="P763" s="652">
        <f t="shared" si="269"/>
        <v>259796.87999999989</v>
      </c>
      <c r="Q763" s="652">
        <f t="shared" si="270"/>
        <v>7500001.2600000007</v>
      </c>
      <c r="R763" s="653">
        <f>+Q763-'[3]chd6-SAOB'!CA180</f>
        <v>0</v>
      </c>
      <c r="S763" s="1008">
        <f t="shared" si="275"/>
        <v>0.92784816178119178</v>
      </c>
      <c r="T763" s="1008">
        <f t="shared" si="275"/>
        <v>0.70506052056969881</v>
      </c>
      <c r="U763" s="1008">
        <f t="shared" si="275"/>
        <v>0.93887132235294124</v>
      </c>
      <c r="V763" s="1008">
        <f t="shared" si="274"/>
        <v>0.82301008120248897</v>
      </c>
      <c r="W763" s="254"/>
      <c r="X763" s="520"/>
      <c r="Y763" s="610" t="s">
        <v>598</v>
      </c>
      <c r="Z763" s="241" t="s">
        <v>598</v>
      </c>
    </row>
    <row r="764" spans="1:26" ht="11.25" customHeight="1">
      <c r="A764" s="246" t="s">
        <v>628</v>
      </c>
      <c r="B764" s="235" t="s">
        <v>176</v>
      </c>
      <c r="C764" s="410"/>
      <c r="D764" s="386"/>
      <c r="E764" s="461" t="s">
        <v>764</v>
      </c>
      <c r="F764" s="103"/>
      <c r="G764" s="103"/>
      <c r="H764" s="103"/>
      <c r="I764" s="103">
        <f>SUM(F764:H764)</f>
        <v>0</v>
      </c>
      <c r="J764" s="103"/>
      <c r="K764" s="103"/>
      <c r="L764" s="103"/>
      <c r="M764" s="103">
        <f t="shared" si="268"/>
        <v>0</v>
      </c>
      <c r="N764" s="103">
        <f t="shared" si="269"/>
        <v>0</v>
      </c>
      <c r="O764" s="103">
        <f t="shared" si="269"/>
        <v>0</v>
      </c>
      <c r="P764" s="103">
        <f t="shared" si="269"/>
        <v>0</v>
      </c>
      <c r="Q764" s="103">
        <f t="shared" si="270"/>
        <v>0</v>
      </c>
      <c r="S764" s="730" t="str">
        <f t="shared" si="275"/>
        <v/>
      </c>
      <c r="T764" s="730" t="str">
        <f t="shared" si="275"/>
        <v/>
      </c>
      <c r="U764" s="730" t="str">
        <f t="shared" si="275"/>
        <v/>
      </c>
      <c r="V764" s="730" t="str">
        <f t="shared" si="274"/>
        <v/>
      </c>
      <c r="W764" s="254"/>
      <c r="Y764" s="610" t="s">
        <v>598</v>
      </c>
      <c r="Z764" s="241" t="s">
        <v>598</v>
      </c>
    </row>
    <row r="765" spans="1:26" s="675" customFormat="1" ht="11.25" customHeight="1">
      <c r="A765" s="528" t="s">
        <v>628</v>
      </c>
      <c r="B765" s="528" t="s">
        <v>177</v>
      </c>
      <c r="C765" s="407" t="s">
        <v>98</v>
      </c>
      <c r="D765" s="655">
        <v>3</v>
      </c>
      <c r="E765" s="408" t="s">
        <v>815</v>
      </c>
      <c r="F765" s="673"/>
      <c r="G765" s="673"/>
      <c r="H765" s="673"/>
      <c r="I765" s="674">
        <f>SUM(F765:H765)</f>
        <v>0</v>
      </c>
      <c r="J765" s="673"/>
      <c r="K765" s="673"/>
      <c r="L765" s="673"/>
      <c r="M765" s="674">
        <f t="shared" si="268"/>
        <v>0</v>
      </c>
      <c r="N765" s="674">
        <f t="shared" si="269"/>
        <v>0</v>
      </c>
      <c r="O765" s="674">
        <f t="shared" si="269"/>
        <v>0</v>
      </c>
      <c r="P765" s="674">
        <f t="shared" si="269"/>
        <v>0</v>
      </c>
      <c r="Q765" s="674">
        <f t="shared" si="270"/>
        <v>0</v>
      </c>
      <c r="R765" s="101"/>
      <c r="S765" s="254" t="str">
        <f t="shared" si="275"/>
        <v/>
      </c>
      <c r="T765" s="254" t="str">
        <f t="shared" si="275"/>
        <v/>
      </c>
      <c r="U765" s="254" t="str">
        <f t="shared" si="275"/>
        <v/>
      </c>
      <c r="V765" s="254" t="str">
        <f t="shared" si="274"/>
        <v/>
      </c>
      <c r="W765" s="531"/>
      <c r="Y765" s="272" t="s">
        <v>598</v>
      </c>
      <c r="Z765" s="260" t="s">
        <v>598</v>
      </c>
    </row>
    <row r="766" spans="1:26" ht="11.25" customHeight="1">
      <c r="A766" s="528" t="s">
        <v>628</v>
      </c>
      <c r="B766" s="1013" t="s">
        <v>177</v>
      </c>
      <c r="C766" s="461"/>
      <c r="D766" s="645" t="s">
        <v>766</v>
      </c>
      <c r="E766" s="447" t="s">
        <v>766</v>
      </c>
      <c r="F766" s="104">
        <f>'[3]chd6-SAOB'!C411</f>
        <v>8313000</v>
      </c>
      <c r="G766" s="104">
        <f>'[3]chd6-SAOB'!D411</f>
        <v>12025000</v>
      </c>
      <c r="H766" s="104">
        <f>'[3]chd6-SAOB'!E411</f>
        <v>0</v>
      </c>
      <c r="I766" s="103">
        <f>SUM(F766:H766)</f>
        <v>20338000</v>
      </c>
      <c r="J766" s="104">
        <f>'[3]chd6-SAOB'!G411</f>
        <v>7533659.3600000003</v>
      </c>
      <c r="K766" s="104">
        <f>'[3]chd6-SAOB'!H411</f>
        <v>11325971.879999999</v>
      </c>
      <c r="L766" s="104">
        <f>'[3]chd6-SAOB'!I411</f>
        <v>0</v>
      </c>
      <c r="M766" s="103">
        <f t="shared" si="268"/>
        <v>18859631.239999998</v>
      </c>
      <c r="N766" s="103">
        <f t="shared" si="269"/>
        <v>779340.63999999966</v>
      </c>
      <c r="O766" s="103">
        <f t="shared" si="269"/>
        <v>699028.12000000104</v>
      </c>
      <c r="P766" s="103">
        <f t="shared" si="269"/>
        <v>0</v>
      </c>
      <c r="Q766" s="103">
        <f t="shared" si="270"/>
        <v>1478368.7600000007</v>
      </c>
      <c r="S766" s="730">
        <f t="shared" si="275"/>
        <v>0.90625037411283538</v>
      </c>
      <c r="T766" s="730">
        <f t="shared" si="275"/>
        <v>0.94186876340956327</v>
      </c>
      <c r="U766" s="730" t="str">
        <f t="shared" si="275"/>
        <v/>
      </c>
      <c r="V766" s="730">
        <f t="shared" si="274"/>
        <v>0.92731002261775974</v>
      </c>
      <c r="W766" s="531"/>
      <c r="X766" s="236"/>
      <c r="Y766" s="236" t="s">
        <v>688</v>
      </c>
      <c r="Z766" s="236"/>
    </row>
    <row r="767" spans="1:26" ht="11.25" customHeight="1">
      <c r="A767" s="528" t="s">
        <v>628</v>
      </c>
      <c r="B767" s="1013" t="s">
        <v>177</v>
      </c>
      <c r="C767" s="728"/>
      <c r="D767" s="649" t="s">
        <v>50</v>
      </c>
      <c r="E767" s="447" t="s">
        <v>50</v>
      </c>
      <c r="F767" s="104"/>
      <c r="G767" s="104">
        <f>'[3]chd6-SAOB'!D413</f>
        <v>1268000</v>
      </c>
      <c r="H767" s="104">
        <f>'[3]chd6-SAOB'!E413</f>
        <v>0</v>
      </c>
      <c r="I767" s="103">
        <f>SUM(F767:H767)</f>
        <v>1268000</v>
      </c>
      <c r="J767" s="104"/>
      <c r="K767" s="104">
        <f>'[3]chd6-SAOB'!H413</f>
        <v>983144.89</v>
      </c>
      <c r="L767" s="104">
        <f>'[3]chd6-SAOB'!I413</f>
        <v>0</v>
      </c>
      <c r="M767" s="103">
        <f>SUM(J767:L767)</f>
        <v>983144.89</v>
      </c>
      <c r="N767" s="103">
        <f t="shared" si="269"/>
        <v>0</v>
      </c>
      <c r="O767" s="103">
        <f t="shared" si="269"/>
        <v>284855.11</v>
      </c>
      <c r="P767" s="103">
        <f t="shared" si="269"/>
        <v>0</v>
      </c>
      <c r="Q767" s="103">
        <f t="shared" si="270"/>
        <v>284855.11</v>
      </c>
      <c r="S767" s="730" t="str">
        <f t="shared" si="275"/>
        <v/>
      </c>
      <c r="T767" s="730">
        <f t="shared" si="275"/>
        <v>0.77535085962145112</v>
      </c>
      <c r="U767" s="730" t="str">
        <f t="shared" si="275"/>
        <v/>
      </c>
      <c r="V767" s="730">
        <f t="shared" si="274"/>
        <v>0.77535085962145112</v>
      </c>
      <c r="W767" s="531"/>
      <c r="X767" s="236"/>
      <c r="Y767" s="236" t="s">
        <v>688</v>
      </c>
      <c r="Z767" s="236"/>
    </row>
    <row r="768" spans="1:26" s="256" customFormat="1" ht="11.25" customHeight="1">
      <c r="A768" s="528" t="s">
        <v>628</v>
      </c>
      <c r="B768" s="528" t="s">
        <v>177</v>
      </c>
      <c r="C768" s="389"/>
      <c r="D768" s="650" t="s">
        <v>98</v>
      </c>
      <c r="E768" s="390" t="s">
        <v>767</v>
      </c>
      <c r="F768" s="391">
        <f>+F766+F767</f>
        <v>8313000</v>
      </c>
      <c r="G768" s="391">
        <f t="shared" ref="G768:M768" si="285">+G766+G767</f>
        <v>13293000</v>
      </c>
      <c r="H768" s="391">
        <f t="shared" si="285"/>
        <v>0</v>
      </c>
      <c r="I768" s="391">
        <f t="shared" si="285"/>
        <v>21606000</v>
      </c>
      <c r="J768" s="391">
        <f t="shared" si="285"/>
        <v>7533659.3600000003</v>
      </c>
      <c r="K768" s="391">
        <f t="shared" si="285"/>
        <v>12309116.77</v>
      </c>
      <c r="L768" s="391">
        <f t="shared" si="285"/>
        <v>0</v>
      </c>
      <c r="M768" s="391">
        <f t="shared" si="285"/>
        <v>19842776.129999999</v>
      </c>
      <c r="N768" s="391">
        <f t="shared" si="269"/>
        <v>779340.63999999966</v>
      </c>
      <c r="O768" s="391">
        <f t="shared" si="269"/>
        <v>983883.23000000045</v>
      </c>
      <c r="P768" s="391">
        <f t="shared" si="269"/>
        <v>0</v>
      </c>
      <c r="Q768" s="391">
        <f t="shared" si="270"/>
        <v>1763223.87</v>
      </c>
      <c r="R768" s="101"/>
      <c r="S768" s="254">
        <f t="shared" si="275"/>
        <v>0.90625037411283538</v>
      </c>
      <c r="T768" s="254">
        <f t="shared" si="275"/>
        <v>0.92598486195742113</v>
      </c>
      <c r="U768" s="254" t="str">
        <f t="shared" si="275"/>
        <v/>
      </c>
      <c r="V768" s="254">
        <f t="shared" si="274"/>
        <v>0.91839193418494858</v>
      </c>
      <c r="W768" s="531"/>
      <c r="Y768" s="256" t="s">
        <v>598</v>
      </c>
      <c r="Z768" s="256" t="s">
        <v>598</v>
      </c>
    </row>
    <row r="769" spans="1:26" ht="11.25" hidden="1" customHeight="1">
      <c r="A769" s="528" t="s">
        <v>628</v>
      </c>
      <c r="B769" s="1013" t="s">
        <v>177</v>
      </c>
      <c r="C769" s="410"/>
      <c r="D769" s="651"/>
      <c r="E769" s="806" t="s">
        <v>764</v>
      </c>
      <c r="F769" s="807"/>
      <c r="G769" s="807"/>
      <c r="H769" s="807"/>
      <c r="I769" s="807"/>
      <c r="J769" s="807"/>
      <c r="K769" s="807"/>
      <c r="L769" s="807"/>
      <c r="M769" s="807"/>
      <c r="N769" s="807">
        <f t="shared" si="269"/>
        <v>0</v>
      </c>
      <c r="O769" s="807">
        <f t="shared" si="269"/>
        <v>0</v>
      </c>
      <c r="P769" s="807">
        <f t="shared" si="269"/>
        <v>0</v>
      </c>
      <c r="Q769" s="807">
        <f t="shared" si="270"/>
        <v>0</v>
      </c>
      <c r="R769" s="276"/>
      <c r="S769" s="730" t="str">
        <f t="shared" si="275"/>
        <v/>
      </c>
      <c r="T769" s="730" t="str">
        <f t="shared" si="275"/>
        <v/>
      </c>
      <c r="U769" s="730" t="str">
        <f t="shared" si="275"/>
        <v/>
      </c>
      <c r="V769" s="730" t="str">
        <f t="shared" si="274"/>
        <v/>
      </c>
      <c r="W769" s="531"/>
      <c r="X769" s="236"/>
      <c r="Y769" s="236"/>
      <c r="Z769" s="236"/>
    </row>
    <row r="770" spans="1:26" s="256" customFormat="1" ht="11.25" customHeight="1">
      <c r="A770" s="528" t="s">
        <v>628</v>
      </c>
      <c r="B770" s="528" t="s">
        <v>177</v>
      </c>
      <c r="C770" s="389"/>
      <c r="D770" s="650" t="s">
        <v>98</v>
      </c>
      <c r="E770" s="390" t="s">
        <v>99</v>
      </c>
      <c r="F770" s="391">
        <f>+F771</f>
        <v>758000</v>
      </c>
      <c r="G770" s="391">
        <f t="shared" ref="G770:M770" si="286">+G771</f>
        <v>0</v>
      </c>
      <c r="H770" s="391">
        <f t="shared" si="286"/>
        <v>0</v>
      </c>
      <c r="I770" s="391">
        <f t="shared" si="286"/>
        <v>758000</v>
      </c>
      <c r="J770" s="391">
        <f t="shared" si="286"/>
        <v>657724.46</v>
      </c>
      <c r="K770" s="391">
        <f t="shared" si="286"/>
        <v>0</v>
      </c>
      <c r="L770" s="391">
        <f t="shared" si="286"/>
        <v>0</v>
      </c>
      <c r="M770" s="391">
        <f t="shared" si="286"/>
        <v>657724.46</v>
      </c>
      <c r="N770" s="391">
        <f t="shared" si="269"/>
        <v>100275.54000000004</v>
      </c>
      <c r="O770" s="391">
        <f t="shared" si="269"/>
        <v>0</v>
      </c>
      <c r="P770" s="391">
        <f t="shared" si="269"/>
        <v>0</v>
      </c>
      <c r="Q770" s="391">
        <f t="shared" si="270"/>
        <v>100275.54000000004</v>
      </c>
      <c r="R770" s="101"/>
      <c r="S770" s="254">
        <f t="shared" si="275"/>
        <v>0.86771036939313984</v>
      </c>
      <c r="T770" s="254" t="str">
        <f t="shared" si="275"/>
        <v/>
      </c>
      <c r="U770" s="254" t="str">
        <f t="shared" si="275"/>
        <v/>
      </c>
      <c r="V770" s="254">
        <f t="shared" si="274"/>
        <v>0.86771036939313984</v>
      </c>
      <c r="W770" s="531"/>
      <c r="Y770" s="256" t="s">
        <v>598</v>
      </c>
      <c r="Z770" s="256" t="s">
        <v>598</v>
      </c>
    </row>
    <row r="771" spans="1:26" ht="11.25" customHeight="1">
      <c r="A771" s="528" t="s">
        <v>628</v>
      </c>
      <c r="B771" s="1013" t="s">
        <v>177</v>
      </c>
      <c r="C771" s="728"/>
      <c r="D771" s="649" t="s">
        <v>286</v>
      </c>
      <c r="E771" s="729" t="s">
        <v>286</v>
      </c>
      <c r="F771" s="103">
        <f>SUM('[3]chd6-SAOB'!AH14)</f>
        <v>758000</v>
      </c>
      <c r="G771" s="103">
        <f>SUM('[3]chd6-SAOB'!AH50)</f>
        <v>0</v>
      </c>
      <c r="H771" s="103">
        <f>SUM('[3]chd6-SAOB'!AH143)</f>
        <v>0</v>
      </c>
      <c r="I771" s="103">
        <f>SUM(F771:H771)</f>
        <v>758000</v>
      </c>
      <c r="J771" s="103">
        <f>SUM('[3]chd6-SAOB'!AH15)</f>
        <v>657724.46</v>
      </c>
      <c r="K771" s="103">
        <f>SUM('[3]chd6-SAOB'!AH51)</f>
        <v>0</v>
      </c>
      <c r="L771" s="103">
        <f>SUM('[3]chd6-SAOB'!AH144)</f>
        <v>0</v>
      </c>
      <c r="M771" s="103">
        <f t="shared" si="268"/>
        <v>657724.46</v>
      </c>
      <c r="N771" s="103">
        <f t="shared" si="269"/>
        <v>100275.54000000004</v>
      </c>
      <c r="O771" s="103">
        <f t="shared" si="269"/>
        <v>0</v>
      </c>
      <c r="P771" s="103">
        <f t="shared" si="269"/>
        <v>0</v>
      </c>
      <c r="Q771" s="103">
        <f t="shared" si="270"/>
        <v>100275.54000000004</v>
      </c>
      <c r="S771" s="730">
        <f t="shared" si="275"/>
        <v>0.86771036939313984</v>
      </c>
      <c r="T771" s="730" t="str">
        <f t="shared" si="275"/>
        <v/>
      </c>
      <c r="U771" s="730" t="str">
        <f t="shared" si="275"/>
        <v/>
      </c>
      <c r="V771" s="730">
        <f t="shared" si="274"/>
        <v>0.86771036939313984</v>
      </c>
      <c r="W771" s="531"/>
      <c r="X771" s="236"/>
      <c r="Y771" s="236" t="s">
        <v>598</v>
      </c>
      <c r="Z771" s="236"/>
    </row>
    <row r="772" spans="1:26" s="272" customFormat="1" ht="11.25" customHeight="1">
      <c r="A772" s="528" t="s">
        <v>628</v>
      </c>
      <c r="B772" s="528" t="s">
        <v>177</v>
      </c>
      <c r="C772" s="389"/>
      <c r="D772" s="650" t="s">
        <v>98</v>
      </c>
      <c r="E772" s="390" t="s">
        <v>100</v>
      </c>
      <c r="F772" s="391">
        <f t="shared" ref="F772:M772" si="287">SUM(F773:F777)</f>
        <v>337136</v>
      </c>
      <c r="G772" s="391">
        <f t="shared" si="287"/>
        <v>0</v>
      </c>
      <c r="H772" s="391">
        <f t="shared" si="287"/>
        <v>0</v>
      </c>
      <c r="I772" s="391">
        <f t="shared" si="287"/>
        <v>337136</v>
      </c>
      <c r="J772" s="391">
        <f t="shared" si="287"/>
        <v>337135.4</v>
      </c>
      <c r="K772" s="391">
        <f t="shared" si="287"/>
        <v>0</v>
      </c>
      <c r="L772" s="391">
        <f t="shared" si="287"/>
        <v>0</v>
      </c>
      <c r="M772" s="391">
        <f t="shared" si="287"/>
        <v>337135.4</v>
      </c>
      <c r="N772" s="391">
        <f t="shared" si="269"/>
        <v>0.59999999997671694</v>
      </c>
      <c r="O772" s="391">
        <f t="shared" si="269"/>
        <v>0</v>
      </c>
      <c r="P772" s="391">
        <f t="shared" si="269"/>
        <v>0</v>
      </c>
      <c r="Q772" s="391">
        <f t="shared" si="270"/>
        <v>0.59999999997671694</v>
      </c>
      <c r="R772" s="102"/>
      <c r="S772" s="254">
        <f t="shared" si="275"/>
        <v>0.99999822030278585</v>
      </c>
      <c r="T772" s="254" t="str">
        <f t="shared" si="275"/>
        <v/>
      </c>
      <c r="U772" s="254" t="str">
        <f t="shared" si="275"/>
        <v/>
      </c>
      <c r="V772" s="254">
        <f t="shared" si="274"/>
        <v>0.99999822030278585</v>
      </c>
      <c r="W772" s="531"/>
      <c r="Y772" s="272" t="s">
        <v>598</v>
      </c>
      <c r="Z772" s="256" t="s">
        <v>598</v>
      </c>
    </row>
    <row r="773" spans="1:26" ht="11.25" customHeight="1">
      <c r="A773" s="528" t="s">
        <v>628</v>
      </c>
      <c r="B773" s="1013" t="s">
        <v>177</v>
      </c>
      <c r="C773" s="728"/>
      <c r="D773" s="649" t="s">
        <v>288</v>
      </c>
      <c r="E773" s="729" t="s">
        <v>288</v>
      </c>
      <c r="F773" s="103">
        <f>SUM('[3]chd6-SAOB'!AN14)</f>
        <v>0</v>
      </c>
      <c r="G773" s="103">
        <f>SUM('[3]chd6-SAOB'!AN50)</f>
        <v>0</v>
      </c>
      <c r="H773" s="103">
        <f>SUM('[3]chd6-SAOB'!AN143)</f>
        <v>0</v>
      </c>
      <c r="I773" s="103">
        <f>SUM(F773:H773)</f>
        <v>0</v>
      </c>
      <c r="J773" s="103">
        <f>SUM('[3]chd6-SAOB'!AN15)</f>
        <v>0</v>
      </c>
      <c r="K773" s="103">
        <f>SUM('[3]chd6-SAOB'!AN51)</f>
        <v>0</v>
      </c>
      <c r="L773" s="103">
        <f>SUM('[3]chd6-SAOB'!AN144)</f>
        <v>0</v>
      </c>
      <c r="M773" s="103">
        <f t="shared" si="268"/>
        <v>0</v>
      </c>
      <c r="N773" s="103">
        <f t="shared" si="269"/>
        <v>0</v>
      </c>
      <c r="O773" s="103">
        <f t="shared" si="269"/>
        <v>0</v>
      </c>
      <c r="P773" s="103">
        <f t="shared" si="269"/>
        <v>0</v>
      </c>
      <c r="Q773" s="103">
        <f t="shared" si="270"/>
        <v>0</v>
      </c>
      <c r="S773" s="730" t="str">
        <f t="shared" si="275"/>
        <v/>
      </c>
      <c r="T773" s="730" t="str">
        <f t="shared" si="275"/>
        <v/>
      </c>
      <c r="U773" s="730" t="str">
        <f t="shared" si="275"/>
        <v/>
      </c>
      <c r="V773" s="730" t="str">
        <f t="shared" si="274"/>
        <v/>
      </c>
      <c r="W773" s="531"/>
      <c r="X773" s="236"/>
      <c r="Y773" s="236" t="s">
        <v>598</v>
      </c>
      <c r="Z773" s="236"/>
    </row>
    <row r="774" spans="1:26" ht="11.25" customHeight="1">
      <c r="A774" s="528" t="s">
        <v>628</v>
      </c>
      <c r="B774" s="1013" t="s">
        <v>177</v>
      </c>
      <c r="C774" s="728"/>
      <c r="D774" s="649" t="s">
        <v>761</v>
      </c>
      <c r="E774" s="729" t="s">
        <v>761</v>
      </c>
      <c r="F774" s="104">
        <f>'[3]chd6-SAOB'!C413</f>
        <v>302500</v>
      </c>
      <c r="G774" s="104"/>
      <c r="H774" s="104"/>
      <c r="I774" s="103">
        <f>SUM(F774:H774)</f>
        <v>302500</v>
      </c>
      <c r="J774" s="104">
        <f>'[3]chd6-SAOB'!G413</f>
        <v>302500</v>
      </c>
      <c r="K774" s="104"/>
      <c r="L774" s="104"/>
      <c r="M774" s="103">
        <f>SUM(J774:L774)</f>
        <v>302500</v>
      </c>
      <c r="N774" s="103">
        <f>+F774-J774</f>
        <v>0</v>
      </c>
      <c r="O774" s="103">
        <f>+G774-K774</f>
        <v>0</v>
      </c>
      <c r="P774" s="103">
        <f>+H774-L774</f>
        <v>0</v>
      </c>
      <c r="Q774" s="103">
        <f>SUM(N774:P774)</f>
        <v>0</v>
      </c>
      <c r="S774" s="730">
        <f t="shared" si="275"/>
        <v>1</v>
      </c>
      <c r="T774" s="730" t="str">
        <f t="shared" si="275"/>
        <v/>
      </c>
      <c r="U774" s="730" t="str">
        <f t="shared" si="275"/>
        <v/>
      </c>
      <c r="V774" s="730">
        <f t="shared" si="274"/>
        <v>1</v>
      </c>
      <c r="W774" s="531"/>
      <c r="X774" s="236"/>
      <c r="Y774" s="236" t="s">
        <v>688</v>
      </c>
      <c r="Z774" s="236"/>
    </row>
    <row r="775" spans="1:26" ht="11.25" customHeight="1">
      <c r="A775" s="528" t="s">
        <v>628</v>
      </c>
      <c r="B775" s="1013" t="s">
        <v>177</v>
      </c>
      <c r="C775" s="410"/>
      <c r="D775" s="647"/>
      <c r="E775" s="461" t="s">
        <v>764</v>
      </c>
      <c r="F775" s="104"/>
      <c r="G775" s="104"/>
      <c r="H775" s="104"/>
      <c r="I775" s="103"/>
      <c r="J775" s="104"/>
      <c r="K775" s="104"/>
      <c r="L775" s="104"/>
      <c r="M775" s="103"/>
      <c r="N775" s="103"/>
      <c r="O775" s="103"/>
      <c r="P775" s="103"/>
      <c r="Q775" s="103"/>
      <c r="S775" s="730" t="str">
        <f t="shared" si="275"/>
        <v/>
      </c>
      <c r="T775" s="730" t="str">
        <f t="shared" si="275"/>
        <v/>
      </c>
      <c r="U775" s="730" t="str">
        <f t="shared" si="275"/>
        <v/>
      </c>
      <c r="V775" s="730" t="str">
        <f t="shared" si="274"/>
        <v/>
      </c>
      <c r="W775" s="531"/>
      <c r="X775" s="236"/>
      <c r="Y775" s="236" t="s">
        <v>688</v>
      </c>
      <c r="Z775" s="240"/>
    </row>
    <row r="776" spans="1:26" ht="11.25" customHeight="1">
      <c r="A776" s="528" t="s">
        <v>628</v>
      </c>
      <c r="B776" s="1013" t="s">
        <v>177</v>
      </c>
      <c r="C776" s="728"/>
      <c r="D776" s="649" t="s">
        <v>289</v>
      </c>
      <c r="E776" s="729" t="s">
        <v>289</v>
      </c>
      <c r="F776" s="103">
        <f>SUM('[3]chd6-SAOB'!AT14)</f>
        <v>34636</v>
      </c>
      <c r="G776" s="103">
        <f>SUM('[3]chd6-SAOB'!AT50)</f>
        <v>0</v>
      </c>
      <c r="H776" s="103">
        <f>SUM('[3]chd6-SAOB'!AT143)</f>
        <v>0</v>
      </c>
      <c r="I776" s="103">
        <f>SUM(F776:H776)</f>
        <v>34636</v>
      </c>
      <c r="J776" s="103">
        <f>SUM('[3]chd6-SAOB'!AT15)</f>
        <v>34635.4</v>
      </c>
      <c r="K776" s="103">
        <f>SUM('[3]chd6-SAOB'!AT51)</f>
        <v>0</v>
      </c>
      <c r="L776" s="103">
        <f>SUM('[3]chd6-SAOB'!AT144)</f>
        <v>0</v>
      </c>
      <c r="M776" s="103">
        <f t="shared" si="268"/>
        <v>34635.4</v>
      </c>
      <c r="N776" s="103">
        <f t="shared" si="269"/>
        <v>0.59999999999854481</v>
      </c>
      <c r="O776" s="103">
        <f t="shared" si="269"/>
        <v>0</v>
      </c>
      <c r="P776" s="103">
        <f t="shared" si="269"/>
        <v>0</v>
      </c>
      <c r="Q776" s="103">
        <f t="shared" si="270"/>
        <v>0.59999999999854481</v>
      </c>
      <c r="S776" s="730">
        <f t="shared" si="275"/>
        <v>0.99998267698348542</v>
      </c>
      <c r="T776" s="730" t="str">
        <f t="shared" si="275"/>
        <v/>
      </c>
      <c r="U776" s="730" t="str">
        <f t="shared" si="275"/>
        <v/>
      </c>
      <c r="V776" s="730">
        <f t="shared" si="274"/>
        <v>0.99998267698348542</v>
      </c>
      <c r="W776" s="531"/>
      <c r="X776" s="236"/>
      <c r="Y776" s="236" t="s">
        <v>598</v>
      </c>
      <c r="Z776" s="236"/>
    </row>
    <row r="777" spans="1:26" ht="11.25" customHeight="1">
      <c r="A777" s="528" t="s">
        <v>628</v>
      </c>
      <c r="B777" s="1013" t="s">
        <v>177</v>
      </c>
      <c r="C777" s="728"/>
      <c r="D777" s="649" t="s">
        <v>290</v>
      </c>
      <c r="E777" s="729" t="s">
        <v>290</v>
      </c>
      <c r="F777" s="103">
        <f>SUM('[3]chd6-SAOB'!AZ14)</f>
        <v>0</v>
      </c>
      <c r="G777" s="103">
        <f>SUM('[3]chd6-SAOB'!AZ50)</f>
        <v>0</v>
      </c>
      <c r="H777" s="103">
        <f>SUM('[3]chd6-SAOB'!AZ143)</f>
        <v>0</v>
      </c>
      <c r="I777" s="103">
        <f>SUM(F777:H777)</f>
        <v>0</v>
      </c>
      <c r="J777" s="103">
        <f>SUM('[3]chd6-SAOB'!AZ15)</f>
        <v>0</v>
      </c>
      <c r="K777" s="103">
        <f>SUM('[3]chd6-SAOB'!AZ51)</f>
        <v>0</v>
      </c>
      <c r="L777" s="103">
        <f>SUM('[3]chd6-SAOB'!AZ144)</f>
        <v>0</v>
      </c>
      <c r="M777" s="103">
        <f t="shared" si="268"/>
        <v>0</v>
      </c>
      <c r="N777" s="103">
        <f t="shared" si="269"/>
        <v>0</v>
      </c>
      <c r="O777" s="103">
        <f t="shared" si="269"/>
        <v>0</v>
      </c>
      <c r="P777" s="103">
        <f t="shared" si="269"/>
        <v>0</v>
      </c>
      <c r="Q777" s="103">
        <f t="shared" si="270"/>
        <v>0</v>
      </c>
      <c r="S777" s="730" t="str">
        <f t="shared" si="275"/>
        <v/>
      </c>
      <c r="T777" s="730" t="str">
        <f t="shared" si="275"/>
        <v/>
      </c>
      <c r="U777" s="730" t="str">
        <f t="shared" si="275"/>
        <v/>
      </c>
      <c r="V777" s="730" t="str">
        <f t="shared" si="274"/>
        <v/>
      </c>
      <c r="W777" s="531"/>
      <c r="X777" s="236"/>
      <c r="Y777" s="236" t="s">
        <v>598</v>
      </c>
      <c r="Z777" s="236"/>
    </row>
    <row r="778" spans="1:26" s="259" customFormat="1" ht="11.25" customHeight="1">
      <c r="A778" s="246" t="s">
        <v>628</v>
      </c>
      <c r="B778" s="235" t="s">
        <v>177</v>
      </c>
      <c r="C778" s="656"/>
      <c r="D778" s="656"/>
      <c r="E778" s="657" t="s">
        <v>4</v>
      </c>
      <c r="F778" s="652">
        <f>+F768+F770+F772</f>
        <v>9408136</v>
      </c>
      <c r="G778" s="652">
        <f t="shared" ref="G778:M778" si="288">+G768+G770+G772</f>
        <v>13293000</v>
      </c>
      <c r="H778" s="652">
        <f t="shared" si="288"/>
        <v>0</v>
      </c>
      <c r="I778" s="652">
        <f t="shared" si="288"/>
        <v>22701136</v>
      </c>
      <c r="J778" s="652">
        <f t="shared" si="288"/>
        <v>8528519.2200000007</v>
      </c>
      <c r="K778" s="652">
        <f t="shared" si="288"/>
        <v>12309116.77</v>
      </c>
      <c r="L778" s="652">
        <f t="shared" si="288"/>
        <v>0</v>
      </c>
      <c r="M778" s="652">
        <f t="shared" si="288"/>
        <v>20837635.989999998</v>
      </c>
      <c r="N778" s="652">
        <f t="shared" si="269"/>
        <v>879616.77999999933</v>
      </c>
      <c r="O778" s="652">
        <f t="shared" si="269"/>
        <v>983883.23000000045</v>
      </c>
      <c r="P778" s="652">
        <f t="shared" si="269"/>
        <v>0</v>
      </c>
      <c r="Q778" s="652">
        <f t="shared" si="270"/>
        <v>1863500.0099999998</v>
      </c>
      <c r="R778" s="653">
        <f>+Q778-'[3]chd6-SAOB'!CB180</f>
        <v>-1.862645149230957E-9</v>
      </c>
      <c r="S778" s="1008">
        <f t="shared" si="275"/>
        <v>0.90650467000051882</v>
      </c>
      <c r="T778" s="1008">
        <f t="shared" si="275"/>
        <v>0.92598486195742113</v>
      </c>
      <c r="U778" s="1008" t="str">
        <f t="shared" si="275"/>
        <v/>
      </c>
      <c r="V778" s="1008">
        <f t="shared" si="274"/>
        <v>0.91791159658265553</v>
      </c>
      <c r="W778" s="254"/>
      <c r="X778" s="520"/>
      <c r="Y778" s="610" t="s">
        <v>598</v>
      </c>
      <c r="Z778" s="241" t="s">
        <v>598</v>
      </c>
    </row>
    <row r="779" spans="1:26" ht="11.25" customHeight="1">
      <c r="A779" s="246" t="s">
        <v>628</v>
      </c>
      <c r="B779" s="235" t="s">
        <v>177</v>
      </c>
      <c r="C779" s="410"/>
      <c r="D779" s="386"/>
      <c r="E779" s="461" t="s">
        <v>764</v>
      </c>
      <c r="F779" s="103"/>
      <c r="G779" s="103"/>
      <c r="H779" s="103"/>
      <c r="I779" s="103">
        <f>SUM(F779:H779)</f>
        <v>0</v>
      </c>
      <c r="J779" s="103"/>
      <c r="K779" s="103"/>
      <c r="L779" s="103"/>
      <c r="M779" s="103">
        <f t="shared" si="268"/>
        <v>0</v>
      </c>
      <c r="N779" s="103">
        <f t="shared" si="269"/>
        <v>0</v>
      </c>
      <c r="O779" s="103">
        <f t="shared" si="269"/>
        <v>0</v>
      </c>
      <c r="P779" s="103">
        <f t="shared" si="269"/>
        <v>0</v>
      </c>
      <c r="Q779" s="103">
        <f t="shared" si="270"/>
        <v>0</v>
      </c>
      <c r="S779" s="730" t="str">
        <f t="shared" si="275"/>
        <v/>
      </c>
      <c r="T779" s="730" t="str">
        <f t="shared" si="275"/>
        <v/>
      </c>
      <c r="U779" s="730" t="str">
        <f t="shared" si="275"/>
        <v/>
      </c>
      <c r="V779" s="730" t="str">
        <f t="shared" si="274"/>
        <v/>
      </c>
      <c r="W779" s="254"/>
      <c r="Y779" s="610" t="s">
        <v>598</v>
      </c>
      <c r="Z779" s="241" t="s">
        <v>598</v>
      </c>
    </row>
    <row r="780" spans="1:26" s="675" customFormat="1" ht="11.25" customHeight="1">
      <c r="A780" s="528" t="s">
        <v>628</v>
      </c>
      <c r="B780" s="528" t="s">
        <v>178</v>
      </c>
      <c r="C780" s="407" t="s">
        <v>98</v>
      </c>
      <c r="D780" s="655">
        <v>4</v>
      </c>
      <c r="E780" s="408" t="s">
        <v>816</v>
      </c>
      <c r="F780" s="673"/>
      <c r="G780" s="673"/>
      <c r="H780" s="673"/>
      <c r="I780" s="674">
        <f>SUM(F780:H780)</f>
        <v>0</v>
      </c>
      <c r="J780" s="673"/>
      <c r="K780" s="673"/>
      <c r="L780" s="673"/>
      <c r="M780" s="674">
        <f t="shared" si="268"/>
        <v>0</v>
      </c>
      <c r="N780" s="674">
        <f t="shared" si="269"/>
        <v>0</v>
      </c>
      <c r="O780" s="674">
        <f t="shared" si="269"/>
        <v>0</v>
      </c>
      <c r="P780" s="674">
        <f t="shared" si="269"/>
        <v>0</v>
      </c>
      <c r="Q780" s="674">
        <f t="shared" si="270"/>
        <v>0</v>
      </c>
      <c r="R780" s="101"/>
      <c r="S780" s="254" t="str">
        <f t="shared" si="275"/>
        <v/>
      </c>
      <c r="T780" s="254" t="str">
        <f t="shared" si="275"/>
        <v/>
      </c>
      <c r="U780" s="254" t="str">
        <f t="shared" si="275"/>
        <v/>
      </c>
      <c r="V780" s="254" t="str">
        <f t="shared" si="274"/>
        <v/>
      </c>
      <c r="W780" s="531"/>
      <c r="Y780" s="272" t="s">
        <v>598</v>
      </c>
      <c r="Z780" s="260" t="s">
        <v>598</v>
      </c>
    </row>
    <row r="781" spans="1:26" ht="11.25" customHeight="1">
      <c r="A781" s="528" t="s">
        <v>628</v>
      </c>
      <c r="B781" s="1013" t="s">
        <v>178</v>
      </c>
      <c r="C781" s="461"/>
      <c r="D781" s="645" t="s">
        <v>766</v>
      </c>
      <c r="E781" s="447" t="s">
        <v>766</v>
      </c>
      <c r="F781" s="104">
        <f>'[3]chd6-SAOB'!C398</f>
        <v>135645000</v>
      </c>
      <c r="G781" s="104">
        <f>'[3]chd6-SAOB'!D398</f>
        <v>48725000</v>
      </c>
      <c r="H781" s="104">
        <f>'[3]chd6-SAOB'!E398</f>
        <v>0</v>
      </c>
      <c r="I781" s="103">
        <f>SUM(F781:H781)</f>
        <v>184370000</v>
      </c>
      <c r="J781" s="104">
        <f>'[3]chd6-SAOB'!G398</f>
        <v>125042101.80000001</v>
      </c>
      <c r="K781" s="104">
        <f>'[3]chd6-SAOB'!H398</f>
        <v>34922774.079999998</v>
      </c>
      <c r="L781" s="104">
        <f>'[3]chd6-SAOB'!I398</f>
        <v>0</v>
      </c>
      <c r="M781" s="103">
        <f t="shared" si="268"/>
        <v>159964875.88</v>
      </c>
      <c r="N781" s="103">
        <f t="shared" si="269"/>
        <v>10602898.199999988</v>
      </c>
      <c r="O781" s="103">
        <f t="shared" si="269"/>
        <v>13802225.920000002</v>
      </c>
      <c r="P781" s="103">
        <f t="shared" si="269"/>
        <v>0</v>
      </c>
      <c r="Q781" s="103">
        <f t="shared" si="270"/>
        <v>24405124.11999999</v>
      </c>
      <c r="S781" s="730">
        <f t="shared" si="275"/>
        <v>0.92183347561649909</v>
      </c>
      <c r="T781" s="730">
        <f t="shared" si="275"/>
        <v>0.7167321514622883</v>
      </c>
      <c r="U781" s="730" t="str">
        <f t="shared" si="275"/>
        <v/>
      </c>
      <c r="V781" s="730">
        <f t="shared" si="274"/>
        <v>0.86762963540706184</v>
      </c>
      <c r="W781" s="531"/>
      <c r="X781" s="236"/>
      <c r="Y781" s="236" t="s">
        <v>688</v>
      </c>
      <c r="Z781" s="236"/>
    </row>
    <row r="782" spans="1:26" ht="11.25" customHeight="1">
      <c r="A782" s="528" t="s">
        <v>628</v>
      </c>
      <c r="B782" s="1013" t="s">
        <v>178</v>
      </c>
      <c r="C782" s="728"/>
      <c r="D782" s="649" t="s">
        <v>50</v>
      </c>
      <c r="E782" s="447" t="s">
        <v>50</v>
      </c>
      <c r="F782" s="104"/>
      <c r="G782" s="104">
        <f>'[3]chd6-SAOB'!D400</f>
        <v>30082000</v>
      </c>
      <c r="H782" s="104">
        <f>'[3]chd6-SAOB'!E400</f>
        <v>120000000</v>
      </c>
      <c r="I782" s="103">
        <f>SUM(F782:H782)</f>
        <v>150082000</v>
      </c>
      <c r="J782" s="104"/>
      <c r="K782" s="104">
        <f>'[3]chd6-SAOB'!H400</f>
        <v>23627885.059999999</v>
      </c>
      <c r="L782" s="104">
        <f>'[3]chd6-SAOB'!I400</f>
        <v>23786620.66</v>
      </c>
      <c r="M782" s="103">
        <f>SUM(J782:L782)</f>
        <v>47414505.719999999</v>
      </c>
      <c r="N782" s="103">
        <f t="shared" si="269"/>
        <v>0</v>
      </c>
      <c r="O782" s="103">
        <f t="shared" si="269"/>
        <v>6454114.9400000013</v>
      </c>
      <c r="P782" s="103">
        <f t="shared" si="269"/>
        <v>96213379.340000004</v>
      </c>
      <c r="Q782" s="103">
        <f t="shared" si="270"/>
        <v>102667494.28</v>
      </c>
      <c r="S782" s="730" t="str">
        <f t="shared" si="275"/>
        <v/>
      </c>
      <c r="T782" s="730">
        <f t="shared" si="275"/>
        <v>0.78544927398444253</v>
      </c>
      <c r="U782" s="730">
        <f t="shared" si="275"/>
        <v>0.19822183883333333</v>
      </c>
      <c r="V782" s="730">
        <f t="shared" si="274"/>
        <v>0.31592399968017482</v>
      </c>
      <c r="W782" s="531"/>
      <c r="X782" s="236"/>
      <c r="Y782" s="236" t="s">
        <v>688</v>
      </c>
      <c r="Z782" s="236"/>
    </row>
    <row r="783" spans="1:26" s="256" customFormat="1" ht="11.25" customHeight="1">
      <c r="A783" s="528" t="s">
        <v>628</v>
      </c>
      <c r="B783" s="528" t="s">
        <v>178</v>
      </c>
      <c r="C783" s="389"/>
      <c r="D783" s="650" t="s">
        <v>98</v>
      </c>
      <c r="E783" s="390" t="s">
        <v>767</v>
      </c>
      <c r="F783" s="391">
        <f>+F781+F782</f>
        <v>135645000</v>
      </c>
      <c r="G783" s="391">
        <f t="shared" ref="G783:M783" si="289">+G781+G782</f>
        <v>78807000</v>
      </c>
      <c r="H783" s="391">
        <f t="shared" si="289"/>
        <v>120000000</v>
      </c>
      <c r="I783" s="391">
        <f t="shared" si="289"/>
        <v>334452000</v>
      </c>
      <c r="J783" s="391">
        <f t="shared" si="289"/>
        <v>125042101.80000001</v>
      </c>
      <c r="K783" s="391">
        <f t="shared" si="289"/>
        <v>58550659.140000001</v>
      </c>
      <c r="L783" s="391">
        <f t="shared" si="289"/>
        <v>23786620.66</v>
      </c>
      <c r="M783" s="391">
        <f t="shared" si="289"/>
        <v>207379381.59999999</v>
      </c>
      <c r="N783" s="391">
        <f t="shared" si="269"/>
        <v>10602898.199999988</v>
      </c>
      <c r="O783" s="391">
        <f t="shared" si="269"/>
        <v>20256340.859999999</v>
      </c>
      <c r="P783" s="391">
        <f t="shared" si="269"/>
        <v>96213379.340000004</v>
      </c>
      <c r="Q783" s="391">
        <f t="shared" si="270"/>
        <v>127072618.39999999</v>
      </c>
      <c r="R783" s="101"/>
      <c r="S783" s="254">
        <f t="shared" si="275"/>
        <v>0.92183347561649909</v>
      </c>
      <c r="T783" s="254">
        <f t="shared" si="275"/>
        <v>0.74296267006737982</v>
      </c>
      <c r="U783" s="254">
        <f t="shared" si="275"/>
        <v>0.19822183883333333</v>
      </c>
      <c r="V783" s="254">
        <f t="shared" si="274"/>
        <v>0.62005723272696822</v>
      </c>
      <c r="W783" s="531"/>
      <c r="Y783" s="256" t="s">
        <v>598</v>
      </c>
      <c r="Z783" s="256" t="s">
        <v>598</v>
      </c>
    </row>
    <row r="784" spans="1:26" ht="11.25" hidden="1" customHeight="1">
      <c r="A784" s="528" t="s">
        <v>628</v>
      </c>
      <c r="B784" s="1013" t="s">
        <v>178</v>
      </c>
      <c r="C784" s="410"/>
      <c r="D784" s="651"/>
      <c r="E784" s="806" t="s">
        <v>764</v>
      </c>
      <c r="F784" s="807"/>
      <c r="G784" s="807"/>
      <c r="H784" s="807"/>
      <c r="I784" s="807"/>
      <c r="J784" s="807"/>
      <c r="K784" s="807"/>
      <c r="L784" s="807"/>
      <c r="M784" s="807"/>
      <c r="N784" s="807">
        <f t="shared" si="269"/>
        <v>0</v>
      </c>
      <c r="O784" s="807">
        <f t="shared" si="269"/>
        <v>0</v>
      </c>
      <c r="P784" s="807">
        <f t="shared" si="269"/>
        <v>0</v>
      </c>
      <c r="Q784" s="807">
        <f t="shared" si="270"/>
        <v>0</v>
      </c>
      <c r="R784" s="276"/>
      <c r="S784" s="730" t="str">
        <f t="shared" si="275"/>
        <v/>
      </c>
      <c r="T784" s="730" t="str">
        <f t="shared" si="275"/>
        <v/>
      </c>
      <c r="U784" s="730" t="str">
        <f t="shared" si="275"/>
        <v/>
      </c>
      <c r="V784" s="730" t="str">
        <f t="shared" si="274"/>
        <v/>
      </c>
      <c r="W784" s="531"/>
      <c r="X784" s="236"/>
      <c r="Y784" s="236"/>
      <c r="Z784" s="236"/>
    </row>
    <row r="785" spans="1:26" s="256" customFormat="1" ht="11.25" customHeight="1">
      <c r="A785" s="528" t="s">
        <v>628</v>
      </c>
      <c r="B785" s="528" t="s">
        <v>178</v>
      </c>
      <c r="C785" s="389"/>
      <c r="D785" s="650" t="s">
        <v>98</v>
      </c>
      <c r="E785" s="390" t="s">
        <v>99</v>
      </c>
      <c r="F785" s="391">
        <f>+F786</f>
        <v>12342000</v>
      </c>
      <c r="G785" s="391">
        <f t="shared" ref="G785:M785" si="290">+G786</f>
        <v>0</v>
      </c>
      <c r="H785" s="391">
        <f t="shared" si="290"/>
        <v>0</v>
      </c>
      <c r="I785" s="391">
        <f t="shared" si="290"/>
        <v>12342000</v>
      </c>
      <c r="J785" s="391">
        <f t="shared" si="290"/>
        <v>11305465.539999999</v>
      </c>
      <c r="K785" s="391">
        <f t="shared" si="290"/>
        <v>0</v>
      </c>
      <c r="L785" s="391">
        <f t="shared" si="290"/>
        <v>0</v>
      </c>
      <c r="M785" s="391">
        <f t="shared" si="290"/>
        <v>11305465.539999999</v>
      </c>
      <c r="N785" s="391">
        <f t="shared" si="269"/>
        <v>1036534.4600000009</v>
      </c>
      <c r="O785" s="391">
        <f t="shared" si="269"/>
        <v>0</v>
      </c>
      <c r="P785" s="391">
        <f t="shared" si="269"/>
        <v>0</v>
      </c>
      <c r="Q785" s="391">
        <f t="shared" si="270"/>
        <v>1036534.4600000009</v>
      </c>
      <c r="R785" s="101"/>
      <c r="S785" s="254">
        <f t="shared" si="275"/>
        <v>0.916015681413061</v>
      </c>
      <c r="T785" s="254" t="str">
        <f t="shared" si="275"/>
        <v/>
      </c>
      <c r="U785" s="254" t="str">
        <f t="shared" si="275"/>
        <v/>
      </c>
      <c r="V785" s="254">
        <f t="shared" si="274"/>
        <v>0.916015681413061</v>
      </c>
      <c r="W785" s="531"/>
      <c r="Y785" s="256" t="s">
        <v>598</v>
      </c>
      <c r="Z785" s="256" t="s">
        <v>598</v>
      </c>
    </row>
    <row r="786" spans="1:26" ht="11.25" customHeight="1">
      <c r="A786" s="528" t="s">
        <v>628</v>
      </c>
      <c r="B786" s="1013" t="s">
        <v>178</v>
      </c>
      <c r="C786" s="728"/>
      <c r="D786" s="649" t="s">
        <v>286</v>
      </c>
      <c r="E786" s="729" t="s">
        <v>286</v>
      </c>
      <c r="F786" s="103">
        <f>SUM('[3]chd6-SAOB'!AF14)</f>
        <v>12342000</v>
      </c>
      <c r="G786" s="103">
        <f>SUM('[3]chd6-SAOB'!AF50)</f>
        <v>0</v>
      </c>
      <c r="H786" s="103">
        <f>SUM('[3]chd6-SAOB'!AF143)</f>
        <v>0</v>
      </c>
      <c r="I786" s="103">
        <f>SUM(F786:H786)</f>
        <v>12342000</v>
      </c>
      <c r="J786" s="103">
        <f>SUM('[3]chd6-SAOB'!AF15)</f>
        <v>11305465.539999999</v>
      </c>
      <c r="K786" s="103">
        <f>SUM('[3]chd6-SAOB'!AF51)</f>
        <v>0</v>
      </c>
      <c r="L786" s="103">
        <f>SUM('[3]chd6-SAOB'!AF144)</f>
        <v>0</v>
      </c>
      <c r="M786" s="103">
        <f t="shared" si="268"/>
        <v>11305465.539999999</v>
      </c>
      <c r="N786" s="103">
        <f t="shared" si="269"/>
        <v>1036534.4600000009</v>
      </c>
      <c r="O786" s="103">
        <f t="shared" si="269"/>
        <v>0</v>
      </c>
      <c r="P786" s="103">
        <f t="shared" si="269"/>
        <v>0</v>
      </c>
      <c r="Q786" s="103">
        <f t="shared" si="270"/>
        <v>1036534.4600000009</v>
      </c>
      <c r="S786" s="730">
        <f t="shared" si="275"/>
        <v>0.916015681413061</v>
      </c>
      <c r="T786" s="730" t="str">
        <f t="shared" si="275"/>
        <v/>
      </c>
      <c r="U786" s="730" t="str">
        <f t="shared" si="275"/>
        <v/>
      </c>
      <c r="V786" s="730">
        <f t="shared" si="274"/>
        <v>0.916015681413061</v>
      </c>
      <c r="W786" s="531"/>
      <c r="X786" s="236"/>
      <c r="Y786" s="236" t="s">
        <v>598</v>
      </c>
      <c r="Z786" s="236"/>
    </row>
    <row r="787" spans="1:26" s="272" customFormat="1" ht="11.25" customHeight="1">
      <c r="A787" s="528" t="s">
        <v>628</v>
      </c>
      <c r="B787" s="528" t="s">
        <v>178</v>
      </c>
      <c r="C787" s="389"/>
      <c r="D787" s="650" t="s">
        <v>98</v>
      </c>
      <c r="E787" s="390" t="s">
        <v>100</v>
      </c>
      <c r="F787" s="391">
        <f t="shared" ref="F787:M787" si="291">SUM(F788:F792)</f>
        <v>5358085</v>
      </c>
      <c r="G787" s="391">
        <f t="shared" si="291"/>
        <v>15944000</v>
      </c>
      <c r="H787" s="391">
        <f t="shared" si="291"/>
        <v>0</v>
      </c>
      <c r="I787" s="391">
        <f t="shared" si="291"/>
        <v>21302085</v>
      </c>
      <c r="J787" s="391">
        <f t="shared" si="291"/>
        <v>5195585</v>
      </c>
      <c r="K787" s="391">
        <f t="shared" si="291"/>
        <v>15938305.67</v>
      </c>
      <c r="L787" s="391">
        <f t="shared" si="291"/>
        <v>0</v>
      </c>
      <c r="M787" s="391">
        <f t="shared" si="291"/>
        <v>21133890.670000002</v>
      </c>
      <c r="N787" s="391">
        <f t="shared" si="269"/>
        <v>162500</v>
      </c>
      <c r="O787" s="391">
        <f t="shared" si="269"/>
        <v>5694.3300000000745</v>
      </c>
      <c r="P787" s="391">
        <f t="shared" si="269"/>
        <v>0</v>
      </c>
      <c r="Q787" s="391">
        <f t="shared" si="270"/>
        <v>168194.33000000007</v>
      </c>
      <c r="R787" s="102"/>
      <c r="S787" s="254">
        <f t="shared" si="275"/>
        <v>0.96967200035087164</v>
      </c>
      <c r="T787" s="254">
        <f t="shared" si="275"/>
        <v>0.99964285436527844</v>
      </c>
      <c r="U787" s="254" t="str">
        <f t="shared" si="275"/>
        <v/>
      </c>
      <c r="V787" s="254">
        <f t="shared" si="274"/>
        <v>0.99210432546861027</v>
      </c>
      <c r="W787" s="531"/>
      <c r="Y787" s="272" t="s">
        <v>598</v>
      </c>
      <c r="Z787" s="256" t="s">
        <v>598</v>
      </c>
    </row>
    <row r="788" spans="1:26" ht="11.25" customHeight="1">
      <c r="A788" s="528" t="s">
        <v>628</v>
      </c>
      <c r="B788" s="1013" t="s">
        <v>178</v>
      </c>
      <c r="C788" s="728"/>
      <c r="D788" s="649" t="s">
        <v>288</v>
      </c>
      <c r="E788" s="729" t="s">
        <v>288</v>
      </c>
      <c r="F788" s="103">
        <f>SUM('[3]chd6-SAOB'!AL14)</f>
        <v>0</v>
      </c>
      <c r="G788" s="103">
        <f>SUM('[3]chd6-SAOB'!AL50)</f>
        <v>0</v>
      </c>
      <c r="H788" s="103">
        <f>SUM('[3]chd6-SAOB'!AL143)</f>
        <v>0</v>
      </c>
      <c r="I788" s="103">
        <f>SUM(F788:H788)</f>
        <v>0</v>
      </c>
      <c r="J788" s="103">
        <f>SUM('[3]chd6-SAOB'!AL15)</f>
        <v>0</v>
      </c>
      <c r="K788" s="103">
        <f>SUM('[3]chd6-SAOB'!AL51)</f>
        <v>0</v>
      </c>
      <c r="L788" s="103">
        <f>SUM('[3]chd6-SAOB'!AL144)</f>
        <v>0</v>
      </c>
      <c r="M788" s="103">
        <f t="shared" si="268"/>
        <v>0</v>
      </c>
      <c r="N788" s="103">
        <f t="shared" si="269"/>
        <v>0</v>
      </c>
      <c r="O788" s="103">
        <f t="shared" si="269"/>
        <v>0</v>
      </c>
      <c r="P788" s="103">
        <f t="shared" si="269"/>
        <v>0</v>
      </c>
      <c r="Q788" s="103">
        <f t="shared" si="270"/>
        <v>0</v>
      </c>
      <c r="S788" s="730" t="str">
        <f t="shared" si="275"/>
        <v/>
      </c>
      <c r="T788" s="730" t="str">
        <f t="shared" si="275"/>
        <v/>
      </c>
      <c r="U788" s="730" t="str">
        <f t="shared" si="275"/>
        <v/>
      </c>
      <c r="V788" s="730" t="str">
        <f t="shared" si="274"/>
        <v/>
      </c>
      <c r="W788" s="531"/>
      <c r="X788" s="236"/>
      <c r="Y788" s="236" t="s">
        <v>598</v>
      </c>
      <c r="Z788" s="236"/>
    </row>
    <row r="789" spans="1:26" ht="11.25" customHeight="1">
      <c r="A789" s="528" t="s">
        <v>628</v>
      </c>
      <c r="B789" s="1013" t="s">
        <v>178</v>
      </c>
      <c r="C789" s="728"/>
      <c r="D789" s="649" t="s">
        <v>761</v>
      </c>
      <c r="E789" s="729" t="s">
        <v>761</v>
      </c>
      <c r="F789" s="104">
        <f>'[3]chd6-SAOB'!C400</f>
        <v>3070000</v>
      </c>
      <c r="G789" s="104"/>
      <c r="H789" s="104"/>
      <c r="I789" s="103">
        <f>SUM(F789:H789)</f>
        <v>3070000</v>
      </c>
      <c r="J789" s="104">
        <f>'[3]chd6-SAOB'!G400</f>
        <v>2907500</v>
      </c>
      <c r="K789" s="104"/>
      <c r="L789" s="104"/>
      <c r="M789" s="103">
        <f t="shared" si="268"/>
        <v>2907500</v>
      </c>
      <c r="N789" s="103">
        <f>+F789-J789</f>
        <v>162500</v>
      </c>
      <c r="O789" s="103">
        <f>+G789-K789</f>
        <v>0</v>
      </c>
      <c r="P789" s="103">
        <f>+H789-L789</f>
        <v>0</v>
      </c>
      <c r="Q789" s="103">
        <f>SUM(N789:P789)</f>
        <v>162500</v>
      </c>
      <c r="S789" s="730">
        <f t="shared" si="275"/>
        <v>0.94706840390879476</v>
      </c>
      <c r="T789" s="730" t="str">
        <f t="shared" si="275"/>
        <v/>
      </c>
      <c r="U789" s="730" t="str">
        <f t="shared" si="275"/>
        <v/>
      </c>
      <c r="V789" s="730">
        <f t="shared" si="274"/>
        <v>0.94706840390879476</v>
      </c>
      <c r="W789" s="531"/>
      <c r="X789" s="236"/>
      <c r="Y789" s="236" t="s">
        <v>688</v>
      </c>
      <c r="Z789" s="236"/>
    </row>
    <row r="790" spans="1:26" ht="11.25" customHeight="1">
      <c r="A790" s="528" t="s">
        <v>628</v>
      </c>
      <c r="B790" s="1013" t="s">
        <v>178</v>
      </c>
      <c r="C790" s="410"/>
      <c r="D790" s="647"/>
      <c r="E790" s="461" t="s">
        <v>764</v>
      </c>
      <c r="F790" s="104"/>
      <c r="G790" s="104"/>
      <c r="H790" s="104"/>
      <c r="I790" s="103"/>
      <c r="J790" s="104"/>
      <c r="K790" s="104"/>
      <c r="L790" s="104"/>
      <c r="M790" s="103"/>
      <c r="N790" s="103"/>
      <c r="O790" s="103"/>
      <c r="P790" s="103"/>
      <c r="Q790" s="103"/>
      <c r="S790" s="730" t="str">
        <f t="shared" si="275"/>
        <v/>
      </c>
      <c r="T790" s="730" t="str">
        <f t="shared" si="275"/>
        <v/>
      </c>
      <c r="U790" s="730" t="str">
        <f t="shared" si="275"/>
        <v/>
      </c>
      <c r="V790" s="730" t="str">
        <f t="shared" si="274"/>
        <v/>
      </c>
      <c r="W790" s="531"/>
      <c r="X790" s="236"/>
      <c r="Y790" s="236" t="s">
        <v>688</v>
      </c>
      <c r="Z790" s="240"/>
    </row>
    <row r="791" spans="1:26" ht="11.25" customHeight="1">
      <c r="A791" s="528" t="s">
        <v>628</v>
      </c>
      <c r="B791" s="1013" t="s">
        <v>178</v>
      </c>
      <c r="C791" s="728"/>
      <c r="D791" s="649" t="s">
        <v>289</v>
      </c>
      <c r="E791" s="729" t="s">
        <v>289</v>
      </c>
      <c r="F791" s="103">
        <f>SUM('[3]chd6-SAOB'!AR14)</f>
        <v>2288085</v>
      </c>
      <c r="G791" s="103">
        <f>SUM('[3]chd6-SAOB'!AR50)</f>
        <v>0</v>
      </c>
      <c r="H791" s="103">
        <f>SUM('[3]chd6-SAOB'!AR143)</f>
        <v>0</v>
      </c>
      <c r="I791" s="103">
        <f>SUM(F791:H791)</f>
        <v>2288085</v>
      </c>
      <c r="J791" s="103">
        <f>SUM('[3]chd6-SAOB'!AR15)</f>
        <v>2288085</v>
      </c>
      <c r="K791" s="103">
        <f>SUM('[3]chd6-SAOB'!AR51)</f>
        <v>0</v>
      </c>
      <c r="L791" s="103">
        <f>SUM('[3]chd6-SAOB'!AR144)</f>
        <v>0</v>
      </c>
      <c r="M791" s="103">
        <f t="shared" si="268"/>
        <v>2288085</v>
      </c>
      <c r="N791" s="103">
        <f t="shared" ref="N791:P857" si="292">+F791-J791</f>
        <v>0</v>
      </c>
      <c r="O791" s="103">
        <f t="shared" si="292"/>
        <v>0</v>
      </c>
      <c r="P791" s="103">
        <f t="shared" si="292"/>
        <v>0</v>
      </c>
      <c r="Q791" s="103">
        <f t="shared" ref="Q791:Q857" si="293">SUM(N791:P791)</f>
        <v>0</v>
      </c>
      <c r="S791" s="730">
        <f t="shared" si="275"/>
        <v>1</v>
      </c>
      <c r="T791" s="730" t="str">
        <f t="shared" si="275"/>
        <v/>
      </c>
      <c r="U791" s="730" t="str">
        <f t="shared" si="275"/>
        <v/>
      </c>
      <c r="V791" s="730">
        <f t="shared" si="275"/>
        <v>1</v>
      </c>
      <c r="W791" s="531"/>
      <c r="X791" s="236"/>
      <c r="Y791" s="236" t="s">
        <v>598</v>
      </c>
      <c r="Z791" s="236"/>
    </row>
    <row r="792" spans="1:26" ht="11.25" customHeight="1">
      <c r="A792" s="528" t="s">
        <v>628</v>
      </c>
      <c r="B792" s="1013" t="s">
        <v>178</v>
      </c>
      <c r="C792" s="728"/>
      <c r="D792" s="649" t="s">
        <v>290</v>
      </c>
      <c r="E792" s="729" t="s">
        <v>290</v>
      </c>
      <c r="F792" s="103">
        <f>SUM('[3]chd6-SAOB'!AX14)</f>
        <v>0</v>
      </c>
      <c r="G792" s="103">
        <f>SUM('[3]chd6-SAOB'!AX50)</f>
        <v>15944000</v>
      </c>
      <c r="H792" s="103">
        <f>SUM('[3]chd6-SAOB'!AX143)</f>
        <v>0</v>
      </c>
      <c r="I792" s="103">
        <f>SUM(F792:H792)</f>
        <v>15944000</v>
      </c>
      <c r="J792" s="103">
        <f>SUM('[3]chd6-SAOB'!AX15)</f>
        <v>0</v>
      </c>
      <c r="K792" s="103">
        <f>SUM('[3]chd6-SAOB'!AX51)</f>
        <v>15938305.67</v>
      </c>
      <c r="L792" s="103">
        <f>SUM('[3]chd6-SAOB'!AX144)</f>
        <v>0</v>
      </c>
      <c r="M792" s="103">
        <f t="shared" si="268"/>
        <v>15938305.67</v>
      </c>
      <c r="N792" s="103">
        <f t="shared" si="292"/>
        <v>0</v>
      </c>
      <c r="O792" s="103">
        <f t="shared" si="292"/>
        <v>5694.3300000000745</v>
      </c>
      <c r="P792" s="103">
        <f t="shared" si="292"/>
        <v>0</v>
      </c>
      <c r="Q792" s="103">
        <f t="shared" si="293"/>
        <v>5694.3300000000745</v>
      </c>
      <c r="S792" s="730" t="str">
        <f t="shared" ref="S792:V855" si="294">IF(F792=0,"",J792/F792)</f>
        <v/>
      </c>
      <c r="T792" s="730">
        <f t="shared" si="294"/>
        <v>0.99964285436527844</v>
      </c>
      <c r="U792" s="730" t="str">
        <f t="shared" si="294"/>
        <v/>
      </c>
      <c r="V792" s="730">
        <f t="shared" si="294"/>
        <v>0.99964285436527844</v>
      </c>
      <c r="W792" s="531"/>
      <c r="X792" s="236"/>
      <c r="Y792" s="236" t="s">
        <v>598</v>
      </c>
      <c r="Z792" s="236"/>
    </row>
    <row r="793" spans="1:26" s="259" customFormat="1" ht="11.25" customHeight="1">
      <c r="A793" s="246" t="s">
        <v>628</v>
      </c>
      <c r="B793" s="235" t="s">
        <v>178</v>
      </c>
      <c r="C793" s="656"/>
      <c r="D793" s="656"/>
      <c r="E793" s="657" t="s">
        <v>4</v>
      </c>
      <c r="F793" s="652">
        <f>+F783+F785+F787</f>
        <v>153345085</v>
      </c>
      <c r="G793" s="652">
        <f t="shared" ref="G793:M793" si="295">+G783+G785+G787</f>
        <v>94751000</v>
      </c>
      <c r="H793" s="652">
        <f t="shared" si="295"/>
        <v>120000000</v>
      </c>
      <c r="I793" s="652">
        <f t="shared" si="295"/>
        <v>368096085</v>
      </c>
      <c r="J793" s="652">
        <f t="shared" si="295"/>
        <v>141543152.34</v>
      </c>
      <c r="K793" s="652">
        <f t="shared" si="295"/>
        <v>74488964.810000002</v>
      </c>
      <c r="L793" s="652">
        <f t="shared" si="295"/>
        <v>23786620.66</v>
      </c>
      <c r="M793" s="652">
        <f t="shared" si="295"/>
        <v>239818737.81</v>
      </c>
      <c r="N793" s="652">
        <f t="shared" si="292"/>
        <v>11801932.659999996</v>
      </c>
      <c r="O793" s="652">
        <f t="shared" si="292"/>
        <v>20262035.189999998</v>
      </c>
      <c r="P793" s="652">
        <f t="shared" si="292"/>
        <v>96213379.340000004</v>
      </c>
      <c r="Q793" s="652">
        <f t="shared" si="293"/>
        <v>128277347.19</v>
      </c>
      <c r="R793" s="653">
        <f>+Q793-'[3]chd6-SAOB'!BZ180</f>
        <v>0</v>
      </c>
      <c r="S793" s="1008">
        <f t="shared" si="294"/>
        <v>0.92303677251866278</v>
      </c>
      <c r="T793" s="1008">
        <f t="shared" si="294"/>
        <v>0.78615491984253472</v>
      </c>
      <c r="U793" s="1008">
        <f t="shared" si="294"/>
        <v>0.19822183883333333</v>
      </c>
      <c r="V793" s="1008">
        <f t="shared" si="294"/>
        <v>0.65151124280498662</v>
      </c>
      <c r="W793" s="254"/>
      <c r="X793" s="520"/>
      <c r="Y793" s="610" t="s">
        <v>598</v>
      </c>
      <c r="Z793" s="241" t="s">
        <v>598</v>
      </c>
    </row>
    <row r="794" spans="1:26" s="660" customFormat="1" ht="20.25" hidden="1" customHeight="1">
      <c r="A794" s="246" t="s">
        <v>628</v>
      </c>
      <c r="B794" s="1009" t="s">
        <v>629</v>
      </c>
      <c r="C794" s="1428" t="s">
        <v>627</v>
      </c>
      <c r="D794" s="1429"/>
      <c r="E794" s="1430"/>
      <c r="F794" s="659">
        <f>+F748+F763+F778+F793</f>
        <v>397963110</v>
      </c>
      <c r="G794" s="659">
        <f>+G748+G763+G778+G793</f>
        <v>222024294.06</v>
      </c>
      <c r="H794" s="659">
        <f>+H748+H763+H778+H793</f>
        <v>222030932</v>
      </c>
      <c r="I794" s="659">
        <f>SUM(F794:H794)</f>
        <v>842018336.05999994</v>
      </c>
      <c r="J794" s="659">
        <f>+J748+J763+J778+J793</f>
        <v>369821461.00999999</v>
      </c>
      <c r="K794" s="659">
        <f>+K748+K763+K778+K793</f>
        <v>180890583.45999998</v>
      </c>
      <c r="L794" s="659">
        <f>+L748+L763+L778+L793</f>
        <v>112979712.66</v>
      </c>
      <c r="M794" s="659">
        <f t="shared" si="268"/>
        <v>663691757.13</v>
      </c>
      <c r="N794" s="659">
        <f t="shared" si="292"/>
        <v>28141648.99000001</v>
      </c>
      <c r="O794" s="659">
        <f t="shared" si="292"/>
        <v>41133710.600000024</v>
      </c>
      <c r="P794" s="659">
        <f t="shared" si="292"/>
        <v>109051219.34</v>
      </c>
      <c r="Q794" s="659">
        <f t="shared" si="293"/>
        <v>178326578.93000004</v>
      </c>
      <c r="S794" s="1015">
        <f t="shared" si="294"/>
        <v>0.92928578483065927</v>
      </c>
      <c r="T794" s="1015">
        <f t="shared" si="294"/>
        <v>0.8147332895521604</v>
      </c>
      <c r="U794" s="1015">
        <f t="shared" si="294"/>
        <v>0.50884672528420494</v>
      </c>
      <c r="V794" s="1015">
        <f t="shared" si="294"/>
        <v>0.78821532585094101</v>
      </c>
      <c r="W794" s="254"/>
    </row>
    <row r="795" spans="1:26" ht="11.25" hidden="1" customHeight="1">
      <c r="A795" s="246" t="s">
        <v>628</v>
      </c>
      <c r="B795" s="235" t="s">
        <v>629</v>
      </c>
      <c r="C795" s="1016"/>
      <c r="D795" s="386"/>
      <c r="E795" s="461"/>
      <c r="F795" s="103"/>
      <c r="G795" s="103"/>
      <c r="H795" s="103"/>
      <c r="I795" s="103">
        <f>SUM(F795:H795)</f>
        <v>0</v>
      </c>
      <c r="J795" s="103"/>
      <c r="K795" s="103"/>
      <c r="L795" s="103"/>
      <c r="M795" s="103">
        <f t="shared" si="268"/>
        <v>0</v>
      </c>
      <c r="N795" s="103">
        <f t="shared" si="292"/>
        <v>0</v>
      </c>
      <c r="O795" s="103">
        <f t="shared" si="292"/>
        <v>0</v>
      </c>
      <c r="P795" s="103">
        <f t="shared" si="292"/>
        <v>0</v>
      </c>
      <c r="Q795" s="103">
        <f t="shared" si="293"/>
        <v>0</v>
      </c>
      <c r="R795" s="236"/>
      <c r="S795" s="730" t="str">
        <f t="shared" si="294"/>
        <v/>
      </c>
      <c r="T795" s="730" t="str">
        <f t="shared" si="294"/>
        <v/>
      </c>
      <c r="U795" s="730" t="str">
        <f t="shared" si="294"/>
        <v/>
      </c>
      <c r="V795" s="730" t="str">
        <f t="shared" si="294"/>
        <v/>
      </c>
      <c r="W795" s="254"/>
      <c r="X795" s="520" t="s">
        <v>598</v>
      </c>
      <c r="Z795" s="241"/>
    </row>
    <row r="796" spans="1:26" s="275" customFormat="1" ht="11.25" hidden="1" customHeight="1">
      <c r="A796" s="246" t="s">
        <v>628</v>
      </c>
      <c r="B796" s="246" t="s">
        <v>629</v>
      </c>
      <c r="C796" s="407" t="s">
        <v>817</v>
      </c>
      <c r="D796" s="407"/>
      <c r="E796" s="408"/>
      <c r="F796" s="409"/>
      <c r="G796" s="409"/>
      <c r="H796" s="409"/>
      <c r="I796" s="409">
        <f>SUM(F796:H796)</f>
        <v>0</v>
      </c>
      <c r="J796" s="409"/>
      <c r="K796" s="409"/>
      <c r="L796" s="409"/>
      <c r="M796" s="409">
        <f t="shared" si="268"/>
        <v>0</v>
      </c>
      <c r="N796" s="409">
        <f t="shared" si="292"/>
        <v>0</v>
      </c>
      <c r="O796" s="409">
        <f t="shared" si="292"/>
        <v>0</v>
      </c>
      <c r="P796" s="409">
        <f t="shared" si="292"/>
        <v>0</v>
      </c>
      <c r="Q796" s="409">
        <f t="shared" si="293"/>
        <v>0</v>
      </c>
      <c r="R796" s="522"/>
      <c r="S796" s="254" t="str">
        <f t="shared" si="294"/>
        <v/>
      </c>
      <c r="T796" s="254" t="str">
        <f t="shared" si="294"/>
        <v/>
      </c>
      <c r="U796" s="254" t="str">
        <f t="shared" si="294"/>
        <v/>
      </c>
      <c r="V796" s="1002" t="str">
        <f t="shared" si="294"/>
        <v/>
      </c>
      <c r="W796" s="254"/>
      <c r="X796" s="274" t="s">
        <v>598</v>
      </c>
      <c r="Y796" s="663"/>
      <c r="Z796" s="253"/>
    </row>
    <row r="797" spans="1:26" ht="11.25" hidden="1" customHeight="1">
      <c r="A797" s="246" t="s">
        <v>628</v>
      </c>
      <c r="B797" s="235" t="s">
        <v>629</v>
      </c>
      <c r="C797" s="461"/>
      <c r="D797" s="664" t="s">
        <v>766</v>
      </c>
      <c r="E797" s="447" t="s">
        <v>766</v>
      </c>
      <c r="F797" s="103">
        <f>+F717+F736+F751+F766+F781</f>
        <v>430207681</v>
      </c>
      <c r="G797" s="103">
        <f>+G717+G736+G751+G766+G781</f>
        <v>325180319</v>
      </c>
      <c r="H797" s="103">
        <f>+H717+H736+H751+H766+H781</f>
        <v>0</v>
      </c>
      <c r="I797" s="103">
        <f>SUM(F797:H797)</f>
        <v>755388000</v>
      </c>
      <c r="J797" s="103">
        <f>+J717+J736+J751+J766+J781</f>
        <v>396551613.13</v>
      </c>
      <c r="K797" s="103">
        <f>+K717+K736+K751+K766+K781</f>
        <v>214230165.46000004</v>
      </c>
      <c r="L797" s="103">
        <f>+L717+L736+L751+L766+L781</f>
        <v>0</v>
      </c>
      <c r="M797" s="103">
        <f t="shared" si="268"/>
        <v>610781778.59000003</v>
      </c>
      <c r="N797" s="103">
        <f t="shared" si="292"/>
        <v>33656067.870000005</v>
      </c>
      <c r="O797" s="103">
        <f t="shared" si="292"/>
        <v>110950153.53999996</v>
      </c>
      <c r="P797" s="103">
        <f t="shared" si="292"/>
        <v>0</v>
      </c>
      <c r="Q797" s="103">
        <f t="shared" si="293"/>
        <v>144606221.40999997</v>
      </c>
      <c r="R797" s="236"/>
      <c r="S797" s="730">
        <f t="shared" si="294"/>
        <v>0.92176785920751614</v>
      </c>
      <c r="T797" s="730">
        <f t="shared" si="294"/>
        <v>0.65880421705349279</v>
      </c>
      <c r="U797" s="730" t="str">
        <f t="shared" si="294"/>
        <v/>
      </c>
      <c r="V797" s="730">
        <f t="shared" si="294"/>
        <v>0.80856695974783821</v>
      </c>
      <c r="W797" s="254"/>
      <c r="X797" s="237" t="s">
        <v>598</v>
      </c>
    </row>
    <row r="798" spans="1:26" ht="11.25" hidden="1" customHeight="1">
      <c r="A798" s="246" t="s">
        <v>628</v>
      </c>
      <c r="B798" s="235" t="s">
        <v>629</v>
      </c>
      <c r="C798" s="728"/>
      <c r="D798" s="394" t="s">
        <v>50</v>
      </c>
      <c r="E798" s="447" t="s">
        <v>50</v>
      </c>
      <c r="F798" s="103">
        <f>+F721+F737+F752+F767+F782</f>
        <v>0</v>
      </c>
      <c r="G798" s="103">
        <f>+G721+G737+G752+G767+G782</f>
        <v>257522900.06</v>
      </c>
      <c r="H798" s="103">
        <f>+H721+H737+H752+H767+H782</f>
        <v>303830932</v>
      </c>
      <c r="I798" s="103">
        <f>SUM(F798:H798)</f>
        <v>561353832.05999994</v>
      </c>
      <c r="J798" s="103">
        <f>+J721+J737+J752+J767+J782</f>
        <v>0</v>
      </c>
      <c r="K798" s="103">
        <f>+K721+K737+K752+K767+K782</f>
        <v>180608552.14999998</v>
      </c>
      <c r="L798" s="103">
        <f>+L721+L737+L752+L767+L782</f>
        <v>194779712.66</v>
      </c>
      <c r="M798" s="103">
        <f>SUM(J798:L798)</f>
        <v>375388264.80999994</v>
      </c>
      <c r="N798" s="103">
        <f t="shared" si="292"/>
        <v>0</v>
      </c>
      <c r="O798" s="103">
        <f t="shared" si="292"/>
        <v>76914347.910000026</v>
      </c>
      <c r="P798" s="103">
        <f t="shared" si="292"/>
        <v>109051219.34</v>
      </c>
      <c r="Q798" s="103">
        <f t="shared" si="293"/>
        <v>185965567.25000003</v>
      </c>
      <c r="R798" s="236"/>
      <c r="S798" s="730" t="str">
        <f t="shared" si="294"/>
        <v/>
      </c>
      <c r="T798" s="730">
        <f t="shared" si="294"/>
        <v>0.7013300646580175</v>
      </c>
      <c r="U798" s="730">
        <f t="shared" si="294"/>
        <v>0.64107927187611036</v>
      </c>
      <c r="V798" s="730">
        <f t="shared" si="294"/>
        <v>0.66871951943827967</v>
      </c>
      <c r="W798" s="254"/>
      <c r="X798" s="237" t="s">
        <v>598</v>
      </c>
    </row>
    <row r="799" spans="1:26" s="256" customFormat="1" ht="11.25" hidden="1" customHeight="1">
      <c r="A799" s="246" t="s">
        <v>628</v>
      </c>
      <c r="B799" s="246" t="s">
        <v>629</v>
      </c>
      <c r="C799" s="389"/>
      <c r="D799" s="389" t="s">
        <v>98</v>
      </c>
      <c r="E799" s="390" t="s">
        <v>767</v>
      </c>
      <c r="F799" s="391">
        <f>+F797+F798</f>
        <v>430207681</v>
      </c>
      <c r="G799" s="391">
        <f t="shared" ref="G799:M799" si="296">+G797+G798</f>
        <v>582703219.05999994</v>
      </c>
      <c r="H799" s="391">
        <f t="shared" si="296"/>
        <v>303830932</v>
      </c>
      <c r="I799" s="391">
        <f t="shared" si="296"/>
        <v>1316741832.0599999</v>
      </c>
      <c r="J799" s="391">
        <f t="shared" si="296"/>
        <v>396551613.13</v>
      </c>
      <c r="K799" s="391">
        <f t="shared" si="296"/>
        <v>394838717.61000001</v>
      </c>
      <c r="L799" s="391">
        <f t="shared" si="296"/>
        <v>194779712.66</v>
      </c>
      <c r="M799" s="391">
        <f t="shared" si="296"/>
        <v>986170043.39999998</v>
      </c>
      <c r="N799" s="391">
        <f t="shared" si="292"/>
        <v>33656067.870000005</v>
      </c>
      <c r="O799" s="391">
        <f t="shared" si="292"/>
        <v>187864501.44999993</v>
      </c>
      <c r="P799" s="391">
        <f t="shared" si="292"/>
        <v>109051219.34</v>
      </c>
      <c r="Q799" s="391">
        <f t="shared" si="293"/>
        <v>330571788.65999997</v>
      </c>
      <c r="R799" s="665"/>
      <c r="S799" s="254">
        <f t="shared" si="294"/>
        <v>0.92176785920751614</v>
      </c>
      <c r="T799" s="254">
        <f t="shared" si="294"/>
        <v>0.67759831196220688</v>
      </c>
      <c r="U799" s="254">
        <f t="shared" si="294"/>
        <v>0.64107927187611036</v>
      </c>
      <c r="V799" s="297">
        <f t="shared" si="294"/>
        <v>0.74894715075404639</v>
      </c>
      <c r="W799" s="254"/>
      <c r="X799" s="271" t="s">
        <v>598</v>
      </c>
      <c r="Y799" s="628"/>
      <c r="Z799" s="255"/>
    </row>
    <row r="800" spans="1:26" ht="11.25" hidden="1" customHeight="1">
      <c r="A800" s="246" t="s">
        <v>628</v>
      </c>
      <c r="B800" s="235" t="s">
        <v>629</v>
      </c>
      <c r="C800" s="410"/>
      <c r="D800" s="396"/>
      <c r="E800" s="806"/>
      <c r="F800" s="807"/>
      <c r="G800" s="807"/>
      <c r="H800" s="807"/>
      <c r="I800" s="807"/>
      <c r="J800" s="807"/>
      <c r="K800" s="807"/>
      <c r="L800" s="807"/>
      <c r="M800" s="807"/>
      <c r="N800" s="807">
        <f t="shared" si="292"/>
        <v>0</v>
      </c>
      <c r="O800" s="807">
        <f t="shared" si="292"/>
        <v>0</v>
      </c>
      <c r="P800" s="807">
        <f t="shared" si="292"/>
        <v>0</v>
      </c>
      <c r="Q800" s="807">
        <f t="shared" si="293"/>
        <v>0</v>
      </c>
      <c r="R800" s="276"/>
      <c r="S800" s="730" t="str">
        <f t="shared" si="294"/>
        <v/>
      </c>
      <c r="T800" s="730" t="str">
        <f t="shared" si="294"/>
        <v/>
      </c>
      <c r="U800" s="730" t="str">
        <f t="shared" si="294"/>
        <v/>
      </c>
      <c r="V800" s="730" t="str">
        <f t="shared" si="294"/>
        <v/>
      </c>
      <c r="W800" s="254"/>
      <c r="X800" s="237" t="s">
        <v>598</v>
      </c>
    </row>
    <row r="801" spans="1:26" s="256" customFormat="1" ht="11.25" hidden="1" customHeight="1">
      <c r="A801" s="246" t="s">
        <v>628</v>
      </c>
      <c r="B801" s="246" t="s">
        <v>629</v>
      </c>
      <c r="C801" s="389"/>
      <c r="D801" s="389" t="s">
        <v>98</v>
      </c>
      <c r="E801" s="390" t="s">
        <v>99</v>
      </c>
      <c r="F801" s="391">
        <f>+F802</f>
        <v>38278000</v>
      </c>
      <c r="G801" s="391">
        <f t="shared" ref="G801:M801" si="297">+G802</f>
        <v>0</v>
      </c>
      <c r="H801" s="391">
        <f t="shared" si="297"/>
        <v>0</v>
      </c>
      <c r="I801" s="391">
        <f t="shared" si="297"/>
        <v>38278000</v>
      </c>
      <c r="J801" s="391">
        <f t="shared" si="297"/>
        <v>34323725.240000002</v>
      </c>
      <c r="K801" s="391">
        <f t="shared" si="297"/>
        <v>0</v>
      </c>
      <c r="L801" s="391">
        <f t="shared" si="297"/>
        <v>0</v>
      </c>
      <c r="M801" s="391">
        <f t="shared" si="297"/>
        <v>34323725.240000002</v>
      </c>
      <c r="N801" s="391">
        <f t="shared" si="292"/>
        <v>3954274.7599999979</v>
      </c>
      <c r="O801" s="391">
        <f t="shared" si="292"/>
        <v>0</v>
      </c>
      <c r="P801" s="391">
        <f t="shared" si="292"/>
        <v>0</v>
      </c>
      <c r="Q801" s="391">
        <f t="shared" si="293"/>
        <v>3954274.7599999979</v>
      </c>
      <c r="R801" s="522"/>
      <c r="S801" s="254">
        <f t="shared" si="294"/>
        <v>0.89669588902241504</v>
      </c>
      <c r="T801" s="254" t="str">
        <f t="shared" si="294"/>
        <v/>
      </c>
      <c r="U801" s="254" t="str">
        <f t="shared" si="294"/>
        <v/>
      </c>
      <c r="V801" s="297">
        <f t="shared" si="294"/>
        <v>0.89669588902241504</v>
      </c>
      <c r="W801" s="254"/>
      <c r="X801" s="271" t="s">
        <v>598</v>
      </c>
      <c r="Y801" s="628"/>
      <c r="Z801" s="255"/>
    </row>
    <row r="802" spans="1:26" ht="11.25" hidden="1" customHeight="1">
      <c r="A802" s="246" t="s">
        <v>628</v>
      </c>
      <c r="B802" s="235" t="s">
        <v>629</v>
      </c>
      <c r="C802" s="728"/>
      <c r="D802" s="394" t="s">
        <v>286</v>
      </c>
      <c r="E802" s="729" t="s">
        <v>286</v>
      </c>
      <c r="F802" s="103">
        <f>+F725+F741+F756+F771+F786</f>
        <v>38278000</v>
      </c>
      <c r="G802" s="103">
        <f>+G725+G741+G756+G771+G786</f>
        <v>0</v>
      </c>
      <c r="H802" s="103">
        <f>+H725+H741+H756+H771+H786</f>
        <v>0</v>
      </c>
      <c r="I802" s="103">
        <f>SUM(F802:H802)</f>
        <v>38278000</v>
      </c>
      <c r="J802" s="103">
        <f>+J725+J741+J756+J771+J786</f>
        <v>34323725.240000002</v>
      </c>
      <c r="K802" s="103">
        <f>+K725+K741+K756+K771+K786</f>
        <v>0</v>
      </c>
      <c r="L802" s="103">
        <f>+L725+L741+L756+L771+L786</f>
        <v>0</v>
      </c>
      <c r="M802" s="103">
        <f t="shared" si="268"/>
        <v>34323725.240000002</v>
      </c>
      <c r="N802" s="103">
        <f t="shared" si="292"/>
        <v>3954274.7599999979</v>
      </c>
      <c r="O802" s="103">
        <f t="shared" si="292"/>
        <v>0</v>
      </c>
      <c r="P802" s="103">
        <f t="shared" si="292"/>
        <v>0</v>
      </c>
      <c r="Q802" s="103">
        <f t="shared" si="293"/>
        <v>3954274.7599999979</v>
      </c>
      <c r="R802" s="236"/>
      <c r="S802" s="730">
        <f t="shared" si="294"/>
        <v>0.89669588902241504</v>
      </c>
      <c r="T802" s="730" t="str">
        <f t="shared" si="294"/>
        <v/>
      </c>
      <c r="U802" s="730" t="str">
        <f t="shared" si="294"/>
        <v/>
      </c>
      <c r="V802" s="730">
        <f t="shared" si="294"/>
        <v>0.89669588902241504</v>
      </c>
      <c r="W802" s="254"/>
      <c r="X802" s="237" t="s">
        <v>598</v>
      </c>
    </row>
    <row r="803" spans="1:26" s="272" customFormat="1" ht="11.25" hidden="1" customHeight="1">
      <c r="A803" s="246" t="s">
        <v>628</v>
      </c>
      <c r="B803" s="246" t="s">
        <v>629</v>
      </c>
      <c r="C803" s="389"/>
      <c r="D803" s="389" t="s">
        <v>98</v>
      </c>
      <c r="E803" s="390" t="s">
        <v>100</v>
      </c>
      <c r="F803" s="391">
        <f t="shared" ref="F803:M803" si="298">SUM(F804:F808)</f>
        <v>23902806</v>
      </c>
      <c r="G803" s="391">
        <f t="shared" si="298"/>
        <v>22569000</v>
      </c>
      <c r="H803" s="391">
        <f t="shared" si="298"/>
        <v>0</v>
      </c>
      <c r="I803" s="391">
        <f t="shared" si="298"/>
        <v>46471806</v>
      </c>
      <c r="J803" s="391">
        <f t="shared" si="298"/>
        <v>23740296.030000001</v>
      </c>
      <c r="K803" s="391">
        <f t="shared" si="298"/>
        <v>19484076.670000002</v>
      </c>
      <c r="L803" s="391">
        <f t="shared" si="298"/>
        <v>0</v>
      </c>
      <c r="M803" s="391">
        <f t="shared" si="298"/>
        <v>43224372.700000003</v>
      </c>
      <c r="N803" s="391">
        <f t="shared" si="292"/>
        <v>162509.96999999881</v>
      </c>
      <c r="O803" s="391">
        <f t="shared" si="292"/>
        <v>3084923.3299999982</v>
      </c>
      <c r="P803" s="391">
        <f t="shared" si="292"/>
        <v>0</v>
      </c>
      <c r="Q803" s="391">
        <f t="shared" si="293"/>
        <v>3247433.299999997</v>
      </c>
      <c r="R803" s="94"/>
      <c r="S803" s="254">
        <f t="shared" si="294"/>
        <v>0.99320121788211813</v>
      </c>
      <c r="T803" s="254">
        <f t="shared" si="294"/>
        <v>0.86331147458903812</v>
      </c>
      <c r="U803" s="254" t="str">
        <f t="shared" si="294"/>
        <v/>
      </c>
      <c r="V803" s="297">
        <f t="shared" si="294"/>
        <v>0.93012035512456737</v>
      </c>
      <c r="W803" s="254"/>
      <c r="X803" s="527" t="s">
        <v>598</v>
      </c>
      <c r="Y803" s="629"/>
      <c r="Z803" s="277"/>
    </row>
    <row r="804" spans="1:26" ht="11.25" hidden="1" customHeight="1">
      <c r="A804" s="246" t="s">
        <v>628</v>
      </c>
      <c r="B804" s="235" t="s">
        <v>629</v>
      </c>
      <c r="C804" s="728"/>
      <c r="D804" s="394" t="s">
        <v>288</v>
      </c>
      <c r="E804" s="729" t="s">
        <v>288</v>
      </c>
      <c r="F804" s="103">
        <f t="shared" ref="F804:H805" si="299">+F727+F743+F758+F773+F788</f>
        <v>0</v>
      </c>
      <c r="G804" s="103">
        <f t="shared" si="299"/>
        <v>0</v>
      </c>
      <c r="H804" s="103">
        <f t="shared" si="299"/>
        <v>0</v>
      </c>
      <c r="I804" s="103">
        <f>SUM(F804:H804)</f>
        <v>0</v>
      </c>
      <c r="J804" s="103">
        <f t="shared" ref="J804:L805" si="300">+J727+J743+J758+J773+J788</f>
        <v>0</v>
      </c>
      <c r="K804" s="103">
        <f t="shared" si="300"/>
        <v>0</v>
      </c>
      <c r="L804" s="103">
        <f t="shared" si="300"/>
        <v>0</v>
      </c>
      <c r="M804" s="103">
        <f t="shared" si="268"/>
        <v>0</v>
      </c>
      <c r="N804" s="103">
        <f t="shared" si="292"/>
        <v>0</v>
      </c>
      <c r="O804" s="103">
        <f t="shared" si="292"/>
        <v>0</v>
      </c>
      <c r="P804" s="103">
        <f t="shared" si="292"/>
        <v>0</v>
      </c>
      <c r="Q804" s="103">
        <f t="shared" si="293"/>
        <v>0</v>
      </c>
      <c r="R804" s="236"/>
      <c r="S804" s="730" t="str">
        <f t="shared" si="294"/>
        <v/>
      </c>
      <c r="T804" s="730" t="str">
        <f t="shared" si="294"/>
        <v/>
      </c>
      <c r="U804" s="730" t="str">
        <f t="shared" si="294"/>
        <v/>
      </c>
      <c r="V804" s="730" t="str">
        <f t="shared" si="294"/>
        <v/>
      </c>
      <c r="W804" s="254"/>
      <c r="X804" s="237" t="s">
        <v>598</v>
      </c>
    </row>
    <row r="805" spans="1:26" ht="11.25" hidden="1" customHeight="1">
      <c r="A805" s="246" t="s">
        <v>628</v>
      </c>
      <c r="B805" s="235" t="s">
        <v>629</v>
      </c>
      <c r="C805" s="728"/>
      <c r="D805" s="394" t="s">
        <v>761</v>
      </c>
      <c r="E805" s="729" t="s">
        <v>761</v>
      </c>
      <c r="F805" s="103">
        <f t="shared" si="299"/>
        <v>9476000</v>
      </c>
      <c r="G805" s="103">
        <f t="shared" si="299"/>
        <v>0</v>
      </c>
      <c r="H805" s="103">
        <f t="shared" si="299"/>
        <v>0</v>
      </c>
      <c r="I805" s="103">
        <f>SUM(F805:H805)</f>
        <v>9476000</v>
      </c>
      <c r="J805" s="103">
        <f t="shared" si="300"/>
        <v>9313500</v>
      </c>
      <c r="K805" s="103">
        <f t="shared" si="300"/>
        <v>0</v>
      </c>
      <c r="L805" s="103">
        <f t="shared" si="300"/>
        <v>0</v>
      </c>
      <c r="M805" s="103">
        <f>SUM(J805:L805)</f>
        <v>9313500</v>
      </c>
      <c r="N805" s="103">
        <f>+F805-J805</f>
        <v>162500</v>
      </c>
      <c r="O805" s="103">
        <f t="shared" si="292"/>
        <v>0</v>
      </c>
      <c r="P805" s="103">
        <f t="shared" si="292"/>
        <v>0</v>
      </c>
      <c r="Q805" s="103">
        <f>SUM(N805:P805)</f>
        <v>162500</v>
      </c>
      <c r="R805" s="236"/>
      <c r="S805" s="730">
        <f t="shared" si="294"/>
        <v>0.98285141409877586</v>
      </c>
      <c r="T805" s="730" t="str">
        <f t="shared" si="294"/>
        <v/>
      </c>
      <c r="U805" s="730" t="str">
        <f t="shared" si="294"/>
        <v/>
      </c>
      <c r="V805" s="730">
        <f t="shared" si="294"/>
        <v>0.98285141409877586</v>
      </c>
      <c r="W805" s="254"/>
      <c r="X805" s="237" t="s">
        <v>598</v>
      </c>
    </row>
    <row r="806" spans="1:26" ht="11.25" hidden="1" customHeight="1">
      <c r="A806" s="246" t="s">
        <v>628</v>
      </c>
      <c r="B806" s="235" t="s">
        <v>629</v>
      </c>
      <c r="C806" s="410"/>
      <c r="D806" s="386"/>
      <c r="E806" s="461"/>
      <c r="F806" s="104"/>
      <c r="G806" s="104"/>
      <c r="H806" s="104"/>
      <c r="I806" s="103"/>
      <c r="J806" s="104"/>
      <c r="K806" s="104"/>
      <c r="L806" s="104"/>
      <c r="M806" s="103"/>
      <c r="N806" s="103"/>
      <c r="O806" s="103"/>
      <c r="P806" s="103"/>
      <c r="Q806" s="103"/>
      <c r="R806" s="236"/>
      <c r="S806" s="730" t="str">
        <f t="shared" si="294"/>
        <v/>
      </c>
      <c r="T806" s="730" t="str">
        <f t="shared" si="294"/>
        <v/>
      </c>
      <c r="U806" s="730" t="str">
        <f t="shared" si="294"/>
        <v/>
      </c>
      <c r="V806" s="730" t="str">
        <f t="shared" si="294"/>
        <v/>
      </c>
      <c r="W806" s="254"/>
      <c r="X806" s="237" t="s">
        <v>598</v>
      </c>
    </row>
    <row r="807" spans="1:26" ht="11.25" hidden="1" customHeight="1">
      <c r="A807" s="246" t="s">
        <v>628</v>
      </c>
      <c r="B807" s="235" t="s">
        <v>629</v>
      </c>
      <c r="C807" s="728"/>
      <c r="D807" s="394" t="s">
        <v>289</v>
      </c>
      <c r="E807" s="729" t="s">
        <v>289</v>
      </c>
      <c r="F807" s="103">
        <f t="shared" ref="F807:H808" si="301">+F730+F746+F761+F776+F791</f>
        <v>14426806</v>
      </c>
      <c r="G807" s="103">
        <f t="shared" si="301"/>
        <v>0</v>
      </c>
      <c r="H807" s="103">
        <f t="shared" si="301"/>
        <v>0</v>
      </c>
      <c r="I807" s="103">
        <f>SUM(F807:H807)</f>
        <v>14426806</v>
      </c>
      <c r="J807" s="103">
        <f t="shared" ref="J807:L808" si="302">+J730+J746+J761+J776+J791</f>
        <v>14426796.029999999</v>
      </c>
      <c r="K807" s="103">
        <f t="shared" si="302"/>
        <v>0</v>
      </c>
      <c r="L807" s="103">
        <f t="shared" si="302"/>
        <v>0</v>
      </c>
      <c r="M807" s="103">
        <f t="shared" si="268"/>
        <v>14426796.029999999</v>
      </c>
      <c r="N807" s="103">
        <f t="shared" si="292"/>
        <v>9.9700000006705523</v>
      </c>
      <c r="O807" s="103">
        <f t="shared" si="292"/>
        <v>0</v>
      </c>
      <c r="P807" s="103">
        <f t="shared" si="292"/>
        <v>0</v>
      </c>
      <c r="Q807" s="103">
        <f t="shared" si="293"/>
        <v>9.9700000006705523</v>
      </c>
      <c r="R807" s="236"/>
      <c r="S807" s="730">
        <f t="shared" si="294"/>
        <v>0.9999993089253435</v>
      </c>
      <c r="T807" s="730" t="str">
        <f t="shared" si="294"/>
        <v/>
      </c>
      <c r="U807" s="730" t="str">
        <f t="shared" si="294"/>
        <v/>
      </c>
      <c r="V807" s="730">
        <f t="shared" si="294"/>
        <v>0.9999993089253435</v>
      </c>
      <c r="W807" s="254"/>
      <c r="X807" s="237" t="s">
        <v>598</v>
      </c>
    </row>
    <row r="808" spans="1:26" ht="11.25" hidden="1" customHeight="1">
      <c r="A808" s="246" t="s">
        <v>628</v>
      </c>
      <c r="B808" s="235" t="s">
        <v>629</v>
      </c>
      <c r="C808" s="728"/>
      <c r="D808" s="394" t="s">
        <v>290</v>
      </c>
      <c r="E808" s="729" t="s">
        <v>290</v>
      </c>
      <c r="F808" s="103">
        <f t="shared" si="301"/>
        <v>0</v>
      </c>
      <c r="G808" s="103">
        <f t="shared" si="301"/>
        <v>22569000</v>
      </c>
      <c r="H808" s="103">
        <f t="shared" si="301"/>
        <v>0</v>
      </c>
      <c r="I808" s="103">
        <f>SUM(F808:H808)</f>
        <v>22569000</v>
      </c>
      <c r="J808" s="103">
        <f t="shared" si="302"/>
        <v>0</v>
      </c>
      <c r="K808" s="103">
        <f t="shared" si="302"/>
        <v>19484076.670000002</v>
      </c>
      <c r="L808" s="103">
        <f t="shared" si="302"/>
        <v>0</v>
      </c>
      <c r="M808" s="103">
        <f t="shared" si="268"/>
        <v>19484076.670000002</v>
      </c>
      <c r="N808" s="103">
        <f t="shared" si="292"/>
        <v>0</v>
      </c>
      <c r="O808" s="103">
        <f t="shared" si="292"/>
        <v>3084923.3299999982</v>
      </c>
      <c r="P808" s="103">
        <f t="shared" si="292"/>
        <v>0</v>
      </c>
      <c r="Q808" s="103">
        <f t="shared" si="293"/>
        <v>3084923.3299999982</v>
      </c>
      <c r="R808" s="236"/>
      <c r="S808" s="730" t="str">
        <f t="shared" si="294"/>
        <v/>
      </c>
      <c r="T808" s="730">
        <f t="shared" si="294"/>
        <v>0.86331147458903812</v>
      </c>
      <c r="U808" s="730" t="str">
        <f t="shared" si="294"/>
        <v/>
      </c>
      <c r="V808" s="730">
        <f t="shared" si="294"/>
        <v>0.86331147458903812</v>
      </c>
      <c r="W808" s="254"/>
      <c r="X808" s="237" t="s">
        <v>598</v>
      </c>
    </row>
    <row r="809" spans="1:26" s="266" customFormat="1" ht="26.25" customHeight="1">
      <c r="A809" s="246" t="s">
        <v>628</v>
      </c>
      <c r="B809" s="1009" t="s">
        <v>629</v>
      </c>
      <c r="C809" s="1431" t="s">
        <v>630</v>
      </c>
      <c r="D809" s="1432"/>
      <c r="E809" s="1433"/>
      <c r="F809" s="666">
        <f>+F803+F801+F799</f>
        <v>492388487</v>
      </c>
      <c r="G809" s="666">
        <f t="shared" ref="G809:M809" si="303">+G803+G801+G799</f>
        <v>605272219.05999994</v>
      </c>
      <c r="H809" s="666">
        <f t="shared" si="303"/>
        <v>303830932</v>
      </c>
      <c r="I809" s="666">
        <f t="shared" si="303"/>
        <v>1401491638.0599999</v>
      </c>
      <c r="J809" s="666">
        <f t="shared" si="303"/>
        <v>454615634.39999998</v>
      </c>
      <c r="K809" s="666">
        <f t="shared" si="303"/>
        <v>414322794.28000003</v>
      </c>
      <c r="L809" s="666">
        <f t="shared" si="303"/>
        <v>194779712.66</v>
      </c>
      <c r="M809" s="666">
        <f t="shared" si="303"/>
        <v>1063718141.3399999</v>
      </c>
      <c r="N809" s="666">
        <f t="shared" si="292"/>
        <v>37772852.600000024</v>
      </c>
      <c r="O809" s="666">
        <f t="shared" si="292"/>
        <v>190949424.77999991</v>
      </c>
      <c r="P809" s="666">
        <f t="shared" si="292"/>
        <v>109051219.34</v>
      </c>
      <c r="Q809" s="666">
        <f t="shared" si="293"/>
        <v>337773496.71999991</v>
      </c>
      <c r="R809" s="667">
        <f>+Q809-'[3]chd6-SAOB'!CC180</f>
        <v>0</v>
      </c>
      <c r="S809" s="1010">
        <f t="shared" si="294"/>
        <v>0.92328648293517057</v>
      </c>
      <c r="T809" s="1010">
        <f t="shared" si="294"/>
        <v>0.68452306455341982</v>
      </c>
      <c r="U809" s="1010">
        <f t="shared" si="294"/>
        <v>0.64107927187611036</v>
      </c>
      <c r="V809" s="1010">
        <f t="shared" si="294"/>
        <v>0.75899000211834344</v>
      </c>
      <c r="W809" s="254"/>
      <c r="X809" s="237" t="s">
        <v>598</v>
      </c>
      <c r="Y809" s="610" t="s">
        <v>598</v>
      </c>
      <c r="Z809" s="241" t="s">
        <v>598</v>
      </c>
    </row>
    <row r="810" spans="1:26" ht="11.25" customHeight="1">
      <c r="A810" s="246" t="s">
        <v>628</v>
      </c>
      <c r="B810" s="235" t="s">
        <v>629</v>
      </c>
      <c r="C810" s="410"/>
      <c r="D810" s="681"/>
      <c r="E810" s="461"/>
      <c r="F810" s="104"/>
      <c r="G810" s="104"/>
      <c r="H810" s="104"/>
      <c r="I810" s="103">
        <f>SUM(F810:H810)</f>
        <v>0</v>
      </c>
      <c r="J810" s="104"/>
      <c r="K810" s="104"/>
      <c r="L810" s="104"/>
      <c r="M810" s="103">
        <f>SUM(J810:L810)</f>
        <v>0</v>
      </c>
      <c r="N810" s="103">
        <f t="shared" si="292"/>
        <v>0</v>
      </c>
      <c r="O810" s="103">
        <f t="shared" si="292"/>
        <v>0</v>
      </c>
      <c r="P810" s="103">
        <f t="shared" si="292"/>
        <v>0</v>
      </c>
      <c r="Q810" s="103">
        <f t="shared" si="293"/>
        <v>0</v>
      </c>
      <c r="S810" s="730" t="str">
        <f t="shared" si="294"/>
        <v/>
      </c>
      <c r="T810" s="730" t="str">
        <f t="shared" si="294"/>
        <v/>
      </c>
      <c r="U810" s="730" t="str">
        <f t="shared" si="294"/>
        <v/>
      </c>
      <c r="V810" s="730" t="str">
        <f t="shared" si="294"/>
        <v/>
      </c>
      <c r="W810" s="254"/>
      <c r="Y810" s="610" t="s">
        <v>598</v>
      </c>
      <c r="Z810" s="241" t="s">
        <v>598</v>
      </c>
    </row>
    <row r="811" spans="1:26" ht="11.25" customHeight="1">
      <c r="A811" s="528" t="s">
        <v>632</v>
      </c>
      <c r="B811" s="528" t="s">
        <v>180</v>
      </c>
      <c r="C811" s="408"/>
      <c r="D811" s="682"/>
      <c r="E811" s="408" t="s">
        <v>180</v>
      </c>
      <c r="F811" s="104"/>
      <c r="G811" s="104"/>
      <c r="H811" s="104"/>
      <c r="I811" s="103">
        <f>SUM(F811:H811)</f>
        <v>0</v>
      </c>
      <c r="J811" s="104"/>
      <c r="K811" s="104"/>
      <c r="L811" s="104"/>
      <c r="M811" s="103">
        <f>SUM(J811:L811)</f>
        <v>0</v>
      </c>
      <c r="N811" s="103">
        <f t="shared" si="292"/>
        <v>0</v>
      </c>
      <c r="O811" s="103">
        <f t="shared" si="292"/>
        <v>0</v>
      </c>
      <c r="P811" s="103">
        <f t="shared" si="292"/>
        <v>0</v>
      </c>
      <c r="Q811" s="103">
        <f t="shared" si="293"/>
        <v>0</v>
      </c>
      <c r="S811" s="730" t="str">
        <f t="shared" si="294"/>
        <v/>
      </c>
      <c r="T811" s="730" t="str">
        <f t="shared" si="294"/>
        <v/>
      </c>
      <c r="U811" s="730" t="str">
        <f t="shared" si="294"/>
        <v/>
      </c>
      <c r="V811" s="730" t="str">
        <f t="shared" si="294"/>
        <v/>
      </c>
      <c r="W811" s="531"/>
      <c r="X811" s="236"/>
      <c r="Y811" s="236" t="s">
        <v>598</v>
      </c>
      <c r="Z811" s="240" t="s">
        <v>598</v>
      </c>
    </row>
    <row r="812" spans="1:26" ht="11.25" customHeight="1">
      <c r="A812" s="528" t="s">
        <v>632</v>
      </c>
      <c r="B812" s="1013" t="s">
        <v>180</v>
      </c>
      <c r="C812" s="461"/>
      <c r="D812" s="645" t="s">
        <v>766</v>
      </c>
      <c r="E812" s="447" t="s">
        <v>766</v>
      </c>
      <c r="F812" s="103">
        <f>SUM(F813:F815)</f>
        <v>73865000</v>
      </c>
      <c r="G812" s="103">
        <f t="shared" ref="G812:M812" si="304">SUM(G813:G815)</f>
        <v>172021000</v>
      </c>
      <c r="H812" s="103">
        <f t="shared" si="304"/>
        <v>0</v>
      </c>
      <c r="I812" s="103">
        <f t="shared" si="304"/>
        <v>245886000</v>
      </c>
      <c r="J812" s="103">
        <f t="shared" si="304"/>
        <v>65555990.560000002</v>
      </c>
      <c r="K812" s="103">
        <f t="shared" si="304"/>
        <v>123944990.14000002</v>
      </c>
      <c r="L812" s="103">
        <f t="shared" si="304"/>
        <v>0</v>
      </c>
      <c r="M812" s="103">
        <f t="shared" si="304"/>
        <v>189500980.69999999</v>
      </c>
      <c r="N812" s="103">
        <f t="shared" si="292"/>
        <v>8309009.4399999976</v>
      </c>
      <c r="O812" s="103">
        <f t="shared" si="292"/>
        <v>48076009.859999985</v>
      </c>
      <c r="P812" s="103">
        <f t="shared" si="292"/>
        <v>0</v>
      </c>
      <c r="Q812" s="103">
        <f t="shared" si="293"/>
        <v>56385019.299999982</v>
      </c>
      <c r="S812" s="730">
        <f t="shared" si="294"/>
        <v>0.88751087199620937</v>
      </c>
      <c r="T812" s="730">
        <f t="shared" si="294"/>
        <v>0.72052243702803731</v>
      </c>
      <c r="U812" s="730" t="str">
        <f t="shared" si="294"/>
        <v/>
      </c>
      <c r="V812" s="730">
        <f t="shared" si="294"/>
        <v>0.77068633716437696</v>
      </c>
      <c r="W812" s="531"/>
      <c r="X812" s="236"/>
      <c r="Y812" s="236" t="s">
        <v>688</v>
      </c>
      <c r="Z812" s="236"/>
    </row>
    <row r="813" spans="1:26" ht="11.25" hidden="1" customHeight="1">
      <c r="A813" s="528" t="s">
        <v>632</v>
      </c>
      <c r="B813" s="1013" t="s">
        <v>180</v>
      </c>
      <c r="C813" s="411"/>
      <c r="D813" s="647" t="s">
        <v>98</v>
      </c>
      <c r="E813" s="459" t="s">
        <v>775</v>
      </c>
      <c r="F813" s="103">
        <f>+'[3]chd7-SAOB'!C14</f>
        <v>27460000</v>
      </c>
      <c r="G813" s="103">
        <f>+'[3]chd7-SAOB'!C50</f>
        <v>14345000</v>
      </c>
      <c r="H813" s="103">
        <f>+'[3]chd7-SAOB'!C142</f>
        <v>0</v>
      </c>
      <c r="I813" s="103">
        <f>SUM(F813:H813)</f>
        <v>41805000</v>
      </c>
      <c r="J813" s="103">
        <f>+'[3]chd7-SAOB'!C15</f>
        <v>24354953.07</v>
      </c>
      <c r="K813" s="103">
        <f>+'[3]chd7-SAOB'!C51</f>
        <v>12140630.660000002</v>
      </c>
      <c r="L813" s="103">
        <f>+'[3]chd7-SAOB'!C143</f>
        <v>0</v>
      </c>
      <c r="M813" s="103">
        <f>SUM(J813:L813)</f>
        <v>36495583.730000004</v>
      </c>
      <c r="N813" s="103">
        <f t="shared" si="292"/>
        <v>3105046.9299999997</v>
      </c>
      <c r="O813" s="103">
        <f t="shared" si="292"/>
        <v>2204369.339999998</v>
      </c>
      <c r="P813" s="103">
        <f t="shared" si="292"/>
        <v>0</v>
      </c>
      <c r="Q813" s="103">
        <f t="shared" si="293"/>
        <v>5309416.2699999977</v>
      </c>
      <c r="R813" s="236"/>
      <c r="S813" s="730">
        <f t="shared" si="294"/>
        <v>0.88692472942461764</v>
      </c>
      <c r="T813" s="730">
        <f t="shared" si="294"/>
        <v>0.84633186894388301</v>
      </c>
      <c r="U813" s="730" t="str">
        <f t="shared" si="294"/>
        <v/>
      </c>
      <c r="V813" s="730">
        <f t="shared" si="294"/>
        <v>0.87299566391579964</v>
      </c>
      <c r="W813" s="531"/>
      <c r="X813" s="236"/>
      <c r="Y813" s="236"/>
      <c r="Z813" s="236"/>
    </row>
    <row r="814" spans="1:26" ht="11.25" hidden="1" customHeight="1">
      <c r="A814" s="528" t="s">
        <v>632</v>
      </c>
      <c r="B814" s="1013" t="s">
        <v>180</v>
      </c>
      <c r="C814" s="406" t="s">
        <v>776</v>
      </c>
      <c r="D814" s="647" t="s">
        <v>98</v>
      </c>
      <c r="E814" s="406" t="s">
        <v>776</v>
      </c>
      <c r="F814" s="103">
        <f>+'[3]chd7-SAOB'!D14</f>
        <v>2287000</v>
      </c>
      <c r="G814" s="103">
        <f>+'[3]chd7-SAOB'!D50</f>
        <v>5508000</v>
      </c>
      <c r="H814" s="103">
        <f>+'[3]chd7-SAOB'!D142</f>
        <v>0</v>
      </c>
      <c r="I814" s="103">
        <f>SUM(F814:H814)</f>
        <v>7795000</v>
      </c>
      <c r="J814" s="103">
        <f>+'[3]chd7-SAOB'!D15</f>
        <v>2106309.35</v>
      </c>
      <c r="K814" s="103">
        <f>+'[3]chd7-SAOB'!D51</f>
        <v>4322253.9300000006</v>
      </c>
      <c r="L814" s="103">
        <f>+'[3]chd7-SAOB'!D143</f>
        <v>0</v>
      </c>
      <c r="M814" s="103">
        <f>SUM(J814:L814)</f>
        <v>6428563.2800000012</v>
      </c>
      <c r="N814" s="103">
        <f t="shared" si="292"/>
        <v>180690.64999999991</v>
      </c>
      <c r="O814" s="103">
        <f t="shared" si="292"/>
        <v>1185746.0699999994</v>
      </c>
      <c r="P814" s="103">
        <f t="shared" si="292"/>
        <v>0</v>
      </c>
      <c r="Q814" s="103">
        <f t="shared" si="293"/>
        <v>1366436.7199999993</v>
      </c>
      <c r="R814" s="236"/>
      <c r="S814" s="730">
        <f t="shared" si="294"/>
        <v>0.92099228246611287</v>
      </c>
      <c r="T814" s="730">
        <f t="shared" si="294"/>
        <v>0.78472293572984764</v>
      </c>
      <c r="U814" s="730" t="str">
        <f t="shared" si="294"/>
        <v/>
      </c>
      <c r="V814" s="730">
        <f t="shared" si="294"/>
        <v>0.82470343553559988</v>
      </c>
      <c r="W814" s="531"/>
      <c r="X814" s="236"/>
      <c r="Y814" s="236"/>
      <c r="Z814" s="236"/>
    </row>
    <row r="815" spans="1:26" ht="11.25" hidden="1" customHeight="1">
      <c r="A815" s="528" t="s">
        <v>632</v>
      </c>
      <c r="B815" s="1013" t="s">
        <v>180</v>
      </c>
      <c r="C815" s="411"/>
      <c r="D815" s="647" t="s">
        <v>98</v>
      </c>
      <c r="E815" s="406" t="s">
        <v>777</v>
      </c>
      <c r="F815" s="103">
        <f>+'[3]chd7-SAOB'!E14</f>
        <v>44118000</v>
      </c>
      <c r="G815" s="103">
        <f>+'[3]chd7-SAOB'!E50</f>
        <v>152168000</v>
      </c>
      <c r="H815" s="103">
        <f>+'[3]chd7-SAOB'!E142</f>
        <v>0</v>
      </c>
      <c r="I815" s="103">
        <f>SUM(F815:H815)</f>
        <v>196286000</v>
      </c>
      <c r="J815" s="103">
        <f>+'[3]chd7-SAOB'!E15</f>
        <v>39094728.140000001</v>
      </c>
      <c r="K815" s="103">
        <f>+'[3]chd7-SAOB'!E51</f>
        <v>107482105.55000001</v>
      </c>
      <c r="L815" s="103">
        <f>+'[3]chd7-SAOB'!E143</f>
        <v>0</v>
      </c>
      <c r="M815" s="103">
        <f>SUM(J815:L815)</f>
        <v>146576833.69</v>
      </c>
      <c r="N815" s="103">
        <f t="shared" si="292"/>
        <v>5023271.8599999994</v>
      </c>
      <c r="O815" s="103">
        <f t="shared" si="292"/>
        <v>44685894.449999988</v>
      </c>
      <c r="P815" s="103">
        <f t="shared" si="292"/>
        <v>0</v>
      </c>
      <c r="Q815" s="103">
        <f t="shared" si="293"/>
        <v>49709166.309999987</v>
      </c>
      <c r="R815" s="236"/>
      <c r="S815" s="730">
        <f t="shared" si="294"/>
        <v>0.88614008205267691</v>
      </c>
      <c r="T815" s="730">
        <f t="shared" si="294"/>
        <v>0.70633842562168137</v>
      </c>
      <c r="U815" s="730" t="str">
        <f t="shared" si="294"/>
        <v/>
      </c>
      <c r="V815" s="730">
        <f t="shared" si="294"/>
        <v>0.74675134084957662</v>
      </c>
      <c r="W815" s="531"/>
      <c r="X815" s="236"/>
      <c r="Y815" s="236"/>
      <c r="Z815" s="236"/>
    </row>
    <row r="816" spans="1:26" ht="11.25" customHeight="1">
      <c r="A816" s="528" t="s">
        <v>632</v>
      </c>
      <c r="B816" s="1013" t="s">
        <v>180</v>
      </c>
      <c r="C816" s="728"/>
      <c r="D816" s="649" t="s">
        <v>50</v>
      </c>
      <c r="E816" s="447" t="s">
        <v>50</v>
      </c>
      <c r="F816" s="104"/>
      <c r="G816" s="104">
        <f>+'[3]chd7-SAOB'!D385</f>
        <v>216991143.59999999</v>
      </c>
      <c r="H816" s="104">
        <f>+'[3]chd7-SAOB'!E385</f>
        <v>64842000</v>
      </c>
      <c r="I816" s="103">
        <f>SUM(F816:H816)</f>
        <v>281833143.60000002</v>
      </c>
      <c r="J816" s="104"/>
      <c r="K816" s="104">
        <f>+'[3]chd7-SAOB'!H385</f>
        <v>133799923.88</v>
      </c>
      <c r="L816" s="104">
        <f>+'[3]chd7-SAOB'!I385</f>
        <v>43168215.460000001</v>
      </c>
      <c r="M816" s="103">
        <f>SUM(J816:L816)</f>
        <v>176968139.34</v>
      </c>
      <c r="N816" s="103">
        <f t="shared" si="292"/>
        <v>0</v>
      </c>
      <c r="O816" s="103">
        <f t="shared" si="292"/>
        <v>83191219.719999999</v>
      </c>
      <c r="P816" s="103">
        <f t="shared" si="292"/>
        <v>21673784.539999999</v>
      </c>
      <c r="Q816" s="103">
        <f t="shared" si="293"/>
        <v>104865004.25999999</v>
      </c>
      <c r="S816" s="730" t="str">
        <f t="shared" si="294"/>
        <v/>
      </c>
      <c r="T816" s="730">
        <f t="shared" si="294"/>
        <v>0.61661467680287385</v>
      </c>
      <c r="U816" s="730">
        <f t="shared" si="294"/>
        <v>0.66574466333549243</v>
      </c>
      <c r="V816" s="730">
        <f t="shared" si="294"/>
        <v>0.62791812587935802</v>
      </c>
      <c r="W816" s="531"/>
      <c r="X816" s="236"/>
      <c r="Y816" s="236" t="s">
        <v>688</v>
      </c>
      <c r="Z816" s="236"/>
    </row>
    <row r="817" spans="1:26" s="256" customFormat="1" ht="11.25" customHeight="1">
      <c r="A817" s="528" t="s">
        <v>632</v>
      </c>
      <c r="B817" s="528" t="s">
        <v>180</v>
      </c>
      <c r="C817" s="389"/>
      <c r="D817" s="650" t="s">
        <v>98</v>
      </c>
      <c r="E817" s="390" t="s">
        <v>767</v>
      </c>
      <c r="F817" s="391">
        <f>+F816+F812</f>
        <v>73865000</v>
      </c>
      <c r="G817" s="391">
        <f t="shared" ref="G817:M817" si="305">+G816+G812</f>
        <v>389012143.60000002</v>
      </c>
      <c r="H817" s="391">
        <f t="shared" si="305"/>
        <v>64842000</v>
      </c>
      <c r="I817" s="391">
        <f t="shared" si="305"/>
        <v>527719143.60000002</v>
      </c>
      <c r="J817" s="391">
        <f t="shared" si="305"/>
        <v>65555990.560000002</v>
      </c>
      <c r="K817" s="391">
        <f t="shared" si="305"/>
        <v>257744914.02000001</v>
      </c>
      <c r="L817" s="391">
        <f t="shared" si="305"/>
        <v>43168215.460000001</v>
      </c>
      <c r="M817" s="391">
        <f t="shared" si="305"/>
        <v>366469120.03999996</v>
      </c>
      <c r="N817" s="391">
        <f t="shared" si="292"/>
        <v>8309009.4399999976</v>
      </c>
      <c r="O817" s="391">
        <f t="shared" si="292"/>
        <v>131267229.58000001</v>
      </c>
      <c r="P817" s="391">
        <f t="shared" si="292"/>
        <v>21673784.539999999</v>
      </c>
      <c r="Q817" s="391">
        <f t="shared" si="293"/>
        <v>161250023.56</v>
      </c>
      <c r="R817" s="101"/>
      <c r="S817" s="254">
        <f t="shared" si="294"/>
        <v>0.88751087199620937</v>
      </c>
      <c r="T817" s="254">
        <f t="shared" si="294"/>
        <v>0.66256264299302969</v>
      </c>
      <c r="U817" s="254">
        <f t="shared" si="294"/>
        <v>0.66574466333549243</v>
      </c>
      <c r="V817" s="254">
        <f t="shared" si="294"/>
        <v>0.69443969293972752</v>
      </c>
      <c r="W817" s="531"/>
      <c r="Y817" s="256" t="s">
        <v>598</v>
      </c>
      <c r="Z817" s="256" t="s">
        <v>598</v>
      </c>
    </row>
    <row r="818" spans="1:26" ht="11.25" hidden="1" customHeight="1">
      <c r="A818" s="528" t="s">
        <v>632</v>
      </c>
      <c r="B818" s="1013" t="s">
        <v>180</v>
      </c>
      <c r="C818" s="410"/>
      <c r="D818" s="651"/>
      <c r="E818" s="806"/>
      <c r="F818" s="807"/>
      <c r="G818" s="807"/>
      <c r="H818" s="807"/>
      <c r="I818" s="807"/>
      <c r="J818" s="807"/>
      <c r="K818" s="807"/>
      <c r="L818" s="807"/>
      <c r="M818" s="807"/>
      <c r="N818" s="807">
        <f t="shared" si="292"/>
        <v>0</v>
      </c>
      <c r="O818" s="807">
        <f t="shared" si="292"/>
        <v>0</v>
      </c>
      <c r="P818" s="807">
        <f t="shared" si="292"/>
        <v>0</v>
      </c>
      <c r="Q818" s="807">
        <f t="shared" si="293"/>
        <v>0</v>
      </c>
      <c r="R818" s="276"/>
      <c r="S818" s="730" t="str">
        <f t="shared" si="294"/>
        <v/>
      </c>
      <c r="T818" s="730" t="str">
        <f t="shared" si="294"/>
        <v/>
      </c>
      <c r="U818" s="730" t="str">
        <f t="shared" si="294"/>
        <v/>
      </c>
      <c r="V818" s="730" t="str">
        <f t="shared" si="294"/>
        <v/>
      </c>
      <c r="W818" s="531"/>
      <c r="X818" s="236"/>
      <c r="Y818" s="236"/>
      <c r="Z818" s="236"/>
    </row>
    <row r="819" spans="1:26" s="256" customFormat="1" ht="11.25" customHeight="1">
      <c r="A819" s="528" t="s">
        <v>632</v>
      </c>
      <c r="B819" s="528" t="s">
        <v>180</v>
      </c>
      <c r="C819" s="389"/>
      <c r="D819" s="650" t="s">
        <v>98</v>
      </c>
      <c r="E819" s="390" t="s">
        <v>99</v>
      </c>
      <c r="F819" s="391">
        <f>+F820</f>
        <v>6796411</v>
      </c>
      <c r="G819" s="391">
        <f t="shared" ref="G819:M819" si="306">+G820</f>
        <v>0</v>
      </c>
      <c r="H819" s="391">
        <f t="shared" si="306"/>
        <v>0</v>
      </c>
      <c r="I819" s="391">
        <f t="shared" si="306"/>
        <v>6796411</v>
      </c>
      <c r="J819" s="391">
        <f t="shared" si="306"/>
        <v>5581294.4699999997</v>
      </c>
      <c r="K819" s="391">
        <f t="shared" si="306"/>
        <v>0</v>
      </c>
      <c r="L819" s="391">
        <f t="shared" si="306"/>
        <v>0</v>
      </c>
      <c r="M819" s="391">
        <f t="shared" si="306"/>
        <v>5581294.4699999997</v>
      </c>
      <c r="N819" s="391">
        <f t="shared" si="292"/>
        <v>1215116.5300000003</v>
      </c>
      <c r="O819" s="391">
        <f t="shared" si="292"/>
        <v>0</v>
      </c>
      <c r="P819" s="391">
        <f t="shared" si="292"/>
        <v>0</v>
      </c>
      <c r="Q819" s="391">
        <f t="shared" si="293"/>
        <v>1215116.5300000003</v>
      </c>
      <c r="R819" s="101"/>
      <c r="S819" s="254">
        <f t="shared" si="294"/>
        <v>0.82121202940787419</v>
      </c>
      <c r="T819" s="254" t="str">
        <f t="shared" si="294"/>
        <v/>
      </c>
      <c r="U819" s="254" t="str">
        <f t="shared" si="294"/>
        <v/>
      </c>
      <c r="V819" s="254">
        <f t="shared" si="294"/>
        <v>0.82121202940787419</v>
      </c>
      <c r="W819" s="531"/>
      <c r="Y819" s="256" t="s">
        <v>598</v>
      </c>
      <c r="Z819" s="256" t="s">
        <v>598</v>
      </c>
    </row>
    <row r="820" spans="1:26" ht="11.25" customHeight="1">
      <c r="A820" s="528" t="s">
        <v>632</v>
      </c>
      <c r="B820" s="1013" t="s">
        <v>180</v>
      </c>
      <c r="C820" s="728"/>
      <c r="D820" s="649" t="s">
        <v>286</v>
      </c>
      <c r="E820" s="729" t="s">
        <v>286</v>
      </c>
      <c r="F820" s="103">
        <f>SUM('[3]chd7-SAOB'!AL14)</f>
        <v>6796411</v>
      </c>
      <c r="G820" s="103">
        <f>SUM('[3]chd7-SAOB'!AL50)</f>
        <v>0</v>
      </c>
      <c r="H820" s="103">
        <f>SUM('[3]chd7-SAOB'!AL142)</f>
        <v>0</v>
      </c>
      <c r="I820" s="103">
        <f>SUM(F820:H820)</f>
        <v>6796411</v>
      </c>
      <c r="J820" s="103">
        <f>SUM('[3]chd7-SAOB'!AL15)</f>
        <v>5581294.4699999997</v>
      </c>
      <c r="K820" s="103">
        <f>SUM('[3]chd7-SAOB'!AL51)</f>
        <v>0</v>
      </c>
      <c r="L820" s="103">
        <f>SUM('[3]chd7-SAOB'!AL143)</f>
        <v>0</v>
      </c>
      <c r="M820" s="103">
        <f>SUM(J820:L820)</f>
        <v>5581294.4699999997</v>
      </c>
      <c r="N820" s="103">
        <f t="shared" si="292"/>
        <v>1215116.5300000003</v>
      </c>
      <c r="O820" s="103">
        <f t="shared" si="292"/>
        <v>0</v>
      </c>
      <c r="P820" s="103">
        <f t="shared" si="292"/>
        <v>0</v>
      </c>
      <c r="Q820" s="103">
        <f t="shared" si="293"/>
        <v>1215116.5300000003</v>
      </c>
      <c r="S820" s="730">
        <f t="shared" si="294"/>
        <v>0.82121202940787419</v>
      </c>
      <c r="T820" s="730" t="str">
        <f t="shared" si="294"/>
        <v/>
      </c>
      <c r="U820" s="730" t="str">
        <f t="shared" si="294"/>
        <v/>
      </c>
      <c r="V820" s="730">
        <f t="shared" si="294"/>
        <v>0.82121202940787419</v>
      </c>
      <c r="W820" s="531"/>
      <c r="X820" s="236"/>
      <c r="Y820" s="236" t="s">
        <v>598</v>
      </c>
      <c r="Z820" s="236"/>
    </row>
    <row r="821" spans="1:26" s="272" customFormat="1" ht="11.25" customHeight="1">
      <c r="A821" s="528" t="s">
        <v>632</v>
      </c>
      <c r="B821" s="528" t="s">
        <v>180</v>
      </c>
      <c r="C821" s="389"/>
      <c r="D821" s="650" t="s">
        <v>98</v>
      </c>
      <c r="E821" s="390" t="s">
        <v>100</v>
      </c>
      <c r="F821" s="391">
        <f t="shared" ref="F821:M821" si="307">SUM(F822:F826)</f>
        <v>3378098</v>
      </c>
      <c r="G821" s="391">
        <f t="shared" si="307"/>
        <v>0</v>
      </c>
      <c r="H821" s="391">
        <f t="shared" si="307"/>
        <v>0</v>
      </c>
      <c r="I821" s="391">
        <f t="shared" si="307"/>
        <v>3378098</v>
      </c>
      <c r="J821" s="391">
        <f t="shared" si="307"/>
        <v>3165447.67</v>
      </c>
      <c r="K821" s="391">
        <f t="shared" si="307"/>
        <v>0</v>
      </c>
      <c r="L821" s="391">
        <f t="shared" si="307"/>
        <v>0</v>
      </c>
      <c r="M821" s="391">
        <f t="shared" si="307"/>
        <v>3165447.67</v>
      </c>
      <c r="N821" s="391">
        <f t="shared" si="292"/>
        <v>212650.33000000007</v>
      </c>
      <c r="O821" s="391">
        <f t="shared" si="292"/>
        <v>0</v>
      </c>
      <c r="P821" s="391">
        <f t="shared" si="292"/>
        <v>0</v>
      </c>
      <c r="Q821" s="391">
        <f t="shared" si="293"/>
        <v>212650.33000000007</v>
      </c>
      <c r="R821" s="102"/>
      <c r="S821" s="254">
        <f t="shared" si="294"/>
        <v>0.93705027799667151</v>
      </c>
      <c r="T821" s="254" t="str">
        <f t="shared" si="294"/>
        <v/>
      </c>
      <c r="U821" s="254" t="str">
        <f t="shared" si="294"/>
        <v/>
      </c>
      <c r="V821" s="254">
        <f t="shared" si="294"/>
        <v>0.93705027799667151</v>
      </c>
      <c r="W821" s="531"/>
      <c r="Y821" s="272" t="s">
        <v>598</v>
      </c>
      <c r="Z821" s="256" t="s">
        <v>598</v>
      </c>
    </row>
    <row r="822" spans="1:26" ht="11.25" customHeight="1">
      <c r="A822" s="528" t="s">
        <v>632</v>
      </c>
      <c r="B822" s="1013" t="s">
        <v>180</v>
      </c>
      <c r="C822" s="728"/>
      <c r="D822" s="649" t="s">
        <v>288</v>
      </c>
      <c r="E822" s="729" t="s">
        <v>288</v>
      </c>
      <c r="F822" s="103">
        <f>SUM('[3]chd7-SAOB'!AT14)</f>
        <v>1515598</v>
      </c>
      <c r="G822" s="103">
        <f>SUM('[3]chd7-SAOB'!AT50)</f>
        <v>0</v>
      </c>
      <c r="H822" s="103">
        <f>SUM('[3]chd7-SAOB'!AT142)</f>
        <v>0</v>
      </c>
      <c r="I822" s="103">
        <f>SUM(F822:H822)</f>
        <v>1515598</v>
      </c>
      <c r="J822" s="103">
        <f>SUM('[3]chd7-SAOB'!AT15)</f>
        <v>1302948.53</v>
      </c>
      <c r="K822" s="103">
        <f>SUM('[3]chd7-SAOB'!AT51)</f>
        <v>0</v>
      </c>
      <c r="L822" s="103">
        <f>SUM('[3]chd7-SAOB'!AT143)</f>
        <v>0</v>
      </c>
      <c r="M822" s="103">
        <f>SUM(J822:L822)</f>
        <v>1302948.53</v>
      </c>
      <c r="N822" s="103">
        <f t="shared" si="292"/>
        <v>212649.46999999997</v>
      </c>
      <c r="O822" s="103">
        <f t="shared" si="292"/>
        <v>0</v>
      </c>
      <c r="P822" s="103">
        <f t="shared" si="292"/>
        <v>0</v>
      </c>
      <c r="Q822" s="103">
        <f t="shared" si="293"/>
        <v>212649.46999999997</v>
      </c>
      <c r="S822" s="730">
        <f t="shared" si="294"/>
        <v>0.85969269555647343</v>
      </c>
      <c r="T822" s="730" t="str">
        <f t="shared" si="294"/>
        <v/>
      </c>
      <c r="U822" s="730" t="str">
        <f t="shared" si="294"/>
        <v/>
      </c>
      <c r="V822" s="730">
        <f t="shared" si="294"/>
        <v>0.85969269555647343</v>
      </c>
      <c r="W822" s="531"/>
      <c r="X822" s="236"/>
      <c r="Y822" s="236" t="s">
        <v>598</v>
      </c>
      <c r="Z822" s="236"/>
    </row>
    <row r="823" spans="1:26" ht="11.25" customHeight="1">
      <c r="A823" s="528" t="s">
        <v>632</v>
      </c>
      <c r="B823" s="1013" t="s">
        <v>180</v>
      </c>
      <c r="C823" s="728"/>
      <c r="D823" s="649" t="s">
        <v>761</v>
      </c>
      <c r="E823" s="729" t="s">
        <v>761</v>
      </c>
      <c r="F823" s="104">
        <f>+'[3]chd7-SAOB'!C385</f>
        <v>1862500</v>
      </c>
      <c r="G823" s="104"/>
      <c r="H823" s="104"/>
      <c r="I823" s="103">
        <f>SUM(F823:H823)</f>
        <v>1862500</v>
      </c>
      <c r="J823" s="104">
        <f>+'[3]chd7-SAOB'!G385</f>
        <v>1862499.14</v>
      </c>
      <c r="K823" s="104"/>
      <c r="L823" s="103"/>
      <c r="M823" s="103">
        <f>SUM(J823:L823)</f>
        <v>1862499.14</v>
      </c>
      <c r="N823" s="103">
        <f t="shared" si="292"/>
        <v>0.86000000010244548</v>
      </c>
      <c r="O823" s="103">
        <f>+G823-K823</f>
        <v>0</v>
      </c>
      <c r="P823" s="103">
        <f>+H823-L823</f>
        <v>0</v>
      </c>
      <c r="Q823" s="103">
        <f>SUM(N823:P823)</f>
        <v>0.86000000010244548</v>
      </c>
      <c r="S823" s="730">
        <f t="shared" si="294"/>
        <v>0.99999953825503352</v>
      </c>
      <c r="T823" s="730" t="str">
        <f t="shared" si="294"/>
        <v/>
      </c>
      <c r="U823" s="730" t="str">
        <f t="shared" si="294"/>
        <v/>
      </c>
      <c r="V823" s="730">
        <f t="shared" si="294"/>
        <v>0.99999953825503352</v>
      </c>
      <c r="W823" s="531"/>
      <c r="X823" s="236"/>
      <c r="Y823" s="236" t="s">
        <v>688</v>
      </c>
      <c r="Z823" s="236"/>
    </row>
    <row r="824" spans="1:26" ht="11.25" customHeight="1">
      <c r="A824" s="528" t="s">
        <v>632</v>
      </c>
      <c r="B824" s="1013" t="s">
        <v>180</v>
      </c>
      <c r="C824" s="410"/>
      <c r="D824" s="647"/>
      <c r="E824" s="461"/>
      <c r="F824" s="104"/>
      <c r="G824" s="104"/>
      <c r="H824" s="104"/>
      <c r="I824" s="103"/>
      <c r="J824" s="104"/>
      <c r="K824" s="104"/>
      <c r="L824" s="104"/>
      <c r="M824" s="103"/>
      <c r="N824" s="103"/>
      <c r="O824" s="103"/>
      <c r="P824" s="103"/>
      <c r="Q824" s="103"/>
      <c r="S824" s="730" t="str">
        <f t="shared" si="294"/>
        <v/>
      </c>
      <c r="T824" s="730" t="str">
        <f t="shared" si="294"/>
        <v/>
      </c>
      <c r="U824" s="730" t="str">
        <f t="shared" si="294"/>
        <v/>
      </c>
      <c r="V824" s="730" t="str">
        <f t="shared" si="294"/>
        <v/>
      </c>
      <c r="W824" s="531"/>
      <c r="X824" s="236"/>
      <c r="Y824" s="236" t="s">
        <v>688</v>
      </c>
      <c r="Z824" s="240"/>
    </row>
    <row r="825" spans="1:26" ht="11.25" customHeight="1">
      <c r="A825" s="528" t="s">
        <v>632</v>
      </c>
      <c r="B825" s="1013" t="s">
        <v>180</v>
      </c>
      <c r="C825" s="728"/>
      <c r="D825" s="649" t="s">
        <v>289</v>
      </c>
      <c r="E825" s="729" t="s">
        <v>289</v>
      </c>
      <c r="F825" s="103">
        <f>SUM('[3]chd7-SAOB'!BB14)</f>
        <v>0</v>
      </c>
      <c r="G825" s="103">
        <f>SUM('[3]chd7-SAOB'!BB50)</f>
        <v>0</v>
      </c>
      <c r="H825" s="103">
        <f>SUM('[3]chd7-SAOB'!BB142)</f>
        <v>0</v>
      </c>
      <c r="I825" s="103">
        <f>SUM(F825:H825)</f>
        <v>0</v>
      </c>
      <c r="J825" s="103">
        <f>SUM('[3]chd7-SAOB'!BB15)</f>
        <v>0</v>
      </c>
      <c r="K825" s="103">
        <f>SUM('[3]chd7-SAOB'!BB51)</f>
        <v>0</v>
      </c>
      <c r="L825" s="103">
        <f>SUM('[3]chd7-SAOB'!BB143)</f>
        <v>0</v>
      </c>
      <c r="M825" s="103">
        <f>SUM(J825:L825)</f>
        <v>0</v>
      </c>
      <c r="N825" s="103">
        <f t="shared" si="292"/>
        <v>0</v>
      </c>
      <c r="O825" s="103">
        <f t="shared" si="292"/>
        <v>0</v>
      </c>
      <c r="P825" s="103">
        <f t="shared" si="292"/>
        <v>0</v>
      </c>
      <c r="Q825" s="103">
        <f t="shared" si="293"/>
        <v>0</v>
      </c>
      <c r="S825" s="730" t="str">
        <f t="shared" si="294"/>
        <v/>
      </c>
      <c r="T825" s="730" t="str">
        <f t="shared" si="294"/>
        <v/>
      </c>
      <c r="U825" s="730" t="str">
        <f t="shared" si="294"/>
        <v/>
      </c>
      <c r="V825" s="730" t="str">
        <f t="shared" si="294"/>
        <v/>
      </c>
      <c r="W825" s="531"/>
      <c r="X825" s="236"/>
      <c r="Y825" s="236" t="s">
        <v>598</v>
      </c>
      <c r="Z825" s="236"/>
    </row>
    <row r="826" spans="1:26" ht="11.25" customHeight="1">
      <c r="A826" s="528" t="s">
        <v>632</v>
      </c>
      <c r="B826" s="1013" t="s">
        <v>180</v>
      </c>
      <c r="C826" s="728"/>
      <c r="D826" s="649" t="s">
        <v>290</v>
      </c>
      <c r="E826" s="729" t="s">
        <v>290</v>
      </c>
      <c r="F826" s="103">
        <f>SUM('[3]chd7-SAOB'!BJ14)</f>
        <v>0</v>
      </c>
      <c r="G826" s="103">
        <f>SUM('[3]chd7-SAOB'!BJ50)</f>
        <v>0</v>
      </c>
      <c r="H826" s="103">
        <f>SUM('[3]chd7-SAOB'!BJ142)</f>
        <v>0</v>
      </c>
      <c r="I826" s="103">
        <f>SUM(F826:H826)</f>
        <v>0</v>
      </c>
      <c r="J826" s="103">
        <f>SUM('[3]chd7-SAOB'!BJ15)</f>
        <v>0</v>
      </c>
      <c r="K826" s="103">
        <f>SUM('[3]chd7-SAOB'!BJ51)</f>
        <v>0</v>
      </c>
      <c r="L826" s="103">
        <f>SUM('[3]chd7-SAOB'!BJ143)</f>
        <v>0</v>
      </c>
      <c r="M826" s="103">
        <f>SUM(J826:L826)</f>
        <v>0</v>
      </c>
      <c r="N826" s="103">
        <f t="shared" si="292"/>
        <v>0</v>
      </c>
      <c r="O826" s="103">
        <f t="shared" si="292"/>
        <v>0</v>
      </c>
      <c r="P826" s="103">
        <f t="shared" si="292"/>
        <v>0</v>
      </c>
      <c r="Q826" s="103">
        <f t="shared" si="293"/>
        <v>0</v>
      </c>
      <c r="S826" s="730" t="str">
        <f t="shared" si="294"/>
        <v/>
      </c>
      <c r="T826" s="730" t="str">
        <f t="shared" si="294"/>
        <v/>
      </c>
      <c r="U826" s="730" t="str">
        <f t="shared" si="294"/>
        <v/>
      </c>
      <c r="V826" s="730" t="str">
        <f t="shared" si="294"/>
        <v/>
      </c>
      <c r="W826" s="531"/>
      <c r="X826" s="236"/>
      <c r="Y826" s="236" t="s">
        <v>598</v>
      </c>
      <c r="Z826" s="236"/>
    </row>
    <row r="827" spans="1:26" s="671" customFormat="1" ht="11.25" customHeight="1">
      <c r="A827" s="246" t="s">
        <v>632</v>
      </c>
      <c r="B827" s="235" t="s">
        <v>180</v>
      </c>
      <c r="C827" s="1425" t="s">
        <v>310</v>
      </c>
      <c r="D827" s="1426"/>
      <c r="E827" s="1427"/>
      <c r="F827" s="652">
        <f t="shared" ref="F827:M827" si="308">+F817+F819+F821</f>
        <v>84039509</v>
      </c>
      <c r="G827" s="652">
        <f t="shared" si="308"/>
        <v>389012143.60000002</v>
      </c>
      <c r="H827" s="652">
        <f t="shared" si="308"/>
        <v>64842000</v>
      </c>
      <c r="I827" s="652">
        <f t="shared" si="308"/>
        <v>537893652.60000002</v>
      </c>
      <c r="J827" s="652">
        <f t="shared" si="308"/>
        <v>74302732.700000003</v>
      </c>
      <c r="K827" s="652">
        <f t="shared" si="308"/>
        <v>257744914.02000001</v>
      </c>
      <c r="L827" s="652">
        <f t="shared" si="308"/>
        <v>43168215.460000001</v>
      </c>
      <c r="M827" s="652">
        <f t="shared" si="308"/>
        <v>375215862.18000001</v>
      </c>
      <c r="N827" s="652">
        <f t="shared" si="292"/>
        <v>9736776.299999997</v>
      </c>
      <c r="O827" s="652">
        <f t="shared" si="292"/>
        <v>131267229.58000001</v>
      </c>
      <c r="P827" s="652">
        <f t="shared" si="292"/>
        <v>21673784.539999999</v>
      </c>
      <c r="Q827" s="652">
        <f t="shared" si="293"/>
        <v>162677790.41999999</v>
      </c>
      <c r="R827" s="670">
        <f>+Q827-'[3]chd7-SAOB'!CT179</f>
        <v>0</v>
      </c>
      <c r="S827" s="1008">
        <f t="shared" si="294"/>
        <v>0.88414049039720122</v>
      </c>
      <c r="T827" s="1008">
        <f t="shared" si="294"/>
        <v>0.66256264299302969</v>
      </c>
      <c r="U827" s="1008">
        <f t="shared" si="294"/>
        <v>0.66574466333549243</v>
      </c>
      <c r="V827" s="1008">
        <f t="shared" si="294"/>
        <v>0.69756514204309839</v>
      </c>
      <c r="W827" s="254"/>
      <c r="X827" s="237"/>
      <c r="Y827" s="610" t="s">
        <v>598</v>
      </c>
      <c r="Z827" s="241" t="s">
        <v>598</v>
      </c>
    </row>
    <row r="828" spans="1:26" ht="11.25" customHeight="1">
      <c r="A828" s="246" t="s">
        <v>632</v>
      </c>
      <c r="B828" s="235" t="s">
        <v>180</v>
      </c>
      <c r="C828" s="410"/>
      <c r="D828" s="386"/>
      <c r="E828" s="461"/>
      <c r="F828" s="103"/>
      <c r="G828" s="103"/>
      <c r="H828" s="103"/>
      <c r="I828" s="103">
        <f>SUM(F828:H828)</f>
        <v>0</v>
      </c>
      <c r="J828" s="103"/>
      <c r="K828" s="103"/>
      <c r="L828" s="103"/>
      <c r="M828" s="103">
        <f>SUM(J828:L828)</f>
        <v>0</v>
      </c>
      <c r="N828" s="103">
        <f t="shared" si="292"/>
        <v>0</v>
      </c>
      <c r="O828" s="103">
        <f t="shared" si="292"/>
        <v>0</v>
      </c>
      <c r="P828" s="103">
        <f t="shared" si="292"/>
        <v>0</v>
      </c>
      <c r="Q828" s="103">
        <f t="shared" si="293"/>
        <v>0</v>
      </c>
      <c r="S828" s="730" t="str">
        <f t="shared" si="294"/>
        <v/>
      </c>
      <c r="T828" s="730" t="str">
        <f t="shared" si="294"/>
        <v/>
      </c>
      <c r="U828" s="730" t="str">
        <f t="shared" si="294"/>
        <v/>
      </c>
      <c r="V828" s="730" t="str">
        <f t="shared" si="294"/>
        <v/>
      </c>
      <c r="W828" s="254"/>
      <c r="Y828" s="610" t="s">
        <v>598</v>
      </c>
      <c r="Z828" s="241" t="s">
        <v>598</v>
      </c>
    </row>
    <row r="829" spans="1:26" ht="11.25" customHeight="1">
      <c r="A829" s="246" t="s">
        <v>632</v>
      </c>
      <c r="B829" s="235" t="s">
        <v>180</v>
      </c>
      <c r="C829" s="410" t="s">
        <v>182</v>
      </c>
      <c r="D829" s="386"/>
      <c r="E829" s="461"/>
      <c r="F829" s="104"/>
      <c r="G829" s="104"/>
      <c r="H829" s="104"/>
      <c r="I829" s="103">
        <f>SUM(F829:H829)</f>
        <v>0</v>
      </c>
      <c r="J829" s="104"/>
      <c r="K829" s="104"/>
      <c r="L829" s="104"/>
      <c r="M829" s="103">
        <f>SUM(J829:L829)</f>
        <v>0</v>
      </c>
      <c r="N829" s="103">
        <f t="shared" si="292"/>
        <v>0</v>
      </c>
      <c r="O829" s="103">
        <f t="shared" si="292"/>
        <v>0</v>
      </c>
      <c r="P829" s="103">
        <f t="shared" si="292"/>
        <v>0</v>
      </c>
      <c r="Q829" s="103">
        <f t="shared" si="293"/>
        <v>0</v>
      </c>
      <c r="S829" s="730" t="str">
        <f t="shared" si="294"/>
        <v/>
      </c>
      <c r="T829" s="730" t="str">
        <f t="shared" si="294"/>
        <v/>
      </c>
      <c r="U829" s="730" t="str">
        <f t="shared" si="294"/>
        <v/>
      </c>
      <c r="V829" s="730" t="str">
        <f t="shared" si="294"/>
        <v/>
      </c>
      <c r="W829" s="254"/>
      <c r="Y829" s="610" t="s">
        <v>598</v>
      </c>
      <c r="Z829" s="241" t="s">
        <v>598</v>
      </c>
    </row>
    <row r="830" spans="1:26" s="675" customFormat="1" ht="11.25" customHeight="1">
      <c r="A830" s="528" t="s">
        <v>632</v>
      </c>
      <c r="B830" s="528" t="s">
        <v>183</v>
      </c>
      <c r="C830" s="407" t="s">
        <v>98</v>
      </c>
      <c r="D830" s="655" t="s">
        <v>105</v>
      </c>
      <c r="E830" s="408" t="s">
        <v>818</v>
      </c>
      <c r="F830" s="673"/>
      <c r="G830" s="673"/>
      <c r="H830" s="673"/>
      <c r="I830" s="674">
        <f>SUM(F830:H830)</f>
        <v>0</v>
      </c>
      <c r="J830" s="673"/>
      <c r="K830" s="673"/>
      <c r="L830" s="673"/>
      <c r="M830" s="674">
        <f>SUM(J830:L830)</f>
        <v>0</v>
      </c>
      <c r="N830" s="674">
        <f t="shared" si="292"/>
        <v>0</v>
      </c>
      <c r="O830" s="674">
        <f t="shared" si="292"/>
        <v>0</v>
      </c>
      <c r="P830" s="674">
        <f t="shared" si="292"/>
        <v>0</v>
      </c>
      <c r="Q830" s="674">
        <f t="shared" si="293"/>
        <v>0</v>
      </c>
      <c r="R830" s="101"/>
      <c r="S830" s="254" t="str">
        <f t="shared" si="294"/>
        <v/>
      </c>
      <c r="T830" s="254" t="str">
        <f t="shared" si="294"/>
        <v/>
      </c>
      <c r="U830" s="254" t="str">
        <f t="shared" si="294"/>
        <v/>
      </c>
      <c r="V830" s="254" t="str">
        <f t="shared" si="294"/>
        <v/>
      </c>
      <c r="W830" s="531"/>
      <c r="Y830" s="272" t="s">
        <v>598</v>
      </c>
      <c r="Z830" s="260" t="s">
        <v>598</v>
      </c>
    </row>
    <row r="831" spans="1:26" ht="11.25" customHeight="1">
      <c r="A831" s="528" t="s">
        <v>632</v>
      </c>
      <c r="B831" s="1013" t="s">
        <v>183</v>
      </c>
      <c r="C831" s="461"/>
      <c r="D831" s="645" t="s">
        <v>766</v>
      </c>
      <c r="E831" s="447" t="s">
        <v>766</v>
      </c>
      <c r="F831" s="104">
        <f>+'[3]chd7-SAOB'!C390</f>
        <v>245011674</v>
      </c>
      <c r="G831" s="104">
        <f>+'[3]chd7-SAOB'!D390</f>
        <v>165943326</v>
      </c>
      <c r="H831" s="104">
        <f>+'[3]chd7-SAOB'!E390</f>
        <v>0</v>
      </c>
      <c r="I831" s="103">
        <f>SUM(F831:H831)</f>
        <v>410955000</v>
      </c>
      <c r="J831" s="104">
        <f>+'[3]chd7-SAOB'!G390</f>
        <v>224542877.30000001</v>
      </c>
      <c r="K831" s="104">
        <f>+'[3]chd7-SAOB'!H390</f>
        <v>154296478.00999999</v>
      </c>
      <c r="L831" s="104">
        <f>+'[3]chd7-SAOB'!I390</f>
        <v>0</v>
      </c>
      <c r="M831" s="103">
        <f>SUM(J831:L831)</f>
        <v>378839355.31</v>
      </c>
      <c r="N831" s="103">
        <f t="shared" si="292"/>
        <v>20468796.699999988</v>
      </c>
      <c r="O831" s="103">
        <f t="shared" si="292"/>
        <v>11646847.99000001</v>
      </c>
      <c r="P831" s="103">
        <f t="shared" si="292"/>
        <v>0</v>
      </c>
      <c r="Q831" s="103">
        <f t="shared" si="293"/>
        <v>32115644.689999998</v>
      </c>
      <c r="S831" s="730">
        <f t="shared" si="294"/>
        <v>0.91645787171757376</v>
      </c>
      <c r="T831" s="730">
        <f t="shared" si="294"/>
        <v>0.92981430304705348</v>
      </c>
      <c r="U831" s="730" t="str">
        <f t="shared" si="294"/>
        <v/>
      </c>
      <c r="V831" s="730">
        <f t="shared" si="294"/>
        <v>0.92185118884062733</v>
      </c>
      <c r="W831" s="531"/>
      <c r="X831" s="236"/>
      <c r="Y831" s="236" t="s">
        <v>688</v>
      </c>
      <c r="Z831" s="236"/>
    </row>
    <row r="832" spans="1:26" ht="11.25" customHeight="1">
      <c r="A832" s="528" t="s">
        <v>632</v>
      </c>
      <c r="B832" s="1013" t="s">
        <v>183</v>
      </c>
      <c r="C832" s="728"/>
      <c r="D832" s="649" t="s">
        <v>50</v>
      </c>
      <c r="E832" s="447" t="s">
        <v>50</v>
      </c>
      <c r="F832" s="104"/>
      <c r="G832" s="104">
        <f>+'[3]chd7-SAOB'!D392</f>
        <v>57467420</v>
      </c>
      <c r="H832" s="104">
        <f>+'[3]chd7-SAOB'!E392</f>
        <v>10032017</v>
      </c>
      <c r="I832" s="103">
        <f>SUM(F832:H832)</f>
        <v>67499437</v>
      </c>
      <c r="J832" s="104"/>
      <c r="K832" s="104">
        <f>+'[3]chd7-SAOB'!H392</f>
        <v>51171530.170000009</v>
      </c>
      <c r="L832" s="104">
        <f>+'[3]chd7-SAOB'!I392</f>
        <v>9079372.9499999993</v>
      </c>
      <c r="M832" s="103">
        <f>SUM(J832:L832)</f>
        <v>60250903.120000005</v>
      </c>
      <c r="N832" s="103">
        <f t="shared" si="292"/>
        <v>0</v>
      </c>
      <c r="O832" s="103">
        <f t="shared" si="292"/>
        <v>6295889.8299999908</v>
      </c>
      <c r="P832" s="103">
        <f t="shared" si="292"/>
        <v>952644.05000000075</v>
      </c>
      <c r="Q832" s="103">
        <f t="shared" si="293"/>
        <v>7248533.8799999915</v>
      </c>
      <c r="S832" s="730" t="str">
        <f t="shared" si="294"/>
        <v/>
      </c>
      <c r="T832" s="730">
        <f t="shared" si="294"/>
        <v>0.89044418855066065</v>
      </c>
      <c r="U832" s="730">
        <f t="shared" si="294"/>
        <v>0.90503962961785245</v>
      </c>
      <c r="V832" s="730">
        <f t="shared" si="294"/>
        <v>0.89261341720524279</v>
      </c>
      <c r="W832" s="531"/>
      <c r="X832" s="236"/>
      <c r="Y832" s="236" t="s">
        <v>688</v>
      </c>
      <c r="Z832" s="236"/>
    </row>
    <row r="833" spans="1:26" s="256" customFormat="1" ht="11.25" customHeight="1">
      <c r="A833" s="528" t="s">
        <v>632</v>
      </c>
      <c r="B833" s="528" t="s">
        <v>183</v>
      </c>
      <c r="C833" s="389"/>
      <c r="D833" s="650" t="s">
        <v>98</v>
      </c>
      <c r="E833" s="390" t="s">
        <v>767</v>
      </c>
      <c r="F833" s="391">
        <f>+F831+F832</f>
        <v>245011674</v>
      </c>
      <c r="G833" s="391">
        <f t="shared" ref="G833:M833" si="309">+G831+G832</f>
        <v>223410746</v>
      </c>
      <c r="H833" s="391">
        <f t="shared" si="309"/>
        <v>10032017</v>
      </c>
      <c r="I833" s="391">
        <f t="shared" si="309"/>
        <v>478454437</v>
      </c>
      <c r="J833" s="391">
        <f t="shared" si="309"/>
        <v>224542877.30000001</v>
      </c>
      <c r="K833" s="391">
        <f t="shared" si="309"/>
        <v>205468008.18000001</v>
      </c>
      <c r="L833" s="391">
        <f t="shared" si="309"/>
        <v>9079372.9499999993</v>
      </c>
      <c r="M833" s="391">
        <f t="shared" si="309"/>
        <v>439090258.43000001</v>
      </c>
      <c r="N833" s="391">
        <f t="shared" si="292"/>
        <v>20468796.699999988</v>
      </c>
      <c r="O833" s="391">
        <f t="shared" si="292"/>
        <v>17942737.819999993</v>
      </c>
      <c r="P833" s="391">
        <f t="shared" si="292"/>
        <v>952644.05000000075</v>
      </c>
      <c r="Q833" s="391">
        <f t="shared" si="293"/>
        <v>39364178.569999978</v>
      </c>
      <c r="R833" s="101"/>
      <c r="S833" s="254">
        <f t="shared" si="294"/>
        <v>0.91645787171757376</v>
      </c>
      <c r="T833" s="254">
        <f t="shared" si="294"/>
        <v>0.91968722122256374</v>
      </c>
      <c r="U833" s="254">
        <f t="shared" si="294"/>
        <v>0.90503962961785245</v>
      </c>
      <c r="V833" s="254">
        <f t="shared" si="294"/>
        <v>0.91772637993113648</v>
      </c>
      <c r="W833" s="531"/>
      <c r="Y833" s="256" t="s">
        <v>598</v>
      </c>
      <c r="Z833" s="256" t="s">
        <v>598</v>
      </c>
    </row>
    <row r="834" spans="1:26" ht="11.25" hidden="1" customHeight="1">
      <c r="A834" s="528" t="s">
        <v>632</v>
      </c>
      <c r="B834" s="1013" t="s">
        <v>183</v>
      </c>
      <c r="C834" s="410"/>
      <c r="D834" s="651"/>
      <c r="E834" s="806" t="s">
        <v>764</v>
      </c>
      <c r="F834" s="807"/>
      <c r="G834" s="807"/>
      <c r="H834" s="807"/>
      <c r="I834" s="807"/>
      <c r="J834" s="807"/>
      <c r="K834" s="807"/>
      <c r="L834" s="807"/>
      <c r="M834" s="807"/>
      <c r="N834" s="807">
        <f t="shared" si="292"/>
        <v>0</v>
      </c>
      <c r="O834" s="807">
        <f t="shared" si="292"/>
        <v>0</v>
      </c>
      <c r="P834" s="807">
        <f t="shared" si="292"/>
        <v>0</v>
      </c>
      <c r="Q834" s="807">
        <f t="shared" si="293"/>
        <v>0</v>
      </c>
      <c r="R834" s="276"/>
      <c r="S834" s="730" t="str">
        <f t="shared" si="294"/>
        <v/>
      </c>
      <c r="T834" s="730" t="str">
        <f t="shared" si="294"/>
        <v/>
      </c>
      <c r="U834" s="730" t="str">
        <f t="shared" si="294"/>
        <v/>
      </c>
      <c r="V834" s="730" t="str">
        <f t="shared" si="294"/>
        <v/>
      </c>
      <c r="W834" s="531"/>
      <c r="X834" s="236"/>
      <c r="Y834" s="236"/>
      <c r="Z834" s="236"/>
    </row>
    <row r="835" spans="1:26" s="256" customFormat="1" ht="11.25" customHeight="1">
      <c r="A835" s="528" t="s">
        <v>632</v>
      </c>
      <c r="B835" s="528" t="s">
        <v>183</v>
      </c>
      <c r="C835" s="389"/>
      <c r="D835" s="650" t="s">
        <v>98</v>
      </c>
      <c r="E835" s="390" t="s">
        <v>99</v>
      </c>
      <c r="F835" s="391">
        <f>+F836</f>
        <v>22360000</v>
      </c>
      <c r="G835" s="391">
        <f t="shared" ref="G835:M835" si="310">+G836</f>
        <v>0</v>
      </c>
      <c r="H835" s="391">
        <f t="shared" si="310"/>
        <v>0</v>
      </c>
      <c r="I835" s="391">
        <f t="shared" si="310"/>
        <v>22360000</v>
      </c>
      <c r="J835" s="391">
        <f t="shared" si="310"/>
        <v>19367107.800000001</v>
      </c>
      <c r="K835" s="391">
        <f t="shared" si="310"/>
        <v>0</v>
      </c>
      <c r="L835" s="391">
        <f t="shared" si="310"/>
        <v>0</v>
      </c>
      <c r="M835" s="391">
        <f t="shared" si="310"/>
        <v>19367107.800000001</v>
      </c>
      <c r="N835" s="391">
        <f t="shared" si="292"/>
        <v>2992892.1999999993</v>
      </c>
      <c r="O835" s="391">
        <f t="shared" si="292"/>
        <v>0</v>
      </c>
      <c r="P835" s="391">
        <f t="shared" si="292"/>
        <v>0</v>
      </c>
      <c r="Q835" s="391">
        <f t="shared" si="293"/>
        <v>2992892.1999999993</v>
      </c>
      <c r="R835" s="101"/>
      <c r="S835" s="254">
        <f t="shared" si="294"/>
        <v>0.86614972271914137</v>
      </c>
      <c r="T835" s="254" t="str">
        <f t="shared" si="294"/>
        <v/>
      </c>
      <c r="U835" s="254" t="str">
        <f t="shared" si="294"/>
        <v/>
      </c>
      <c r="V835" s="254">
        <f t="shared" si="294"/>
        <v>0.86614972271914137</v>
      </c>
      <c r="W835" s="531"/>
      <c r="Y835" s="256" t="s">
        <v>598</v>
      </c>
      <c r="Z835" s="256" t="s">
        <v>598</v>
      </c>
    </row>
    <row r="836" spans="1:26" ht="11.25" customHeight="1">
      <c r="A836" s="528" t="s">
        <v>632</v>
      </c>
      <c r="B836" s="1013" t="s">
        <v>183</v>
      </c>
      <c r="C836" s="728"/>
      <c r="D836" s="649" t="s">
        <v>286</v>
      </c>
      <c r="E836" s="729" t="s">
        <v>286</v>
      </c>
      <c r="F836" s="103">
        <f>SUM('[3]chd7-SAOB'!AM14)</f>
        <v>22360000</v>
      </c>
      <c r="G836" s="103">
        <f>SUM('[3]chd7-SAOB'!AM50)</f>
        <v>0</v>
      </c>
      <c r="H836" s="103">
        <f>SUM('[3]chd7-SAOB'!AM142)</f>
        <v>0</v>
      </c>
      <c r="I836" s="103">
        <f>SUM(F836:H836)</f>
        <v>22360000</v>
      </c>
      <c r="J836" s="103">
        <f>SUM('[3]chd7-SAOB'!AM15)</f>
        <v>19367107.800000001</v>
      </c>
      <c r="K836" s="103">
        <f>SUM('[3]chd7-SAOB'!AM51)</f>
        <v>0</v>
      </c>
      <c r="L836" s="103">
        <f>SUM('[3]chd7-SAOB'!AM143)</f>
        <v>0</v>
      </c>
      <c r="M836" s="103">
        <f>SUM(J836:L836)</f>
        <v>19367107.800000001</v>
      </c>
      <c r="N836" s="103">
        <f t="shared" si="292"/>
        <v>2992892.1999999993</v>
      </c>
      <c r="O836" s="103">
        <f t="shared" si="292"/>
        <v>0</v>
      </c>
      <c r="P836" s="103">
        <f t="shared" si="292"/>
        <v>0</v>
      </c>
      <c r="Q836" s="103">
        <f t="shared" si="293"/>
        <v>2992892.1999999993</v>
      </c>
      <c r="S836" s="730">
        <f t="shared" si="294"/>
        <v>0.86614972271914137</v>
      </c>
      <c r="T836" s="730" t="str">
        <f t="shared" si="294"/>
        <v/>
      </c>
      <c r="U836" s="730" t="str">
        <f t="shared" si="294"/>
        <v/>
      </c>
      <c r="V836" s="730">
        <f t="shared" si="294"/>
        <v>0.86614972271914137</v>
      </c>
      <c r="W836" s="531"/>
      <c r="X836" s="236"/>
      <c r="Y836" s="236" t="s">
        <v>598</v>
      </c>
      <c r="Z836" s="236"/>
    </row>
    <row r="837" spans="1:26" s="272" customFormat="1" ht="11.25" customHeight="1">
      <c r="A837" s="528" t="s">
        <v>632</v>
      </c>
      <c r="B837" s="528" t="s">
        <v>183</v>
      </c>
      <c r="C837" s="389"/>
      <c r="D837" s="650" t="s">
        <v>98</v>
      </c>
      <c r="E837" s="390" t="s">
        <v>100</v>
      </c>
      <c r="F837" s="391">
        <f t="shared" ref="F837:M837" si="311">SUM(F838:F842)</f>
        <v>6980342</v>
      </c>
      <c r="G837" s="391">
        <f t="shared" si="311"/>
        <v>38200000</v>
      </c>
      <c r="H837" s="391">
        <f t="shared" si="311"/>
        <v>0</v>
      </c>
      <c r="I837" s="391">
        <f t="shared" si="311"/>
        <v>45180342</v>
      </c>
      <c r="J837" s="391">
        <f t="shared" si="311"/>
        <v>6980342</v>
      </c>
      <c r="K837" s="391">
        <f t="shared" si="311"/>
        <v>37982121.309999995</v>
      </c>
      <c r="L837" s="391">
        <f t="shared" si="311"/>
        <v>0</v>
      </c>
      <c r="M837" s="391">
        <f t="shared" si="311"/>
        <v>44962463.309999995</v>
      </c>
      <c r="N837" s="391">
        <f t="shared" si="292"/>
        <v>0</v>
      </c>
      <c r="O837" s="391">
        <f t="shared" si="292"/>
        <v>217878.69000000507</v>
      </c>
      <c r="P837" s="391">
        <f t="shared" si="292"/>
        <v>0</v>
      </c>
      <c r="Q837" s="391">
        <f t="shared" si="293"/>
        <v>217878.69000000507</v>
      </c>
      <c r="R837" s="102"/>
      <c r="S837" s="254">
        <f t="shared" si="294"/>
        <v>1</v>
      </c>
      <c r="T837" s="254">
        <f t="shared" si="294"/>
        <v>0.99429636937172761</v>
      </c>
      <c r="U837" s="254" t="str">
        <f t="shared" si="294"/>
        <v/>
      </c>
      <c r="V837" s="254">
        <f t="shared" si="294"/>
        <v>0.99517757767305071</v>
      </c>
      <c r="W837" s="531"/>
      <c r="Y837" s="272" t="s">
        <v>598</v>
      </c>
      <c r="Z837" s="256" t="s">
        <v>598</v>
      </c>
    </row>
    <row r="838" spans="1:26" ht="11.25" customHeight="1">
      <c r="A838" s="528" t="s">
        <v>632</v>
      </c>
      <c r="B838" s="1013" t="s">
        <v>183</v>
      </c>
      <c r="C838" s="728"/>
      <c r="D838" s="649" t="s">
        <v>288</v>
      </c>
      <c r="E838" s="729" t="s">
        <v>288</v>
      </c>
      <c r="F838" s="103">
        <f>SUM('[3]chd7-SAOB'!AU14)</f>
        <v>0</v>
      </c>
      <c r="G838" s="103">
        <f>SUM('[3]chd7-SAOB'!AU50)</f>
        <v>0</v>
      </c>
      <c r="H838" s="103">
        <f>SUM('[3]chd7-SAOB'!AU142)</f>
        <v>0</v>
      </c>
      <c r="I838" s="103">
        <f>SUM(F838:H838)</f>
        <v>0</v>
      </c>
      <c r="J838" s="103">
        <f>SUM('[3]chd7-SAOB'!AU15)</f>
        <v>0</v>
      </c>
      <c r="K838" s="103">
        <f>SUM('[3]chd7-SAOB'!AU51)</f>
        <v>0</v>
      </c>
      <c r="L838" s="103">
        <f>SUM('[3]chd7-SAOB'!AU143)</f>
        <v>0</v>
      </c>
      <c r="M838" s="103">
        <f>SUM(J838:L838)</f>
        <v>0</v>
      </c>
      <c r="N838" s="103">
        <f t="shared" si="292"/>
        <v>0</v>
      </c>
      <c r="O838" s="103">
        <f t="shared" si="292"/>
        <v>0</v>
      </c>
      <c r="P838" s="103">
        <f t="shared" si="292"/>
        <v>0</v>
      </c>
      <c r="Q838" s="103">
        <f t="shared" si="293"/>
        <v>0</v>
      </c>
      <c r="S838" s="730" t="str">
        <f t="shared" si="294"/>
        <v/>
      </c>
      <c r="T838" s="730" t="str">
        <f t="shared" si="294"/>
        <v/>
      </c>
      <c r="U838" s="730" t="str">
        <f t="shared" si="294"/>
        <v/>
      </c>
      <c r="V838" s="730" t="str">
        <f t="shared" si="294"/>
        <v/>
      </c>
      <c r="W838" s="531"/>
      <c r="X838" s="236"/>
      <c r="Y838" s="236" t="s">
        <v>598</v>
      </c>
      <c r="Z838" s="236"/>
    </row>
    <row r="839" spans="1:26" ht="11.25" customHeight="1">
      <c r="A839" s="528" t="s">
        <v>632</v>
      </c>
      <c r="B839" s="1013" t="s">
        <v>183</v>
      </c>
      <c r="C839" s="728"/>
      <c r="D839" s="649" t="s">
        <v>761</v>
      </c>
      <c r="E839" s="729" t="s">
        <v>761</v>
      </c>
      <c r="F839" s="104">
        <f>+'[3]chd7-SAOB'!C392</f>
        <v>4650000</v>
      </c>
      <c r="G839" s="104"/>
      <c r="H839" s="104"/>
      <c r="I839" s="103">
        <f>SUM(F839:H839)</f>
        <v>4650000</v>
      </c>
      <c r="J839" s="104">
        <f>+'[3]chd7-SAOB'!G392</f>
        <v>4650000</v>
      </c>
      <c r="K839" s="104"/>
      <c r="L839" s="103"/>
      <c r="M839" s="103">
        <f>SUM(J839:L839)</f>
        <v>4650000</v>
      </c>
      <c r="N839" s="103">
        <f>+F839-J839</f>
        <v>0</v>
      </c>
      <c r="O839" s="103">
        <f t="shared" si="292"/>
        <v>0</v>
      </c>
      <c r="P839" s="103">
        <f t="shared" si="292"/>
        <v>0</v>
      </c>
      <c r="Q839" s="103">
        <f>SUM(N839:P839)</f>
        <v>0</v>
      </c>
      <c r="S839" s="730">
        <f t="shared" si="294"/>
        <v>1</v>
      </c>
      <c r="T839" s="730" t="str">
        <f t="shared" si="294"/>
        <v/>
      </c>
      <c r="U839" s="730" t="str">
        <f t="shared" si="294"/>
        <v/>
      </c>
      <c r="V839" s="730">
        <f t="shared" si="294"/>
        <v>1</v>
      </c>
      <c r="W839" s="531"/>
      <c r="X839" s="236"/>
      <c r="Y839" s="236" t="s">
        <v>688</v>
      </c>
      <c r="Z839" s="236"/>
    </row>
    <row r="840" spans="1:26" ht="11.25" customHeight="1">
      <c r="A840" s="528" t="s">
        <v>632</v>
      </c>
      <c r="B840" s="1013" t="s">
        <v>183</v>
      </c>
      <c r="C840" s="410"/>
      <c r="D840" s="647"/>
      <c r="E840" s="461" t="s">
        <v>764</v>
      </c>
      <c r="F840" s="104"/>
      <c r="G840" s="104"/>
      <c r="H840" s="104"/>
      <c r="I840" s="103"/>
      <c r="J840" s="104"/>
      <c r="K840" s="104"/>
      <c r="L840" s="104"/>
      <c r="M840" s="103"/>
      <c r="N840" s="103"/>
      <c r="O840" s="103"/>
      <c r="P840" s="103"/>
      <c r="Q840" s="103"/>
      <c r="S840" s="730" t="str">
        <f t="shared" si="294"/>
        <v/>
      </c>
      <c r="T840" s="730" t="str">
        <f t="shared" si="294"/>
        <v/>
      </c>
      <c r="U840" s="730" t="str">
        <f t="shared" si="294"/>
        <v/>
      </c>
      <c r="V840" s="730" t="str">
        <f t="shared" si="294"/>
        <v/>
      </c>
      <c r="W840" s="531"/>
      <c r="X840" s="236"/>
      <c r="Y840" s="236" t="s">
        <v>688</v>
      </c>
      <c r="Z840" s="240"/>
    </row>
    <row r="841" spans="1:26" ht="11.25" customHeight="1">
      <c r="A841" s="528" t="s">
        <v>632</v>
      </c>
      <c r="B841" s="1013" t="s">
        <v>183</v>
      </c>
      <c r="C841" s="728"/>
      <c r="D841" s="649" t="s">
        <v>289</v>
      </c>
      <c r="E841" s="729" t="s">
        <v>289</v>
      </c>
      <c r="F841" s="103">
        <f>SUM('[3]chd7-SAOB'!BC14)</f>
        <v>2330342</v>
      </c>
      <c r="G841" s="103">
        <f>SUM('[3]chd7-SAOB'!BC50)</f>
        <v>0</v>
      </c>
      <c r="H841" s="103">
        <f>SUM('[3]chd7-SAOB'!BC142)</f>
        <v>0</v>
      </c>
      <c r="I841" s="103">
        <f>SUM(F841:H841)</f>
        <v>2330342</v>
      </c>
      <c r="J841" s="103">
        <f>SUM('[3]chd7-SAOB'!BC15)</f>
        <v>2330342</v>
      </c>
      <c r="K841" s="103">
        <f>SUM('[3]chd7-SAOB'!BC51)</f>
        <v>0</v>
      </c>
      <c r="L841" s="103">
        <f>SUM('[3]chd7-SAOB'!BC143)</f>
        <v>0</v>
      </c>
      <c r="M841" s="103">
        <f>SUM(J841:L841)</f>
        <v>2330342</v>
      </c>
      <c r="N841" s="103">
        <f t="shared" si="292"/>
        <v>0</v>
      </c>
      <c r="O841" s="103">
        <f t="shared" si="292"/>
        <v>0</v>
      </c>
      <c r="P841" s="103">
        <f t="shared" si="292"/>
        <v>0</v>
      </c>
      <c r="Q841" s="103">
        <f t="shared" si="293"/>
        <v>0</v>
      </c>
      <c r="S841" s="730">
        <f t="shared" si="294"/>
        <v>1</v>
      </c>
      <c r="T841" s="730" t="str">
        <f t="shared" si="294"/>
        <v/>
      </c>
      <c r="U841" s="730" t="str">
        <f t="shared" si="294"/>
        <v/>
      </c>
      <c r="V841" s="730">
        <f t="shared" si="294"/>
        <v>1</v>
      </c>
      <c r="W841" s="531"/>
      <c r="X841" s="236"/>
      <c r="Y841" s="236" t="s">
        <v>598</v>
      </c>
      <c r="Z841" s="236"/>
    </row>
    <row r="842" spans="1:26" ht="11.25" customHeight="1">
      <c r="A842" s="528" t="s">
        <v>632</v>
      </c>
      <c r="B842" s="1013" t="s">
        <v>183</v>
      </c>
      <c r="C842" s="728"/>
      <c r="D842" s="649" t="s">
        <v>290</v>
      </c>
      <c r="E842" s="729" t="s">
        <v>290</v>
      </c>
      <c r="F842" s="103">
        <f>SUM('[3]chd7-SAOB'!BK14)</f>
        <v>0</v>
      </c>
      <c r="G842" s="103">
        <f>SUM('[3]chd7-SAOB'!BK50)</f>
        <v>38200000</v>
      </c>
      <c r="H842" s="103">
        <f>SUM('[3]chd7-SAOB'!BK142)</f>
        <v>0</v>
      </c>
      <c r="I842" s="103">
        <f>SUM(F842:H842)</f>
        <v>38200000</v>
      </c>
      <c r="J842" s="103">
        <f>SUM('[3]chd7-SAOB'!BK15)</f>
        <v>0</v>
      </c>
      <c r="K842" s="103">
        <f>SUM('[3]chd7-SAOB'!BK51)</f>
        <v>37982121.309999995</v>
      </c>
      <c r="L842" s="103">
        <f>SUM('[3]chd7-SAOB'!BK143)</f>
        <v>0</v>
      </c>
      <c r="M842" s="103">
        <f>SUM(J842:L842)</f>
        <v>37982121.309999995</v>
      </c>
      <c r="N842" s="103">
        <f t="shared" si="292"/>
        <v>0</v>
      </c>
      <c r="O842" s="103">
        <f t="shared" si="292"/>
        <v>217878.69000000507</v>
      </c>
      <c r="P842" s="103">
        <f t="shared" si="292"/>
        <v>0</v>
      </c>
      <c r="Q842" s="103">
        <f t="shared" si="293"/>
        <v>217878.69000000507</v>
      </c>
      <c r="S842" s="730" t="str">
        <f t="shared" si="294"/>
        <v/>
      </c>
      <c r="T842" s="730">
        <f t="shared" si="294"/>
        <v>0.99429636937172761</v>
      </c>
      <c r="U842" s="730" t="str">
        <f t="shared" si="294"/>
        <v/>
      </c>
      <c r="V842" s="730">
        <f t="shared" si="294"/>
        <v>0.99429636937172761</v>
      </c>
      <c r="W842" s="531"/>
      <c r="X842" s="236"/>
      <c r="Y842" s="236" t="s">
        <v>598</v>
      </c>
      <c r="Z842" s="236"/>
    </row>
    <row r="843" spans="1:26" s="259" customFormat="1" ht="11.25" customHeight="1">
      <c r="A843" s="246" t="s">
        <v>632</v>
      </c>
      <c r="B843" s="235" t="s">
        <v>183</v>
      </c>
      <c r="C843" s="656"/>
      <c r="D843" s="656"/>
      <c r="E843" s="657" t="s">
        <v>4</v>
      </c>
      <c r="F843" s="652">
        <f>+F833+F835+F837</f>
        <v>274352016</v>
      </c>
      <c r="G843" s="652">
        <f t="shared" ref="G843:M843" si="312">+G833+G835+G837</f>
        <v>261610746</v>
      </c>
      <c r="H843" s="652">
        <f t="shared" si="312"/>
        <v>10032017</v>
      </c>
      <c r="I843" s="652">
        <f t="shared" si="312"/>
        <v>545994779</v>
      </c>
      <c r="J843" s="652">
        <f t="shared" si="312"/>
        <v>250890327.10000002</v>
      </c>
      <c r="K843" s="652">
        <f t="shared" si="312"/>
        <v>243450129.49000001</v>
      </c>
      <c r="L843" s="652">
        <f t="shared" si="312"/>
        <v>9079372.9499999993</v>
      </c>
      <c r="M843" s="652">
        <f t="shared" si="312"/>
        <v>503419829.54000002</v>
      </c>
      <c r="N843" s="652">
        <f t="shared" si="292"/>
        <v>23461688.899999976</v>
      </c>
      <c r="O843" s="652">
        <f t="shared" si="292"/>
        <v>18160616.50999999</v>
      </c>
      <c r="P843" s="652">
        <f t="shared" si="292"/>
        <v>952644.05000000075</v>
      </c>
      <c r="Q843" s="652">
        <f t="shared" si="293"/>
        <v>42574949.459999964</v>
      </c>
      <c r="R843" s="653">
        <f>+Q843-'[3]chd7-SAOB'!CU179</f>
        <v>0</v>
      </c>
      <c r="S843" s="1008">
        <f t="shared" si="294"/>
        <v>0.91448326408507241</v>
      </c>
      <c r="T843" s="1008">
        <f t="shared" si="294"/>
        <v>0.93058153463619575</v>
      </c>
      <c r="U843" s="1008">
        <f t="shared" si="294"/>
        <v>0.90503962961785245</v>
      </c>
      <c r="V843" s="1008">
        <f t="shared" si="294"/>
        <v>0.92202315645219757</v>
      </c>
      <c r="W843" s="254"/>
      <c r="X843" s="520"/>
      <c r="Y843" s="610" t="s">
        <v>598</v>
      </c>
      <c r="Z843" s="241" t="s">
        <v>598</v>
      </c>
    </row>
    <row r="844" spans="1:26" ht="10.5" customHeight="1">
      <c r="A844" s="246" t="s">
        <v>632</v>
      </c>
      <c r="B844" s="235" t="s">
        <v>183</v>
      </c>
      <c r="C844" s="410"/>
      <c r="D844" s="386"/>
      <c r="E844" s="461" t="s">
        <v>764</v>
      </c>
      <c r="F844" s="103"/>
      <c r="G844" s="103"/>
      <c r="H844" s="103"/>
      <c r="I844" s="103"/>
      <c r="J844" s="103"/>
      <c r="K844" s="103"/>
      <c r="L844" s="103"/>
      <c r="M844" s="103">
        <f>SUM(J844:L844)</f>
        <v>0</v>
      </c>
      <c r="N844" s="103">
        <f t="shared" si="292"/>
        <v>0</v>
      </c>
      <c r="O844" s="103">
        <f t="shared" si="292"/>
        <v>0</v>
      </c>
      <c r="P844" s="103">
        <f t="shared" si="292"/>
        <v>0</v>
      </c>
      <c r="Q844" s="103">
        <f t="shared" si="293"/>
        <v>0</v>
      </c>
      <c r="S844" s="730" t="str">
        <f t="shared" si="294"/>
        <v/>
      </c>
      <c r="T844" s="730" t="str">
        <f t="shared" si="294"/>
        <v/>
      </c>
      <c r="U844" s="730" t="str">
        <f t="shared" si="294"/>
        <v/>
      </c>
      <c r="V844" s="730" t="str">
        <f t="shared" si="294"/>
        <v/>
      </c>
      <c r="W844" s="254"/>
      <c r="Y844" s="610" t="s">
        <v>598</v>
      </c>
      <c r="Z844" s="241" t="s">
        <v>598</v>
      </c>
    </row>
    <row r="845" spans="1:26" s="675" customFormat="1" ht="11.25" customHeight="1">
      <c r="A845" s="528" t="s">
        <v>632</v>
      </c>
      <c r="B845" s="528" t="s">
        <v>184</v>
      </c>
      <c r="C845" s="407" t="s">
        <v>98</v>
      </c>
      <c r="D845" s="655" t="s">
        <v>107</v>
      </c>
      <c r="E845" s="408" t="s">
        <v>819</v>
      </c>
      <c r="F845" s="673"/>
      <c r="G845" s="673"/>
      <c r="H845" s="673"/>
      <c r="I845" s="674">
        <f>SUM(F845:H845)</f>
        <v>0</v>
      </c>
      <c r="J845" s="673"/>
      <c r="K845" s="673"/>
      <c r="L845" s="673"/>
      <c r="M845" s="674">
        <f>SUM(J845:L845)</f>
        <v>0</v>
      </c>
      <c r="N845" s="674">
        <f t="shared" si="292"/>
        <v>0</v>
      </c>
      <c r="O845" s="674">
        <f t="shared" si="292"/>
        <v>0</v>
      </c>
      <c r="P845" s="674">
        <f t="shared" si="292"/>
        <v>0</v>
      </c>
      <c r="Q845" s="674">
        <f t="shared" si="293"/>
        <v>0</v>
      </c>
      <c r="R845" s="101"/>
      <c r="S845" s="254" t="str">
        <f t="shared" si="294"/>
        <v/>
      </c>
      <c r="T845" s="254" t="str">
        <f t="shared" si="294"/>
        <v/>
      </c>
      <c r="U845" s="254" t="str">
        <f t="shared" si="294"/>
        <v/>
      </c>
      <c r="V845" s="254" t="str">
        <f t="shared" si="294"/>
        <v/>
      </c>
      <c r="W845" s="531"/>
      <c r="Y845" s="272" t="s">
        <v>598</v>
      </c>
      <c r="Z845" s="260" t="s">
        <v>598</v>
      </c>
    </row>
    <row r="846" spans="1:26" ht="11.25" customHeight="1">
      <c r="A846" s="528" t="s">
        <v>632</v>
      </c>
      <c r="B846" s="1013" t="s">
        <v>184</v>
      </c>
      <c r="C846" s="461"/>
      <c r="D846" s="645" t="s">
        <v>766</v>
      </c>
      <c r="E846" s="447" t="s">
        <v>766</v>
      </c>
      <c r="F846" s="104">
        <f>+'[3]chd7-SAOB'!C397</f>
        <v>128425366</v>
      </c>
      <c r="G846" s="104">
        <f>+'[3]chd7-SAOB'!D397</f>
        <v>38557634</v>
      </c>
      <c r="H846" s="104">
        <f>+'[3]chd7-SAOB'!E397</f>
        <v>0</v>
      </c>
      <c r="I846" s="103">
        <f>SUM(F846:H846)</f>
        <v>166983000</v>
      </c>
      <c r="J846" s="104">
        <f>+'[3]chd7-SAOB'!G397</f>
        <v>123925345.52</v>
      </c>
      <c r="K846" s="104">
        <f>+'[3]chd7-SAOB'!H397</f>
        <v>33446304.32</v>
      </c>
      <c r="L846" s="104">
        <f>+'[3]chd7-SAOB'!I397</f>
        <v>0</v>
      </c>
      <c r="M846" s="103">
        <f>SUM(J846:L846)</f>
        <v>157371649.84</v>
      </c>
      <c r="N846" s="103">
        <f t="shared" si="292"/>
        <v>4500020.4800000042</v>
      </c>
      <c r="O846" s="103">
        <f t="shared" si="292"/>
        <v>5111329.68</v>
      </c>
      <c r="P846" s="103">
        <f t="shared" si="292"/>
        <v>0</v>
      </c>
      <c r="Q846" s="103">
        <f t="shared" si="293"/>
        <v>9611350.1600000039</v>
      </c>
      <c r="S846" s="730">
        <f t="shared" si="294"/>
        <v>0.96496003383007678</v>
      </c>
      <c r="T846" s="730">
        <f t="shared" si="294"/>
        <v>0.86743663576452845</v>
      </c>
      <c r="U846" s="730" t="str">
        <f t="shared" si="294"/>
        <v/>
      </c>
      <c r="V846" s="730">
        <f t="shared" si="294"/>
        <v>0.9424411457453753</v>
      </c>
      <c r="W846" s="531"/>
      <c r="X846" s="236"/>
      <c r="Y846" s="236" t="s">
        <v>688</v>
      </c>
      <c r="Z846" s="236"/>
    </row>
    <row r="847" spans="1:26" ht="11.25" customHeight="1">
      <c r="A847" s="528" t="s">
        <v>632</v>
      </c>
      <c r="B847" s="1013" t="s">
        <v>184</v>
      </c>
      <c r="C847" s="728"/>
      <c r="D847" s="649" t="s">
        <v>50</v>
      </c>
      <c r="E847" s="447" t="s">
        <v>50</v>
      </c>
      <c r="F847" s="104"/>
      <c r="G847" s="104">
        <f>+'[3]chd7-SAOB'!D399</f>
        <v>17540780</v>
      </c>
      <c r="H847" s="104">
        <f>+'[3]chd7-SAOB'!E399</f>
        <v>0</v>
      </c>
      <c r="I847" s="103">
        <f>SUM(F847:H847)</f>
        <v>17540780</v>
      </c>
      <c r="J847" s="104"/>
      <c r="K847" s="104">
        <f>+'[3]chd7-SAOB'!H399</f>
        <v>14895385.02</v>
      </c>
      <c r="L847" s="104">
        <f>+'[3]chd7-SAOB'!I399</f>
        <v>0</v>
      </c>
      <c r="M847" s="103">
        <f>SUM(J847:L847)</f>
        <v>14895385.02</v>
      </c>
      <c r="N847" s="103">
        <f t="shared" si="292"/>
        <v>0</v>
      </c>
      <c r="O847" s="103">
        <f t="shared" si="292"/>
        <v>2645394.9800000004</v>
      </c>
      <c r="P847" s="103">
        <f t="shared" si="292"/>
        <v>0</v>
      </c>
      <c r="Q847" s="103">
        <f t="shared" si="293"/>
        <v>2645394.9800000004</v>
      </c>
      <c r="S847" s="730" t="str">
        <f t="shared" si="294"/>
        <v/>
      </c>
      <c r="T847" s="730">
        <f t="shared" si="294"/>
        <v>0.84918601225259083</v>
      </c>
      <c r="U847" s="730" t="str">
        <f t="shared" si="294"/>
        <v/>
      </c>
      <c r="V847" s="730">
        <f t="shared" si="294"/>
        <v>0.84918601225259083</v>
      </c>
      <c r="W847" s="531"/>
      <c r="X847" s="236"/>
      <c r="Y847" s="236" t="s">
        <v>688</v>
      </c>
      <c r="Z847" s="236"/>
    </row>
    <row r="848" spans="1:26" s="256" customFormat="1" ht="11.25" customHeight="1">
      <c r="A848" s="528" t="s">
        <v>632</v>
      </c>
      <c r="B848" s="528" t="s">
        <v>184</v>
      </c>
      <c r="C848" s="389"/>
      <c r="D848" s="650" t="s">
        <v>98</v>
      </c>
      <c r="E848" s="390" t="s">
        <v>767</v>
      </c>
      <c r="F848" s="391">
        <f>+F846+F847</f>
        <v>128425366</v>
      </c>
      <c r="G848" s="391">
        <f t="shared" ref="G848:M848" si="313">+G846+G847</f>
        <v>56098414</v>
      </c>
      <c r="H848" s="391">
        <f t="shared" si="313"/>
        <v>0</v>
      </c>
      <c r="I848" s="391">
        <f t="shared" si="313"/>
        <v>184523780</v>
      </c>
      <c r="J848" s="391">
        <f t="shared" si="313"/>
        <v>123925345.52</v>
      </c>
      <c r="K848" s="391">
        <f t="shared" si="313"/>
        <v>48341689.340000004</v>
      </c>
      <c r="L848" s="391">
        <f t="shared" si="313"/>
        <v>0</v>
      </c>
      <c r="M848" s="391">
        <f t="shared" si="313"/>
        <v>172267034.86000001</v>
      </c>
      <c r="N848" s="391">
        <f t="shared" si="292"/>
        <v>4500020.4800000042</v>
      </c>
      <c r="O848" s="391">
        <f t="shared" si="292"/>
        <v>7756724.6599999964</v>
      </c>
      <c r="P848" s="391">
        <f t="shared" si="292"/>
        <v>0</v>
      </c>
      <c r="Q848" s="391">
        <f t="shared" si="293"/>
        <v>12256745.140000001</v>
      </c>
      <c r="R848" s="101"/>
      <c r="S848" s="254">
        <f t="shared" si="294"/>
        <v>0.96496003383007678</v>
      </c>
      <c r="T848" s="254">
        <f t="shared" si="294"/>
        <v>0.86173005425786198</v>
      </c>
      <c r="U848" s="254" t="str">
        <f t="shared" si="294"/>
        <v/>
      </c>
      <c r="V848" s="254">
        <f t="shared" si="294"/>
        <v>0.9335763382909239</v>
      </c>
      <c r="W848" s="531"/>
      <c r="Y848" s="256" t="s">
        <v>598</v>
      </c>
      <c r="Z848" s="256" t="s">
        <v>598</v>
      </c>
    </row>
    <row r="849" spans="1:26" ht="11.25" hidden="1" customHeight="1">
      <c r="A849" s="528" t="s">
        <v>632</v>
      </c>
      <c r="B849" s="1013" t="s">
        <v>184</v>
      </c>
      <c r="C849" s="410"/>
      <c r="D849" s="651"/>
      <c r="E849" s="806" t="s">
        <v>764</v>
      </c>
      <c r="F849" s="807"/>
      <c r="G849" s="807"/>
      <c r="H849" s="807"/>
      <c r="I849" s="807"/>
      <c r="J849" s="807"/>
      <c r="K849" s="807"/>
      <c r="L849" s="807"/>
      <c r="M849" s="807"/>
      <c r="N849" s="807">
        <f t="shared" si="292"/>
        <v>0</v>
      </c>
      <c r="O849" s="807">
        <f t="shared" si="292"/>
        <v>0</v>
      </c>
      <c r="P849" s="807">
        <f t="shared" si="292"/>
        <v>0</v>
      </c>
      <c r="Q849" s="807">
        <f t="shared" si="293"/>
        <v>0</v>
      </c>
      <c r="R849" s="276"/>
      <c r="S849" s="730" t="str">
        <f t="shared" si="294"/>
        <v/>
      </c>
      <c r="T849" s="730" t="str">
        <f t="shared" si="294"/>
        <v/>
      </c>
      <c r="U849" s="730" t="str">
        <f t="shared" si="294"/>
        <v/>
      </c>
      <c r="V849" s="730" t="str">
        <f t="shared" si="294"/>
        <v/>
      </c>
      <c r="W849" s="531"/>
      <c r="X849" s="236"/>
      <c r="Y849" s="236"/>
      <c r="Z849" s="236"/>
    </row>
    <row r="850" spans="1:26" s="256" customFormat="1" ht="11.25" customHeight="1">
      <c r="A850" s="528" t="s">
        <v>632</v>
      </c>
      <c r="B850" s="528" t="s">
        <v>184</v>
      </c>
      <c r="C850" s="389"/>
      <c r="D850" s="650" t="s">
        <v>98</v>
      </c>
      <c r="E850" s="390" t="s">
        <v>99</v>
      </c>
      <c r="F850" s="391">
        <f>+F851</f>
        <v>11584000</v>
      </c>
      <c r="G850" s="391">
        <f t="shared" ref="G850:M850" si="314">+G851</f>
        <v>0</v>
      </c>
      <c r="H850" s="391">
        <f t="shared" si="314"/>
        <v>0</v>
      </c>
      <c r="I850" s="391">
        <f t="shared" si="314"/>
        <v>11584000</v>
      </c>
      <c r="J850" s="391">
        <f t="shared" si="314"/>
        <v>10648232.720000001</v>
      </c>
      <c r="K850" s="391">
        <f t="shared" si="314"/>
        <v>0</v>
      </c>
      <c r="L850" s="391">
        <f t="shared" si="314"/>
        <v>0</v>
      </c>
      <c r="M850" s="391">
        <f t="shared" si="314"/>
        <v>10648232.720000001</v>
      </c>
      <c r="N850" s="391">
        <f t="shared" si="292"/>
        <v>935767.27999999933</v>
      </c>
      <c r="O850" s="391">
        <f t="shared" si="292"/>
        <v>0</v>
      </c>
      <c r="P850" s="391">
        <f t="shared" si="292"/>
        <v>0</v>
      </c>
      <c r="Q850" s="391">
        <f t="shared" si="293"/>
        <v>935767.27999999933</v>
      </c>
      <c r="R850" s="101"/>
      <c r="S850" s="254">
        <f t="shared" si="294"/>
        <v>0.91921898480662989</v>
      </c>
      <c r="T850" s="254" t="str">
        <f t="shared" si="294"/>
        <v/>
      </c>
      <c r="U850" s="254" t="str">
        <f t="shared" si="294"/>
        <v/>
      </c>
      <c r="V850" s="254">
        <f t="shared" si="294"/>
        <v>0.91921898480662989</v>
      </c>
      <c r="W850" s="531"/>
      <c r="Y850" s="256" t="s">
        <v>598</v>
      </c>
      <c r="Z850" s="256" t="s">
        <v>598</v>
      </c>
    </row>
    <row r="851" spans="1:26" ht="11.25" customHeight="1">
      <c r="A851" s="528" t="s">
        <v>632</v>
      </c>
      <c r="B851" s="1013" t="s">
        <v>184</v>
      </c>
      <c r="C851" s="728"/>
      <c r="D851" s="649" t="s">
        <v>286</v>
      </c>
      <c r="E851" s="729" t="s">
        <v>286</v>
      </c>
      <c r="F851" s="103">
        <f>SUM('[3]chd7-SAOB'!AN14)</f>
        <v>11584000</v>
      </c>
      <c r="G851" s="103">
        <f>SUM('[3]chd7-SAOB'!AN50)</f>
        <v>0</v>
      </c>
      <c r="H851" s="103">
        <f>SUM('[3]chd7-SAOB'!AN142)</f>
        <v>0</v>
      </c>
      <c r="I851" s="103">
        <f>SUM(F851:H851)</f>
        <v>11584000</v>
      </c>
      <c r="J851" s="103">
        <f>SUM('[3]chd7-SAOB'!AN15)</f>
        <v>10648232.720000001</v>
      </c>
      <c r="K851" s="103">
        <f>SUM('[3]chd7-SAOB'!AN51)</f>
        <v>0</v>
      </c>
      <c r="L851" s="103">
        <f>SUM('[3]chd7-SAOB'!AN143)</f>
        <v>0</v>
      </c>
      <c r="M851" s="103">
        <f>SUM(J851:L851)</f>
        <v>10648232.720000001</v>
      </c>
      <c r="N851" s="103">
        <f t="shared" si="292"/>
        <v>935767.27999999933</v>
      </c>
      <c r="O851" s="103">
        <f t="shared" si="292"/>
        <v>0</v>
      </c>
      <c r="P851" s="103">
        <f t="shared" si="292"/>
        <v>0</v>
      </c>
      <c r="Q851" s="103">
        <f t="shared" si="293"/>
        <v>935767.27999999933</v>
      </c>
      <c r="S851" s="730">
        <f t="shared" si="294"/>
        <v>0.91921898480662989</v>
      </c>
      <c r="T851" s="730" t="str">
        <f t="shared" si="294"/>
        <v/>
      </c>
      <c r="U851" s="730" t="str">
        <f t="shared" si="294"/>
        <v/>
      </c>
      <c r="V851" s="730">
        <f t="shared" si="294"/>
        <v>0.91921898480662989</v>
      </c>
      <c r="W851" s="531"/>
      <c r="X851" s="236"/>
      <c r="Y851" s="236" t="s">
        <v>598</v>
      </c>
      <c r="Z851" s="236"/>
    </row>
    <row r="852" spans="1:26" s="272" customFormat="1" ht="11.25" customHeight="1">
      <c r="A852" s="528" t="s">
        <v>632</v>
      </c>
      <c r="B852" s="528" t="s">
        <v>184</v>
      </c>
      <c r="C852" s="389"/>
      <c r="D852" s="650" t="s">
        <v>98</v>
      </c>
      <c r="E852" s="390" t="s">
        <v>100</v>
      </c>
      <c r="F852" s="391">
        <f t="shared" ref="F852:M852" si="315">SUM(F853:F857)</f>
        <v>4847862</v>
      </c>
      <c r="G852" s="391">
        <f t="shared" si="315"/>
        <v>6200000</v>
      </c>
      <c r="H852" s="391">
        <f t="shared" si="315"/>
        <v>0</v>
      </c>
      <c r="I852" s="391">
        <f t="shared" si="315"/>
        <v>11047862</v>
      </c>
      <c r="J852" s="391">
        <f t="shared" si="315"/>
        <v>4807109.96</v>
      </c>
      <c r="K852" s="391">
        <f t="shared" si="315"/>
        <v>6196151.1200000001</v>
      </c>
      <c r="L852" s="391">
        <f t="shared" si="315"/>
        <v>0</v>
      </c>
      <c r="M852" s="391">
        <f t="shared" si="315"/>
        <v>11003261.08</v>
      </c>
      <c r="N852" s="391">
        <f t="shared" si="292"/>
        <v>40752.040000000037</v>
      </c>
      <c r="O852" s="391">
        <f t="shared" si="292"/>
        <v>3848.8799999998882</v>
      </c>
      <c r="P852" s="391">
        <f t="shared" si="292"/>
        <v>0</v>
      </c>
      <c r="Q852" s="391">
        <f t="shared" si="293"/>
        <v>44600.919999999925</v>
      </c>
      <c r="R852" s="102"/>
      <c r="S852" s="254">
        <f t="shared" si="294"/>
        <v>0.99159381187005735</v>
      </c>
      <c r="T852" s="254">
        <f t="shared" si="294"/>
        <v>0.99937921290322584</v>
      </c>
      <c r="U852" s="254" t="str">
        <f t="shared" si="294"/>
        <v/>
      </c>
      <c r="V852" s="254">
        <f t="shared" si="294"/>
        <v>0.99596293653921453</v>
      </c>
      <c r="W852" s="531"/>
      <c r="Y852" s="272" t="s">
        <v>598</v>
      </c>
      <c r="Z852" s="256" t="s">
        <v>598</v>
      </c>
    </row>
    <row r="853" spans="1:26" ht="11.25" customHeight="1">
      <c r="A853" s="528" t="s">
        <v>632</v>
      </c>
      <c r="B853" s="1013" t="s">
        <v>184</v>
      </c>
      <c r="C853" s="728"/>
      <c r="D853" s="649" t="s">
        <v>288</v>
      </c>
      <c r="E853" s="729" t="s">
        <v>288</v>
      </c>
      <c r="F853" s="103">
        <f>SUM('[3]chd7-SAOB'!AV14)</f>
        <v>1652000</v>
      </c>
      <c r="G853" s="103">
        <f>SUM('[3]chd7-SAOB'!AV50)</f>
        <v>0</v>
      </c>
      <c r="H853" s="103">
        <f>SUM('[3]chd7-SAOB'!AV142)</f>
        <v>0</v>
      </c>
      <c r="I853" s="103">
        <f>SUM(F853:H853)</f>
        <v>1652000</v>
      </c>
      <c r="J853" s="103">
        <f>SUM('[3]chd7-SAOB'!AV15)</f>
        <v>1646250</v>
      </c>
      <c r="K853" s="103">
        <f>SUM('[3]chd7-SAOB'!AV51)</f>
        <v>0</v>
      </c>
      <c r="L853" s="103">
        <f>SUM('[3]chd7-SAOB'!AV143)</f>
        <v>0</v>
      </c>
      <c r="M853" s="103">
        <f>SUM(J853:L853)</f>
        <v>1646250</v>
      </c>
      <c r="N853" s="103">
        <f t="shared" si="292"/>
        <v>5750</v>
      </c>
      <c r="O853" s="103">
        <f t="shared" si="292"/>
        <v>0</v>
      </c>
      <c r="P853" s="103">
        <f t="shared" si="292"/>
        <v>0</v>
      </c>
      <c r="Q853" s="103">
        <f t="shared" si="293"/>
        <v>5750</v>
      </c>
      <c r="S853" s="730">
        <f t="shared" si="294"/>
        <v>0.99651937046004846</v>
      </c>
      <c r="T853" s="730" t="str">
        <f t="shared" si="294"/>
        <v/>
      </c>
      <c r="U853" s="730" t="str">
        <f t="shared" si="294"/>
        <v/>
      </c>
      <c r="V853" s="730">
        <f t="shared" si="294"/>
        <v>0.99651937046004846</v>
      </c>
      <c r="W853" s="531"/>
      <c r="X853" s="236"/>
      <c r="Y853" s="236" t="s">
        <v>598</v>
      </c>
      <c r="Z853" s="236"/>
    </row>
    <row r="854" spans="1:26" ht="11.25" customHeight="1">
      <c r="A854" s="528" t="s">
        <v>632</v>
      </c>
      <c r="B854" s="1013" t="s">
        <v>184</v>
      </c>
      <c r="C854" s="728"/>
      <c r="D854" s="649" t="s">
        <v>761</v>
      </c>
      <c r="E854" s="729" t="s">
        <v>761</v>
      </c>
      <c r="F854" s="104">
        <f>+'[3]chd7-SAOB'!C399</f>
        <v>2440000</v>
      </c>
      <c r="G854" s="104"/>
      <c r="H854" s="104"/>
      <c r="I854" s="103">
        <f>SUM(F854:H854)</f>
        <v>2440000</v>
      </c>
      <c r="J854" s="104">
        <f>+'[3]chd7-SAOB'!G399</f>
        <v>2405000</v>
      </c>
      <c r="K854" s="104"/>
      <c r="L854" s="103"/>
      <c r="M854" s="103">
        <f>SUM(J854:L854)</f>
        <v>2405000</v>
      </c>
      <c r="N854" s="103">
        <f t="shared" si="292"/>
        <v>35000</v>
      </c>
      <c r="O854" s="103">
        <f>+G854-K854</f>
        <v>0</v>
      </c>
      <c r="P854" s="103">
        <f>+H854-L854</f>
        <v>0</v>
      </c>
      <c r="Q854" s="103">
        <f>SUM(N854:P854)</f>
        <v>35000</v>
      </c>
      <c r="S854" s="730">
        <f t="shared" si="294"/>
        <v>0.98565573770491799</v>
      </c>
      <c r="T854" s="730" t="str">
        <f t="shared" si="294"/>
        <v/>
      </c>
      <c r="U854" s="730" t="str">
        <f t="shared" si="294"/>
        <v/>
      </c>
      <c r="V854" s="730">
        <f t="shared" si="294"/>
        <v>0.98565573770491799</v>
      </c>
      <c r="W854" s="531"/>
      <c r="X854" s="236"/>
      <c r="Y854" s="236" t="s">
        <v>688</v>
      </c>
      <c r="Z854" s="236"/>
    </row>
    <row r="855" spans="1:26" ht="11.25" customHeight="1">
      <c r="A855" s="528" t="s">
        <v>632</v>
      </c>
      <c r="B855" s="1013" t="s">
        <v>184</v>
      </c>
      <c r="C855" s="410"/>
      <c r="D855" s="647"/>
      <c r="E855" s="461" t="s">
        <v>764</v>
      </c>
      <c r="F855" s="104"/>
      <c r="G855" s="104"/>
      <c r="H855" s="104"/>
      <c r="I855" s="103"/>
      <c r="J855" s="104"/>
      <c r="K855" s="104"/>
      <c r="L855" s="104"/>
      <c r="M855" s="103"/>
      <c r="N855" s="103"/>
      <c r="O855" s="103"/>
      <c r="P855" s="103"/>
      <c r="Q855" s="103"/>
      <c r="S855" s="730" t="str">
        <f t="shared" si="294"/>
        <v/>
      </c>
      <c r="T855" s="730" t="str">
        <f t="shared" si="294"/>
        <v/>
      </c>
      <c r="U855" s="730" t="str">
        <f t="shared" si="294"/>
        <v/>
      </c>
      <c r="V855" s="730" t="str">
        <f t="shared" ref="V855:V918" si="316">IF(I855=0,"",M855/I855)</f>
        <v/>
      </c>
      <c r="W855" s="531"/>
      <c r="X855" s="236"/>
      <c r="Y855" s="236" t="s">
        <v>688</v>
      </c>
      <c r="Z855" s="240"/>
    </row>
    <row r="856" spans="1:26" ht="11.25" customHeight="1">
      <c r="A856" s="528" t="s">
        <v>632</v>
      </c>
      <c r="B856" s="1013" t="s">
        <v>184</v>
      </c>
      <c r="C856" s="728"/>
      <c r="D856" s="649" t="s">
        <v>289</v>
      </c>
      <c r="E856" s="729" t="s">
        <v>289</v>
      </c>
      <c r="F856" s="103">
        <f>SUM('[3]chd7-SAOB'!BD14)</f>
        <v>755862</v>
      </c>
      <c r="G856" s="103">
        <f>SUM('[3]chd7-SAOB'!BD50)</f>
        <v>0</v>
      </c>
      <c r="H856" s="103">
        <f>SUM('[3]chd7-SAOB'!BD142)</f>
        <v>0</v>
      </c>
      <c r="I856" s="103">
        <f>SUM(F856:H856)</f>
        <v>755862</v>
      </c>
      <c r="J856" s="103">
        <f>SUM('[3]chd7-SAOB'!BD15)</f>
        <v>755859.96000000008</v>
      </c>
      <c r="K856" s="103">
        <f>SUM('[3]chd7-SAOB'!BD51)</f>
        <v>0</v>
      </c>
      <c r="L856" s="103">
        <f>SUM('[3]chd7-SAOB'!BD143)</f>
        <v>0</v>
      </c>
      <c r="M856" s="103">
        <f>SUM(J856:L856)</f>
        <v>755859.96000000008</v>
      </c>
      <c r="N856" s="103">
        <f t="shared" si="292"/>
        <v>2.0399999999208376</v>
      </c>
      <c r="O856" s="103">
        <f t="shared" si="292"/>
        <v>0</v>
      </c>
      <c r="P856" s="103">
        <f t="shared" si="292"/>
        <v>0</v>
      </c>
      <c r="Q856" s="103">
        <f t="shared" si="293"/>
        <v>2.0399999999208376</v>
      </c>
      <c r="S856" s="730">
        <f t="shared" ref="S856:V919" si="317">IF(F856=0,"",J856/F856)</f>
        <v>0.99999730109464435</v>
      </c>
      <c r="T856" s="730" t="str">
        <f t="shared" si="317"/>
        <v/>
      </c>
      <c r="U856" s="730" t="str">
        <f t="shared" si="317"/>
        <v/>
      </c>
      <c r="V856" s="730">
        <f t="shared" si="316"/>
        <v>0.99999730109464435</v>
      </c>
      <c r="W856" s="531"/>
      <c r="X856" s="236"/>
      <c r="Y856" s="236" t="s">
        <v>598</v>
      </c>
      <c r="Z856" s="236"/>
    </row>
    <row r="857" spans="1:26" ht="11.25" customHeight="1">
      <c r="A857" s="528" t="s">
        <v>632</v>
      </c>
      <c r="B857" s="1013" t="s">
        <v>184</v>
      </c>
      <c r="C857" s="728"/>
      <c r="D857" s="649" t="s">
        <v>290</v>
      </c>
      <c r="E857" s="729" t="s">
        <v>290</v>
      </c>
      <c r="F857" s="103">
        <f>SUM('[3]chd7-SAOB'!BL14)</f>
        <v>0</v>
      </c>
      <c r="G857" s="103">
        <f>SUM('[3]chd7-SAOB'!BL50)</f>
        <v>6200000</v>
      </c>
      <c r="H857" s="103">
        <f>SUM('[3]chd7-SAOB'!BL142)</f>
        <v>0</v>
      </c>
      <c r="I857" s="103">
        <f>SUM(F857:H857)</f>
        <v>6200000</v>
      </c>
      <c r="J857" s="103">
        <f>SUM('[3]chd7-SAOB'!BL15)</f>
        <v>0</v>
      </c>
      <c r="K857" s="103">
        <f>SUM('[3]chd7-SAOB'!BL51)</f>
        <v>6196151.1200000001</v>
      </c>
      <c r="L857" s="103">
        <f>SUM('[3]chd7-SAOB'!BL143)</f>
        <v>0</v>
      </c>
      <c r="M857" s="103">
        <f>SUM(J857:L857)</f>
        <v>6196151.1200000001</v>
      </c>
      <c r="N857" s="103">
        <f t="shared" si="292"/>
        <v>0</v>
      </c>
      <c r="O857" s="103">
        <f t="shared" si="292"/>
        <v>3848.8799999998882</v>
      </c>
      <c r="P857" s="103">
        <f t="shared" si="292"/>
        <v>0</v>
      </c>
      <c r="Q857" s="103">
        <f t="shared" si="293"/>
        <v>3848.8799999998882</v>
      </c>
      <c r="S857" s="730" t="str">
        <f t="shared" si="317"/>
        <v/>
      </c>
      <c r="T857" s="730">
        <f t="shared" si="317"/>
        <v>0.99937921290322584</v>
      </c>
      <c r="U857" s="730" t="str">
        <f t="shared" si="317"/>
        <v/>
      </c>
      <c r="V857" s="730">
        <f t="shared" si="316"/>
        <v>0.99937921290322584</v>
      </c>
      <c r="W857" s="531"/>
      <c r="X857" s="236"/>
      <c r="Y857" s="236" t="s">
        <v>598</v>
      </c>
      <c r="Z857" s="236"/>
    </row>
    <row r="858" spans="1:26" s="259" customFormat="1" ht="11.25" customHeight="1">
      <c r="A858" s="246" t="s">
        <v>632</v>
      </c>
      <c r="B858" s="235" t="s">
        <v>184</v>
      </c>
      <c r="C858" s="656"/>
      <c r="D858" s="656"/>
      <c r="E858" s="657" t="s">
        <v>4</v>
      </c>
      <c r="F858" s="652">
        <f>+F848+F850+F852</f>
        <v>144857228</v>
      </c>
      <c r="G858" s="652">
        <f t="shared" ref="G858:M858" si="318">+G848+G850+G852</f>
        <v>62298414</v>
      </c>
      <c r="H858" s="652">
        <f t="shared" si="318"/>
        <v>0</v>
      </c>
      <c r="I858" s="652">
        <f t="shared" si="318"/>
        <v>207155642</v>
      </c>
      <c r="J858" s="652">
        <f t="shared" si="318"/>
        <v>139380688.20000002</v>
      </c>
      <c r="K858" s="652">
        <f t="shared" si="318"/>
        <v>54537840.460000001</v>
      </c>
      <c r="L858" s="652">
        <f t="shared" si="318"/>
        <v>0</v>
      </c>
      <c r="M858" s="652">
        <f t="shared" si="318"/>
        <v>193918528.66000003</v>
      </c>
      <c r="N858" s="652">
        <f t="shared" ref="N858:P923" si="319">+F858-J858</f>
        <v>5476539.7999999821</v>
      </c>
      <c r="O858" s="652">
        <f t="shared" si="319"/>
        <v>7760573.5399999991</v>
      </c>
      <c r="P858" s="652">
        <f t="shared" si="319"/>
        <v>0</v>
      </c>
      <c r="Q858" s="652">
        <f t="shared" ref="Q858:Q923" si="320">SUM(N858:P858)</f>
        <v>13237113.339999981</v>
      </c>
      <c r="R858" s="653">
        <f>+Q858-'[3]chd7-SAOB'!CV179</f>
        <v>-1.4901161193847656E-8</v>
      </c>
      <c r="S858" s="1008">
        <f t="shared" si="317"/>
        <v>0.96219353445034872</v>
      </c>
      <c r="T858" s="1008">
        <f t="shared" si="317"/>
        <v>0.87542903515970727</v>
      </c>
      <c r="U858" s="1008" t="str">
        <f t="shared" si="317"/>
        <v/>
      </c>
      <c r="V858" s="1008">
        <f t="shared" si="316"/>
        <v>0.93610063808930688</v>
      </c>
      <c r="W858" s="254"/>
      <c r="X858" s="520"/>
      <c r="Y858" s="610" t="s">
        <v>598</v>
      </c>
      <c r="Z858" s="241" t="s">
        <v>598</v>
      </c>
    </row>
    <row r="859" spans="1:26" ht="11.25" customHeight="1">
      <c r="A859" s="246" t="s">
        <v>632</v>
      </c>
      <c r="B859" s="235" t="s">
        <v>184</v>
      </c>
      <c r="C859" s="410"/>
      <c r="D859" s="386"/>
      <c r="E859" s="461" t="s">
        <v>764</v>
      </c>
      <c r="F859" s="103"/>
      <c r="G859" s="103"/>
      <c r="H859" s="103"/>
      <c r="I859" s="103">
        <f>SUM(F859:H859)</f>
        <v>0</v>
      </c>
      <c r="J859" s="103"/>
      <c r="K859" s="103"/>
      <c r="L859" s="103"/>
      <c r="M859" s="103">
        <f>SUM(J859:L859)</f>
        <v>0</v>
      </c>
      <c r="N859" s="103">
        <f t="shared" si="319"/>
        <v>0</v>
      </c>
      <c r="O859" s="103">
        <f t="shared" si="319"/>
        <v>0</v>
      </c>
      <c r="P859" s="103">
        <f t="shared" si="319"/>
        <v>0</v>
      </c>
      <c r="Q859" s="103">
        <f t="shared" si="320"/>
        <v>0</v>
      </c>
      <c r="S859" s="730" t="str">
        <f t="shared" si="317"/>
        <v/>
      </c>
      <c r="T859" s="730" t="str">
        <f t="shared" si="317"/>
        <v/>
      </c>
      <c r="U859" s="730" t="str">
        <f t="shared" si="317"/>
        <v/>
      </c>
      <c r="V859" s="730" t="str">
        <f t="shared" si="316"/>
        <v/>
      </c>
      <c r="W859" s="254"/>
      <c r="Y859" s="610" t="s">
        <v>598</v>
      </c>
      <c r="Z859" s="241" t="s">
        <v>598</v>
      </c>
    </row>
    <row r="860" spans="1:26" s="675" customFormat="1" ht="11.25" customHeight="1">
      <c r="A860" s="528" t="s">
        <v>632</v>
      </c>
      <c r="B860" s="528" t="s">
        <v>185</v>
      </c>
      <c r="C860" s="407" t="s">
        <v>98</v>
      </c>
      <c r="D860" s="655" t="s">
        <v>109</v>
      </c>
      <c r="E860" s="408" t="s">
        <v>820</v>
      </c>
      <c r="F860" s="673"/>
      <c r="G860" s="673"/>
      <c r="H860" s="673"/>
      <c r="I860" s="674">
        <f>SUM(F860:H860)</f>
        <v>0</v>
      </c>
      <c r="J860" s="673"/>
      <c r="K860" s="673"/>
      <c r="L860" s="673"/>
      <c r="M860" s="674">
        <f>SUM(J860:L860)</f>
        <v>0</v>
      </c>
      <c r="N860" s="674">
        <f t="shared" si="319"/>
        <v>0</v>
      </c>
      <c r="O860" s="674">
        <f t="shared" si="319"/>
        <v>0</v>
      </c>
      <c r="P860" s="674">
        <f t="shared" si="319"/>
        <v>0</v>
      </c>
      <c r="Q860" s="674">
        <f t="shared" si="320"/>
        <v>0</v>
      </c>
      <c r="R860" s="101"/>
      <c r="S860" s="254" t="str">
        <f t="shared" si="317"/>
        <v/>
      </c>
      <c r="T860" s="254" t="str">
        <f t="shared" si="317"/>
        <v/>
      </c>
      <c r="U860" s="254" t="str">
        <f t="shared" si="317"/>
        <v/>
      </c>
      <c r="V860" s="254" t="str">
        <f t="shared" si="316"/>
        <v/>
      </c>
      <c r="W860" s="531"/>
      <c r="Y860" s="272" t="s">
        <v>598</v>
      </c>
      <c r="Z860" s="260" t="s">
        <v>598</v>
      </c>
    </row>
    <row r="861" spans="1:26" ht="11.25" customHeight="1">
      <c r="A861" s="528" t="s">
        <v>632</v>
      </c>
      <c r="B861" s="1013" t="s">
        <v>185</v>
      </c>
      <c r="C861" s="461"/>
      <c r="D861" s="645" t="s">
        <v>766</v>
      </c>
      <c r="E861" s="447" t="s">
        <v>766</v>
      </c>
      <c r="F861" s="104">
        <f>+'[3]chd7-SAOB'!C404</f>
        <v>18773970</v>
      </c>
      <c r="G861" s="104">
        <f>+'[3]chd7-SAOB'!D404</f>
        <v>5930030</v>
      </c>
      <c r="H861" s="104">
        <f>+'[3]chd7-SAOB'!E404</f>
        <v>0</v>
      </c>
      <c r="I861" s="103">
        <f>SUM(F861:H861)</f>
        <v>24704000</v>
      </c>
      <c r="J861" s="104">
        <f>+'[3]chd7-SAOB'!G404</f>
        <v>18054635.969999999</v>
      </c>
      <c r="K861" s="104">
        <f>+'[3]chd7-SAOB'!H404</f>
        <v>5176228.2200000007</v>
      </c>
      <c r="L861" s="104">
        <f>+'[3]chd7-SAOB'!I404</f>
        <v>0</v>
      </c>
      <c r="M861" s="103">
        <f>SUM(J861:L861)</f>
        <v>23230864.189999998</v>
      </c>
      <c r="N861" s="103">
        <f t="shared" si="319"/>
        <v>719334.03000000119</v>
      </c>
      <c r="O861" s="103">
        <f t="shared" si="319"/>
        <v>753801.77999999933</v>
      </c>
      <c r="P861" s="103">
        <f t="shared" si="319"/>
        <v>0</v>
      </c>
      <c r="Q861" s="103">
        <f t="shared" si="320"/>
        <v>1473135.8100000005</v>
      </c>
      <c r="S861" s="730">
        <f t="shared" si="317"/>
        <v>0.96168450093400593</v>
      </c>
      <c r="T861" s="730">
        <f t="shared" si="317"/>
        <v>0.87288398540985468</v>
      </c>
      <c r="U861" s="730" t="str">
        <f t="shared" si="317"/>
        <v/>
      </c>
      <c r="V861" s="730">
        <f t="shared" si="316"/>
        <v>0.94036853100712425</v>
      </c>
      <c r="W861" s="531"/>
      <c r="X861" s="236"/>
      <c r="Y861" s="236" t="s">
        <v>688</v>
      </c>
      <c r="Z861" s="236"/>
    </row>
    <row r="862" spans="1:26" ht="11.25" customHeight="1">
      <c r="A862" s="528" t="s">
        <v>632</v>
      </c>
      <c r="B862" s="1013" t="s">
        <v>185</v>
      </c>
      <c r="C862" s="728"/>
      <c r="D862" s="649" t="s">
        <v>50</v>
      </c>
      <c r="E862" s="447" t="s">
        <v>50</v>
      </c>
      <c r="F862" s="104"/>
      <c r="G862" s="104">
        <f>+'[3]chd7-SAOB'!D406</f>
        <v>2362000</v>
      </c>
      <c r="H862" s="104">
        <f>+'[3]chd7-SAOB'!E406</f>
        <v>0</v>
      </c>
      <c r="I862" s="103">
        <f>SUM(F862:H862)</f>
        <v>2362000</v>
      </c>
      <c r="J862" s="104"/>
      <c r="K862" s="104">
        <f>+'[3]chd7-SAOB'!H406</f>
        <v>2148017.63</v>
      </c>
      <c r="L862" s="104">
        <f>+'[3]chd7-SAOB'!I406</f>
        <v>0</v>
      </c>
      <c r="M862" s="103">
        <f>SUM(J862:L862)</f>
        <v>2148017.63</v>
      </c>
      <c r="N862" s="103">
        <f t="shared" si="319"/>
        <v>0</v>
      </c>
      <c r="O862" s="103">
        <f t="shared" si="319"/>
        <v>213982.37000000011</v>
      </c>
      <c r="P862" s="103">
        <f t="shared" si="319"/>
        <v>0</v>
      </c>
      <c r="Q862" s="103">
        <f t="shared" si="320"/>
        <v>213982.37000000011</v>
      </c>
      <c r="S862" s="730" t="str">
        <f t="shared" si="317"/>
        <v/>
      </c>
      <c r="T862" s="730">
        <f t="shared" si="317"/>
        <v>0.90940627857747669</v>
      </c>
      <c r="U862" s="730" t="str">
        <f t="shared" si="317"/>
        <v/>
      </c>
      <c r="V862" s="730">
        <f t="shared" si="316"/>
        <v>0.90940627857747669</v>
      </c>
      <c r="W862" s="531"/>
      <c r="X862" s="236"/>
      <c r="Y862" s="236" t="s">
        <v>688</v>
      </c>
      <c r="Z862" s="236"/>
    </row>
    <row r="863" spans="1:26" s="256" customFormat="1" ht="11.25" customHeight="1">
      <c r="A863" s="528" t="s">
        <v>632</v>
      </c>
      <c r="B863" s="528" t="s">
        <v>185</v>
      </c>
      <c r="C863" s="389"/>
      <c r="D863" s="650" t="s">
        <v>98</v>
      </c>
      <c r="E863" s="390" t="s">
        <v>767</v>
      </c>
      <c r="F863" s="391">
        <f>+F861+F862</f>
        <v>18773970</v>
      </c>
      <c r="G863" s="391">
        <f t="shared" ref="G863:M863" si="321">+G861+G862</f>
        <v>8292030</v>
      </c>
      <c r="H863" s="391">
        <f t="shared" si="321"/>
        <v>0</v>
      </c>
      <c r="I863" s="391">
        <f t="shared" si="321"/>
        <v>27066000</v>
      </c>
      <c r="J863" s="391">
        <f t="shared" si="321"/>
        <v>18054635.969999999</v>
      </c>
      <c r="K863" s="391">
        <f t="shared" si="321"/>
        <v>7324245.8500000006</v>
      </c>
      <c r="L863" s="391">
        <f t="shared" si="321"/>
        <v>0</v>
      </c>
      <c r="M863" s="391">
        <f t="shared" si="321"/>
        <v>25378881.819999997</v>
      </c>
      <c r="N863" s="391">
        <f t="shared" si="319"/>
        <v>719334.03000000119</v>
      </c>
      <c r="O863" s="391">
        <f t="shared" si="319"/>
        <v>967784.14999999944</v>
      </c>
      <c r="P863" s="391">
        <f t="shared" si="319"/>
        <v>0</v>
      </c>
      <c r="Q863" s="391">
        <f t="shared" si="320"/>
        <v>1687118.1800000006</v>
      </c>
      <c r="R863" s="101"/>
      <c r="S863" s="254">
        <f t="shared" si="317"/>
        <v>0.96168450093400593</v>
      </c>
      <c r="T863" s="254">
        <f t="shared" si="317"/>
        <v>0.88328742780718361</v>
      </c>
      <c r="U863" s="254" t="str">
        <f t="shared" si="317"/>
        <v/>
      </c>
      <c r="V863" s="254">
        <f t="shared" si="316"/>
        <v>0.93766651222936515</v>
      </c>
      <c r="W863" s="531"/>
      <c r="Y863" s="256" t="s">
        <v>598</v>
      </c>
      <c r="Z863" s="256" t="s">
        <v>598</v>
      </c>
    </row>
    <row r="864" spans="1:26" ht="11.25" hidden="1" customHeight="1">
      <c r="A864" s="528" t="s">
        <v>632</v>
      </c>
      <c r="B864" s="1013" t="s">
        <v>185</v>
      </c>
      <c r="C864" s="410"/>
      <c r="D864" s="651"/>
      <c r="E864" s="806" t="s">
        <v>764</v>
      </c>
      <c r="F864" s="807"/>
      <c r="G864" s="807"/>
      <c r="H864" s="807"/>
      <c r="I864" s="807"/>
      <c r="J864" s="807"/>
      <c r="K864" s="807"/>
      <c r="L864" s="807"/>
      <c r="M864" s="807"/>
      <c r="N864" s="807">
        <f t="shared" si="319"/>
        <v>0</v>
      </c>
      <c r="O864" s="807">
        <f t="shared" si="319"/>
        <v>0</v>
      </c>
      <c r="P864" s="807">
        <f t="shared" si="319"/>
        <v>0</v>
      </c>
      <c r="Q864" s="807">
        <f t="shared" si="320"/>
        <v>0</v>
      </c>
      <c r="R864" s="276"/>
      <c r="S864" s="730" t="str">
        <f t="shared" si="317"/>
        <v/>
      </c>
      <c r="T864" s="730" t="str">
        <f t="shared" si="317"/>
        <v/>
      </c>
      <c r="U864" s="730" t="str">
        <f t="shared" si="317"/>
        <v/>
      </c>
      <c r="V864" s="730" t="str">
        <f t="shared" si="316"/>
        <v/>
      </c>
      <c r="W864" s="531"/>
      <c r="X864" s="236"/>
      <c r="Y864" s="236"/>
      <c r="Z864" s="236"/>
    </row>
    <row r="865" spans="1:26" s="256" customFormat="1" ht="11.25" customHeight="1">
      <c r="A865" s="528" t="s">
        <v>632</v>
      </c>
      <c r="B865" s="528" t="s">
        <v>185</v>
      </c>
      <c r="C865" s="389"/>
      <c r="D865" s="650" t="s">
        <v>98</v>
      </c>
      <c r="E865" s="390" t="s">
        <v>99</v>
      </c>
      <c r="F865" s="391">
        <f>+F866</f>
        <v>1766500</v>
      </c>
      <c r="G865" s="391">
        <f t="shared" ref="G865:M865" si="322">+G866</f>
        <v>0</v>
      </c>
      <c r="H865" s="391">
        <f t="shared" si="322"/>
        <v>0</v>
      </c>
      <c r="I865" s="391">
        <f t="shared" si="322"/>
        <v>1766500</v>
      </c>
      <c r="J865" s="391">
        <f t="shared" si="322"/>
        <v>1609628.04</v>
      </c>
      <c r="K865" s="391">
        <f t="shared" si="322"/>
        <v>0</v>
      </c>
      <c r="L865" s="391">
        <f t="shared" si="322"/>
        <v>0</v>
      </c>
      <c r="M865" s="391">
        <f t="shared" si="322"/>
        <v>1609628.04</v>
      </c>
      <c r="N865" s="391">
        <f t="shared" si="319"/>
        <v>156871.95999999996</v>
      </c>
      <c r="O865" s="391">
        <f t="shared" si="319"/>
        <v>0</v>
      </c>
      <c r="P865" s="391">
        <f t="shared" si="319"/>
        <v>0</v>
      </c>
      <c r="Q865" s="391">
        <f t="shared" si="320"/>
        <v>156871.95999999996</v>
      </c>
      <c r="R865" s="101"/>
      <c r="S865" s="254">
        <f t="shared" si="317"/>
        <v>0.91119617322388902</v>
      </c>
      <c r="T865" s="254" t="str">
        <f t="shared" si="317"/>
        <v/>
      </c>
      <c r="U865" s="254" t="str">
        <f t="shared" si="317"/>
        <v/>
      </c>
      <c r="V865" s="254">
        <f t="shared" si="316"/>
        <v>0.91119617322388902</v>
      </c>
      <c r="W865" s="531"/>
      <c r="Y865" s="256" t="s">
        <v>598</v>
      </c>
      <c r="Z865" s="256" t="s">
        <v>598</v>
      </c>
    </row>
    <row r="866" spans="1:26" ht="11.25" customHeight="1">
      <c r="A866" s="528" t="s">
        <v>632</v>
      </c>
      <c r="B866" s="1013" t="s">
        <v>185</v>
      </c>
      <c r="C866" s="728"/>
      <c r="D866" s="649" t="s">
        <v>286</v>
      </c>
      <c r="E866" s="729" t="s">
        <v>286</v>
      </c>
      <c r="F866" s="103">
        <f>SUM('[3]chd7-SAOB'!AO14)</f>
        <v>1766500</v>
      </c>
      <c r="G866" s="103">
        <f>SUM('[3]chd7-SAOB'!AO50)</f>
        <v>0</v>
      </c>
      <c r="H866" s="103">
        <f>SUM('[3]chd7-SAOB'!AO142)</f>
        <v>0</v>
      </c>
      <c r="I866" s="103">
        <f>SUM(F866:H866)</f>
        <v>1766500</v>
      </c>
      <c r="J866" s="103">
        <f>SUM('[3]chd7-SAOB'!AO15)</f>
        <v>1609628.04</v>
      </c>
      <c r="K866" s="103">
        <f>SUM('[3]chd7-SAOB'!AO51)</f>
        <v>0</v>
      </c>
      <c r="L866" s="103">
        <f>SUM('[3]chd7-SAOB'!AO143)</f>
        <v>0</v>
      </c>
      <c r="M866" s="103">
        <f>SUM(J866:L866)</f>
        <v>1609628.04</v>
      </c>
      <c r="N866" s="103">
        <f t="shared" si="319"/>
        <v>156871.95999999996</v>
      </c>
      <c r="O866" s="103">
        <f t="shared" si="319"/>
        <v>0</v>
      </c>
      <c r="P866" s="103">
        <f t="shared" si="319"/>
        <v>0</v>
      </c>
      <c r="Q866" s="103">
        <f t="shared" si="320"/>
        <v>156871.95999999996</v>
      </c>
      <c r="S866" s="730">
        <f t="shared" si="317"/>
        <v>0.91119617322388902</v>
      </c>
      <c r="T866" s="730" t="str">
        <f t="shared" si="317"/>
        <v/>
      </c>
      <c r="U866" s="730" t="str">
        <f t="shared" si="317"/>
        <v/>
      </c>
      <c r="V866" s="730">
        <f t="shared" si="316"/>
        <v>0.91119617322388902</v>
      </c>
      <c r="W866" s="531"/>
      <c r="X866" s="236"/>
      <c r="Y866" s="236" t="s">
        <v>598</v>
      </c>
      <c r="Z866" s="236"/>
    </row>
    <row r="867" spans="1:26" s="272" customFormat="1" ht="11.25" customHeight="1">
      <c r="A867" s="528" t="s">
        <v>632</v>
      </c>
      <c r="B867" s="528" t="s">
        <v>185</v>
      </c>
      <c r="C867" s="389"/>
      <c r="D867" s="650" t="s">
        <v>98</v>
      </c>
      <c r="E867" s="390" t="s">
        <v>100</v>
      </c>
      <c r="F867" s="391">
        <f t="shared" ref="F867:M867" si="323">SUM(F868:F872)</f>
        <v>1211075</v>
      </c>
      <c r="G867" s="391">
        <f t="shared" si="323"/>
        <v>0</v>
      </c>
      <c r="H867" s="391">
        <f t="shared" si="323"/>
        <v>0</v>
      </c>
      <c r="I867" s="391">
        <f t="shared" si="323"/>
        <v>1211075</v>
      </c>
      <c r="J867" s="391">
        <f t="shared" si="323"/>
        <v>1211075</v>
      </c>
      <c r="K867" s="391">
        <f t="shared" si="323"/>
        <v>0</v>
      </c>
      <c r="L867" s="391">
        <f t="shared" si="323"/>
        <v>0</v>
      </c>
      <c r="M867" s="391">
        <f t="shared" si="323"/>
        <v>1211075</v>
      </c>
      <c r="N867" s="391">
        <f t="shared" si="319"/>
        <v>0</v>
      </c>
      <c r="O867" s="391">
        <f t="shared" si="319"/>
        <v>0</v>
      </c>
      <c r="P867" s="391">
        <f t="shared" si="319"/>
        <v>0</v>
      </c>
      <c r="Q867" s="391">
        <f t="shared" si="320"/>
        <v>0</v>
      </c>
      <c r="R867" s="102"/>
      <c r="S867" s="254">
        <f t="shared" si="317"/>
        <v>1</v>
      </c>
      <c r="T867" s="254" t="str">
        <f t="shared" si="317"/>
        <v/>
      </c>
      <c r="U867" s="254" t="str">
        <f t="shared" si="317"/>
        <v/>
      </c>
      <c r="V867" s="254">
        <f t="shared" si="316"/>
        <v>1</v>
      </c>
      <c r="W867" s="531"/>
      <c r="Y867" s="272" t="s">
        <v>598</v>
      </c>
      <c r="Z867" s="256" t="s">
        <v>598</v>
      </c>
    </row>
    <row r="868" spans="1:26" ht="11.25" customHeight="1">
      <c r="A868" s="528" t="s">
        <v>632</v>
      </c>
      <c r="B868" s="1013" t="s">
        <v>185</v>
      </c>
      <c r="C868" s="728"/>
      <c r="D868" s="649" t="s">
        <v>288</v>
      </c>
      <c r="E868" s="729" t="s">
        <v>288</v>
      </c>
      <c r="F868" s="103">
        <f>SUM('[3]chd7-SAOB'!AW14)</f>
        <v>841075</v>
      </c>
      <c r="G868" s="103">
        <f>SUM('[3]chd7-SAOB'!AW50)</f>
        <v>0</v>
      </c>
      <c r="H868" s="103">
        <f>SUM('[3]chd7-SAOB'!AW142)</f>
        <v>0</v>
      </c>
      <c r="I868" s="103">
        <f>SUM(F868:H868)</f>
        <v>841075</v>
      </c>
      <c r="J868" s="103">
        <f>SUM('[3]chd7-SAOB'!AW15)</f>
        <v>841075</v>
      </c>
      <c r="K868" s="103">
        <f>SUM('[3]chd7-SAOB'!AW51)</f>
        <v>0</v>
      </c>
      <c r="L868" s="103">
        <f>SUM('[3]chd7-SAOB'!AW143)</f>
        <v>0</v>
      </c>
      <c r="M868" s="103">
        <f>SUM(J868:L868)</f>
        <v>841075</v>
      </c>
      <c r="N868" s="103">
        <f t="shared" si="319"/>
        <v>0</v>
      </c>
      <c r="O868" s="103">
        <f t="shared" si="319"/>
        <v>0</v>
      </c>
      <c r="P868" s="103">
        <f t="shared" si="319"/>
        <v>0</v>
      </c>
      <c r="Q868" s="103">
        <f t="shared" si="320"/>
        <v>0</v>
      </c>
      <c r="S868" s="730">
        <f t="shared" si="317"/>
        <v>1</v>
      </c>
      <c r="T868" s="730" t="str">
        <f t="shared" si="317"/>
        <v/>
      </c>
      <c r="U868" s="730" t="str">
        <f t="shared" si="317"/>
        <v/>
      </c>
      <c r="V868" s="730">
        <f t="shared" si="316"/>
        <v>1</v>
      </c>
      <c r="W868" s="531"/>
      <c r="X868" s="236"/>
      <c r="Y868" s="236" t="s">
        <v>598</v>
      </c>
      <c r="Z868" s="236"/>
    </row>
    <row r="869" spans="1:26" ht="11.25" customHeight="1">
      <c r="A869" s="528" t="s">
        <v>632</v>
      </c>
      <c r="B869" s="1013" t="s">
        <v>185</v>
      </c>
      <c r="C869" s="728"/>
      <c r="D869" s="649" t="s">
        <v>761</v>
      </c>
      <c r="E869" s="729" t="s">
        <v>761</v>
      </c>
      <c r="F869" s="104">
        <f>+'[3]chd7-SAOB'!C406</f>
        <v>370000</v>
      </c>
      <c r="G869" s="104"/>
      <c r="H869" s="104"/>
      <c r="I869" s="103">
        <f>SUM(F869:H869)</f>
        <v>370000</v>
      </c>
      <c r="J869" s="104">
        <f>+'[3]chd7-SAOB'!G406</f>
        <v>370000</v>
      </c>
      <c r="K869" s="104"/>
      <c r="L869" s="103"/>
      <c r="M869" s="103">
        <f>SUM(J869:L869)</f>
        <v>370000</v>
      </c>
      <c r="N869" s="103">
        <f t="shared" si="319"/>
        <v>0</v>
      </c>
      <c r="O869" s="103">
        <f t="shared" si="319"/>
        <v>0</v>
      </c>
      <c r="P869" s="103">
        <f t="shared" si="319"/>
        <v>0</v>
      </c>
      <c r="Q869" s="103">
        <f>SUM(N869:P869)</f>
        <v>0</v>
      </c>
      <c r="S869" s="730">
        <f t="shared" si="317"/>
        <v>1</v>
      </c>
      <c r="T869" s="730" t="str">
        <f t="shared" si="317"/>
        <v/>
      </c>
      <c r="U869" s="730" t="str">
        <f t="shared" si="317"/>
        <v/>
      </c>
      <c r="V869" s="730">
        <f t="shared" si="316"/>
        <v>1</v>
      </c>
      <c r="W869" s="531"/>
      <c r="X869" s="236"/>
      <c r="Y869" s="236" t="s">
        <v>688</v>
      </c>
      <c r="Z869" s="236"/>
    </row>
    <row r="870" spans="1:26" ht="11.25" customHeight="1">
      <c r="A870" s="528" t="s">
        <v>632</v>
      </c>
      <c r="B870" s="1013" t="s">
        <v>185</v>
      </c>
      <c r="C870" s="410"/>
      <c r="D870" s="647"/>
      <c r="E870" s="461" t="s">
        <v>764</v>
      </c>
      <c r="F870" s="104"/>
      <c r="G870" s="104"/>
      <c r="H870" s="104"/>
      <c r="I870" s="103"/>
      <c r="J870" s="104"/>
      <c r="K870" s="104"/>
      <c r="L870" s="104"/>
      <c r="M870" s="103"/>
      <c r="N870" s="103"/>
      <c r="O870" s="103"/>
      <c r="P870" s="103"/>
      <c r="Q870" s="103"/>
      <c r="S870" s="730" t="str">
        <f t="shared" si="317"/>
        <v/>
      </c>
      <c r="T870" s="730" t="str">
        <f t="shared" si="317"/>
        <v/>
      </c>
      <c r="U870" s="730" t="str">
        <f t="shared" si="317"/>
        <v/>
      </c>
      <c r="V870" s="730" t="str">
        <f t="shared" si="316"/>
        <v/>
      </c>
      <c r="W870" s="531"/>
      <c r="X870" s="236"/>
      <c r="Y870" s="236" t="s">
        <v>688</v>
      </c>
      <c r="Z870" s="240"/>
    </row>
    <row r="871" spans="1:26" ht="11.25" customHeight="1">
      <c r="A871" s="528" t="s">
        <v>632</v>
      </c>
      <c r="B871" s="1013" t="s">
        <v>185</v>
      </c>
      <c r="C871" s="728"/>
      <c r="D871" s="649" t="s">
        <v>289</v>
      </c>
      <c r="E871" s="729" t="s">
        <v>289</v>
      </c>
      <c r="F871" s="103">
        <f>SUM('[3]chd7-SAOB'!BE14)</f>
        <v>0</v>
      </c>
      <c r="G871" s="103">
        <f>SUM('[3]chd7-SAOB'!BE50)</f>
        <v>0</v>
      </c>
      <c r="H871" s="103">
        <f>SUM('[3]chd7-SAOB'!BE142)</f>
        <v>0</v>
      </c>
      <c r="I871" s="103">
        <f>SUM(F871:H871)</f>
        <v>0</v>
      </c>
      <c r="J871" s="103">
        <f>SUM('[3]chd7-SAOB'!BE15)</f>
        <v>0</v>
      </c>
      <c r="K871" s="103">
        <f>SUM('[3]chd7-SAOB'!BE51)</f>
        <v>0</v>
      </c>
      <c r="L871" s="103">
        <f>SUM('[3]chd7-SAOB'!BE143)</f>
        <v>0</v>
      </c>
      <c r="M871" s="103">
        <f>SUM(J871:L871)</f>
        <v>0</v>
      </c>
      <c r="N871" s="103">
        <f t="shared" si="319"/>
        <v>0</v>
      </c>
      <c r="O871" s="103">
        <f t="shared" si="319"/>
        <v>0</v>
      </c>
      <c r="P871" s="103">
        <f t="shared" si="319"/>
        <v>0</v>
      </c>
      <c r="Q871" s="103">
        <f t="shared" si="320"/>
        <v>0</v>
      </c>
      <c r="S871" s="730" t="str">
        <f t="shared" si="317"/>
        <v/>
      </c>
      <c r="T871" s="730" t="str">
        <f t="shared" si="317"/>
        <v/>
      </c>
      <c r="U871" s="730" t="str">
        <f t="shared" si="317"/>
        <v/>
      </c>
      <c r="V871" s="730" t="str">
        <f t="shared" si="316"/>
        <v/>
      </c>
      <c r="W871" s="531"/>
      <c r="X871" s="236"/>
      <c r="Y871" s="236" t="s">
        <v>598</v>
      </c>
      <c r="Z871" s="236"/>
    </row>
    <row r="872" spans="1:26" ht="11.25" customHeight="1">
      <c r="A872" s="528" t="s">
        <v>632</v>
      </c>
      <c r="B872" s="1013" t="s">
        <v>185</v>
      </c>
      <c r="C872" s="728"/>
      <c r="D872" s="649" t="s">
        <v>290</v>
      </c>
      <c r="E872" s="729" t="s">
        <v>290</v>
      </c>
      <c r="F872" s="103">
        <f>SUM('[3]chd7-SAOB'!BM14)</f>
        <v>0</v>
      </c>
      <c r="G872" s="103">
        <f>SUM('[3]chd7-SAOB'!BM50)</f>
        <v>0</v>
      </c>
      <c r="H872" s="103">
        <f>SUM('[3]chd7-SAOB'!BM142)</f>
        <v>0</v>
      </c>
      <c r="I872" s="103">
        <f>SUM(F872:H872)</f>
        <v>0</v>
      </c>
      <c r="J872" s="103">
        <f>SUM('[3]chd7-SAOB'!BM15)</f>
        <v>0</v>
      </c>
      <c r="K872" s="103">
        <f>SUM('[3]chd7-SAOB'!BM51)</f>
        <v>0</v>
      </c>
      <c r="L872" s="103">
        <f>SUM('[3]chd7-SAOB'!BM143)</f>
        <v>0</v>
      </c>
      <c r="M872" s="103">
        <f>SUM(J872:L872)</f>
        <v>0</v>
      </c>
      <c r="N872" s="103">
        <f t="shared" si="319"/>
        <v>0</v>
      </c>
      <c r="O872" s="103">
        <f t="shared" si="319"/>
        <v>0</v>
      </c>
      <c r="P872" s="103">
        <f t="shared" si="319"/>
        <v>0</v>
      </c>
      <c r="Q872" s="103">
        <f t="shared" si="320"/>
        <v>0</v>
      </c>
      <c r="S872" s="730" t="str">
        <f t="shared" si="317"/>
        <v/>
      </c>
      <c r="T872" s="730" t="str">
        <f t="shared" si="317"/>
        <v/>
      </c>
      <c r="U872" s="730" t="str">
        <f t="shared" si="317"/>
        <v/>
      </c>
      <c r="V872" s="730" t="str">
        <f t="shared" si="316"/>
        <v/>
      </c>
      <c r="W872" s="531"/>
      <c r="X872" s="236"/>
      <c r="Y872" s="236" t="s">
        <v>598</v>
      </c>
      <c r="Z872" s="236"/>
    </row>
    <row r="873" spans="1:26" s="259" customFormat="1" ht="11.25" customHeight="1">
      <c r="A873" s="246" t="s">
        <v>632</v>
      </c>
      <c r="B873" s="235" t="s">
        <v>185</v>
      </c>
      <c r="C873" s="656"/>
      <c r="D873" s="656"/>
      <c r="E873" s="657" t="s">
        <v>4</v>
      </c>
      <c r="F873" s="652">
        <f>+F863+F865+F867</f>
        <v>21751545</v>
      </c>
      <c r="G873" s="652">
        <f t="shared" ref="G873:M873" si="324">+G863+G865+G867</f>
        <v>8292030</v>
      </c>
      <c r="H873" s="652">
        <f t="shared" si="324"/>
        <v>0</v>
      </c>
      <c r="I873" s="652">
        <f t="shared" si="324"/>
        <v>30043575</v>
      </c>
      <c r="J873" s="652">
        <f t="shared" si="324"/>
        <v>20875339.009999998</v>
      </c>
      <c r="K873" s="652">
        <f t="shared" si="324"/>
        <v>7324245.8500000006</v>
      </c>
      <c r="L873" s="652">
        <f t="shared" si="324"/>
        <v>0</v>
      </c>
      <c r="M873" s="652">
        <f t="shared" si="324"/>
        <v>28199584.859999996</v>
      </c>
      <c r="N873" s="652">
        <f t="shared" si="319"/>
        <v>876205.99000000209</v>
      </c>
      <c r="O873" s="652">
        <f t="shared" si="319"/>
        <v>967784.14999999944</v>
      </c>
      <c r="P873" s="652">
        <f t="shared" si="319"/>
        <v>0</v>
      </c>
      <c r="Q873" s="652">
        <f t="shared" si="320"/>
        <v>1843990.1400000015</v>
      </c>
      <c r="R873" s="653">
        <f>+Q873-'[3]chd7-SAOB'!CW179</f>
        <v>0</v>
      </c>
      <c r="S873" s="1008">
        <f t="shared" si="317"/>
        <v>0.95971752857095893</v>
      </c>
      <c r="T873" s="1008">
        <f t="shared" si="317"/>
        <v>0.88328742780718361</v>
      </c>
      <c r="U873" s="1008" t="str">
        <f t="shared" si="317"/>
        <v/>
      </c>
      <c r="V873" s="1008">
        <f t="shared" si="316"/>
        <v>0.93862281236503964</v>
      </c>
      <c r="W873" s="254"/>
      <c r="X873" s="520"/>
      <c r="Y873" s="610" t="s">
        <v>598</v>
      </c>
      <c r="Z873" s="241" t="s">
        <v>598</v>
      </c>
    </row>
    <row r="874" spans="1:26" ht="11.25" customHeight="1">
      <c r="A874" s="246" t="s">
        <v>632</v>
      </c>
      <c r="B874" s="235" t="s">
        <v>185</v>
      </c>
      <c r="C874" s="410"/>
      <c r="D874" s="386"/>
      <c r="E874" s="461" t="s">
        <v>764</v>
      </c>
      <c r="F874" s="103"/>
      <c r="G874" s="103"/>
      <c r="H874" s="103"/>
      <c r="I874" s="103">
        <f>SUM(F874:H874)</f>
        <v>0</v>
      </c>
      <c r="J874" s="103"/>
      <c r="K874" s="103"/>
      <c r="L874" s="103"/>
      <c r="M874" s="103">
        <f>SUM(J874:L874)</f>
        <v>0</v>
      </c>
      <c r="N874" s="103">
        <f t="shared" si="319"/>
        <v>0</v>
      </c>
      <c r="O874" s="103">
        <f t="shared" si="319"/>
        <v>0</v>
      </c>
      <c r="P874" s="103">
        <f t="shared" si="319"/>
        <v>0</v>
      </c>
      <c r="Q874" s="103">
        <f t="shared" si="320"/>
        <v>0</v>
      </c>
      <c r="S874" s="730" t="str">
        <f t="shared" si="317"/>
        <v/>
      </c>
      <c r="T874" s="730" t="str">
        <f t="shared" si="317"/>
        <v/>
      </c>
      <c r="U874" s="730" t="str">
        <f t="shared" si="317"/>
        <v/>
      </c>
      <c r="V874" s="730" t="str">
        <f t="shared" si="316"/>
        <v/>
      </c>
      <c r="W874" s="254"/>
      <c r="Y874" s="610" t="s">
        <v>598</v>
      </c>
      <c r="Z874" s="241" t="s">
        <v>598</v>
      </c>
    </row>
    <row r="875" spans="1:26" s="675" customFormat="1" ht="11.25" customHeight="1">
      <c r="A875" s="528" t="s">
        <v>632</v>
      </c>
      <c r="B875" s="528" t="s">
        <v>186</v>
      </c>
      <c r="C875" s="407" t="s">
        <v>98</v>
      </c>
      <c r="D875" s="655" t="s">
        <v>111</v>
      </c>
      <c r="E875" s="408" t="s">
        <v>821</v>
      </c>
      <c r="F875" s="673"/>
      <c r="G875" s="673"/>
      <c r="H875" s="673"/>
      <c r="I875" s="674">
        <f>SUM(F875:H875)</f>
        <v>0</v>
      </c>
      <c r="J875" s="673"/>
      <c r="K875" s="673"/>
      <c r="L875" s="673"/>
      <c r="M875" s="674">
        <f>SUM(J875:L875)</f>
        <v>0</v>
      </c>
      <c r="N875" s="674">
        <f t="shared" si="319"/>
        <v>0</v>
      </c>
      <c r="O875" s="674">
        <f t="shared" si="319"/>
        <v>0</v>
      </c>
      <c r="P875" s="674">
        <f t="shared" si="319"/>
        <v>0</v>
      </c>
      <c r="Q875" s="674">
        <f t="shared" si="320"/>
        <v>0</v>
      </c>
      <c r="R875" s="101"/>
      <c r="S875" s="254" t="str">
        <f t="shared" si="317"/>
        <v/>
      </c>
      <c r="T875" s="254" t="str">
        <f t="shared" si="317"/>
        <v/>
      </c>
      <c r="U875" s="254" t="str">
        <f t="shared" si="317"/>
        <v/>
      </c>
      <c r="V875" s="254" t="str">
        <f t="shared" si="316"/>
        <v/>
      </c>
      <c r="W875" s="531"/>
      <c r="Y875" s="272" t="s">
        <v>598</v>
      </c>
      <c r="Z875" s="260" t="s">
        <v>598</v>
      </c>
    </row>
    <row r="876" spans="1:26" ht="11.25" customHeight="1">
      <c r="A876" s="528" t="s">
        <v>632</v>
      </c>
      <c r="B876" s="1013" t="s">
        <v>186</v>
      </c>
      <c r="C876" s="461"/>
      <c r="D876" s="645" t="s">
        <v>766</v>
      </c>
      <c r="E876" s="447" t="s">
        <v>766</v>
      </c>
      <c r="F876" s="104">
        <f>+'[3]chd7-SAOB'!C410</f>
        <v>16878000</v>
      </c>
      <c r="G876" s="104">
        <f>+'[3]chd7-SAOB'!D410</f>
        <v>15507000</v>
      </c>
      <c r="H876" s="104">
        <f>+'[3]chd7-SAOB'!E410</f>
        <v>0</v>
      </c>
      <c r="I876" s="103">
        <f>SUM(F876:H876)</f>
        <v>32385000</v>
      </c>
      <c r="J876" s="104">
        <f>+'[3]chd7-SAOB'!G410</f>
        <v>15623903.439999999</v>
      </c>
      <c r="K876" s="104">
        <f>+'[3]chd7-SAOB'!H410</f>
        <v>10110953.370000001</v>
      </c>
      <c r="L876" s="104">
        <f>+'[3]chd7-SAOB'!I410</f>
        <v>0</v>
      </c>
      <c r="M876" s="103">
        <f>SUM(J876:L876)</f>
        <v>25734856.810000002</v>
      </c>
      <c r="N876" s="103">
        <f t="shared" si="319"/>
        <v>1254096.5600000005</v>
      </c>
      <c r="O876" s="103">
        <f t="shared" si="319"/>
        <v>5396046.629999999</v>
      </c>
      <c r="P876" s="103">
        <f t="shared" si="319"/>
        <v>0</v>
      </c>
      <c r="Q876" s="103">
        <f t="shared" si="320"/>
        <v>6650143.1899999995</v>
      </c>
      <c r="S876" s="730">
        <f t="shared" si="317"/>
        <v>0.92569637634790847</v>
      </c>
      <c r="T876" s="730">
        <f t="shared" si="317"/>
        <v>0.65202510930547497</v>
      </c>
      <c r="U876" s="730" t="str">
        <f t="shared" si="317"/>
        <v/>
      </c>
      <c r="V876" s="730">
        <f t="shared" si="316"/>
        <v>0.79465359919715928</v>
      </c>
      <c r="W876" s="531"/>
      <c r="X876" s="236"/>
      <c r="Y876" s="236" t="s">
        <v>688</v>
      </c>
      <c r="Z876" s="236"/>
    </row>
    <row r="877" spans="1:26" ht="11.25" customHeight="1">
      <c r="A877" s="528" t="s">
        <v>632</v>
      </c>
      <c r="B877" s="1013" t="s">
        <v>186</v>
      </c>
      <c r="C877" s="728"/>
      <c r="D877" s="649" t="s">
        <v>50</v>
      </c>
      <c r="E877" s="447" t="s">
        <v>50</v>
      </c>
      <c r="F877" s="104"/>
      <c r="G877" s="104">
        <f>+'[3]chd7-SAOB'!D412</f>
        <v>8813000</v>
      </c>
      <c r="H877" s="104">
        <f>+'[3]chd7-SAOB'!E412</f>
        <v>0</v>
      </c>
      <c r="I877" s="103">
        <f>SUM(F877:H877)</f>
        <v>8813000</v>
      </c>
      <c r="J877" s="104"/>
      <c r="K877" s="104">
        <f>+'[3]chd7-SAOB'!H412</f>
        <v>7019968.3399999999</v>
      </c>
      <c r="L877" s="104">
        <f>+'[3]chd7-SAOB'!I412</f>
        <v>0</v>
      </c>
      <c r="M877" s="103">
        <f>SUM(J877:L877)</f>
        <v>7019968.3399999999</v>
      </c>
      <c r="N877" s="103">
        <f t="shared" si="319"/>
        <v>0</v>
      </c>
      <c r="O877" s="103">
        <f t="shared" si="319"/>
        <v>1793031.6600000001</v>
      </c>
      <c r="P877" s="103">
        <f t="shared" si="319"/>
        <v>0</v>
      </c>
      <c r="Q877" s="103">
        <f t="shared" si="320"/>
        <v>1793031.6600000001</v>
      </c>
      <c r="S877" s="730" t="str">
        <f t="shared" si="317"/>
        <v/>
      </c>
      <c r="T877" s="730">
        <f t="shared" si="317"/>
        <v>0.79654695790309771</v>
      </c>
      <c r="U877" s="730" t="str">
        <f t="shared" si="317"/>
        <v/>
      </c>
      <c r="V877" s="730">
        <f t="shared" si="316"/>
        <v>0.79654695790309771</v>
      </c>
      <c r="W877" s="531"/>
      <c r="X877" s="236"/>
      <c r="Y877" s="236" t="s">
        <v>688</v>
      </c>
      <c r="Z877" s="236"/>
    </row>
    <row r="878" spans="1:26" s="256" customFormat="1" ht="11.25" customHeight="1">
      <c r="A878" s="528" t="s">
        <v>632</v>
      </c>
      <c r="B878" s="528" t="s">
        <v>186</v>
      </c>
      <c r="C878" s="389"/>
      <c r="D878" s="650" t="s">
        <v>98</v>
      </c>
      <c r="E878" s="390" t="s">
        <v>767</v>
      </c>
      <c r="F878" s="391">
        <f>+F876+F877</f>
        <v>16878000</v>
      </c>
      <c r="G878" s="391">
        <f t="shared" ref="G878:M878" si="325">+G876+G877</f>
        <v>24320000</v>
      </c>
      <c r="H878" s="391">
        <f t="shared" si="325"/>
        <v>0</v>
      </c>
      <c r="I878" s="391">
        <f t="shared" si="325"/>
        <v>41198000</v>
      </c>
      <c r="J878" s="391">
        <f t="shared" si="325"/>
        <v>15623903.439999999</v>
      </c>
      <c r="K878" s="391">
        <f t="shared" si="325"/>
        <v>17130921.710000001</v>
      </c>
      <c r="L878" s="391">
        <f t="shared" si="325"/>
        <v>0</v>
      </c>
      <c r="M878" s="391">
        <f t="shared" si="325"/>
        <v>32754825.150000002</v>
      </c>
      <c r="N878" s="391">
        <f t="shared" si="319"/>
        <v>1254096.5600000005</v>
      </c>
      <c r="O878" s="391">
        <f t="shared" si="319"/>
        <v>7189078.2899999991</v>
      </c>
      <c r="P878" s="391">
        <f t="shared" si="319"/>
        <v>0</v>
      </c>
      <c r="Q878" s="391">
        <f t="shared" si="320"/>
        <v>8443174.8499999996</v>
      </c>
      <c r="R878" s="101"/>
      <c r="S878" s="254">
        <f t="shared" si="317"/>
        <v>0.92569637634790847</v>
      </c>
      <c r="T878" s="254">
        <f t="shared" si="317"/>
        <v>0.70439645189144739</v>
      </c>
      <c r="U878" s="254" t="str">
        <f t="shared" si="317"/>
        <v/>
      </c>
      <c r="V878" s="254">
        <f t="shared" si="316"/>
        <v>0.79505862299140739</v>
      </c>
      <c r="W878" s="531"/>
      <c r="Y878" s="256" t="s">
        <v>598</v>
      </c>
      <c r="Z878" s="256" t="s">
        <v>598</v>
      </c>
    </row>
    <row r="879" spans="1:26" ht="11.25" hidden="1" customHeight="1">
      <c r="A879" s="528" t="s">
        <v>632</v>
      </c>
      <c r="B879" s="1013" t="s">
        <v>186</v>
      </c>
      <c r="C879" s="410"/>
      <c r="D879" s="651"/>
      <c r="E879" s="806" t="s">
        <v>764</v>
      </c>
      <c r="F879" s="807"/>
      <c r="G879" s="807"/>
      <c r="H879" s="807"/>
      <c r="I879" s="807"/>
      <c r="J879" s="807"/>
      <c r="K879" s="807"/>
      <c r="L879" s="807"/>
      <c r="M879" s="807"/>
      <c r="N879" s="807">
        <f t="shared" si="319"/>
        <v>0</v>
      </c>
      <c r="O879" s="807">
        <f t="shared" si="319"/>
        <v>0</v>
      </c>
      <c r="P879" s="807">
        <f t="shared" si="319"/>
        <v>0</v>
      </c>
      <c r="Q879" s="807">
        <f t="shared" si="320"/>
        <v>0</v>
      </c>
      <c r="R879" s="276"/>
      <c r="S879" s="730" t="str">
        <f t="shared" si="317"/>
        <v/>
      </c>
      <c r="T879" s="730" t="str">
        <f t="shared" si="317"/>
        <v/>
      </c>
      <c r="U879" s="730" t="str">
        <f t="shared" si="317"/>
        <v/>
      </c>
      <c r="V879" s="730" t="str">
        <f t="shared" si="316"/>
        <v/>
      </c>
      <c r="W879" s="531"/>
      <c r="X879" s="236"/>
      <c r="Y879" s="236"/>
      <c r="Z879" s="236"/>
    </row>
    <row r="880" spans="1:26" s="256" customFormat="1" ht="11.25" customHeight="1">
      <c r="A880" s="528" t="s">
        <v>632</v>
      </c>
      <c r="B880" s="528" t="s">
        <v>186</v>
      </c>
      <c r="C880" s="389"/>
      <c r="D880" s="650" t="s">
        <v>98</v>
      </c>
      <c r="E880" s="390" t="s">
        <v>99</v>
      </c>
      <c r="F880" s="391">
        <f>+F881</f>
        <v>1498000</v>
      </c>
      <c r="G880" s="391">
        <f t="shared" ref="G880:M880" si="326">+G881</f>
        <v>0</v>
      </c>
      <c r="H880" s="391">
        <f t="shared" si="326"/>
        <v>0</v>
      </c>
      <c r="I880" s="391">
        <f t="shared" si="326"/>
        <v>1498000</v>
      </c>
      <c r="J880" s="391">
        <f t="shared" si="326"/>
        <v>1390985.64</v>
      </c>
      <c r="K880" s="391">
        <f t="shared" si="326"/>
        <v>0</v>
      </c>
      <c r="L880" s="391">
        <f t="shared" si="326"/>
        <v>0</v>
      </c>
      <c r="M880" s="391">
        <f t="shared" si="326"/>
        <v>1390985.64</v>
      </c>
      <c r="N880" s="391">
        <f t="shared" si="319"/>
        <v>107014.3600000001</v>
      </c>
      <c r="O880" s="391">
        <f t="shared" si="319"/>
        <v>0</v>
      </c>
      <c r="P880" s="391">
        <f t="shared" si="319"/>
        <v>0</v>
      </c>
      <c r="Q880" s="391">
        <f t="shared" si="320"/>
        <v>107014.3600000001</v>
      </c>
      <c r="R880" s="101"/>
      <c r="S880" s="254">
        <f t="shared" si="317"/>
        <v>0.92856184245660878</v>
      </c>
      <c r="T880" s="254" t="str">
        <f t="shared" si="317"/>
        <v/>
      </c>
      <c r="U880" s="254" t="str">
        <f t="shared" si="317"/>
        <v/>
      </c>
      <c r="V880" s="254">
        <f t="shared" si="316"/>
        <v>0.92856184245660878</v>
      </c>
      <c r="W880" s="531"/>
      <c r="Y880" s="256" t="s">
        <v>598</v>
      </c>
      <c r="Z880" s="256" t="s">
        <v>598</v>
      </c>
    </row>
    <row r="881" spans="1:26" ht="11.25" customHeight="1">
      <c r="A881" s="528" t="s">
        <v>632</v>
      </c>
      <c r="B881" s="1013" t="s">
        <v>186</v>
      </c>
      <c r="C881" s="728"/>
      <c r="D881" s="649" t="s">
        <v>286</v>
      </c>
      <c r="E881" s="729" t="s">
        <v>286</v>
      </c>
      <c r="F881" s="103">
        <f>SUM('[3]chd7-SAOB'!AP14)</f>
        <v>1498000</v>
      </c>
      <c r="G881" s="103">
        <f>SUM('[3]chd7-SAOB'!AP50)</f>
        <v>0</v>
      </c>
      <c r="H881" s="103">
        <f>SUM('[3]chd7-SAOB'!AP142)</f>
        <v>0</v>
      </c>
      <c r="I881" s="103">
        <f>SUM(F881:H881)</f>
        <v>1498000</v>
      </c>
      <c r="J881" s="103">
        <f>SUM('[3]chd7-SAOB'!AP15)</f>
        <v>1390985.64</v>
      </c>
      <c r="K881" s="103">
        <f>SUM('[3]chd7-SAOB'!AP51)</f>
        <v>0</v>
      </c>
      <c r="L881" s="103">
        <f>SUM('[3]chd7-SAOB'!AP143)</f>
        <v>0</v>
      </c>
      <c r="M881" s="103">
        <f>SUM(J881:L881)</f>
        <v>1390985.64</v>
      </c>
      <c r="N881" s="103">
        <f t="shared" si="319"/>
        <v>107014.3600000001</v>
      </c>
      <c r="O881" s="103">
        <f t="shared" si="319"/>
        <v>0</v>
      </c>
      <c r="P881" s="103">
        <f t="shared" si="319"/>
        <v>0</v>
      </c>
      <c r="Q881" s="103">
        <f t="shared" si="320"/>
        <v>107014.3600000001</v>
      </c>
      <c r="S881" s="730">
        <f t="shared" si="317"/>
        <v>0.92856184245660878</v>
      </c>
      <c r="T881" s="730" t="str">
        <f t="shared" si="317"/>
        <v/>
      </c>
      <c r="U881" s="730" t="str">
        <f t="shared" si="317"/>
        <v/>
      </c>
      <c r="V881" s="730">
        <f t="shared" si="316"/>
        <v>0.92856184245660878</v>
      </c>
      <c r="W881" s="531"/>
      <c r="X881" s="236"/>
      <c r="Y881" s="236" t="s">
        <v>598</v>
      </c>
      <c r="Z881" s="236"/>
    </row>
    <row r="882" spans="1:26" s="272" customFormat="1" ht="11.25" customHeight="1">
      <c r="A882" s="528" t="s">
        <v>632</v>
      </c>
      <c r="B882" s="528" t="s">
        <v>186</v>
      </c>
      <c r="C882" s="389"/>
      <c r="D882" s="650" t="s">
        <v>98</v>
      </c>
      <c r="E882" s="390" t="s">
        <v>100</v>
      </c>
      <c r="F882" s="391">
        <f t="shared" ref="F882:M882" si="327">SUM(F883:F887)</f>
        <v>435000</v>
      </c>
      <c r="G882" s="391">
        <f t="shared" si="327"/>
        <v>5000000</v>
      </c>
      <c r="H882" s="391">
        <f t="shared" si="327"/>
        <v>0</v>
      </c>
      <c r="I882" s="391">
        <f t="shared" si="327"/>
        <v>5435000</v>
      </c>
      <c r="J882" s="391">
        <f t="shared" si="327"/>
        <v>435000</v>
      </c>
      <c r="K882" s="391">
        <f t="shared" si="327"/>
        <v>1527621.8</v>
      </c>
      <c r="L882" s="391">
        <f t="shared" si="327"/>
        <v>0</v>
      </c>
      <c r="M882" s="391">
        <f t="shared" si="327"/>
        <v>1962621.8</v>
      </c>
      <c r="N882" s="391">
        <f t="shared" si="319"/>
        <v>0</v>
      </c>
      <c r="O882" s="391">
        <f t="shared" si="319"/>
        <v>3472378.2</v>
      </c>
      <c r="P882" s="391">
        <f t="shared" si="319"/>
        <v>0</v>
      </c>
      <c r="Q882" s="391">
        <f t="shared" si="320"/>
        <v>3472378.2</v>
      </c>
      <c r="R882" s="102"/>
      <c r="S882" s="254">
        <f t="shared" si="317"/>
        <v>1</v>
      </c>
      <c r="T882" s="254">
        <f t="shared" si="317"/>
        <v>0.30552435999999999</v>
      </c>
      <c r="U882" s="254" t="str">
        <f t="shared" si="317"/>
        <v/>
      </c>
      <c r="V882" s="254">
        <f t="shared" si="316"/>
        <v>0.36110796688132474</v>
      </c>
      <c r="W882" s="531"/>
      <c r="Y882" s="272" t="s">
        <v>598</v>
      </c>
      <c r="Z882" s="256" t="s">
        <v>598</v>
      </c>
    </row>
    <row r="883" spans="1:26" ht="11.25" customHeight="1">
      <c r="A883" s="528" t="s">
        <v>632</v>
      </c>
      <c r="B883" s="1013" t="s">
        <v>186</v>
      </c>
      <c r="C883" s="728"/>
      <c r="D883" s="649" t="s">
        <v>288</v>
      </c>
      <c r="E883" s="729" t="s">
        <v>288</v>
      </c>
      <c r="F883" s="103">
        <f>SUM('[3]chd7-SAOB'!AX14)</f>
        <v>0</v>
      </c>
      <c r="G883" s="103">
        <f>SUM('[3]chd7-SAOB'!AX50)</f>
        <v>0</v>
      </c>
      <c r="H883" s="103">
        <f>SUM('[3]chd7-SAOB'!AX142)</f>
        <v>0</v>
      </c>
      <c r="I883" s="103">
        <f>SUM(F883:H883)</f>
        <v>0</v>
      </c>
      <c r="J883" s="103">
        <f>SUM('[3]chd7-SAOB'!AX15)</f>
        <v>0</v>
      </c>
      <c r="K883" s="103">
        <f>SUM('[3]chd7-SAOB'!AX51)</f>
        <v>0</v>
      </c>
      <c r="L883" s="103">
        <f>SUM('[3]chd7-SAOB'!AX143)</f>
        <v>0</v>
      </c>
      <c r="M883" s="103">
        <f>SUM(J883:L883)</f>
        <v>0</v>
      </c>
      <c r="N883" s="103">
        <f t="shared" si="319"/>
        <v>0</v>
      </c>
      <c r="O883" s="103">
        <f t="shared" si="319"/>
        <v>0</v>
      </c>
      <c r="P883" s="103">
        <f t="shared" si="319"/>
        <v>0</v>
      </c>
      <c r="Q883" s="103">
        <f t="shared" si="320"/>
        <v>0</v>
      </c>
      <c r="S883" s="730" t="str">
        <f t="shared" si="317"/>
        <v/>
      </c>
      <c r="T883" s="730" t="str">
        <f t="shared" si="317"/>
        <v/>
      </c>
      <c r="U883" s="730" t="str">
        <f t="shared" si="317"/>
        <v/>
      </c>
      <c r="V883" s="730" t="str">
        <f t="shared" si="316"/>
        <v/>
      </c>
      <c r="W883" s="531"/>
      <c r="X883" s="236"/>
      <c r="Y883" s="236" t="s">
        <v>598</v>
      </c>
      <c r="Z883" s="236"/>
    </row>
    <row r="884" spans="1:26" ht="11.25" customHeight="1">
      <c r="A884" s="528" t="s">
        <v>632</v>
      </c>
      <c r="B884" s="1013" t="s">
        <v>186</v>
      </c>
      <c r="C884" s="728"/>
      <c r="D884" s="649" t="s">
        <v>761</v>
      </c>
      <c r="E884" s="729" t="s">
        <v>761</v>
      </c>
      <c r="F884" s="104">
        <f>+'[3]chd7-SAOB'!C412</f>
        <v>435000</v>
      </c>
      <c r="G884" s="104"/>
      <c r="H884" s="104"/>
      <c r="I884" s="103">
        <f>SUM(F884:H884)</f>
        <v>435000</v>
      </c>
      <c r="J884" s="104">
        <f>+'[3]chd7-SAOB'!G412</f>
        <v>435000</v>
      </c>
      <c r="K884" s="104"/>
      <c r="L884" s="103"/>
      <c r="M884" s="103">
        <f>SUM(J884:L884)</f>
        <v>435000</v>
      </c>
      <c r="N884" s="103">
        <f>+F884-J884</f>
        <v>0</v>
      </c>
      <c r="O884" s="103">
        <f>+G884-K884</f>
        <v>0</v>
      </c>
      <c r="P884" s="103">
        <f>+H884-L884</f>
        <v>0</v>
      </c>
      <c r="Q884" s="103">
        <f>SUM(N884:P884)</f>
        <v>0</v>
      </c>
      <c r="S884" s="730">
        <f t="shared" si="317"/>
        <v>1</v>
      </c>
      <c r="T884" s="730" t="str">
        <f t="shared" si="317"/>
        <v/>
      </c>
      <c r="U884" s="730" t="str">
        <f t="shared" si="317"/>
        <v/>
      </c>
      <c r="V884" s="730">
        <f t="shared" si="316"/>
        <v>1</v>
      </c>
      <c r="W884" s="531"/>
      <c r="X884" s="236"/>
      <c r="Y884" s="236" t="s">
        <v>688</v>
      </c>
      <c r="Z884" s="236"/>
    </row>
    <row r="885" spans="1:26" ht="11.25" customHeight="1">
      <c r="A885" s="528" t="s">
        <v>632</v>
      </c>
      <c r="B885" s="1013" t="s">
        <v>186</v>
      </c>
      <c r="C885" s="410"/>
      <c r="D885" s="647"/>
      <c r="E885" s="461" t="s">
        <v>764</v>
      </c>
      <c r="F885" s="104"/>
      <c r="G885" s="104"/>
      <c r="H885" s="104"/>
      <c r="I885" s="103"/>
      <c r="J885" s="104"/>
      <c r="K885" s="104"/>
      <c r="L885" s="104"/>
      <c r="M885" s="103"/>
      <c r="N885" s="103"/>
      <c r="O885" s="103"/>
      <c r="P885" s="103"/>
      <c r="Q885" s="103"/>
      <c r="S885" s="730" t="str">
        <f t="shared" si="317"/>
        <v/>
      </c>
      <c r="T885" s="730" t="str">
        <f t="shared" si="317"/>
        <v/>
      </c>
      <c r="U885" s="730" t="str">
        <f t="shared" si="317"/>
        <v/>
      </c>
      <c r="V885" s="730" t="str">
        <f t="shared" si="316"/>
        <v/>
      </c>
      <c r="W885" s="531"/>
      <c r="X885" s="236"/>
      <c r="Y885" s="236" t="s">
        <v>688</v>
      </c>
      <c r="Z885" s="240"/>
    </row>
    <row r="886" spans="1:26" ht="11.25" customHeight="1">
      <c r="A886" s="528" t="s">
        <v>632</v>
      </c>
      <c r="B886" s="1013" t="s">
        <v>186</v>
      </c>
      <c r="C886" s="728"/>
      <c r="D886" s="649" t="s">
        <v>289</v>
      </c>
      <c r="E886" s="729" t="s">
        <v>289</v>
      </c>
      <c r="F886" s="103">
        <f>SUM('[3]chd7-SAOB'!BF14)</f>
        <v>0</v>
      </c>
      <c r="G886" s="103">
        <f>SUM('[3]chd7-SAOB'!BF50)</f>
        <v>0</v>
      </c>
      <c r="H886" s="103">
        <f>SUM('[3]chd7-SAOB'!BF142)</f>
        <v>0</v>
      </c>
      <c r="I886" s="103">
        <f>SUM(F886:H886)</f>
        <v>0</v>
      </c>
      <c r="J886" s="103">
        <f>SUM('[3]chd7-SAOB'!BF15)</f>
        <v>0</v>
      </c>
      <c r="K886" s="103">
        <f>SUM('[3]chd7-SAOB'!BF51)</f>
        <v>0</v>
      </c>
      <c r="L886" s="103">
        <f>SUM('[3]chd7-SAOB'!BF143)</f>
        <v>0</v>
      </c>
      <c r="M886" s="103">
        <f>SUM(J886:L886)</f>
        <v>0</v>
      </c>
      <c r="N886" s="103">
        <f t="shared" si="319"/>
        <v>0</v>
      </c>
      <c r="O886" s="103">
        <f t="shared" si="319"/>
        <v>0</v>
      </c>
      <c r="P886" s="103">
        <f t="shared" si="319"/>
        <v>0</v>
      </c>
      <c r="Q886" s="103">
        <f t="shared" si="320"/>
        <v>0</v>
      </c>
      <c r="S886" s="730" t="str">
        <f t="shared" si="317"/>
        <v/>
      </c>
      <c r="T886" s="730" t="str">
        <f t="shared" si="317"/>
        <v/>
      </c>
      <c r="U886" s="730" t="str">
        <f t="shared" si="317"/>
        <v/>
      </c>
      <c r="V886" s="730" t="str">
        <f t="shared" si="316"/>
        <v/>
      </c>
      <c r="W886" s="531"/>
      <c r="X886" s="236"/>
      <c r="Y886" s="236" t="s">
        <v>598</v>
      </c>
      <c r="Z886" s="236"/>
    </row>
    <row r="887" spans="1:26" ht="11.25" customHeight="1">
      <c r="A887" s="528" t="s">
        <v>632</v>
      </c>
      <c r="B887" s="1013" t="s">
        <v>186</v>
      </c>
      <c r="C887" s="728"/>
      <c r="D887" s="649" t="s">
        <v>290</v>
      </c>
      <c r="E887" s="729" t="s">
        <v>290</v>
      </c>
      <c r="F887" s="103">
        <f>SUM('[3]chd7-SAOB'!BN14)</f>
        <v>0</v>
      </c>
      <c r="G887" s="103">
        <f>SUM('[3]chd7-SAOB'!BN50)</f>
        <v>5000000</v>
      </c>
      <c r="H887" s="103">
        <f>SUM('[3]chd7-SAOB'!BN142)</f>
        <v>0</v>
      </c>
      <c r="I887" s="103">
        <f>SUM(F887:H887)</f>
        <v>5000000</v>
      </c>
      <c r="J887" s="103">
        <f>SUM('[3]chd7-SAOB'!BN15)</f>
        <v>0</v>
      </c>
      <c r="K887" s="103">
        <f>SUM('[3]chd7-SAOB'!BN51)</f>
        <v>1527621.8</v>
      </c>
      <c r="L887" s="103">
        <f>SUM('[3]chd7-SAOB'!BN143)</f>
        <v>0</v>
      </c>
      <c r="M887" s="103">
        <f>SUM(J887:L887)</f>
        <v>1527621.8</v>
      </c>
      <c r="N887" s="103">
        <f t="shared" si="319"/>
        <v>0</v>
      </c>
      <c r="O887" s="103">
        <f t="shared" si="319"/>
        <v>3472378.2</v>
      </c>
      <c r="P887" s="103">
        <f t="shared" si="319"/>
        <v>0</v>
      </c>
      <c r="Q887" s="103">
        <f t="shared" si="320"/>
        <v>3472378.2</v>
      </c>
      <c r="S887" s="730" t="str">
        <f t="shared" si="317"/>
        <v/>
      </c>
      <c r="T887" s="730">
        <f t="shared" si="317"/>
        <v>0.30552435999999999</v>
      </c>
      <c r="U887" s="730" t="str">
        <f t="shared" si="317"/>
        <v/>
      </c>
      <c r="V887" s="730">
        <f t="shared" si="316"/>
        <v>0.30552435999999999</v>
      </c>
      <c r="W887" s="531"/>
      <c r="X887" s="236"/>
      <c r="Y887" s="236" t="s">
        <v>598</v>
      </c>
      <c r="Z887" s="236"/>
    </row>
    <row r="888" spans="1:26" s="259" customFormat="1" ht="11.25" customHeight="1">
      <c r="A888" s="246" t="s">
        <v>632</v>
      </c>
      <c r="B888" s="235" t="s">
        <v>186</v>
      </c>
      <c r="C888" s="656"/>
      <c r="D888" s="656"/>
      <c r="E888" s="657" t="s">
        <v>4</v>
      </c>
      <c r="F888" s="652">
        <f>+F878+F880+F882</f>
        <v>18811000</v>
      </c>
      <c r="G888" s="652">
        <f t="shared" ref="G888:M888" si="328">+G878+G880+G882</f>
        <v>29320000</v>
      </c>
      <c r="H888" s="652">
        <f t="shared" si="328"/>
        <v>0</v>
      </c>
      <c r="I888" s="652">
        <f t="shared" si="328"/>
        <v>48131000</v>
      </c>
      <c r="J888" s="652">
        <f t="shared" si="328"/>
        <v>17449889.079999998</v>
      </c>
      <c r="K888" s="652">
        <f t="shared" si="328"/>
        <v>18658543.510000002</v>
      </c>
      <c r="L888" s="652">
        <f t="shared" si="328"/>
        <v>0</v>
      </c>
      <c r="M888" s="652">
        <f t="shared" si="328"/>
        <v>36108432.589999996</v>
      </c>
      <c r="N888" s="652">
        <f t="shared" si="319"/>
        <v>1361110.9200000018</v>
      </c>
      <c r="O888" s="652">
        <f t="shared" si="319"/>
        <v>10661456.489999998</v>
      </c>
      <c r="P888" s="652">
        <f t="shared" si="319"/>
        <v>0</v>
      </c>
      <c r="Q888" s="652">
        <f t="shared" si="320"/>
        <v>12022567.41</v>
      </c>
      <c r="R888" s="653">
        <f>+Q888-'[3]chd7-SAOB'!CX179</f>
        <v>0</v>
      </c>
      <c r="S888" s="1008">
        <f t="shared" si="317"/>
        <v>0.92764281962681405</v>
      </c>
      <c r="T888" s="1008">
        <f t="shared" si="317"/>
        <v>0.63637597237380639</v>
      </c>
      <c r="U888" s="1008" t="str">
        <f t="shared" si="317"/>
        <v/>
      </c>
      <c r="V888" s="1008">
        <f t="shared" si="316"/>
        <v>0.75021155990941379</v>
      </c>
      <c r="W888" s="254"/>
      <c r="X888" s="520"/>
      <c r="Y888" s="610" t="s">
        <v>598</v>
      </c>
      <c r="Z888" s="241" t="s">
        <v>598</v>
      </c>
    </row>
    <row r="889" spans="1:26" ht="11.25" hidden="1" customHeight="1">
      <c r="A889" s="246" t="s">
        <v>632</v>
      </c>
      <c r="B889" s="235" t="s">
        <v>186</v>
      </c>
      <c r="C889" s="410"/>
      <c r="D889" s="386"/>
      <c r="E889" s="461" t="s">
        <v>764</v>
      </c>
      <c r="F889" s="103"/>
      <c r="G889" s="103"/>
      <c r="H889" s="103"/>
      <c r="I889" s="103"/>
      <c r="J889" s="103"/>
      <c r="K889" s="103"/>
      <c r="L889" s="103"/>
      <c r="M889" s="103"/>
      <c r="N889" s="103">
        <f t="shared" si="319"/>
        <v>0</v>
      </c>
      <c r="O889" s="103">
        <f t="shared" si="319"/>
        <v>0</v>
      </c>
      <c r="P889" s="103">
        <f t="shared" si="319"/>
        <v>0</v>
      </c>
      <c r="Q889" s="103">
        <f t="shared" si="320"/>
        <v>0</v>
      </c>
      <c r="R889" s="236"/>
      <c r="S889" s="730" t="str">
        <f t="shared" si="317"/>
        <v/>
      </c>
      <c r="T889" s="730" t="str">
        <f t="shared" si="317"/>
        <v/>
      </c>
      <c r="U889" s="730" t="str">
        <f t="shared" si="317"/>
        <v/>
      </c>
      <c r="V889" s="730" t="str">
        <f t="shared" si="316"/>
        <v/>
      </c>
      <c r="W889" s="254"/>
    </row>
    <row r="890" spans="1:26" s="675" customFormat="1" ht="11.25" customHeight="1">
      <c r="A890" s="528" t="s">
        <v>632</v>
      </c>
      <c r="B890" s="528" t="s">
        <v>187</v>
      </c>
      <c r="C890" s="407" t="s">
        <v>98</v>
      </c>
      <c r="D890" s="655" t="s">
        <v>148</v>
      </c>
      <c r="E890" s="408" t="s">
        <v>822</v>
      </c>
      <c r="F890" s="673"/>
      <c r="G890" s="673"/>
      <c r="H890" s="673"/>
      <c r="I890" s="674">
        <f>SUM(F890:H890)</f>
        <v>0</v>
      </c>
      <c r="J890" s="673"/>
      <c r="K890" s="673"/>
      <c r="L890" s="673"/>
      <c r="M890" s="674">
        <f>SUM(J890:L890)</f>
        <v>0</v>
      </c>
      <c r="N890" s="674">
        <f t="shared" si="319"/>
        <v>0</v>
      </c>
      <c r="O890" s="674">
        <f t="shared" si="319"/>
        <v>0</v>
      </c>
      <c r="P890" s="674">
        <f t="shared" si="319"/>
        <v>0</v>
      </c>
      <c r="Q890" s="674">
        <f t="shared" si="320"/>
        <v>0</v>
      </c>
      <c r="R890" s="101"/>
      <c r="S890" s="254" t="str">
        <f t="shared" si="317"/>
        <v/>
      </c>
      <c r="T890" s="254" t="str">
        <f t="shared" si="317"/>
        <v/>
      </c>
      <c r="U890" s="254" t="str">
        <f t="shared" si="317"/>
        <v/>
      </c>
      <c r="V890" s="254" t="str">
        <f t="shared" si="316"/>
        <v/>
      </c>
      <c r="W890" s="531"/>
      <c r="Y890" s="272" t="s">
        <v>598</v>
      </c>
      <c r="Z890" s="260" t="s">
        <v>598</v>
      </c>
    </row>
    <row r="891" spans="1:26" ht="11.25" customHeight="1">
      <c r="A891" s="528" t="s">
        <v>632</v>
      </c>
      <c r="B891" s="1013" t="s">
        <v>187</v>
      </c>
      <c r="C891" s="461"/>
      <c r="D891" s="645" t="s">
        <v>766</v>
      </c>
      <c r="E891" s="447" t="s">
        <v>766</v>
      </c>
      <c r="F891" s="104">
        <f>+'[3]chd7-SAOB'!C416</f>
        <v>11698000</v>
      </c>
      <c r="G891" s="104">
        <f>+'[3]chd7-SAOB'!D416</f>
        <v>4629000</v>
      </c>
      <c r="H891" s="104">
        <f>+'[3]chd7-SAOB'!E416</f>
        <v>0</v>
      </c>
      <c r="I891" s="103">
        <f>SUM(F891:H891)</f>
        <v>16327000</v>
      </c>
      <c r="J891" s="104">
        <f>+'[3]chd7-SAOB'!G416</f>
        <v>10864929.470000003</v>
      </c>
      <c r="K891" s="104">
        <f>+'[3]chd7-SAOB'!H416</f>
        <v>3535313.0999999996</v>
      </c>
      <c r="L891" s="104">
        <f>+'[3]chd7-SAOB'!I416</f>
        <v>0</v>
      </c>
      <c r="M891" s="103">
        <f>SUM(J891:L891)</f>
        <v>14400242.570000002</v>
      </c>
      <c r="N891" s="103">
        <f t="shared" si="319"/>
        <v>833070.52999999747</v>
      </c>
      <c r="O891" s="103">
        <f t="shared" si="319"/>
        <v>1093686.9000000004</v>
      </c>
      <c r="P891" s="103">
        <f t="shared" si="319"/>
        <v>0</v>
      </c>
      <c r="Q891" s="103">
        <f t="shared" si="320"/>
        <v>1926757.4299999978</v>
      </c>
      <c r="S891" s="730">
        <f t="shared" si="317"/>
        <v>0.92878521713113371</v>
      </c>
      <c r="T891" s="730">
        <f t="shared" si="317"/>
        <v>0.76373149708360333</v>
      </c>
      <c r="U891" s="730" t="str">
        <f t="shared" si="317"/>
        <v/>
      </c>
      <c r="V891" s="730">
        <f t="shared" si="316"/>
        <v>0.88198950021436895</v>
      </c>
      <c r="W891" s="531"/>
      <c r="X891" s="236"/>
      <c r="Y891" s="236" t="s">
        <v>688</v>
      </c>
      <c r="Z891" s="236"/>
    </row>
    <row r="892" spans="1:26" ht="11.25" customHeight="1">
      <c r="A892" s="528" t="s">
        <v>632</v>
      </c>
      <c r="B892" s="1013" t="s">
        <v>187</v>
      </c>
      <c r="C892" s="728"/>
      <c r="D892" s="649" t="s">
        <v>50</v>
      </c>
      <c r="E892" s="447" t="s">
        <v>50</v>
      </c>
      <c r="F892" s="104"/>
      <c r="G892" s="104">
        <f>+'[3]chd7-SAOB'!D418</f>
        <v>1310000</v>
      </c>
      <c r="H892" s="104">
        <f>+'[3]chd7-SAOB'!E418</f>
        <v>0</v>
      </c>
      <c r="I892" s="103">
        <f>SUM(F892:H892)</f>
        <v>1310000</v>
      </c>
      <c r="J892" s="104"/>
      <c r="K892" s="104">
        <f>+'[3]chd7-SAOB'!H418</f>
        <v>1089328.6600000001</v>
      </c>
      <c r="L892" s="104">
        <f>+'[3]chd7-SAOB'!I418</f>
        <v>0</v>
      </c>
      <c r="M892" s="103">
        <f>SUM(J892:L892)</f>
        <v>1089328.6600000001</v>
      </c>
      <c r="N892" s="103">
        <f t="shared" si="319"/>
        <v>0</v>
      </c>
      <c r="O892" s="103">
        <f t="shared" si="319"/>
        <v>220671.33999999985</v>
      </c>
      <c r="P892" s="103">
        <f t="shared" si="319"/>
        <v>0</v>
      </c>
      <c r="Q892" s="103">
        <f t="shared" si="320"/>
        <v>220671.33999999985</v>
      </c>
      <c r="S892" s="730" t="str">
        <f t="shared" si="317"/>
        <v/>
      </c>
      <c r="T892" s="730">
        <f t="shared" si="317"/>
        <v>0.83154859541984749</v>
      </c>
      <c r="U892" s="730" t="str">
        <f t="shared" si="317"/>
        <v/>
      </c>
      <c r="V892" s="730">
        <f t="shared" si="316"/>
        <v>0.83154859541984749</v>
      </c>
      <c r="W892" s="531"/>
      <c r="X892" s="236"/>
      <c r="Y892" s="236" t="s">
        <v>688</v>
      </c>
      <c r="Z892" s="236"/>
    </row>
    <row r="893" spans="1:26" s="256" customFormat="1" ht="11.25" customHeight="1">
      <c r="A893" s="528" t="s">
        <v>632</v>
      </c>
      <c r="B893" s="528" t="s">
        <v>187</v>
      </c>
      <c r="C893" s="389"/>
      <c r="D893" s="650" t="s">
        <v>98</v>
      </c>
      <c r="E893" s="390" t="s">
        <v>767</v>
      </c>
      <c r="F893" s="391">
        <f>+F891+F892</f>
        <v>11698000</v>
      </c>
      <c r="G893" s="391">
        <f t="shared" ref="G893:M893" si="329">+G891+G892</f>
        <v>5939000</v>
      </c>
      <c r="H893" s="391">
        <f t="shared" si="329"/>
        <v>0</v>
      </c>
      <c r="I893" s="391">
        <f t="shared" si="329"/>
        <v>17637000</v>
      </c>
      <c r="J893" s="391">
        <f t="shared" si="329"/>
        <v>10864929.470000003</v>
      </c>
      <c r="K893" s="391">
        <f t="shared" si="329"/>
        <v>4624641.76</v>
      </c>
      <c r="L893" s="391">
        <f t="shared" si="329"/>
        <v>0</v>
      </c>
      <c r="M893" s="391">
        <f t="shared" si="329"/>
        <v>15489571.230000002</v>
      </c>
      <c r="N893" s="391">
        <f t="shared" si="319"/>
        <v>833070.52999999747</v>
      </c>
      <c r="O893" s="391">
        <f t="shared" si="319"/>
        <v>1314358.2400000002</v>
      </c>
      <c r="P893" s="391">
        <f t="shared" si="319"/>
        <v>0</v>
      </c>
      <c r="Q893" s="391">
        <f t="shared" si="320"/>
        <v>2147428.7699999977</v>
      </c>
      <c r="R893" s="101"/>
      <c r="S893" s="254">
        <f t="shared" si="317"/>
        <v>0.92878521713113371</v>
      </c>
      <c r="T893" s="254">
        <f t="shared" si="317"/>
        <v>0.77869031150025259</v>
      </c>
      <c r="U893" s="254" t="str">
        <f t="shared" si="317"/>
        <v/>
      </c>
      <c r="V893" s="254">
        <f t="shared" si="316"/>
        <v>0.87824296819186953</v>
      </c>
      <c r="W893" s="531"/>
      <c r="Y893" s="256" t="s">
        <v>598</v>
      </c>
      <c r="Z893" s="256" t="s">
        <v>598</v>
      </c>
    </row>
    <row r="894" spans="1:26" ht="11.25" hidden="1" customHeight="1">
      <c r="A894" s="528" t="s">
        <v>632</v>
      </c>
      <c r="B894" s="1013" t="s">
        <v>187</v>
      </c>
      <c r="C894" s="410"/>
      <c r="D894" s="651"/>
      <c r="E894" s="806" t="s">
        <v>764</v>
      </c>
      <c r="F894" s="807"/>
      <c r="G894" s="807"/>
      <c r="H894" s="807"/>
      <c r="I894" s="807"/>
      <c r="J894" s="807"/>
      <c r="K894" s="807"/>
      <c r="L894" s="807"/>
      <c r="M894" s="807"/>
      <c r="N894" s="807">
        <f t="shared" si="319"/>
        <v>0</v>
      </c>
      <c r="O894" s="807">
        <f t="shared" si="319"/>
        <v>0</v>
      </c>
      <c r="P894" s="807">
        <f t="shared" si="319"/>
        <v>0</v>
      </c>
      <c r="Q894" s="807">
        <f t="shared" si="320"/>
        <v>0</v>
      </c>
      <c r="R894" s="276"/>
      <c r="S894" s="730" t="str">
        <f t="shared" si="317"/>
        <v/>
      </c>
      <c r="T894" s="730" t="str">
        <f t="shared" si="317"/>
        <v/>
      </c>
      <c r="U894" s="730" t="str">
        <f t="shared" si="317"/>
        <v/>
      </c>
      <c r="V894" s="730" t="str">
        <f t="shared" si="316"/>
        <v/>
      </c>
      <c r="W894" s="531"/>
      <c r="X894" s="236"/>
      <c r="Y894" s="236"/>
      <c r="Z894" s="236"/>
    </row>
    <row r="895" spans="1:26" s="256" customFormat="1" ht="11.25" customHeight="1">
      <c r="A895" s="528" t="s">
        <v>632</v>
      </c>
      <c r="B895" s="528" t="s">
        <v>187</v>
      </c>
      <c r="C895" s="389"/>
      <c r="D895" s="650" t="s">
        <v>98</v>
      </c>
      <c r="E895" s="390" t="s">
        <v>99</v>
      </c>
      <c r="F895" s="391">
        <f>+F896</f>
        <v>1071000</v>
      </c>
      <c r="G895" s="391">
        <f t="shared" ref="G895:M895" si="330">+G896</f>
        <v>0</v>
      </c>
      <c r="H895" s="391">
        <f t="shared" si="330"/>
        <v>0</v>
      </c>
      <c r="I895" s="391">
        <f t="shared" si="330"/>
        <v>1071000</v>
      </c>
      <c r="J895" s="391">
        <f t="shared" si="330"/>
        <v>973734.31</v>
      </c>
      <c r="K895" s="391">
        <f t="shared" si="330"/>
        <v>0</v>
      </c>
      <c r="L895" s="391">
        <f t="shared" si="330"/>
        <v>0</v>
      </c>
      <c r="M895" s="391">
        <f t="shared" si="330"/>
        <v>973734.31</v>
      </c>
      <c r="N895" s="391">
        <f t="shared" si="319"/>
        <v>97265.689999999944</v>
      </c>
      <c r="O895" s="391">
        <f t="shared" si="319"/>
        <v>0</v>
      </c>
      <c r="P895" s="391">
        <f t="shared" si="319"/>
        <v>0</v>
      </c>
      <c r="Q895" s="391">
        <f t="shared" si="320"/>
        <v>97265.689999999944</v>
      </c>
      <c r="R895" s="101"/>
      <c r="S895" s="254">
        <f t="shared" si="317"/>
        <v>0.90918236227824467</v>
      </c>
      <c r="T895" s="254" t="str">
        <f t="shared" si="317"/>
        <v/>
      </c>
      <c r="U895" s="254" t="str">
        <f t="shared" si="317"/>
        <v/>
      </c>
      <c r="V895" s="254">
        <f t="shared" si="316"/>
        <v>0.90918236227824467</v>
      </c>
      <c r="W895" s="531"/>
      <c r="Y895" s="256" t="s">
        <v>598</v>
      </c>
      <c r="Z895" s="256" t="s">
        <v>598</v>
      </c>
    </row>
    <row r="896" spans="1:26" ht="11.25" customHeight="1">
      <c r="A896" s="528" t="s">
        <v>632</v>
      </c>
      <c r="B896" s="1013" t="s">
        <v>187</v>
      </c>
      <c r="C896" s="728"/>
      <c r="D896" s="649" t="s">
        <v>286</v>
      </c>
      <c r="E896" s="729" t="s">
        <v>286</v>
      </c>
      <c r="F896" s="103">
        <f>SUM('[3]chd7-SAOB'!AQ14)</f>
        <v>1071000</v>
      </c>
      <c r="G896" s="103">
        <f>SUM('[3]chd7-SAOB'!AQ50)</f>
        <v>0</v>
      </c>
      <c r="H896" s="103">
        <f>SUM('[3]chd7-SAOB'!AQ142)</f>
        <v>0</v>
      </c>
      <c r="I896" s="103">
        <f>SUM(F896:H896)</f>
        <v>1071000</v>
      </c>
      <c r="J896" s="103">
        <f>SUM('[3]chd7-SAOB'!AQ15)</f>
        <v>973734.31</v>
      </c>
      <c r="K896" s="103">
        <f>SUM('[3]chd7-SAOB'!AQ51)</f>
        <v>0</v>
      </c>
      <c r="L896" s="103">
        <f>SUM('[3]chd7-SAOB'!AQ143)</f>
        <v>0</v>
      </c>
      <c r="M896" s="103">
        <f>SUM(J896:L896)</f>
        <v>973734.31</v>
      </c>
      <c r="N896" s="103">
        <f t="shared" si="319"/>
        <v>97265.689999999944</v>
      </c>
      <c r="O896" s="103">
        <f t="shared" si="319"/>
        <v>0</v>
      </c>
      <c r="P896" s="103">
        <f t="shared" si="319"/>
        <v>0</v>
      </c>
      <c r="Q896" s="103">
        <f t="shared" si="320"/>
        <v>97265.689999999944</v>
      </c>
      <c r="S896" s="730">
        <f t="shared" si="317"/>
        <v>0.90918236227824467</v>
      </c>
      <c r="T896" s="730" t="str">
        <f t="shared" si="317"/>
        <v/>
      </c>
      <c r="U896" s="730" t="str">
        <f t="shared" si="317"/>
        <v/>
      </c>
      <c r="V896" s="730">
        <f t="shared" si="316"/>
        <v>0.90918236227824467</v>
      </c>
      <c r="W896" s="531"/>
      <c r="X896" s="236"/>
      <c r="Y896" s="236" t="s">
        <v>598</v>
      </c>
      <c r="Z896" s="236"/>
    </row>
    <row r="897" spans="1:26" s="272" customFormat="1" ht="11.25" customHeight="1">
      <c r="A897" s="528" t="s">
        <v>632</v>
      </c>
      <c r="B897" s="528" t="s">
        <v>187</v>
      </c>
      <c r="C897" s="389"/>
      <c r="D897" s="650" t="s">
        <v>98</v>
      </c>
      <c r="E897" s="390" t="s">
        <v>100</v>
      </c>
      <c r="F897" s="391">
        <f t="shared" ref="F897:M897" si="331">SUM(F898:F902)</f>
        <v>389500</v>
      </c>
      <c r="G897" s="391">
        <f t="shared" si="331"/>
        <v>0</v>
      </c>
      <c r="H897" s="391">
        <f t="shared" si="331"/>
        <v>0</v>
      </c>
      <c r="I897" s="391">
        <f t="shared" si="331"/>
        <v>389500</v>
      </c>
      <c r="J897" s="391">
        <f t="shared" si="331"/>
        <v>389500</v>
      </c>
      <c r="K897" s="391">
        <f t="shared" si="331"/>
        <v>0</v>
      </c>
      <c r="L897" s="391">
        <f t="shared" si="331"/>
        <v>0</v>
      </c>
      <c r="M897" s="391">
        <f t="shared" si="331"/>
        <v>389500</v>
      </c>
      <c r="N897" s="391">
        <f t="shared" si="319"/>
        <v>0</v>
      </c>
      <c r="O897" s="391">
        <f t="shared" si="319"/>
        <v>0</v>
      </c>
      <c r="P897" s="391">
        <f t="shared" si="319"/>
        <v>0</v>
      </c>
      <c r="Q897" s="391">
        <f t="shared" si="320"/>
        <v>0</v>
      </c>
      <c r="R897" s="102"/>
      <c r="S897" s="254">
        <f t="shared" si="317"/>
        <v>1</v>
      </c>
      <c r="T897" s="254" t="str">
        <f t="shared" si="317"/>
        <v/>
      </c>
      <c r="U897" s="254" t="str">
        <f t="shared" si="317"/>
        <v/>
      </c>
      <c r="V897" s="254">
        <f t="shared" si="316"/>
        <v>1</v>
      </c>
      <c r="W897" s="531"/>
      <c r="Y897" s="272" t="s">
        <v>598</v>
      </c>
      <c r="Z897" s="256" t="s">
        <v>598</v>
      </c>
    </row>
    <row r="898" spans="1:26" ht="11.25" customHeight="1">
      <c r="A898" s="528" t="s">
        <v>632</v>
      </c>
      <c r="B898" s="1013" t="s">
        <v>187</v>
      </c>
      <c r="C898" s="728"/>
      <c r="D898" s="649" t="s">
        <v>288</v>
      </c>
      <c r="E898" s="729" t="s">
        <v>288</v>
      </c>
      <c r="F898" s="103">
        <f>SUM('[3]chd7-SAOB'!AY14)</f>
        <v>0</v>
      </c>
      <c r="G898" s="103">
        <f>SUM('[3]chd7-SAOB'!AY50)</f>
        <v>0</v>
      </c>
      <c r="H898" s="103">
        <f>SUM('[3]chd7-SAOB'!AY142)</f>
        <v>0</v>
      </c>
      <c r="I898" s="103">
        <f>SUM(F898:H898)</f>
        <v>0</v>
      </c>
      <c r="J898" s="103">
        <f>SUM('[3]chd7-SAOB'!AY15)</f>
        <v>0</v>
      </c>
      <c r="K898" s="103">
        <f>SUM('[3]chd7-SAOB'!AY51)</f>
        <v>0</v>
      </c>
      <c r="L898" s="103">
        <f>SUM('[3]chd7-SAOB'!AY143)</f>
        <v>0</v>
      </c>
      <c r="M898" s="103">
        <f>SUM(J898:L898)</f>
        <v>0</v>
      </c>
      <c r="N898" s="103">
        <f t="shared" si="319"/>
        <v>0</v>
      </c>
      <c r="O898" s="103">
        <f t="shared" si="319"/>
        <v>0</v>
      </c>
      <c r="P898" s="103">
        <f t="shared" si="319"/>
        <v>0</v>
      </c>
      <c r="Q898" s="103">
        <f t="shared" si="320"/>
        <v>0</v>
      </c>
      <c r="S898" s="730" t="str">
        <f t="shared" si="317"/>
        <v/>
      </c>
      <c r="T898" s="730" t="str">
        <f t="shared" si="317"/>
        <v/>
      </c>
      <c r="U898" s="730" t="str">
        <f t="shared" si="317"/>
        <v/>
      </c>
      <c r="V898" s="730" t="str">
        <f t="shared" si="316"/>
        <v/>
      </c>
      <c r="W898" s="531"/>
      <c r="X898" s="236"/>
      <c r="Y898" s="236" t="s">
        <v>598</v>
      </c>
      <c r="Z898" s="236"/>
    </row>
    <row r="899" spans="1:26" ht="11.25" customHeight="1">
      <c r="A899" s="528" t="s">
        <v>632</v>
      </c>
      <c r="B899" s="1013" t="s">
        <v>187</v>
      </c>
      <c r="C899" s="728"/>
      <c r="D899" s="649" t="s">
        <v>761</v>
      </c>
      <c r="E899" s="729" t="s">
        <v>761</v>
      </c>
      <c r="F899" s="104">
        <f>+'[3]chd7-SAOB'!C418</f>
        <v>389500</v>
      </c>
      <c r="G899" s="104"/>
      <c r="H899" s="104"/>
      <c r="I899" s="103">
        <f>SUM(F899:H899)</f>
        <v>389500</v>
      </c>
      <c r="J899" s="104">
        <f>+'[3]chd7-SAOB'!G418</f>
        <v>389500</v>
      </c>
      <c r="K899" s="104"/>
      <c r="L899" s="103"/>
      <c r="M899" s="103">
        <f>SUM(J899:L899)</f>
        <v>389500</v>
      </c>
      <c r="N899" s="103">
        <f t="shared" si="319"/>
        <v>0</v>
      </c>
      <c r="O899" s="103">
        <f t="shared" si="319"/>
        <v>0</v>
      </c>
      <c r="P899" s="103">
        <f t="shared" si="319"/>
        <v>0</v>
      </c>
      <c r="Q899" s="103">
        <f>SUM(N899:P899)</f>
        <v>0</v>
      </c>
      <c r="S899" s="730">
        <f t="shared" si="317"/>
        <v>1</v>
      </c>
      <c r="T899" s="730" t="str">
        <f t="shared" si="317"/>
        <v/>
      </c>
      <c r="U899" s="730" t="str">
        <f t="shared" si="317"/>
        <v/>
      </c>
      <c r="V899" s="730">
        <f t="shared" si="316"/>
        <v>1</v>
      </c>
      <c r="W899" s="531"/>
      <c r="X899" s="236"/>
      <c r="Y899" s="236" t="s">
        <v>688</v>
      </c>
      <c r="Z899" s="236"/>
    </row>
    <row r="900" spans="1:26" ht="11.25" customHeight="1">
      <c r="A900" s="528" t="s">
        <v>632</v>
      </c>
      <c r="B900" s="1013" t="s">
        <v>187</v>
      </c>
      <c r="C900" s="410"/>
      <c r="D900" s="647"/>
      <c r="E900" s="461" t="s">
        <v>764</v>
      </c>
      <c r="F900" s="104"/>
      <c r="G900" s="104"/>
      <c r="H900" s="104"/>
      <c r="I900" s="103"/>
      <c r="J900" s="104"/>
      <c r="K900" s="104"/>
      <c r="L900" s="104"/>
      <c r="M900" s="103"/>
      <c r="N900" s="103"/>
      <c r="O900" s="103"/>
      <c r="P900" s="103"/>
      <c r="Q900" s="103"/>
      <c r="S900" s="730" t="str">
        <f t="shared" si="317"/>
        <v/>
      </c>
      <c r="T900" s="730" t="str">
        <f t="shared" si="317"/>
        <v/>
      </c>
      <c r="U900" s="730" t="str">
        <f t="shared" si="317"/>
        <v/>
      </c>
      <c r="V900" s="730" t="str">
        <f t="shared" si="316"/>
        <v/>
      </c>
      <c r="W900" s="531"/>
      <c r="X900" s="236"/>
      <c r="Y900" s="236" t="s">
        <v>688</v>
      </c>
      <c r="Z900" s="240"/>
    </row>
    <row r="901" spans="1:26" ht="11.25" customHeight="1">
      <c r="A901" s="528" t="s">
        <v>632</v>
      </c>
      <c r="B901" s="1013" t="s">
        <v>187</v>
      </c>
      <c r="C901" s="728"/>
      <c r="D901" s="649" t="s">
        <v>289</v>
      </c>
      <c r="E901" s="729" t="s">
        <v>289</v>
      </c>
      <c r="F901" s="103">
        <f>SUM('[3]chd7-SAOB'!BG14)</f>
        <v>0</v>
      </c>
      <c r="G901" s="103">
        <f>SUM('[3]chd7-SAOB'!BG50)</f>
        <v>0</v>
      </c>
      <c r="H901" s="103">
        <f>SUM('[3]chd7-SAOB'!BG142)</f>
        <v>0</v>
      </c>
      <c r="I901" s="103">
        <f>SUM(F901:H901)</f>
        <v>0</v>
      </c>
      <c r="J901" s="103">
        <f>SUM('[3]chd7-SAOB'!BG15)</f>
        <v>0</v>
      </c>
      <c r="K901" s="103">
        <f>SUM('[3]chd7-SAOB'!BG51)</f>
        <v>0</v>
      </c>
      <c r="L901" s="103">
        <f>SUM('[3]chd7-SAOB'!BG143)</f>
        <v>0</v>
      </c>
      <c r="M901" s="103">
        <f>SUM(J901:L901)</f>
        <v>0</v>
      </c>
      <c r="N901" s="103">
        <f t="shared" si="319"/>
        <v>0</v>
      </c>
      <c r="O901" s="103">
        <f t="shared" si="319"/>
        <v>0</v>
      </c>
      <c r="P901" s="103">
        <f t="shared" si="319"/>
        <v>0</v>
      </c>
      <c r="Q901" s="103">
        <f t="shared" si="320"/>
        <v>0</v>
      </c>
      <c r="S901" s="730" t="str">
        <f t="shared" si="317"/>
        <v/>
      </c>
      <c r="T901" s="730" t="str">
        <f t="shared" si="317"/>
        <v/>
      </c>
      <c r="U901" s="730" t="str">
        <f t="shared" si="317"/>
        <v/>
      </c>
      <c r="V901" s="730" t="str">
        <f t="shared" si="316"/>
        <v/>
      </c>
      <c r="W901" s="531"/>
      <c r="X901" s="236"/>
      <c r="Y901" s="236" t="s">
        <v>598</v>
      </c>
      <c r="Z901" s="236"/>
    </row>
    <row r="902" spans="1:26" ht="11.25" customHeight="1">
      <c r="A902" s="528" t="s">
        <v>632</v>
      </c>
      <c r="B902" s="1013" t="s">
        <v>187</v>
      </c>
      <c r="C902" s="728"/>
      <c r="D902" s="649" t="s">
        <v>290</v>
      </c>
      <c r="E902" s="729" t="s">
        <v>290</v>
      </c>
      <c r="F902" s="103">
        <f>SUM('[3]chd7-SAOB'!BO14)</f>
        <v>0</v>
      </c>
      <c r="G902" s="103">
        <f>SUM('[3]chd7-SAOB'!BO50)</f>
        <v>0</v>
      </c>
      <c r="H902" s="103">
        <f>SUM('[3]chd7-SAOB'!BO142)</f>
        <v>0</v>
      </c>
      <c r="I902" s="103">
        <f>SUM(F902:H902)</f>
        <v>0</v>
      </c>
      <c r="J902" s="103">
        <f>SUM('[3]chd7-SAOB'!BO15)</f>
        <v>0</v>
      </c>
      <c r="K902" s="103">
        <f>SUM('[3]chd7-SAOB'!BO51)</f>
        <v>0</v>
      </c>
      <c r="L902" s="103">
        <f>SUM('[3]chd7-SAOB'!BO143)</f>
        <v>0</v>
      </c>
      <c r="M902" s="103">
        <f>SUM(J902:L902)</f>
        <v>0</v>
      </c>
      <c r="N902" s="103">
        <f t="shared" si="319"/>
        <v>0</v>
      </c>
      <c r="O902" s="103">
        <f t="shared" si="319"/>
        <v>0</v>
      </c>
      <c r="P902" s="103">
        <f t="shared" si="319"/>
        <v>0</v>
      </c>
      <c r="Q902" s="103">
        <f t="shared" si="320"/>
        <v>0</v>
      </c>
      <c r="S902" s="730" t="str">
        <f t="shared" si="317"/>
        <v/>
      </c>
      <c r="T902" s="730" t="str">
        <f t="shared" si="317"/>
        <v/>
      </c>
      <c r="U902" s="730" t="str">
        <f t="shared" si="317"/>
        <v/>
      </c>
      <c r="V902" s="730" t="str">
        <f t="shared" si="316"/>
        <v/>
      </c>
      <c r="W902" s="531"/>
      <c r="X902" s="236"/>
      <c r="Y902" s="236" t="s">
        <v>598</v>
      </c>
      <c r="Z902" s="236"/>
    </row>
    <row r="903" spans="1:26" s="259" customFormat="1" ht="11.25" customHeight="1">
      <c r="A903" s="246" t="s">
        <v>632</v>
      </c>
      <c r="B903" s="235" t="s">
        <v>187</v>
      </c>
      <c r="C903" s="656"/>
      <c r="D903" s="656"/>
      <c r="E903" s="657" t="s">
        <v>4</v>
      </c>
      <c r="F903" s="652">
        <f>+F893+F895+F897</f>
        <v>13158500</v>
      </c>
      <c r="G903" s="652">
        <f t="shared" ref="G903:M903" si="332">+G893+G895+G897</f>
        <v>5939000</v>
      </c>
      <c r="H903" s="652">
        <f t="shared" si="332"/>
        <v>0</v>
      </c>
      <c r="I903" s="652">
        <f t="shared" si="332"/>
        <v>19097500</v>
      </c>
      <c r="J903" s="652">
        <f t="shared" si="332"/>
        <v>12228163.780000003</v>
      </c>
      <c r="K903" s="652">
        <f t="shared" si="332"/>
        <v>4624641.76</v>
      </c>
      <c r="L903" s="652">
        <f t="shared" si="332"/>
        <v>0</v>
      </c>
      <c r="M903" s="652">
        <f t="shared" si="332"/>
        <v>16852805.540000003</v>
      </c>
      <c r="N903" s="652">
        <f t="shared" si="319"/>
        <v>930336.21999999695</v>
      </c>
      <c r="O903" s="652">
        <f t="shared" si="319"/>
        <v>1314358.2400000002</v>
      </c>
      <c r="P903" s="652">
        <f t="shared" si="319"/>
        <v>0</v>
      </c>
      <c r="Q903" s="652">
        <f t="shared" si="320"/>
        <v>2244694.4599999972</v>
      </c>
      <c r="R903" s="653">
        <f>+Q903-'[3]chd7-SAOB'!CY179</f>
        <v>0</v>
      </c>
      <c r="S903" s="1008">
        <f t="shared" si="317"/>
        <v>0.92929769958581931</v>
      </c>
      <c r="T903" s="1008">
        <f t="shared" si="317"/>
        <v>0.77869031150025259</v>
      </c>
      <c r="U903" s="1008" t="str">
        <f t="shared" si="317"/>
        <v/>
      </c>
      <c r="V903" s="1008">
        <f t="shared" si="316"/>
        <v>0.88246134520225172</v>
      </c>
      <c r="W903" s="254"/>
      <c r="X903" s="520"/>
      <c r="Y903" s="610" t="s">
        <v>598</v>
      </c>
      <c r="Z903" s="241" t="s">
        <v>598</v>
      </c>
    </row>
    <row r="904" spans="1:26" ht="11.25" customHeight="1">
      <c r="A904" s="246" t="s">
        <v>632</v>
      </c>
      <c r="B904" s="235" t="s">
        <v>187</v>
      </c>
      <c r="C904" s="410"/>
      <c r="D904" s="386"/>
      <c r="E904" s="461" t="s">
        <v>764</v>
      </c>
      <c r="F904" s="103"/>
      <c r="G904" s="103"/>
      <c r="H904" s="103"/>
      <c r="I904" s="103">
        <f>SUM(F904:H904)</f>
        <v>0</v>
      </c>
      <c r="J904" s="103"/>
      <c r="K904" s="103"/>
      <c r="L904" s="103"/>
      <c r="M904" s="103">
        <f>SUM(J904:L904)</f>
        <v>0</v>
      </c>
      <c r="N904" s="103">
        <f t="shared" si="319"/>
        <v>0</v>
      </c>
      <c r="O904" s="103">
        <f t="shared" si="319"/>
        <v>0</v>
      </c>
      <c r="P904" s="103">
        <f t="shared" si="319"/>
        <v>0</v>
      </c>
      <c r="Q904" s="103">
        <f t="shared" si="320"/>
        <v>0</v>
      </c>
      <c r="S904" s="730" t="str">
        <f t="shared" si="317"/>
        <v/>
      </c>
      <c r="T904" s="730" t="str">
        <f t="shared" si="317"/>
        <v/>
      </c>
      <c r="U904" s="730" t="str">
        <f t="shared" si="317"/>
        <v/>
      </c>
      <c r="V904" s="730" t="str">
        <f t="shared" si="316"/>
        <v/>
      </c>
      <c r="W904" s="254"/>
      <c r="Y904" s="610" t="s">
        <v>598</v>
      </c>
      <c r="Z904" s="241" t="s">
        <v>598</v>
      </c>
    </row>
    <row r="905" spans="1:26" s="675" customFormat="1" ht="11.25" customHeight="1">
      <c r="A905" s="528" t="s">
        <v>632</v>
      </c>
      <c r="B905" s="528" t="s">
        <v>188</v>
      </c>
      <c r="C905" s="407" t="s">
        <v>98</v>
      </c>
      <c r="D905" s="655" t="s">
        <v>189</v>
      </c>
      <c r="E905" s="408" t="s">
        <v>823</v>
      </c>
      <c r="F905" s="673"/>
      <c r="G905" s="673"/>
      <c r="H905" s="673"/>
      <c r="I905" s="674">
        <f>SUM(F905:H905)</f>
        <v>0</v>
      </c>
      <c r="J905" s="673"/>
      <c r="K905" s="673"/>
      <c r="L905" s="673"/>
      <c r="M905" s="674">
        <f>SUM(J905:L905)</f>
        <v>0</v>
      </c>
      <c r="N905" s="674">
        <f t="shared" si="319"/>
        <v>0</v>
      </c>
      <c r="O905" s="674">
        <f t="shared" si="319"/>
        <v>0</v>
      </c>
      <c r="P905" s="674">
        <f t="shared" si="319"/>
        <v>0</v>
      </c>
      <c r="Q905" s="674">
        <f t="shared" si="320"/>
        <v>0</v>
      </c>
      <c r="R905" s="101"/>
      <c r="S905" s="254" t="str">
        <f t="shared" si="317"/>
        <v/>
      </c>
      <c r="T905" s="254" t="str">
        <f t="shared" si="317"/>
        <v/>
      </c>
      <c r="U905" s="254" t="str">
        <f t="shared" si="317"/>
        <v/>
      </c>
      <c r="V905" s="254" t="str">
        <f t="shared" si="316"/>
        <v/>
      </c>
      <c r="W905" s="531"/>
      <c r="Y905" s="272" t="s">
        <v>598</v>
      </c>
      <c r="Z905" s="260" t="s">
        <v>598</v>
      </c>
    </row>
    <row r="906" spans="1:26" ht="11.25" customHeight="1">
      <c r="A906" s="528" t="s">
        <v>632</v>
      </c>
      <c r="B906" s="1013" t="s">
        <v>188</v>
      </c>
      <c r="C906" s="461"/>
      <c r="D906" s="645" t="s">
        <v>766</v>
      </c>
      <c r="E906" s="447" t="s">
        <v>766</v>
      </c>
      <c r="F906" s="104">
        <f>+'[3]chd7-SAOB'!C422</f>
        <v>14546146</v>
      </c>
      <c r="G906" s="104">
        <f>+'[3]chd7-SAOB'!D422</f>
        <v>7349854</v>
      </c>
      <c r="H906" s="104">
        <f>+'[3]chd7-SAOB'!E422</f>
        <v>0</v>
      </c>
      <c r="I906" s="103">
        <f>SUM(F906:H906)</f>
        <v>21896000</v>
      </c>
      <c r="J906" s="104">
        <f>+'[3]chd7-SAOB'!G422</f>
        <v>13395467.75</v>
      </c>
      <c r="K906" s="104">
        <f>+'[3]chd7-SAOB'!H422</f>
        <v>6864631.5800000001</v>
      </c>
      <c r="L906" s="104">
        <f>+'[3]chd7-SAOB'!I422</f>
        <v>0</v>
      </c>
      <c r="M906" s="103">
        <f>SUM(J906:L906)</f>
        <v>20260099.329999998</v>
      </c>
      <c r="N906" s="103">
        <f t="shared" si="319"/>
        <v>1150678.25</v>
      </c>
      <c r="O906" s="103">
        <f t="shared" si="319"/>
        <v>485222.41999999993</v>
      </c>
      <c r="P906" s="103">
        <f t="shared" si="319"/>
        <v>0</v>
      </c>
      <c r="Q906" s="103">
        <f t="shared" si="320"/>
        <v>1635900.67</v>
      </c>
      <c r="S906" s="730">
        <f t="shared" si="317"/>
        <v>0.92089463078398914</v>
      </c>
      <c r="T906" s="730">
        <f t="shared" si="317"/>
        <v>0.93398203284038028</v>
      </c>
      <c r="U906" s="730" t="str">
        <f t="shared" si="317"/>
        <v/>
      </c>
      <c r="V906" s="730">
        <f t="shared" si="316"/>
        <v>0.92528769318596993</v>
      </c>
      <c r="W906" s="531"/>
      <c r="X906" s="236"/>
      <c r="Y906" s="236" t="s">
        <v>688</v>
      </c>
      <c r="Z906" s="236"/>
    </row>
    <row r="907" spans="1:26" ht="11.25" customHeight="1">
      <c r="A907" s="528" t="s">
        <v>632</v>
      </c>
      <c r="B907" s="1013" t="s">
        <v>188</v>
      </c>
      <c r="C907" s="728"/>
      <c r="D907" s="649" t="s">
        <v>50</v>
      </c>
      <c r="E907" s="447" t="s">
        <v>50</v>
      </c>
      <c r="F907" s="104"/>
      <c r="G907" s="104">
        <f>+'[3]chd7-SAOB'!D424</f>
        <v>2846000</v>
      </c>
      <c r="H907" s="104">
        <f>+'[3]chd7-SAOB'!E424</f>
        <v>3000000</v>
      </c>
      <c r="I907" s="103">
        <f>SUM(F907:H907)</f>
        <v>5846000</v>
      </c>
      <c r="J907" s="104"/>
      <c r="K907" s="104">
        <f>+'[3]chd7-SAOB'!H424</f>
        <v>2359700.37</v>
      </c>
      <c r="L907" s="104">
        <f>+'[3]chd7-SAOB'!I424</f>
        <v>2955655.58</v>
      </c>
      <c r="M907" s="103">
        <f>SUM(J907:L907)</f>
        <v>5315355.95</v>
      </c>
      <c r="N907" s="103">
        <f t="shared" si="319"/>
        <v>0</v>
      </c>
      <c r="O907" s="103">
        <f t="shared" si="319"/>
        <v>486299.62999999989</v>
      </c>
      <c r="P907" s="103">
        <f t="shared" si="319"/>
        <v>44344.419999999925</v>
      </c>
      <c r="Q907" s="103">
        <f t="shared" si="320"/>
        <v>530644.04999999981</v>
      </c>
      <c r="S907" s="730" t="str">
        <f t="shared" si="317"/>
        <v/>
      </c>
      <c r="T907" s="730">
        <f t="shared" si="317"/>
        <v>0.829128731553057</v>
      </c>
      <c r="U907" s="730">
        <f t="shared" si="317"/>
        <v>0.98521852666666665</v>
      </c>
      <c r="V907" s="730">
        <f t="shared" si="316"/>
        <v>0.90922955011974005</v>
      </c>
      <c r="W907" s="531"/>
      <c r="X907" s="236"/>
      <c r="Y907" s="236" t="s">
        <v>688</v>
      </c>
      <c r="Z907" s="236"/>
    </row>
    <row r="908" spans="1:26" s="256" customFormat="1" ht="11.25" customHeight="1">
      <c r="A908" s="528" t="s">
        <v>632</v>
      </c>
      <c r="B908" s="528" t="s">
        <v>188</v>
      </c>
      <c r="C908" s="389"/>
      <c r="D908" s="650" t="s">
        <v>98</v>
      </c>
      <c r="E908" s="390" t="s">
        <v>767</v>
      </c>
      <c r="F908" s="391">
        <f>+F906+F907</f>
        <v>14546146</v>
      </c>
      <c r="G908" s="391">
        <f t="shared" ref="G908:M908" si="333">+G906+G907</f>
        <v>10195854</v>
      </c>
      <c r="H908" s="391">
        <f t="shared" si="333"/>
        <v>3000000</v>
      </c>
      <c r="I908" s="391">
        <f t="shared" si="333"/>
        <v>27742000</v>
      </c>
      <c r="J908" s="391">
        <f t="shared" si="333"/>
        <v>13395467.75</v>
      </c>
      <c r="K908" s="391">
        <f t="shared" si="333"/>
        <v>9224331.9499999993</v>
      </c>
      <c r="L908" s="391">
        <f t="shared" si="333"/>
        <v>2955655.58</v>
      </c>
      <c r="M908" s="391">
        <f t="shared" si="333"/>
        <v>25575455.279999997</v>
      </c>
      <c r="N908" s="391">
        <f t="shared" si="319"/>
        <v>1150678.25</v>
      </c>
      <c r="O908" s="391">
        <f t="shared" si="319"/>
        <v>971522.05000000075</v>
      </c>
      <c r="P908" s="391">
        <f t="shared" si="319"/>
        <v>44344.419999999925</v>
      </c>
      <c r="Q908" s="391">
        <f t="shared" si="320"/>
        <v>2166544.7200000007</v>
      </c>
      <c r="R908" s="101"/>
      <c r="S908" s="254">
        <f t="shared" si="317"/>
        <v>0.92089463078398914</v>
      </c>
      <c r="T908" s="254">
        <f t="shared" si="317"/>
        <v>0.90471400924336498</v>
      </c>
      <c r="U908" s="254">
        <f t="shared" si="317"/>
        <v>0.98521852666666665</v>
      </c>
      <c r="V908" s="254">
        <f t="shared" si="316"/>
        <v>0.92190380217720413</v>
      </c>
      <c r="W908" s="531"/>
      <c r="Y908" s="256" t="s">
        <v>598</v>
      </c>
      <c r="Z908" s="256" t="s">
        <v>598</v>
      </c>
    </row>
    <row r="909" spans="1:26" ht="11.25" hidden="1" customHeight="1">
      <c r="A909" s="528" t="s">
        <v>632</v>
      </c>
      <c r="B909" s="1013" t="s">
        <v>188</v>
      </c>
      <c r="C909" s="410"/>
      <c r="D909" s="651"/>
      <c r="E909" s="806" t="s">
        <v>764</v>
      </c>
      <c r="F909" s="807"/>
      <c r="G909" s="807"/>
      <c r="H909" s="807"/>
      <c r="I909" s="807"/>
      <c r="J909" s="807"/>
      <c r="K909" s="807"/>
      <c r="L909" s="807"/>
      <c r="M909" s="807"/>
      <c r="N909" s="807">
        <f t="shared" si="319"/>
        <v>0</v>
      </c>
      <c r="O909" s="807">
        <f t="shared" si="319"/>
        <v>0</v>
      </c>
      <c r="P909" s="807">
        <f t="shared" si="319"/>
        <v>0</v>
      </c>
      <c r="Q909" s="807">
        <f t="shared" si="320"/>
        <v>0</v>
      </c>
      <c r="R909" s="276"/>
      <c r="S909" s="730" t="str">
        <f t="shared" si="317"/>
        <v/>
      </c>
      <c r="T909" s="730" t="str">
        <f t="shared" si="317"/>
        <v/>
      </c>
      <c r="U909" s="730" t="str">
        <f t="shared" si="317"/>
        <v/>
      </c>
      <c r="V909" s="730" t="str">
        <f t="shared" si="316"/>
        <v/>
      </c>
      <c r="W909" s="531"/>
      <c r="X909" s="236"/>
      <c r="Y909" s="236"/>
      <c r="Z909" s="236"/>
    </row>
    <row r="910" spans="1:26" s="256" customFormat="1" ht="11.25" customHeight="1">
      <c r="A910" s="528" t="s">
        <v>632</v>
      </c>
      <c r="B910" s="528" t="s">
        <v>188</v>
      </c>
      <c r="C910" s="389"/>
      <c r="D910" s="650" t="s">
        <v>98</v>
      </c>
      <c r="E910" s="390" t="s">
        <v>99</v>
      </c>
      <c r="F910" s="391">
        <f>+F911</f>
        <v>1384270</v>
      </c>
      <c r="G910" s="391">
        <f t="shared" ref="G910:M910" si="334">+G911</f>
        <v>0</v>
      </c>
      <c r="H910" s="391">
        <f t="shared" si="334"/>
        <v>0</v>
      </c>
      <c r="I910" s="391">
        <f t="shared" si="334"/>
        <v>1384270</v>
      </c>
      <c r="J910" s="391">
        <f t="shared" si="334"/>
        <v>1172644.2500000002</v>
      </c>
      <c r="K910" s="391">
        <f t="shared" si="334"/>
        <v>0</v>
      </c>
      <c r="L910" s="391">
        <f t="shared" si="334"/>
        <v>0</v>
      </c>
      <c r="M910" s="391">
        <f t="shared" si="334"/>
        <v>1172644.2500000002</v>
      </c>
      <c r="N910" s="391">
        <f t="shared" si="319"/>
        <v>211625.74999999977</v>
      </c>
      <c r="O910" s="391">
        <f t="shared" si="319"/>
        <v>0</v>
      </c>
      <c r="P910" s="391">
        <f t="shared" si="319"/>
        <v>0</v>
      </c>
      <c r="Q910" s="391">
        <f t="shared" si="320"/>
        <v>211625.74999999977</v>
      </c>
      <c r="R910" s="101"/>
      <c r="S910" s="254">
        <f t="shared" si="317"/>
        <v>0.84712104574974556</v>
      </c>
      <c r="T910" s="254" t="str">
        <f t="shared" si="317"/>
        <v/>
      </c>
      <c r="U910" s="254" t="str">
        <f t="shared" si="317"/>
        <v/>
      </c>
      <c r="V910" s="254">
        <f t="shared" si="316"/>
        <v>0.84712104574974556</v>
      </c>
      <c r="W910" s="531"/>
      <c r="Y910" s="256" t="s">
        <v>598</v>
      </c>
      <c r="Z910" s="256" t="s">
        <v>598</v>
      </c>
    </row>
    <row r="911" spans="1:26" ht="11.25" customHeight="1">
      <c r="A911" s="528" t="s">
        <v>632</v>
      </c>
      <c r="B911" s="1013" t="s">
        <v>188</v>
      </c>
      <c r="C911" s="728"/>
      <c r="D911" s="649" t="s">
        <v>286</v>
      </c>
      <c r="E911" s="729" t="s">
        <v>286</v>
      </c>
      <c r="F911" s="103">
        <f>SUM('[3]chd7-SAOB'!AR14)</f>
        <v>1384270</v>
      </c>
      <c r="G911" s="103">
        <f>SUM('[3]chd7-SAOB'!AR50)</f>
        <v>0</v>
      </c>
      <c r="H911" s="103">
        <f>SUM('[3]chd7-SAOB'!AR142)</f>
        <v>0</v>
      </c>
      <c r="I911" s="103">
        <f>SUM(F911:H911)</f>
        <v>1384270</v>
      </c>
      <c r="J911" s="103">
        <f>SUM('[3]chd7-SAOB'!AR15)</f>
        <v>1172644.2500000002</v>
      </c>
      <c r="K911" s="103">
        <f>SUM('[3]chd7-SAOB'!AR51)</f>
        <v>0</v>
      </c>
      <c r="L911" s="103">
        <f>SUM('[3]chd7-SAOB'!AR143)</f>
        <v>0</v>
      </c>
      <c r="M911" s="103">
        <f>SUM(J911:L911)</f>
        <v>1172644.2500000002</v>
      </c>
      <c r="N911" s="103">
        <f t="shared" si="319"/>
        <v>211625.74999999977</v>
      </c>
      <c r="O911" s="103">
        <f t="shared" si="319"/>
        <v>0</v>
      </c>
      <c r="P911" s="103">
        <f t="shared" si="319"/>
        <v>0</v>
      </c>
      <c r="Q911" s="103">
        <f t="shared" si="320"/>
        <v>211625.74999999977</v>
      </c>
      <c r="S911" s="730">
        <f t="shared" si="317"/>
        <v>0.84712104574974556</v>
      </c>
      <c r="T911" s="730" t="str">
        <f t="shared" si="317"/>
        <v/>
      </c>
      <c r="U911" s="730" t="str">
        <f t="shared" si="317"/>
        <v/>
      </c>
      <c r="V911" s="730">
        <f t="shared" si="316"/>
        <v>0.84712104574974556</v>
      </c>
      <c r="W911" s="531"/>
      <c r="X911" s="236"/>
      <c r="Y911" s="236" t="s">
        <v>598</v>
      </c>
      <c r="Z911" s="236"/>
    </row>
    <row r="912" spans="1:26" s="272" customFormat="1" ht="11.25" customHeight="1">
      <c r="A912" s="528" t="s">
        <v>632</v>
      </c>
      <c r="B912" s="528" t="s">
        <v>188</v>
      </c>
      <c r="C912" s="389"/>
      <c r="D912" s="650" t="s">
        <v>98</v>
      </c>
      <c r="E912" s="390" t="s">
        <v>100</v>
      </c>
      <c r="F912" s="391">
        <f t="shared" ref="F912:M912" si="335">SUM(F913:F917)</f>
        <v>1289011</v>
      </c>
      <c r="G912" s="391">
        <f t="shared" si="335"/>
        <v>200000</v>
      </c>
      <c r="H912" s="391">
        <f t="shared" si="335"/>
        <v>0</v>
      </c>
      <c r="I912" s="391">
        <f t="shared" si="335"/>
        <v>1489011</v>
      </c>
      <c r="J912" s="391">
        <f t="shared" si="335"/>
        <v>1208898.5</v>
      </c>
      <c r="K912" s="391">
        <f t="shared" si="335"/>
        <v>199992</v>
      </c>
      <c r="L912" s="391">
        <f t="shared" si="335"/>
        <v>0</v>
      </c>
      <c r="M912" s="391">
        <f t="shared" si="335"/>
        <v>1408890.5</v>
      </c>
      <c r="N912" s="391">
        <f t="shared" si="319"/>
        <v>80112.5</v>
      </c>
      <c r="O912" s="391">
        <f t="shared" si="319"/>
        <v>8</v>
      </c>
      <c r="P912" s="391">
        <f t="shared" si="319"/>
        <v>0</v>
      </c>
      <c r="Q912" s="391">
        <f t="shared" si="320"/>
        <v>80120.5</v>
      </c>
      <c r="R912" s="102"/>
      <c r="S912" s="254">
        <f t="shared" si="317"/>
        <v>0.93784963821100054</v>
      </c>
      <c r="T912" s="254">
        <f t="shared" si="317"/>
        <v>0.99995999999999996</v>
      </c>
      <c r="U912" s="254" t="str">
        <f t="shared" si="317"/>
        <v/>
      </c>
      <c r="V912" s="254">
        <f t="shared" si="316"/>
        <v>0.94619213692847126</v>
      </c>
      <c r="W912" s="531"/>
      <c r="Y912" s="272" t="s">
        <v>598</v>
      </c>
      <c r="Z912" s="256" t="s">
        <v>598</v>
      </c>
    </row>
    <row r="913" spans="1:26" ht="11.25" customHeight="1">
      <c r="A913" s="528" t="s">
        <v>632</v>
      </c>
      <c r="B913" s="1013" t="s">
        <v>188</v>
      </c>
      <c r="C913" s="728"/>
      <c r="D913" s="649" t="s">
        <v>288</v>
      </c>
      <c r="E913" s="729" t="s">
        <v>288</v>
      </c>
      <c r="F913" s="103">
        <f>SUM('[3]chd7-SAOB'!AZ14)</f>
        <v>934011</v>
      </c>
      <c r="G913" s="103">
        <f>SUM('[3]chd7-SAOB'!AZ50)</f>
        <v>0</v>
      </c>
      <c r="H913" s="103">
        <f>SUM('[3]chd7-SAOB'!AZ142)</f>
        <v>0</v>
      </c>
      <c r="I913" s="103">
        <f>SUM(F913:H913)</f>
        <v>934011</v>
      </c>
      <c r="J913" s="103">
        <f>SUM('[3]chd7-SAOB'!AZ15)</f>
        <v>858898.5</v>
      </c>
      <c r="K913" s="103">
        <f>SUM('[3]chd7-SAOB'!AZ51)</f>
        <v>0</v>
      </c>
      <c r="L913" s="103">
        <f>SUM('[3]chd7-SAOB'!AZ143)</f>
        <v>0</v>
      </c>
      <c r="M913" s="103">
        <f>SUM(J913:L913)</f>
        <v>858898.5</v>
      </c>
      <c r="N913" s="103">
        <f t="shared" si="319"/>
        <v>75112.5</v>
      </c>
      <c r="O913" s="103">
        <f t="shared" si="319"/>
        <v>0</v>
      </c>
      <c r="P913" s="103">
        <f t="shared" si="319"/>
        <v>0</v>
      </c>
      <c r="Q913" s="103">
        <f t="shared" si="320"/>
        <v>75112.5</v>
      </c>
      <c r="S913" s="730">
        <f t="shared" si="317"/>
        <v>0.91958071157620203</v>
      </c>
      <c r="T913" s="730" t="str">
        <f t="shared" si="317"/>
        <v/>
      </c>
      <c r="U913" s="730" t="str">
        <f t="shared" si="317"/>
        <v/>
      </c>
      <c r="V913" s="730">
        <f t="shared" si="316"/>
        <v>0.91958071157620203</v>
      </c>
      <c r="W913" s="531"/>
      <c r="X913" s="236"/>
      <c r="Y913" s="236" t="s">
        <v>598</v>
      </c>
      <c r="Z913" s="236"/>
    </row>
    <row r="914" spans="1:26" ht="11.25" customHeight="1">
      <c r="A914" s="528" t="s">
        <v>632</v>
      </c>
      <c r="B914" s="1013" t="s">
        <v>188</v>
      </c>
      <c r="C914" s="728"/>
      <c r="D914" s="649" t="s">
        <v>761</v>
      </c>
      <c r="E914" s="729" t="s">
        <v>761</v>
      </c>
      <c r="F914" s="104">
        <f>+'[3]chd7-SAOB'!C424</f>
        <v>355000</v>
      </c>
      <c r="G914" s="104"/>
      <c r="H914" s="104"/>
      <c r="I914" s="103">
        <f>SUM(F914:H914)</f>
        <v>355000</v>
      </c>
      <c r="J914" s="104">
        <f>+'[3]chd7-SAOB'!G424</f>
        <v>350000</v>
      </c>
      <c r="K914" s="104"/>
      <c r="L914" s="103"/>
      <c r="M914" s="103">
        <f>SUM(J914:L914)</f>
        <v>350000</v>
      </c>
      <c r="N914" s="103">
        <f>+F914-J914</f>
        <v>5000</v>
      </c>
      <c r="O914" s="103">
        <f>+G914-K914</f>
        <v>0</v>
      </c>
      <c r="P914" s="103">
        <f>+H914-L914</f>
        <v>0</v>
      </c>
      <c r="Q914" s="103">
        <f>SUM(N914:P914)</f>
        <v>5000</v>
      </c>
      <c r="S914" s="730">
        <f t="shared" si="317"/>
        <v>0.9859154929577465</v>
      </c>
      <c r="T914" s="730" t="str">
        <f t="shared" si="317"/>
        <v/>
      </c>
      <c r="U914" s="730" t="str">
        <f t="shared" si="317"/>
        <v/>
      </c>
      <c r="V914" s="730">
        <f t="shared" si="316"/>
        <v>0.9859154929577465</v>
      </c>
      <c r="W914" s="531"/>
      <c r="X914" s="236"/>
      <c r="Y914" s="236" t="s">
        <v>688</v>
      </c>
      <c r="Z914" s="236"/>
    </row>
    <row r="915" spans="1:26" ht="11.25" customHeight="1">
      <c r="A915" s="528" t="s">
        <v>632</v>
      </c>
      <c r="B915" s="1013" t="s">
        <v>188</v>
      </c>
      <c r="C915" s="410"/>
      <c r="D915" s="647"/>
      <c r="E915" s="461" t="s">
        <v>764</v>
      </c>
      <c r="F915" s="104"/>
      <c r="G915" s="104"/>
      <c r="H915" s="104"/>
      <c r="I915" s="103"/>
      <c r="J915" s="104"/>
      <c r="K915" s="104"/>
      <c r="L915" s="104"/>
      <c r="M915" s="103"/>
      <c r="N915" s="103"/>
      <c r="O915" s="103"/>
      <c r="P915" s="103"/>
      <c r="Q915" s="103"/>
      <c r="S915" s="730" t="str">
        <f t="shared" si="317"/>
        <v/>
      </c>
      <c r="T915" s="730" t="str">
        <f t="shared" si="317"/>
        <v/>
      </c>
      <c r="U915" s="730" t="str">
        <f t="shared" si="317"/>
        <v/>
      </c>
      <c r="V915" s="730" t="str">
        <f t="shared" si="316"/>
        <v/>
      </c>
      <c r="W915" s="531"/>
      <c r="X915" s="236"/>
      <c r="Y915" s="236" t="s">
        <v>688</v>
      </c>
      <c r="Z915" s="240"/>
    </row>
    <row r="916" spans="1:26" ht="11.25" customHeight="1">
      <c r="A916" s="528" t="s">
        <v>632</v>
      </c>
      <c r="B916" s="1013" t="s">
        <v>188</v>
      </c>
      <c r="C916" s="728"/>
      <c r="D916" s="649" t="s">
        <v>289</v>
      </c>
      <c r="E916" s="729" t="s">
        <v>289</v>
      </c>
      <c r="F916" s="103">
        <f>SUM('[3]chd7-SAOB'!BH14)</f>
        <v>0</v>
      </c>
      <c r="G916" s="103">
        <f>SUM('[3]chd7-SAOB'!BH50)</f>
        <v>0</v>
      </c>
      <c r="H916" s="103">
        <f>SUM('[3]chd7-SAOB'!BH142)</f>
        <v>0</v>
      </c>
      <c r="I916" s="103">
        <f>SUM(F916:H916)</f>
        <v>0</v>
      </c>
      <c r="J916" s="103">
        <f>SUM('[3]chd7-SAOB'!BH15)</f>
        <v>0</v>
      </c>
      <c r="K916" s="103">
        <f>SUM('[3]chd7-SAOB'!BH51)</f>
        <v>0</v>
      </c>
      <c r="L916" s="103">
        <f>SUM('[3]chd7-SAOB'!BH143)</f>
        <v>0</v>
      </c>
      <c r="M916" s="103">
        <f>SUM(J916:L916)</f>
        <v>0</v>
      </c>
      <c r="N916" s="103">
        <f t="shared" si="319"/>
        <v>0</v>
      </c>
      <c r="O916" s="103">
        <f t="shared" si="319"/>
        <v>0</v>
      </c>
      <c r="P916" s="103">
        <f t="shared" si="319"/>
        <v>0</v>
      </c>
      <c r="Q916" s="103">
        <f t="shared" si="320"/>
        <v>0</v>
      </c>
      <c r="S916" s="730" t="str">
        <f t="shared" si="317"/>
        <v/>
      </c>
      <c r="T916" s="730" t="str">
        <f t="shared" si="317"/>
        <v/>
      </c>
      <c r="U916" s="730" t="str">
        <f t="shared" si="317"/>
        <v/>
      </c>
      <c r="V916" s="730" t="str">
        <f t="shared" si="316"/>
        <v/>
      </c>
      <c r="W916" s="531"/>
      <c r="X916" s="236"/>
      <c r="Y916" s="236" t="s">
        <v>598</v>
      </c>
      <c r="Z916" s="236"/>
    </row>
    <row r="917" spans="1:26" ht="11.25" customHeight="1">
      <c r="A917" s="528" t="s">
        <v>632</v>
      </c>
      <c r="B917" s="1013" t="s">
        <v>188</v>
      </c>
      <c r="C917" s="728"/>
      <c r="D917" s="649" t="s">
        <v>290</v>
      </c>
      <c r="E917" s="729" t="s">
        <v>290</v>
      </c>
      <c r="F917" s="103">
        <f>SUM('[3]chd7-SAOB'!BP14)</f>
        <v>0</v>
      </c>
      <c r="G917" s="103">
        <f>SUM('[3]chd7-SAOB'!BP50)</f>
        <v>200000</v>
      </c>
      <c r="H917" s="103">
        <f>SUM('[3]chd7-SAOB'!BP142)</f>
        <v>0</v>
      </c>
      <c r="I917" s="103">
        <f>SUM(F917:H917)</f>
        <v>200000</v>
      </c>
      <c r="J917" s="103">
        <f>SUM('[3]chd7-SAOB'!BP15)</f>
        <v>0</v>
      </c>
      <c r="K917" s="103">
        <f>SUM('[3]chd7-SAOB'!BP51)</f>
        <v>199992</v>
      </c>
      <c r="L917" s="103">
        <f>SUM('[3]chd7-SAOB'!BP143)</f>
        <v>0</v>
      </c>
      <c r="M917" s="103">
        <f>SUM(J917:L917)</f>
        <v>199992</v>
      </c>
      <c r="N917" s="103">
        <f t="shared" si="319"/>
        <v>0</v>
      </c>
      <c r="O917" s="103">
        <f t="shared" si="319"/>
        <v>8</v>
      </c>
      <c r="P917" s="103">
        <f t="shared" si="319"/>
        <v>0</v>
      </c>
      <c r="Q917" s="103">
        <f t="shared" si="320"/>
        <v>8</v>
      </c>
      <c r="S917" s="730" t="str">
        <f t="shared" si="317"/>
        <v/>
      </c>
      <c r="T917" s="730">
        <f t="shared" si="317"/>
        <v>0.99995999999999996</v>
      </c>
      <c r="U917" s="730" t="str">
        <f t="shared" si="317"/>
        <v/>
      </c>
      <c r="V917" s="730">
        <f t="shared" si="316"/>
        <v>0.99995999999999996</v>
      </c>
      <c r="W917" s="531"/>
      <c r="X917" s="236"/>
      <c r="Y917" s="236" t="s">
        <v>598</v>
      </c>
      <c r="Z917" s="236"/>
    </row>
    <row r="918" spans="1:26" s="259" customFormat="1" ht="11.25" customHeight="1">
      <c r="A918" s="246" t="s">
        <v>632</v>
      </c>
      <c r="B918" s="235" t="s">
        <v>188</v>
      </c>
      <c r="C918" s="656"/>
      <c r="D918" s="656"/>
      <c r="E918" s="657" t="s">
        <v>4</v>
      </c>
      <c r="F918" s="652">
        <f>+F908+F910+F912</f>
        <v>17219427</v>
      </c>
      <c r="G918" s="652">
        <f t="shared" ref="G918:M918" si="336">+G908+G910+G912</f>
        <v>10395854</v>
      </c>
      <c r="H918" s="652">
        <f t="shared" si="336"/>
        <v>3000000</v>
      </c>
      <c r="I918" s="652">
        <f t="shared" si="336"/>
        <v>30615281</v>
      </c>
      <c r="J918" s="652">
        <f t="shared" si="336"/>
        <v>15777010.5</v>
      </c>
      <c r="K918" s="652">
        <f t="shared" si="336"/>
        <v>9424323.9499999993</v>
      </c>
      <c r="L918" s="652">
        <f t="shared" si="336"/>
        <v>2955655.58</v>
      </c>
      <c r="M918" s="652">
        <f t="shared" si="336"/>
        <v>28156990.029999997</v>
      </c>
      <c r="N918" s="652">
        <f t="shared" si="319"/>
        <v>1442416.5</v>
      </c>
      <c r="O918" s="652">
        <f t="shared" si="319"/>
        <v>971530.05000000075</v>
      </c>
      <c r="P918" s="652">
        <f t="shared" si="319"/>
        <v>44344.419999999925</v>
      </c>
      <c r="Q918" s="652">
        <f t="shared" si="320"/>
        <v>2458290.9700000007</v>
      </c>
      <c r="R918" s="653">
        <f>+Q918-'[3]chd7-SAOB'!CZ179</f>
        <v>0</v>
      </c>
      <c r="S918" s="1008">
        <f t="shared" si="317"/>
        <v>0.91623318824720479</v>
      </c>
      <c r="T918" s="1008">
        <f t="shared" si="317"/>
        <v>0.90654639339875298</v>
      </c>
      <c r="U918" s="1008">
        <f t="shared" si="317"/>
        <v>0.98521852666666665</v>
      </c>
      <c r="V918" s="1008">
        <f t="shared" si="316"/>
        <v>0.91970379203770813</v>
      </c>
      <c r="W918" s="254"/>
      <c r="X918" s="520"/>
      <c r="Y918" s="610" t="s">
        <v>598</v>
      </c>
      <c r="Z918" s="241" t="s">
        <v>598</v>
      </c>
    </row>
    <row r="919" spans="1:26" s="660" customFormat="1" ht="16.5" customHeight="1">
      <c r="A919" s="246" t="s">
        <v>632</v>
      </c>
      <c r="B919" s="1009" t="s">
        <v>633</v>
      </c>
      <c r="C919" s="1428" t="s">
        <v>631</v>
      </c>
      <c r="D919" s="1429"/>
      <c r="E919" s="1430"/>
      <c r="F919" s="659">
        <f>+F843+F858+F873+F888+F903+F918</f>
        <v>490149716</v>
      </c>
      <c r="G919" s="659">
        <f>+G843+G858+G873+G888+G903+G918</f>
        <v>377856044</v>
      </c>
      <c r="H919" s="659">
        <f>+H843+H858+H873+H888+H903+H918</f>
        <v>13032017</v>
      </c>
      <c r="I919" s="659">
        <f>SUM(F919:H919)</f>
        <v>881037777</v>
      </c>
      <c r="J919" s="659">
        <f>+J843+J858+J873+J888+J903+J918</f>
        <v>456601417.67000008</v>
      </c>
      <c r="K919" s="659">
        <f>+K843+K858+K873+K888+K903+K918</f>
        <v>338019725.01999998</v>
      </c>
      <c r="L919" s="659">
        <f>+L843+L858+L873+L888+L903+L918</f>
        <v>12035028.529999999</v>
      </c>
      <c r="M919" s="659">
        <f>SUM(J919:L919)</f>
        <v>806656171.22000003</v>
      </c>
      <c r="N919" s="659">
        <f t="shared" si="319"/>
        <v>33548298.329999924</v>
      </c>
      <c r="O919" s="659">
        <f t="shared" si="319"/>
        <v>39836318.980000019</v>
      </c>
      <c r="P919" s="659">
        <f t="shared" si="319"/>
        <v>996988.47000000067</v>
      </c>
      <c r="Q919" s="659">
        <f t="shared" si="320"/>
        <v>74381605.779999942</v>
      </c>
      <c r="R919" s="683"/>
      <c r="S919" s="1015">
        <f t="shared" si="317"/>
        <v>0.93155499792230845</v>
      </c>
      <c r="T919" s="1015">
        <f t="shared" si="317"/>
        <v>0.89457276226604432</v>
      </c>
      <c r="U919" s="1015">
        <f t="shared" si="317"/>
        <v>0.9234969943639576</v>
      </c>
      <c r="V919" s="1015">
        <f t="shared" si="317"/>
        <v>0.91557500969677497</v>
      </c>
      <c r="W919" s="254"/>
      <c r="X919" s="520"/>
      <c r="Y919" s="660" t="s">
        <v>598</v>
      </c>
    </row>
    <row r="920" spans="1:26" ht="11.25" customHeight="1">
      <c r="A920" s="246" t="s">
        <v>632</v>
      </c>
      <c r="B920" s="235" t="s">
        <v>633</v>
      </c>
      <c r="C920" s="1016"/>
      <c r="D920" s="386"/>
      <c r="E920" s="461"/>
      <c r="F920" s="103"/>
      <c r="G920" s="103"/>
      <c r="H920" s="103"/>
      <c r="I920" s="103">
        <f>SUM(F920:H920)</f>
        <v>0</v>
      </c>
      <c r="J920" s="103"/>
      <c r="K920" s="103"/>
      <c r="L920" s="103"/>
      <c r="M920" s="103">
        <f>SUM(J920:L920)</f>
        <v>0</v>
      </c>
      <c r="N920" s="103">
        <f t="shared" si="319"/>
        <v>0</v>
      </c>
      <c r="O920" s="103">
        <f t="shared" si="319"/>
        <v>0</v>
      </c>
      <c r="P920" s="103">
        <f t="shared" si="319"/>
        <v>0</v>
      </c>
      <c r="Q920" s="103">
        <f t="shared" si="320"/>
        <v>0</v>
      </c>
      <c r="S920" s="730" t="str">
        <f t="shared" ref="S920:V983" si="337">IF(F920=0,"",J920/F920)</f>
        <v/>
      </c>
      <c r="T920" s="730" t="str">
        <f t="shared" si="337"/>
        <v/>
      </c>
      <c r="U920" s="730" t="str">
        <f t="shared" si="337"/>
        <v/>
      </c>
      <c r="V920" s="730" t="str">
        <f t="shared" si="337"/>
        <v/>
      </c>
      <c r="W920" s="254"/>
      <c r="X920" s="520" t="s">
        <v>598</v>
      </c>
      <c r="Y920" s="610" t="s">
        <v>598</v>
      </c>
      <c r="Z920" s="241"/>
    </row>
    <row r="921" spans="1:26" s="275" customFormat="1" ht="11.25" hidden="1" customHeight="1">
      <c r="A921" s="246" t="s">
        <v>632</v>
      </c>
      <c r="B921" s="246" t="s">
        <v>633</v>
      </c>
      <c r="C921" s="407" t="s">
        <v>824</v>
      </c>
      <c r="D921" s="407"/>
      <c r="E921" s="408"/>
      <c r="F921" s="409"/>
      <c r="G921" s="409"/>
      <c r="H921" s="409"/>
      <c r="I921" s="409">
        <f>SUM(F921:H921)</f>
        <v>0</v>
      </c>
      <c r="J921" s="409"/>
      <c r="K921" s="409"/>
      <c r="L921" s="409"/>
      <c r="M921" s="409">
        <f>SUM(J921:L921)</f>
        <v>0</v>
      </c>
      <c r="N921" s="409">
        <f t="shared" si="319"/>
        <v>0</v>
      </c>
      <c r="O921" s="409">
        <f t="shared" si="319"/>
        <v>0</v>
      </c>
      <c r="P921" s="409">
        <f t="shared" si="319"/>
        <v>0</v>
      </c>
      <c r="Q921" s="409">
        <f t="shared" si="320"/>
        <v>0</v>
      </c>
      <c r="R921" s="522"/>
      <c r="S921" s="254" t="str">
        <f t="shared" si="337"/>
        <v/>
      </c>
      <c r="T921" s="254" t="str">
        <f t="shared" si="337"/>
        <v/>
      </c>
      <c r="U921" s="254" t="str">
        <f t="shared" si="337"/>
        <v/>
      </c>
      <c r="V921" s="1002" t="str">
        <f t="shared" si="337"/>
        <v/>
      </c>
      <c r="W921" s="254"/>
      <c r="X921" s="274" t="s">
        <v>598</v>
      </c>
      <c r="Y921" s="663"/>
      <c r="Z921" s="253"/>
    </row>
    <row r="922" spans="1:26" ht="11.25" hidden="1" customHeight="1">
      <c r="A922" s="246" t="s">
        <v>632</v>
      </c>
      <c r="B922" s="235" t="s">
        <v>633</v>
      </c>
      <c r="C922" s="461"/>
      <c r="D922" s="664" t="s">
        <v>766</v>
      </c>
      <c r="E922" s="447" t="s">
        <v>766</v>
      </c>
      <c r="F922" s="103">
        <f>+F812+F831+F846+F861+F876+F891+F906</f>
        <v>509198156</v>
      </c>
      <c r="G922" s="103">
        <f>+G812+G831+G846+G861+G876+G891+G906</f>
        <v>409937844</v>
      </c>
      <c r="H922" s="103">
        <f>+H812+H831+H846+H861+H876+H891+H906</f>
        <v>0</v>
      </c>
      <c r="I922" s="103">
        <f>SUM(F922:H922)</f>
        <v>919136000</v>
      </c>
      <c r="J922" s="103">
        <f>+J812+J831+J846+J861+J876+J891+J906</f>
        <v>471963150.01000005</v>
      </c>
      <c r="K922" s="103">
        <f>+K812+K831+K846+K861+K876+K891+K906</f>
        <v>337374898.74000001</v>
      </c>
      <c r="L922" s="103">
        <f>+L812+L831+L846+L861+L876+L891+L906</f>
        <v>0</v>
      </c>
      <c r="M922" s="103">
        <f>SUM(J922:L922)</f>
        <v>809338048.75</v>
      </c>
      <c r="N922" s="103">
        <f t="shared" si="319"/>
        <v>37235005.98999995</v>
      </c>
      <c r="O922" s="103">
        <f t="shared" si="319"/>
        <v>72562945.25999999</v>
      </c>
      <c r="P922" s="103">
        <f t="shared" si="319"/>
        <v>0</v>
      </c>
      <c r="Q922" s="103">
        <f t="shared" si="320"/>
        <v>109797951.24999994</v>
      </c>
      <c r="R922" s="236"/>
      <c r="S922" s="730">
        <f t="shared" si="337"/>
        <v>0.9268752143909964</v>
      </c>
      <c r="T922" s="730">
        <f t="shared" si="337"/>
        <v>0.82299037202332559</v>
      </c>
      <c r="U922" s="730" t="str">
        <f t="shared" si="337"/>
        <v/>
      </c>
      <c r="V922" s="730">
        <f t="shared" si="337"/>
        <v>0.88054221437306335</v>
      </c>
      <c r="W922" s="254"/>
      <c r="X922" s="237" t="s">
        <v>598</v>
      </c>
    </row>
    <row r="923" spans="1:26" ht="11.25" hidden="1" customHeight="1">
      <c r="A923" s="246" t="s">
        <v>632</v>
      </c>
      <c r="B923" s="235" t="s">
        <v>633</v>
      </c>
      <c r="C923" s="728"/>
      <c r="D923" s="394" t="s">
        <v>50</v>
      </c>
      <c r="E923" s="447" t="s">
        <v>50</v>
      </c>
      <c r="F923" s="103">
        <f>+F816+F832+F847+F862+F877+F892+F907</f>
        <v>0</v>
      </c>
      <c r="G923" s="103">
        <f>+G816+G832+G847+G862+G877+G892+G907</f>
        <v>307330343.60000002</v>
      </c>
      <c r="H923" s="103">
        <f>+H816+H832+H847+H862+H877+H892+H907</f>
        <v>77874017</v>
      </c>
      <c r="I923" s="103">
        <f>SUM(F923:H923)</f>
        <v>385204360.60000002</v>
      </c>
      <c r="J923" s="103">
        <f>+J816+J832+J847+J862+J877+J892+J907</f>
        <v>0</v>
      </c>
      <c r="K923" s="103">
        <f>+K816+K832+K847+K862+K877+K892+K907</f>
        <v>212483854.07000002</v>
      </c>
      <c r="L923" s="103">
        <f>+L816+L832+L847+L862+L877+L892+L907</f>
        <v>55203243.989999995</v>
      </c>
      <c r="M923" s="103">
        <f>SUM(J923:L923)</f>
        <v>267687098.06</v>
      </c>
      <c r="N923" s="103">
        <f t="shared" si="319"/>
        <v>0</v>
      </c>
      <c r="O923" s="103">
        <f t="shared" si="319"/>
        <v>94846489.530000001</v>
      </c>
      <c r="P923" s="103">
        <f t="shared" si="319"/>
        <v>22670773.010000005</v>
      </c>
      <c r="Q923" s="103">
        <f t="shared" si="320"/>
        <v>117517262.54000001</v>
      </c>
      <c r="R923" s="236"/>
      <c r="S923" s="730" t="str">
        <f t="shared" si="337"/>
        <v/>
      </c>
      <c r="T923" s="730">
        <f t="shared" si="337"/>
        <v>0.69138586050765738</v>
      </c>
      <c r="U923" s="730">
        <f t="shared" si="337"/>
        <v>0.70887885480467761</v>
      </c>
      <c r="V923" s="730">
        <f t="shared" si="337"/>
        <v>0.69492229434538755</v>
      </c>
      <c r="W923" s="254"/>
      <c r="X923" s="237" t="s">
        <v>598</v>
      </c>
    </row>
    <row r="924" spans="1:26" s="256" customFormat="1" ht="11.25" hidden="1" customHeight="1">
      <c r="A924" s="246" t="s">
        <v>632</v>
      </c>
      <c r="B924" s="246" t="s">
        <v>633</v>
      </c>
      <c r="C924" s="389"/>
      <c r="D924" s="389" t="s">
        <v>98</v>
      </c>
      <c r="E924" s="390" t="s">
        <v>767</v>
      </c>
      <c r="F924" s="391">
        <f>+F922+F923</f>
        <v>509198156</v>
      </c>
      <c r="G924" s="391">
        <f t="shared" ref="G924:M924" si="338">+G922+G923</f>
        <v>717268187.60000002</v>
      </c>
      <c r="H924" s="391">
        <f t="shared" si="338"/>
        <v>77874017</v>
      </c>
      <c r="I924" s="391">
        <f t="shared" si="338"/>
        <v>1304340360.5999999</v>
      </c>
      <c r="J924" s="391">
        <f t="shared" si="338"/>
        <v>471963150.01000005</v>
      </c>
      <c r="K924" s="391">
        <f t="shared" si="338"/>
        <v>549858752.81000006</v>
      </c>
      <c r="L924" s="391">
        <f t="shared" si="338"/>
        <v>55203243.989999995</v>
      </c>
      <c r="M924" s="391">
        <f t="shared" si="338"/>
        <v>1077025146.8099999</v>
      </c>
      <c r="N924" s="391">
        <f t="shared" ref="N924:P990" si="339">+F924-J924</f>
        <v>37235005.98999995</v>
      </c>
      <c r="O924" s="391">
        <f t="shared" si="339"/>
        <v>167409434.78999996</v>
      </c>
      <c r="P924" s="391">
        <f t="shared" si="339"/>
        <v>22670773.010000005</v>
      </c>
      <c r="Q924" s="391">
        <f t="shared" ref="Q924:Q990" si="340">SUM(N924:P924)</f>
        <v>227315213.7899999</v>
      </c>
      <c r="R924" s="665"/>
      <c r="S924" s="254">
        <f t="shared" si="337"/>
        <v>0.9268752143909964</v>
      </c>
      <c r="T924" s="254">
        <f t="shared" si="337"/>
        <v>0.76660133868454872</v>
      </c>
      <c r="U924" s="254">
        <f t="shared" si="337"/>
        <v>0.70887885480467761</v>
      </c>
      <c r="V924" s="297">
        <f t="shared" si="337"/>
        <v>0.82572400528537326</v>
      </c>
      <c r="W924" s="254"/>
      <c r="X924" s="271" t="s">
        <v>598</v>
      </c>
      <c r="Y924" s="628"/>
      <c r="Z924" s="255"/>
    </row>
    <row r="925" spans="1:26" ht="11.25" hidden="1" customHeight="1">
      <c r="A925" s="246" t="s">
        <v>632</v>
      </c>
      <c r="B925" s="235" t="s">
        <v>633</v>
      </c>
      <c r="C925" s="410"/>
      <c r="D925" s="396"/>
      <c r="E925" s="806"/>
      <c r="F925" s="807"/>
      <c r="G925" s="807"/>
      <c r="H925" s="807"/>
      <c r="I925" s="807"/>
      <c r="J925" s="807"/>
      <c r="K925" s="807"/>
      <c r="L925" s="807"/>
      <c r="M925" s="807"/>
      <c r="N925" s="807">
        <f t="shared" si="339"/>
        <v>0</v>
      </c>
      <c r="O925" s="807">
        <f t="shared" si="339"/>
        <v>0</v>
      </c>
      <c r="P925" s="807">
        <f t="shared" si="339"/>
        <v>0</v>
      </c>
      <c r="Q925" s="807">
        <f t="shared" si="340"/>
        <v>0</v>
      </c>
      <c r="R925" s="276"/>
      <c r="S925" s="730" t="str">
        <f t="shared" si="337"/>
        <v/>
      </c>
      <c r="T925" s="730" t="str">
        <f t="shared" si="337"/>
        <v/>
      </c>
      <c r="U925" s="730" t="str">
        <f t="shared" si="337"/>
        <v/>
      </c>
      <c r="V925" s="730" t="str">
        <f t="shared" si="337"/>
        <v/>
      </c>
      <c r="W925" s="254"/>
      <c r="X925" s="237" t="s">
        <v>598</v>
      </c>
    </row>
    <row r="926" spans="1:26" s="256" customFormat="1" ht="11.25" hidden="1" customHeight="1">
      <c r="A926" s="246" t="s">
        <v>632</v>
      </c>
      <c r="B926" s="246" t="s">
        <v>633</v>
      </c>
      <c r="C926" s="389"/>
      <c r="D926" s="389" t="s">
        <v>98</v>
      </c>
      <c r="E926" s="390" t="s">
        <v>99</v>
      </c>
      <c r="F926" s="391">
        <f>+F927</f>
        <v>46460181</v>
      </c>
      <c r="G926" s="391">
        <f t="shared" ref="G926:M926" si="341">+G927</f>
        <v>0</v>
      </c>
      <c r="H926" s="391">
        <f t="shared" si="341"/>
        <v>0</v>
      </c>
      <c r="I926" s="391">
        <f t="shared" si="341"/>
        <v>46460181</v>
      </c>
      <c r="J926" s="391">
        <f t="shared" si="341"/>
        <v>40743627.230000004</v>
      </c>
      <c r="K926" s="391">
        <f t="shared" si="341"/>
        <v>0</v>
      </c>
      <c r="L926" s="391">
        <f t="shared" si="341"/>
        <v>0</v>
      </c>
      <c r="M926" s="391">
        <f t="shared" si="341"/>
        <v>40743627.230000004</v>
      </c>
      <c r="N926" s="391">
        <f t="shared" si="339"/>
        <v>5716553.7699999958</v>
      </c>
      <c r="O926" s="391">
        <f t="shared" si="339"/>
        <v>0</v>
      </c>
      <c r="P926" s="391">
        <f t="shared" si="339"/>
        <v>0</v>
      </c>
      <c r="Q926" s="391">
        <f t="shared" si="340"/>
        <v>5716553.7699999958</v>
      </c>
      <c r="R926" s="522"/>
      <c r="S926" s="254">
        <f t="shared" si="337"/>
        <v>0.87695799613867209</v>
      </c>
      <c r="T926" s="254" t="str">
        <f t="shared" si="337"/>
        <v/>
      </c>
      <c r="U926" s="254" t="str">
        <f t="shared" si="337"/>
        <v/>
      </c>
      <c r="V926" s="297">
        <f t="shared" si="337"/>
        <v>0.87695799613867209</v>
      </c>
      <c r="W926" s="254"/>
      <c r="X926" s="271" t="s">
        <v>598</v>
      </c>
      <c r="Y926" s="628"/>
      <c r="Z926" s="255"/>
    </row>
    <row r="927" spans="1:26" ht="11.25" hidden="1" customHeight="1">
      <c r="A927" s="246" t="s">
        <v>632</v>
      </c>
      <c r="B927" s="235" t="s">
        <v>633</v>
      </c>
      <c r="C927" s="728"/>
      <c r="D927" s="394" t="s">
        <v>286</v>
      </c>
      <c r="E927" s="729" t="s">
        <v>286</v>
      </c>
      <c r="F927" s="103">
        <f>+F820+F836+F851+F866+F881+F896+F911</f>
        <v>46460181</v>
      </c>
      <c r="G927" s="103">
        <f>+G820+G836+G851+G866+G881+G896+G911</f>
        <v>0</v>
      </c>
      <c r="H927" s="103">
        <f>+H820+H836+H851+H866+H881+H896+H911</f>
        <v>0</v>
      </c>
      <c r="I927" s="103">
        <f>SUM(F927:H927)</f>
        <v>46460181</v>
      </c>
      <c r="J927" s="103">
        <f>+J820+J836+J851+J866+J881+J896+J911</f>
        <v>40743627.230000004</v>
      </c>
      <c r="K927" s="103">
        <f>+K820+K836+K851+K866+K881+K896+K911</f>
        <v>0</v>
      </c>
      <c r="L927" s="103">
        <f>+L820+L836+L851+L866+L881+L896+L911</f>
        <v>0</v>
      </c>
      <c r="M927" s="103">
        <f>SUM(J927:L927)</f>
        <v>40743627.230000004</v>
      </c>
      <c r="N927" s="103">
        <f t="shared" si="339"/>
        <v>5716553.7699999958</v>
      </c>
      <c r="O927" s="103">
        <f t="shared" si="339"/>
        <v>0</v>
      </c>
      <c r="P927" s="103">
        <f t="shared" si="339"/>
        <v>0</v>
      </c>
      <c r="Q927" s="103">
        <f t="shared" si="340"/>
        <v>5716553.7699999958</v>
      </c>
      <c r="R927" s="236"/>
      <c r="S927" s="730">
        <f t="shared" si="337"/>
        <v>0.87695799613867209</v>
      </c>
      <c r="T927" s="730" t="str">
        <f t="shared" si="337"/>
        <v/>
      </c>
      <c r="U927" s="730" t="str">
        <f t="shared" si="337"/>
        <v/>
      </c>
      <c r="V927" s="730">
        <f t="shared" si="337"/>
        <v>0.87695799613867209</v>
      </c>
      <c r="W927" s="254"/>
      <c r="X927" s="237" t="s">
        <v>598</v>
      </c>
    </row>
    <row r="928" spans="1:26" s="272" customFormat="1" ht="11.25" hidden="1" customHeight="1">
      <c r="A928" s="246" t="s">
        <v>632</v>
      </c>
      <c r="B928" s="246" t="s">
        <v>633</v>
      </c>
      <c r="C928" s="389"/>
      <c r="D928" s="389" t="s">
        <v>98</v>
      </c>
      <c r="E928" s="390" t="s">
        <v>100</v>
      </c>
      <c r="F928" s="391">
        <f t="shared" ref="F928:M928" si="342">SUM(F929:F933)</f>
        <v>18530888</v>
      </c>
      <c r="G928" s="391">
        <f t="shared" si="342"/>
        <v>49600000</v>
      </c>
      <c r="H928" s="391">
        <f t="shared" si="342"/>
        <v>0</v>
      </c>
      <c r="I928" s="391">
        <f t="shared" si="342"/>
        <v>68130888</v>
      </c>
      <c r="J928" s="391">
        <f t="shared" si="342"/>
        <v>18197373.130000003</v>
      </c>
      <c r="K928" s="391">
        <f t="shared" si="342"/>
        <v>45905886.229999989</v>
      </c>
      <c r="L928" s="391">
        <f t="shared" si="342"/>
        <v>0</v>
      </c>
      <c r="M928" s="391">
        <f t="shared" si="342"/>
        <v>64103259.359999992</v>
      </c>
      <c r="N928" s="391">
        <f t="shared" si="339"/>
        <v>333514.86999999732</v>
      </c>
      <c r="O928" s="391">
        <f t="shared" si="339"/>
        <v>3694113.7700000107</v>
      </c>
      <c r="P928" s="391">
        <f t="shared" si="339"/>
        <v>0</v>
      </c>
      <c r="Q928" s="391">
        <f t="shared" si="340"/>
        <v>4027628.640000008</v>
      </c>
      <c r="R928" s="94"/>
      <c r="S928" s="254">
        <f t="shared" si="337"/>
        <v>0.98200221867403237</v>
      </c>
      <c r="T928" s="254">
        <f t="shared" si="337"/>
        <v>0.92552189979838684</v>
      </c>
      <c r="U928" s="254" t="str">
        <f t="shared" si="337"/>
        <v/>
      </c>
      <c r="V928" s="297">
        <f t="shared" si="337"/>
        <v>0.94088395501317978</v>
      </c>
      <c r="W928" s="254"/>
      <c r="X928" s="527" t="s">
        <v>598</v>
      </c>
      <c r="Y928" s="629"/>
      <c r="Z928" s="277"/>
    </row>
    <row r="929" spans="1:26" ht="11.25" hidden="1" customHeight="1">
      <c r="A929" s="246" t="s">
        <v>632</v>
      </c>
      <c r="B929" s="235" t="s">
        <v>633</v>
      </c>
      <c r="C929" s="728"/>
      <c r="D929" s="394" t="s">
        <v>288</v>
      </c>
      <c r="E929" s="729" t="s">
        <v>288</v>
      </c>
      <c r="F929" s="103">
        <f t="shared" ref="F929:H930" si="343">+F822+F838+F853+F868+F883+F898+F913</f>
        <v>4942684</v>
      </c>
      <c r="G929" s="103">
        <f t="shared" si="343"/>
        <v>0</v>
      </c>
      <c r="H929" s="103">
        <f t="shared" si="343"/>
        <v>0</v>
      </c>
      <c r="I929" s="103">
        <f>SUM(F929:H929)</f>
        <v>4942684</v>
      </c>
      <c r="J929" s="103">
        <f t="shared" ref="J929:L930" si="344">+J822+J838+J853+J868+J883+J898+J913</f>
        <v>4649172.03</v>
      </c>
      <c r="K929" s="103">
        <f t="shared" si="344"/>
        <v>0</v>
      </c>
      <c r="L929" s="103">
        <f t="shared" si="344"/>
        <v>0</v>
      </c>
      <c r="M929" s="103">
        <f>SUM(J929:L929)</f>
        <v>4649172.03</v>
      </c>
      <c r="N929" s="103">
        <f t="shared" si="339"/>
        <v>293511.96999999974</v>
      </c>
      <c r="O929" s="103">
        <f t="shared" si="339"/>
        <v>0</v>
      </c>
      <c r="P929" s="103">
        <f t="shared" si="339"/>
        <v>0</v>
      </c>
      <c r="Q929" s="103">
        <f t="shared" si="340"/>
        <v>293511.96999999974</v>
      </c>
      <c r="R929" s="236"/>
      <c r="S929" s="730">
        <f t="shared" si="337"/>
        <v>0.94061688548165334</v>
      </c>
      <c r="T929" s="730" t="str">
        <f t="shared" si="337"/>
        <v/>
      </c>
      <c r="U929" s="730" t="str">
        <f t="shared" si="337"/>
        <v/>
      </c>
      <c r="V929" s="730">
        <f t="shared" si="337"/>
        <v>0.94061688548165334</v>
      </c>
      <c r="W929" s="254"/>
      <c r="X929" s="237" t="s">
        <v>598</v>
      </c>
    </row>
    <row r="930" spans="1:26" ht="11.25" customHeight="1">
      <c r="A930" s="246" t="s">
        <v>632</v>
      </c>
      <c r="B930" s="235" t="s">
        <v>633</v>
      </c>
      <c r="C930" s="728"/>
      <c r="D930" s="394" t="s">
        <v>761</v>
      </c>
      <c r="E930" s="729" t="s">
        <v>761</v>
      </c>
      <c r="F930" s="103">
        <f t="shared" si="343"/>
        <v>10502000</v>
      </c>
      <c r="G930" s="103">
        <f t="shared" si="343"/>
        <v>0</v>
      </c>
      <c r="H930" s="103">
        <f t="shared" si="343"/>
        <v>0</v>
      </c>
      <c r="I930" s="103">
        <f>SUM(F930:H930)</f>
        <v>10502000</v>
      </c>
      <c r="J930" s="103">
        <f t="shared" si="344"/>
        <v>10461999.140000001</v>
      </c>
      <c r="K930" s="103">
        <f t="shared" si="344"/>
        <v>0</v>
      </c>
      <c r="L930" s="103">
        <f t="shared" si="344"/>
        <v>0</v>
      </c>
      <c r="M930" s="103">
        <f>SUM(J930:L930)</f>
        <v>10461999.140000001</v>
      </c>
      <c r="N930" s="103">
        <f>+F930-J930</f>
        <v>40000.859999999404</v>
      </c>
      <c r="O930" s="103">
        <f t="shared" si="339"/>
        <v>0</v>
      </c>
      <c r="P930" s="103">
        <f t="shared" si="339"/>
        <v>0</v>
      </c>
      <c r="Q930" s="103">
        <f>SUM(N930:P930)</f>
        <v>40000.859999999404</v>
      </c>
      <c r="S930" s="730">
        <f t="shared" si="337"/>
        <v>0.99619111978670738</v>
      </c>
      <c r="T930" s="730" t="str">
        <f t="shared" si="337"/>
        <v/>
      </c>
      <c r="U930" s="730" t="str">
        <f t="shared" si="337"/>
        <v/>
      </c>
      <c r="V930" s="730">
        <f t="shared" si="337"/>
        <v>0.99619111978670738</v>
      </c>
      <c r="W930" s="254"/>
      <c r="X930" s="237" t="s">
        <v>598</v>
      </c>
      <c r="Y930" s="610" t="s">
        <v>688</v>
      </c>
    </row>
    <row r="931" spans="1:26" ht="11.25" hidden="1" customHeight="1">
      <c r="A931" s="246" t="s">
        <v>632</v>
      </c>
      <c r="B931" s="235" t="s">
        <v>633</v>
      </c>
      <c r="C931" s="410"/>
      <c r="D931" s="386"/>
      <c r="E931" s="461"/>
      <c r="F931" s="104"/>
      <c r="G931" s="104"/>
      <c r="H931" s="104"/>
      <c r="I931" s="103"/>
      <c r="J931" s="104"/>
      <c r="K931" s="104"/>
      <c r="L931" s="104"/>
      <c r="M931" s="103"/>
      <c r="N931" s="103"/>
      <c r="O931" s="103"/>
      <c r="P931" s="103"/>
      <c r="Q931" s="103"/>
      <c r="R931" s="236"/>
      <c r="S931" s="730" t="str">
        <f t="shared" si="337"/>
        <v/>
      </c>
      <c r="T931" s="730" t="str">
        <f t="shared" si="337"/>
        <v/>
      </c>
      <c r="U931" s="730" t="str">
        <f t="shared" si="337"/>
        <v/>
      </c>
      <c r="V931" s="730" t="str">
        <f t="shared" si="337"/>
        <v/>
      </c>
      <c r="W931" s="254"/>
      <c r="X931" s="237" t="s">
        <v>598</v>
      </c>
    </row>
    <row r="932" spans="1:26" ht="11.25" hidden="1" customHeight="1">
      <c r="A932" s="246" t="s">
        <v>632</v>
      </c>
      <c r="B932" s="235" t="s">
        <v>633</v>
      </c>
      <c r="C932" s="728"/>
      <c r="D932" s="394" t="s">
        <v>289</v>
      </c>
      <c r="E932" s="729" t="s">
        <v>289</v>
      </c>
      <c r="F932" s="103">
        <f t="shared" ref="F932:H933" si="345">+F825+F841+F856+F871+F886+F901+F916</f>
        <v>3086204</v>
      </c>
      <c r="G932" s="103">
        <f t="shared" si="345"/>
        <v>0</v>
      </c>
      <c r="H932" s="103">
        <f t="shared" si="345"/>
        <v>0</v>
      </c>
      <c r="I932" s="103">
        <f>SUM(F932:H932)</f>
        <v>3086204</v>
      </c>
      <c r="J932" s="103">
        <f t="shared" ref="J932:L933" si="346">+J825+J841+J856+J871+J886+J901+J916</f>
        <v>3086201.96</v>
      </c>
      <c r="K932" s="103">
        <f t="shared" si="346"/>
        <v>0</v>
      </c>
      <c r="L932" s="103">
        <f t="shared" si="346"/>
        <v>0</v>
      </c>
      <c r="M932" s="103">
        <f>SUM(J932:L932)</f>
        <v>3086201.96</v>
      </c>
      <c r="N932" s="103">
        <f t="shared" si="339"/>
        <v>2.0400000000372529</v>
      </c>
      <c r="O932" s="103">
        <f t="shared" si="339"/>
        <v>0</v>
      </c>
      <c r="P932" s="103">
        <f t="shared" si="339"/>
        <v>0</v>
      </c>
      <c r="Q932" s="103">
        <f t="shared" si="340"/>
        <v>2.0400000000372529</v>
      </c>
      <c r="R932" s="236"/>
      <c r="S932" s="730">
        <f t="shared" si="337"/>
        <v>0.99999933899379301</v>
      </c>
      <c r="T932" s="730" t="str">
        <f t="shared" si="337"/>
        <v/>
      </c>
      <c r="U932" s="730" t="str">
        <f t="shared" si="337"/>
        <v/>
      </c>
      <c r="V932" s="730">
        <f t="shared" si="337"/>
        <v>0.99999933899379301</v>
      </c>
      <c r="W932" s="254"/>
      <c r="X932" s="237" t="s">
        <v>598</v>
      </c>
    </row>
    <row r="933" spans="1:26" ht="11.25" hidden="1" customHeight="1">
      <c r="A933" s="246" t="s">
        <v>632</v>
      </c>
      <c r="B933" s="235" t="s">
        <v>633</v>
      </c>
      <c r="C933" s="728"/>
      <c r="D933" s="394" t="s">
        <v>290</v>
      </c>
      <c r="E933" s="729" t="s">
        <v>290</v>
      </c>
      <c r="F933" s="103">
        <f t="shared" si="345"/>
        <v>0</v>
      </c>
      <c r="G933" s="103">
        <f t="shared" si="345"/>
        <v>49600000</v>
      </c>
      <c r="H933" s="103">
        <f t="shared" si="345"/>
        <v>0</v>
      </c>
      <c r="I933" s="103">
        <f>SUM(F933:H933)</f>
        <v>49600000</v>
      </c>
      <c r="J933" s="103">
        <f t="shared" si="346"/>
        <v>0</v>
      </c>
      <c r="K933" s="103">
        <f t="shared" si="346"/>
        <v>45905886.229999989</v>
      </c>
      <c r="L933" s="103">
        <f t="shared" si="346"/>
        <v>0</v>
      </c>
      <c r="M933" s="103">
        <f>SUM(J933:L933)</f>
        <v>45905886.229999989</v>
      </c>
      <c r="N933" s="103">
        <f t="shared" si="339"/>
        <v>0</v>
      </c>
      <c r="O933" s="103">
        <f t="shared" si="339"/>
        <v>3694113.7700000107</v>
      </c>
      <c r="P933" s="103">
        <f t="shared" si="339"/>
        <v>0</v>
      </c>
      <c r="Q933" s="103">
        <f t="shared" si="340"/>
        <v>3694113.7700000107</v>
      </c>
      <c r="R933" s="236"/>
      <c r="S933" s="730" t="str">
        <f t="shared" si="337"/>
        <v/>
      </c>
      <c r="T933" s="730">
        <f t="shared" si="337"/>
        <v>0.92552189979838684</v>
      </c>
      <c r="U933" s="730" t="str">
        <f t="shared" si="337"/>
        <v/>
      </c>
      <c r="V933" s="730">
        <f t="shared" si="337"/>
        <v>0.92552189979838684</v>
      </c>
      <c r="W933" s="254"/>
      <c r="X933" s="237" t="s">
        <v>598</v>
      </c>
    </row>
    <row r="934" spans="1:26" s="266" customFormat="1" ht="11.25" customHeight="1">
      <c r="A934" s="246" t="s">
        <v>632</v>
      </c>
      <c r="B934" s="1009" t="s">
        <v>633</v>
      </c>
      <c r="C934" s="1431" t="s">
        <v>634</v>
      </c>
      <c r="D934" s="1432"/>
      <c r="E934" s="1433"/>
      <c r="F934" s="666">
        <f>+F928+F926+F924</f>
        <v>574189225</v>
      </c>
      <c r="G934" s="666">
        <f t="shared" ref="G934:M934" si="347">+G928+G926+G924</f>
        <v>766868187.60000002</v>
      </c>
      <c r="H934" s="666">
        <f t="shared" si="347"/>
        <v>77874017</v>
      </c>
      <c r="I934" s="666">
        <f t="shared" si="347"/>
        <v>1418931429.5999999</v>
      </c>
      <c r="J934" s="666">
        <f t="shared" si="347"/>
        <v>530904150.37000006</v>
      </c>
      <c r="K934" s="666">
        <f t="shared" si="347"/>
        <v>595764639.04000008</v>
      </c>
      <c r="L934" s="666">
        <f t="shared" si="347"/>
        <v>55203243.989999995</v>
      </c>
      <c r="M934" s="666">
        <f t="shared" si="347"/>
        <v>1181872033.3999999</v>
      </c>
      <c r="N934" s="666">
        <f t="shared" si="339"/>
        <v>43285074.629999936</v>
      </c>
      <c r="O934" s="666">
        <f t="shared" si="339"/>
        <v>171103548.55999994</v>
      </c>
      <c r="P934" s="666">
        <f t="shared" si="339"/>
        <v>22670773.010000005</v>
      </c>
      <c r="Q934" s="666">
        <f t="shared" si="340"/>
        <v>237059396.19999987</v>
      </c>
      <c r="R934" s="667">
        <f>+Q934-'[3]chd7-SAOB'!DA179</f>
        <v>0</v>
      </c>
      <c r="S934" s="1010">
        <f t="shared" si="337"/>
        <v>0.92461531365378735</v>
      </c>
      <c r="T934" s="1010">
        <f t="shared" si="337"/>
        <v>0.77688010622074744</v>
      </c>
      <c r="U934" s="1010">
        <f t="shared" si="337"/>
        <v>0.70887885480467761</v>
      </c>
      <c r="V934" s="1010">
        <f t="shared" si="337"/>
        <v>0.83293104144798058</v>
      </c>
      <c r="W934" s="254"/>
      <c r="X934" s="237" t="s">
        <v>598</v>
      </c>
      <c r="Y934" s="610" t="s">
        <v>598</v>
      </c>
      <c r="Z934" s="241" t="s">
        <v>598</v>
      </c>
    </row>
    <row r="935" spans="1:26" ht="11.25" customHeight="1">
      <c r="A935" s="246" t="s">
        <v>632</v>
      </c>
      <c r="B935" s="235" t="s">
        <v>633</v>
      </c>
      <c r="C935" s="410"/>
      <c r="D935" s="681"/>
      <c r="E935" s="461"/>
      <c r="F935" s="104"/>
      <c r="G935" s="104"/>
      <c r="H935" s="104"/>
      <c r="I935" s="103">
        <f>SUM(F935:H935)</f>
        <v>0</v>
      </c>
      <c r="J935" s="104"/>
      <c r="K935" s="104"/>
      <c r="L935" s="104"/>
      <c r="M935" s="103">
        <f>SUM(J935:L935)</f>
        <v>0</v>
      </c>
      <c r="N935" s="103">
        <f t="shared" si="339"/>
        <v>0</v>
      </c>
      <c r="O935" s="103">
        <f t="shared" si="339"/>
        <v>0</v>
      </c>
      <c r="P935" s="103">
        <f t="shared" si="339"/>
        <v>0</v>
      </c>
      <c r="Q935" s="103">
        <f t="shared" si="340"/>
        <v>0</v>
      </c>
      <c r="S935" s="730" t="str">
        <f t="shared" si="337"/>
        <v/>
      </c>
      <c r="T935" s="730" t="str">
        <f t="shared" si="337"/>
        <v/>
      </c>
      <c r="U935" s="730" t="str">
        <f t="shared" si="337"/>
        <v/>
      </c>
      <c r="V935" s="730" t="str">
        <f t="shared" si="337"/>
        <v/>
      </c>
      <c r="W935" s="254"/>
      <c r="Y935" s="610" t="s">
        <v>598</v>
      </c>
      <c r="Z935" s="241" t="s">
        <v>598</v>
      </c>
    </row>
    <row r="936" spans="1:26" ht="11.25" customHeight="1">
      <c r="A936" s="528" t="s">
        <v>636</v>
      </c>
      <c r="B936" s="528" t="s">
        <v>191</v>
      </c>
      <c r="C936" s="408"/>
      <c r="D936" s="682"/>
      <c r="E936" s="408" t="s">
        <v>191</v>
      </c>
      <c r="F936" s="104"/>
      <c r="G936" s="104"/>
      <c r="H936" s="104"/>
      <c r="I936" s="103">
        <f>SUM(F936:H936)</f>
        <v>0</v>
      </c>
      <c r="J936" s="104"/>
      <c r="K936" s="104"/>
      <c r="L936" s="104"/>
      <c r="M936" s="103">
        <f>SUM(J936:L936)</f>
        <v>0</v>
      </c>
      <c r="N936" s="103">
        <f t="shared" si="339"/>
        <v>0</v>
      </c>
      <c r="O936" s="103">
        <f t="shared" si="339"/>
        <v>0</v>
      </c>
      <c r="P936" s="103">
        <f t="shared" si="339"/>
        <v>0</v>
      </c>
      <c r="Q936" s="103">
        <f t="shared" si="340"/>
        <v>0</v>
      </c>
      <c r="S936" s="730" t="str">
        <f t="shared" si="337"/>
        <v/>
      </c>
      <c r="T936" s="730" t="str">
        <f t="shared" si="337"/>
        <v/>
      </c>
      <c r="U936" s="730" t="str">
        <f t="shared" si="337"/>
        <v/>
      </c>
      <c r="V936" s="730" t="str">
        <f t="shared" si="337"/>
        <v/>
      </c>
      <c r="W936" s="531"/>
      <c r="X936" s="236"/>
      <c r="Y936" s="236" t="s">
        <v>598</v>
      </c>
      <c r="Z936" s="240" t="s">
        <v>598</v>
      </c>
    </row>
    <row r="937" spans="1:26" ht="11.25" customHeight="1">
      <c r="A937" s="528" t="s">
        <v>636</v>
      </c>
      <c r="B937" s="1013" t="s">
        <v>191</v>
      </c>
      <c r="C937" s="461"/>
      <c r="D937" s="645" t="s">
        <v>766</v>
      </c>
      <c r="E937" s="447" t="s">
        <v>766</v>
      </c>
      <c r="F937" s="103">
        <f>SUM(F938:F940)</f>
        <v>111091000</v>
      </c>
      <c r="G937" s="103">
        <f t="shared" ref="G937:M937" si="348">SUM(G938:G940)</f>
        <v>171878000</v>
      </c>
      <c r="H937" s="103">
        <f t="shared" si="348"/>
        <v>0</v>
      </c>
      <c r="I937" s="103">
        <f t="shared" si="348"/>
        <v>282969000</v>
      </c>
      <c r="J937" s="103">
        <f t="shared" si="348"/>
        <v>85122484.640000001</v>
      </c>
      <c r="K937" s="103">
        <f t="shared" si="348"/>
        <v>123867886.97</v>
      </c>
      <c r="L937" s="103">
        <f t="shared" si="348"/>
        <v>0</v>
      </c>
      <c r="M937" s="103">
        <f t="shared" si="348"/>
        <v>208990371.61000001</v>
      </c>
      <c r="N937" s="103">
        <f t="shared" si="339"/>
        <v>25968515.359999999</v>
      </c>
      <c r="O937" s="103">
        <f t="shared" si="339"/>
        <v>48010113.030000001</v>
      </c>
      <c r="P937" s="103">
        <f t="shared" si="339"/>
        <v>0</v>
      </c>
      <c r="Q937" s="103">
        <f t="shared" si="340"/>
        <v>73978628.390000001</v>
      </c>
      <c r="S937" s="730">
        <f t="shared" si="337"/>
        <v>0.76624105139030163</v>
      </c>
      <c r="T937" s="730">
        <f t="shared" si="337"/>
        <v>0.72067330880042824</v>
      </c>
      <c r="U937" s="730" t="str">
        <f t="shared" si="337"/>
        <v/>
      </c>
      <c r="V937" s="730">
        <f t="shared" si="337"/>
        <v>0.73856278111736628</v>
      </c>
      <c r="W937" s="531"/>
      <c r="X937" s="236"/>
      <c r="Y937" s="236" t="s">
        <v>688</v>
      </c>
      <c r="Z937" s="236"/>
    </row>
    <row r="938" spans="1:26" ht="11.25" hidden="1" customHeight="1">
      <c r="A938" s="528" t="s">
        <v>636</v>
      </c>
      <c r="B938" s="1013" t="s">
        <v>191</v>
      </c>
      <c r="C938" s="411"/>
      <c r="D938" s="647" t="s">
        <v>98</v>
      </c>
      <c r="E938" s="459" t="s">
        <v>775</v>
      </c>
      <c r="F938" s="103">
        <f>+'[3]chd 8-SAOB'!C14</f>
        <v>34453000</v>
      </c>
      <c r="G938" s="103">
        <f>+'[3]chd 8-SAOB'!C50</f>
        <v>10492000</v>
      </c>
      <c r="H938" s="103">
        <f>+'[3]chd 8-SAOB'!C142</f>
        <v>0</v>
      </c>
      <c r="I938" s="103">
        <f>SUM(F938:H938)</f>
        <v>44945000</v>
      </c>
      <c r="J938" s="103">
        <f>+'[3]chd 8-SAOB'!C15</f>
        <v>26466772.659999996</v>
      </c>
      <c r="K938" s="103">
        <f>+'[3]chd 8-SAOB'!C51</f>
        <v>7713097.2300000014</v>
      </c>
      <c r="L938" s="103">
        <f>+'[3]chd 8-SAOB'!C143</f>
        <v>0</v>
      </c>
      <c r="M938" s="103">
        <f>SUM(J938:L938)</f>
        <v>34179869.890000001</v>
      </c>
      <c r="N938" s="103">
        <f t="shared" si="339"/>
        <v>7986227.3400000036</v>
      </c>
      <c r="O938" s="103">
        <f t="shared" si="339"/>
        <v>2778902.7699999986</v>
      </c>
      <c r="P938" s="103">
        <f t="shared" si="339"/>
        <v>0</v>
      </c>
      <c r="Q938" s="103">
        <f t="shared" si="340"/>
        <v>10765130.110000003</v>
      </c>
      <c r="R938" s="236"/>
      <c r="S938" s="730">
        <f t="shared" si="337"/>
        <v>0.76819936319043325</v>
      </c>
      <c r="T938" s="730">
        <f t="shared" si="337"/>
        <v>0.73514079584445302</v>
      </c>
      <c r="U938" s="730" t="str">
        <f t="shared" si="337"/>
        <v/>
      </c>
      <c r="V938" s="730">
        <f t="shared" si="337"/>
        <v>0.76048214239626211</v>
      </c>
      <c r="W938" s="531"/>
      <c r="X938" s="236"/>
      <c r="Y938" s="236"/>
      <c r="Z938" s="236"/>
    </row>
    <row r="939" spans="1:26" ht="11.25" hidden="1" customHeight="1">
      <c r="A939" s="528" t="s">
        <v>636</v>
      </c>
      <c r="B939" s="1013" t="s">
        <v>191</v>
      </c>
      <c r="C939" s="406" t="s">
        <v>776</v>
      </c>
      <c r="D939" s="647" t="s">
        <v>98</v>
      </c>
      <c r="E939" s="406" t="s">
        <v>776</v>
      </c>
      <c r="F939" s="103">
        <f>+'[3]chd 8-SAOB'!D14</f>
        <v>2304000</v>
      </c>
      <c r="G939" s="103">
        <f>+'[3]chd 8-SAOB'!D50</f>
        <v>3926000</v>
      </c>
      <c r="H939" s="103">
        <f>+'[3]chd 8-SAOB'!D142</f>
        <v>0</v>
      </c>
      <c r="I939" s="103">
        <f>SUM(F939:H939)</f>
        <v>6230000</v>
      </c>
      <c r="J939" s="103">
        <f>+'[3]chd 8-SAOB'!D15</f>
        <v>1813112</v>
      </c>
      <c r="K939" s="103">
        <f>+'[3]chd 8-SAOB'!D51</f>
        <v>1663184.8600000003</v>
      </c>
      <c r="L939" s="103">
        <f>+'[3]chd 8-SAOB'!D143</f>
        <v>0</v>
      </c>
      <c r="M939" s="103">
        <f>SUM(J939:L939)</f>
        <v>3476296.8600000003</v>
      </c>
      <c r="N939" s="103">
        <f t="shared" si="339"/>
        <v>490888</v>
      </c>
      <c r="O939" s="103">
        <f t="shared" si="339"/>
        <v>2262815.1399999997</v>
      </c>
      <c r="P939" s="103">
        <f t="shared" si="339"/>
        <v>0</v>
      </c>
      <c r="Q939" s="103">
        <f t="shared" si="340"/>
        <v>2753703.1399999997</v>
      </c>
      <c r="R939" s="236"/>
      <c r="S939" s="730">
        <f t="shared" si="337"/>
        <v>0.78694097222222226</v>
      </c>
      <c r="T939" s="730">
        <f t="shared" si="337"/>
        <v>0.42363343352012234</v>
      </c>
      <c r="U939" s="730" t="str">
        <f t="shared" si="337"/>
        <v/>
      </c>
      <c r="V939" s="730">
        <f t="shared" si="337"/>
        <v>0.55799307544141252</v>
      </c>
      <c r="W939" s="531"/>
      <c r="X939" s="236"/>
      <c r="Y939" s="236"/>
      <c r="Z939" s="236"/>
    </row>
    <row r="940" spans="1:26" ht="11.25" hidden="1" customHeight="1">
      <c r="A940" s="528" t="s">
        <v>636</v>
      </c>
      <c r="B940" s="1013" t="s">
        <v>191</v>
      </c>
      <c r="C940" s="411"/>
      <c r="D940" s="647" t="s">
        <v>98</v>
      </c>
      <c r="E940" s="406" t="s">
        <v>777</v>
      </c>
      <c r="F940" s="103">
        <f>+'[3]chd 8-SAOB'!E14</f>
        <v>74334000</v>
      </c>
      <c r="G940" s="103">
        <f>+'[3]chd 8-SAOB'!E50</f>
        <v>157460000</v>
      </c>
      <c r="H940" s="103">
        <f>+'[3]chd 8-SAOB'!E142</f>
        <v>0</v>
      </c>
      <c r="I940" s="103">
        <f>SUM(F940:H940)</f>
        <v>231794000</v>
      </c>
      <c r="J940" s="103">
        <f>+'[3]chd 8-SAOB'!E15</f>
        <v>56842599.980000004</v>
      </c>
      <c r="K940" s="103">
        <f>+'[3]chd 8-SAOB'!E51</f>
        <v>114491604.88</v>
      </c>
      <c r="L940" s="103">
        <f>+'[3]chd 8-SAOB'!E143</f>
        <v>0</v>
      </c>
      <c r="M940" s="103">
        <f>SUM(J940:L940)</f>
        <v>171334204.86000001</v>
      </c>
      <c r="N940" s="103">
        <f t="shared" si="339"/>
        <v>17491400.019999996</v>
      </c>
      <c r="O940" s="103">
        <f t="shared" si="339"/>
        <v>42968395.120000005</v>
      </c>
      <c r="P940" s="103">
        <f t="shared" si="339"/>
        <v>0</v>
      </c>
      <c r="Q940" s="103">
        <f t="shared" si="340"/>
        <v>60459795.140000001</v>
      </c>
      <c r="R940" s="236"/>
      <c r="S940" s="730">
        <f t="shared" si="337"/>
        <v>0.76469179621707439</v>
      </c>
      <c r="T940" s="730">
        <f t="shared" si="337"/>
        <v>0.72711548888606625</v>
      </c>
      <c r="U940" s="730" t="str">
        <f t="shared" si="337"/>
        <v/>
      </c>
      <c r="V940" s="730">
        <f t="shared" si="337"/>
        <v>0.73916583198874874</v>
      </c>
      <c r="W940" s="531"/>
      <c r="X940" s="236"/>
      <c r="Y940" s="236"/>
      <c r="Z940" s="236"/>
    </row>
    <row r="941" spans="1:26" ht="11.25" customHeight="1">
      <c r="A941" s="528" t="s">
        <v>636</v>
      </c>
      <c r="B941" s="1013" t="s">
        <v>191</v>
      </c>
      <c r="C941" s="728"/>
      <c r="D941" s="649" t="s">
        <v>50</v>
      </c>
      <c r="E941" s="447" t="s">
        <v>50</v>
      </c>
      <c r="F941" s="104"/>
      <c r="G941" s="104">
        <f>+'[3]chd 8-SAOB'!D382</f>
        <v>243811389</v>
      </c>
      <c r="H941" s="104">
        <f>+'[3]chd 8-SAOB'!E382</f>
        <v>27885000</v>
      </c>
      <c r="I941" s="103">
        <f>SUM(F941:H941)</f>
        <v>271696389</v>
      </c>
      <c r="J941" s="104"/>
      <c r="K941" s="104">
        <f>+'[3]chd 8-SAOB'!H382</f>
        <v>158640354.88999999</v>
      </c>
      <c r="L941" s="104">
        <f>+'[3]chd 8-SAOB'!I382</f>
        <v>19178544.170000002</v>
      </c>
      <c r="M941" s="103">
        <f>SUM(J941:L941)</f>
        <v>177818899.06</v>
      </c>
      <c r="N941" s="103">
        <f t="shared" si="339"/>
        <v>0</v>
      </c>
      <c r="O941" s="103">
        <f t="shared" si="339"/>
        <v>85171034.110000014</v>
      </c>
      <c r="P941" s="103">
        <f t="shared" si="339"/>
        <v>8706455.8299999982</v>
      </c>
      <c r="Q941" s="103">
        <f t="shared" si="340"/>
        <v>93877489.940000013</v>
      </c>
      <c r="S941" s="730" t="str">
        <f t="shared" si="337"/>
        <v/>
      </c>
      <c r="T941" s="730">
        <f t="shared" si="337"/>
        <v>0.65066835286353253</v>
      </c>
      <c r="U941" s="730">
        <f t="shared" si="337"/>
        <v>0.68777278716155643</v>
      </c>
      <c r="V941" s="730">
        <f t="shared" si="337"/>
        <v>0.65447649015313192</v>
      </c>
      <c r="W941" s="531"/>
      <c r="X941" s="236"/>
      <c r="Y941" s="236" t="s">
        <v>688</v>
      </c>
      <c r="Z941" s="236"/>
    </row>
    <row r="942" spans="1:26" s="256" customFormat="1" ht="11.25" customHeight="1">
      <c r="A942" s="528" t="s">
        <v>636</v>
      </c>
      <c r="B942" s="528" t="s">
        <v>191</v>
      </c>
      <c r="C942" s="389"/>
      <c r="D942" s="650" t="s">
        <v>98</v>
      </c>
      <c r="E942" s="390" t="s">
        <v>767</v>
      </c>
      <c r="F942" s="391">
        <f>+F941+F937</f>
        <v>111091000</v>
      </c>
      <c r="G942" s="391">
        <f t="shared" ref="G942:M942" si="349">+G941+G937</f>
        <v>415689389</v>
      </c>
      <c r="H942" s="391">
        <f t="shared" si="349"/>
        <v>27885000</v>
      </c>
      <c r="I942" s="391">
        <f t="shared" si="349"/>
        <v>554665389</v>
      </c>
      <c r="J942" s="391">
        <f t="shared" si="349"/>
        <v>85122484.640000001</v>
      </c>
      <c r="K942" s="391">
        <f t="shared" si="349"/>
        <v>282508241.86000001</v>
      </c>
      <c r="L942" s="391">
        <f t="shared" si="349"/>
        <v>19178544.170000002</v>
      </c>
      <c r="M942" s="391">
        <f t="shared" si="349"/>
        <v>386809270.67000002</v>
      </c>
      <c r="N942" s="391">
        <f t="shared" si="339"/>
        <v>25968515.359999999</v>
      </c>
      <c r="O942" s="391">
        <f t="shared" si="339"/>
        <v>133181147.13999999</v>
      </c>
      <c r="P942" s="391">
        <f t="shared" si="339"/>
        <v>8706455.8299999982</v>
      </c>
      <c r="Q942" s="391">
        <f t="shared" si="340"/>
        <v>167856118.32999998</v>
      </c>
      <c r="R942" s="101"/>
      <c r="S942" s="254">
        <f t="shared" si="337"/>
        <v>0.76624105139030163</v>
      </c>
      <c r="T942" s="254">
        <f t="shared" si="337"/>
        <v>0.67961379177759096</v>
      </c>
      <c r="U942" s="254">
        <f t="shared" si="337"/>
        <v>0.68777278716155643</v>
      </c>
      <c r="V942" s="254">
        <f t="shared" si="337"/>
        <v>0.6973740895702436</v>
      </c>
      <c r="W942" s="531"/>
      <c r="Y942" s="256" t="s">
        <v>598</v>
      </c>
      <c r="Z942" s="256" t="s">
        <v>598</v>
      </c>
    </row>
    <row r="943" spans="1:26" ht="11.25" hidden="1" customHeight="1">
      <c r="A943" s="528" t="s">
        <v>636</v>
      </c>
      <c r="B943" s="1013" t="s">
        <v>191</v>
      </c>
      <c r="C943" s="410"/>
      <c r="D943" s="651"/>
      <c r="E943" s="806"/>
      <c r="F943" s="807"/>
      <c r="G943" s="807"/>
      <c r="H943" s="807"/>
      <c r="I943" s="807"/>
      <c r="J943" s="807"/>
      <c r="K943" s="807"/>
      <c r="L943" s="807"/>
      <c r="M943" s="807"/>
      <c r="N943" s="807">
        <f t="shared" si="339"/>
        <v>0</v>
      </c>
      <c r="O943" s="807">
        <f t="shared" si="339"/>
        <v>0</v>
      </c>
      <c r="P943" s="807">
        <f t="shared" si="339"/>
        <v>0</v>
      </c>
      <c r="Q943" s="807">
        <f t="shared" si="340"/>
        <v>0</v>
      </c>
      <c r="R943" s="276"/>
      <c r="S943" s="730" t="str">
        <f t="shared" si="337"/>
        <v/>
      </c>
      <c r="T943" s="730" t="str">
        <f t="shared" si="337"/>
        <v/>
      </c>
      <c r="U943" s="730" t="str">
        <f t="shared" si="337"/>
        <v/>
      </c>
      <c r="V943" s="730" t="str">
        <f t="shared" si="337"/>
        <v/>
      </c>
      <c r="W943" s="531"/>
      <c r="X943" s="236"/>
      <c r="Y943" s="236"/>
      <c r="Z943" s="236"/>
    </row>
    <row r="944" spans="1:26" s="256" customFormat="1" ht="11.25" customHeight="1">
      <c r="A944" s="528" t="s">
        <v>636</v>
      </c>
      <c r="B944" s="528" t="s">
        <v>191</v>
      </c>
      <c r="C944" s="389"/>
      <c r="D944" s="650" t="s">
        <v>98</v>
      </c>
      <c r="E944" s="390" t="s">
        <v>99</v>
      </c>
      <c r="F944" s="391">
        <f>+F945</f>
        <v>10165000</v>
      </c>
      <c r="G944" s="391">
        <f t="shared" ref="G944:M944" si="350">+G945</f>
        <v>0</v>
      </c>
      <c r="H944" s="391">
        <f t="shared" si="350"/>
        <v>0</v>
      </c>
      <c r="I944" s="391">
        <f t="shared" si="350"/>
        <v>10165000</v>
      </c>
      <c r="J944" s="391">
        <f t="shared" si="350"/>
        <v>7005828.71</v>
      </c>
      <c r="K944" s="391">
        <f t="shared" si="350"/>
        <v>0</v>
      </c>
      <c r="L944" s="391">
        <f t="shared" si="350"/>
        <v>0</v>
      </c>
      <c r="M944" s="391">
        <f t="shared" si="350"/>
        <v>7005828.71</v>
      </c>
      <c r="N944" s="391">
        <f t="shared" si="339"/>
        <v>3159171.29</v>
      </c>
      <c r="O944" s="391">
        <f t="shared" si="339"/>
        <v>0</v>
      </c>
      <c r="P944" s="391">
        <f t="shared" si="339"/>
        <v>0</v>
      </c>
      <c r="Q944" s="391">
        <f t="shared" si="340"/>
        <v>3159171.29</v>
      </c>
      <c r="R944" s="101"/>
      <c r="S944" s="254">
        <f t="shared" si="337"/>
        <v>0.68921089129365465</v>
      </c>
      <c r="T944" s="254" t="str">
        <f t="shared" si="337"/>
        <v/>
      </c>
      <c r="U944" s="254" t="str">
        <f t="shared" si="337"/>
        <v/>
      </c>
      <c r="V944" s="254">
        <f t="shared" si="337"/>
        <v>0.68921089129365465</v>
      </c>
      <c r="W944" s="531"/>
      <c r="Y944" s="256" t="s">
        <v>598</v>
      </c>
      <c r="Z944" s="256" t="s">
        <v>598</v>
      </c>
    </row>
    <row r="945" spans="1:26" ht="11.25" customHeight="1">
      <c r="A945" s="528" t="s">
        <v>636</v>
      </c>
      <c r="B945" s="1013" t="s">
        <v>191</v>
      </c>
      <c r="C945" s="728"/>
      <c r="D945" s="649" t="s">
        <v>286</v>
      </c>
      <c r="E945" s="729" t="s">
        <v>286</v>
      </c>
      <c r="F945" s="103">
        <f>SUM('[3]chd 8-SAOB'!V14)</f>
        <v>10165000</v>
      </c>
      <c r="G945" s="103">
        <f>SUM('[3]chd 8-SAOB'!V50)</f>
        <v>0</v>
      </c>
      <c r="H945" s="103">
        <f>SUM('[3]chd 8-SAOB'!V142)</f>
        <v>0</v>
      </c>
      <c r="I945" s="103">
        <f>SUM(F945:H945)</f>
        <v>10165000</v>
      </c>
      <c r="J945" s="103">
        <f>SUM('[3]chd 8-SAOB'!V15)</f>
        <v>7005828.71</v>
      </c>
      <c r="K945" s="103">
        <f>SUM('[3]chd 8-SAOB'!V51)</f>
        <v>0</v>
      </c>
      <c r="L945" s="103">
        <f>SUM('[3]chd 8-SAOB'!V143)</f>
        <v>0</v>
      </c>
      <c r="M945" s="103">
        <f>SUM(J945:L945)</f>
        <v>7005828.71</v>
      </c>
      <c r="N945" s="103">
        <f t="shared" si="339"/>
        <v>3159171.29</v>
      </c>
      <c r="O945" s="103">
        <f t="shared" si="339"/>
        <v>0</v>
      </c>
      <c r="P945" s="103">
        <f t="shared" si="339"/>
        <v>0</v>
      </c>
      <c r="Q945" s="103">
        <f t="shared" si="340"/>
        <v>3159171.29</v>
      </c>
      <c r="S945" s="730">
        <f t="shared" si="337"/>
        <v>0.68921089129365465</v>
      </c>
      <c r="T945" s="730" t="str">
        <f t="shared" si="337"/>
        <v/>
      </c>
      <c r="U945" s="730" t="str">
        <f t="shared" si="337"/>
        <v/>
      </c>
      <c r="V945" s="730">
        <f t="shared" si="337"/>
        <v>0.68921089129365465</v>
      </c>
      <c r="W945" s="531"/>
      <c r="X945" s="236"/>
      <c r="Y945" s="236" t="s">
        <v>598</v>
      </c>
      <c r="Z945" s="236"/>
    </row>
    <row r="946" spans="1:26" s="272" customFormat="1" ht="11.25" customHeight="1">
      <c r="A946" s="528" t="s">
        <v>636</v>
      </c>
      <c r="B946" s="528" t="s">
        <v>191</v>
      </c>
      <c r="C946" s="389"/>
      <c r="D946" s="650" t="s">
        <v>98</v>
      </c>
      <c r="E946" s="390" t="s">
        <v>100</v>
      </c>
      <c r="F946" s="391">
        <f t="shared" ref="F946:M946" si="351">SUM(F947:F951)</f>
        <v>8107363</v>
      </c>
      <c r="G946" s="391">
        <f t="shared" si="351"/>
        <v>0</v>
      </c>
      <c r="H946" s="391">
        <f t="shared" si="351"/>
        <v>0</v>
      </c>
      <c r="I946" s="391">
        <f t="shared" si="351"/>
        <v>8107363</v>
      </c>
      <c r="J946" s="391">
        <f t="shared" si="351"/>
        <v>8092359.71</v>
      </c>
      <c r="K946" s="391">
        <f t="shared" si="351"/>
        <v>0</v>
      </c>
      <c r="L946" s="391">
        <f t="shared" si="351"/>
        <v>0</v>
      </c>
      <c r="M946" s="391">
        <f t="shared" si="351"/>
        <v>8092359.71</v>
      </c>
      <c r="N946" s="391">
        <f t="shared" si="339"/>
        <v>15003.290000000037</v>
      </c>
      <c r="O946" s="391">
        <f t="shared" si="339"/>
        <v>0</v>
      </c>
      <c r="P946" s="391">
        <f t="shared" si="339"/>
        <v>0</v>
      </c>
      <c r="Q946" s="391">
        <f t="shared" si="340"/>
        <v>15003.290000000037</v>
      </c>
      <c r="R946" s="102"/>
      <c r="S946" s="254">
        <f t="shared" si="337"/>
        <v>0.99814942417158325</v>
      </c>
      <c r="T946" s="254" t="str">
        <f t="shared" si="337"/>
        <v/>
      </c>
      <c r="U946" s="254" t="str">
        <f t="shared" si="337"/>
        <v/>
      </c>
      <c r="V946" s="254">
        <f t="shared" si="337"/>
        <v>0.99814942417158325</v>
      </c>
      <c r="W946" s="531"/>
      <c r="Y946" s="272" t="s">
        <v>598</v>
      </c>
      <c r="Z946" s="256" t="s">
        <v>598</v>
      </c>
    </row>
    <row r="947" spans="1:26" ht="11.25" customHeight="1">
      <c r="A947" s="528" t="s">
        <v>636</v>
      </c>
      <c r="B947" s="1013" t="s">
        <v>191</v>
      </c>
      <c r="C947" s="728"/>
      <c r="D947" s="649" t="s">
        <v>288</v>
      </c>
      <c r="E947" s="729" t="s">
        <v>288</v>
      </c>
      <c r="F947" s="103">
        <f>SUM('[3]chd 8-SAOB'!Z14)</f>
        <v>0</v>
      </c>
      <c r="G947" s="103">
        <f>SUM('[3]chd 8-SAOB'!Z50)</f>
        <v>0</v>
      </c>
      <c r="H947" s="103">
        <f>SUM('[3]chd 8-SAOB'!Z142)</f>
        <v>0</v>
      </c>
      <c r="I947" s="103">
        <f>SUM(F947:H947)</f>
        <v>0</v>
      </c>
      <c r="J947" s="103">
        <f>SUM('[3]chd 8-SAOB'!Z15)</f>
        <v>0</v>
      </c>
      <c r="K947" s="103">
        <f>SUM('[3]chd 8-SAOB'!Z51)</f>
        <v>0</v>
      </c>
      <c r="L947" s="103">
        <f>SUM('[3]chd 8-SAOB'!Z143)</f>
        <v>0</v>
      </c>
      <c r="M947" s="103">
        <f>SUM(J947:L947)</f>
        <v>0</v>
      </c>
      <c r="N947" s="103">
        <f t="shared" si="339"/>
        <v>0</v>
      </c>
      <c r="O947" s="103">
        <f t="shared" si="339"/>
        <v>0</v>
      </c>
      <c r="P947" s="103">
        <f t="shared" si="339"/>
        <v>0</v>
      </c>
      <c r="Q947" s="103">
        <f t="shared" si="340"/>
        <v>0</v>
      </c>
      <c r="S947" s="730" t="str">
        <f t="shared" si="337"/>
        <v/>
      </c>
      <c r="T947" s="730" t="str">
        <f t="shared" si="337"/>
        <v/>
      </c>
      <c r="U947" s="730" t="str">
        <f t="shared" si="337"/>
        <v/>
      </c>
      <c r="V947" s="730" t="str">
        <f t="shared" si="337"/>
        <v/>
      </c>
      <c r="W947" s="531"/>
      <c r="X947" s="236"/>
      <c r="Y947" s="236" t="s">
        <v>598</v>
      </c>
      <c r="Z947" s="236"/>
    </row>
    <row r="948" spans="1:26" ht="11.25" customHeight="1">
      <c r="A948" s="528" t="s">
        <v>636</v>
      </c>
      <c r="B948" s="1013" t="s">
        <v>191</v>
      </c>
      <c r="C948" s="728"/>
      <c r="D948" s="649" t="s">
        <v>761</v>
      </c>
      <c r="E948" s="729" t="s">
        <v>761</v>
      </c>
      <c r="F948" s="104">
        <f>+'[3]chd 8-SAOB'!C382</f>
        <v>2055000</v>
      </c>
      <c r="G948" s="104"/>
      <c r="H948" s="104"/>
      <c r="I948" s="103">
        <f>SUM(F948:H948)</f>
        <v>2055000</v>
      </c>
      <c r="J948" s="104">
        <f>+'[3]chd 8-SAOB'!G382</f>
        <v>2040000</v>
      </c>
      <c r="K948" s="104"/>
      <c r="L948" s="104"/>
      <c r="M948" s="103">
        <f>SUM(J948:L948)</f>
        <v>2040000</v>
      </c>
      <c r="N948" s="103">
        <f t="shared" si="339"/>
        <v>15000</v>
      </c>
      <c r="O948" s="103">
        <f>+G948-K948</f>
        <v>0</v>
      </c>
      <c r="P948" s="103">
        <f>+H948-L948</f>
        <v>0</v>
      </c>
      <c r="Q948" s="103">
        <f>SUM(N948:P948)</f>
        <v>15000</v>
      </c>
      <c r="S948" s="730">
        <f t="shared" si="337"/>
        <v>0.99270072992700731</v>
      </c>
      <c r="T948" s="730" t="str">
        <f t="shared" si="337"/>
        <v/>
      </c>
      <c r="U948" s="730" t="str">
        <f t="shared" si="337"/>
        <v/>
      </c>
      <c r="V948" s="730">
        <f t="shared" si="337"/>
        <v>0.99270072992700731</v>
      </c>
      <c r="W948" s="531"/>
      <c r="X948" s="236"/>
      <c r="Y948" s="236" t="s">
        <v>688</v>
      </c>
      <c r="Z948" s="236"/>
    </row>
    <row r="949" spans="1:26" ht="11.25" customHeight="1">
      <c r="A949" s="528" t="s">
        <v>636</v>
      </c>
      <c r="B949" s="1013" t="s">
        <v>191</v>
      </c>
      <c r="C949" s="410"/>
      <c r="D949" s="647"/>
      <c r="E949" s="461"/>
      <c r="F949" s="104"/>
      <c r="G949" s="104"/>
      <c r="H949" s="104"/>
      <c r="I949" s="103"/>
      <c r="J949" s="104"/>
      <c r="K949" s="104"/>
      <c r="L949" s="104"/>
      <c r="M949" s="103"/>
      <c r="N949" s="103"/>
      <c r="O949" s="103"/>
      <c r="P949" s="103"/>
      <c r="Q949" s="103"/>
      <c r="S949" s="730" t="str">
        <f t="shared" si="337"/>
        <v/>
      </c>
      <c r="T949" s="730" t="str">
        <f t="shared" si="337"/>
        <v/>
      </c>
      <c r="U949" s="730" t="str">
        <f t="shared" si="337"/>
        <v/>
      </c>
      <c r="V949" s="730" t="str">
        <f t="shared" si="337"/>
        <v/>
      </c>
      <c r="W949" s="531"/>
      <c r="X949" s="236"/>
      <c r="Y949" s="236" t="s">
        <v>688</v>
      </c>
      <c r="Z949" s="240"/>
    </row>
    <row r="950" spans="1:26" ht="11.25" customHeight="1">
      <c r="A950" s="528" t="s">
        <v>636</v>
      </c>
      <c r="B950" s="1013" t="s">
        <v>191</v>
      </c>
      <c r="C950" s="728"/>
      <c r="D950" s="649" t="s">
        <v>289</v>
      </c>
      <c r="E950" s="729" t="s">
        <v>289</v>
      </c>
      <c r="F950" s="103">
        <f>SUM('[3]chd 8-SAOB'!AD14)</f>
        <v>6052363</v>
      </c>
      <c r="G950" s="103">
        <f>SUM('[3]chd 8-SAOB'!AD50)</f>
        <v>0</v>
      </c>
      <c r="H950" s="103">
        <f>SUM('[3]chd 8-SAOB'!AD142)</f>
        <v>0</v>
      </c>
      <c r="I950" s="103">
        <f>SUM(F950:H950)</f>
        <v>6052363</v>
      </c>
      <c r="J950" s="103">
        <f>SUM('[3]chd 8-SAOB'!AD15)</f>
        <v>6052359.71</v>
      </c>
      <c r="K950" s="103">
        <f>SUM('[3]chd 8-SAOB'!AD51)</f>
        <v>0</v>
      </c>
      <c r="L950" s="103">
        <f>SUM('[3]chd 8-SAOB'!AD143)</f>
        <v>0</v>
      </c>
      <c r="M950" s="103">
        <f>SUM(J950:L950)</f>
        <v>6052359.71</v>
      </c>
      <c r="N950" s="103">
        <f t="shared" si="339"/>
        <v>3.2900000000372529</v>
      </c>
      <c r="O950" s="103">
        <f t="shared" si="339"/>
        <v>0</v>
      </c>
      <c r="P950" s="103">
        <f t="shared" si="339"/>
        <v>0</v>
      </c>
      <c r="Q950" s="103">
        <f t="shared" si="340"/>
        <v>3.2900000000372529</v>
      </c>
      <c r="S950" s="730">
        <f t="shared" si="337"/>
        <v>0.99999945641066146</v>
      </c>
      <c r="T950" s="730" t="str">
        <f t="shared" si="337"/>
        <v/>
      </c>
      <c r="U950" s="730" t="str">
        <f t="shared" si="337"/>
        <v/>
      </c>
      <c r="V950" s="730">
        <f t="shared" si="337"/>
        <v>0.99999945641066146</v>
      </c>
      <c r="W950" s="531"/>
      <c r="X950" s="236"/>
      <c r="Y950" s="236" t="s">
        <v>598</v>
      </c>
      <c r="Z950" s="236"/>
    </row>
    <row r="951" spans="1:26" ht="11.25" customHeight="1">
      <c r="A951" s="528" t="s">
        <v>636</v>
      </c>
      <c r="B951" s="1013" t="s">
        <v>191</v>
      </c>
      <c r="C951" s="728"/>
      <c r="D951" s="649" t="s">
        <v>290</v>
      </c>
      <c r="E951" s="729" t="s">
        <v>290</v>
      </c>
      <c r="F951" s="103">
        <f>SUM('[3]chd 8-SAOB'!AH14)</f>
        <v>0</v>
      </c>
      <c r="G951" s="103">
        <f>SUM('[3]chd 8-SAOB'!AH50)</f>
        <v>0</v>
      </c>
      <c r="H951" s="103">
        <f>SUM('[3]chd 8-SAOB'!AH142)</f>
        <v>0</v>
      </c>
      <c r="I951" s="103">
        <f>SUM(F951:H951)</f>
        <v>0</v>
      </c>
      <c r="J951" s="103">
        <f>SUM('[3]chd 8-SAOB'!AH15)</f>
        <v>0</v>
      </c>
      <c r="K951" s="103">
        <f>SUM('[3]chd 8-SAOB'!AH51)</f>
        <v>0</v>
      </c>
      <c r="L951" s="103">
        <f>SUM('[3]chd 8-SAOB'!AH143)</f>
        <v>0</v>
      </c>
      <c r="M951" s="103">
        <f>SUM(J951:L951)</f>
        <v>0</v>
      </c>
      <c r="N951" s="103">
        <f t="shared" si="339"/>
        <v>0</v>
      </c>
      <c r="O951" s="103">
        <f t="shared" si="339"/>
        <v>0</v>
      </c>
      <c r="P951" s="103">
        <f t="shared" si="339"/>
        <v>0</v>
      </c>
      <c r="Q951" s="103">
        <f t="shared" si="340"/>
        <v>0</v>
      </c>
      <c r="S951" s="730" t="str">
        <f t="shared" si="337"/>
        <v/>
      </c>
      <c r="T951" s="730" t="str">
        <f t="shared" si="337"/>
        <v/>
      </c>
      <c r="U951" s="730" t="str">
        <f t="shared" si="337"/>
        <v/>
      </c>
      <c r="V951" s="730" t="str">
        <f t="shared" si="337"/>
        <v/>
      </c>
      <c r="W951" s="531"/>
      <c r="X951" s="236"/>
      <c r="Y951" s="236" t="s">
        <v>598</v>
      </c>
      <c r="Z951" s="236"/>
    </row>
    <row r="952" spans="1:26" s="671" customFormat="1" ht="11.25" customHeight="1">
      <c r="A952" s="246" t="s">
        <v>636</v>
      </c>
      <c r="B952" s="235" t="s">
        <v>191</v>
      </c>
      <c r="C952" s="1425" t="s">
        <v>312</v>
      </c>
      <c r="D952" s="1426"/>
      <c r="E952" s="1427"/>
      <c r="F952" s="652">
        <f t="shared" ref="F952:M952" si="352">+F942+F944+F946</f>
        <v>129363363</v>
      </c>
      <c r="G952" s="652">
        <f t="shared" si="352"/>
        <v>415689389</v>
      </c>
      <c r="H952" s="652">
        <f t="shared" si="352"/>
        <v>27885000</v>
      </c>
      <c r="I952" s="652">
        <f t="shared" si="352"/>
        <v>572937752</v>
      </c>
      <c r="J952" s="652">
        <f t="shared" si="352"/>
        <v>100220673.05999999</v>
      </c>
      <c r="K952" s="652">
        <f t="shared" si="352"/>
        <v>282508241.86000001</v>
      </c>
      <c r="L952" s="652">
        <f t="shared" si="352"/>
        <v>19178544.170000002</v>
      </c>
      <c r="M952" s="652">
        <f t="shared" si="352"/>
        <v>401907459.08999997</v>
      </c>
      <c r="N952" s="652">
        <f t="shared" si="339"/>
        <v>29142689.940000013</v>
      </c>
      <c r="O952" s="652">
        <f t="shared" si="339"/>
        <v>133181147.13999999</v>
      </c>
      <c r="P952" s="652">
        <f t="shared" si="339"/>
        <v>8706455.8299999982</v>
      </c>
      <c r="Q952" s="652">
        <f t="shared" si="340"/>
        <v>171030292.90999997</v>
      </c>
      <c r="R952" s="670">
        <f>+Q952-'[3]chd 8-SAOB'!BB179</f>
        <v>0</v>
      </c>
      <c r="S952" s="1008">
        <f t="shared" si="337"/>
        <v>0.77472222997171147</v>
      </c>
      <c r="T952" s="1008">
        <f t="shared" si="337"/>
        <v>0.67961379177759096</v>
      </c>
      <c r="U952" s="1008">
        <f t="shared" si="337"/>
        <v>0.68777278716155643</v>
      </c>
      <c r="V952" s="1008">
        <f t="shared" si="337"/>
        <v>0.70148538420976658</v>
      </c>
      <c r="W952" s="254"/>
      <c r="X952" s="237"/>
      <c r="Y952" s="610" t="s">
        <v>598</v>
      </c>
      <c r="Z952" s="241" t="s">
        <v>598</v>
      </c>
    </row>
    <row r="953" spans="1:26" ht="11.25" customHeight="1">
      <c r="A953" s="246" t="s">
        <v>636</v>
      </c>
      <c r="B953" s="235" t="s">
        <v>191</v>
      </c>
      <c r="C953" s="410"/>
      <c r="D953" s="396"/>
      <c r="E953" s="806"/>
      <c r="F953" s="103"/>
      <c r="G953" s="103"/>
      <c r="H953" s="103"/>
      <c r="I953" s="103">
        <f>SUM(F953:H953)</f>
        <v>0</v>
      </c>
      <c r="J953" s="103"/>
      <c r="K953" s="103"/>
      <c r="L953" s="103"/>
      <c r="M953" s="103">
        <f>SUM(J953:L953)</f>
        <v>0</v>
      </c>
      <c r="N953" s="103">
        <f t="shared" si="339"/>
        <v>0</v>
      </c>
      <c r="O953" s="103">
        <f t="shared" si="339"/>
        <v>0</v>
      </c>
      <c r="P953" s="103">
        <f t="shared" si="339"/>
        <v>0</v>
      </c>
      <c r="Q953" s="103">
        <f t="shared" si="340"/>
        <v>0</v>
      </c>
      <c r="S953" s="730" t="str">
        <f t="shared" si="337"/>
        <v/>
      </c>
      <c r="T953" s="730" t="str">
        <f t="shared" si="337"/>
        <v/>
      </c>
      <c r="U953" s="730" t="str">
        <f t="shared" si="337"/>
        <v/>
      </c>
      <c r="V953" s="730" t="str">
        <f t="shared" si="337"/>
        <v/>
      </c>
      <c r="W953" s="254"/>
      <c r="Y953" s="610" t="s">
        <v>598</v>
      </c>
      <c r="Z953" s="241" t="s">
        <v>598</v>
      </c>
    </row>
    <row r="954" spans="1:26" ht="11.25" customHeight="1">
      <c r="A954" s="246" t="s">
        <v>636</v>
      </c>
      <c r="B954" s="235" t="s">
        <v>194</v>
      </c>
      <c r="C954" s="410" t="s">
        <v>193</v>
      </c>
      <c r="D954" s="396"/>
      <c r="E954" s="806"/>
      <c r="F954" s="104"/>
      <c r="G954" s="104"/>
      <c r="H954" s="104"/>
      <c r="I954" s="103">
        <f>SUM(F954:H954)</f>
        <v>0</v>
      </c>
      <c r="J954" s="104"/>
      <c r="K954" s="104"/>
      <c r="L954" s="104"/>
      <c r="M954" s="103">
        <f>SUM(J954:L954)</f>
        <v>0</v>
      </c>
      <c r="N954" s="103">
        <f t="shared" si="339"/>
        <v>0</v>
      </c>
      <c r="O954" s="103">
        <f t="shared" si="339"/>
        <v>0</v>
      </c>
      <c r="P954" s="103">
        <f t="shared" si="339"/>
        <v>0</v>
      </c>
      <c r="Q954" s="103">
        <f t="shared" si="340"/>
        <v>0</v>
      </c>
      <c r="S954" s="730" t="str">
        <f t="shared" si="337"/>
        <v/>
      </c>
      <c r="T954" s="730" t="str">
        <f t="shared" si="337"/>
        <v/>
      </c>
      <c r="U954" s="730" t="str">
        <f t="shared" si="337"/>
        <v/>
      </c>
      <c r="V954" s="730" t="str">
        <f t="shared" si="337"/>
        <v/>
      </c>
      <c r="W954" s="254"/>
      <c r="Y954" s="610" t="s">
        <v>598</v>
      </c>
      <c r="Z954" s="241" t="s">
        <v>598</v>
      </c>
    </row>
    <row r="955" spans="1:26" s="675" customFormat="1" ht="11.25" customHeight="1">
      <c r="A955" s="528" t="s">
        <v>636</v>
      </c>
      <c r="B955" s="528" t="s">
        <v>194</v>
      </c>
      <c r="C955" s="407" t="s">
        <v>98</v>
      </c>
      <c r="D955" s="655" t="s">
        <v>105</v>
      </c>
      <c r="E955" s="408" t="s">
        <v>825</v>
      </c>
      <c r="F955" s="673"/>
      <c r="G955" s="673"/>
      <c r="H955" s="673"/>
      <c r="I955" s="674">
        <f>SUM(F955:H955)</f>
        <v>0</v>
      </c>
      <c r="J955" s="673"/>
      <c r="K955" s="673"/>
      <c r="L955" s="673"/>
      <c r="M955" s="674">
        <f>SUM(J955:L955)</f>
        <v>0</v>
      </c>
      <c r="N955" s="674">
        <f t="shared" si="339"/>
        <v>0</v>
      </c>
      <c r="O955" s="674">
        <f t="shared" si="339"/>
        <v>0</v>
      </c>
      <c r="P955" s="674">
        <f t="shared" si="339"/>
        <v>0</v>
      </c>
      <c r="Q955" s="674">
        <f t="shared" si="340"/>
        <v>0</v>
      </c>
      <c r="R955" s="101"/>
      <c r="S955" s="254" t="str">
        <f t="shared" si="337"/>
        <v/>
      </c>
      <c r="T955" s="254" t="str">
        <f t="shared" si="337"/>
        <v/>
      </c>
      <c r="U955" s="254" t="str">
        <f t="shared" si="337"/>
        <v/>
      </c>
      <c r="V955" s="254" t="str">
        <f t="shared" si="337"/>
        <v/>
      </c>
      <c r="W955" s="531"/>
      <c r="Y955" s="272" t="s">
        <v>598</v>
      </c>
      <c r="Z955" s="260" t="s">
        <v>598</v>
      </c>
    </row>
    <row r="956" spans="1:26" ht="11.25" customHeight="1">
      <c r="A956" s="528" t="s">
        <v>636</v>
      </c>
      <c r="B956" s="1013" t="s">
        <v>194</v>
      </c>
      <c r="C956" s="461"/>
      <c r="D956" s="645" t="s">
        <v>766</v>
      </c>
      <c r="E956" s="447" t="s">
        <v>766</v>
      </c>
      <c r="F956" s="104">
        <f>+'[3]chd 8-SAOB'!C387</f>
        <v>147651000</v>
      </c>
      <c r="G956" s="104">
        <f>+'[3]chd 8-SAOB'!D387</f>
        <v>51037000</v>
      </c>
      <c r="H956" s="104">
        <f>+'[3]chd 8-SAOB'!E387</f>
        <v>0</v>
      </c>
      <c r="I956" s="103">
        <f>SUM(F956:H956)</f>
        <v>198688000</v>
      </c>
      <c r="J956" s="104">
        <f>+'[3]chd 8-SAOB'!G387</f>
        <v>115892799.78</v>
      </c>
      <c r="K956" s="104">
        <f>+'[3]chd 8-SAOB'!H387</f>
        <v>40800973.879999995</v>
      </c>
      <c r="L956" s="104">
        <f>+'[3]chd 8-SAOB'!I387</f>
        <v>0</v>
      </c>
      <c r="M956" s="103">
        <f>SUM(J956:L956)</f>
        <v>156693773.66</v>
      </c>
      <c r="N956" s="103">
        <f t="shared" si="339"/>
        <v>31758200.219999999</v>
      </c>
      <c r="O956" s="103">
        <f t="shared" si="339"/>
        <v>10236026.120000005</v>
      </c>
      <c r="P956" s="103">
        <f t="shared" si="339"/>
        <v>0</v>
      </c>
      <c r="Q956" s="103">
        <f t="shared" si="340"/>
        <v>41994226.340000004</v>
      </c>
      <c r="S956" s="730">
        <f t="shared" si="337"/>
        <v>0.784910361460471</v>
      </c>
      <c r="T956" s="730">
        <f t="shared" si="337"/>
        <v>0.79943911044928184</v>
      </c>
      <c r="U956" s="730" t="str">
        <f t="shared" si="337"/>
        <v/>
      </c>
      <c r="V956" s="730">
        <f t="shared" si="337"/>
        <v>0.78864236219600581</v>
      </c>
      <c r="W956" s="531"/>
      <c r="X956" s="236"/>
      <c r="Y956" s="236" t="s">
        <v>688</v>
      </c>
      <c r="Z956" s="236"/>
    </row>
    <row r="957" spans="1:26" ht="11.25" customHeight="1">
      <c r="A957" s="528" t="s">
        <v>636</v>
      </c>
      <c r="B957" s="1013" t="s">
        <v>194</v>
      </c>
      <c r="C957" s="728"/>
      <c r="D957" s="649" t="s">
        <v>50</v>
      </c>
      <c r="E957" s="447" t="s">
        <v>50</v>
      </c>
      <c r="F957" s="104"/>
      <c r="G957" s="104">
        <f>+'[3]chd 8-SAOB'!D389</f>
        <v>17995000</v>
      </c>
      <c r="H957" s="104">
        <f>+'[3]chd 8-SAOB'!E389</f>
        <v>12000000</v>
      </c>
      <c r="I957" s="103">
        <f>SUM(F957:H957)</f>
        <v>29995000</v>
      </c>
      <c r="J957" s="104"/>
      <c r="K957" s="104">
        <f>+'[3]chd 8-SAOB'!H389</f>
        <v>17794175.34</v>
      </c>
      <c r="L957" s="104">
        <f>+'[3]chd 8-SAOB'!I389</f>
        <v>12000000</v>
      </c>
      <c r="M957" s="103">
        <f>SUM(J957:L957)</f>
        <v>29794175.34</v>
      </c>
      <c r="N957" s="103">
        <f t="shared" si="339"/>
        <v>0</v>
      </c>
      <c r="O957" s="103">
        <f t="shared" si="339"/>
        <v>200824.66000000015</v>
      </c>
      <c r="P957" s="103">
        <f t="shared" si="339"/>
        <v>0</v>
      </c>
      <c r="Q957" s="103">
        <f t="shared" si="340"/>
        <v>200824.66000000015</v>
      </c>
      <c r="S957" s="730" t="str">
        <f t="shared" si="337"/>
        <v/>
      </c>
      <c r="T957" s="730">
        <f t="shared" si="337"/>
        <v>0.98883997443734373</v>
      </c>
      <c r="U957" s="730">
        <f t="shared" si="337"/>
        <v>1</v>
      </c>
      <c r="V957" s="730">
        <f t="shared" si="337"/>
        <v>0.99330472878813136</v>
      </c>
      <c r="W957" s="531"/>
      <c r="X957" s="236"/>
      <c r="Y957" s="236" t="s">
        <v>688</v>
      </c>
      <c r="Z957" s="236"/>
    </row>
    <row r="958" spans="1:26" s="256" customFormat="1" ht="11.25" customHeight="1">
      <c r="A958" s="528" t="s">
        <v>636</v>
      </c>
      <c r="B958" s="528" t="s">
        <v>194</v>
      </c>
      <c r="C958" s="389"/>
      <c r="D958" s="650" t="s">
        <v>98</v>
      </c>
      <c r="E958" s="390" t="s">
        <v>767</v>
      </c>
      <c r="F958" s="391">
        <f>+F956+F957</f>
        <v>147651000</v>
      </c>
      <c r="G958" s="391">
        <f t="shared" ref="G958:M958" si="353">+G956+G957</f>
        <v>69032000</v>
      </c>
      <c r="H958" s="391">
        <f t="shared" si="353"/>
        <v>12000000</v>
      </c>
      <c r="I958" s="391">
        <f t="shared" si="353"/>
        <v>228683000</v>
      </c>
      <c r="J958" s="391">
        <f t="shared" si="353"/>
        <v>115892799.78</v>
      </c>
      <c r="K958" s="391">
        <f t="shared" si="353"/>
        <v>58595149.219999999</v>
      </c>
      <c r="L958" s="391">
        <f t="shared" si="353"/>
        <v>12000000</v>
      </c>
      <c r="M958" s="391">
        <f t="shared" si="353"/>
        <v>186487949</v>
      </c>
      <c r="N958" s="391">
        <f t="shared" si="339"/>
        <v>31758200.219999999</v>
      </c>
      <c r="O958" s="391">
        <f t="shared" si="339"/>
        <v>10436850.780000001</v>
      </c>
      <c r="P958" s="391">
        <f t="shared" si="339"/>
        <v>0</v>
      </c>
      <c r="Q958" s="391">
        <f t="shared" si="340"/>
        <v>42195051</v>
      </c>
      <c r="R958" s="101"/>
      <c r="S958" s="254">
        <f t="shared" si="337"/>
        <v>0.784910361460471</v>
      </c>
      <c r="T958" s="254">
        <f t="shared" si="337"/>
        <v>0.84881140949125045</v>
      </c>
      <c r="U958" s="254">
        <f t="shared" si="337"/>
        <v>1</v>
      </c>
      <c r="V958" s="254">
        <f t="shared" si="337"/>
        <v>0.81548671742105883</v>
      </c>
      <c r="W958" s="531"/>
      <c r="Y958" s="256" t="s">
        <v>598</v>
      </c>
      <c r="Z958" s="256" t="s">
        <v>598</v>
      </c>
    </row>
    <row r="959" spans="1:26" ht="11.25" hidden="1" customHeight="1">
      <c r="A959" s="528" t="s">
        <v>636</v>
      </c>
      <c r="B959" s="1013" t="s">
        <v>194</v>
      </c>
      <c r="C959" s="410"/>
      <c r="D959" s="651"/>
      <c r="E959" s="806"/>
      <c r="F959" s="807"/>
      <c r="G959" s="807"/>
      <c r="H959" s="807"/>
      <c r="I959" s="807"/>
      <c r="J959" s="807"/>
      <c r="K959" s="807"/>
      <c r="L959" s="807"/>
      <c r="M959" s="807"/>
      <c r="N959" s="807">
        <f t="shared" si="339"/>
        <v>0</v>
      </c>
      <c r="O959" s="807">
        <f t="shared" si="339"/>
        <v>0</v>
      </c>
      <c r="P959" s="807">
        <f t="shared" si="339"/>
        <v>0</v>
      </c>
      <c r="Q959" s="807">
        <f t="shared" si="340"/>
        <v>0</v>
      </c>
      <c r="R959" s="276"/>
      <c r="S959" s="730" t="str">
        <f t="shared" si="337"/>
        <v/>
      </c>
      <c r="T959" s="730" t="str">
        <f t="shared" si="337"/>
        <v/>
      </c>
      <c r="U959" s="730" t="str">
        <f t="shared" si="337"/>
        <v/>
      </c>
      <c r="V959" s="730" t="str">
        <f t="shared" si="337"/>
        <v/>
      </c>
      <c r="W959" s="531"/>
      <c r="X959" s="236"/>
      <c r="Y959" s="236"/>
      <c r="Z959" s="236"/>
    </row>
    <row r="960" spans="1:26" s="256" customFormat="1" ht="11.25" customHeight="1">
      <c r="A960" s="528" t="s">
        <v>636</v>
      </c>
      <c r="B960" s="528" t="s">
        <v>194</v>
      </c>
      <c r="C960" s="389"/>
      <c r="D960" s="650" t="s">
        <v>98</v>
      </c>
      <c r="E960" s="390" t="s">
        <v>99</v>
      </c>
      <c r="F960" s="391">
        <f>+F961</f>
        <v>13896000</v>
      </c>
      <c r="G960" s="391">
        <f t="shared" ref="G960:M960" si="354">+G961</f>
        <v>0</v>
      </c>
      <c r="H960" s="391">
        <f t="shared" si="354"/>
        <v>0</v>
      </c>
      <c r="I960" s="391">
        <f t="shared" si="354"/>
        <v>13896000</v>
      </c>
      <c r="J960" s="391">
        <f t="shared" si="354"/>
        <v>10818955.460000001</v>
      </c>
      <c r="K960" s="391">
        <f t="shared" si="354"/>
        <v>0</v>
      </c>
      <c r="L960" s="391">
        <f t="shared" si="354"/>
        <v>0</v>
      </c>
      <c r="M960" s="391">
        <f t="shared" si="354"/>
        <v>10818955.460000001</v>
      </c>
      <c r="N960" s="391">
        <f t="shared" si="339"/>
        <v>3077044.5399999991</v>
      </c>
      <c r="O960" s="391">
        <f t="shared" si="339"/>
        <v>0</v>
      </c>
      <c r="P960" s="391">
        <f t="shared" si="339"/>
        <v>0</v>
      </c>
      <c r="Q960" s="391">
        <f t="shared" si="340"/>
        <v>3077044.5399999991</v>
      </c>
      <c r="R960" s="101"/>
      <c r="S960" s="254">
        <f t="shared" si="337"/>
        <v>0.77856616724237193</v>
      </c>
      <c r="T960" s="254" t="str">
        <f t="shared" si="337"/>
        <v/>
      </c>
      <c r="U960" s="254" t="str">
        <f t="shared" si="337"/>
        <v/>
      </c>
      <c r="V960" s="254">
        <f t="shared" si="337"/>
        <v>0.77856616724237193</v>
      </c>
      <c r="W960" s="531"/>
      <c r="Y960" s="256" t="s">
        <v>598</v>
      </c>
      <c r="Z960" s="256" t="s">
        <v>598</v>
      </c>
    </row>
    <row r="961" spans="1:26" ht="11.25" customHeight="1">
      <c r="A961" s="528" t="s">
        <v>636</v>
      </c>
      <c r="B961" s="1013" t="s">
        <v>194</v>
      </c>
      <c r="C961" s="728"/>
      <c r="D961" s="649" t="s">
        <v>286</v>
      </c>
      <c r="E961" s="729" t="s">
        <v>286</v>
      </c>
      <c r="F961" s="103">
        <f>SUM('[3]chd 8-SAOB'!W14)</f>
        <v>13896000</v>
      </c>
      <c r="G961" s="103">
        <f>SUM('[3]chd 8-SAOB'!W50)</f>
        <v>0</v>
      </c>
      <c r="H961" s="103">
        <f>SUM('[3]chd 8-SAOB'!W142)</f>
        <v>0</v>
      </c>
      <c r="I961" s="103">
        <f>SUM(F961:H961)</f>
        <v>13896000</v>
      </c>
      <c r="J961" s="103">
        <f>SUM('[3]chd 8-SAOB'!W15)</f>
        <v>10818955.460000001</v>
      </c>
      <c r="K961" s="103">
        <f>SUM('[3]chd 8-SAOB'!W51)</f>
        <v>0</v>
      </c>
      <c r="L961" s="103">
        <f>SUM('[3]chd 8-SAOB'!W143)</f>
        <v>0</v>
      </c>
      <c r="M961" s="103">
        <f>SUM(J961:L961)</f>
        <v>10818955.460000001</v>
      </c>
      <c r="N961" s="103">
        <f t="shared" si="339"/>
        <v>3077044.5399999991</v>
      </c>
      <c r="O961" s="103">
        <f t="shared" si="339"/>
        <v>0</v>
      </c>
      <c r="P961" s="103">
        <f t="shared" si="339"/>
        <v>0</v>
      </c>
      <c r="Q961" s="103">
        <f t="shared" si="340"/>
        <v>3077044.5399999991</v>
      </c>
      <c r="S961" s="730">
        <f t="shared" si="337"/>
        <v>0.77856616724237193</v>
      </c>
      <c r="T961" s="730" t="str">
        <f t="shared" si="337"/>
        <v/>
      </c>
      <c r="U961" s="730" t="str">
        <f t="shared" si="337"/>
        <v/>
      </c>
      <c r="V961" s="730">
        <f t="shared" si="337"/>
        <v>0.77856616724237193</v>
      </c>
      <c r="W961" s="531"/>
      <c r="X961" s="236"/>
      <c r="Y961" s="236" t="s">
        <v>598</v>
      </c>
      <c r="Z961" s="236"/>
    </row>
    <row r="962" spans="1:26" s="272" customFormat="1" ht="11.25" customHeight="1">
      <c r="A962" s="528" t="s">
        <v>636</v>
      </c>
      <c r="B962" s="528" t="s">
        <v>194</v>
      </c>
      <c r="C962" s="389"/>
      <c r="D962" s="650" t="s">
        <v>98</v>
      </c>
      <c r="E962" s="390" t="s">
        <v>100</v>
      </c>
      <c r="F962" s="391">
        <f t="shared" ref="F962:M962" si="355">SUM(F963:F967)</f>
        <v>3842621</v>
      </c>
      <c r="G962" s="391">
        <f t="shared" si="355"/>
        <v>15500000</v>
      </c>
      <c r="H962" s="391">
        <f t="shared" si="355"/>
        <v>0</v>
      </c>
      <c r="I962" s="391">
        <f t="shared" si="355"/>
        <v>19342621</v>
      </c>
      <c r="J962" s="391">
        <f t="shared" si="355"/>
        <v>3819618.2800000003</v>
      </c>
      <c r="K962" s="391">
        <f t="shared" si="355"/>
        <v>10702400.75</v>
      </c>
      <c r="L962" s="391">
        <f t="shared" si="355"/>
        <v>0</v>
      </c>
      <c r="M962" s="391">
        <f t="shared" si="355"/>
        <v>14522019.030000001</v>
      </c>
      <c r="N962" s="391">
        <f t="shared" si="339"/>
        <v>23002.719999999739</v>
      </c>
      <c r="O962" s="391">
        <f t="shared" si="339"/>
        <v>4797599.25</v>
      </c>
      <c r="P962" s="391">
        <f t="shared" si="339"/>
        <v>0</v>
      </c>
      <c r="Q962" s="391">
        <f t="shared" si="340"/>
        <v>4820601.97</v>
      </c>
      <c r="R962" s="102"/>
      <c r="S962" s="254">
        <f t="shared" si="337"/>
        <v>0.99401379423055258</v>
      </c>
      <c r="T962" s="254">
        <f t="shared" si="337"/>
        <v>0.69047746774193552</v>
      </c>
      <c r="U962" s="254" t="str">
        <f t="shared" si="337"/>
        <v/>
      </c>
      <c r="V962" s="254">
        <f t="shared" si="337"/>
        <v>0.75077824406526916</v>
      </c>
      <c r="W962" s="531"/>
      <c r="Y962" s="272" t="s">
        <v>598</v>
      </c>
      <c r="Z962" s="256" t="s">
        <v>598</v>
      </c>
    </row>
    <row r="963" spans="1:26" ht="11.25" customHeight="1">
      <c r="A963" s="528" t="s">
        <v>636</v>
      </c>
      <c r="B963" s="1013" t="s">
        <v>194</v>
      </c>
      <c r="C963" s="728"/>
      <c r="D963" s="649" t="s">
        <v>288</v>
      </c>
      <c r="E963" s="729" t="s">
        <v>288</v>
      </c>
      <c r="F963" s="103">
        <f>SUM('[3]chd 8-SAOB'!AA14)</f>
        <v>0</v>
      </c>
      <c r="G963" s="103">
        <f>SUM('[3]chd 8-SAOB'!AA50)</f>
        <v>0</v>
      </c>
      <c r="H963" s="103">
        <f>SUM('[3]chd 8-SAOB'!AA142)</f>
        <v>0</v>
      </c>
      <c r="I963" s="103">
        <f>SUM(F963:H963)</f>
        <v>0</v>
      </c>
      <c r="J963" s="103">
        <f>SUM('[3]chd 8-SAOB'!AA15)</f>
        <v>0</v>
      </c>
      <c r="K963" s="103">
        <f>SUM('[3]chd 8-SAOB'!AA51)</f>
        <v>0</v>
      </c>
      <c r="L963" s="103">
        <f>SUM('[3]chd 8-SAOB'!AA143)</f>
        <v>0</v>
      </c>
      <c r="M963" s="103">
        <f>SUM(J963:L963)</f>
        <v>0</v>
      </c>
      <c r="N963" s="103">
        <f t="shared" si="339"/>
        <v>0</v>
      </c>
      <c r="O963" s="103">
        <f t="shared" si="339"/>
        <v>0</v>
      </c>
      <c r="P963" s="103">
        <f t="shared" si="339"/>
        <v>0</v>
      </c>
      <c r="Q963" s="103">
        <f t="shared" si="340"/>
        <v>0</v>
      </c>
      <c r="S963" s="730" t="str">
        <f t="shared" si="337"/>
        <v/>
      </c>
      <c r="T963" s="730" t="str">
        <f t="shared" si="337"/>
        <v/>
      </c>
      <c r="U963" s="730" t="str">
        <f t="shared" si="337"/>
        <v/>
      </c>
      <c r="V963" s="730" t="str">
        <f t="shared" si="337"/>
        <v/>
      </c>
      <c r="W963" s="531"/>
      <c r="X963" s="236"/>
      <c r="Y963" s="236" t="s">
        <v>598</v>
      </c>
      <c r="Z963" s="236"/>
    </row>
    <row r="964" spans="1:26" ht="11.25" customHeight="1">
      <c r="A964" s="528" t="s">
        <v>636</v>
      </c>
      <c r="B964" s="1013" t="s">
        <v>194</v>
      </c>
      <c r="C964" s="728"/>
      <c r="D964" s="649" t="s">
        <v>761</v>
      </c>
      <c r="E964" s="729" t="s">
        <v>761</v>
      </c>
      <c r="F964" s="104">
        <f>+'[3]chd 8-SAOB'!C389</f>
        <v>2780000</v>
      </c>
      <c r="G964" s="104"/>
      <c r="H964" s="104"/>
      <c r="I964" s="103">
        <f>SUM(F964:H964)</f>
        <v>2780000</v>
      </c>
      <c r="J964" s="104">
        <f>+'[3]chd 8-SAOB'!G389</f>
        <v>2757000</v>
      </c>
      <c r="K964" s="104"/>
      <c r="L964" s="104"/>
      <c r="M964" s="103">
        <f>SUM(J964:L964)</f>
        <v>2757000</v>
      </c>
      <c r="N964" s="103">
        <f>+F964-J964</f>
        <v>23000</v>
      </c>
      <c r="O964" s="103">
        <f t="shared" si="339"/>
        <v>0</v>
      </c>
      <c r="P964" s="103">
        <f t="shared" si="339"/>
        <v>0</v>
      </c>
      <c r="Q964" s="103">
        <f>SUM(N964:P964)</f>
        <v>23000</v>
      </c>
      <c r="S964" s="730">
        <f t="shared" si="337"/>
        <v>0.99172661870503598</v>
      </c>
      <c r="T964" s="730" t="str">
        <f t="shared" si="337"/>
        <v/>
      </c>
      <c r="U964" s="730" t="str">
        <f t="shared" si="337"/>
        <v/>
      </c>
      <c r="V964" s="730">
        <f t="shared" si="337"/>
        <v>0.99172661870503598</v>
      </c>
      <c r="W964" s="531"/>
      <c r="X964" s="236"/>
      <c r="Y964" s="236" t="s">
        <v>688</v>
      </c>
      <c r="Z964" s="236"/>
    </row>
    <row r="965" spans="1:26" ht="11.25" customHeight="1">
      <c r="A965" s="528" t="s">
        <v>636</v>
      </c>
      <c r="B965" s="1013" t="s">
        <v>194</v>
      </c>
      <c r="C965" s="410"/>
      <c r="D965" s="647"/>
      <c r="E965" s="461"/>
      <c r="F965" s="104"/>
      <c r="G965" s="104"/>
      <c r="H965" s="104"/>
      <c r="I965" s="103"/>
      <c r="J965" s="104"/>
      <c r="K965" s="104"/>
      <c r="L965" s="104"/>
      <c r="M965" s="103"/>
      <c r="N965" s="103"/>
      <c r="O965" s="103"/>
      <c r="P965" s="103"/>
      <c r="Q965" s="103"/>
      <c r="S965" s="730" t="str">
        <f t="shared" si="337"/>
        <v/>
      </c>
      <c r="T965" s="730" t="str">
        <f t="shared" si="337"/>
        <v/>
      </c>
      <c r="U965" s="730" t="str">
        <f t="shared" si="337"/>
        <v/>
      </c>
      <c r="V965" s="730" t="str">
        <f t="shared" si="337"/>
        <v/>
      </c>
      <c r="W965" s="531"/>
      <c r="X965" s="236"/>
      <c r="Y965" s="236" t="s">
        <v>688</v>
      </c>
      <c r="Z965" s="240"/>
    </row>
    <row r="966" spans="1:26" ht="11.25" customHeight="1">
      <c r="A966" s="528" t="s">
        <v>636</v>
      </c>
      <c r="B966" s="1013" t="s">
        <v>194</v>
      </c>
      <c r="C966" s="728"/>
      <c r="D966" s="649" t="s">
        <v>289</v>
      </c>
      <c r="E966" s="729" t="s">
        <v>289</v>
      </c>
      <c r="F966" s="103">
        <f>SUM('[3]chd 8-SAOB'!AE14)</f>
        <v>1062621</v>
      </c>
      <c r="G966" s="103">
        <f>SUM('[3]chd 8-SAOB'!AE50)</f>
        <v>0</v>
      </c>
      <c r="H966" s="103">
        <f>SUM('[3]chd 8-SAOB'!AE142)</f>
        <v>0</v>
      </c>
      <c r="I966" s="103">
        <f>SUM(F966:H966)</f>
        <v>1062621</v>
      </c>
      <c r="J966" s="103">
        <f>SUM('[3]chd 8-SAOB'!AE15)</f>
        <v>1062618.28</v>
      </c>
      <c r="K966" s="103">
        <f>SUM('[3]chd 8-SAOB'!AE51)</f>
        <v>0</v>
      </c>
      <c r="L966" s="103">
        <f>SUM('[3]chd 8-SAOB'!AE143)</f>
        <v>0</v>
      </c>
      <c r="M966" s="103">
        <f>SUM(J966:L966)</f>
        <v>1062618.28</v>
      </c>
      <c r="N966" s="103">
        <f t="shared" si="339"/>
        <v>2.7199999999720603</v>
      </c>
      <c r="O966" s="103">
        <f t="shared" si="339"/>
        <v>0</v>
      </c>
      <c r="P966" s="103">
        <f t="shared" si="339"/>
        <v>0</v>
      </c>
      <c r="Q966" s="103">
        <f t="shared" si="340"/>
        <v>2.7199999999720603</v>
      </c>
      <c r="S966" s="730">
        <f t="shared" si="337"/>
        <v>0.99999744029150561</v>
      </c>
      <c r="T966" s="730" t="str">
        <f t="shared" si="337"/>
        <v/>
      </c>
      <c r="U966" s="730" t="str">
        <f t="shared" si="337"/>
        <v/>
      </c>
      <c r="V966" s="730">
        <f t="shared" si="337"/>
        <v>0.99999744029150561</v>
      </c>
      <c r="W966" s="531"/>
      <c r="X966" s="236"/>
      <c r="Y966" s="236" t="s">
        <v>598</v>
      </c>
      <c r="Z966" s="236"/>
    </row>
    <row r="967" spans="1:26" ht="11.25" customHeight="1">
      <c r="A967" s="528" t="s">
        <v>636</v>
      </c>
      <c r="B967" s="1013" t="s">
        <v>194</v>
      </c>
      <c r="C967" s="728"/>
      <c r="D967" s="649" t="s">
        <v>290</v>
      </c>
      <c r="E967" s="729" t="s">
        <v>290</v>
      </c>
      <c r="F967" s="103">
        <f>SUM('[3]chd 8-SAOB'!AI14)</f>
        <v>0</v>
      </c>
      <c r="G967" s="103">
        <f>SUM('[3]chd 8-SAOB'!AI50)</f>
        <v>15500000</v>
      </c>
      <c r="H967" s="103">
        <f>SUM('[3]chd 8-SAOB'!AI142)</f>
        <v>0</v>
      </c>
      <c r="I967" s="103">
        <f>SUM(F967:H967)</f>
        <v>15500000</v>
      </c>
      <c r="J967" s="103">
        <f>SUM('[3]chd 8-SAOB'!AI15)</f>
        <v>0</v>
      </c>
      <c r="K967" s="103">
        <f>SUM('[3]chd 8-SAOB'!AI51)</f>
        <v>10702400.75</v>
      </c>
      <c r="L967" s="103">
        <f>SUM('[3]chd 8-SAOB'!AI143)</f>
        <v>0</v>
      </c>
      <c r="M967" s="103">
        <f>SUM(J967:L967)</f>
        <v>10702400.75</v>
      </c>
      <c r="N967" s="103">
        <f t="shared" si="339"/>
        <v>0</v>
      </c>
      <c r="O967" s="103">
        <f t="shared" si="339"/>
        <v>4797599.25</v>
      </c>
      <c r="P967" s="103">
        <f t="shared" si="339"/>
        <v>0</v>
      </c>
      <c r="Q967" s="103">
        <f t="shared" si="340"/>
        <v>4797599.25</v>
      </c>
      <c r="S967" s="730" t="str">
        <f t="shared" si="337"/>
        <v/>
      </c>
      <c r="T967" s="730">
        <f t="shared" si="337"/>
        <v>0.69047746774193552</v>
      </c>
      <c r="U967" s="730" t="str">
        <f t="shared" si="337"/>
        <v/>
      </c>
      <c r="V967" s="730">
        <f t="shared" si="337"/>
        <v>0.69047746774193552</v>
      </c>
      <c r="W967" s="531"/>
      <c r="X967" s="236"/>
      <c r="Y967" s="236" t="s">
        <v>598</v>
      </c>
      <c r="Z967" s="236"/>
    </row>
    <row r="968" spans="1:26" s="259" customFormat="1" ht="11.25" customHeight="1">
      <c r="A968" s="246" t="s">
        <v>636</v>
      </c>
      <c r="B968" s="235" t="s">
        <v>194</v>
      </c>
      <c r="C968" s="656"/>
      <c r="D968" s="656"/>
      <c r="E968" s="657" t="s">
        <v>4</v>
      </c>
      <c r="F968" s="652">
        <f>+F958+F960+F962</f>
        <v>165389621</v>
      </c>
      <c r="G968" s="652">
        <f t="shared" ref="G968:M968" si="356">+G958+G960+G962</f>
        <v>84532000</v>
      </c>
      <c r="H968" s="652">
        <f t="shared" si="356"/>
        <v>12000000</v>
      </c>
      <c r="I968" s="652">
        <f t="shared" si="356"/>
        <v>261921621</v>
      </c>
      <c r="J968" s="652">
        <f t="shared" si="356"/>
        <v>130531373.52000001</v>
      </c>
      <c r="K968" s="652">
        <f t="shared" si="356"/>
        <v>69297549.969999999</v>
      </c>
      <c r="L968" s="652">
        <f t="shared" si="356"/>
        <v>12000000</v>
      </c>
      <c r="M968" s="652">
        <f t="shared" si="356"/>
        <v>211828923.49000001</v>
      </c>
      <c r="N968" s="652">
        <f t="shared" si="339"/>
        <v>34858247.479999989</v>
      </c>
      <c r="O968" s="652">
        <f t="shared" si="339"/>
        <v>15234450.030000001</v>
      </c>
      <c r="P968" s="652">
        <f t="shared" si="339"/>
        <v>0</v>
      </c>
      <c r="Q968" s="652">
        <f t="shared" si="340"/>
        <v>50092697.50999999</v>
      </c>
      <c r="R968" s="653">
        <f>+Q968-'[3]chd 8-SAOB'!BC179</f>
        <v>0</v>
      </c>
      <c r="S968" s="1008">
        <f t="shared" si="337"/>
        <v>0.78923558038747799</v>
      </c>
      <c r="T968" s="1008">
        <f t="shared" si="337"/>
        <v>0.81977889994321673</v>
      </c>
      <c r="U968" s="1008">
        <f t="shared" si="337"/>
        <v>1</v>
      </c>
      <c r="V968" s="1008">
        <f t="shared" si="337"/>
        <v>0.80874928416085212</v>
      </c>
      <c r="W968" s="254"/>
      <c r="X968" s="520"/>
      <c r="Y968" s="610" t="s">
        <v>598</v>
      </c>
      <c r="Z968" s="241" t="s">
        <v>598</v>
      </c>
    </row>
    <row r="969" spans="1:26" ht="11.25" customHeight="1">
      <c r="A969" s="246" t="s">
        <v>636</v>
      </c>
      <c r="B969" s="235" t="s">
        <v>194</v>
      </c>
      <c r="C969" s="410"/>
      <c r="D969" s="386"/>
      <c r="E969" s="461"/>
      <c r="F969" s="103"/>
      <c r="G969" s="103"/>
      <c r="H969" s="103"/>
      <c r="I969" s="103">
        <f>SUM(F969:H969)</f>
        <v>0</v>
      </c>
      <c r="J969" s="103"/>
      <c r="K969" s="103"/>
      <c r="L969" s="103"/>
      <c r="M969" s="103">
        <f>SUM(J969:L969)</f>
        <v>0</v>
      </c>
      <c r="N969" s="103">
        <f t="shared" si="339"/>
        <v>0</v>
      </c>
      <c r="O969" s="103">
        <f t="shared" si="339"/>
        <v>0</v>
      </c>
      <c r="P969" s="103">
        <f t="shared" si="339"/>
        <v>0</v>
      </c>
      <c r="Q969" s="103">
        <f t="shared" si="340"/>
        <v>0</v>
      </c>
      <c r="S969" s="730" t="str">
        <f t="shared" si="337"/>
        <v/>
      </c>
      <c r="T969" s="730" t="str">
        <f t="shared" si="337"/>
        <v/>
      </c>
      <c r="U969" s="730" t="str">
        <f t="shared" si="337"/>
        <v/>
      </c>
      <c r="V969" s="730" t="str">
        <f t="shared" si="337"/>
        <v/>
      </c>
      <c r="W969" s="254"/>
      <c r="Y969" s="610" t="s">
        <v>598</v>
      </c>
      <c r="Z969" s="241" t="s">
        <v>598</v>
      </c>
    </row>
    <row r="970" spans="1:26" s="675" customFormat="1" ht="11.25" customHeight="1">
      <c r="A970" s="528" t="s">
        <v>636</v>
      </c>
      <c r="B970" s="528" t="s">
        <v>195</v>
      </c>
      <c r="C970" s="407" t="s">
        <v>98</v>
      </c>
      <c r="D970" s="655" t="s">
        <v>107</v>
      </c>
      <c r="E970" s="408" t="s">
        <v>826</v>
      </c>
      <c r="F970" s="673"/>
      <c r="G970" s="673"/>
      <c r="H970" s="673"/>
      <c r="I970" s="674">
        <f>SUM(F970:H970)</f>
        <v>0</v>
      </c>
      <c r="J970" s="673"/>
      <c r="K970" s="673"/>
      <c r="L970" s="673"/>
      <c r="M970" s="674"/>
      <c r="N970" s="674">
        <f t="shared" si="339"/>
        <v>0</v>
      </c>
      <c r="O970" s="674">
        <f t="shared" si="339"/>
        <v>0</v>
      </c>
      <c r="P970" s="674">
        <f t="shared" si="339"/>
        <v>0</v>
      </c>
      <c r="Q970" s="674">
        <f t="shared" si="340"/>
        <v>0</v>
      </c>
      <c r="R970" s="101"/>
      <c r="S970" s="254" t="str">
        <f t="shared" si="337"/>
        <v/>
      </c>
      <c r="T970" s="254" t="str">
        <f t="shared" si="337"/>
        <v/>
      </c>
      <c r="U970" s="254" t="str">
        <f t="shared" si="337"/>
        <v/>
      </c>
      <c r="V970" s="254" t="str">
        <f t="shared" si="337"/>
        <v/>
      </c>
      <c r="W970" s="531"/>
      <c r="Y970" s="272" t="s">
        <v>598</v>
      </c>
      <c r="Z970" s="260" t="s">
        <v>598</v>
      </c>
    </row>
    <row r="971" spans="1:26" ht="11.25" customHeight="1">
      <c r="A971" s="528" t="s">
        <v>636</v>
      </c>
      <c r="B971" s="1013" t="s">
        <v>195</v>
      </c>
      <c r="C971" s="461"/>
      <c r="D971" s="645" t="s">
        <v>766</v>
      </c>
      <c r="E971" s="447" t="s">
        <v>766</v>
      </c>
      <c r="F971" s="104">
        <f>+'[3]chd 8-SAOB'!C394</f>
        <v>11411000</v>
      </c>
      <c r="G971" s="104">
        <f>+'[3]chd 8-SAOB'!D394</f>
        <v>6320000</v>
      </c>
      <c r="H971" s="104">
        <f>+'[3]chd 8-SAOB'!E394</f>
        <v>0</v>
      </c>
      <c r="I971" s="103">
        <f>SUM(F971:H971)</f>
        <v>17731000</v>
      </c>
      <c r="J971" s="104">
        <f>+'[3]chd 8-SAOB'!G394</f>
        <v>10551249.15</v>
      </c>
      <c r="K971" s="104">
        <f>+'[3]chd 8-SAOB'!H394</f>
        <v>5761862.71</v>
      </c>
      <c r="L971" s="104">
        <f>+'[3]chd 8-SAOB'!I394</f>
        <v>0</v>
      </c>
      <c r="M971" s="103">
        <f>SUM(J971:L971)</f>
        <v>16313111.859999999</v>
      </c>
      <c r="N971" s="103">
        <f t="shared" si="339"/>
        <v>859750.84999999963</v>
      </c>
      <c r="O971" s="103">
        <f t="shared" si="339"/>
        <v>558137.29</v>
      </c>
      <c r="P971" s="103">
        <f t="shared" si="339"/>
        <v>0</v>
      </c>
      <c r="Q971" s="103">
        <f t="shared" si="340"/>
        <v>1417888.1399999997</v>
      </c>
      <c r="S971" s="730">
        <f t="shared" si="337"/>
        <v>0.92465595916221188</v>
      </c>
      <c r="T971" s="730">
        <f t="shared" si="337"/>
        <v>0.91168713765822784</v>
      </c>
      <c r="U971" s="730" t="str">
        <f t="shared" si="337"/>
        <v/>
      </c>
      <c r="V971" s="730">
        <f t="shared" si="337"/>
        <v>0.9200333799560092</v>
      </c>
      <c r="W971" s="531"/>
      <c r="X971" s="236"/>
      <c r="Y971" s="236" t="s">
        <v>688</v>
      </c>
      <c r="Z971" s="236"/>
    </row>
    <row r="972" spans="1:26" ht="11.25" customHeight="1">
      <c r="A972" s="528" t="s">
        <v>636</v>
      </c>
      <c r="B972" s="1013" t="s">
        <v>195</v>
      </c>
      <c r="C972" s="728"/>
      <c r="D972" s="649" t="s">
        <v>50</v>
      </c>
      <c r="E972" s="447" t="s">
        <v>50</v>
      </c>
      <c r="F972" s="104"/>
      <c r="G972" s="104">
        <f>+'[3]chd 8-SAOB'!D396</f>
        <v>1402000</v>
      </c>
      <c r="H972" s="104">
        <f>+'[3]chd 8-SAOB'!E396</f>
        <v>0</v>
      </c>
      <c r="I972" s="103">
        <f>SUM(F972:H972)</f>
        <v>1402000</v>
      </c>
      <c r="J972" s="104"/>
      <c r="K972" s="104">
        <f>+'[3]chd 8-SAOB'!H396</f>
        <v>1028017.81</v>
      </c>
      <c r="L972" s="104">
        <f>+'[3]chd 8-SAOB'!I396</f>
        <v>0</v>
      </c>
      <c r="M972" s="103">
        <f>SUM(J972:L972)</f>
        <v>1028017.81</v>
      </c>
      <c r="N972" s="103">
        <f t="shared" si="339"/>
        <v>0</v>
      </c>
      <c r="O972" s="103">
        <f t="shared" si="339"/>
        <v>373982.18999999994</v>
      </c>
      <c r="P972" s="103">
        <f t="shared" si="339"/>
        <v>0</v>
      </c>
      <c r="Q972" s="103">
        <f t="shared" si="340"/>
        <v>373982.18999999994</v>
      </c>
      <c r="S972" s="730" t="str">
        <f t="shared" si="337"/>
        <v/>
      </c>
      <c r="T972" s="730">
        <f t="shared" si="337"/>
        <v>0.73325093437945799</v>
      </c>
      <c r="U972" s="730" t="str">
        <f t="shared" si="337"/>
        <v/>
      </c>
      <c r="V972" s="730">
        <f t="shared" si="337"/>
        <v>0.73325093437945799</v>
      </c>
      <c r="W972" s="531"/>
      <c r="X972" s="236"/>
      <c r="Y972" s="236" t="s">
        <v>688</v>
      </c>
      <c r="Z972" s="236"/>
    </row>
    <row r="973" spans="1:26" s="256" customFormat="1" ht="11.25" customHeight="1">
      <c r="A973" s="528" t="s">
        <v>636</v>
      </c>
      <c r="B973" s="528" t="s">
        <v>195</v>
      </c>
      <c r="C973" s="389"/>
      <c r="D973" s="650" t="s">
        <v>98</v>
      </c>
      <c r="E973" s="390" t="s">
        <v>767</v>
      </c>
      <c r="F973" s="391">
        <f>+F971+F972</f>
        <v>11411000</v>
      </c>
      <c r="G973" s="391">
        <f t="shared" ref="G973:M973" si="357">+G971+G972</f>
        <v>7722000</v>
      </c>
      <c r="H973" s="391">
        <f t="shared" si="357"/>
        <v>0</v>
      </c>
      <c r="I973" s="391">
        <f t="shared" si="357"/>
        <v>19133000</v>
      </c>
      <c r="J973" s="391">
        <f t="shared" si="357"/>
        <v>10551249.15</v>
      </c>
      <c r="K973" s="391">
        <f t="shared" si="357"/>
        <v>6789880.5199999996</v>
      </c>
      <c r="L973" s="391">
        <f t="shared" si="357"/>
        <v>0</v>
      </c>
      <c r="M973" s="391">
        <f t="shared" si="357"/>
        <v>17341129.669999998</v>
      </c>
      <c r="N973" s="391">
        <f t="shared" si="339"/>
        <v>859750.84999999963</v>
      </c>
      <c r="O973" s="391">
        <f t="shared" si="339"/>
        <v>932119.48000000045</v>
      </c>
      <c r="P973" s="391">
        <f t="shared" si="339"/>
        <v>0</v>
      </c>
      <c r="Q973" s="391">
        <f t="shared" si="340"/>
        <v>1791870.33</v>
      </c>
      <c r="R973" s="101"/>
      <c r="S973" s="254">
        <f t="shared" si="337"/>
        <v>0.92465595916221188</v>
      </c>
      <c r="T973" s="254">
        <f t="shared" si="337"/>
        <v>0.87929040663040658</v>
      </c>
      <c r="U973" s="254" t="str">
        <f t="shared" si="337"/>
        <v/>
      </c>
      <c r="V973" s="254">
        <f t="shared" si="337"/>
        <v>0.90634660900015673</v>
      </c>
      <c r="W973" s="531"/>
      <c r="Y973" s="256" t="s">
        <v>598</v>
      </c>
      <c r="Z973" s="256" t="s">
        <v>598</v>
      </c>
    </row>
    <row r="974" spans="1:26" ht="11.25" hidden="1" customHeight="1">
      <c r="A974" s="528" t="s">
        <v>636</v>
      </c>
      <c r="B974" s="1013" t="s">
        <v>195</v>
      </c>
      <c r="C974" s="410"/>
      <c r="D974" s="651"/>
      <c r="E974" s="806"/>
      <c r="F974" s="807"/>
      <c r="G974" s="807"/>
      <c r="H974" s="807"/>
      <c r="I974" s="807"/>
      <c r="J974" s="807"/>
      <c r="K974" s="807"/>
      <c r="L974" s="807"/>
      <c r="M974" s="807"/>
      <c r="N974" s="807">
        <f t="shared" si="339"/>
        <v>0</v>
      </c>
      <c r="O974" s="807">
        <f t="shared" si="339"/>
        <v>0</v>
      </c>
      <c r="P974" s="807">
        <f t="shared" si="339"/>
        <v>0</v>
      </c>
      <c r="Q974" s="807">
        <f t="shared" si="340"/>
        <v>0</v>
      </c>
      <c r="R974" s="276"/>
      <c r="S974" s="730" t="str">
        <f t="shared" si="337"/>
        <v/>
      </c>
      <c r="T974" s="730" t="str">
        <f t="shared" si="337"/>
        <v/>
      </c>
      <c r="U974" s="730" t="str">
        <f t="shared" si="337"/>
        <v/>
      </c>
      <c r="V974" s="730" t="str">
        <f t="shared" si="337"/>
        <v/>
      </c>
      <c r="W974" s="531"/>
      <c r="X974" s="236"/>
      <c r="Y974" s="236"/>
      <c r="Z974" s="236"/>
    </row>
    <row r="975" spans="1:26" s="256" customFormat="1" ht="11.25" customHeight="1">
      <c r="A975" s="528" t="s">
        <v>636</v>
      </c>
      <c r="B975" s="528" t="s">
        <v>195</v>
      </c>
      <c r="C975" s="389"/>
      <c r="D975" s="650" t="s">
        <v>98</v>
      </c>
      <c r="E975" s="390" t="s">
        <v>99</v>
      </c>
      <c r="F975" s="391">
        <f>+F976</f>
        <v>1025000</v>
      </c>
      <c r="G975" s="391">
        <f t="shared" ref="G975:M975" si="358">+G976</f>
        <v>0</v>
      </c>
      <c r="H975" s="391">
        <f t="shared" si="358"/>
        <v>0</v>
      </c>
      <c r="I975" s="391">
        <f t="shared" si="358"/>
        <v>1025000</v>
      </c>
      <c r="J975" s="391">
        <f t="shared" si="358"/>
        <v>877777.72</v>
      </c>
      <c r="K975" s="391">
        <f t="shared" si="358"/>
        <v>0</v>
      </c>
      <c r="L975" s="391">
        <f t="shared" si="358"/>
        <v>0</v>
      </c>
      <c r="M975" s="391">
        <f t="shared" si="358"/>
        <v>877777.72</v>
      </c>
      <c r="N975" s="391">
        <f t="shared" si="339"/>
        <v>147222.28000000003</v>
      </c>
      <c r="O975" s="391">
        <f t="shared" si="339"/>
        <v>0</v>
      </c>
      <c r="P975" s="391">
        <f t="shared" si="339"/>
        <v>0</v>
      </c>
      <c r="Q975" s="391">
        <f t="shared" si="340"/>
        <v>147222.28000000003</v>
      </c>
      <c r="R975" s="101"/>
      <c r="S975" s="254">
        <f t="shared" si="337"/>
        <v>0.85636850731707315</v>
      </c>
      <c r="T975" s="254" t="str">
        <f t="shared" si="337"/>
        <v/>
      </c>
      <c r="U975" s="254" t="str">
        <f t="shared" si="337"/>
        <v/>
      </c>
      <c r="V975" s="254">
        <f t="shared" si="337"/>
        <v>0.85636850731707315</v>
      </c>
      <c r="W975" s="531"/>
      <c r="Y975" s="256" t="s">
        <v>598</v>
      </c>
      <c r="Z975" s="256" t="s">
        <v>598</v>
      </c>
    </row>
    <row r="976" spans="1:26" ht="11.25" customHeight="1">
      <c r="A976" s="528" t="s">
        <v>636</v>
      </c>
      <c r="B976" s="1013" t="s">
        <v>195</v>
      </c>
      <c r="C976" s="728"/>
      <c r="D976" s="649" t="s">
        <v>286</v>
      </c>
      <c r="E976" s="729" t="s">
        <v>286</v>
      </c>
      <c r="F976" s="103">
        <f>SUM('[3]chd 8-SAOB'!X14)</f>
        <v>1025000</v>
      </c>
      <c r="G976" s="103">
        <f>SUM('[3]chd 8-SAOB'!X50)</f>
        <v>0</v>
      </c>
      <c r="H976" s="103">
        <f>SUM('[3]chd 8-SAOB'!X142)</f>
        <v>0</v>
      </c>
      <c r="I976" s="103">
        <f>SUM(F976:H976)</f>
        <v>1025000</v>
      </c>
      <c r="J976" s="103">
        <f>SUM('[3]chd 8-SAOB'!X15)</f>
        <v>877777.72</v>
      </c>
      <c r="K976" s="103">
        <f>SUM('[3]chd 8-SAOB'!X51)</f>
        <v>0</v>
      </c>
      <c r="L976" s="103">
        <f>SUM('[3]chd 8-SAOB'!X143)</f>
        <v>0</v>
      </c>
      <c r="M976" s="103">
        <f>SUM(J976:L976)</f>
        <v>877777.72</v>
      </c>
      <c r="N976" s="103">
        <f t="shared" si="339"/>
        <v>147222.28000000003</v>
      </c>
      <c r="O976" s="103">
        <f t="shared" si="339"/>
        <v>0</v>
      </c>
      <c r="P976" s="103">
        <f t="shared" si="339"/>
        <v>0</v>
      </c>
      <c r="Q976" s="103">
        <f t="shared" si="340"/>
        <v>147222.28000000003</v>
      </c>
      <c r="S976" s="730">
        <f t="shared" si="337"/>
        <v>0.85636850731707315</v>
      </c>
      <c r="T976" s="730" t="str">
        <f t="shared" si="337"/>
        <v/>
      </c>
      <c r="U976" s="730" t="str">
        <f t="shared" si="337"/>
        <v/>
      </c>
      <c r="V976" s="730">
        <f t="shared" si="337"/>
        <v>0.85636850731707315</v>
      </c>
      <c r="W976" s="531"/>
      <c r="X976" s="236"/>
      <c r="Y976" s="236" t="s">
        <v>598</v>
      </c>
      <c r="Z976" s="236"/>
    </row>
    <row r="977" spans="1:26" s="272" customFormat="1" ht="11.25" customHeight="1">
      <c r="A977" s="528" t="s">
        <v>636</v>
      </c>
      <c r="B977" s="528" t="s">
        <v>195</v>
      </c>
      <c r="C977" s="389"/>
      <c r="D977" s="650" t="s">
        <v>98</v>
      </c>
      <c r="E977" s="390" t="s">
        <v>100</v>
      </c>
      <c r="F977" s="391">
        <f t="shared" ref="F977:M977" si="359">SUM(F978:F982)</f>
        <v>859534</v>
      </c>
      <c r="G977" s="391">
        <f t="shared" si="359"/>
        <v>300000</v>
      </c>
      <c r="H977" s="391">
        <f t="shared" si="359"/>
        <v>0</v>
      </c>
      <c r="I977" s="391">
        <f t="shared" si="359"/>
        <v>1159534</v>
      </c>
      <c r="J977" s="391">
        <f t="shared" si="359"/>
        <v>859534</v>
      </c>
      <c r="K977" s="391">
        <f t="shared" si="359"/>
        <v>300000</v>
      </c>
      <c r="L977" s="391">
        <f t="shared" si="359"/>
        <v>0</v>
      </c>
      <c r="M977" s="391">
        <f t="shared" si="359"/>
        <v>1159534</v>
      </c>
      <c r="N977" s="391">
        <f t="shared" si="339"/>
        <v>0</v>
      </c>
      <c r="O977" s="391">
        <f t="shared" si="339"/>
        <v>0</v>
      </c>
      <c r="P977" s="391">
        <f t="shared" si="339"/>
        <v>0</v>
      </c>
      <c r="Q977" s="391">
        <f t="shared" si="340"/>
        <v>0</v>
      </c>
      <c r="R977" s="102"/>
      <c r="S977" s="254">
        <f t="shared" si="337"/>
        <v>1</v>
      </c>
      <c r="T977" s="254">
        <f t="shared" si="337"/>
        <v>1</v>
      </c>
      <c r="U977" s="254" t="str">
        <f t="shared" si="337"/>
        <v/>
      </c>
      <c r="V977" s="254">
        <f t="shared" si="337"/>
        <v>1</v>
      </c>
      <c r="W977" s="531"/>
      <c r="Y977" s="272" t="s">
        <v>598</v>
      </c>
      <c r="Z977" s="256" t="s">
        <v>598</v>
      </c>
    </row>
    <row r="978" spans="1:26" ht="11.25" customHeight="1">
      <c r="A978" s="528" t="s">
        <v>636</v>
      </c>
      <c r="B978" s="1013" t="s">
        <v>195</v>
      </c>
      <c r="C978" s="728"/>
      <c r="D978" s="649" t="s">
        <v>288</v>
      </c>
      <c r="E978" s="729" t="s">
        <v>288</v>
      </c>
      <c r="F978" s="103">
        <f>SUM('[3]chd 8-SAOB'!AB14)</f>
        <v>0</v>
      </c>
      <c r="G978" s="103">
        <f>SUM('[3]chd 8-SAOB'!AB50)</f>
        <v>0</v>
      </c>
      <c r="H978" s="103">
        <f>SUM('[3]chd 8-SAOB'!AB142)</f>
        <v>0</v>
      </c>
      <c r="I978" s="103">
        <f>SUM(F978:H978)</f>
        <v>0</v>
      </c>
      <c r="J978" s="103">
        <f>SUM('[3]chd 8-SAOB'!AB15)</f>
        <v>0</v>
      </c>
      <c r="K978" s="103">
        <f>SUM('[3]chd 8-SAOB'!AB51)</f>
        <v>0</v>
      </c>
      <c r="L978" s="103">
        <f>SUM('[3]chd 8-SAOB'!AB143)</f>
        <v>0</v>
      </c>
      <c r="M978" s="103">
        <f t="shared" ref="M978:M1062" si="360">SUM(J978:L978)</f>
        <v>0</v>
      </c>
      <c r="N978" s="103">
        <f t="shared" si="339"/>
        <v>0</v>
      </c>
      <c r="O978" s="103">
        <f t="shared" si="339"/>
        <v>0</v>
      </c>
      <c r="P978" s="103">
        <f t="shared" si="339"/>
        <v>0</v>
      </c>
      <c r="Q978" s="103">
        <f t="shared" si="340"/>
        <v>0</v>
      </c>
      <c r="S978" s="730" t="str">
        <f t="shared" si="337"/>
        <v/>
      </c>
      <c r="T978" s="730" t="str">
        <f t="shared" si="337"/>
        <v/>
      </c>
      <c r="U978" s="730" t="str">
        <f t="shared" si="337"/>
        <v/>
      </c>
      <c r="V978" s="730" t="str">
        <f t="shared" si="337"/>
        <v/>
      </c>
      <c r="W978" s="531"/>
      <c r="X978" s="236"/>
      <c r="Y978" s="236" t="s">
        <v>598</v>
      </c>
      <c r="Z978" s="236"/>
    </row>
    <row r="979" spans="1:26" ht="11.25" customHeight="1">
      <c r="A979" s="528" t="s">
        <v>636</v>
      </c>
      <c r="B979" s="1013" t="s">
        <v>195</v>
      </c>
      <c r="C979" s="728"/>
      <c r="D979" s="649" t="s">
        <v>761</v>
      </c>
      <c r="E979" s="729" t="s">
        <v>761</v>
      </c>
      <c r="F979" s="104">
        <f>+'[3]chd 8-SAOB'!C396</f>
        <v>540000</v>
      </c>
      <c r="G979" s="104"/>
      <c r="H979" s="104"/>
      <c r="I979" s="103">
        <f>SUM(F979:H979)</f>
        <v>540000</v>
      </c>
      <c r="J979" s="104">
        <f>+'[3]chd 8-SAOB'!G396</f>
        <v>540000</v>
      </c>
      <c r="K979" s="104"/>
      <c r="L979" s="104"/>
      <c r="M979" s="103">
        <f t="shared" si="360"/>
        <v>540000</v>
      </c>
      <c r="N979" s="103">
        <f t="shared" si="339"/>
        <v>0</v>
      </c>
      <c r="O979" s="103">
        <f>+G979-K979</f>
        <v>0</v>
      </c>
      <c r="P979" s="103">
        <f>+H979-L979</f>
        <v>0</v>
      </c>
      <c r="Q979" s="103">
        <f>SUM(N979:P979)</f>
        <v>0</v>
      </c>
      <c r="S979" s="730">
        <f t="shared" si="337"/>
        <v>1</v>
      </c>
      <c r="T979" s="730" t="str">
        <f t="shared" si="337"/>
        <v/>
      </c>
      <c r="U979" s="730" t="str">
        <f t="shared" si="337"/>
        <v/>
      </c>
      <c r="V979" s="730">
        <f t="shared" si="337"/>
        <v>1</v>
      </c>
      <c r="W979" s="531"/>
      <c r="X979" s="236"/>
      <c r="Y979" s="236" t="s">
        <v>688</v>
      </c>
      <c r="Z979" s="236"/>
    </row>
    <row r="980" spans="1:26" ht="11.25" customHeight="1">
      <c r="A980" s="528" t="s">
        <v>636</v>
      </c>
      <c r="B980" s="1013" t="s">
        <v>195</v>
      </c>
      <c r="C980" s="410"/>
      <c r="D980" s="647"/>
      <c r="E980" s="461"/>
      <c r="F980" s="104"/>
      <c r="G980" s="104"/>
      <c r="H980" s="104"/>
      <c r="I980" s="103"/>
      <c r="J980" s="104"/>
      <c r="K980" s="104"/>
      <c r="L980" s="104"/>
      <c r="M980" s="103"/>
      <c r="N980" s="103"/>
      <c r="O980" s="103"/>
      <c r="P980" s="103"/>
      <c r="Q980" s="103"/>
      <c r="S980" s="730" t="str">
        <f t="shared" si="337"/>
        <v/>
      </c>
      <c r="T980" s="730" t="str">
        <f t="shared" si="337"/>
        <v/>
      </c>
      <c r="U980" s="730" t="str">
        <f t="shared" si="337"/>
        <v/>
      </c>
      <c r="V980" s="730" t="str">
        <f t="shared" si="337"/>
        <v/>
      </c>
      <c r="W980" s="531"/>
      <c r="X980" s="236"/>
      <c r="Y980" s="236" t="s">
        <v>688</v>
      </c>
      <c r="Z980" s="240"/>
    </row>
    <row r="981" spans="1:26" ht="11.25" customHeight="1">
      <c r="A981" s="528" t="s">
        <v>636</v>
      </c>
      <c r="B981" s="1013" t="s">
        <v>195</v>
      </c>
      <c r="C981" s="728"/>
      <c r="D981" s="649" t="s">
        <v>289</v>
      </c>
      <c r="E981" s="729" t="s">
        <v>289</v>
      </c>
      <c r="F981" s="103">
        <f>SUM('[3]chd 8-SAOB'!AF14)</f>
        <v>319534</v>
      </c>
      <c r="G981" s="103">
        <f>SUM('[3]chd 8-SAOB'!AF50)</f>
        <v>0</v>
      </c>
      <c r="H981" s="103">
        <f>SUM('[3]chd 8-SAOB'!AF142)</f>
        <v>0</v>
      </c>
      <c r="I981" s="103">
        <f>SUM(F981:H981)</f>
        <v>319534</v>
      </c>
      <c r="J981" s="103">
        <f>SUM('[3]chd 8-SAOB'!AF15)</f>
        <v>319534</v>
      </c>
      <c r="K981" s="103">
        <f>SUM('[3]chd 8-SAOB'!AF51)</f>
        <v>0</v>
      </c>
      <c r="L981" s="103">
        <f>SUM('[3]chd 8-SAOB'!AF143)</f>
        <v>0</v>
      </c>
      <c r="M981" s="103">
        <f t="shared" si="360"/>
        <v>319534</v>
      </c>
      <c r="N981" s="103">
        <f t="shared" si="339"/>
        <v>0</v>
      </c>
      <c r="O981" s="103">
        <f t="shared" si="339"/>
        <v>0</v>
      </c>
      <c r="P981" s="103">
        <f t="shared" si="339"/>
        <v>0</v>
      </c>
      <c r="Q981" s="103">
        <f t="shared" si="340"/>
        <v>0</v>
      </c>
      <c r="S981" s="730">
        <f t="shared" si="337"/>
        <v>1</v>
      </c>
      <c r="T981" s="730" t="str">
        <f t="shared" si="337"/>
        <v/>
      </c>
      <c r="U981" s="730" t="str">
        <f t="shared" si="337"/>
        <v/>
      </c>
      <c r="V981" s="730">
        <f t="shared" si="337"/>
        <v>1</v>
      </c>
      <c r="W981" s="531"/>
      <c r="X981" s="236"/>
      <c r="Y981" s="236" t="s">
        <v>598</v>
      </c>
      <c r="Z981" s="236"/>
    </row>
    <row r="982" spans="1:26" ht="11.25" customHeight="1">
      <c r="A982" s="528" t="s">
        <v>636</v>
      </c>
      <c r="B982" s="1013" t="s">
        <v>195</v>
      </c>
      <c r="C982" s="728"/>
      <c r="D982" s="649" t="s">
        <v>290</v>
      </c>
      <c r="E982" s="729" t="s">
        <v>290</v>
      </c>
      <c r="F982" s="103">
        <f>SUM('[3]chd 8-SAOB'!AJ14)</f>
        <v>0</v>
      </c>
      <c r="G982" s="103">
        <f>SUM('[3]chd 8-SAOB'!AJ50)</f>
        <v>300000</v>
      </c>
      <c r="H982" s="103">
        <f>SUM('[3]chd 8-SAOB'!AJ142)</f>
        <v>0</v>
      </c>
      <c r="I982" s="103">
        <f>SUM(F982:H982)</f>
        <v>300000</v>
      </c>
      <c r="J982" s="103">
        <f>SUM('[3]chd 8-SAOB'!AJ15)</f>
        <v>0</v>
      </c>
      <c r="K982" s="103">
        <f>SUM('[3]chd 8-SAOB'!AJ51)</f>
        <v>300000</v>
      </c>
      <c r="L982" s="103">
        <f>SUM('[3]chd 8-SAOB'!AJ143)</f>
        <v>0</v>
      </c>
      <c r="M982" s="103">
        <f t="shared" si="360"/>
        <v>300000</v>
      </c>
      <c r="N982" s="103">
        <f t="shared" si="339"/>
        <v>0</v>
      </c>
      <c r="O982" s="103">
        <f t="shared" si="339"/>
        <v>0</v>
      </c>
      <c r="P982" s="103">
        <f t="shared" si="339"/>
        <v>0</v>
      </c>
      <c r="Q982" s="103">
        <f t="shared" si="340"/>
        <v>0</v>
      </c>
      <c r="S982" s="730" t="str">
        <f t="shared" si="337"/>
        <v/>
      </c>
      <c r="T982" s="730">
        <f t="shared" si="337"/>
        <v>1</v>
      </c>
      <c r="U982" s="730" t="str">
        <f t="shared" si="337"/>
        <v/>
      </c>
      <c r="V982" s="730">
        <f t="shared" si="337"/>
        <v>1</v>
      </c>
      <c r="W982" s="531"/>
      <c r="X982" s="236"/>
      <c r="Y982" s="236" t="s">
        <v>598</v>
      </c>
      <c r="Z982" s="236"/>
    </row>
    <row r="983" spans="1:26" s="259" customFormat="1" ht="11.25" customHeight="1">
      <c r="A983" s="246" t="s">
        <v>636</v>
      </c>
      <c r="B983" s="235" t="s">
        <v>195</v>
      </c>
      <c r="C983" s="656"/>
      <c r="D983" s="656"/>
      <c r="E983" s="657" t="s">
        <v>4</v>
      </c>
      <c r="F983" s="652">
        <f>+F973+F975+F977</f>
        <v>13295534</v>
      </c>
      <c r="G983" s="652">
        <f t="shared" ref="G983:M983" si="361">+G973+G975+G977</f>
        <v>8022000</v>
      </c>
      <c r="H983" s="652">
        <f t="shared" si="361"/>
        <v>0</v>
      </c>
      <c r="I983" s="652">
        <f t="shared" si="361"/>
        <v>21317534</v>
      </c>
      <c r="J983" s="652">
        <f t="shared" si="361"/>
        <v>12288560.870000001</v>
      </c>
      <c r="K983" s="652">
        <f t="shared" si="361"/>
        <v>7089880.5199999996</v>
      </c>
      <c r="L983" s="652">
        <f t="shared" si="361"/>
        <v>0</v>
      </c>
      <c r="M983" s="652">
        <f t="shared" si="361"/>
        <v>19378441.389999997</v>
      </c>
      <c r="N983" s="652">
        <f t="shared" si="339"/>
        <v>1006973.129999999</v>
      </c>
      <c r="O983" s="652">
        <f t="shared" si="339"/>
        <v>932119.48000000045</v>
      </c>
      <c r="P983" s="652">
        <f t="shared" si="339"/>
        <v>0</v>
      </c>
      <c r="Q983" s="652">
        <f t="shared" si="340"/>
        <v>1939092.6099999994</v>
      </c>
      <c r="R983" s="653">
        <f>+Q983-'[3]chd 8-SAOB'!BD179</f>
        <v>0</v>
      </c>
      <c r="S983" s="1008">
        <f t="shared" si="337"/>
        <v>0.92426230266494003</v>
      </c>
      <c r="T983" s="1008">
        <f t="shared" si="337"/>
        <v>0.88380460234355518</v>
      </c>
      <c r="U983" s="1008" t="str">
        <f t="shared" si="337"/>
        <v/>
      </c>
      <c r="V983" s="1008">
        <f t="shared" ref="V983:V1046" si="362">IF(I983=0,"",M983/I983)</f>
        <v>0.90903766777151607</v>
      </c>
      <c r="W983" s="254"/>
      <c r="X983" s="520"/>
      <c r="Y983" s="610" t="s">
        <v>598</v>
      </c>
      <c r="Z983" s="241" t="s">
        <v>598</v>
      </c>
    </row>
    <row r="984" spans="1:26" s="660" customFormat="1" ht="16.5" hidden="1" customHeight="1">
      <c r="A984" s="246" t="s">
        <v>636</v>
      </c>
      <c r="B984" s="1009" t="s">
        <v>637</v>
      </c>
      <c r="C984" s="1428" t="s">
        <v>635</v>
      </c>
      <c r="D984" s="1429"/>
      <c r="E984" s="1430"/>
      <c r="F984" s="659">
        <f>+F968+F983</f>
        <v>178685155</v>
      </c>
      <c r="G984" s="659">
        <f>+G968+G983</f>
        <v>92554000</v>
      </c>
      <c r="H984" s="659">
        <f>+H968+H983</f>
        <v>12000000</v>
      </c>
      <c r="I984" s="659">
        <f>SUM(F984:H984)</f>
        <v>283239155</v>
      </c>
      <c r="J984" s="659">
        <f>+J968+J983</f>
        <v>142819934.39000002</v>
      </c>
      <c r="K984" s="659">
        <f>+K968+K983</f>
        <v>76387430.489999995</v>
      </c>
      <c r="L984" s="659">
        <f>+L968+L983</f>
        <v>12000000</v>
      </c>
      <c r="M984" s="659">
        <f t="shared" si="360"/>
        <v>231207364.88</v>
      </c>
      <c r="N984" s="659">
        <f t="shared" si="339"/>
        <v>35865220.609999985</v>
      </c>
      <c r="O984" s="659">
        <f t="shared" si="339"/>
        <v>16166569.510000005</v>
      </c>
      <c r="P984" s="659">
        <f t="shared" si="339"/>
        <v>0</v>
      </c>
      <c r="Q984" s="659">
        <f t="shared" si="340"/>
        <v>52031790.11999999</v>
      </c>
      <c r="S984" s="1015">
        <f t="shared" ref="S984:V1047" si="363">IF(F984=0,"",J984/F984)</f>
        <v>0.79928259507623911</v>
      </c>
      <c r="T984" s="1015">
        <f t="shared" si="363"/>
        <v>0.82532824610497646</v>
      </c>
      <c r="U984" s="1015">
        <f t="shared" si="363"/>
        <v>1</v>
      </c>
      <c r="V984" s="1015">
        <f t="shared" si="362"/>
        <v>0.81629732612357209</v>
      </c>
      <c r="W984" s="254"/>
    </row>
    <row r="985" spans="1:26" ht="11.25" hidden="1" customHeight="1">
      <c r="A985" s="246" t="s">
        <v>636</v>
      </c>
      <c r="B985" s="235" t="s">
        <v>637</v>
      </c>
      <c r="C985" s="1016"/>
      <c r="D985" s="396"/>
      <c r="E985" s="806"/>
      <c r="F985" s="103"/>
      <c r="G985" s="103"/>
      <c r="H985" s="103"/>
      <c r="I985" s="103">
        <f>SUM(F985:H985)</f>
        <v>0</v>
      </c>
      <c r="J985" s="103"/>
      <c r="K985" s="103"/>
      <c r="L985" s="103"/>
      <c r="M985" s="103">
        <f t="shared" si="360"/>
        <v>0</v>
      </c>
      <c r="N985" s="103">
        <f t="shared" si="339"/>
        <v>0</v>
      </c>
      <c r="O985" s="103">
        <f t="shared" si="339"/>
        <v>0</v>
      </c>
      <c r="P985" s="103">
        <f t="shared" si="339"/>
        <v>0</v>
      </c>
      <c r="Q985" s="103">
        <f t="shared" si="340"/>
        <v>0</v>
      </c>
      <c r="R985" s="236"/>
      <c r="S985" s="730" t="str">
        <f t="shared" si="363"/>
        <v/>
      </c>
      <c r="T985" s="730" t="str">
        <f t="shared" si="363"/>
        <v/>
      </c>
      <c r="U985" s="730" t="str">
        <f t="shared" si="363"/>
        <v/>
      </c>
      <c r="V985" s="730" t="str">
        <f t="shared" si="362"/>
        <v/>
      </c>
      <c r="W985" s="254"/>
      <c r="X985" s="520" t="s">
        <v>598</v>
      </c>
      <c r="Z985" s="241"/>
    </row>
    <row r="986" spans="1:26" s="275" customFormat="1" ht="11.25" hidden="1" customHeight="1">
      <c r="A986" s="246" t="s">
        <v>636</v>
      </c>
      <c r="B986" s="246" t="s">
        <v>637</v>
      </c>
      <c r="C986" s="407" t="s">
        <v>827</v>
      </c>
      <c r="D986" s="407"/>
      <c r="E986" s="408"/>
      <c r="F986" s="409"/>
      <c r="G986" s="409"/>
      <c r="H986" s="409"/>
      <c r="I986" s="409">
        <f>SUM(F986:H986)</f>
        <v>0</v>
      </c>
      <c r="J986" s="409"/>
      <c r="K986" s="409"/>
      <c r="L986" s="409"/>
      <c r="M986" s="409">
        <f t="shared" si="360"/>
        <v>0</v>
      </c>
      <c r="N986" s="409">
        <f t="shared" si="339"/>
        <v>0</v>
      </c>
      <c r="O986" s="409">
        <f t="shared" si="339"/>
        <v>0</v>
      </c>
      <c r="P986" s="409">
        <f t="shared" si="339"/>
        <v>0</v>
      </c>
      <c r="Q986" s="409">
        <f t="shared" si="340"/>
        <v>0</v>
      </c>
      <c r="R986" s="522"/>
      <c r="S986" s="254" t="str">
        <f t="shared" si="363"/>
        <v/>
      </c>
      <c r="T986" s="254" t="str">
        <f t="shared" si="363"/>
        <v/>
      </c>
      <c r="U986" s="254" t="str">
        <f t="shared" si="363"/>
        <v/>
      </c>
      <c r="V986" s="1002" t="str">
        <f t="shared" si="362"/>
        <v/>
      </c>
      <c r="W986" s="254"/>
      <c r="X986" s="274" t="s">
        <v>598</v>
      </c>
      <c r="Y986" s="663"/>
      <c r="Z986" s="253"/>
    </row>
    <row r="987" spans="1:26" ht="11.25" hidden="1" customHeight="1">
      <c r="A987" s="246" t="s">
        <v>636</v>
      </c>
      <c r="B987" s="235" t="s">
        <v>637</v>
      </c>
      <c r="C987" s="461"/>
      <c r="D987" s="664" t="s">
        <v>766</v>
      </c>
      <c r="E987" s="447" t="s">
        <v>766</v>
      </c>
      <c r="F987" s="103">
        <f>+F937+F956+F971</f>
        <v>270153000</v>
      </c>
      <c r="G987" s="103">
        <f>+G937+G956+G971</f>
        <v>229235000</v>
      </c>
      <c r="H987" s="103">
        <f>+H937+H956+H971</f>
        <v>0</v>
      </c>
      <c r="I987" s="103">
        <f>SUM(F987:H987)</f>
        <v>499388000</v>
      </c>
      <c r="J987" s="103">
        <f>+J937+J956+J971</f>
        <v>211566533.57000002</v>
      </c>
      <c r="K987" s="103">
        <f>+K937+K956+K971</f>
        <v>170430723.56</v>
      </c>
      <c r="L987" s="103">
        <f>+L937+L956+L971</f>
        <v>0</v>
      </c>
      <c r="M987" s="103">
        <f t="shared" si="360"/>
        <v>381997257.13</v>
      </c>
      <c r="N987" s="103">
        <f t="shared" si="339"/>
        <v>58586466.429999977</v>
      </c>
      <c r="O987" s="103">
        <f t="shared" si="339"/>
        <v>58804276.439999998</v>
      </c>
      <c r="P987" s="103">
        <f t="shared" si="339"/>
        <v>0</v>
      </c>
      <c r="Q987" s="103">
        <f t="shared" si="340"/>
        <v>117390742.86999997</v>
      </c>
      <c r="R987" s="236"/>
      <c r="S987" s="730">
        <f t="shared" si="363"/>
        <v>0.78313597690938108</v>
      </c>
      <c r="T987" s="730">
        <f t="shared" si="363"/>
        <v>0.74347601177830613</v>
      </c>
      <c r="U987" s="730" t="str">
        <f t="shared" si="363"/>
        <v/>
      </c>
      <c r="V987" s="730">
        <f t="shared" si="362"/>
        <v>0.76493078954640481</v>
      </c>
      <c r="W987" s="254"/>
      <c r="X987" s="237" t="s">
        <v>598</v>
      </c>
    </row>
    <row r="988" spans="1:26" ht="11.25" hidden="1" customHeight="1">
      <c r="A988" s="246" t="s">
        <v>636</v>
      </c>
      <c r="B988" s="235" t="s">
        <v>637</v>
      </c>
      <c r="C988" s="728"/>
      <c r="D988" s="394" t="s">
        <v>50</v>
      </c>
      <c r="E988" s="447" t="s">
        <v>50</v>
      </c>
      <c r="F988" s="103">
        <f>+F941+F957+F972</f>
        <v>0</v>
      </c>
      <c r="G988" s="103">
        <f>+G941+G957+G972</f>
        <v>263208389</v>
      </c>
      <c r="H988" s="103">
        <f>+H941+H957+H972</f>
        <v>39885000</v>
      </c>
      <c r="I988" s="103">
        <f>SUM(F988:H988)</f>
        <v>303093389</v>
      </c>
      <c r="J988" s="103">
        <f>+J941+J957+J972</f>
        <v>0</v>
      </c>
      <c r="K988" s="103">
        <f>+K941+K957+K972</f>
        <v>177462548.03999999</v>
      </c>
      <c r="L988" s="103">
        <f>+L941+L957+L972</f>
        <v>31178544.170000002</v>
      </c>
      <c r="M988" s="103">
        <f>SUM(J988:L988)</f>
        <v>208641092.20999998</v>
      </c>
      <c r="N988" s="103">
        <f t="shared" si="339"/>
        <v>0</v>
      </c>
      <c r="O988" s="103">
        <f t="shared" si="339"/>
        <v>85745840.960000008</v>
      </c>
      <c r="P988" s="103">
        <f t="shared" si="339"/>
        <v>8706455.8299999982</v>
      </c>
      <c r="Q988" s="103">
        <f t="shared" si="340"/>
        <v>94452296.790000007</v>
      </c>
      <c r="R988" s="236"/>
      <c r="S988" s="730" t="str">
        <f t="shared" si="363"/>
        <v/>
      </c>
      <c r="T988" s="730">
        <f t="shared" si="363"/>
        <v>0.67422831283694373</v>
      </c>
      <c r="U988" s="730">
        <f t="shared" si="363"/>
        <v>0.78171102344239696</v>
      </c>
      <c r="V988" s="730">
        <f t="shared" si="362"/>
        <v>0.68837229640135755</v>
      </c>
      <c r="W988" s="254"/>
      <c r="X988" s="237" t="s">
        <v>598</v>
      </c>
    </row>
    <row r="989" spans="1:26" s="256" customFormat="1" ht="11.25" hidden="1" customHeight="1">
      <c r="A989" s="246" t="s">
        <v>636</v>
      </c>
      <c r="B989" s="246" t="s">
        <v>637</v>
      </c>
      <c r="C989" s="389"/>
      <c r="D989" s="389" t="s">
        <v>98</v>
      </c>
      <c r="E989" s="390" t="s">
        <v>767</v>
      </c>
      <c r="F989" s="391">
        <f>+F987+F988</f>
        <v>270153000</v>
      </c>
      <c r="G989" s="391">
        <f t="shared" ref="G989:M989" si="364">+G987+G988</f>
        <v>492443389</v>
      </c>
      <c r="H989" s="391">
        <f t="shared" si="364"/>
        <v>39885000</v>
      </c>
      <c r="I989" s="391">
        <f t="shared" si="364"/>
        <v>802481389</v>
      </c>
      <c r="J989" s="391">
        <f t="shared" si="364"/>
        <v>211566533.57000002</v>
      </c>
      <c r="K989" s="391">
        <f t="shared" si="364"/>
        <v>347893271.60000002</v>
      </c>
      <c r="L989" s="391">
        <f t="shared" si="364"/>
        <v>31178544.170000002</v>
      </c>
      <c r="M989" s="391">
        <f t="shared" si="364"/>
        <v>590638349.33999991</v>
      </c>
      <c r="N989" s="391">
        <f t="shared" si="339"/>
        <v>58586466.429999977</v>
      </c>
      <c r="O989" s="391">
        <f t="shared" si="339"/>
        <v>144550117.39999998</v>
      </c>
      <c r="P989" s="391">
        <f t="shared" si="339"/>
        <v>8706455.8299999982</v>
      </c>
      <c r="Q989" s="391">
        <f t="shared" si="340"/>
        <v>211843039.65999997</v>
      </c>
      <c r="R989" s="665"/>
      <c r="S989" s="254">
        <f t="shared" si="363"/>
        <v>0.78313597690938108</v>
      </c>
      <c r="T989" s="254">
        <f t="shared" si="363"/>
        <v>0.70646348264815473</v>
      </c>
      <c r="U989" s="254">
        <f t="shared" si="363"/>
        <v>0.78171102344239696</v>
      </c>
      <c r="V989" s="297">
        <f t="shared" si="362"/>
        <v>0.73601501223101873</v>
      </c>
      <c r="W989" s="254"/>
      <c r="X989" s="271" t="s">
        <v>598</v>
      </c>
      <c r="Y989" s="628"/>
      <c r="Z989" s="255"/>
    </row>
    <row r="990" spans="1:26" ht="11.25" hidden="1" customHeight="1">
      <c r="A990" s="246" t="s">
        <v>636</v>
      </c>
      <c r="B990" s="235" t="s">
        <v>637</v>
      </c>
      <c r="C990" s="410"/>
      <c r="D990" s="396"/>
      <c r="E990" s="806"/>
      <c r="F990" s="807"/>
      <c r="G990" s="807"/>
      <c r="H990" s="807"/>
      <c r="I990" s="807"/>
      <c r="J990" s="807"/>
      <c r="K990" s="807"/>
      <c r="L990" s="807"/>
      <c r="M990" s="807"/>
      <c r="N990" s="807">
        <f t="shared" si="339"/>
        <v>0</v>
      </c>
      <c r="O990" s="807">
        <f t="shared" si="339"/>
        <v>0</v>
      </c>
      <c r="P990" s="807">
        <f t="shared" si="339"/>
        <v>0</v>
      </c>
      <c r="Q990" s="807">
        <f t="shared" si="340"/>
        <v>0</v>
      </c>
      <c r="R990" s="276"/>
      <c r="S990" s="730" t="str">
        <f t="shared" si="363"/>
        <v/>
      </c>
      <c r="T990" s="730" t="str">
        <f t="shared" si="363"/>
        <v/>
      </c>
      <c r="U990" s="730" t="str">
        <f t="shared" si="363"/>
        <v/>
      </c>
      <c r="V990" s="730" t="str">
        <f t="shared" si="362"/>
        <v/>
      </c>
      <c r="W990" s="254"/>
      <c r="X990" s="237" t="s">
        <v>598</v>
      </c>
    </row>
    <row r="991" spans="1:26" s="256" customFormat="1" ht="11.25" hidden="1" customHeight="1">
      <c r="A991" s="246" t="s">
        <v>636</v>
      </c>
      <c r="B991" s="246" t="s">
        <v>637</v>
      </c>
      <c r="C991" s="389"/>
      <c r="D991" s="389" t="s">
        <v>98</v>
      </c>
      <c r="E991" s="390" t="s">
        <v>99</v>
      </c>
      <c r="F991" s="391">
        <f>+F992</f>
        <v>25086000</v>
      </c>
      <c r="G991" s="391">
        <f t="shared" ref="G991:M991" si="365">+G992</f>
        <v>0</v>
      </c>
      <c r="H991" s="391">
        <f t="shared" si="365"/>
        <v>0</v>
      </c>
      <c r="I991" s="391">
        <f t="shared" si="365"/>
        <v>25086000</v>
      </c>
      <c r="J991" s="391">
        <f t="shared" si="365"/>
        <v>18702561.890000001</v>
      </c>
      <c r="K991" s="391">
        <f t="shared" si="365"/>
        <v>0</v>
      </c>
      <c r="L991" s="391">
        <f t="shared" si="365"/>
        <v>0</v>
      </c>
      <c r="M991" s="391">
        <f t="shared" si="365"/>
        <v>18702561.890000001</v>
      </c>
      <c r="N991" s="391">
        <f t="shared" ref="N991:P1058" si="366">+F991-J991</f>
        <v>6383438.1099999994</v>
      </c>
      <c r="O991" s="391">
        <f t="shared" si="366"/>
        <v>0</v>
      </c>
      <c r="P991" s="391">
        <f t="shared" si="366"/>
        <v>0</v>
      </c>
      <c r="Q991" s="391">
        <f t="shared" ref="Q991:Q1058" si="367">SUM(N991:P991)</f>
        <v>6383438.1099999994</v>
      </c>
      <c r="R991" s="522"/>
      <c r="S991" s="254">
        <f t="shared" si="363"/>
        <v>0.74553782548034764</v>
      </c>
      <c r="T991" s="254" t="str">
        <f t="shared" si="363"/>
        <v/>
      </c>
      <c r="U991" s="254" t="str">
        <f t="shared" si="363"/>
        <v/>
      </c>
      <c r="V991" s="297">
        <f t="shared" si="362"/>
        <v>0.74553782548034764</v>
      </c>
      <c r="W991" s="254"/>
      <c r="X991" s="271" t="s">
        <v>598</v>
      </c>
      <c r="Y991" s="628"/>
      <c r="Z991" s="255"/>
    </row>
    <row r="992" spans="1:26" ht="11.25" hidden="1" customHeight="1">
      <c r="A992" s="246" t="s">
        <v>636</v>
      </c>
      <c r="B992" s="235" t="s">
        <v>637</v>
      </c>
      <c r="C992" s="728"/>
      <c r="D992" s="394" t="s">
        <v>286</v>
      </c>
      <c r="E992" s="729" t="s">
        <v>286</v>
      </c>
      <c r="F992" s="103">
        <f>+F945+F961+F976</f>
        <v>25086000</v>
      </c>
      <c r="G992" s="103">
        <f>+G945+G961+G976</f>
        <v>0</v>
      </c>
      <c r="H992" s="103">
        <f>+H945+H961+H976</f>
        <v>0</v>
      </c>
      <c r="I992" s="103">
        <f>SUM(F992:H992)</f>
        <v>25086000</v>
      </c>
      <c r="J992" s="103">
        <f>+J945+J961+J976</f>
        <v>18702561.890000001</v>
      </c>
      <c r="K992" s="103">
        <f>+K945+K961+K976</f>
        <v>0</v>
      </c>
      <c r="L992" s="103">
        <f>+L945+L961+L976</f>
        <v>0</v>
      </c>
      <c r="M992" s="103">
        <f t="shared" si="360"/>
        <v>18702561.890000001</v>
      </c>
      <c r="N992" s="103">
        <f t="shared" si="366"/>
        <v>6383438.1099999994</v>
      </c>
      <c r="O992" s="103">
        <f t="shared" si="366"/>
        <v>0</v>
      </c>
      <c r="P992" s="103">
        <f t="shared" si="366"/>
        <v>0</v>
      </c>
      <c r="Q992" s="103">
        <f t="shared" si="367"/>
        <v>6383438.1099999994</v>
      </c>
      <c r="R992" s="236"/>
      <c r="S992" s="730">
        <f t="shared" si="363"/>
        <v>0.74553782548034764</v>
      </c>
      <c r="T992" s="730" t="str">
        <f t="shared" si="363"/>
        <v/>
      </c>
      <c r="U992" s="730" t="str">
        <f t="shared" si="363"/>
        <v/>
      </c>
      <c r="V992" s="730">
        <f t="shared" si="362"/>
        <v>0.74553782548034764</v>
      </c>
      <c r="W992" s="254"/>
      <c r="X992" s="237" t="s">
        <v>598</v>
      </c>
    </row>
    <row r="993" spans="1:26" s="272" customFormat="1" ht="11.25" hidden="1" customHeight="1">
      <c r="A993" s="246" t="s">
        <v>636</v>
      </c>
      <c r="B993" s="246" t="s">
        <v>637</v>
      </c>
      <c r="C993" s="389"/>
      <c r="D993" s="389" t="s">
        <v>98</v>
      </c>
      <c r="E993" s="390" t="s">
        <v>100</v>
      </c>
      <c r="F993" s="391">
        <f t="shared" ref="F993:M993" si="368">SUM(F994:F998)</f>
        <v>12809518</v>
      </c>
      <c r="G993" s="391">
        <f t="shared" si="368"/>
        <v>15800000</v>
      </c>
      <c r="H993" s="391">
        <f t="shared" si="368"/>
        <v>0</v>
      </c>
      <c r="I993" s="391">
        <f t="shared" si="368"/>
        <v>28609518</v>
      </c>
      <c r="J993" s="391">
        <f t="shared" si="368"/>
        <v>12771511.99</v>
      </c>
      <c r="K993" s="391">
        <f t="shared" si="368"/>
        <v>11002400.75</v>
      </c>
      <c r="L993" s="391">
        <f t="shared" si="368"/>
        <v>0</v>
      </c>
      <c r="M993" s="391">
        <f t="shared" si="368"/>
        <v>23773912.740000002</v>
      </c>
      <c r="N993" s="391">
        <f t="shared" si="366"/>
        <v>38006.009999999776</v>
      </c>
      <c r="O993" s="391">
        <f t="shared" si="366"/>
        <v>4797599.25</v>
      </c>
      <c r="P993" s="391">
        <f t="shared" si="366"/>
        <v>0</v>
      </c>
      <c r="Q993" s="391">
        <f t="shared" si="367"/>
        <v>4835605.26</v>
      </c>
      <c r="R993" s="94"/>
      <c r="S993" s="254">
        <f t="shared" si="363"/>
        <v>0.99703298672128027</v>
      </c>
      <c r="T993" s="254">
        <f t="shared" si="363"/>
        <v>0.69635447784810123</v>
      </c>
      <c r="U993" s="254" t="str">
        <f t="shared" si="363"/>
        <v/>
      </c>
      <c r="V993" s="297">
        <f t="shared" si="362"/>
        <v>0.83097914267552508</v>
      </c>
      <c r="W993" s="254"/>
      <c r="X993" s="527" t="s">
        <v>598</v>
      </c>
      <c r="Y993" s="629"/>
      <c r="Z993" s="277"/>
    </row>
    <row r="994" spans="1:26" ht="11.25" hidden="1" customHeight="1">
      <c r="A994" s="246" t="s">
        <v>636</v>
      </c>
      <c r="B994" s="235" t="s">
        <v>637</v>
      </c>
      <c r="C994" s="728"/>
      <c r="D994" s="394" t="s">
        <v>288</v>
      </c>
      <c r="E994" s="729" t="s">
        <v>288</v>
      </c>
      <c r="F994" s="103">
        <f t="shared" ref="F994:H995" si="369">+F947+F963+F978</f>
        <v>0</v>
      </c>
      <c r="G994" s="103">
        <f t="shared" si="369"/>
        <v>0</v>
      </c>
      <c r="H994" s="103">
        <f t="shared" si="369"/>
        <v>0</v>
      </c>
      <c r="I994" s="103">
        <f>SUM(F994:H994)</f>
        <v>0</v>
      </c>
      <c r="J994" s="103">
        <f t="shared" ref="J994:L995" si="370">+J947+J963+J978</f>
        <v>0</v>
      </c>
      <c r="K994" s="103">
        <f t="shared" si="370"/>
        <v>0</v>
      </c>
      <c r="L994" s="103">
        <f t="shared" si="370"/>
        <v>0</v>
      </c>
      <c r="M994" s="103">
        <f t="shared" si="360"/>
        <v>0</v>
      </c>
      <c r="N994" s="103">
        <f t="shared" si="366"/>
        <v>0</v>
      </c>
      <c r="O994" s="103">
        <f t="shared" si="366"/>
        <v>0</v>
      </c>
      <c r="P994" s="103">
        <f t="shared" si="366"/>
        <v>0</v>
      </c>
      <c r="Q994" s="103">
        <f t="shared" si="367"/>
        <v>0</v>
      </c>
      <c r="R994" s="236"/>
      <c r="S994" s="730" t="str">
        <f t="shared" si="363"/>
        <v/>
      </c>
      <c r="T994" s="730" t="str">
        <f t="shared" si="363"/>
        <v/>
      </c>
      <c r="U994" s="730" t="str">
        <f t="shared" si="363"/>
        <v/>
      </c>
      <c r="V994" s="730" t="str">
        <f t="shared" si="362"/>
        <v/>
      </c>
      <c r="W994" s="254"/>
      <c r="X994" s="237" t="s">
        <v>598</v>
      </c>
    </row>
    <row r="995" spans="1:26" ht="11.25" hidden="1" customHeight="1">
      <c r="A995" s="246" t="s">
        <v>636</v>
      </c>
      <c r="B995" s="235" t="s">
        <v>637</v>
      </c>
      <c r="C995" s="728"/>
      <c r="D995" s="394" t="s">
        <v>761</v>
      </c>
      <c r="E995" s="729" t="s">
        <v>761</v>
      </c>
      <c r="F995" s="103">
        <f t="shared" si="369"/>
        <v>5375000</v>
      </c>
      <c r="G995" s="103">
        <f t="shared" si="369"/>
        <v>0</v>
      </c>
      <c r="H995" s="103">
        <f t="shared" si="369"/>
        <v>0</v>
      </c>
      <c r="I995" s="103">
        <f>SUM(F995:H995)</f>
        <v>5375000</v>
      </c>
      <c r="J995" s="103">
        <f t="shared" si="370"/>
        <v>5337000</v>
      </c>
      <c r="K995" s="103">
        <f t="shared" si="370"/>
        <v>0</v>
      </c>
      <c r="L995" s="103">
        <f t="shared" si="370"/>
        <v>0</v>
      </c>
      <c r="M995" s="103">
        <f>SUM(J995:L995)</f>
        <v>5337000</v>
      </c>
      <c r="N995" s="103">
        <f>+F995-J995</f>
        <v>38000</v>
      </c>
      <c r="O995" s="103">
        <f t="shared" si="366"/>
        <v>0</v>
      </c>
      <c r="P995" s="103">
        <f t="shared" si="366"/>
        <v>0</v>
      </c>
      <c r="Q995" s="103">
        <f>SUM(N995:P995)</f>
        <v>38000</v>
      </c>
      <c r="R995" s="236"/>
      <c r="S995" s="730">
        <f t="shared" si="363"/>
        <v>0.9929302325581395</v>
      </c>
      <c r="T995" s="730" t="str">
        <f t="shared" si="363"/>
        <v/>
      </c>
      <c r="U995" s="730" t="str">
        <f t="shared" si="363"/>
        <v/>
      </c>
      <c r="V995" s="730">
        <f t="shared" si="362"/>
        <v>0.9929302325581395</v>
      </c>
      <c r="W995" s="254"/>
      <c r="X995" s="237" t="s">
        <v>598</v>
      </c>
    </row>
    <row r="996" spans="1:26" ht="11.25" hidden="1" customHeight="1">
      <c r="A996" s="246" t="s">
        <v>636</v>
      </c>
      <c r="B996" s="235" t="s">
        <v>637</v>
      </c>
      <c r="C996" s="410"/>
      <c r="D996" s="386"/>
      <c r="E996" s="461"/>
      <c r="F996" s="104"/>
      <c r="G996" s="104"/>
      <c r="H996" s="104"/>
      <c r="I996" s="103"/>
      <c r="J996" s="104"/>
      <c r="K996" s="104"/>
      <c r="L996" s="104"/>
      <c r="M996" s="103"/>
      <c r="N996" s="103"/>
      <c r="O996" s="103"/>
      <c r="P996" s="103"/>
      <c r="Q996" s="103"/>
      <c r="R996" s="236"/>
      <c r="S996" s="730" t="str">
        <f t="shared" si="363"/>
        <v/>
      </c>
      <c r="T996" s="730" t="str">
        <f t="shared" si="363"/>
        <v/>
      </c>
      <c r="U996" s="730" t="str">
        <f t="shared" si="363"/>
        <v/>
      </c>
      <c r="V996" s="730" t="str">
        <f t="shared" si="362"/>
        <v/>
      </c>
      <c r="W996" s="254"/>
      <c r="X996" s="237" t="s">
        <v>598</v>
      </c>
    </row>
    <row r="997" spans="1:26" ht="11.25" hidden="1" customHeight="1">
      <c r="A997" s="246" t="s">
        <v>636</v>
      </c>
      <c r="B997" s="235" t="s">
        <v>637</v>
      </c>
      <c r="C997" s="728"/>
      <c r="D997" s="394" t="s">
        <v>289</v>
      </c>
      <c r="E997" s="729" t="s">
        <v>289</v>
      </c>
      <c r="F997" s="103">
        <f t="shared" ref="F997:H998" si="371">+F950+F966+F981</f>
        <v>7434518</v>
      </c>
      <c r="G997" s="103">
        <f t="shared" si="371"/>
        <v>0</v>
      </c>
      <c r="H997" s="103">
        <f t="shared" si="371"/>
        <v>0</v>
      </c>
      <c r="I997" s="103">
        <f>SUM(F997:H997)</f>
        <v>7434518</v>
      </c>
      <c r="J997" s="103">
        <f t="shared" ref="J997:L998" si="372">+J950+J966+J981</f>
        <v>7434511.9900000002</v>
      </c>
      <c r="K997" s="103">
        <f t="shared" si="372"/>
        <v>0</v>
      </c>
      <c r="L997" s="103">
        <f t="shared" si="372"/>
        <v>0</v>
      </c>
      <c r="M997" s="103">
        <f t="shared" si="360"/>
        <v>7434511.9900000002</v>
      </c>
      <c r="N997" s="103">
        <f t="shared" si="366"/>
        <v>6.0099999997764826</v>
      </c>
      <c r="O997" s="103">
        <f t="shared" si="366"/>
        <v>0</v>
      </c>
      <c r="P997" s="103">
        <f t="shared" si="366"/>
        <v>0</v>
      </c>
      <c r="Q997" s="103">
        <f t="shared" si="367"/>
        <v>6.0099999997764826</v>
      </c>
      <c r="R997" s="236"/>
      <c r="S997" s="730">
        <f t="shared" si="363"/>
        <v>0.9999991916086558</v>
      </c>
      <c r="T997" s="730" t="str">
        <f t="shared" si="363"/>
        <v/>
      </c>
      <c r="U997" s="730" t="str">
        <f t="shared" si="363"/>
        <v/>
      </c>
      <c r="V997" s="730">
        <f t="shared" si="362"/>
        <v>0.9999991916086558</v>
      </c>
      <c r="W997" s="254"/>
      <c r="X997" s="237" t="s">
        <v>598</v>
      </c>
    </row>
    <row r="998" spans="1:26" ht="11.25" hidden="1" customHeight="1">
      <c r="A998" s="246" t="s">
        <v>636</v>
      </c>
      <c r="B998" s="235" t="s">
        <v>637</v>
      </c>
      <c r="C998" s="728"/>
      <c r="D998" s="394" t="s">
        <v>290</v>
      </c>
      <c r="E998" s="729" t="s">
        <v>290</v>
      </c>
      <c r="F998" s="103">
        <f t="shared" si="371"/>
        <v>0</v>
      </c>
      <c r="G998" s="103">
        <f t="shared" si="371"/>
        <v>15800000</v>
      </c>
      <c r="H998" s="103">
        <f t="shared" si="371"/>
        <v>0</v>
      </c>
      <c r="I998" s="103">
        <f>SUM(F998:H998)</f>
        <v>15800000</v>
      </c>
      <c r="J998" s="103">
        <f t="shared" si="372"/>
        <v>0</v>
      </c>
      <c r="K998" s="103">
        <f t="shared" si="372"/>
        <v>11002400.75</v>
      </c>
      <c r="L998" s="103">
        <f t="shared" si="372"/>
        <v>0</v>
      </c>
      <c r="M998" s="103">
        <f t="shared" si="360"/>
        <v>11002400.75</v>
      </c>
      <c r="N998" s="103">
        <f t="shared" si="366"/>
        <v>0</v>
      </c>
      <c r="O998" s="103">
        <f t="shared" si="366"/>
        <v>4797599.25</v>
      </c>
      <c r="P998" s="103">
        <f t="shared" si="366"/>
        <v>0</v>
      </c>
      <c r="Q998" s="103">
        <f t="shared" si="367"/>
        <v>4797599.25</v>
      </c>
      <c r="R998" s="236"/>
      <c r="S998" s="730" t="str">
        <f t="shared" si="363"/>
        <v/>
      </c>
      <c r="T998" s="730">
        <f t="shared" si="363"/>
        <v>0.69635447784810123</v>
      </c>
      <c r="U998" s="730" t="str">
        <f t="shared" si="363"/>
        <v/>
      </c>
      <c r="V998" s="730">
        <f t="shared" si="362"/>
        <v>0.69635447784810123</v>
      </c>
      <c r="W998" s="254"/>
      <c r="X998" s="237" t="s">
        <v>598</v>
      </c>
    </row>
    <row r="999" spans="1:26" s="266" customFormat="1" ht="26.25" customHeight="1">
      <c r="A999" s="246" t="s">
        <v>636</v>
      </c>
      <c r="B999" s="1009" t="s">
        <v>637</v>
      </c>
      <c r="C999" s="1431" t="s">
        <v>638</v>
      </c>
      <c r="D999" s="1432"/>
      <c r="E999" s="1433"/>
      <c r="F999" s="666">
        <f>+F993+F991+F989</f>
        <v>308048518</v>
      </c>
      <c r="G999" s="666">
        <f t="shared" ref="G999:M999" si="373">+G993+G991+G989</f>
        <v>508243389</v>
      </c>
      <c r="H999" s="666">
        <f t="shared" si="373"/>
        <v>39885000</v>
      </c>
      <c r="I999" s="666">
        <f t="shared" si="373"/>
        <v>856176907</v>
      </c>
      <c r="J999" s="666">
        <f t="shared" si="373"/>
        <v>243040607.45000002</v>
      </c>
      <c r="K999" s="666">
        <f t="shared" si="373"/>
        <v>358895672.35000002</v>
      </c>
      <c r="L999" s="666">
        <f t="shared" si="373"/>
        <v>31178544.170000002</v>
      </c>
      <c r="M999" s="666">
        <f t="shared" si="373"/>
        <v>633114823.96999991</v>
      </c>
      <c r="N999" s="666">
        <f t="shared" si="366"/>
        <v>65007910.549999982</v>
      </c>
      <c r="O999" s="666">
        <f t="shared" si="366"/>
        <v>149347716.64999998</v>
      </c>
      <c r="P999" s="666">
        <f t="shared" si="366"/>
        <v>8706455.8299999982</v>
      </c>
      <c r="Q999" s="666">
        <f t="shared" si="367"/>
        <v>223062083.02999997</v>
      </c>
      <c r="R999" s="667">
        <f>+Q999-'[3]chd 8-SAOB'!BE179</f>
        <v>0</v>
      </c>
      <c r="S999" s="1010">
        <f t="shared" si="363"/>
        <v>0.78896859828424826</v>
      </c>
      <c r="T999" s="1010">
        <f t="shared" si="363"/>
        <v>0.70614921928674612</v>
      </c>
      <c r="U999" s="1010">
        <f t="shared" si="363"/>
        <v>0.78171102344239696</v>
      </c>
      <c r="V999" s="1010">
        <f t="shared" si="362"/>
        <v>0.73946729793075339</v>
      </c>
      <c r="W999" s="254"/>
      <c r="X999" s="237" t="s">
        <v>598</v>
      </c>
      <c r="Y999" s="610" t="s">
        <v>598</v>
      </c>
      <c r="Z999" s="241" t="s">
        <v>598</v>
      </c>
    </row>
    <row r="1000" spans="1:26" ht="11.25" customHeight="1">
      <c r="A1000" s="246" t="s">
        <v>636</v>
      </c>
      <c r="B1000" s="235" t="s">
        <v>637</v>
      </c>
      <c r="C1000" s="410"/>
      <c r="D1000" s="681"/>
      <c r="E1000" s="461"/>
      <c r="F1000" s="104"/>
      <c r="G1000" s="104"/>
      <c r="H1000" s="104"/>
      <c r="I1000" s="103">
        <f>SUM(F1000:H1000)</f>
        <v>0</v>
      </c>
      <c r="J1000" s="104"/>
      <c r="K1000" s="104"/>
      <c r="L1000" s="104"/>
      <c r="M1000" s="103">
        <f t="shared" si="360"/>
        <v>0</v>
      </c>
      <c r="N1000" s="103">
        <f t="shared" si="366"/>
        <v>0</v>
      </c>
      <c r="O1000" s="103">
        <f t="shared" si="366"/>
        <v>0</v>
      </c>
      <c r="P1000" s="103">
        <f t="shared" si="366"/>
        <v>0</v>
      </c>
      <c r="Q1000" s="103">
        <f t="shared" si="367"/>
        <v>0</v>
      </c>
      <c r="S1000" s="730" t="str">
        <f t="shared" si="363"/>
        <v/>
      </c>
      <c r="T1000" s="730" t="str">
        <f t="shared" si="363"/>
        <v/>
      </c>
      <c r="U1000" s="730" t="str">
        <f t="shared" si="363"/>
        <v/>
      </c>
      <c r="V1000" s="730" t="str">
        <f t="shared" si="362"/>
        <v/>
      </c>
      <c r="W1000" s="254"/>
      <c r="Y1000" s="610" t="s">
        <v>598</v>
      </c>
      <c r="Z1000" s="241" t="s">
        <v>598</v>
      </c>
    </row>
    <row r="1001" spans="1:26" ht="11.25" customHeight="1">
      <c r="A1001" s="528" t="s">
        <v>640</v>
      </c>
      <c r="B1001" s="528" t="s">
        <v>197</v>
      </c>
      <c r="C1001" s="408"/>
      <c r="D1001" s="682"/>
      <c r="E1001" s="408" t="s">
        <v>197</v>
      </c>
      <c r="F1001" s="104"/>
      <c r="G1001" s="104"/>
      <c r="H1001" s="104"/>
      <c r="I1001" s="103">
        <f>SUM(F1001:H1001)</f>
        <v>0</v>
      </c>
      <c r="J1001" s="104"/>
      <c r="K1001" s="104"/>
      <c r="L1001" s="104"/>
      <c r="M1001" s="103">
        <f t="shared" si="360"/>
        <v>0</v>
      </c>
      <c r="N1001" s="103">
        <f t="shared" si="366"/>
        <v>0</v>
      </c>
      <c r="O1001" s="103">
        <f t="shared" si="366"/>
        <v>0</v>
      </c>
      <c r="P1001" s="103">
        <f t="shared" si="366"/>
        <v>0</v>
      </c>
      <c r="Q1001" s="103">
        <f t="shared" si="367"/>
        <v>0</v>
      </c>
      <c r="S1001" s="730" t="str">
        <f t="shared" si="363"/>
        <v/>
      </c>
      <c r="T1001" s="730" t="str">
        <f t="shared" si="363"/>
        <v/>
      </c>
      <c r="U1001" s="730" t="str">
        <f t="shared" si="363"/>
        <v/>
      </c>
      <c r="V1001" s="730" t="str">
        <f t="shared" si="362"/>
        <v/>
      </c>
      <c r="W1001" s="531"/>
      <c r="X1001" s="236"/>
      <c r="Y1001" s="236" t="s">
        <v>598</v>
      </c>
      <c r="Z1001" s="240" t="s">
        <v>598</v>
      </c>
    </row>
    <row r="1002" spans="1:26" ht="11.25" customHeight="1">
      <c r="A1002" s="528" t="s">
        <v>640</v>
      </c>
      <c r="B1002" s="1013" t="s">
        <v>197</v>
      </c>
      <c r="C1002" s="461"/>
      <c r="D1002" s="645" t="s">
        <v>766</v>
      </c>
      <c r="E1002" s="447" t="s">
        <v>766</v>
      </c>
      <c r="F1002" s="103">
        <f>SUM(F1003:F1005)</f>
        <v>93330260</v>
      </c>
      <c r="G1002" s="103">
        <f t="shared" ref="G1002:M1002" si="374">SUM(G1003:G1005)</f>
        <v>161722740</v>
      </c>
      <c r="H1002" s="103">
        <f t="shared" si="374"/>
        <v>1350000</v>
      </c>
      <c r="I1002" s="103">
        <f t="shared" si="374"/>
        <v>256403000</v>
      </c>
      <c r="J1002" s="103">
        <f t="shared" si="374"/>
        <v>83932162.290000021</v>
      </c>
      <c r="K1002" s="103">
        <f t="shared" si="374"/>
        <v>70914866.079999998</v>
      </c>
      <c r="L1002" s="103">
        <f t="shared" si="374"/>
        <v>0</v>
      </c>
      <c r="M1002" s="103">
        <f t="shared" si="374"/>
        <v>154847028.37</v>
      </c>
      <c r="N1002" s="103">
        <f t="shared" si="366"/>
        <v>9398097.7099999785</v>
      </c>
      <c r="O1002" s="103">
        <f t="shared" si="366"/>
        <v>90807873.920000002</v>
      </c>
      <c r="P1002" s="103">
        <f t="shared" si="366"/>
        <v>1350000</v>
      </c>
      <c r="Q1002" s="103">
        <f t="shared" si="367"/>
        <v>101555971.62999998</v>
      </c>
      <c r="S1002" s="730">
        <f t="shared" si="363"/>
        <v>0.89930278014868936</v>
      </c>
      <c r="T1002" s="730">
        <f t="shared" si="363"/>
        <v>0.43849656566540979</v>
      </c>
      <c r="U1002" s="730">
        <f t="shared" si="363"/>
        <v>0</v>
      </c>
      <c r="V1002" s="730">
        <f t="shared" si="362"/>
        <v>0.6039205015931951</v>
      </c>
      <c r="W1002" s="531"/>
      <c r="X1002" s="236"/>
      <c r="Y1002" s="236" t="s">
        <v>688</v>
      </c>
      <c r="Z1002" s="236"/>
    </row>
    <row r="1003" spans="1:26" ht="11.25" hidden="1" customHeight="1">
      <c r="A1003" s="528" t="s">
        <v>640</v>
      </c>
      <c r="B1003" s="1013" t="s">
        <v>197</v>
      </c>
      <c r="C1003" s="411"/>
      <c r="D1003" s="647" t="s">
        <v>98</v>
      </c>
      <c r="E1003" s="459" t="s">
        <v>775</v>
      </c>
      <c r="F1003" s="104">
        <f>+'[3]chd9-SAOB'!C14</f>
        <v>31959000</v>
      </c>
      <c r="G1003" s="104">
        <f>+'[3]chd9-SAOB'!C50</f>
        <v>10929000</v>
      </c>
      <c r="H1003" s="104">
        <f>+'[3]chd9-SAOB'!C142</f>
        <v>0</v>
      </c>
      <c r="I1003" s="103">
        <f>SUM(F1003:H1003)</f>
        <v>42888000</v>
      </c>
      <c r="J1003" s="104">
        <f>+'[3]chd9-SAOB'!C15</f>
        <v>28017000.969999999</v>
      </c>
      <c r="K1003" s="104">
        <f>+'[3]chd9-SAOB'!C51</f>
        <v>7006664.0800000001</v>
      </c>
      <c r="L1003" s="104">
        <f>+'[3]chd9-SAOB'!C143</f>
        <v>0</v>
      </c>
      <c r="M1003" s="103">
        <f t="shared" si="360"/>
        <v>35023665.049999997</v>
      </c>
      <c r="N1003" s="103">
        <f t="shared" si="366"/>
        <v>3941999.0300000012</v>
      </c>
      <c r="O1003" s="103">
        <f t="shared" si="366"/>
        <v>3922335.92</v>
      </c>
      <c r="P1003" s="103">
        <f t="shared" si="366"/>
        <v>0</v>
      </c>
      <c r="Q1003" s="103">
        <f t="shared" si="367"/>
        <v>7864334.9500000011</v>
      </c>
      <c r="R1003" s="236"/>
      <c r="S1003" s="730">
        <f t="shared" si="363"/>
        <v>0.87665449388278727</v>
      </c>
      <c r="T1003" s="730">
        <f t="shared" si="363"/>
        <v>0.64110751944368194</v>
      </c>
      <c r="U1003" s="730" t="str">
        <f t="shared" si="363"/>
        <v/>
      </c>
      <c r="V1003" s="730">
        <f t="shared" si="362"/>
        <v>0.81663087693527325</v>
      </c>
      <c r="W1003" s="531" t="s">
        <v>878</v>
      </c>
      <c r="X1003" s="236"/>
      <c r="Y1003" s="236"/>
      <c r="Z1003" s="236"/>
    </row>
    <row r="1004" spans="1:26" ht="11.25" hidden="1" customHeight="1">
      <c r="A1004" s="528" t="s">
        <v>640</v>
      </c>
      <c r="B1004" s="1013" t="s">
        <v>197</v>
      </c>
      <c r="C1004" s="406" t="s">
        <v>776</v>
      </c>
      <c r="D1004" s="647" t="s">
        <v>98</v>
      </c>
      <c r="E1004" s="406" t="s">
        <v>776</v>
      </c>
      <c r="F1004" s="104">
        <f>+'[3]chd9-SAOB'!D14</f>
        <v>2305000</v>
      </c>
      <c r="G1004" s="104">
        <f>+'[3]chd9-SAOB'!D50</f>
        <v>5465000</v>
      </c>
      <c r="H1004" s="104">
        <f>+'[3]chd9-SAOB'!D142</f>
        <v>0</v>
      </c>
      <c r="I1004" s="103">
        <f>SUM(F1004:H1004)</f>
        <v>7770000</v>
      </c>
      <c r="J1004" s="104">
        <f>+'[3]chd9-SAOB'!D15</f>
        <v>2244888.9300000002</v>
      </c>
      <c r="K1004" s="104">
        <f>+'[3]chd9-SAOB'!D51</f>
        <v>2278831.5700000003</v>
      </c>
      <c r="L1004" s="104">
        <f>+'[3]chd9-SAOB'!D143</f>
        <v>0</v>
      </c>
      <c r="M1004" s="103">
        <f t="shared" si="360"/>
        <v>4523720.5</v>
      </c>
      <c r="N1004" s="103">
        <f t="shared" si="366"/>
        <v>60111.069999999832</v>
      </c>
      <c r="O1004" s="103">
        <f t="shared" si="366"/>
        <v>3186168.4299999997</v>
      </c>
      <c r="P1004" s="103">
        <f t="shared" si="366"/>
        <v>0</v>
      </c>
      <c r="Q1004" s="103">
        <f t="shared" si="367"/>
        <v>3246279.4999999995</v>
      </c>
      <c r="R1004" s="236"/>
      <c r="S1004" s="730">
        <f t="shared" si="363"/>
        <v>0.97392144468546649</v>
      </c>
      <c r="T1004" s="730">
        <f t="shared" si="363"/>
        <v>0.41698656358645936</v>
      </c>
      <c r="U1004" s="730" t="str">
        <f t="shared" si="363"/>
        <v/>
      </c>
      <c r="V1004" s="730">
        <f t="shared" si="362"/>
        <v>0.58220341055341052</v>
      </c>
      <c r="W1004" s="531"/>
      <c r="X1004" s="236"/>
      <c r="Y1004" s="236"/>
      <c r="Z1004" s="236"/>
    </row>
    <row r="1005" spans="1:26" ht="11.25" hidden="1" customHeight="1">
      <c r="A1005" s="528" t="s">
        <v>640</v>
      </c>
      <c r="B1005" s="1013" t="s">
        <v>197</v>
      </c>
      <c r="C1005" s="411"/>
      <c r="D1005" s="647" t="s">
        <v>98</v>
      </c>
      <c r="E1005" s="406" t="s">
        <v>777</v>
      </c>
      <c r="F1005" s="104">
        <f>+'[3]chd9-SAOB'!E14</f>
        <v>59066260</v>
      </c>
      <c r="G1005" s="104">
        <f>+'[3]chd9-SAOB'!E50</f>
        <v>145328740</v>
      </c>
      <c r="H1005" s="104">
        <f>+'[3]chd9-SAOB'!E142</f>
        <v>1350000</v>
      </c>
      <c r="I1005" s="103">
        <f>SUM(F1005:H1005)</f>
        <v>205745000</v>
      </c>
      <c r="J1005" s="104">
        <f>+'[3]chd9-SAOB'!E15</f>
        <v>53670272.390000015</v>
      </c>
      <c r="K1005" s="104">
        <f>+'[3]chd9-SAOB'!E51</f>
        <v>61629370.43</v>
      </c>
      <c r="L1005" s="104">
        <f>+'[3]chd9-SAOB'!E143</f>
        <v>0</v>
      </c>
      <c r="M1005" s="103">
        <f t="shared" si="360"/>
        <v>115299642.82000002</v>
      </c>
      <c r="N1005" s="103">
        <f t="shared" si="366"/>
        <v>5395987.6099999845</v>
      </c>
      <c r="O1005" s="103">
        <f t="shared" si="366"/>
        <v>83699369.569999993</v>
      </c>
      <c r="P1005" s="103">
        <f t="shared" si="366"/>
        <v>1350000</v>
      </c>
      <c r="Q1005" s="103">
        <f t="shared" si="367"/>
        <v>90445357.179999977</v>
      </c>
      <c r="R1005" s="236"/>
      <c r="S1005" s="730">
        <f t="shared" si="363"/>
        <v>0.90864517899051023</v>
      </c>
      <c r="T1005" s="730">
        <f t="shared" si="363"/>
        <v>0.4240687040292237</v>
      </c>
      <c r="U1005" s="730">
        <f t="shared" si="363"/>
        <v>0</v>
      </c>
      <c r="V1005" s="730">
        <f t="shared" si="362"/>
        <v>0.56040070388101793</v>
      </c>
      <c r="W1005" s="531"/>
      <c r="X1005" s="236"/>
      <c r="Y1005" s="236"/>
      <c r="Z1005" s="236"/>
    </row>
    <row r="1006" spans="1:26" ht="11.25" customHeight="1">
      <c r="A1006" s="528" t="s">
        <v>640</v>
      </c>
      <c r="B1006" s="1013" t="s">
        <v>197</v>
      </c>
      <c r="C1006" s="728"/>
      <c r="D1006" s="649" t="s">
        <v>50</v>
      </c>
      <c r="E1006" s="447" t="s">
        <v>50</v>
      </c>
      <c r="F1006" s="104"/>
      <c r="G1006" s="104">
        <f>+'[3]chd9-SAOB'!D382</f>
        <v>142357671</v>
      </c>
      <c r="H1006" s="104">
        <f>+'[3]chd9-SAOB'!E382</f>
        <v>15745000</v>
      </c>
      <c r="I1006" s="103">
        <f>SUM(F1006:H1006)</f>
        <v>158102671</v>
      </c>
      <c r="J1006" s="104"/>
      <c r="K1006" s="104">
        <f>+'[3]chd9-SAOB'!H382</f>
        <v>76478187.140000015</v>
      </c>
      <c r="L1006" s="104">
        <f>+'[3]chd9-SAOB'!I382</f>
        <v>3882518.3200000003</v>
      </c>
      <c r="M1006" s="103">
        <f>SUM(J1006:L1006)</f>
        <v>80360705.460000008</v>
      </c>
      <c r="N1006" s="103">
        <f t="shared" si="366"/>
        <v>0</v>
      </c>
      <c r="O1006" s="103">
        <f t="shared" si="366"/>
        <v>65879483.859999985</v>
      </c>
      <c r="P1006" s="103">
        <f t="shared" si="366"/>
        <v>11862481.68</v>
      </c>
      <c r="Q1006" s="103">
        <f t="shared" si="367"/>
        <v>77741965.539999992</v>
      </c>
      <c r="S1006" s="730" t="str">
        <f t="shared" si="363"/>
        <v/>
      </c>
      <c r="T1006" s="730">
        <f t="shared" si="363"/>
        <v>0.53722561350417153</v>
      </c>
      <c r="U1006" s="730">
        <f t="shared" si="363"/>
        <v>0.24658738139091776</v>
      </c>
      <c r="V1006" s="730">
        <f t="shared" si="362"/>
        <v>0.50828177001513153</v>
      </c>
      <c r="W1006" s="531"/>
      <c r="X1006" s="236"/>
      <c r="Y1006" s="236" t="s">
        <v>688</v>
      </c>
      <c r="Z1006" s="236"/>
    </row>
    <row r="1007" spans="1:26" s="256" customFormat="1" ht="11.25" customHeight="1">
      <c r="A1007" s="528" t="s">
        <v>640</v>
      </c>
      <c r="B1007" s="528" t="s">
        <v>197</v>
      </c>
      <c r="C1007" s="389"/>
      <c r="D1007" s="650" t="s">
        <v>98</v>
      </c>
      <c r="E1007" s="390" t="s">
        <v>767</v>
      </c>
      <c r="F1007" s="391">
        <f>+F1006+F1002</f>
        <v>93330260</v>
      </c>
      <c r="G1007" s="391">
        <f t="shared" ref="G1007:M1007" si="375">+G1006+G1002</f>
        <v>304080411</v>
      </c>
      <c r="H1007" s="391">
        <f t="shared" si="375"/>
        <v>17095000</v>
      </c>
      <c r="I1007" s="391">
        <f t="shared" si="375"/>
        <v>414505671</v>
      </c>
      <c r="J1007" s="391">
        <f t="shared" si="375"/>
        <v>83932162.290000021</v>
      </c>
      <c r="K1007" s="391">
        <f t="shared" si="375"/>
        <v>147393053.22000003</v>
      </c>
      <c r="L1007" s="391">
        <f t="shared" si="375"/>
        <v>3882518.3200000003</v>
      </c>
      <c r="M1007" s="391">
        <f t="shared" si="375"/>
        <v>235207733.83000001</v>
      </c>
      <c r="N1007" s="391">
        <f t="shared" si="366"/>
        <v>9398097.7099999785</v>
      </c>
      <c r="O1007" s="391">
        <f t="shared" si="366"/>
        <v>156687357.77999997</v>
      </c>
      <c r="P1007" s="391">
        <f t="shared" si="366"/>
        <v>13212481.68</v>
      </c>
      <c r="Q1007" s="391">
        <f t="shared" si="367"/>
        <v>179297937.16999996</v>
      </c>
      <c r="R1007" s="101"/>
      <c r="S1007" s="254">
        <f t="shared" si="363"/>
        <v>0.89930278014868936</v>
      </c>
      <c r="T1007" s="254">
        <f t="shared" si="363"/>
        <v>0.48471735727823662</v>
      </c>
      <c r="U1007" s="254">
        <f t="shared" si="363"/>
        <v>0.22711426264989765</v>
      </c>
      <c r="V1007" s="254">
        <f t="shared" si="362"/>
        <v>0.56744153406287179</v>
      </c>
      <c r="W1007" s="531"/>
      <c r="Y1007" s="256" t="s">
        <v>598</v>
      </c>
      <c r="Z1007" s="256" t="s">
        <v>598</v>
      </c>
    </row>
    <row r="1008" spans="1:26" ht="11.25" hidden="1" customHeight="1">
      <c r="A1008" s="528" t="s">
        <v>640</v>
      </c>
      <c r="B1008" s="1013" t="s">
        <v>197</v>
      </c>
      <c r="C1008" s="410"/>
      <c r="D1008" s="651"/>
      <c r="E1008" s="806"/>
      <c r="F1008" s="807"/>
      <c r="G1008" s="807"/>
      <c r="H1008" s="807"/>
      <c r="I1008" s="807"/>
      <c r="J1008" s="807"/>
      <c r="K1008" s="807"/>
      <c r="L1008" s="807"/>
      <c r="M1008" s="807"/>
      <c r="N1008" s="807">
        <f t="shared" si="366"/>
        <v>0</v>
      </c>
      <c r="O1008" s="807">
        <f t="shared" si="366"/>
        <v>0</v>
      </c>
      <c r="P1008" s="807">
        <f t="shared" si="366"/>
        <v>0</v>
      </c>
      <c r="Q1008" s="807">
        <f t="shared" si="367"/>
        <v>0</v>
      </c>
      <c r="R1008" s="276"/>
      <c r="S1008" s="730" t="str">
        <f t="shared" si="363"/>
        <v/>
      </c>
      <c r="T1008" s="730" t="str">
        <f t="shared" si="363"/>
        <v/>
      </c>
      <c r="U1008" s="730" t="str">
        <f t="shared" si="363"/>
        <v/>
      </c>
      <c r="V1008" s="730" t="str">
        <f t="shared" si="362"/>
        <v/>
      </c>
      <c r="W1008" s="531"/>
      <c r="X1008" s="236"/>
      <c r="Y1008" s="236"/>
      <c r="Z1008" s="236"/>
    </row>
    <row r="1009" spans="1:26" s="256" customFormat="1" ht="11.25" customHeight="1">
      <c r="A1009" s="528" t="s">
        <v>640</v>
      </c>
      <c r="B1009" s="528" t="s">
        <v>197</v>
      </c>
      <c r="C1009" s="389"/>
      <c r="D1009" s="650" t="s">
        <v>98</v>
      </c>
      <c r="E1009" s="390" t="s">
        <v>99</v>
      </c>
      <c r="F1009" s="391">
        <f>+F1010</f>
        <v>7233000</v>
      </c>
      <c r="G1009" s="391">
        <f t="shared" ref="G1009:M1009" si="376">+G1010</f>
        <v>0</v>
      </c>
      <c r="H1009" s="391">
        <f t="shared" si="376"/>
        <v>0</v>
      </c>
      <c r="I1009" s="391">
        <f t="shared" si="376"/>
        <v>7233000</v>
      </c>
      <c r="J1009" s="391">
        <f t="shared" si="376"/>
        <v>5969699.040000001</v>
      </c>
      <c r="K1009" s="391">
        <f t="shared" si="376"/>
        <v>0</v>
      </c>
      <c r="L1009" s="391">
        <f t="shared" si="376"/>
        <v>0</v>
      </c>
      <c r="M1009" s="391">
        <f t="shared" si="376"/>
        <v>5969699.040000001</v>
      </c>
      <c r="N1009" s="391">
        <f t="shared" si="366"/>
        <v>1263300.959999999</v>
      </c>
      <c r="O1009" s="391">
        <f t="shared" si="366"/>
        <v>0</v>
      </c>
      <c r="P1009" s="391">
        <f t="shared" si="366"/>
        <v>0</v>
      </c>
      <c r="Q1009" s="391">
        <f t="shared" si="367"/>
        <v>1263300.959999999</v>
      </c>
      <c r="R1009" s="101"/>
      <c r="S1009" s="254">
        <f t="shared" si="363"/>
        <v>0.82534204894234775</v>
      </c>
      <c r="T1009" s="254" t="str">
        <f t="shared" si="363"/>
        <v/>
      </c>
      <c r="U1009" s="254" t="str">
        <f t="shared" si="363"/>
        <v/>
      </c>
      <c r="V1009" s="254">
        <f t="shared" si="362"/>
        <v>0.82534204894234775</v>
      </c>
      <c r="W1009" s="531"/>
      <c r="Y1009" s="256" t="s">
        <v>598</v>
      </c>
      <c r="Z1009" s="256" t="s">
        <v>598</v>
      </c>
    </row>
    <row r="1010" spans="1:26" ht="11.25" customHeight="1">
      <c r="A1010" s="528" t="s">
        <v>640</v>
      </c>
      <c r="B1010" s="1013" t="s">
        <v>197</v>
      </c>
      <c r="C1010" s="728"/>
      <c r="D1010" s="649" t="s">
        <v>286</v>
      </c>
      <c r="E1010" s="729" t="s">
        <v>286</v>
      </c>
      <c r="F1010" s="103">
        <f>SUM('[3]chd9-SAOB'!AT14)</f>
        <v>7233000</v>
      </c>
      <c r="G1010" s="103">
        <f>SUM('[3]chd9-SAOB'!AT50)</f>
        <v>0</v>
      </c>
      <c r="H1010" s="103">
        <f>SUM('[3]chd9-SAOB'!AT142)</f>
        <v>0</v>
      </c>
      <c r="I1010" s="103">
        <f>SUM(F1010:H1010)</f>
        <v>7233000</v>
      </c>
      <c r="J1010" s="103">
        <f>SUM('[3]chd9-SAOB'!AT15)</f>
        <v>5969699.040000001</v>
      </c>
      <c r="K1010" s="103">
        <f>SUM('[3]chd9-SAOB'!AT51)</f>
        <v>0</v>
      </c>
      <c r="L1010" s="103">
        <f>SUM('[3]chd9-SAOB'!AT143)</f>
        <v>0</v>
      </c>
      <c r="M1010" s="103">
        <f t="shared" si="360"/>
        <v>5969699.040000001</v>
      </c>
      <c r="N1010" s="103">
        <f t="shared" si="366"/>
        <v>1263300.959999999</v>
      </c>
      <c r="O1010" s="103">
        <f t="shared" si="366"/>
        <v>0</v>
      </c>
      <c r="P1010" s="103">
        <f t="shared" si="366"/>
        <v>0</v>
      </c>
      <c r="Q1010" s="103">
        <f t="shared" si="367"/>
        <v>1263300.959999999</v>
      </c>
      <c r="S1010" s="730">
        <f t="shared" si="363"/>
        <v>0.82534204894234775</v>
      </c>
      <c r="T1010" s="730" t="str">
        <f t="shared" si="363"/>
        <v/>
      </c>
      <c r="U1010" s="730" t="str">
        <f t="shared" si="363"/>
        <v/>
      </c>
      <c r="V1010" s="730">
        <f t="shared" si="362"/>
        <v>0.82534204894234775</v>
      </c>
      <c r="W1010" s="531"/>
      <c r="X1010" s="236"/>
      <c r="Y1010" s="236" t="s">
        <v>598</v>
      </c>
      <c r="Z1010" s="236"/>
    </row>
    <row r="1011" spans="1:26" s="272" customFormat="1" ht="11.25" customHeight="1">
      <c r="A1011" s="528" t="s">
        <v>640</v>
      </c>
      <c r="B1011" s="528" t="s">
        <v>197</v>
      </c>
      <c r="C1011" s="389"/>
      <c r="D1011" s="650" t="s">
        <v>98</v>
      </c>
      <c r="E1011" s="390" t="s">
        <v>100</v>
      </c>
      <c r="F1011" s="391">
        <f t="shared" ref="F1011:M1011" si="377">SUM(F1012:F1016)</f>
        <v>2831469</v>
      </c>
      <c r="G1011" s="391">
        <f t="shared" si="377"/>
        <v>0</v>
      </c>
      <c r="H1011" s="391">
        <f t="shared" si="377"/>
        <v>0</v>
      </c>
      <c r="I1011" s="391">
        <f t="shared" si="377"/>
        <v>2831469</v>
      </c>
      <c r="J1011" s="391">
        <f t="shared" si="377"/>
        <v>2696468.4</v>
      </c>
      <c r="K1011" s="391">
        <f t="shared" si="377"/>
        <v>0</v>
      </c>
      <c r="L1011" s="391">
        <f t="shared" si="377"/>
        <v>0</v>
      </c>
      <c r="M1011" s="391">
        <f t="shared" si="377"/>
        <v>2696468.4</v>
      </c>
      <c r="N1011" s="391">
        <f t="shared" si="366"/>
        <v>135000.60000000009</v>
      </c>
      <c r="O1011" s="391">
        <f t="shared" si="366"/>
        <v>0</v>
      </c>
      <c r="P1011" s="391">
        <f t="shared" si="366"/>
        <v>0</v>
      </c>
      <c r="Q1011" s="391">
        <f t="shared" si="367"/>
        <v>135000.60000000009</v>
      </c>
      <c r="R1011" s="102"/>
      <c r="S1011" s="254">
        <f t="shared" si="363"/>
        <v>0.95232135686458153</v>
      </c>
      <c r="T1011" s="254" t="str">
        <f t="shared" si="363"/>
        <v/>
      </c>
      <c r="U1011" s="254" t="str">
        <f t="shared" si="363"/>
        <v/>
      </c>
      <c r="V1011" s="254">
        <f t="shared" si="362"/>
        <v>0.95232135686458153</v>
      </c>
      <c r="W1011" s="531"/>
      <c r="Y1011" s="272" t="s">
        <v>598</v>
      </c>
      <c r="Z1011" s="256" t="s">
        <v>598</v>
      </c>
    </row>
    <row r="1012" spans="1:26" ht="11.25" customHeight="1">
      <c r="A1012" s="528" t="s">
        <v>640</v>
      </c>
      <c r="B1012" s="1013" t="s">
        <v>197</v>
      </c>
      <c r="C1012" s="728"/>
      <c r="D1012" s="649" t="s">
        <v>288</v>
      </c>
      <c r="E1012" s="729" t="s">
        <v>288</v>
      </c>
      <c r="F1012" s="103">
        <f>SUM('[3]chd9-SAOB'!BD14)</f>
        <v>0</v>
      </c>
      <c r="G1012" s="103">
        <f>SUM('[3]chd9-SAOB'!BD50)</f>
        <v>0</v>
      </c>
      <c r="H1012" s="103">
        <f>SUM('[3]chd9-SAOB'!BD142)</f>
        <v>0</v>
      </c>
      <c r="I1012" s="103">
        <f>SUM(F1012:H1012)</f>
        <v>0</v>
      </c>
      <c r="J1012" s="103">
        <f>SUM('[3]chd9-SAOB'!BD15)</f>
        <v>0</v>
      </c>
      <c r="K1012" s="103">
        <f>SUM('[3]chd9-SAOB'!BD51)</f>
        <v>0</v>
      </c>
      <c r="L1012" s="103">
        <f>SUM('[3]chd9-SAOB'!BD143)</f>
        <v>0</v>
      </c>
      <c r="M1012" s="103">
        <f t="shared" si="360"/>
        <v>0</v>
      </c>
      <c r="N1012" s="103">
        <f t="shared" si="366"/>
        <v>0</v>
      </c>
      <c r="O1012" s="103">
        <f t="shared" si="366"/>
        <v>0</v>
      </c>
      <c r="P1012" s="103">
        <f t="shared" si="366"/>
        <v>0</v>
      </c>
      <c r="Q1012" s="103">
        <f t="shared" si="367"/>
        <v>0</v>
      </c>
      <c r="S1012" s="730" t="str">
        <f t="shared" si="363"/>
        <v/>
      </c>
      <c r="T1012" s="730" t="str">
        <f t="shared" si="363"/>
        <v/>
      </c>
      <c r="U1012" s="730" t="str">
        <f t="shared" si="363"/>
        <v/>
      </c>
      <c r="V1012" s="730" t="str">
        <f t="shared" si="362"/>
        <v/>
      </c>
      <c r="W1012" s="531"/>
      <c r="X1012" s="236"/>
      <c r="Y1012" s="236" t="s">
        <v>598</v>
      </c>
      <c r="Z1012" s="236"/>
    </row>
    <row r="1013" spans="1:26" ht="11.25" customHeight="1">
      <c r="A1013" s="528" t="s">
        <v>640</v>
      </c>
      <c r="B1013" s="1013" t="s">
        <v>197</v>
      </c>
      <c r="C1013" s="728"/>
      <c r="D1013" s="649" t="s">
        <v>761</v>
      </c>
      <c r="E1013" s="729" t="s">
        <v>761</v>
      </c>
      <c r="F1013" s="104">
        <f>+'[3]chd9-SAOB'!C382</f>
        <v>1945000</v>
      </c>
      <c r="G1013" s="104"/>
      <c r="H1013" s="104"/>
      <c r="I1013" s="103">
        <f>SUM(F1013:H1013)</f>
        <v>1945000</v>
      </c>
      <c r="J1013" s="104">
        <f>+'[3]chd9-SAOB'!G382</f>
        <v>1810000</v>
      </c>
      <c r="K1013" s="104"/>
      <c r="L1013" s="104"/>
      <c r="M1013" s="103">
        <f t="shared" si="360"/>
        <v>1810000</v>
      </c>
      <c r="N1013" s="103">
        <f t="shared" si="366"/>
        <v>135000</v>
      </c>
      <c r="O1013" s="103">
        <f>+G1013-K1013</f>
        <v>0</v>
      </c>
      <c r="P1013" s="103">
        <f>+H1013-L1013</f>
        <v>0</v>
      </c>
      <c r="Q1013" s="103">
        <f>SUM(N1013:P1013)</f>
        <v>135000</v>
      </c>
      <c r="S1013" s="730">
        <f t="shared" si="363"/>
        <v>0.93059125964010281</v>
      </c>
      <c r="T1013" s="730" t="str">
        <f t="shared" si="363"/>
        <v/>
      </c>
      <c r="U1013" s="730" t="str">
        <f t="shared" si="363"/>
        <v/>
      </c>
      <c r="V1013" s="730">
        <f t="shared" si="362"/>
        <v>0.93059125964010281</v>
      </c>
      <c r="W1013" s="531"/>
      <c r="X1013" s="236"/>
      <c r="Y1013" s="236" t="s">
        <v>688</v>
      </c>
      <c r="Z1013" s="236"/>
    </row>
    <row r="1014" spans="1:26" ht="11.25" customHeight="1">
      <c r="A1014" s="528" t="s">
        <v>640</v>
      </c>
      <c r="B1014" s="1013" t="s">
        <v>197</v>
      </c>
      <c r="C1014" s="410"/>
      <c r="D1014" s="647"/>
      <c r="E1014" s="461"/>
      <c r="F1014" s="104"/>
      <c r="G1014" s="104"/>
      <c r="H1014" s="104"/>
      <c r="I1014" s="103"/>
      <c r="J1014" s="104"/>
      <c r="K1014" s="104"/>
      <c r="L1014" s="104"/>
      <c r="M1014" s="103"/>
      <c r="N1014" s="103"/>
      <c r="O1014" s="103"/>
      <c r="P1014" s="103"/>
      <c r="Q1014" s="103"/>
      <c r="S1014" s="730" t="str">
        <f t="shared" si="363"/>
        <v/>
      </c>
      <c r="T1014" s="730" t="str">
        <f t="shared" si="363"/>
        <v/>
      </c>
      <c r="U1014" s="730" t="str">
        <f t="shared" si="363"/>
        <v/>
      </c>
      <c r="V1014" s="730" t="str">
        <f t="shared" si="362"/>
        <v/>
      </c>
      <c r="W1014" s="531"/>
      <c r="X1014" s="236"/>
      <c r="Y1014" s="236" t="s">
        <v>688</v>
      </c>
      <c r="Z1014" s="240"/>
    </row>
    <row r="1015" spans="1:26" ht="11.25" customHeight="1">
      <c r="A1015" s="528" t="s">
        <v>640</v>
      </c>
      <c r="B1015" s="1013" t="s">
        <v>197</v>
      </c>
      <c r="C1015" s="728"/>
      <c r="D1015" s="649" t="s">
        <v>289</v>
      </c>
      <c r="E1015" s="729" t="s">
        <v>289</v>
      </c>
      <c r="F1015" s="103">
        <f>SUM('[3]chd9-SAOB'!BN14)</f>
        <v>886469</v>
      </c>
      <c r="G1015" s="103">
        <f>SUM('[3]chd9-SAOB'!BN50)</f>
        <v>0</v>
      </c>
      <c r="H1015" s="103">
        <f>SUM('[3]chd9-SAOB'!BN142)</f>
        <v>0</v>
      </c>
      <c r="I1015" s="103">
        <f>SUM(F1015:H1015)</f>
        <v>886469</v>
      </c>
      <c r="J1015" s="103">
        <f>SUM('[3]chd9-SAOB'!BN15)</f>
        <v>886468.4</v>
      </c>
      <c r="K1015" s="103">
        <f>SUM('[3]chd9-SAOB'!BN51)</f>
        <v>0</v>
      </c>
      <c r="L1015" s="103">
        <f>SUM('[3]chd9-SAOB'!BN143)</f>
        <v>0</v>
      </c>
      <c r="M1015" s="103">
        <f t="shared" si="360"/>
        <v>886468.4</v>
      </c>
      <c r="N1015" s="103">
        <f t="shared" si="366"/>
        <v>0.59999999997671694</v>
      </c>
      <c r="O1015" s="103">
        <f t="shared" si="366"/>
        <v>0</v>
      </c>
      <c r="P1015" s="103">
        <f t="shared" si="366"/>
        <v>0</v>
      </c>
      <c r="Q1015" s="103">
        <f t="shared" si="367"/>
        <v>0.59999999997671694</v>
      </c>
      <c r="S1015" s="730">
        <f t="shared" si="363"/>
        <v>0.9999993231573806</v>
      </c>
      <c r="T1015" s="730" t="str">
        <f t="shared" si="363"/>
        <v/>
      </c>
      <c r="U1015" s="730" t="str">
        <f t="shared" si="363"/>
        <v/>
      </c>
      <c r="V1015" s="730">
        <f t="shared" si="362"/>
        <v>0.9999993231573806</v>
      </c>
      <c r="W1015" s="531"/>
      <c r="X1015" s="236"/>
      <c r="Y1015" s="236" t="s">
        <v>598</v>
      </c>
      <c r="Z1015" s="236"/>
    </row>
    <row r="1016" spans="1:26" ht="11.25" customHeight="1">
      <c r="A1016" s="528" t="s">
        <v>640</v>
      </c>
      <c r="B1016" s="1013" t="s">
        <v>197</v>
      </c>
      <c r="C1016" s="728"/>
      <c r="D1016" s="649" t="s">
        <v>290</v>
      </c>
      <c r="E1016" s="729" t="s">
        <v>290</v>
      </c>
      <c r="F1016" s="103">
        <f>SUM('[3]chd9-SAOB'!BX14)</f>
        <v>0</v>
      </c>
      <c r="G1016" s="103">
        <f>SUM('[3]chd9-SAOB'!BX50)</f>
        <v>0</v>
      </c>
      <c r="H1016" s="103">
        <f>SUM('[3]chd9-SAOB'!BX142)</f>
        <v>0</v>
      </c>
      <c r="I1016" s="103">
        <f>SUM(F1016:H1016)</f>
        <v>0</v>
      </c>
      <c r="J1016" s="103">
        <f>SUM('[3]chd9-SAOB'!BX15)</f>
        <v>0</v>
      </c>
      <c r="K1016" s="103">
        <f>SUM('[3]chd9-SAOB'!BX51)</f>
        <v>0</v>
      </c>
      <c r="L1016" s="103">
        <f>SUM('[3]chd9-SAOB'!BX143)</f>
        <v>0</v>
      </c>
      <c r="M1016" s="103">
        <f t="shared" si="360"/>
        <v>0</v>
      </c>
      <c r="N1016" s="103">
        <f t="shared" si="366"/>
        <v>0</v>
      </c>
      <c r="O1016" s="103">
        <f t="shared" si="366"/>
        <v>0</v>
      </c>
      <c r="P1016" s="103">
        <f t="shared" si="366"/>
        <v>0</v>
      </c>
      <c r="Q1016" s="103">
        <f t="shared" si="367"/>
        <v>0</v>
      </c>
      <c r="S1016" s="730" t="str">
        <f t="shared" si="363"/>
        <v/>
      </c>
      <c r="T1016" s="730" t="str">
        <f t="shared" si="363"/>
        <v/>
      </c>
      <c r="U1016" s="730" t="str">
        <f t="shared" si="363"/>
        <v/>
      </c>
      <c r="V1016" s="730" t="str">
        <f t="shared" si="362"/>
        <v/>
      </c>
      <c r="W1016" s="531"/>
      <c r="X1016" s="236"/>
      <c r="Y1016" s="236" t="s">
        <v>598</v>
      </c>
      <c r="Z1016" s="236"/>
    </row>
    <row r="1017" spans="1:26" s="671" customFormat="1" ht="11.25" customHeight="1">
      <c r="A1017" s="246" t="s">
        <v>640</v>
      </c>
      <c r="B1017" s="235" t="s">
        <v>197</v>
      </c>
      <c r="C1017" s="1425" t="s">
        <v>314</v>
      </c>
      <c r="D1017" s="1426"/>
      <c r="E1017" s="1427"/>
      <c r="F1017" s="652">
        <f t="shared" ref="F1017:M1017" si="378">+F1007+F1009+F1011</f>
        <v>103394729</v>
      </c>
      <c r="G1017" s="652">
        <f t="shared" si="378"/>
        <v>304080411</v>
      </c>
      <c r="H1017" s="652">
        <f t="shared" si="378"/>
        <v>17095000</v>
      </c>
      <c r="I1017" s="652">
        <f t="shared" si="378"/>
        <v>424570140</v>
      </c>
      <c r="J1017" s="652">
        <f t="shared" si="378"/>
        <v>92598329.730000034</v>
      </c>
      <c r="K1017" s="652">
        <f t="shared" si="378"/>
        <v>147393053.22000003</v>
      </c>
      <c r="L1017" s="652">
        <f t="shared" si="378"/>
        <v>3882518.3200000003</v>
      </c>
      <c r="M1017" s="652">
        <f t="shared" si="378"/>
        <v>243873901.27000001</v>
      </c>
      <c r="N1017" s="652">
        <f t="shared" si="366"/>
        <v>10796399.269999966</v>
      </c>
      <c r="O1017" s="652">
        <f t="shared" si="366"/>
        <v>156687357.77999997</v>
      </c>
      <c r="P1017" s="652">
        <f t="shared" si="366"/>
        <v>13212481.68</v>
      </c>
      <c r="Q1017" s="652">
        <f t="shared" si="367"/>
        <v>180696238.72999996</v>
      </c>
      <c r="R1017" s="670">
        <f>+Q1017-'[3]chd9-SAOB'!DP179</f>
        <v>0</v>
      </c>
      <c r="S1017" s="1008">
        <f t="shared" si="363"/>
        <v>0.89558075760322398</v>
      </c>
      <c r="T1017" s="1008">
        <f t="shared" si="363"/>
        <v>0.48471735727823662</v>
      </c>
      <c r="U1017" s="1008">
        <f t="shared" si="363"/>
        <v>0.22711426264989765</v>
      </c>
      <c r="V1017" s="1008">
        <f t="shared" si="362"/>
        <v>0.57440191453407441</v>
      </c>
      <c r="W1017" s="254"/>
      <c r="X1017" s="237"/>
      <c r="Y1017" s="610" t="s">
        <v>598</v>
      </c>
      <c r="Z1017" s="241" t="s">
        <v>598</v>
      </c>
    </row>
    <row r="1018" spans="1:26" ht="11.25" customHeight="1">
      <c r="A1018" s="246" t="s">
        <v>640</v>
      </c>
      <c r="B1018" s="235" t="s">
        <v>197</v>
      </c>
      <c r="C1018" s="410"/>
      <c r="D1018" s="386"/>
      <c r="E1018" s="461"/>
      <c r="F1018" s="103"/>
      <c r="G1018" s="103"/>
      <c r="H1018" s="103"/>
      <c r="I1018" s="103">
        <f>SUM(F1018:H1018)</f>
        <v>0</v>
      </c>
      <c r="J1018" s="103"/>
      <c r="K1018" s="103"/>
      <c r="L1018" s="103"/>
      <c r="M1018" s="103">
        <f t="shared" si="360"/>
        <v>0</v>
      </c>
      <c r="N1018" s="103">
        <f t="shared" si="366"/>
        <v>0</v>
      </c>
      <c r="O1018" s="103">
        <f t="shared" si="366"/>
        <v>0</v>
      </c>
      <c r="P1018" s="103">
        <f t="shared" si="366"/>
        <v>0</v>
      </c>
      <c r="Q1018" s="103">
        <f t="shared" si="367"/>
        <v>0</v>
      </c>
      <c r="S1018" s="730" t="str">
        <f t="shared" si="363"/>
        <v/>
      </c>
      <c r="T1018" s="730" t="str">
        <f t="shared" si="363"/>
        <v/>
      </c>
      <c r="U1018" s="730" t="str">
        <f t="shared" si="363"/>
        <v/>
      </c>
      <c r="V1018" s="730" t="str">
        <f t="shared" si="362"/>
        <v/>
      </c>
      <c r="W1018" s="254"/>
      <c r="Y1018" s="610" t="s">
        <v>598</v>
      </c>
      <c r="Z1018" s="241" t="s">
        <v>598</v>
      </c>
    </row>
    <row r="1019" spans="1:26" ht="11.25" customHeight="1">
      <c r="A1019" s="246" t="s">
        <v>640</v>
      </c>
      <c r="B1019" s="235" t="s">
        <v>201</v>
      </c>
      <c r="C1019" s="410" t="s">
        <v>200</v>
      </c>
      <c r="D1019" s="386"/>
      <c r="E1019" s="461"/>
      <c r="F1019" s="103"/>
      <c r="G1019" s="103"/>
      <c r="H1019" s="103"/>
      <c r="I1019" s="103">
        <f>SUM(F1019:H1019)</f>
        <v>0</v>
      </c>
      <c r="J1019" s="103"/>
      <c r="K1019" s="103"/>
      <c r="L1019" s="103"/>
      <c r="M1019" s="103">
        <f t="shared" si="360"/>
        <v>0</v>
      </c>
      <c r="N1019" s="103">
        <f t="shared" si="366"/>
        <v>0</v>
      </c>
      <c r="O1019" s="103">
        <f t="shared" si="366"/>
        <v>0</v>
      </c>
      <c r="P1019" s="103">
        <f t="shared" si="366"/>
        <v>0</v>
      </c>
      <c r="Q1019" s="103">
        <f t="shared" si="367"/>
        <v>0</v>
      </c>
      <c r="S1019" s="730" t="str">
        <f t="shared" si="363"/>
        <v/>
      </c>
      <c r="T1019" s="730" t="str">
        <f t="shared" si="363"/>
        <v/>
      </c>
      <c r="U1019" s="730" t="str">
        <f t="shared" si="363"/>
        <v/>
      </c>
      <c r="V1019" s="730" t="str">
        <f t="shared" si="362"/>
        <v/>
      </c>
      <c r="W1019" s="254"/>
      <c r="Y1019" s="610" t="s">
        <v>598</v>
      </c>
      <c r="Z1019" s="241" t="s">
        <v>598</v>
      </c>
    </row>
    <row r="1020" spans="1:26" s="675" customFormat="1" ht="11.25" customHeight="1">
      <c r="A1020" s="528" t="s">
        <v>640</v>
      </c>
      <c r="B1020" s="528" t="s">
        <v>201</v>
      </c>
      <c r="C1020" s="407" t="s">
        <v>98</v>
      </c>
      <c r="D1020" s="655" t="s">
        <v>105</v>
      </c>
      <c r="E1020" s="408" t="s">
        <v>828</v>
      </c>
      <c r="F1020" s="673"/>
      <c r="G1020" s="673"/>
      <c r="H1020" s="673"/>
      <c r="I1020" s="674"/>
      <c r="J1020" s="673"/>
      <c r="K1020" s="673"/>
      <c r="L1020" s="673"/>
      <c r="M1020" s="674"/>
      <c r="N1020" s="674">
        <f t="shared" si="366"/>
        <v>0</v>
      </c>
      <c r="O1020" s="674">
        <f t="shared" si="366"/>
        <v>0</v>
      </c>
      <c r="P1020" s="674">
        <f t="shared" si="366"/>
        <v>0</v>
      </c>
      <c r="Q1020" s="674">
        <f t="shared" si="367"/>
        <v>0</v>
      </c>
      <c r="R1020" s="101"/>
      <c r="S1020" s="254" t="str">
        <f t="shared" si="363"/>
        <v/>
      </c>
      <c r="T1020" s="254" t="str">
        <f t="shared" si="363"/>
        <v/>
      </c>
      <c r="U1020" s="254" t="str">
        <f t="shared" si="363"/>
        <v/>
      </c>
      <c r="V1020" s="254" t="str">
        <f t="shared" si="362"/>
        <v/>
      </c>
      <c r="W1020" s="531"/>
      <c r="Y1020" s="272" t="s">
        <v>598</v>
      </c>
      <c r="Z1020" s="260" t="s">
        <v>598</v>
      </c>
    </row>
    <row r="1021" spans="1:26" ht="11.25" customHeight="1">
      <c r="A1021" s="528" t="s">
        <v>640</v>
      </c>
      <c r="B1021" s="1013" t="s">
        <v>201</v>
      </c>
      <c r="C1021" s="461"/>
      <c r="D1021" s="645" t="s">
        <v>766</v>
      </c>
      <c r="E1021" s="447" t="s">
        <v>766</v>
      </c>
      <c r="F1021" s="1017">
        <f>+'[3]chd9-SAOB'!C387</f>
        <v>150073000</v>
      </c>
      <c r="G1021" s="1017">
        <f>+'[3]chd9-SAOB'!D387</f>
        <v>54463000</v>
      </c>
      <c r="H1021" s="1017">
        <f>+'[3]chd9-SAOB'!E387</f>
        <v>0</v>
      </c>
      <c r="I1021" s="103">
        <f>SUM(F1021:H1021)</f>
        <v>204536000</v>
      </c>
      <c r="J1021" s="1017">
        <f>+'[3]chd9-SAOB'!G387</f>
        <v>138689701.17000005</v>
      </c>
      <c r="K1021" s="1017">
        <f>+'[3]chd9-SAOB'!H387</f>
        <v>44679390.319999993</v>
      </c>
      <c r="L1021" s="1017">
        <f>+'[3]chd9-SAOB'!I387</f>
        <v>0</v>
      </c>
      <c r="M1021" s="103">
        <f t="shared" si="360"/>
        <v>183369091.49000004</v>
      </c>
      <c r="N1021" s="103">
        <f t="shared" si="366"/>
        <v>11383298.829999954</v>
      </c>
      <c r="O1021" s="103">
        <f t="shared" si="366"/>
        <v>9783609.6800000072</v>
      </c>
      <c r="P1021" s="103">
        <f t="shared" si="366"/>
        <v>0</v>
      </c>
      <c r="Q1021" s="103">
        <f t="shared" si="367"/>
        <v>21166908.509999961</v>
      </c>
      <c r="S1021" s="730">
        <f t="shared" si="363"/>
        <v>0.92414825564891778</v>
      </c>
      <c r="T1021" s="730">
        <f t="shared" si="363"/>
        <v>0.82036227016506602</v>
      </c>
      <c r="U1021" s="730" t="str">
        <f t="shared" si="363"/>
        <v/>
      </c>
      <c r="V1021" s="730">
        <f t="shared" si="362"/>
        <v>0.89651255275354969</v>
      </c>
      <c r="W1021" s="531"/>
      <c r="X1021" s="236"/>
      <c r="Y1021" s="236" t="s">
        <v>688</v>
      </c>
      <c r="Z1021" s="236"/>
    </row>
    <row r="1022" spans="1:26" ht="11.25" customHeight="1">
      <c r="A1022" s="528" t="s">
        <v>640</v>
      </c>
      <c r="B1022" s="1013" t="s">
        <v>201</v>
      </c>
      <c r="C1022" s="728"/>
      <c r="D1022" s="649" t="s">
        <v>50</v>
      </c>
      <c r="E1022" s="447" t="s">
        <v>50</v>
      </c>
      <c r="F1022" s="1017"/>
      <c r="G1022" s="1017">
        <f>+'[3]chd9-SAOB'!D389</f>
        <v>25253800</v>
      </c>
      <c r="H1022" s="1017">
        <f>+'[3]chd9-SAOB'!E389</f>
        <v>150000000</v>
      </c>
      <c r="I1022" s="103">
        <f>SUM(F1022:H1022)</f>
        <v>175253800</v>
      </c>
      <c r="J1022" s="1017"/>
      <c r="K1022" s="1017">
        <f>+'[3]chd9-SAOB'!H389</f>
        <v>18441368.519999996</v>
      </c>
      <c r="L1022" s="1017">
        <f>+'[3]chd9-SAOB'!I389</f>
        <v>148351064.53999999</v>
      </c>
      <c r="M1022" s="103">
        <f>SUM(J1022:L1022)</f>
        <v>166792433.06</v>
      </c>
      <c r="N1022" s="103">
        <f t="shared" si="366"/>
        <v>0</v>
      </c>
      <c r="O1022" s="103">
        <f t="shared" si="366"/>
        <v>6812431.4800000042</v>
      </c>
      <c r="P1022" s="103">
        <f t="shared" si="366"/>
        <v>1648935.4600000083</v>
      </c>
      <c r="Q1022" s="103">
        <f t="shared" si="367"/>
        <v>8461366.9400000125</v>
      </c>
      <c r="S1022" s="730" t="str">
        <f t="shared" si="363"/>
        <v/>
      </c>
      <c r="T1022" s="730">
        <f t="shared" si="363"/>
        <v>0.73024133080962061</v>
      </c>
      <c r="U1022" s="730">
        <f t="shared" si="363"/>
        <v>0.98900709693333333</v>
      </c>
      <c r="V1022" s="730">
        <f t="shared" si="362"/>
        <v>0.95171935250476736</v>
      </c>
      <c r="W1022" s="531"/>
      <c r="X1022" s="236"/>
      <c r="Y1022" s="236" t="s">
        <v>688</v>
      </c>
      <c r="Z1022" s="236"/>
    </row>
    <row r="1023" spans="1:26" s="256" customFormat="1" ht="11.25" customHeight="1">
      <c r="A1023" s="528" t="s">
        <v>640</v>
      </c>
      <c r="B1023" s="528" t="s">
        <v>201</v>
      </c>
      <c r="C1023" s="389"/>
      <c r="D1023" s="650" t="s">
        <v>98</v>
      </c>
      <c r="E1023" s="390" t="s">
        <v>767</v>
      </c>
      <c r="F1023" s="391">
        <f>+F1021+F1022</f>
        <v>150073000</v>
      </c>
      <c r="G1023" s="391">
        <f t="shared" ref="G1023:M1023" si="379">+G1021+G1022</f>
        <v>79716800</v>
      </c>
      <c r="H1023" s="391">
        <f t="shared" si="379"/>
        <v>150000000</v>
      </c>
      <c r="I1023" s="391">
        <f t="shared" si="379"/>
        <v>379789800</v>
      </c>
      <c r="J1023" s="391">
        <f t="shared" si="379"/>
        <v>138689701.17000005</v>
      </c>
      <c r="K1023" s="391">
        <f t="shared" si="379"/>
        <v>63120758.839999989</v>
      </c>
      <c r="L1023" s="391">
        <f t="shared" si="379"/>
        <v>148351064.53999999</v>
      </c>
      <c r="M1023" s="391">
        <f t="shared" si="379"/>
        <v>350161524.55000007</v>
      </c>
      <c r="N1023" s="391">
        <f t="shared" si="366"/>
        <v>11383298.829999954</v>
      </c>
      <c r="O1023" s="391">
        <f t="shared" si="366"/>
        <v>16596041.160000011</v>
      </c>
      <c r="P1023" s="391">
        <f t="shared" si="366"/>
        <v>1648935.4600000083</v>
      </c>
      <c r="Q1023" s="391">
        <f t="shared" si="367"/>
        <v>29628275.449999973</v>
      </c>
      <c r="R1023" s="101"/>
      <c r="S1023" s="254">
        <f t="shared" si="363"/>
        <v>0.92414825564891778</v>
      </c>
      <c r="T1023" s="254">
        <f t="shared" si="363"/>
        <v>0.79181250175621687</v>
      </c>
      <c r="U1023" s="254">
        <f t="shared" si="363"/>
        <v>0.98900709693333333</v>
      </c>
      <c r="V1023" s="254">
        <f t="shared" si="362"/>
        <v>0.92198770095984695</v>
      </c>
      <c r="W1023" s="531"/>
      <c r="Y1023" s="256" t="s">
        <v>598</v>
      </c>
      <c r="Z1023" s="256" t="s">
        <v>598</v>
      </c>
    </row>
    <row r="1024" spans="1:26" ht="11.25" hidden="1" customHeight="1">
      <c r="A1024" s="528" t="s">
        <v>640</v>
      </c>
      <c r="B1024" s="1013" t="s">
        <v>201</v>
      </c>
      <c r="C1024" s="410"/>
      <c r="D1024" s="651"/>
      <c r="E1024" s="806" t="s">
        <v>764</v>
      </c>
      <c r="F1024" s="807"/>
      <c r="G1024" s="807"/>
      <c r="H1024" s="807"/>
      <c r="I1024" s="807"/>
      <c r="J1024" s="807"/>
      <c r="K1024" s="807"/>
      <c r="L1024" s="807"/>
      <c r="M1024" s="807"/>
      <c r="N1024" s="807">
        <f t="shared" si="366"/>
        <v>0</v>
      </c>
      <c r="O1024" s="807">
        <f t="shared" si="366"/>
        <v>0</v>
      </c>
      <c r="P1024" s="807">
        <f t="shared" si="366"/>
        <v>0</v>
      </c>
      <c r="Q1024" s="807">
        <f t="shared" si="367"/>
        <v>0</v>
      </c>
      <c r="R1024" s="276"/>
      <c r="S1024" s="730" t="str">
        <f t="shared" si="363"/>
        <v/>
      </c>
      <c r="T1024" s="730" t="str">
        <f t="shared" si="363"/>
        <v/>
      </c>
      <c r="U1024" s="730" t="str">
        <f t="shared" si="363"/>
        <v/>
      </c>
      <c r="V1024" s="730" t="str">
        <f t="shared" si="362"/>
        <v/>
      </c>
      <c r="W1024" s="531"/>
      <c r="X1024" s="236"/>
      <c r="Y1024" s="236"/>
      <c r="Z1024" s="236"/>
    </row>
    <row r="1025" spans="1:26" s="256" customFormat="1" ht="11.25" customHeight="1">
      <c r="A1025" s="528" t="s">
        <v>640</v>
      </c>
      <c r="B1025" s="528" t="s">
        <v>201</v>
      </c>
      <c r="C1025" s="389"/>
      <c r="D1025" s="650" t="s">
        <v>98</v>
      </c>
      <c r="E1025" s="390" t="s">
        <v>99</v>
      </c>
      <c r="F1025" s="391">
        <f>+F1026</f>
        <v>14178000</v>
      </c>
      <c r="G1025" s="391">
        <f t="shared" ref="G1025:M1025" si="380">+G1026</f>
        <v>0</v>
      </c>
      <c r="H1025" s="391">
        <f t="shared" si="380"/>
        <v>0</v>
      </c>
      <c r="I1025" s="391">
        <f t="shared" si="380"/>
        <v>14178000</v>
      </c>
      <c r="J1025" s="391">
        <f t="shared" si="380"/>
        <v>12718883.629999999</v>
      </c>
      <c r="K1025" s="391">
        <f t="shared" si="380"/>
        <v>0</v>
      </c>
      <c r="L1025" s="391">
        <f t="shared" si="380"/>
        <v>0</v>
      </c>
      <c r="M1025" s="391">
        <f t="shared" si="380"/>
        <v>12718883.629999999</v>
      </c>
      <c r="N1025" s="391">
        <f t="shared" si="366"/>
        <v>1459116.370000001</v>
      </c>
      <c r="O1025" s="391">
        <f t="shared" si="366"/>
        <v>0</v>
      </c>
      <c r="P1025" s="391">
        <f t="shared" si="366"/>
        <v>0</v>
      </c>
      <c r="Q1025" s="391">
        <f t="shared" si="367"/>
        <v>1459116.370000001</v>
      </c>
      <c r="R1025" s="101"/>
      <c r="S1025" s="254">
        <f t="shared" si="363"/>
        <v>0.89708588164762304</v>
      </c>
      <c r="T1025" s="254" t="str">
        <f t="shared" si="363"/>
        <v/>
      </c>
      <c r="U1025" s="254" t="str">
        <f t="shared" si="363"/>
        <v/>
      </c>
      <c r="V1025" s="254">
        <f t="shared" si="362"/>
        <v>0.89708588164762304</v>
      </c>
      <c r="W1025" s="531"/>
      <c r="Y1025" s="256" t="s">
        <v>598</v>
      </c>
      <c r="Z1025" s="256" t="s">
        <v>598</v>
      </c>
    </row>
    <row r="1026" spans="1:26" ht="11.25" customHeight="1">
      <c r="A1026" s="528" t="s">
        <v>640</v>
      </c>
      <c r="B1026" s="1013" t="s">
        <v>201</v>
      </c>
      <c r="C1026" s="728"/>
      <c r="D1026" s="649" t="s">
        <v>286</v>
      </c>
      <c r="E1026" s="729" t="s">
        <v>286</v>
      </c>
      <c r="F1026" s="103">
        <f>SUM('[3]chd9-SAOB'!AU14)</f>
        <v>14178000</v>
      </c>
      <c r="G1026" s="103">
        <f>SUM('[3]chd9-SAOB'!AU50)</f>
        <v>0</v>
      </c>
      <c r="H1026" s="103">
        <f>SUM('[3]chd9-SAOB'!AU142)</f>
        <v>0</v>
      </c>
      <c r="I1026" s="103">
        <f>SUM(F1026:H1026)</f>
        <v>14178000</v>
      </c>
      <c r="J1026" s="103">
        <f>SUM('[3]chd9-SAOB'!AU15)</f>
        <v>12718883.629999999</v>
      </c>
      <c r="K1026" s="103">
        <f>SUM('[3]chd9-SAOB'!AU51)</f>
        <v>0</v>
      </c>
      <c r="L1026" s="103">
        <f>SUM('[3]chd9-SAOB'!AU143)</f>
        <v>0</v>
      </c>
      <c r="M1026" s="103">
        <f t="shared" si="360"/>
        <v>12718883.629999999</v>
      </c>
      <c r="N1026" s="103">
        <f t="shared" si="366"/>
        <v>1459116.370000001</v>
      </c>
      <c r="O1026" s="103">
        <f t="shared" si="366"/>
        <v>0</v>
      </c>
      <c r="P1026" s="103">
        <f t="shared" si="366"/>
        <v>0</v>
      </c>
      <c r="Q1026" s="103">
        <f t="shared" si="367"/>
        <v>1459116.370000001</v>
      </c>
      <c r="S1026" s="730">
        <f t="shared" si="363"/>
        <v>0.89708588164762304</v>
      </c>
      <c r="T1026" s="730" t="str">
        <f t="shared" si="363"/>
        <v/>
      </c>
      <c r="U1026" s="730" t="str">
        <f t="shared" si="363"/>
        <v/>
      </c>
      <c r="V1026" s="730">
        <f t="shared" si="362"/>
        <v>0.89708588164762304</v>
      </c>
      <c r="W1026" s="531"/>
      <c r="X1026" s="236"/>
      <c r="Y1026" s="236" t="s">
        <v>598</v>
      </c>
      <c r="Z1026" s="236"/>
    </row>
    <row r="1027" spans="1:26" s="272" customFormat="1" ht="11.25" customHeight="1">
      <c r="A1027" s="528" t="s">
        <v>640</v>
      </c>
      <c r="B1027" s="528" t="s">
        <v>201</v>
      </c>
      <c r="C1027" s="389"/>
      <c r="D1027" s="650" t="s">
        <v>98</v>
      </c>
      <c r="E1027" s="390" t="s">
        <v>100</v>
      </c>
      <c r="F1027" s="391">
        <f t="shared" ref="F1027:M1027" si="381">SUM(F1028:F1032)</f>
        <v>5188045</v>
      </c>
      <c r="G1027" s="391">
        <f t="shared" si="381"/>
        <v>10125000</v>
      </c>
      <c r="H1027" s="391">
        <f t="shared" si="381"/>
        <v>4500000</v>
      </c>
      <c r="I1027" s="391">
        <f t="shared" si="381"/>
        <v>19813045</v>
      </c>
      <c r="J1027" s="391">
        <f t="shared" si="381"/>
        <v>5120542.9800000004</v>
      </c>
      <c r="K1027" s="391">
        <f t="shared" si="381"/>
        <v>4863210.55</v>
      </c>
      <c r="L1027" s="391">
        <f t="shared" si="381"/>
        <v>0</v>
      </c>
      <c r="M1027" s="391">
        <f t="shared" si="381"/>
        <v>9983753.5300000012</v>
      </c>
      <c r="N1027" s="391">
        <f t="shared" si="366"/>
        <v>67502.019999999553</v>
      </c>
      <c r="O1027" s="391">
        <f t="shared" si="366"/>
        <v>5261789.45</v>
      </c>
      <c r="P1027" s="391">
        <f t="shared" si="366"/>
        <v>4500000</v>
      </c>
      <c r="Q1027" s="391">
        <f t="shared" si="367"/>
        <v>9829291.4699999988</v>
      </c>
      <c r="R1027" s="102"/>
      <c r="S1027" s="254">
        <f t="shared" si="363"/>
        <v>0.98698892935585569</v>
      </c>
      <c r="T1027" s="254">
        <f t="shared" si="363"/>
        <v>0.48031709135802469</v>
      </c>
      <c r="U1027" s="254">
        <f t="shared" si="363"/>
        <v>0</v>
      </c>
      <c r="V1027" s="254">
        <f t="shared" si="362"/>
        <v>0.50389798892598292</v>
      </c>
      <c r="W1027" s="531"/>
      <c r="Y1027" s="272" t="s">
        <v>598</v>
      </c>
      <c r="Z1027" s="256" t="s">
        <v>598</v>
      </c>
    </row>
    <row r="1028" spans="1:26" ht="11.25" customHeight="1">
      <c r="A1028" s="528" t="s">
        <v>640</v>
      </c>
      <c r="B1028" s="1013" t="s">
        <v>201</v>
      </c>
      <c r="C1028" s="728"/>
      <c r="D1028" s="649" t="s">
        <v>288</v>
      </c>
      <c r="E1028" s="729" t="s">
        <v>288</v>
      </c>
      <c r="F1028" s="103">
        <f>SUM('[3]chd9-SAOB'!BE14)</f>
        <v>0</v>
      </c>
      <c r="G1028" s="103">
        <f>SUM('[3]chd9-SAOB'!BE50)</f>
        <v>0</v>
      </c>
      <c r="H1028" s="103">
        <f>SUM('[3]chd9-SAOB'!BE142)</f>
        <v>0</v>
      </c>
      <c r="I1028" s="103">
        <f>SUM(F1028:H1028)</f>
        <v>0</v>
      </c>
      <c r="J1028" s="103">
        <f>SUM('[3]chd9-SAOB'!BE15)</f>
        <v>0</v>
      </c>
      <c r="K1028" s="103">
        <f>SUM('[3]chd9-SAOB'!BE51)</f>
        <v>0</v>
      </c>
      <c r="L1028" s="103">
        <f>SUM('[3]chd9-SAOB'!BE143)</f>
        <v>0</v>
      </c>
      <c r="M1028" s="103">
        <f t="shared" si="360"/>
        <v>0</v>
      </c>
      <c r="N1028" s="103">
        <f t="shared" si="366"/>
        <v>0</v>
      </c>
      <c r="O1028" s="103">
        <f t="shared" si="366"/>
        <v>0</v>
      </c>
      <c r="P1028" s="103">
        <f t="shared" si="366"/>
        <v>0</v>
      </c>
      <c r="Q1028" s="103">
        <f t="shared" si="367"/>
        <v>0</v>
      </c>
      <c r="S1028" s="730" t="str">
        <f t="shared" si="363"/>
        <v/>
      </c>
      <c r="T1028" s="730" t="str">
        <f t="shared" si="363"/>
        <v/>
      </c>
      <c r="U1028" s="730" t="str">
        <f t="shared" si="363"/>
        <v/>
      </c>
      <c r="V1028" s="730" t="str">
        <f t="shared" si="362"/>
        <v/>
      </c>
      <c r="W1028" s="531"/>
      <c r="X1028" s="236"/>
      <c r="Y1028" s="236" t="s">
        <v>598</v>
      </c>
      <c r="Z1028" s="236"/>
    </row>
    <row r="1029" spans="1:26" ht="11.25" customHeight="1">
      <c r="A1029" s="528" t="s">
        <v>640</v>
      </c>
      <c r="B1029" s="1013" t="s">
        <v>201</v>
      </c>
      <c r="C1029" s="728"/>
      <c r="D1029" s="649" t="s">
        <v>761</v>
      </c>
      <c r="E1029" s="729" t="s">
        <v>761</v>
      </c>
      <c r="F1029" s="104">
        <f>+'[3]chd9-SAOB'!C389</f>
        <v>2845000</v>
      </c>
      <c r="G1029" s="104"/>
      <c r="H1029" s="104"/>
      <c r="I1029" s="103">
        <f>SUM(F1029:H1029)</f>
        <v>2845000</v>
      </c>
      <c r="J1029" s="104">
        <f>+'[3]chd9-SAOB'!G389</f>
        <v>2777500</v>
      </c>
      <c r="K1029" s="104"/>
      <c r="L1029" s="104"/>
      <c r="M1029" s="103">
        <f>SUM(J1029:L1029)</f>
        <v>2777500</v>
      </c>
      <c r="N1029" s="103">
        <f>+F1029-J1029</f>
        <v>67500</v>
      </c>
      <c r="O1029" s="103">
        <f t="shared" si="366"/>
        <v>0</v>
      </c>
      <c r="P1029" s="103">
        <f t="shared" si="366"/>
        <v>0</v>
      </c>
      <c r="Q1029" s="103">
        <f>SUM(N1029:P1029)</f>
        <v>67500</v>
      </c>
      <c r="S1029" s="730">
        <f t="shared" si="363"/>
        <v>0.97627416520210897</v>
      </c>
      <c r="T1029" s="730" t="str">
        <f t="shared" si="363"/>
        <v/>
      </c>
      <c r="U1029" s="730" t="str">
        <f t="shared" si="363"/>
        <v/>
      </c>
      <c r="V1029" s="730">
        <f t="shared" si="362"/>
        <v>0.97627416520210897</v>
      </c>
      <c r="W1029" s="531"/>
      <c r="X1029" s="236"/>
      <c r="Y1029" s="236" t="s">
        <v>688</v>
      </c>
      <c r="Z1029" s="236"/>
    </row>
    <row r="1030" spans="1:26" ht="11.25" customHeight="1">
      <c r="A1030" s="528" t="s">
        <v>640</v>
      </c>
      <c r="B1030" s="1013" t="s">
        <v>201</v>
      </c>
      <c r="C1030" s="410"/>
      <c r="D1030" s="647"/>
      <c r="E1030" s="461" t="s">
        <v>764</v>
      </c>
      <c r="F1030" s="104"/>
      <c r="G1030" s="104"/>
      <c r="H1030" s="104"/>
      <c r="I1030" s="103"/>
      <c r="J1030" s="104"/>
      <c r="K1030" s="104"/>
      <c r="L1030" s="104"/>
      <c r="M1030" s="103"/>
      <c r="N1030" s="103"/>
      <c r="O1030" s="103"/>
      <c r="P1030" s="103"/>
      <c r="Q1030" s="103"/>
      <c r="S1030" s="730" t="str">
        <f t="shared" si="363"/>
        <v/>
      </c>
      <c r="T1030" s="730" t="str">
        <f t="shared" si="363"/>
        <v/>
      </c>
      <c r="U1030" s="730" t="str">
        <f t="shared" si="363"/>
        <v/>
      </c>
      <c r="V1030" s="730" t="str">
        <f t="shared" si="362"/>
        <v/>
      </c>
      <c r="W1030" s="531"/>
      <c r="X1030" s="236"/>
      <c r="Y1030" s="236" t="s">
        <v>688</v>
      </c>
      <c r="Z1030" s="240"/>
    </row>
    <row r="1031" spans="1:26" ht="11.25" customHeight="1">
      <c r="A1031" s="528" t="s">
        <v>640</v>
      </c>
      <c r="B1031" s="1013" t="s">
        <v>201</v>
      </c>
      <c r="C1031" s="728"/>
      <c r="D1031" s="649" t="s">
        <v>289</v>
      </c>
      <c r="E1031" s="729" t="s">
        <v>289</v>
      </c>
      <c r="F1031" s="103">
        <f>SUM('[3]chd9-SAOB'!BO14)</f>
        <v>2343045</v>
      </c>
      <c r="G1031" s="103">
        <f>SUM('[3]chd9-SAOB'!BO50)</f>
        <v>0</v>
      </c>
      <c r="H1031" s="103">
        <f>SUM('[3]chd9-SAOB'!BO142)</f>
        <v>0</v>
      </c>
      <c r="I1031" s="103">
        <f>SUM(F1031:H1031)</f>
        <v>2343045</v>
      </c>
      <c r="J1031" s="103">
        <f>SUM('[3]chd9-SAOB'!BO15)</f>
        <v>2343042.98</v>
      </c>
      <c r="K1031" s="103">
        <f>SUM('[3]chd9-SAOB'!BO51)</f>
        <v>0</v>
      </c>
      <c r="L1031" s="103">
        <f>SUM('[3]chd9-SAOB'!BO143)</f>
        <v>0</v>
      </c>
      <c r="M1031" s="103">
        <f t="shared" si="360"/>
        <v>2343042.98</v>
      </c>
      <c r="N1031" s="103">
        <f t="shared" si="366"/>
        <v>2.0200000000186265</v>
      </c>
      <c r="O1031" s="103">
        <f t="shared" si="366"/>
        <v>0</v>
      </c>
      <c r="P1031" s="103">
        <f t="shared" si="366"/>
        <v>0</v>
      </c>
      <c r="Q1031" s="103">
        <f t="shared" si="367"/>
        <v>2.0200000000186265</v>
      </c>
      <c r="S1031" s="730">
        <f t="shared" si="363"/>
        <v>0.99999913787400585</v>
      </c>
      <c r="T1031" s="730" t="str">
        <f t="shared" si="363"/>
        <v/>
      </c>
      <c r="U1031" s="730" t="str">
        <f t="shared" si="363"/>
        <v/>
      </c>
      <c r="V1031" s="730">
        <f t="shared" si="362"/>
        <v>0.99999913787400585</v>
      </c>
      <c r="W1031" s="531"/>
      <c r="X1031" s="236"/>
      <c r="Y1031" s="236" t="s">
        <v>598</v>
      </c>
      <c r="Z1031" s="236"/>
    </row>
    <row r="1032" spans="1:26" ht="11.25" customHeight="1">
      <c r="A1032" s="528" t="s">
        <v>640</v>
      </c>
      <c r="B1032" s="1013" t="s">
        <v>201</v>
      </c>
      <c r="C1032" s="728"/>
      <c r="D1032" s="649" t="s">
        <v>290</v>
      </c>
      <c r="E1032" s="729" t="s">
        <v>290</v>
      </c>
      <c r="F1032" s="103">
        <f>SUM('[3]chd9-SAOB'!BY14)</f>
        <v>0</v>
      </c>
      <c r="G1032" s="103">
        <f>SUM('[3]chd9-SAOB'!BY50)</f>
        <v>10125000</v>
      </c>
      <c r="H1032" s="103">
        <f>SUM('[3]chd9-SAOB'!BY142)</f>
        <v>4500000</v>
      </c>
      <c r="I1032" s="103">
        <f>SUM(F1032:H1032)</f>
        <v>14625000</v>
      </c>
      <c r="J1032" s="103">
        <f>SUM('[3]chd9-SAOB'!BY15)</f>
        <v>0</v>
      </c>
      <c r="K1032" s="103">
        <f>SUM('[3]chd9-SAOB'!BY51)</f>
        <v>4863210.55</v>
      </c>
      <c r="L1032" s="103">
        <f>SUM('[3]chd9-SAOB'!BY143)</f>
        <v>0</v>
      </c>
      <c r="M1032" s="103">
        <f t="shared" si="360"/>
        <v>4863210.55</v>
      </c>
      <c r="N1032" s="103">
        <f t="shared" si="366"/>
        <v>0</v>
      </c>
      <c r="O1032" s="103">
        <f t="shared" si="366"/>
        <v>5261789.45</v>
      </c>
      <c r="P1032" s="103">
        <f t="shared" si="366"/>
        <v>4500000</v>
      </c>
      <c r="Q1032" s="103">
        <f t="shared" si="367"/>
        <v>9761789.4499999993</v>
      </c>
      <c r="S1032" s="730" t="str">
        <f t="shared" si="363"/>
        <v/>
      </c>
      <c r="T1032" s="730">
        <f t="shared" si="363"/>
        <v>0.48031709135802469</v>
      </c>
      <c r="U1032" s="730">
        <f t="shared" si="363"/>
        <v>0</v>
      </c>
      <c r="V1032" s="730">
        <f t="shared" si="362"/>
        <v>0.33252721709401706</v>
      </c>
      <c r="W1032" s="531"/>
      <c r="X1032" s="236"/>
      <c r="Y1032" s="236" t="s">
        <v>598</v>
      </c>
      <c r="Z1032" s="236"/>
    </row>
    <row r="1033" spans="1:26" s="259" customFormat="1" ht="11.25" customHeight="1">
      <c r="A1033" s="246" t="s">
        <v>640</v>
      </c>
      <c r="B1033" s="235" t="s">
        <v>201</v>
      </c>
      <c r="C1033" s="656"/>
      <c r="D1033" s="656"/>
      <c r="E1033" s="657" t="s">
        <v>4</v>
      </c>
      <c r="F1033" s="652">
        <f>+F1023+F1025+F1027</f>
        <v>169439045</v>
      </c>
      <c r="G1033" s="652">
        <f t="shared" ref="G1033:M1033" si="382">+G1023+G1025+G1027</f>
        <v>89841800</v>
      </c>
      <c r="H1033" s="652">
        <f t="shared" si="382"/>
        <v>154500000</v>
      </c>
      <c r="I1033" s="652">
        <f t="shared" si="382"/>
        <v>413780845</v>
      </c>
      <c r="J1033" s="652">
        <f t="shared" si="382"/>
        <v>156529127.78000003</v>
      </c>
      <c r="K1033" s="652">
        <f t="shared" si="382"/>
        <v>67983969.389999986</v>
      </c>
      <c r="L1033" s="652">
        <f t="shared" si="382"/>
        <v>148351064.53999999</v>
      </c>
      <c r="M1033" s="652">
        <f t="shared" si="382"/>
        <v>372864161.71000004</v>
      </c>
      <c r="N1033" s="652">
        <f t="shared" si="366"/>
        <v>12909917.219999969</v>
      </c>
      <c r="O1033" s="652">
        <f t="shared" si="366"/>
        <v>21857830.610000014</v>
      </c>
      <c r="P1033" s="652">
        <f t="shared" si="366"/>
        <v>6148935.4600000083</v>
      </c>
      <c r="Q1033" s="652">
        <f t="shared" si="367"/>
        <v>40916683.289999992</v>
      </c>
      <c r="R1033" s="653">
        <f>+Q1033-'[3]chd9-SAOB'!DQ179</f>
        <v>0</v>
      </c>
      <c r="S1033" s="1008">
        <f t="shared" si="363"/>
        <v>0.92380789669819041</v>
      </c>
      <c r="T1033" s="1008">
        <f t="shared" si="363"/>
        <v>0.75670756140237605</v>
      </c>
      <c r="U1033" s="1008">
        <f t="shared" si="363"/>
        <v>0.96020106498381874</v>
      </c>
      <c r="V1033" s="1008">
        <f t="shared" si="362"/>
        <v>0.90111508595812362</v>
      </c>
      <c r="W1033" s="254"/>
      <c r="X1033" s="520"/>
      <c r="Y1033" s="610" t="s">
        <v>598</v>
      </c>
      <c r="Z1033" s="241" t="s">
        <v>598</v>
      </c>
    </row>
    <row r="1034" spans="1:26" ht="11.25" customHeight="1">
      <c r="A1034" s="246" t="s">
        <v>640</v>
      </c>
      <c r="B1034" s="235" t="s">
        <v>201</v>
      </c>
      <c r="C1034" s="410"/>
      <c r="D1034" s="386"/>
      <c r="E1034" s="461" t="s">
        <v>764</v>
      </c>
      <c r="F1034" s="103"/>
      <c r="G1034" s="103"/>
      <c r="H1034" s="103"/>
      <c r="I1034" s="103">
        <f>SUM(F1034:H1034)</f>
        <v>0</v>
      </c>
      <c r="J1034" s="103"/>
      <c r="K1034" s="103"/>
      <c r="L1034" s="103"/>
      <c r="M1034" s="103">
        <f t="shared" si="360"/>
        <v>0</v>
      </c>
      <c r="N1034" s="103">
        <f t="shared" si="366"/>
        <v>0</v>
      </c>
      <c r="O1034" s="103">
        <f t="shared" si="366"/>
        <v>0</v>
      </c>
      <c r="P1034" s="103">
        <f t="shared" si="366"/>
        <v>0</v>
      </c>
      <c r="Q1034" s="103">
        <f t="shared" si="367"/>
        <v>0</v>
      </c>
      <c r="S1034" s="730" t="str">
        <f t="shared" si="363"/>
        <v/>
      </c>
      <c r="T1034" s="730" t="str">
        <f t="shared" si="363"/>
        <v/>
      </c>
      <c r="U1034" s="730" t="str">
        <f t="shared" si="363"/>
        <v/>
      </c>
      <c r="V1034" s="730" t="str">
        <f t="shared" si="362"/>
        <v/>
      </c>
      <c r="W1034" s="254"/>
      <c r="Y1034" s="610" t="s">
        <v>598</v>
      </c>
      <c r="Z1034" s="241" t="s">
        <v>598</v>
      </c>
    </row>
    <row r="1035" spans="1:26" s="675" customFormat="1" ht="11.25" customHeight="1">
      <c r="A1035" s="528" t="s">
        <v>640</v>
      </c>
      <c r="B1035" s="528" t="s">
        <v>203</v>
      </c>
      <c r="C1035" s="407" t="s">
        <v>98</v>
      </c>
      <c r="D1035" s="655" t="s">
        <v>107</v>
      </c>
      <c r="E1035" s="408" t="s">
        <v>829</v>
      </c>
      <c r="F1035" s="673"/>
      <c r="G1035" s="673"/>
      <c r="H1035" s="673"/>
      <c r="I1035" s="674">
        <f>SUM(F1035:H1035)</f>
        <v>0</v>
      </c>
      <c r="J1035" s="673"/>
      <c r="K1035" s="673"/>
      <c r="L1035" s="673"/>
      <c r="M1035" s="674">
        <f t="shared" si="360"/>
        <v>0</v>
      </c>
      <c r="N1035" s="674">
        <f t="shared" si="366"/>
        <v>0</v>
      </c>
      <c r="O1035" s="674">
        <f t="shared" si="366"/>
        <v>0</v>
      </c>
      <c r="P1035" s="674">
        <f t="shared" si="366"/>
        <v>0</v>
      </c>
      <c r="Q1035" s="674">
        <f t="shared" si="367"/>
        <v>0</v>
      </c>
      <c r="R1035" s="101"/>
      <c r="S1035" s="254" t="str">
        <f t="shared" si="363"/>
        <v/>
      </c>
      <c r="T1035" s="254" t="str">
        <f t="shared" si="363"/>
        <v/>
      </c>
      <c r="U1035" s="254" t="str">
        <f t="shared" si="363"/>
        <v/>
      </c>
      <c r="V1035" s="254" t="str">
        <f t="shared" si="362"/>
        <v/>
      </c>
      <c r="W1035" s="531"/>
      <c r="Y1035" s="272" t="s">
        <v>598</v>
      </c>
      <c r="Z1035" s="260" t="s">
        <v>598</v>
      </c>
    </row>
    <row r="1036" spans="1:26" ht="11.25" customHeight="1">
      <c r="A1036" s="528" t="s">
        <v>640</v>
      </c>
      <c r="B1036" s="1013" t="s">
        <v>203</v>
      </c>
      <c r="C1036" s="461"/>
      <c r="D1036" s="645" t="s">
        <v>766</v>
      </c>
      <c r="E1036" s="447" t="s">
        <v>766</v>
      </c>
      <c r="F1036" s="104">
        <f>+'[3]chd9-SAOB'!C394</f>
        <v>14833000</v>
      </c>
      <c r="G1036" s="104">
        <f>+'[3]chd9-SAOB'!D394</f>
        <v>15799000</v>
      </c>
      <c r="H1036" s="104">
        <f>+'[3]chd9-SAOB'!E394</f>
        <v>0</v>
      </c>
      <c r="I1036" s="103">
        <f>SUM(F1036:H1036)</f>
        <v>30632000</v>
      </c>
      <c r="J1036" s="104">
        <f>+'[3]chd9-SAOB'!G394</f>
        <v>12313003.390000001</v>
      </c>
      <c r="K1036" s="104">
        <f>+'[3]chd9-SAOB'!H394</f>
        <v>14479651.529999999</v>
      </c>
      <c r="L1036" s="104">
        <f>+'[3]chd9-SAOB'!I394</f>
        <v>0</v>
      </c>
      <c r="M1036" s="103">
        <f t="shared" si="360"/>
        <v>26792654.920000002</v>
      </c>
      <c r="N1036" s="103">
        <f t="shared" si="366"/>
        <v>2519996.6099999994</v>
      </c>
      <c r="O1036" s="103">
        <f t="shared" si="366"/>
        <v>1319348.4700000007</v>
      </c>
      <c r="P1036" s="103">
        <f t="shared" si="366"/>
        <v>0</v>
      </c>
      <c r="Q1036" s="103">
        <f t="shared" si="367"/>
        <v>3839345.08</v>
      </c>
      <c r="S1036" s="730">
        <f t="shared" si="363"/>
        <v>0.83010877030944519</v>
      </c>
      <c r="T1036" s="730">
        <f t="shared" si="363"/>
        <v>0.91649164693967966</v>
      </c>
      <c r="U1036" s="730" t="str">
        <f t="shared" si="363"/>
        <v/>
      </c>
      <c r="V1036" s="730">
        <f t="shared" si="362"/>
        <v>0.8746622786628363</v>
      </c>
      <c r="W1036" s="531"/>
      <c r="X1036" s="236"/>
      <c r="Y1036" s="236" t="s">
        <v>688</v>
      </c>
      <c r="Z1036" s="236"/>
    </row>
    <row r="1037" spans="1:26" ht="11.25" customHeight="1">
      <c r="A1037" s="528" t="s">
        <v>640</v>
      </c>
      <c r="B1037" s="1013" t="s">
        <v>203</v>
      </c>
      <c r="C1037" s="728"/>
      <c r="D1037" s="649" t="s">
        <v>50</v>
      </c>
      <c r="E1037" s="447" t="s">
        <v>50</v>
      </c>
      <c r="F1037" s="104"/>
      <c r="G1037" s="104">
        <f>+'[3]chd9-SAOB'!D396</f>
        <v>5460000</v>
      </c>
      <c r="H1037" s="104">
        <f>+'[3]chd9-SAOB'!E396</f>
        <v>20000000</v>
      </c>
      <c r="I1037" s="103">
        <f>SUM(F1037:H1037)</f>
        <v>25460000</v>
      </c>
      <c r="J1037" s="104"/>
      <c r="K1037" s="104">
        <f>+'[3]chd9-SAOB'!H396</f>
        <v>1086888.93</v>
      </c>
      <c r="L1037" s="104">
        <f>+'[3]chd9-SAOB'!I396</f>
        <v>19990407.359999999</v>
      </c>
      <c r="M1037" s="103">
        <f>SUM(J1037:L1037)</f>
        <v>21077296.289999999</v>
      </c>
      <c r="N1037" s="103">
        <f t="shared" si="366"/>
        <v>0</v>
      </c>
      <c r="O1037" s="103">
        <f t="shared" si="366"/>
        <v>4373111.07</v>
      </c>
      <c r="P1037" s="103">
        <f t="shared" si="366"/>
        <v>9592.640000000596</v>
      </c>
      <c r="Q1037" s="103">
        <f t="shared" si="367"/>
        <v>4382703.7100000009</v>
      </c>
      <c r="S1037" s="730" t="str">
        <f t="shared" si="363"/>
        <v/>
      </c>
      <c r="T1037" s="730">
        <f t="shared" si="363"/>
        <v>0.19906390659340659</v>
      </c>
      <c r="U1037" s="730">
        <f t="shared" si="363"/>
        <v>0.99952036799999999</v>
      </c>
      <c r="V1037" s="730">
        <f t="shared" si="362"/>
        <v>0.82785924155538093</v>
      </c>
      <c r="W1037" s="531"/>
      <c r="X1037" s="236"/>
      <c r="Y1037" s="236" t="s">
        <v>688</v>
      </c>
      <c r="Z1037" s="236"/>
    </row>
    <row r="1038" spans="1:26" s="256" customFormat="1" ht="11.25" customHeight="1">
      <c r="A1038" s="528" t="s">
        <v>640</v>
      </c>
      <c r="B1038" s="528" t="s">
        <v>203</v>
      </c>
      <c r="C1038" s="389"/>
      <c r="D1038" s="650" t="s">
        <v>98</v>
      </c>
      <c r="E1038" s="390" t="s">
        <v>767</v>
      </c>
      <c r="F1038" s="391">
        <f>+F1036+F1037</f>
        <v>14833000</v>
      </c>
      <c r="G1038" s="391">
        <f t="shared" ref="G1038:M1038" si="383">+G1036+G1037</f>
        <v>21259000</v>
      </c>
      <c r="H1038" s="391">
        <f t="shared" si="383"/>
        <v>20000000</v>
      </c>
      <c r="I1038" s="391">
        <f t="shared" si="383"/>
        <v>56092000</v>
      </c>
      <c r="J1038" s="391">
        <f t="shared" si="383"/>
        <v>12313003.390000001</v>
      </c>
      <c r="K1038" s="391">
        <f t="shared" si="383"/>
        <v>15566540.459999999</v>
      </c>
      <c r="L1038" s="391">
        <f t="shared" si="383"/>
        <v>19990407.359999999</v>
      </c>
      <c r="M1038" s="391">
        <f t="shared" si="383"/>
        <v>47869951.210000001</v>
      </c>
      <c r="N1038" s="391">
        <f t="shared" si="366"/>
        <v>2519996.6099999994</v>
      </c>
      <c r="O1038" s="391">
        <f t="shared" si="366"/>
        <v>5692459.540000001</v>
      </c>
      <c r="P1038" s="391">
        <f t="shared" si="366"/>
        <v>9592.640000000596</v>
      </c>
      <c r="Q1038" s="391">
        <f t="shared" si="367"/>
        <v>8222048.790000001</v>
      </c>
      <c r="R1038" s="101"/>
      <c r="S1038" s="254">
        <f t="shared" si="363"/>
        <v>0.83010877030944519</v>
      </c>
      <c r="T1038" s="254">
        <f t="shared" si="363"/>
        <v>0.73223295827649459</v>
      </c>
      <c r="U1038" s="254">
        <f t="shared" si="363"/>
        <v>0.99952036799999999</v>
      </c>
      <c r="V1038" s="254">
        <f t="shared" si="362"/>
        <v>0.85341851262212087</v>
      </c>
      <c r="W1038" s="531"/>
      <c r="Y1038" s="256" t="s">
        <v>598</v>
      </c>
      <c r="Z1038" s="256" t="s">
        <v>598</v>
      </c>
    </row>
    <row r="1039" spans="1:26" ht="11.25" hidden="1" customHeight="1">
      <c r="A1039" s="528" t="s">
        <v>640</v>
      </c>
      <c r="B1039" s="1013" t="s">
        <v>203</v>
      </c>
      <c r="C1039" s="410"/>
      <c r="D1039" s="651"/>
      <c r="E1039" s="806" t="s">
        <v>764</v>
      </c>
      <c r="F1039" s="807"/>
      <c r="G1039" s="807"/>
      <c r="H1039" s="807"/>
      <c r="I1039" s="807"/>
      <c r="J1039" s="807"/>
      <c r="K1039" s="807"/>
      <c r="L1039" s="807"/>
      <c r="M1039" s="807"/>
      <c r="N1039" s="807">
        <f t="shared" si="366"/>
        <v>0</v>
      </c>
      <c r="O1039" s="807">
        <f t="shared" si="366"/>
        <v>0</v>
      </c>
      <c r="P1039" s="807">
        <f t="shared" si="366"/>
        <v>0</v>
      </c>
      <c r="Q1039" s="807">
        <f t="shared" si="367"/>
        <v>0</v>
      </c>
      <c r="R1039" s="276"/>
      <c r="S1039" s="730" t="str">
        <f t="shared" si="363"/>
        <v/>
      </c>
      <c r="T1039" s="730" t="str">
        <f t="shared" si="363"/>
        <v/>
      </c>
      <c r="U1039" s="730" t="str">
        <f t="shared" si="363"/>
        <v/>
      </c>
      <c r="V1039" s="730" t="str">
        <f t="shared" si="362"/>
        <v/>
      </c>
      <c r="W1039" s="531"/>
      <c r="X1039" s="236"/>
      <c r="Y1039" s="236"/>
      <c r="Z1039" s="236"/>
    </row>
    <row r="1040" spans="1:26" s="256" customFormat="1" ht="11.25" customHeight="1">
      <c r="A1040" s="528" t="s">
        <v>640</v>
      </c>
      <c r="B1040" s="528" t="s">
        <v>203</v>
      </c>
      <c r="C1040" s="389"/>
      <c r="D1040" s="650" t="s">
        <v>98</v>
      </c>
      <c r="E1040" s="390" t="s">
        <v>99</v>
      </c>
      <c r="F1040" s="391">
        <f>+F1041</f>
        <v>1366000</v>
      </c>
      <c r="G1040" s="391">
        <f t="shared" ref="G1040:M1040" si="384">+G1041</f>
        <v>0</v>
      </c>
      <c r="H1040" s="391">
        <f t="shared" si="384"/>
        <v>0</v>
      </c>
      <c r="I1040" s="391">
        <f t="shared" si="384"/>
        <v>1366000</v>
      </c>
      <c r="J1040" s="391">
        <f t="shared" si="384"/>
        <v>1090752.1300000001</v>
      </c>
      <c r="K1040" s="391">
        <f t="shared" si="384"/>
        <v>0</v>
      </c>
      <c r="L1040" s="391">
        <f t="shared" si="384"/>
        <v>0</v>
      </c>
      <c r="M1040" s="391">
        <f t="shared" si="384"/>
        <v>1090752.1300000001</v>
      </c>
      <c r="N1040" s="391">
        <f t="shared" si="366"/>
        <v>275247.86999999988</v>
      </c>
      <c r="O1040" s="391">
        <f t="shared" si="366"/>
        <v>0</v>
      </c>
      <c r="P1040" s="391">
        <f t="shared" si="366"/>
        <v>0</v>
      </c>
      <c r="Q1040" s="391">
        <f t="shared" si="367"/>
        <v>275247.86999999988</v>
      </c>
      <c r="R1040" s="101"/>
      <c r="S1040" s="254">
        <f t="shared" si="363"/>
        <v>0.79850082723279658</v>
      </c>
      <c r="T1040" s="254" t="str">
        <f t="shared" si="363"/>
        <v/>
      </c>
      <c r="U1040" s="254" t="str">
        <f t="shared" si="363"/>
        <v/>
      </c>
      <c r="V1040" s="254">
        <f t="shared" si="362"/>
        <v>0.79850082723279658</v>
      </c>
      <c r="W1040" s="531"/>
      <c r="Y1040" s="256" t="s">
        <v>598</v>
      </c>
      <c r="Z1040" s="256" t="s">
        <v>598</v>
      </c>
    </row>
    <row r="1041" spans="1:26" ht="11.25" customHeight="1">
      <c r="A1041" s="528" t="s">
        <v>640</v>
      </c>
      <c r="B1041" s="1013" t="s">
        <v>203</v>
      </c>
      <c r="C1041" s="728"/>
      <c r="D1041" s="649" t="s">
        <v>286</v>
      </c>
      <c r="E1041" s="729" t="s">
        <v>286</v>
      </c>
      <c r="F1041" s="103">
        <f>SUM('[3]chd9-SAOB'!AV14)</f>
        <v>1366000</v>
      </c>
      <c r="G1041" s="103">
        <f>SUM('[3]chd9-SAOB'!AV50)</f>
        <v>0</v>
      </c>
      <c r="H1041" s="103">
        <f>SUM('[3]chd9-SAOB'!AV142)</f>
        <v>0</v>
      </c>
      <c r="I1041" s="103">
        <f>SUM(F1041:H1041)</f>
        <v>1366000</v>
      </c>
      <c r="J1041" s="103">
        <f>SUM('[3]chd9-SAOB'!AV15)</f>
        <v>1090752.1300000001</v>
      </c>
      <c r="K1041" s="103">
        <f>SUM('[3]chd9-SAOB'!AV51)</f>
        <v>0</v>
      </c>
      <c r="L1041" s="103">
        <f>SUM('[3]chd9-SAOB'!AV143)</f>
        <v>0</v>
      </c>
      <c r="M1041" s="103">
        <f t="shared" si="360"/>
        <v>1090752.1300000001</v>
      </c>
      <c r="N1041" s="103">
        <f t="shared" si="366"/>
        <v>275247.86999999988</v>
      </c>
      <c r="O1041" s="103">
        <f t="shared" si="366"/>
        <v>0</v>
      </c>
      <c r="P1041" s="103">
        <f t="shared" si="366"/>
        <v>0</v>
      </c>
      <c r="Q1041" s="103">
        <f t="shared" si="367"/>
        <v>275247.86999999988</v>
      </c>
      <c r="S1041" s="730">
        <f t="shared" si="363"/>
        <v>0.79850082723279658</v>
      </c>
      <c r="T1041" s="730" t="str">
        <f t="shared" si="363"/>
        <v/>
      </c>
      <c r="U1041" s="730" t="str">
        <f t="shared" si="363"/>
        <v/>
      </c>
      <c r="V1041" s="730">
        <f t="shared" si="362"/>
        <v>0.79850082723279658</v>
      </c>
      <c r="W1041" s="531"/>
      <c r="X1041" s="236"/>
      <c r="Y1041" s="236" t="s">
        <v>598</v>
      </c>
      <c r="Z1041" s="236"/>
    </row>
    <row r="1042" spans="1:26" s="272" customFormat="1" ht="11.25" customHeight="1">
      <c r="A1042" s="528" t="s">
        <v>640</v>
      </c>
      <c r="B1042" s="528" t="s">
        <v>203</v>
      </c>
      <c r="C1042" s="389"/>
      <c r="D1042" s="650" t="s">
        <v>98</v>
      </c>
      <c r="E1042" s="390" t="s">
        <v>100</v>
      </c>
      <c r="F1042" s="391">
        <f t="shared" ref="F1042:M1042" si="385">SUM(F1043:F1047)</f>
        <v>679707</v>
      </c>
      <c r="G1042" s="391">
        <f t="shared" si="385"/>
        <v>0</v>
      </c>
      <c r="H1042" s="391">
        <f t="shared" si="385"/>
        <v>0</v>
      </c>
      <c r="I1042" s="391">
        <f t="shared" si="385"/>
        <v>679707</v>
      </c>
      <c r="J1042" s="391">
        <f t="shared" si="385"/>
        <v>679707</v>
      </c>
      <c r="K1042" s="391">
        <f t="shared" si="385"/>
        <v>0</v>
      </c>
      <c r="L1042" s="391">
        <f t="shared" si="385"/>
        <v>0</v>
      </c>
      <c r="M1042" s="391">
        <f t="shared" si="385"/>
        <v>679707</v>
      </c>
      <c r="N1042" s="391">
        <f t="shared" si="366"/>
        <v>0</v>
      </c>
      <c r="O1042" s="391">
        <f t="shared" si="366"/>
        <v>0</v>
      </c>
      <c r="P1042" s="391">
        <f t="shared" si="366"/>
        <v>0</v>
      </c>
      <c r="Q1042" s="391">
        <f t="shared" si="367"/>
        <v>0</v>
      </c>
      <c r="R1042" s="102"/>
      <c r="S1042" s="254">
        <f t="shared" si="363"/>
        <v>1</v>
      </c>
      <c r="T1042" s="254" t="str">
        <f t="shared" si="363"/>
        <v/>
      </c>
      <c r="U1042" s="254" t="str">
        <f t="shared" si="363"/>
        <v/>
      </c>
      <c r="V1042" s="254">
        <f t="shared" si="362"/>
        <v>1</v>
      </c>
      <c r="W1042" s="531"/>
      <c r="Y1042" s="272" t="s">
        <v>598</v>
      </c>
      <c r="Z1042" s="256" t="s">
        <v>598</v>
      </c>
    </row>
    <row r="1043" spans="1:26" ht="11.25" customHeight="1">
      <c r="A1043" s="528" t="s">
        <v>640</v>
      </c>
      <c r="B1043" s="1013" t="s">
        <v>203</v>
      </c>
      <c r="C1043" s="728"/>
      <c r="D1043" s="649" t="s">
        <v>288</v>
      </c>
      <c r="E1043" s="729" t="s">
        <v>288</v>
      </c>
      <c r="F1043" s="103">
        <f>SUM('[3]chd9-SAOB'!BF14)</f>
        <v>0</v>
      </c>
      <c r="G1043" s="103">
        <f>SUM('[3]chd9-SAOB'!BF50)</f>
        <v>0</v>
      </c>
      <c r="H1043" s="103">
        <f>SUM('[3]chd9-SAOB'!BF142)</f>
        <v>0</v>
      </c>
      <c r="I1043" s="103">
        <f>SUM(F1043:H1043)</f>
        <v>0</v>
      </c>
      <c r="J1043" s="103">
        <f>SUM('[3]chd9-SAOB'!BF15)</f>
        <v>0</v>
      </c>
      <c r="K1043" s="103">
        <f>SUM('[3]chd9-SAOB'!BF51)</f>
        <v>0</v>
      </c>
      <c r="L1043" s="103">
        <f>SUM('[3]chd9-SAOB'!BF143)</f>
        <v>0</v>
      </c>
      <c r="M1043" s="103">
        <f t="shared" si="360"/>
        <v>0</v>
      </c>
      <c r="N1043" s="103">
        <f t="shared" si="366"/>
        <v>0</v>
      </c>
      <c r="O1043" s="103">
        <f t="shared" si="366"/>
        <v>0</v>
      </c>
      <c r="P1043" s="103">
        <f t="shared" si="366"/>
        <v>0</v>
      </c>
      <c r="Q1043" s="103">
        <f t="shared" si="367"/>
        <v>0</v>
      </c>
      <c r="S1043" s="730" t="str">
        <f t="shared" si="363"/>
        <v/>
      </c>
      <c r="T1043" s="730" t="str">
        <f t="shared" si="363"/>
        <v/>
      </c>
      <c r="U1043" s="730" t="str">
        <f t="shared" si="363"/>
        <v/>
      </c>
      <c r="V1043" s="730" t="str">
        <f t="shared" si="362"/>
        <v/>
      </c>
      <c r="W1043" s="531"/>
      <c r="X1043" s="236"/>
      <c r="Y1043" s="236" t="s">
        <v>598</v>
      </c>
      <c r="Z1043" s="236"/>
    </row>
    <row r="1044" spans="1:26" ht="11.25" customHeight="1">
      <c r="A1044" s="528" t="s">
        <v>640</v>
      </c>
      <c r="B1044" s="1013" t="s">
        <v>203</v>
      </c>
      <c r="C1044" s="728"/>
      <c r="D1044" s="649" t="s">
        <v>761</v>
      </c>
      <c r="E1044" s="729" t="s">
        <v>761</v>
      </c>
      <c r="F1044" s="104">
        <f>+'[3]chd9-SAOB'!C396</f>
        <v>345000</v>
      </c>
      <c r="G1044" s="104"/>
      <c r="H1044" s="104"/>
      <c r="I1044" s="103">
        <f>SUM(F1044:H1044)</f>
        <v>345000</v>
      </c>
      <c r="J1044" s="104">
        <f>+'[3]chd9-SAOB'!G396</f>
        <v>345000</v>
      </c>
      <c r="K1044" s="104"/>
      <c r="L1044" s="104"/>
      <c r="M1044" s="103">
        <f t="shared" si="360"/>
        <v>345000</v>
      </c>
      <c r="N1044" s="103">
        <f t="shared" si="366"/>
        <v>0</v>
      </c>
      <c r="O1044" s="103">
        <f>+G1044-K1044</f>
        <v>0</v>
      </c>
      <c r="P1044" s="103">
        <f>+H1044-L1044</f>
        <v>0</v>
      </c>
      <c r="Q1044" s="103">
        <f>SUM(N1044:P1044)</f>
        <v>0</v>
      </c>
      <c r="S1044" s="730">
        <f t="shared" si="363"/>
        <v>1</v>
      </c>
      <c r="T1044" s="730" t="str">
        <f t="shared" si="363"/>
        <v/>
      </c>
      <c r="U1044" s="730" t="str">
        <f t="shared" si="363"/>
        <v/>
      </c>
      <c r="V1044" s="730">
        <f t="shared" si="362"/>
        <v>1</v>
      </c>
      <c r="W1044" s="531"/>
      <c r="X1044" s="236"/>
      <c r="Y1044" s="236" t="s">
        <v>688</v>
      </c>
      <c r="Z1044" s="236"/>
    </row>
    <row r="1045" spans="1:26" ht="11.25" customHeight="1">
      <c r="A1045" s="528" t="s">
        <v>640</v>
      </c>
      <c r="B1045" s="1013" t="s">
        <v>203</v>
      </c>
      <c r="C1045" s="410"/>
      <c r="D1045" s="647"/>
      <c r="E1045" s="461" t="s">
        <v>764</v>
      </c>
      <c r="F1045" s="104"/>
      <c r="G1045" s="104"/>
      <c r="H1045" s="104"/>
      <c r="I1045" s="103"/>
      <c r="J1045" s="104"/>
      <c r="K1045" s="104"/>
      <c r="L1045" s="104"/>
      <c r="M1045" s="103"/>
      <c r="N1045" s="103"/>
      <c r="O1045" s="103"/>
      <c r="P1045" s="103"/>
      <c r="Q1045" s="103"/>
      <c r="S1045" s="730" t="str">
        <f t="shared" si="363"/>
        <v/>
      </c>
      <c r="T1045" s="730" t="str">
        <f t="shared" si="363"/>
        <v/>
      </c>
      <c r="U1045" s="730" t="str">
        <f t="shared" si="363"/>
        <v/>
      </c>
      <c r="V1045" s="730" t="str">
        <f t="shared" si="362"/>
        <v/>
      </c>
      <c r="W1045" s="531"/>
      <c r="X1045" s="236"/>
      <c r="Y1045" s="236" t="s">
        <v>688</v>
      </c>
      <c r="Z1045" s="240"/>
    </row>
    <row r="1046" spans="1:26" ht="11.25" customHeight="1">
      <c r="A1046" s="528" t="s">
        <v>640</v>
      </c>
      <c r="B1046" s="1013" t="s">
        <v>203</v>
      </c>
      <c r="C1046" s="728"/>
      <c r="D1046" s="649" t="s">
        <v>289</v>
      </c>
      <c r="E1046" s="729" t="s">
        <v>289</v>
      </c>
      <c r="F1046" s="103">
        <f>SUM('[3]chd9-SAOB'!BP14)</f>
        <v>334707</v>
      </c>
      <c r="G1046" s="103">
        <f>SUM('[3]chd9-SAOB'!BP50)</f>
        <v>0</v>
      </c>
      <c r="H1046" s="103">
        <f>SUM('[3]chd9-SAOB'!BP142)</f>
        <v>0</v>
      </c>
      <c r="I1046" s="103">
        <f>SUM(F1046:H1046)</f>
        <v>334707</v>
      </c>
      <c r="J1046" s="103">
        <f>SUM('[3]chd9-SAOB'!BP15)</f>
        <v>334707</v>
      </c>
      <c r="K1046" s="103">
        <f>SUM('[3]chd9-SAOB'!BP51)</f>
        <v>0</v>
      </c>
      <c r="L1046" s="103">
        <f>SUM('[3]chd9-SAOB'!BP143)</f>
        <v>0</v>
      </c>
      <c r="M1046" s="103">
        <f t="shared" si="360"/>
        <v>334707</v>
      </c>
      <c r="N1046" s="103">
        <f t="shared" si="366"/>
        <v>0</v>
      </c>
      <c r="O1046" s="103">
        <f t="shared" si="366"/>
        <v>0</v>
      </c>
      <c r="P1046" s="103">
        <f t="shared" si="366"/>
        <v>0</v>
      </c>
      <c r="Q1046" s="103">
        <f t="shared" si="367"/>
        <v>0</v>
      </c>
      <c r="S1046" s="730">
        <f t="shared" si="363"/>
        <v>1</v>
      </c>
      <c r="T1046" s="730" t="str">
        <f t="shared" si="363"/>
        <v/>
      </c>
      <c r="U1046" s="730" t="str">
        <f t="shared" si="363"/>
        <v/>
      </c>
      <c r="V1046" s="730">
        <f t="shared" si="362"/>
        <v>1</v>
      </c>
      <c r="W1046" s="531"/>
      <c r="X1046" s="236"/>
      <c r="Y1046" s="236" t="s">
        <v>598</v>
      </c>
      <c r="Z1046" s="236"/>
    </row>
    <row r="1047" spans="1:26" ht="11.25" customHeight="1">
      <c r="A1047" s="528" t="s">
        <v>640</v>
      </c>
      <c r="B1047" s="1013" t="s">
        <v>203</v>
      </c>
      <c r="C1047" s="728"/>
      <c r="D1047" s="649" t="s">
        <v>290</v>
      </c>
      <c r="E1047" s="729" t="s">
        <v>290</v>
      </c>
      <c r="F1047" s="103">
        <f>SUM('[3]chd9-SAOB'!BZ14)</f>
        <v>0</v>
      </c>
      <c r="G1047" s="103">
        <f>SUM('[3]chd9-SAOB'!BZ50)</f>
        <v>0</v>
      </c>
      <c r="H1047" s="103">
        <f>SUM('[3]chd9-SAOB'!BZ142)</f>
        <v>0</v>
      </c>
      <c r="I1047" s="103">
        <f>SUM(F1047:H1047)</f>
        <v>0</v>
      </c>
      <c r="J1047" s="103">
        <f>SUM('[3]chd9-SAOB'!BZ15)</f>
        <v>0</v>
      </c>
      <c r="K1047" s="103">
        <f>SUM('[3]chd9-SAOB'!BZ51)</f>
        <v>0</v>
      </c>
      <c r="L1047" s="103">
        <f>SUM('[3]chd9-SAOB'!BZ143)</f>
        <v>0</v>
      </c>
      <c r="M1047" s="103">
        <f t="shared" si="360"/>
        <v>0</v>
      </c>
      <c r="N1047" s="103">
        <f t="shared" si="366"/>
        <v>0</v>
      </c>
      <c r="O1047" s="103">
        <f t="shared" si="366"/>
        <v>0</v>
      </c>
      <c r="P1047" s="103">
        <f t="shared" si="366"/>
        <v>0</v>
      </c>
      <c r="Q1047" s="103">
        <f t="shared" si="367"/>
        <v>0</v>
      </c>
      <c r="S1047" s="730" t="str">
        <f t="shared" si="363"/>
        <v/>
      </c>
      <c r="T1047" s="730" t="str">
        <f t="shared" si="363"/>
        <v/>
      </c>
      <c r="U1047" s="730" t="str">
        <f t="shared" si="363"/>
        <v/>
      </c>
      <c r="V1047" s="730" t="str">
        <f t="shared" si="363"/>
        <v/>
      </c>
      <c r="W1047" s="531"/>
      <c r="X1047" s="236"/>
      <c r="Y1047" s="236" t="s">
        <v>598</v>
      </c>
      <c r="Z1047" s="236"/>
    </row>
    <row r="1048" spans="1:26" s="259" customFormat="1" ht="11.25" customHeight="1">
      <c r="A1048" s="246" t="s">
        <v>640</v>
      </c>
      <c r="B1048" s="235" t="s">
        <v>203</v>
      </c>
      <c r="C1048" s="656"/>
      <c r="D1048" s="656"/>
      <c r="E1048" s="657" t="s">
        <v>4</v>
      </c>
      <c r="F1048" s="652">
        <f>+F1038+F1040+F1042</f>
        <v>16878707</v>
      </c>
      <c r="G1048" s="652">
        <f t="shared" ref="G1048:M1048" si="386">+G1038+G1040+G1042</f>
        <v>21259000</v>
      </c>
      <c r="H1048" s="652">
        <f t="shared" si="386"/>
        <v>20000000</v>
      </c>
      <c r="I1048" s="652">
        <f t="shared" si="386"/>
        <v>58137707</v>
      </c>
      <c r="J1048" s="652">
        <f t="shared" si="386"/>
        <v>14083462.520000001</v>
      </c>
      <c r="K1048" s="652">
        <f t="shared" si="386"/>
        <v>15566540.459999999</v>
      </c>
      <c r="L1048" s="652">
        <f t="shared" si="386"/>
        <v>19990407.359999999</v>
      </c>
      <c r="M1048" s="652">
        <f t="shared" si="386"/>
        <v>49640410.340000004</v>
      </c>
      <c r="N1048" s="652">
        <f t="shared" si="366"/>
        <v>2795244.4799999986</v>
      </c>
      <c r="O1048" s="652">
        <f t="shared" si="366"/>
        <v>5692459.540000001</v>
      </c>
      <c r="P1048" s="652">
        <f t="shared" si="366"/>
        <v>9592.640000000596</v>
      </c>
      <c r="Q1048" s="652">
        <f t="shared" si="367"/>
        <v>8497296.6600000001</v>
      </c>
      <c r="R1048" s="653">
        <f>+Q1048-'[3]chd9-SAOB'!DR179</f>
        <v>0</v>
      </c>
      <c r="S1048" s="1008">
        <f t="shared" ref="S1048:V1111" si="387">IF(F1048=0,"",J1048/F1048)</f>
        <v>0.83439226239308506</v>
      </c>
      <c r="T1048" s="1008">
        <f t="shared" si="387"/>
        <v>0.73223295827649459</v>
      </c>
      <c r="U1048" s="1008">
        <f t="shared" si="387"/>
        <v>0.99952036799999999</v>
      </c>
      <c r="V1048" s="1008">
        <f t="shared" si="387"/>
        <v>0.85384190229587154</v>
      </c>
      <c r="W1048" s="254"/>
      <c r="X1048" s="520"/>
      <c r="Y1048" s="610" t="s">
        <v>598</v>
      </c>
      <c r="Z1048" s="241" t="s">
        <v>598</v>
      </c>
    </row>
    <row r="1049" spans="1:26" ht="11.25" customHeight="1">
      <c r="A1049" s="246" t="s">
        <v>640</v>
      </c>
      <c r="B1049" s="235" t="s">
        <v>203</v>
      </c>
      <c r="C1049" s="410"/>
      <c r="D1049" s="386"/>
      <c r="E1049" s="461" t="s">
        <v>764</v>
      </c>
      <c r="F1049" s="103"/>
      <c r="G1049" s="103"/>
      <c r="H1049" s="103"/>
      <c r="I1049" s="103">
        <f>SUM(F1049:H1049)</f>
        <v>0</v>
      </c>
      <c r="J1049" s="103"/>
      <c r="K1049" s="103"/>
      <c r="L1049" s="103"/>
      <c r="M1049" s="103">
        <f t="shared" si="360"/>
        <v>0</v>
      </c>
      <c r="N1049" s="103">
        <f t="shared" si="366"/>
        <v>0</v>
      </c>
      <c r="O1049" s="103">
        <f t="shared" si="366"/>
        <v>0</v>
      </c>
      <c r="P1049" s="103">
        <f t="shared" si="366"/>
        <v>0</v>
      </c>
      <c r="Q1049" s="103">
        <f t="shared" si="367"/>
        <v>0</v>
      </c>
      <c r="S1049" s="730" t="str">
        <f t="shared" si="387"/>
        <v/>
      </c>
      <c r="T1049" s="730" t="str">
        <f t="shared" si="387"/>
        <v/>
      </c>
      <c r="U1049" s="730" t="str">
        <f t="shared" si="387"/>
        <v/>
      </c>
      <c r="V1049" s="730" t="str">
        <f t="shared" si="387"/>
        <v/>
      </c>
      <c r="W1049" s="254"/>
      <c r="Y1049" s="610" t="s">
        <v>598</v>
      </c>
      <c r="Z1049" s="241" t="s">
        <v>598</v>
      </c>
    </row>
    <row r="1050" spans="1:26" s="675" customFormat="1" ht="11.25" customHeight="1">
      <c r="A1050" s="528" t="s">
        <v>640</v>
      </c>
      <c r="B1050" s="528" t="s">
        <v>204</v>
      </c>
      <c r="C1050" s="407" t="s">
        <v>98</v>
      </c>
      <c r="D1050" s="655" t="s">
        <v>109</v>
      </c>
      <c r="E1050" s="408" t="s">
        <v>830</v>
      </c>
      <c r="F1050" s="673"/>
      <c r="G1050" s="673"/>
      <c r="H1050" s="673"/>
      <c r="I1050" s="674">
        <f>SUM(F1050:H1050)</f>
        <v>0</v>
      </c>
      <c r="J1050" s="673"/>
      <c r="K1050" s="673"/>
      <c r="L1050" s="673"/>
      <c r="M1050" s="674">
        <f t="shared" si="360"/>
        <v>0</v>
      </c>
      <c r="N1050" s="674">
        <f t="shared" si="366"/>
        <v>0</v>
      </c>
      <c r="O1050" s="674">
        <f t="shared" si="366"/>
        <v>0</v>
      </c>
      <c r="P1050" s="674">
        <f t="shared" si="366"/>
        <v>0</v>
      </c>
      <c r="Q1050" s="674">
        <f t="shared" si="367"/>
        <v>0</v>
      </c>
      <c r="R1050" s="101"/>
      <c r="S1050" s="254" t="str">
        <f t="shared" si="387"/>
        <v/>
      </c>
      <c r="T1050" s="254" t="str">
        <f t="shared" si="387"/>
        <v/>
      </c>
      <c r="U1050" s="254" t="str">
        <f t="shared" si="387"/>
        <v/>
      </c>
      <c r="V1050" s="254" t="str">
        <f t="shared" si="387"/>
        <v/>
      </c>
      <c r="W1050" s="531"/>
      <c r="Y1050" s="272" t="s">
        <v>598</v>
      </c>
      <c r="Z1050" s="260" t="s">
        <v>598</v>
      </c>
    </row>
    <row r="1051" spans="1:26" ht="11.25" customHeight="1">
      <c r="A1051" s="528" t="s">
        <v>640</v>
      </c>
      <c r="B1051" s="1013" t="s">
        <v>204</v>
      </c>
      <c r="C1051" s="461"/>
      <c r="D1051" s="645" t="s">
        <v>766</v>
      </c>
      <c r="E1051" s="447" t="s">
        <v>766</v>
      </c>
      <c r="F1051" s="104">
        <f>+'[3]chd9-SAOB'!C401</f>
        <v>8318000</v>
      </c>
      <c r="G1051" s="104">
        <f>+'[3]chd9-SAOB'!D401</f>
        <v>5667000</v>
      </c>
      <c r="H1051" s="104">
        <f>+'[3]chd9-SAOB'!E401</f>
        <v>0</v>
      </c>
      <c r="I1051" s="103">
        <f>SUM(F1051:H1051)</f>
        <v>13985000</v>
      </c>
      <c r="J1051" s="104">
        <f>+'[3]chd9-SAOB'!G401</f>
        <v>7658109.0000000009</v>
      </c>
      <c r="K1051" s="104">
        <f>+'[3]chd9-SAOB'!H401</f>
        <v>4671423.0299999993</v>
      </c>
      <c r="L1051" s="104">
        <f>+'[3]chd9-SAOB'!I401</f>
        <v>0</v>
      </c>
      <c r="M1051" s="103">
        <f t="shared" si="360"/>
        <v>12329532.030000001</v>
      </c>
      <c r="N1051" s="103">
        <f t="shared" si="366"/>
        <v>659890.99999999907</v>
      </c>
      <c r="O1051" s="103">
        <f t="shared" si="366"/>
        <v>995576.97000000067</v>
      </c>
      <c r="P1051" s="103">
        <f t="shared" si="366"/>
        <v>0</v>
      </c>
      <c r="Q1051" s="103">
        <f t="shared" si="367"/>
        <v>1655467.9699999997</v>
      </c>
      <c r="S1051" s="730">
        <f t="shared" si="387"/>
        <v>0.92066710747775915</v>
      </c>
      <c r="T1051" s="730">
        <f t="shared" si="387"/>
        <v>0.8243202805717309</v>
      </c>
      <c r="U1051" s="730" t="str">
        <f t="shared" si="387"/>
        <v/>
      </c>
      <c r="V1051" s="730">
        <f t="shared" si="387"/>
        <v>0.88162545799070446</v>
      </c>
      <c r="W1051" s="531"/>
      <c r="X1051" s="236"/>
      <c r="Y1051" s="236" t="s">
        <v>688</v>
      </c>
      <c r="Z1051" s="236"/>
    </row>
    <row r="1052" spans="1:26" ht="11.25" customHeight="1">
      <c r="A1052" s="528" t="s">
        <v>640</v>
      </c>
      <c r="B1052" s="1013" t="s">
        <v>204</v>
      </c>
      <c r="C1052" s="728"/>
      <c r="D1052" s="649" t="s">
        <v>50</v>
      </c>
      <c r="E1052" s="447" t="s">
        <v>50</v>
      </c>
      <c r="F1052" s="104"/>
      <c r="G1052" s="104">
        <f>+'[3]chd9-SAOB'!D403</f>
        <v>2363743</v>
      </c>
      <c r="H1052" s="104">
        <f>+'[3]chd9-SAOB'!E403</f>
        <v>0</v>
      </c>
      <c r="I1052" s="103">
        <f>SUM(F1052:H1052)</f>
        <v>2363743</v>
      </c>
      <c r="J1052" s="104"/>
      <c r="K1052" s="104">
        <f>+'[3]chd9-SAOB'!H403</f>
        <v>1841192.1199999999</v>
      </c>
      <c r="L1052" s="104">
        <f>+'[3]chd9-SAOB'!I403</f>
        <v>0</v>
      </c>
      <c r="M1052" s="103">
        <f>SUM(J1052:L1052)</f>
        <v>1841192.1199999999</v>
      </c>
      <c r="N1052" s="103">
        <f t="shared" si="366"/>
        <v>0</v>
      </c>
      <c r="O1052" s="103">
        <f t="shared" si="366"/>
        <v>522550.88000000012</v>
      </c>
      <c r="P1052" s="103">
        <f t="shared" si="366"/>
        <v>0</v>
      </c>
      <c r="Q1052" s="103">
        <f t="shared" si="367"/>
        <v>522550.88000000012</v>
      </c>
      <c r="S1052" s="730" t="str">
        <f t="shared" si="387"/>
        <v/>
      </c>
      <c r="T1052" s="730">
        <f t="shared" si="387"/>
        <v>0.77893075516246901</v>
      </c>
      <c r="U1052" s="730" t="str">
        <f t="shared" si="387"/>
        <v/>
      </c>
      <c r="V1052" s="730">
        <f t="shared" si="387"/>
        <v>0.77893075516246901</v>
      </c>
      <c r="W1052" s="531"/>
      <c r="X1052" s="236"/>
      <c r="Y1052" s="236" t="s">
        <v>688</v>
      </c>
      <c r="Z1052" s="236"/>
    </row>
    <row r="1053" spans="1:26" s="256" customFormat="1" ht="11.25" customHeight="1">
      <c r="A1053" s="528" t="s">
        <v>640</v>
      </c>
      <c r="B1053" s="528" t="s">
        <v>204</v>
      </c>
      <c r="C1053" s="389"/>
      <c r="D1053" s="650" t="s">
        <v>98</v>
      </c>
      <c r="E1053" s="390" t="s">
        <v>767</v>
      </c>
      <c r="F1053" s="391">
        <f>+F1051+F1052</f>
        <v>8318000</v>
      </c>
      <c r="G1053" s="391">
        <f t="shared" ref="G1053:M1053" si="388">+G1051+G1052</f>
        <v>8030743</v>
      </c>
      <c r="H1053" s="391">
        <f t="shared" si="388"/>
        <v>0</v>
      </c>
      <c r="I1053" s="391">
        <f t="shared" si="388"/>
        <v>16348743</v>
      </c>
      <c r="J1053" s="391">
        <f t="shared" si="388"/>
        <v>7658109.0000000009</v>
      </c>
      <c r="K1053" s="391">
        <f t="shared" si="388"/>
        <v>6512615.1499999994</v>
      </c>
      <c r="L1053" s="391">
        <f t="shared" si="388"/>
        <v>0</v>
      </c>
      <c r="M1053" s="391">
        <f t="shared" si="388"/>
        <v>14170724.15</v>
      </c>
      <c r="N1053" s="391">
        <f t="shared" si="366"/>
        <v>659890.99999999907</v>
      </c>
      <c r="O1053" s="391">
        <f t="shared" si="366"/>
        <v>1518127.8500000006</v>
      </c>
      <c r="P1053" s="391">
        <f t="shared" si="366"/>
        <v>0</v>
      </c>
      <c r="Q1053" s="391">
        <f t="shared" si="367"/>
        <v>2178018.8499999996</v>
      </c>
      <c r="R1053" s="101"/>
      <c r="S1053" s="254">
        <f t="shared" si="387"/>
        <v>0.92066710747775915</v>
      </c>
      <c r="T1053" s="254">
        <f t="shared" si="387"/>
        <v>0.81096047401840643</v>
      </c>
      <c r="U1053" s="254" t="str">
        <f t="shared" si="387"/>
        <v/>
      </c>
      <c r="V1053" s="254">
        <f t="shared" si="387"/>
        <v>0.8667775956842676</v>
      </c>
      <c r="W1053" s="531"/>
      <c r="Y1053" s="256" t="s">
        <v>598</v>
      </c>
      <c r="Z1053" s="256" t="s">
        <v>598</v>
      </c>
    </row>
    <row r="1054" spans="1:26" ht="11.25" hidden="1" customHeight="1">
      <c r="A1054" s="528" t="s">
        <v>640</v>
      </c>
      <c r="B1054" s="1013" t="s">
        <v>204</v>
      </c>
      <c r="C1054" s="410"/>
      <c r="D1054" s="651"/>
      <c r="E1054" s="806" t="s">
        <v>764</v>
      </c>
      <c r="F1054" s="807"/>
      <c r="G1054" s="807"/>
      <c r="H1054" s="807"/>
      <c r="I1054" s="807"/>
      <c r="J1054" s="807"/>
      <c r="K1054" s="807"/>
      <c r="L1054" s="807"/>
      <c r="M1054" s="807"/>
      <c r="N1054" s="807">
        <f t="shared" si="366"/>
        <v>0</v>
      </c>
      <c r="O1054" s="807">
        <f t="shared" si="366"/>
        <v>0</v>
      </c>
      <c r="P1054" s="807">
        <f t="shared" si="366"/>
        <v>0</v>
      </c>
      <c r="Q1054" s="807">
        <f t="shared" si="367"/>
        <v>0</v>
      </c>
      <c r="R1054" s="276"/>
      <c r="S1054" s="730" t="str">
        <f t="shared" si="387"/>
        <v/>
      </c>
      <c r="T1054" s="730" t="str">
        <f t="shared" si="387"/>
        <v/>
      </c>
      <c r="U1054" s="730" t="str">
        <f t="shared" si="387"/>
        <v/>
      </c>
      <c r="V1054" s="730" t="str">
        <f t="shared" si="387"/>
        <v/>
      </c>
      <c r="W1054" s="531"/>
      <c r="X1054" s="236"/>
      <c r="Y1054" s="236"/>
      <c r="Z1054" s="236"/>
    </row>
    <row r="1055" spans="1:26" s="256" customFormat="1" ht="11.25" customHeight="1">
      <c r="A1055" s="528" t="s">
        <v>640</v>
      </c>
      <c r="B1055" s="528" t="s">
        <v>204</v>
      </c>
      <c r="C1055" s="389"/>
      <c r="D1055" s="650" t="s">
        <v>98</v>
      </c>
      <c r="E1055" s="390" t="s">
        <v>99</v>
      </c>
      <c r="F1055" s="391">
        <f>+F1056</f>
        <v>769000</v>
      </c>
      <c r="G1055" s="391">
        <f t="shared" ref="G1055:M1055" si="389">+G1056</f>
        <v>0</v>
      </c>
      <c r="H1055" s="391">
        <f t="shared" si="389"/>
        <v>0</v>
      </c>
      <c r="I1055" s="391">
        <f t="shared" si="389"/>
        <v>769000</v>
      </c>
      <c r="J1055" s="391">
        <f t="shared" si="389"/>
        <v>697510.32</v>
      </c>
      <c r="K1055" s="391">
        <f t="shared" si="389"/>
        <v>0</v>
      </c>
      <c r="L1055" s="391">
        <f t="shared" si="389"/>
        <v>0</v>
      </c>
      <c r="M1055" s="391">
        <f t="shared" si="389"/>
        <v>697510.32</v>
      </c>
      <c r="N1055" s="391">
        <f t="shared" si="366"/>
        <v>71489.680000000051</v>
      </c>
      <c r="O1055" s="391">
        <f t="shared" si="366"/>
        <v>0</v>
      </c>
      <c r="P1055" s="391">
        <f t="shared" si="366"/>
        <v>0</v>
      </c>
      <c r="Q1055" s="391">
        <f t="shared" si="367"/>
        <v>71489.680000000051</v>
      </c>
      <c r="R1055" s="101"/>
      <c r="S1055" s="254">
        <f t="shared" si="387"/>
        <v>0.90703552665799736</v>
      </c>
      <c r="T1055" s="254" t="str">
        <f t="shared" si="387"/>
        <v/>
      </c>
      <c r="U1055" s="254" t="str">
        <f t="shared" si="387"/>
        <v/>
      </c>
      <c r="V1055" s="254">
        <f t="shared" si="387"/>
        <v>0.90703552665799736</v>
      </c>
      <c r="W1055" s="531"/>
      <c r="Y1055" s="256" t="s">
        <v>598</v>
      </c>
      <c r="Z1055" s="256" t="s">
        <v>598</v>
      </c>
    </row>
    <row r="1056" spans="1:26" ht="11.25" customHeight="1">
      <c r="A1056" s="528" t="s">
        <v>640</v>
      </c>
      <c r="B1056" s="1013" t="s">
        <v>204</v>
      </c>
      <c r="C1056" s="728"/>
      <c r="D1056" s="649" t="s">
        <v>286</v>
      </c>
      <c r="E1056" s="729" t="s">
        <v>286</v>
      </c>
      <c r="F1056" s="103">
        <f>SUM('[3]chd9-SAOB'!AW14)</f>
        <v>769000</v>
      </c>
      <c r="G1056" s="103">
        <f>SUM('[3]chd9-SAOB'!AW50)</f>
        <v>0</v>
      </c>
      <c r="H1056" s="103">
        <f>SUM('[3]chd9-SAOB'!AW142)</f>
        <v>0</v>
      </c>
      <c r="I1056" s="103">
        <f>SUM(F1056:H1056)</f>
        <v>769000</v>
      </c>
      <c r="J1056" s="103">
        <f>SUM('[3]chd9-SAOB'!AW15)</f>
        <v>697510.32</v>
      </c>
      <c r="K1056" s="103">
        <f>SUM('[3]chd9-SAOB'!AW51)</f>
        <v>0</v>
      </c>
      <c r="L1056" s="103">
        <f>SUM('[3]chd9-SAOB'!AW143)</f>
        <v>0</v>
      </c>
      <c r="M1056" s="103">
        <f t="shared" si="360"/>
        <v>697510.32</v>
      </c>
      <c r="N1056" s="103">
        <f t="shared" si="366"/>
        <v>71489.680000000051</v>
      </c>
      <c r="O1056" s="103">
        <f t="shared" si="366"/>
        <v>0</v>
      </c>
      <c r="P1056" s="103">
        <f t="shared" si="366"/>
        <v>0</v>
      </c>
      <c r="Q1056" s="103">
        <f t="shared" si="367"/>
        <v>71489.680000000051</v>
      </c>
      <c r="S1056" s="730">
        <f t="shared" si="387"/>
        <v>0.90703552665799736</v>
      </c>
      <c r="T1056" s="730" t="str">
        <f t="shared" si="387"/>
        <v/>
      </c>
      <c r="U1056" s="730" t="str">
        <f t="shared" si="387"/>
        <v/>
      </c>
      <c r="V1056" s="730">
        <f t="shared" si="387"/>
        <v>0.90703552665799736</v>
      </c>
      <c r="W1056" s="531"/>
      <c r="X1056" s="236"/>
      <c r="Y1056" s="236" t="s">
        <v>598</v>
      </c>
      <c r="Z1056" s="236"/>
    </row>
    <row r="1057" spans="1:26" s="272" customFormat="1" ht="11.25" customHeight="1">
      <c r="A1057" s="528" t="s">
        <v>640</v>
      </c>
      <c r="B1057" s="528" t="s">
        <v>204</v>
      </c>
      <c r="C1057" s="389"/>
      <c r="D1057" s="650" t="s">
        <v>98</v>
      </c>
      <c r="E1057" s="390" t="s">
        <v>100</v>
      </c>
      <c r="F1057" s="391">
        <f t="shared" ref="F1057:M1057" si="390">SUM(F1058:F1062)</f>
        <v>220000</v>
      </c>
      <c r="G1057" s="391">
        <f t="shared" si="390"/>
        <v>0</v>
      </c>
      <c r="H1057" s="391">
        <f t="shared" si="390"/>
        <v>0</v>
      </c>
      <c r="I1057" s="391">
        <f t="shared" si="390"/>
        <v>220000</v>
      </c>
      <c r="J1057" s="391">
        <f t="shared" si="390"/>
        <v>205000</v>
      </c>
      <c r="K1057" s="391">
        <f t="shared" si="390"/>
        <v>0</v>
      </c>
      <c r="L1057" s="391">
        <f t="shared" si="390"/>
        <v>0</v>
      </c>
      <c r="M1057" s="391">
        <f t="shared" si="390"/>
        <v>205000</v>
      </c>
      <c r="N1057" s="391">
        <f t="shared" si="366"/>
        <v>15000</v>
      </c>
      <c r="O1057" s="391">
        <f t="shared" si="366"/>
        <v>0</v>
      </c>
      <c r="P1057" s="391">
        <f t="shared" si="366"/>
        <v>0</v>
      </c>
      <c r="Q1057" s="391">
        <f t="shared" si="367"/>
        <v>15000</v>
      </c>
      <c r="R1057" s="102"/>
      <c r="S1057" s="254">
        <f t="shared" si="387"/>
        <v>0.93181818181818177</v>
      </c>
      <c r="T1057" s="254" t="str">
        <f t="shared" si="387"/>
        <v/>
      </c>
      <c r="U1057" s="254" t="str">
        <f t="shared" si="387"/>
        <v/>
      </c>
      <c r="V1057" s="254">
        <f t="shared" si="387"/>
        <v>0.93181818181818177</v>
      </c>
      <c r="W1057" s="531"/>
      <c r="Y1057" s="272" t="s">
        <v>598</v>
      </c>
      <c r="Z1057" s="256" t="s">
        <v>598</v>
      </c>
    </row>
    <row r="1058" spans="1:26" ht="11.25" customHeight="1">
      <c r="A1058" s="528" t="s">
        <v>640</v>
      </c>
      <c r="B1058" s="1013" t="s">
        <v>204</v>
      </c>
      <c r="C1058" s="728"/>
      <c r="D1058" s="649" t="s">
        <v>288</v>
      </c>
      <c r="E1058" s="729" t="s">
        <v>288</v>
      </c>
      <c r="F1058" s="103">
        <f>SUM('[3]chd9-SAOB'!BG14)</f>
        <v>0</v>
      </c>
      <c r="G1058" s="103">
        <f>SUM('[3]chd9-SAOB'!BG50)</f>
        <v>0</v>
      </c>
      <c r="H1058" s="103">
        <f>SUM('[3]chd9-SAOB'!BG142)</f>
        <v>0</v>
      </c>
      <c r="I1058" s="103">
        <f>SUM(F1058:H1058)</f>
        <v>0</v>
      </c>
      <c r="J1058" s="103">
        <f>SUM('[3]chd9-SAOB'!BG15)</f>
        <v>0</v>
      </c>
      <c r="K1058" s="103">
        <f>SUM('[3]chd9-SAOB'!BG51)</f>
        <v>0</v>
      </c>
      <c r="L1058" s="103">
        <f>SUM('[3]chd9-SAOB'!BG143)</f>
        <v>0</v>
      </c>
      <c r="M1058" s="103">
        <f t="shared" si="360"/>
        <v>0</v>
      </c>
      <c r="N1058" s="103">
        <f t="shared" si="366"/>
        <v>0</v>
      </c>
      <c r="O1058" s="103">
        <f t="shared" si="366"/>
        <v>0</v>
      </c>
      <c r="P1058" s="103">
        <f t="shared" si="366"/>
        <v>0</v>
      </c>
      <c r="Q1058" s="103">
        <f t="shared" si="367"/>
        <v>0</v>
      </c>
      <c r="S1058" s="730" t="str">
        <f t="shared" si="387"/>
        <v/>
      </c>
      <c r="T1058" s="730" t="str">
        <f t="shared" si="387"/>
        <v/>
      </c>
      <c r="U1058" s="730" t="str">
        <f t="shared" si="387"/>
        <v/>
      </c>
      <c r="V1058" s="730" t="str">
        <f t="shared" si="387"/>
        <v/>
      </c>
      <c r="W1058" s="531"/>
      <c r="X1058" s="236"/>
      <c r="Y1058" s="236" t="s">
        <v>598</v>
      </c>
      <c r="Z1058" s="236"/>
    </row>
    <row r="1059" spans="1:26" ht="11.25" customHeight="1">
      <c r="A1059" s="528" t="s">
        <v>640</v>
      </c>
      <c r="B1059" s="1013" t="s">
        <v>204</v>
      </c>
      <c r="C1059" s="728"/>
      <c r="D1059" s="649" t="s">
        <v>761</v>
      </c>
      <c r="E1059" s="729" t="s">
        <v>761</v>
      </c>
      <c r="F1059" s="104">
        <f>+'[3]chd9-SAOB'!C403</f>
        <v>220000</v>
      </c>
      <c r="G1059" s="104"/>
      <c r="H1059" s="104"/>
      <c r="I1059" s="103">
        <f>SUM(F1059:H1059)</f>
        <v>220000</v>
      </c>
      <c r="J1059" s="104">
        <f>+'[3]chd9-SAOB'!G403</f>
        <v>205000</v>
      </c>
      <c r="K1059" s="104"/>
      <c r="L1059" s="104"/>
      <c r="M1059" s="103">
        <f>SUM(J1059:L1059)</f>
        <v>205000</v>
      </c>
      <c r="N1059" s="103">
        <f>+F1059-J1059</f>
        <v>15000</v>
      </c>
      <c r="O1059" s="103">
        <f>+G1059-K1059</f>
        <v>0</v>
      </c>
      <c r="P1059" s="103">
        <f>+H1059-L1059</f>
        <v>0</v>
      </c>
      <c r="Q1059" s="103">
        <f>SUM(N1059:P1059)</f>
        <v>15000</v>
      </c>
      <c r="S1059" s="730">
        <f t="shared" si="387"/>
        <v>0.93181818181818177</v>
      </c>
      <c r="T1059" s="730" t="str">
        <f t="shared" si="387"/>
        <v/>
      </c>
      <c r="U1059" s="730" t="str">
        <f t="shared" si="387"/>
        <v/>
      </c>
      <c r="V1059" s="730">
        <f t="shared" si="387"/>
        <v>0.93181818181818177</v>
      </c>
      <c r="W1059" s="531"/>
      <c r="X1059" s="236"/>
      <c r="Y1059" s="236" t="s">
        <v>688</v>
      </c>
      <c r="Z1059" s="236"/>
    </row>
    <row r="1060" spans="1:26" ht="11.25" customHeight="1">
      <c r="A1060" s="528" t="s">
        <v>640</v>
      </c>
      <c r="B1060" s="1013" t="s">
        <v>204</v>
      </c>
      <c r="C1060" s="410"/>
      <c r="D1060" s="647"/>
      <c r="E1060" s="461" t="s">
        <v>764</v>
      </c>
      <c r="F1060" s="104"/>
      <c r="G1060" s="104"/>
      <c r="H1060" s="104"/>
      <c r="I1060" s="103"/>
      <c r="J1060" s="104"/>
      <c r="K1060" s="104"/>
      <c r="L1060" s="104"/>
      <c r="M1060" s="103"/>
      <c r="N1060" s="103"/>
      <c r="O1060" s="103"/>
      <c r="P1060" s="103"/>
      <c r="Q1060" s="103"/>
      <c r="S1060" s="730" t="str">
        <f t="shared" si="387"/>
        <v/>
      </c>
      <c r="T1060" s="730" t="str">
        <f t="shared" si="387"/>
        <v/>
      </c>
      <c r="U1060" s="730" t="str">
        <f t="shared" si="387"/>
        <v/>
      </c>
      <c r="V1060" s="730" t="str">
        <f t="shared" si="387"/>
        <v/>
      </c>
      <c r="W1060" s="531"/>
      <c r="X1060" s="236"/>
      <c r="Y1060" s="236" t="s">
        <v>688</v>
      </c>
      <c r="Z1060" s="240"/>
    </row>
    <row r="1061" spans="1:26" ht="11.25" customHeight="1">
      <c r="A1061" s="528" t="s">
        <v>640</v>
      </c>
      <c r="B1061" s="1013" t="s">
        <v>204</v>
      </c>
      <c r="C1061" s="728"/>
      <c r="D1061" s="649" t="s">
        <v>289</v>
      </c>
      <c r="E1061" s="729" t="s">
        <v>289</v>
      </c>
      <c r="F1061" s="103">
        <f>SUM('[3]chd9-SAOB'!BQ14)</f>
        <v>0</v>
      </c>
      <c r="G1061" s="103">
        <f>SUM('[3]chd9-SAOB'!BQ50)</f>
        <v>0</v>
      </c>
      <c r="H1061" s="103">
        <f>SUM('[3]chd9-SAOB'!BQ142)</f>
        <v>0</v>
      </c>
      <c r="I1061" s="103">
        <f>SUM(F1061:H1061)</f>
        <v>0</v>
      </c>
      <c r="J1061" s="103">
        <f>SUM('[3]chd9-SAOB'!BQ15)</f>
        <v>0</v>
      </c>
      <c r="K1061" s="103">
        <f>SUM('[3]chd9-SAOB'!BQ51)</f>
        <v>0</v>
      </c>
      <c r="L1061" s="103">
        <f>SUM('[3]chd9-SAOB'!BQ143)</f>
        <v>0</v>
      </c>
      <c r="M1061" s="103">
        <f t="shared" si="360"/>
        <v>0</v>
      </c>
      <c r="N1061" s="103">
        <f t="shared" ref="N1061:P1127" si="391">+F1061-J1061</f>
        <v>0</v>
      </c>
      <c r="O1061" s="103">
        <f t="shared" si="391"/>
        <v>0</v>
      </c>
      <c r="P1061" s="103">
        <f t="shared" si="391"/>
        <v>0</v>
      </c>
      <c r="Q1061" s="103">
        <f t="shared" ref="Q1061:Q1127" si="392">SUM(N1061:P1061)</f>
        <v>0</v>
      </c>
      <c r="S1061" s="730" t="str">
        <f t="shared" si="387"/>
        <v/>
      </c>
      <c r="T1061" s="730" t="str">
        <f t="shared" si="387"/>
        <v/>
      </c>
      <c r="U1061" s="730" t="str">
        <f t="shared" si="387"/>
        <v/>
      </c>
      <c r="V1061" s="730" t="str">
        <f t="shared" si="387"/>
        <v/>
      </c>
      <c r="W1061" s="531"/>
      <c r="X1061" s="236"/>
      <c r="Y1061" s="236" t="s">
        <v>598</v>
      </c>
      <c r="Z1061" s="236"/>
    </row>
    <row r="1062" spans="1:26" ht="11.25" customHeight="1">
      <c r="A1062" s="528" t="s">
        <v>640</v>
      </c>
      <c r="B1062" s="1013" t="s">
        <v>204</v>
      </c>
      <c r="C1062" s="728"/>
      <c r="D1062" s="649" t="s">
        <v>290</v>
      </c>
      <c r="E1062" s="729" t="s">
        <v>290</v>
      </c>
      <c r="F1062" s="103">
        <f>SUM('[3]chd9-SAOB'!CA14)</f>
        <v>0</v>
      </c>
      <c r="G1062" s="103">
        <f>SUM('[3]chd9-SAOB'!CA50)</f>
        <v>0</v>
      </c>
      <c r="H1062" s="103">
        <f>SUM('[3]chd9-SAOB'!CA142)</f>
        <v>0</v>
      </c>
      <c r="I1062" s="103">
        <f>SUM(F1062:H1062)</f>
        <v>0</v>
      </c>
      <c r="J1062" s="103">
        <f>SUM('[3]chd9-SAOB'!CA15)</f>
        <v>0</v>
      </c>
      <c r="K1062" s="103">
        <f>SUM('[3]chd9-SAOB'!CA51)</f>
        <v>0</v>
      </c>
      <c r="L1062" s="103">
        <f>SUM('[3]chd9-SAOB'!CA143)</f>
        <v>0</v>
      </c>
      <c r="M1062" s="103">
        <f t="shared" si="360"/>
        <v>0</v>
      </c>
      <c r="N1062" s="103">
        <f t="shared" si="391"/>
        <v>0</v>
      </c>
      <c r="O1062" s="103">
        <f t="shared" si="391"/>
        <v>0</v>
      </c>
      <c r="P1062" s="103">
        <f t="shared" si="391"/>
        <v>0</v>
      </c>
      <c r="Q1062" s="103">
        <f t="shared" si="392"/>
        <v>0</v>
      </c>
      <c r="S1062" s="730" t="str">
        <f t="shared" si="387"/>
        <v/>
      </c>
      <c r="T1062" s="730" t="str">
        <f t="shared" si="387"/>
        <v/>
      </c>
      <c r="U1062" s="730" t="str">
        <f t="shared" si="387"/>
        <v/>
      </c>
      <c r="V1062" s="730" t="str">
        <f t="shared" si="387"/>
        <v/>
      </c>
      <c r="W1062" s="531"/>
      <c r="X1062" s="236"/>
      <c r="Y1062" s="236" t="s">
        <v>598</v>
      </c>
      <c r="Z1062" s="236"/>
    </row>
    <row r="1063" spans="1:26" s="259" customFormat="1" ht="11.25" customHeight="1">
      <c r="A1063" s="246" t="s">
        <v>640</v>
      </c>
      <c r="B1063" s="235" t="s">
        <v>204</v>
      </c>
      <c r="C1063" s="656"/>
      <c r="D1063" s="656"/>
      <c r="E1063" s="657" t="s">
        <v>4</v>
      </c>
      <c r="F1063" s="652">
        <f>+F1053+F1055+F1057</f>
        <v>9307000</v>
      </c>
      <c r="G1063" s="652">
        <f t="shared" ref="G1063:M1063" si="393">+G1053+G1055+G1057</f>
        <v>8030743</v>
      </c>
      <c r="H1063" s="652">
        <f t="shared" si="393"/>
        <v>0</v>
      </c>
      <c r="I1063" s="652">
        <f t="shared" si="393"/>
        <v>17337743</v>
      </c>
      <c r="J1063" s="652">
        <f t="shared" si="393"/>
        <v>8560619.3200000003</v>
      </c>
      <c r="K1063" s="652">
        <f t="shared" si="393"/>
        <v>6512615.1499999994</v>
      </c>
      <c r="L1063" s="652">
        <f t="shared" si="393"/>
        <v>0</v>
      </c>
      <c r="M1063" s="652">
        <f t="shared" si="393"/>
        <v>15073234.470000001</v>
      </c>
      <c r="N1063" s="652">
        <f t="shared" si="391"/>
        <v>746380.6799999997</v>
      </c>
      <c r="O1063" s="652">
        <f t="shared" si="391"/>
        <v>1518127.8500000006</v>
      </c>
      <c r="P1063" s="652">
        <f t="shared" si="391"/>
        <v>0</v>
      </c>
      <c r="Q1063" s="652">
        <f t="shared" si="392"/>
        <v>2264508.5300000003</v>
      </c>
      <c r="R1063" s="653">
        <f>+Q1063-'[3]chd9-SAOB'!DS179</f>
        <v>0</v>
      </c>
      <c r="S1063" s="1008">
        <f t="shared" si="387"/>
        <v>0.9198043752014613</v>
      </c>
      <c r="T1063" s="1008">
        <f t="shared" si="387"/>
        <v>0.81096047401840643</v>
      </c>
      <c r="U1063" s="1008" t="str">
        <f t="shared" si="387"/>
        <v/>
      </c>
      <c r="V1063" s="1008">
        <f t="shared" si="387"/>
        <v>0.86938850518201827</v>
      </c>
      <c r="W1063" s="254"/>
      <c r="X1063" s="520"/>
      <c r="Y1063" s="610" t="s">
        <v>598</v>
      </c>
      <c r="Z1063" s="241" t="s">
        <v>598</v>
      </c>
    </row>
    <row r="1064" spans="1:26" ht="11.25" customHeight="1">
      <c r="A1064" s="246" t="s">
        <v>640</v>
      </c>
      <c r="B1064" s="235" t="s">
        <v>204</v>
      </c>
      <c r="C1064" s="410"/>
      <c r="D1064" s="386"/>
      <c r="E1064" s="461" t="s">
        <v>764</v>
      </c>
      <c r="F1064" s="103"/>
      <c r="G1064" s="103"/>
      <c r="H1064" s="103"/>
      <c r="I1064" s="103">
        <f>SUM(F1064:H1064)</f>
        <v>0</v>
      </c>
      <c r="J1064" s="103"/>
      <c r="K1064" s="103"/>
      <c r="L1064" s="103"/>
      <c r="M1064" s="103">
        <f>SUM(J1064:L1064)</f>
        <v>0</v>
      </c>
      <c r="N1064" s="103">
        <f t="shared" si="391"/>
        <v>0</v>
      </c>
      <c r="O1064" s="103">
        <f t="shared" si="391"/>
        <v>0</v>
      </c>
      <c r="P1064" s="103">
        <f t="shared" si="391"/>
        <v>0</v>
      </c>
      <c r="Q1064" s="103">
        <f t="shared" si="392"/>
        <v>0</v>
      </c>
      <c r="S1064" s="730" t="str">
        <f t="shared" si="387"/>
        <v/>
      </c>
      <c r="T1064" s="730" t="str">
        <f t="shared" si="387"/>
        <v/>
      </c>
      <c r="U1064" s="730" t="str">
        <f t="shared" si="387"/>
        <v/>
      </c>
      <c r="V1064" s="730" t="str">
        <f t="shared" si="387"/>
        <v/>
      </c>
      <c r="W1064" s="254"/>
      <c r="Y1064" s="610" t="s">
        <v>598</v>
      </c>
      <c r="Z1064" s="241" t="s">
        <v>598</v>
      </c>
    </row>
    <row r="1065" spans="1:26" s="675" customFormat="1" ht="11.25" customHeight="1">
      <c r="A1065" s="528" t="s">
        <v>640</v>
      </c>
      <c r="B1065" s="528" t="s">
        <v>205</v>
      </c>
      <c r="C1065" s="407" t="s">
        <v>98</v>
      </c>
      <c r="D1065" s="655" t="s">
        <v>111</v>
      </c>
      <c r="E1065" s="408" t="s">
        <v>831</v>
      </c>
      <c r="F1065" s="673"/>
      <c r="G1065" s="673"/>
      <c r="H1065" s="673"/>
      <c r="I1065" s="674">
        <f>SUM(F1065:H1065)</f>
        <v>0</v>
      </c>
      <c r="J1065" s="673"/>
      <c r="K1065" s="673"/>
      <c r="L1065" s="673"/>
      <c r="M1065" s="674">
        <f>SUM(J1065:L1065)</f>
        <v>0</v>
      </c>
      <c r="N1065" s="674">
        <f t="shared" si="391"/>
        <v>0</v>
      </c>
      <c r="O1065" s="674">
        <f t="shared" si="391"/>
        <v>0</v>
      </c>
      <c r="P1065" s="674">
        <f t="shared" si="391"/>
        <v>0</v>
      </c>
      <c r="Q1065" s="674">
        <f t="shared" si="392"/>
        <v>0</v>
      </c>
      <c r="R1065" s="101"/>
      <c r="S1065" s="254" t="str">
        <f t="shared" si="387"/>
        <v/>
      </c>
      <c r="T1065" s="254" t="str">
        <f t="shared" si="387"/>
        <v/>
      </c>
      <c r="U1065" s="254" t="str">
        <f t="shared" si="387"/>
        <v/>
      </c>
      <c r="V1065" s="254" t="str">
        <f t="shared" si="387"/>
        <v/>
      </c>
      <c r="W1065" s="531"/>
      <c r="Y1065" s="272" t="s">
        <v>598</v>
      </c>
      <c r="Z1065" s="260" t="s">
        <v>598</v>
      </c>
    </row>
    <row r="1066" spans="1:26" ht="11.25" customHeight="1">
      <c r="A1066" s="528" t="s">
        <v>640</v>
      </c>
      <c r="B1066" s="1013" t="s">
        <v>205</v>
      </c>
      <c r="C1066" s="461"/>
      <c r="D1066" s="645" t="s">
        <v>766</v>
      </c>
      <c r="E1066" s="447" t="s">
        <v>766</v>
      </c>
      <c r="F1066" s="104">
        <f>+'[3]chd9-SAOB'!C407</f>
        <v>6539000</v>
      </c>
      <c r="G1066" s="104">
        <f>+'[3]chd9-SAOB'!D407</f>
        <v>3643000</v>
      </c>
      <c r="H1066" s="104">
        <f>+'[3]chd9-SAOB'!E407</f>
        <v>0</v>
      </c>
      <c r="I1066" s="103">
        <f>SUM(F1066:H1066)</f>
        <v>10182000</v>
      </c>
      <c r="J1066" s="104">
        <f>+'[3]chd9-SAOB'!G407</f>
        <v>5991011.46</v>
      </c>
      <c r="K1066" s="104">
        <f>+'[3]chd9-SAOB'!H407</f>
        <v>3501579.61</v>
      </c>
      <c r="L1066" s="104">
        <f>+'[3]chd9-SAOB'!I407</f>
        <v>0</v>
      </c>
      <c r="M1066" s="103">
        <f>SUM(J1066:L1066)</f>
        <v>9492591.0700000003</v>
      </c>
      <c r="N1066" s="103">
        <f t="shared" si="391"/>
        <v>547988.54</v>
      </c>
      <c r="O1066" s="103">
        <f t="shared" si="391"/>
        <v>141420.39000000013</v>
      </c>
      <c r="P1066" s="103">
        <f t="shared" si="391"/>
        <v>0</v>
      </c>
      <c r="Q1066" s="103">
        <f t="shared" si="392"/>
        <v>689408.93000000017</v>
      </c>
      <c r="S1066" s="730">
        <f t="shared" si="387"/>
        <v>0.916196889432635</v>
      </c>
      <c r="T1066" s="730">
        <f t="shared" si="387"/>
        <v>0.96118023881416415</v>
      </c>
      <c r="U1066" s="730" t="str">
        <f t="shared" si="387"/>
        <v/>
      </c>
      <c r="V1066" s="730">
        <f t="shared" si="387"/>
        <v>0.93229140345708117</v>
      </c>
      <c r="W1066" s="531"/>
      <c r="X1066" s="236"/>
      <c r="Y1066" s="236" t="s">
        <v>688</v>
      </c>
      <c r="Z1066" s="236"/>
    </row>
    <row r="1067" spans="1:26" ht="11.25" customHeight="1">
      <c r="A1067" s="528" t="s">
        <v>640</v>
      </c>
      <c r="B1067" s="1013" t="s">
        <v>205</v>
      </c>
      <c r="C1067" s="728"/>
      <c r="D1067" s="649" t="s">
        <v>50</v>
      </c>
      <c r="E1067" s="447" t="s">
        <v>50</v>
      </c>
      <c r="F1067" s="104"/>
      <c r="G1067" s="104">
        <f>+'[3]chd9-SAOB'!D409</f>
        <v>1652000</v>
      </c>
      <c r="H1067" s="104">
        <f>+'[3]chd9-SAOB'!E409</f>
        <v>0</v>
      </c>
      <c r="I1067" s="103">
        <f>SUM(F1067:H1067)</f>
        <v>1652000</v>
      </c>
      <c r="J1067" s="104"/>
      <c r="K1067" s="104">
        <f>+'[3]chd9-SAOB'!H409</f>
        <v>1421528.2000000002</v>
      </c>
      <c r="L1067" s="104">
        <f>+'[3]chd9-SAOB'!I409</f>
        <v>0</v>
      </c>
      <c r="M1067" s="103">
        <f>SUM(J1067:L1067)</f>
        <v>1421528.2000000002</v>
      </c>
      <c r="N1067" s="103">
        <f t="shared" si="391"/>
        <v>0</v>
      </c>
      <c r="O1067" s="103">
        <f t="shared" si="391"/>
        <v>230471.79999999981</v>
      </c>
      <c r="P1067" s="103">
        <f t="shared" si="391"/>
        <v>0</v>
      </c>
      <c r="Q1067" s="103">
        <f t="shared" si="392"/>
        <v>230471.79999999981</v>
      </c>
      <c r="S1067" s="730" t="str">
        <f t="shared" si="387"/>
        <v/>
      </c>
      <c r="T1067" s="730">
        <f t="shared" si="387"/>
        <v>0.86048922518159821</v>
      </c>
      <c r="U1067" s="730" t="str">
        <f t="shared" si="387"/>
        <v/>
      </c>
      <c r="V1067" s="730">
        <f t="shared" si="387"/>
        <v>0.86048922518159821</v>
      </c>
      <c r="W1067" s="531"/>
      <c r="X1067" s="236"/>
      <c r="Y1067" s="236" t="s">
        <v>688</v>
      </c>
      <c r="Z1067" s="236"/>
    </row>
    <row r="1068" spans="1:26" s="256" customFormat="1" ht="11.25" customHeight="1">
      <c r="A1068" s="528" t="s">
        <v>640</v>
      </c>
      <c r="B1068" s="528" t="s">
        <v>205</v>
      </c>
      <c r="C1068" s="389"/>
      <c r="D1068" s="650" t="s">
        <v>98</v>
      </c>
      <c r="E1068" s="390" t="s">
        <v>767</v>
      </c>
      <c r="F1068" s="391">
        <f>+F1066+F1067</f>
        <v>6539000</v>
      </c>
      <c r="G1068" s="391">
        <f t="shared" ref="G1068:M1068" si="394">+G1066+G1067</f>
        <v>5295000</v>
      </c>
      <c r="H1068" s="391">
        <f t="shared" si="394"/>
        <v>0</v>
      </c>
      <c r="I1068" s="391">
        <f t="shared" si="394"/>
        <v>11834000</v>
      </c>
      <c r="J1068" s="391">
        <f t="shared" si="394"/>
        <v>5991011.46</v>
      </c>
      <c r="K1068" s="391">
        <f t="shared" si="394"/>
        <v>4923107.8100000005</v>
      </c>
      <c r="L1068" s="391">
        <f t="shared" si="394"/>
        <v>0</v>
      </c>
      <c r="M1068" s="391">
        <f t="shared" si="394"/>
        <v>10914119.27</v>
      </c>
      <c r="N1068" s="391">
        <f t="shared" si="391"/>
        <v>547988.54</v>
      </c>
      <c r="O1068" s="391">
        <f t="shared" si="391"/>
        <v>371892.18999999948</v>
      </c>
      <c r="P1068" s="391">
        <f t="shared" si="391"/>
        <v>0</v>
      </c>
      <c r="Q1068" s="391">
        <f t="shared" si="392"/>
        <v>919880.72999999952</v>
      </c>
      <c r="R1068" s="101"/>
      <c r="S1068" s="254">
        <f t="shared" si="387"/>
        <v>0.916196889432635</v>
      </c>
      <c r="T1068" s="254">
        <f t="shared" si="387"/>
        <v>0.9297654032105761</v>
      </c>
      <c r="U1068" s="254" t="str">
        <f t="shared" si="387"/>
        <v/>
      </c>
      <c r="V1068" s="254">
        <f t="shared" si="387"/>
        <v>0.92226797955044781</v>
      </c>
      <c r="W1068" s="531"/>
      <c r="Y1068" s="256" t="s">
        <v>598</v>
      </c>
      <c r="Z1068" s="256" t="s">
        <v>598</v>
      </c>
    </row>
    <row r="1069" spans="1:26" ht="11.25" hidden="1" customHeight="1">
      <c r="A1069" s="528" t="s">
        <v>640</v>
      </c>
      <c r="B1069" s="1013" t="s">
        <v>205</v>
      </c>
      <c r="C1069" s="410"/>
      <c r="D1069" s="651"/>
      <c r="E1069" s="806" t="s">
        <v>764</v>
      </c>
      <c r="F1069" s="807"/>
      <c r="G1069" s="807"/>
      <c r="H1069" s="807"/>
      <c r="I1069" s="807"/>
      <c r="J1069" s="807"/>
      <c r="K1069" s="807"/>
      <c r="L1069" s="807"/>
      <c r="M1069" s="807"/>
      <c r="N1069" s="807">
        <f t="shared" si="391"/>
        <v>0</v>
      </c>
      <c r="O1069" s="807">
        <f t="shared" si="391"/>
        <v>0</v>
      </c>
      <c r="P1069" s="807">
        <f t="shared" si="391"/>
        <v>0</v>
      </c>
      <c r="Q1069" s="807">
        <f t="shared" si="392"/>
        <v>0</v>
      </c>
      <c r="R1069" s="276"/>
      <c r="S1069" s="730" t="str">
        <f t="shared" si="387"/>
        <v/>
      </c>
      <c r="T1069" s="730" t="str">
        <f t="shared" si="387"/>
        <v/>
      </c>
      <c r="U1069" s="730" t="str">
        <f t="shared" si="387"/>
        <v/>
      </c>
      <c r="V1069" s="730" t="str">
        <f t="shared" si="387"/>
        <v/>
      </c>
      <c r="W1069" s="531"/>
      <c r="X1069" s="236"/>
      <c r="Y1069" s="236"/>
      <c r="Z1069" s="236"/>
    </row>
    <row r="1070" spans="1:26" s="256" customFormat="1" ht="11.25" customHeight="1">
      <c r="A1070" s="528" t="s">
        <v>640</v>
      </c>
      <c r="B1070" s="528" t="s">
        <v>205</v>
      </c>
      <c r="C1070" s="389"/>
      <c r="D1070" s="650" t="s">
        <v>98</v>
      </c>
      <c r="E1070" s="390" t="s">
        <v>99</v>
      </c>
      <c r="F1070" s="391">
        <f>+F1071</f>
        <v>605000</v>
      </c>
      <c r="G1070" s="391">
        <f t="shared" ref="G1070:M1070" si="395">+G1071</f>
        <v>0</v>
      </c>
      <c r="H1070" s="391">
        <f t="shared" si="395"/>
        <v>0</v>
      </c>
      <c r="I1070" s="391">
        <f t="shared" si="395"/>
        <v>605000</v>
      </c>
      <c r="J1070" s="391">
        <f t="shared" si="395"/>
        <v>511203.56</v>
      </c>
      <c r="K1070" s="391">
        <f t="shared" si="395"/>
        <v>0</v>
      </c>
      <c r="L1070" s="391">
        <f t="shared" si="395"/>
        <v>0</v>
      </c>
      <c r="M1070" s="391">
        <f t="shared" si="395"/>
        <v>511203.56</v>
      </c>
      <c r="N1070" s="391">
        <f t="shared" si="391"/>
        <v>93796.44</v>
      </c>
      <c r="O1070" s="391">
        <f t="shared" si="391"/>
        <v>0</v>
      </c>
      <c r="P1070" s="391">
        <f t="shared" si="391"/>
        <v>0</v>
      </c>
      <c r="Q1070" s="391">
        <f t="shared" si="392"/>
        <v>93796.44</v>
      </c>
      <c r="R1070" s="101"/>
      <c r="S1070" s="254">
        <f t="shared" si="387"/>
        <v>0.84496456198347103</v>
      </c>
      <c r="T1070" s="254" t="str">
        <f t="shared" si="387"/>
        <v/>
      </c>
      <c r="U1070" s="254" t="str">
        <f t="shared" si="387"/>
        <v/>
      </c>
      <c r="V1070" s="254">
        <f t="shared" si="387"/>
        <v>0.84496456198347103</v>
      </c>
      <c r="W1070" s="531"/>
      <c r="Y1070" s="256" t="s">
        <v>598</v>
      </c>
      <c r="Z1070" s="256" t="s">
        <v>598</v>
      </c>
    </row>
    <row r="1071" spans="1:26" ht="11.25" customHeight="1">
      <c r="A1071" s="528" t="s">
        <v>640</v>
      </c>
      <c r="B1071" s="1013" t="s">
        <v>205</v>
      </c>
      <c r="C1071" s="728"/>
      <c r="D1071" s="649" t="s">
        <v>286</v>
      </c>
      <c r="E1071" s="729" t="s">
        <v>286</v>
      </c>
      <c r="F1071" s="103">
        <f>SUM('[3]chd9-SAOB'!AX14)</f>
        <v>605000</v>
      </c>
      <c r="G1071" s="103">
        <f>SUM('[3]chd9-SAOB'!AX50)</f>
        <v>0</v>
      </c>
      <c r="H1071" s="103">
        <f>SUM('[3]chd9-SAOB'!AX142)</f>
        <v>0</v>
      </c>
      <c r="I1071" s="103">
        <f>SUM(F1071:H1071)</f>
        <v>605000</v>
      </c>
      <c r="J1071" s="103">
        <f>SUM('[3]chd9-SAOB'!AX15)</f>
        <v>511203.56</v>
      </c>
      <c r="K1071" s="103">
        <f>SUM('[3]chd9-SAOB'!AX51)</f>
        <v>0</v>
      </c>
      <c r="L1071" s="103">
        <f>SUM('[3]chd9-SAOB'!AX143)</f>
        <v>0</v>
      </c>
      <c r="M1071" s="103">
        <f>SUM(J1071:L1071)</f>
        <v>511203.56</v>
      </c>
      <c r="N1071" s="103">
        <f t="shared" si="391"/>
        <v>93796.44</v>
      </c>
      <c r="O1071" s="103">
        <f t="shared" si="391"/>
        <v>0</v>
      </c>
      <c r="P1071" s="103">
        <f t="shared" si="391"/>
        <v>0</v>
      </c>
      <c r="Q1071" s="103">
        <f t="shared" si="392"/>
        <v>93796.44</v>
      </c>
      <c r="S1071" s="730">
        <f t="shared" si="387"/>
        <v>0.84496456198347103</v>
      </c>
      <c r="T1071" s="730" t="str">
        <f t="shared" si="387"/>
        <v/>
      </c>
      <c r="U1071" s="730" t="str">
        <f t="shared" si="387"/>
        <v/>
      </c>
      <c r="V1071" s="730">
        <f t="shared" si="387"/>
        <v>0.84496456198347103</v>
      </c>
      <c r="W1071" s="531"/>
      <c r="X1071" s="236"/>
      <c r="Y1071" s="236" t="s">
        <v>598</v>
      </c>
      <c r="Z1071" s="236"/>
    </row>
    <row r="1072" spans="1:26" s="272" customFormat="1" ht="11.25" customHeight="1">
      <c r="A1072" s="528" t="s">
        <v>640</v>
      </c>
      <c r="B1072" s="528" t="s">
        <v>205</v>
      </c>
      <c r="C1072" s="389"/>
      <c r="D1072" s="650" t="s">
        <v>98</v>
      </c>
      <c r="E1072" s="390" t="s">
        <v>100</v>
      </c>
      <c r="F1072" s="391">
        <f t="shared" ref="F1072:M1072" si="396">SUM(F1073:F1077)</f>
        <v>150000</v>
      </c>
      <c r="G1072" s="391">
        <f t="shared" si="396"/>
        <v>0</v>
      </c>
      <c r="H1072" s="391">
        <f t="shared" si="396"/>
        <v>0</v>
      </c>
      <c r="I1072" s="391">
        <f t="shared" si="396"/>
        <v>150000</v>
      </c>
      <c r="J1072" s="391">
        <f t="shared" si="396"/>
        <v>149999.85</v>
      </c>
      <c r="K1072" s="391">
        <f t="shared" si="396"/>
        <v>0</v>
      </c>
      <c r="L1072" s="391">
        <f t="shared" si="396"/>
        <v>0</v>
      </c>
      <c r="M1072" s="391">
        <f t="shared" si="396"/>
        <v>149999.85</v>
      </c>
      <c r="N1072" s="391">
        <f t="shared" si="391"/>
        <v>0.14999999999417923</v>
      </c>
      <c r="O1072" s="391">
        <f t="shared" si="391"/>
        <v>0</v>
      </c>
      <c r="P1072" s="391">
        <f t="shared" si="391"/>
        <v>0</v>
      </c>
      <c r="Q1072" s="391">
        <f t="shared" si="392"/>
        <v>0.14999999999417923</v>
      </c>
      <c r="R1072" s="102"/>
      <c r="S1072" s="254">
        <f t="shared" si="387"/>
        <v>0.99999900000000008</v>
      </c>
      <c r="T1072" s="254" t="str">
        <f t="shared" si="387"/>
        <v/>
      </c>
      <c r="U1072" s="254" t="str">
        <f t="shared" si="387"/>
        <v/>
      </c>
      <c r="V1072" s="254">
        <f t="shared" si="387"/>
        <v>0.99999900000000008</v>
      </c>
      <c r="W1072" s="531"/>
      <c r="Y1072" s="272" t="s">
        <v>598</v>
      </c>
      <c r="Z1072" s="256" t="s">
        <v>598</v>
      </c>
    </row>
    <row r="1073" spans="1:26" ht="11.25" customHeight="1">
      <c r="A1073" s="528" t="s">
        <v>640</v>
      </c>
      <c r="B1073" s="1013" t="s">
        <v>205</v>
      </c>
      <c r="C1073" s="728"/>
      <c r="D1073" s="649" t="s">
        <v>288</v>
      </c>
      <c r="E1073" s="729" t="s">
        <v>288</v>
      </c>
      <c r="F1073" s="103">
        <f>SUM('[3]chd9-SAOB'!BH14)</f>
        <v>0</v>
      </c>
      <c r="G1073" s="103">
        <f>SUM('[3]chd9-SAOB'!BH50)</f>
        <v>0</v>
      </c>
      <c r="H1073" s="103">
        <f>SUM('[3]chd9-SAOB'!BH142)</f>
        <v>0</v>
      </c>
      <c r="I1073" s="103">
        <f>SUM(F1073:H1073)</f>
        <v>0</v>
      </c>
      <c r="J1073" s="103">
        <f>SUM('[3]chd9-SAOB'!BH15)</f>
        <v>0</v>
      </c>
      <c r="K1073" s="103">
        <f>SUM('[3]chd9-SAOB'!BH51)</f>
        <v>0</v>
      </c>
      <c r="L1073" s="103">
        <f>SUM('[3]chd9-SAOB'!BH143)</f>
        <v>0</v>
      </c>
      <c r="M1073" s="103">
        <f>SUM(J1073:L1073)</f>
        <v>0</v>
      </c>
      <c r="N1073" s="103">
        <f t="shared" si="391"/>
        <v>0</v>
      </c>
      <c r="O1073" s="103">
        <f t="shared" si="391"/>
        <v>0</v>
      </c>
      <c r="P1073" s="103">
        <f t="shared" si="391"/>
        <v>0</v>
      </c>
      <c r="Q1073" s="103">
        <f t="shared" si="392"/>
        <v>0</v>
      </c>
      <c r="S1073" s="730" t="str">
        <f t="shared" si="387"/>
        <v/>
      </c>
      <c r="T1073" s="730" t="str">
        <f t="shared" si="387"/>
        <v/>
      </c>
      <c r="U1073" s="730" t="str">
        <f t="shared" si="387"/>
        <v/>
      </c>
      <c r="V1073" s="730" t="str">
        <f t="shared" si="387"/>
        <v/>
      </c>
      <c r="W1073" s="531"/>
      <c r="X1073" s="236"/>
      <c r="Y1073" s="236" t="s">
        <v>598</v>
      </c>
      <c r="Z1073" s="236"/>
    </row>
    <row r="1074" spans="1:26" ht="11.25" customHeight="1">
      <c r="A1074" s="528" t="s">
        <v>640</v>
      </c>
      <c r="B1074" s="1013" t="s">
        <v>205</v>
      </c>
      <c r="C1074" s="728"/>
      <c r="D1074" s="649" t="s">
        <v>761</v>
      </c>
      <c r="E1074" s="729" t="s">
        <v>761</v>
      </c>
      <c r="F1074" s="104">
        <f>+'[3]chd9-SAOB'!C409</f>
        <v>150000</v>
      </c>
      <c r="G1074" s="104"/>
      <c r="H1074" s="104"/>
      <c r="I1074" s="103">
        <f>SUM(F1074:H1074)</f>
        <v>150000</v>
      </c>
      <c r="J1074" s="104">
        <f>+'[3]chd9-SAOB'!G409</f>
        <v>149999.85</v>
      </c>
      <c r="K1074" s="104"/>
      <c r="L1074" s="104"/>
      <c r="M1074" s="103">
        <f>SUM(J1074:L1074)</f>
        <v>149999.85</v>
      </c>
      <c r="N1074" s="103">
        <f t="shared" si="391"/>
        <v>0.14999999999417923</v>
      </c>
      <c r="O1074" s="103">
        <f t="shared" si="391"/>
        <v>0</v>
      </c>
      <c r="P1074" s="103">
        <f t="shared" si="391"/>
        <v>0</v>
      </c>
      <c r="Q1074" s="103">
        <f>SUM(N1074:P1074)</f>
        <v>0.14999999999417923</v>
      </c>
      <c r="S1074" s="730">
        <f t="shared" si="387"/>
        <v>0.99999900000000008</v>
      </c>
      <c r="T1074" s="730" t="str">
        <f t="shared" si="387"/>
        <v/>
      </c>
      <c r="U1074" s="730" t="str">
        <f t="shared" si="387"/>
        <v/>
      </c>
      <c r="V1074" s="730">
        <f t="shared" si="387"/>
        <v>0.99999900000000008</v>
      </c>
      <c r="W1074" s="531"/>
      <c r="X1074" s="236"/>
      <c r="Y1074" s="236" t="s">
        <v>688</v>
      </c>
      <c r="Z1074" s="236"/>
    </row>
    <row r="1075" spans="1:26" ht="11.25" customHeight="1">
      <c r="A1075" s="528" t="s">
        <v>640</v>
      </c>
      <c r="B1075" s="1013" t="s">
        <v>205</v>
      </c>
      <c r="C1075" s="410"/>
      <c r="D1075" s="647"/>
      <c r="E1075" s="461" t="s">
        <v>764</v>
      </c>
      <c r="F1075" s="104"/>
      <c r="G1075" s="104"/>
      <c r="H1075" s="104"/>
      <c r="I1075" s="103"/>
      <c r="J1075" s="104"/>
      <c r="K1075" s="104"/>
      <c r="L1075" s="104"/>
      <c r="M1075" s="103"/>
      <c r="N1075" s="103"/>
      <c r="O1075" s="103"/>
      <c r="P1075" s="103"/>
      <c r="Q1075" s="103"/>
      <c r="S1075" s="730" t="str">
        <f t="shared" si="387"/>
        <v/>
      </c>
      <c r="T1075" s="730" t="str">
        <f t="shared" si="387"/>
        <v/>
      </c>
      <c r="U1075" s="730" t="str">
        <f t="shared" si="387"/>
        <v/>
      </c>
      <c r="V1075" s="730" t="str">
        <f t="shared" si="387"/>
        <v/>
      </c>
      <c r="W1075" s="531"/>
      <c r="X1075" s="236"/>
      <c r="Y1075" s="236" t="s">
        <v>688</v>
      </c>
      <c r="Z1075" s="240"/>
    </row>
    <row r="1076" spans="1:26" ht="11.25" customHeight="1">
      <c r="A1076" s="528" t="s">
        <v>640</v>
      </c>
      <c r="B1076" s="1013" t="s">
        <v>205</v>
      </c>
      <c r="C1076" s="728"/>
      <c r="D1076" s="649" t="s">
        <v>289</v>
      </c>
      <c r="E1076" s="729" t="s">
        <v>289</v>
      </c>
      <c r="F1076" s="103">
        <f>SUM('[3]chd9-SAOB'!BR14)</f>
        <v>0</v>
      </c>
      <c r="G1076" s="103">
        <f>SUM('[3]chd9-SAOB'!BR50)</f>
        <v>0</v>
      </c>
      <c r="H1076" s="103">
        <f>SUM('[3]chd9-SAOB'!BR142)</f>
        <v>0</v>
      </c>
      <c r="I1076" s="103">
        <f>SUM(F1076:H1076)</f>
        <v>0</v>
      </c>
      <c r="J1076" s="103">
        <f>SUM('[3]chd9-SAOB'!BR15)</f>
        <v>0</v>
      </c>
      <c r="K1076" s="103">
        <f>SUM('[3]chd9-SAOB'!BR51)</f>
        <v>0</v>
      </c>
      <c r="L1076" s="103">
        <f>SUM('[3]chd9-SAOB'!BR143)</f>
        <v>0</v>
      </c>
      <c r="M1076" s="103">
        <f>SUM(J1076:L1076)</f>
        <v>0</v>
      </c>
      <c r="N1076" s="103">
        <f t="shared" si="391"/>
        <v>0</v>
      </c>
      <c r="O1076" s="103">
        <f t="shared" si="391"/>
        <v>0</v>
      </c>
      <c r="P1076" s="103">
        <f t="shared" si="391"/>
        <v>0</v>
      </c>
      <c r="Q1076" s="103">
        <f t="shared" si="392"/>
        <v>0</v>
      </c>
      <c r="S1076" s="730" t="str">
        <f t="shared" si="387"/>
        <v/>
      </c>
      <c r="T1076" s="730" t="str">
        <f t="shared" si="387"/>
        <v/>
      </c>
      <c r="U1076" s="730" t="str">
        <f t="shared" si="387"/>
        <v/>
      </c>
      <c r="V1076" s="730" t="str">
        <f t="shared" si="387"/>
        <v/>
      </c>
      <c r="W1076" s="531"/>
      <c r="X1076" s="236"/>
      <c r="Y1076" s="236" t="s">
        <v>598</v>
      </c>
      <c r="Z1076" s="236"/>
    </row>
    <row r="1077" spans="1:26" ht="11.25" customHeight="1">
      <c r="A1077" s="528" t="s">
        <v>640</v>
      </c>
      <c r="B1077" s="1013" t="s">
        <v>205</v>
      </c>
      <c r="C1077" s="728"/>
      <c r="D1077" s="649" t="s">
        <v>290</v>
      </c>
      <c r="E1077" s="729" t="s">
        <v>290</v>
      </c>
      <c r="F1077" s="103">
        <f>SUM('[3]chd9-SAOB'!CB14)</f>
        <v>0</v>
      </c>
      <c r="G1077" s="103">
        <f>SUM('[3]chd9-SAOB'!CB50)</f>
        <v>0</v>
      </c>
      <c r="H1077" s="103">
        <f>SUM('[3]chd9-SAOB'!CB142)</f>
        <v>0</v>
      </c>
      <c r="I1077" s="103">
        <f>SUM(F1077:H1077)</f>
        <v>0</v>
      </c>
      <c r="J1077" s="103">
        <f>SUM('[3]chd9-SAOB'!CB15)</f>
        <v>0</v>
      </c>
      <c r="K1077" s="103">
        <f>SUM('[3]chd9-SAOB'!CB51)</f>
        <v>0</v>
      </c>
      <c r="L1077" s="103">
        <f>SUM('[3]chd9-SAOB'!CB143)</f>
        <v>0</v>
      </c>
      <c r="M1077" s="103">
        <f>SUM(J1077:L1077)</f>
        <v>0</v>
      </c>
      <c r="N1077" s="103">
        <f t="shared" si="391"/>
        <v>0</v>
      </c>
      <c r="O1077" s="103">
        <f t="shared" si="391"/>
        <v>0</v>
      </c>
      <c r="P1077" s="103">
        <f t="shared" si="391"/>
        <v>0</v>
      </c>
      <c r="Q1077" s="103">
        <f t="shared" si="392"/>
        <v>0</v>
      </c>
      <c r="S1077" s="730" t="str">
        <f t="shared" si="387"/>
        <v/>
      </c>
      <c r="T1077" s="730" t="str">
        <f t="shared" si="387"/>
        <v/>
      </c>
      <c r="U1077" s="730" t="str">
        <f t="shared" si="387"/>
        <v/>
      </c>
      <c r="V1077" s="730" t="str">
        <f t="shared" si="387"/>
        <v/>
      </c>
      <c r="W1077" s="531"/>
      <c r="X1077" s="236"/>
      <c r="Y1077" s="236" t="s">
        <v>598</v>
      </c>
      <c r="Z1077" s="236"/>
    </row>
    <row r="1078" spans="1:26" s="259" customFormat="1" ht="11.25" customHeight="1">
      <c r="A1078" s="246" t="s">
        <v>640</v>
      </c>
      <c r="B1078" s="235" t="s">
        <v>205</v>
      </c>
      <c r="C1078" s="656"/>
      <c r="D1078" s="656"/>
      <c r="E1078" s="657" t="s">
        <v>4</v>
      </c>
      <c r="F1078" s="652">
        <f>+F1068+F1070+F1072</f>
        <v>7294000</v>
      </c>
      <c r="G1078" s="652">
        <f t="shared" ref="G1078:M1078" si="397">+G1068+G1070+G1072</f>
        <v>5295000</v>
      </c>
      <c r="H1078" s="652">
        <f t="shared" si="397"/>
        <v>0</v>
      </c>
      <c r="I1078" s="652">
        <f t="shared" si="397"/>
        <v>12589000</v>
      </c>
      <c r="J1078" s="652">
        <f t="shared" si="397"/>
        <v>6652214.8699999992</v>
      </c>
      <c r="K1078" s="652">
        <f t="shared" si="397"/>
        <v>4923107.8100000005</v>
      </c>
      <c r="L1078" s="652">
        <f t="shared" si="397"/>
        <v>0</v>
      </c>
      <c r="M1078" s="652">
        <f t="shared" si="397"/>
        <v>11575322.68</v>
      </c>
      <c r="N1078" s="652">
        <f t="shared" si="391"/>
        <v>641785.13000000082</v>
      </c>
      <c r="O1078" s="652">
        <f t="shared" si="391"/>
        <v>371892.18999999948</v>
      </c>
      <c r="P1078" s="652">
        <f t="shared" si="391"/>
        <v>0</v>
      </c>
      <c r="Q1078" s="652">
        <f t="shared" si="392"/>
        <v>1013677.3200000003</v>
      </c>
      <c r="R1078" s="653">
        <f>+Q1078-'[3]chd9-SAOB'!DT179</f>
        <v>0</v>
      </c>
      <c r="S1078" s="1008">
        <f t="shared" si="387"/>
        <v>0.91201190978886748</v>
      </c>
      <c r="T1078" s="1008">
        <f t="shared" si="387"/>
        <v>0.9297654032105761</v>
      </c>
      <c r="U1078" s="1008" t="str">
        <f t="shared" si="387"/>
        <v/>
      </c>
      <c r="V1078" s="1008">
        <f t="shared" si="387"/>
        <v>0.9194791230439272</v>
      </c>
      <c r="W1078" s="254"/>
      <c r="X1078" s="520"/>
      <c r="Y1078" s="610" t="s">
        <v>598</v>
      </c>
      <c r="Z1078" s="241" t="s">
        <v>598</v>
      </c>
    </row>
    <row r="1079" spans="1:26" ht="11.25" hidden="1" customHeight="1">
      <c r="A1079" s="246"/>
      <c r="B1079" s="235"/>
      <c r="C1079" s="410"/>
      <c r="D1079" s="386"/>
      <c r="E1079" s="461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S1079" s="730" t="str">
        <f t="shared" si="387"/>
        <v/>
      </c>
      <c r="T1079" s="730" t="str">
        <f t="shared" si="387"/>
        <v/>
      </c>
      <c r="U1079" s="730" t="str">
        <f t="shared" si="387"/>
        <v/>
      </c>
      <c r="V1079" s="730" t="str">
        <f t="shared" si="387"/>
        <v/>
      </c>
      <c r="W1079" s="254"/>
      <c r="Z1079" s="241"/>
    </row>
    <row r="1080" spans="1:26" s="675" customFormat="1" ht="11.25" customHeight="1">
      <c r="A1080" s="528" t="s">
        <v>640</v>
      </c>
      <c r="B1080" s="528" t="s">
        <v>206</v>
      </c>
      <c r="C1080" s="407" t="s">
        <v>98</v>
      </c>
      <c r="D1080" s="655" t="s">
        <v>148</v>
      </c>
      <c r="E1080" s="408" t="s">
        <v>832</v>
      </c>
      <c r="F1080" s="673"/>
      <c r="G1080" s="673"/>
      <c r="H1080" s="673"/>
      <c r="I1080" s="674">
        <f>SUM(F1080:H1080)</f>
        <v>0</v>
      </c>
      <c r="J1080" s="673"/>
      <c r="K1080" s="673"/>
      <c r="L1080" s="673"/>
      <c r="M1080" s="674">
        <f>SUM(J1080:L1080)</f>
        <v>0</v>
      </c>
      <c r="N1080" s="674">
        <f t="shared" si="391"/>
        <v>0</v>
      </c>
      <c r="O1080" s="674">
        <f t="shared" si="391"/>
        <v>0</v>
      </c>
      <c r="P1080" s="674">
        <f t="shared" si="391"/>
        <v>0</v>
      </c>
      <c r="Q1080" s="674">
        <f t="shared" si="392"/>
        <v>0</v>
      </c>
      <c r="R1080" s="101"/>
      <c r="S1080" s="254" t="str">
        <f t="shared" si="387"/>
        <v/>
      </c>
      <c r="T1080" s="254" t="str">
        <f t="shared" si="387"/>
        <v/>
      </c>
      <c r="U1080" s="254" t="str">
        <f t="shared" si="387"/>
        <v/>
      </c>
      <c r="V1080" s="254" t="str">
        <f t="shared" si="387"/>
        <v/>
      </c>
      <c r="W1080" s="531"/>
      <c r="Y1080" s="272" t="s">
        <v>598</v>
      </c>
      <c r="Z1080" s="260" t="s">
        <v>598</v>
      </c>
    </row>
    <row r="1081" spans="1:26" ht="11.25" customHeight="1">
      <c r="A1081" s="528" t="s">
        <v>640</v>
      </c>
      <c r="B1081" s="1013" t="s">
        <v>206</v>
      </c>
      <c r="C1081" s="461"/>
      <c r="D1081" s="645" t="s">
        <v>766</v>
      </c>
      <c r="E1081" s="447" t="s">
        <v>766</v>
      </c>
      <c r="F1081" s="104">
        <f>+'[3]chd9-SAOB'!C413</f>
        <v>18361000</v>
      </c>
      <c r="G1081" s="104">
        <f>+'[3]chd9-SAOB'!D413</f>
        <v>11473000</v>
      </c>
      <c r="H1081" s="104">
        <f>+'[3]chd9-SAOB'!E413</f>
        <v>0</v>
      </c>
      <c r="I1081" s="103">
        <f>SUM(F1081:H1081)</f>
        <v>29834000</v>
      </c>
      <c r="J1081" s="104">
        <f>+'[3]chd9-SAOB'!G413</f>
        <v>16379073.210000001</v>
      </c>
      <c r="K1081" s="104">
        <f>+'[3]chd9-SAOB'!H413</f>
        <v>9387248.8000000007</v>
      </c>
      <c r="L1081" s="104">
        <f>+'[3]chd9-SAOB'!I413</f>
        <v>0</v>
      </c>
      <c r="M1081" s="103">
        <f>SUM(J1081:L1081)</f>
        <v>25766322.010000002</v>
      </c>
      <c r="N1081" s="103">
        <f t="shared" si="391"/>
        <v>1981926.7899999991</v>
      </c>
      <c r="O1081" s="103">
        <f t="shared" si="391"/>
        <v>2085751.1999999993</v>
      </c>
      <c r="P1081" s="103">
        <f t="shared" si="391"/>
        <v>0</v>
      </c>
      <c r="Q1081" s="103">
        <f t="shared" si="392"/>
        <v>4067677.9899999984</v>
      </c>
      <c r="S1081" s="730">
        <f t="shared" si="387"/>
        <v>0.89205779696094989</v>
      </c>
      <c r="T1081" s="730">
        <f t="shared" si="387"/>
        <v>0.81820350387867169</v>
      </c>
      <c r="U1081" s="730" t="str">
        <f t="shared" si="387"/>
        <v/>
      </c>
      <c r="V1081" s="730">
        <f t="shared" si="387"/>
        <v>0.86365629851846892</v>
      </c>
      <c r="W1081" s="531"/>
      <c r="X1081" s="236"/>
      <c r="Y1081" s="236" t="s">
        <v>688</v>
      </c>
      <c r="Z1081" s="236"/>
    </row>
    <row r="1082" spans="1:26" ht="11.25" customHeight="1">
      <c r="A1082" s="528" t="s">
        <v>640</v>
      </c>
      <c r="B1082" s="1013" t="s">
        <v>206</v>
      </c>
      <c r="C1082" s="728"/>
      <c r="D1082" s="649" t="s">
        <v>50</v>
      </c>
      <c r="E1082" s="447" t="s">
        <v>50</v>
      </c>
      <c r="F1082" s="104"/>
      <c r="G1082" s="104">
        <f>+'[3]chd9-SAOB'!D415</f>
        <v>2420000</v>
      </c>
      <c r="H1082" s="104">
        <f>+'[3]chd9-SAOB'!E415</f>
        <v>11000000</v>
      </c>
      <c r="I1082" s="103">
        <f>SUM(F1082:H1082)</f>
        <v>13420000</v>
      </c>
      <c r="J1082" s="104"/>
      <c r="K1082" s="104">
        <f>+'[3]chd9-SAOB'!H415</f>
        <v>1758946.04</v>
      </c>
      <c r="L1082" s="104">
        <f>+'[3]chd9-SAOB'!I415</f>
        <v>175000</v>
      </c>
      <c r="M1082" s="103">
        <f>SUM(J1082:L1082)</f>
        <v>1933946.04</v>
      </c>
      <c r="N1082" s="103">
        <f t="shared" si="391"/>
        <v>0</v>
      </c>
      <c r="O1082" s="103">
        <f t="shared" si="391"/>
        <v>661053.96</v>
      </c>
      <c r="P1082" s="103">
        <f t="shared" si="391"/>
        <v>10825000</v>
      </c>
      <c r="Q1082" s="103">
        <f t="shared" si="392"/>
        <v>11486053.960000001</v>
      </c>
      <c r="S1082" s="730" t="str">
        <f t="shared" si="387"/>
        <v/>
      </c>
      <c r="T1082" s="730">
        <f t="shared" si="387"/>
        <v>0.72683720661157025</v>
      </c>
      <c r="U1082" s="730">
        <f t="shared" si="387"/>
        <v>1.5909090909090907E-2</v>
      </c>
      <c r="V1082" s="730">
        <f t="shared" si="387"/>
        <v>0.1441092429210134</v>
      </c>
      <c r="W1082" s="531"/>
      <c r="X1082" s="236"/>
      <c r="Y1082" s="236" t="s">
        <v>688</v>
      </c>
      <c r="Z1082" s="236"/>
    </row>
    <row r="1083" spans="1:26" s="256" customFormat="1" ht="11.25" customHeight="1">
      <c r="A1083" s="528" t="s">
        <v>640</v>
      </c>
      <c r="B1083" s="528" t="s">
        <v>206</v>
      </c>
      <c r="C1083" s="389"/>
      <c r="D1083" s="650" t="s">
        <v>98</v>
      </c>
      <c r="E1083" s="390" t="s">
        <v>767</v>
      </c>
      <c r="F1083" s="391">
        <f>+F1081+F1082</f>
        <v>18361000</v>
      </c>
      <c r="G1083" s="391">
        <f t="shared" ref="G1083:M1083" si="398">+G1081+G1082</f>
        <v>13893000</v>
      </c>
      <c r="H1083" s="391">
        <f t="shared" si="398"/>
        <v>11000000</v>
      </c>
      <c r="I1083" s="391">
        <f t="shared" si="398"/>
        <v>43254000</v>
      </c>
      <c r="J1083" s="391">
        <f t="shared" si="398"/>
        <v>16379073.210000001</v>
      </c>
      <c r="K1083" s="391">
        <f t="shared" si="398"/>
        <v>11146194.84</v>
      </c>
      <c r="L1083" s="391">
        <f t="shared" si="398"/>
        <v>175000</v>
      </c>
      <c r="M1083" s="391">
        <f t="shared" si="398"/>
        <v>27700268.050000001</v>
      </c>
      <c r="N1083" s="391">
        <f t="shared" si="391"/>
        <v>1981926.7899999991</v>
      </c>
      <c r="O1083" s="391">
        <f t="shared" si="391"/>
        <v>2746805.16</v>
      </c>
      <c r="P1083" s="391">
        <f t="shared" si="391"/>
        <v>10825000</v>
      </c>
      <c r="Q1083" s="391">
        <f t="shared" si="392"/>
        <v>15553731.949999999</v>
      </c>
      <c r="R1083" s="101"/>
      <c r="S1083" s="254">
        <f t="shared" si="387"/>
        <v>0.89205779696094989</v>
      </c>
      <c r="T1083" s="254">
        <f t="shared" si="387"/>
        <v>0.80228855106888364</v>
      </c>
      <c r="U1083" s="254">
        <f t="shared" si="387"/>
        <v>1.5909090909090907E-2</v>
      </c>
      <c r="V1083" s="254">
        <f t="shared" si="387"/>
        <v>0.64040939681879139</v>
      </c>
      <c r="W1083" s="531"/>
      <c r="Y1083" s="256" t="s">
        <v>598</v>
      </c>
      <c r="Z1083" s="256" t="s">
        <v>598</v>
      </c>
    </row>
    <row r="1084" spans="1:26" ht="11.25" hidden="1" customHeight="1">
      <c r="A1084" s="528" t="s">
        <v>640</v>
      </c>
      <c r="B1084" s="1013" t="s">
        <v>206</v>
      </c>
      <c r="C1084" s="410"/>
      <c r="D1084" s="651"/>
      <c r="E1084" s="806" t="s">
        <v>764</v>
      </c>
      <c r="F1084" s="807"/>
      <c r="G1084" s="807"/>
      <c r="H1084" s="807"/>
      <c r="I1084" s="807"/>
      <c r="J1084" s="807"/>
      <c r="K1084" s="807"/>
      <c r="L1084" s="807"/>
      <c r="M1084" s="807"/>
      <c r="N1084" s="807">
        <f t="shared" si="391"/>
        <v>0</v>
      </c>
      <c r="O1084" s="807">
        <f t="shared" si="391"/>
        <v>0</v>
      </c>
      <c r="P1084" s="807">
        <f t="shared" si="391"/>
        <v>0</v>
      </c>
      <c r="Q1084" s="807">
        <f t="shared" si="392"/>
        <v>0</v>
      </c>
      <c r="R1084" s="276"/>
      <c r="S1084" s="730" t="str">
        <f t="shared" si="387"/>
        <v/>
      </c>
      <c r="T1084" s="730" t="str">
        <f t="shared" si="387"/>
        <v/>
      </c>
      <c r="U1084" s="730" t="str">
        <f t="shared" si="387"/>
        <v/>
      </c>
      <c r="V1084" s="730" t="str">
        <f t="shared" si="387"/>
        <v/>
      </c>
      <c r="W1084" s="531"/>
      <c r="X1084" s="236"/>
      <c r="Y1084" s="236"/>
      <c r="Z1084" s="236"/>
    </row>
    <row r="1085" spans="1:26" s="256" customFormat="1" ht="11.25" customHeight="1">
      <c r="A1085" s="528" t="s">
        <v>640</v>
      </c>
      <c r="B1085" s="528" t="s">
        <v>206</v>
      </c>
      <c r="C1085" s="389"/>
      <c r="D1085" s="650" t="s">
        <v>98</v>
      </c>
      <c r="E1085" s="390" t="s">
        <v>99</v>
      </c>
      <c r="F1085" s="391">
        <f>+F1086</f>
        <v>1742000</v>
      </c>
      <c r="G1085" s="391">
        <f t="shared" ref="G1085:M1085" si="399">+G1086</f>
        <v>0</v>
      </c>
      <c r="H1085" s="391">
        <f t="shared" si="399"/>
        <v>0</v>
      </c>
      <c r="I1085" s="391">
        <f t="shared" si="399"/>
        <v>1742000</v>
      </c>
      <c r="J1085" s="391">
        <f t="shared" si="399"/>
        <v>1543768.1500000001</v>
      </c>
      <c r="K1085" s="391">
        <f t="shared" si="399"/>
        <v>0</v>
      </c>
      <c r="L1085" s="391">
        <f t="shared" si="399"/>
        <v>0</v>
      </c>
      <c r="M1085" s="391">
        <f t="shared" si="399"/>
        <v>1543768.1500000001</v>
      </c>
      <c r="N1085" s="391">
        <f t="shared" si="391"/>
        <v>198231.84999999986</v>
      </c>
      <c r="O1085" s="391">
        <f t="shared" si="391"/>
        <v>0</v>
      </c>
      <c r="P1085" s="391">
        <f t="shared" si="391"/>
        <v>0</v>
      </c>
      <c r="Q1085" s="391">
        <f t="shared" si="392"/>
        <v>198231.84999999986</v>
      </c>
      <c r="R1085" s="101"/>
      <c r="S1085" s="254">
        <f t="shared" si="387"/>
        <v>0.88620444890929972</v>
      </c>
      <c r="T1085" s="254" t="str">
        <f t="shared" si="387"/>
        <v/>
      </c>
      <c r="U1085" s="254" t="str">
        <f t="shared" si="387"/>
        <v/>
      </c>
      <c r="V1085" s="254">
        <f t="shared" si="387"/>
        <v>0.88620444890929972</v>
      </c>
      <c r="W1085" s="531"/>
      <c r="Y1085" s="256" t="s">
        <v>598</v>
      </c>
      <c r="Z1085" s="256" t="s">
        <v>598</v>
      </c>
    </row>
    <row r="1086" spans="1:26" ht="11.25" customHeight="1">
      <c r="A1086" s="528" t="s">
        <v>640</v>
      </c>
      <c r="B1086" s="1013" t="s">
        <v>206</v>
      </c>
      <c r="C1086" s="728"/>
      <c r="D1086" s="649" t="s">
        <v>286</v>
      </c>
      <c r="E1086" s="729" t="s">
        <v>286</v>
      </c>
      <c r="F1086" s="103">
        <f>SUM('[3]chd9-SAOB'!AY14)</f>
        <v>1742000</v>
      </c>
      <c r="G1086" s="103">
        <f>SUM('[3]chd9-SAOB'!AY50)</f>
        <v>0</v>
      </c>
      <c r="H1086" s="103">
        <f>SUM('[3]chd9-SAOB'!AY142)</f>
        <v>0</v>
      </c>
      <c r="I1086" s="103">
        <f>SUM(F1086:H1086)</f>
        <v>1742000</v>
      </c>
      <c r="J1086" s="103">
        <f>SUM('[3]chd9-SAOB'!AY15)</f>
        <v>1543768.1500000001</v>
      </c>
      <c r="K1086" s="103">
        <f>SUM('[3]chd9-SAOB'!AY51)</f>
        <v>0</v>
      </c>
      <c r="L1086" s="103">
        <f>SUM('[3]chd9-SAOB'!AY143)</f>
        <v>0</v>
      </c>
      <c r="M1086" s="103">
        <f>SUM(J1086:L1086)</f>
        <v>1543768.1500000001</v>
      </c>
      <c r="N1086" s="103">
        <f t="shared" si="391"/>
        <v>198231.84999999986</v>
      </c>
      <c r="O1086" s="103">
        <f t="shared" si="391"/>
        <v>0</v>
      </c>
      <c r="P1086" s="103">
        <f t="shared" si="391"/>
        <v>0</v>
      </c>
      <c r="Q1086" s="103">
        <f t="shared" si="392"/>
        <v>198231.84999999986</v>
      </c>
      <c r="S1086" s="730">
        <f t="shared" si="387"/>
        <v>0.88620444890929972</v>
      </c>
      <c r="T1086" s="730" t="str">
        <f t="shared" si="387"/>
        <v/>
      </c>
      <c r="U1086" s="730" t="str">
        <f t="shared" si="387"/>
        <v/>
      </c>
      <c r="V1086" s="730">
        <f t="shared" si="387"/>
        <v>0.88620444890929972</v>
      </c>
      <c r="W1086" s="531"/>
      <c r="X1086" s="236"/>
      <c r="Y1086" s="236" t="s">
        <v>598</v>
      </c>
      <c r="Z1086" s="236"/>
    </row>
    <row r="1087" spans="1:26" s="272" customFormat="1" ht="11.25" customHeight="1">
      <c r="A1087" s="528" t="s">
        <v>640</v>
      </c>
      <c r="B1087" s="528" t="s">
        <v>206</v>
      </c>
      <c r="C1087" s="389"/>
      <c r="D1087" s="650" t="s">
        <v>98</v>
      </c>
      <c r="E1087" s="390" t="s">
        <v>100</v>
      </c>
      <c r="F1087" s="391">
        <f t="shared" ref="F1087:M1087" si="400">SUM(F1088:F1092)</f>
        <v>785000</v>
      </c>
      <c r="G1087" s="391">
        <f t="shared" si="400"/>
        <v>1200000</v>
      </c>
      <c r="H1087" s="391">
        <f t="shared" si="400"/>
        <v>0</v>
      </c>
      <c r="I1087" s="391">
        <f t="shared" si="400"/>
        <v>1985000</v>
      </c>
      <c r="J1087" s="391">
        <f t="shared" si="400"/>
        <v>785000</v>
      </c>
      <c r="K1087" s="391">
        <f t="shared" si="400"/>
        <v>1000000</v>
      </c>
      <c r="L1087" s="391">
        <f t="shared" si="400"/>
        <v>0</v>
      </c>
      <c r="M1087" s="391">
        <f t="shared" si="400"/>
        <v>1785000</v>
      </c>
      <c r="N1087" s="391">
        <f t="shared" si="391"/>
        <v>0</v>
      </c>
      <c r="O1087" s="391">
        <f t="shared" si="391"/>
        <v>200000</v>
      </c>
      <c r="P1087" s="391">
        <f t="shared" si="391"/>
        <v>0</v>
      </c>
      <c r="Q1087" s="391">
        <f t="shared" si="392"/>
        <v>200000</v>
      </c>
      <c r="R1087" s="102"/>
      <c r="S1087" s="254">
        <f t="shared" si="387"/>
        <v>1</v>
      </c>
      <c r="T1087" s="254">
        <f t="shared" si="387"/>
        <v>0.83333333333333337</v>
      </c>
      <c r="U1087" s="254" t="str">
        <f t="shared" si="387"/>
        <v/>
      </c>
      <c r="V1087" s="254">
        <f t="shared" si="387"/>
        <v>0.89924433249370272</v>
      </c>
      <c r="W1087" s="531"/>
      <c r="Y1087" s="272" t="s">
        <v>598</v>
      </c>
      <c r="Z1087" s="256" t="s">
        <v>598</v>
      </c>
    </row>
    <row r="1088" spans="1:26" ht="11.25" customHeight="1">
      <c r="A1088" s="528" t="s">
        <v>640</v>
      </c>
      <c r="B1088" s="1013" t="s">
        <v>206</v>
      </c>
      <c r="C1088" s="728"/>
      <c r="D1088" s="649" t="s">
        <v>288</v>
      </c>
      <c r="E1088" s="729" t="s">
        <v>288</v>
      </c>
      <c r="F1088" s="103">
        <f>SUM('[3]chd9-SAOB'!BI14)</f>
        <v>0</v>
      </c>
      <c r="G1088" s="103">
        <f>SUM('[3]chd9-SAOB'!BI50)</f>
        <v>0</v>
      </c>
      <c r="H1088" s="103">
        <f>SUM('[3]chd9-SAOB'!BI142)</f>
        <v>0</v>
      </c>
      <c r="I1088" s="103">
        <f>SUM(F1088:H1088)</f>
        <v>0</v>
      </c>
      <c r="J1088" s="103">
        <f>SUM('[3]chd9-SAOB'!BI15)</f>
        <v>0</v>
      </c>
      <c r="K1088" s="103">
        <f>SUM('[3]chd9-SAOB'!BI51)</f>
        <v>0</v>
      </c>
      <c r="L1088" s="103">
        <f>SUM('[3]chd9-SAOB'!BI143)</f>
        <v>0</v>
      </c>
      <c r="M1088" s="103">
        <f>SUM(J1088:L1088)</f>
        <v>0</v>
      </c>
      <c r="N1088" s="103">
        <f t="shared" si="391"/>
        <v>0</v>
      </c>
      <c r="O1088" s="103">
        <f t="shared" si="391"/>
        <v>0</v>
      </c>
      <c r="P1088" s="103">
        <f t="shared" si="391"/>
        <v>0</v>
      </c>
      <c r="Q1088" s="103">
        <f t="shared" si="392"/>
        <v>0</v>
      </c>
      <c r="S1088" s="730" t="str">
        <f t="shared" si="387"/>
        <v/>
      </c>
      <c r="T1088" s="730" t="str">
        <f t="shared" si="387"/>
        <v/>
      </c>
      <c r="U1088" s="730" t="str">
        <f t="shared" si="387"/>
        <v/>
      </c>
      <c r="V1088" s="730" t="str">
        <f t="shared" si="387"/>
        <v/>
      </c>
      <c r="W1088" s="531"/>
      <c r="X1088" s="236"/>
      <c r="Y1088" s="236" t="s">
        <v>598</v>
      </c>
      <c r="Z1088" s="236"/>
    </row>
    <row r="1089" spans="1:26" ht="11.25" customHeight="1">
      <c r="A1089" s="528" t="s">
        <v>640</v>
      </c>
      <c r="B1089" s="1013" t="s">
        <v>206</v>
      </c>
      <c r="C1089" s="728"/>
      <c r="D1089" s="649" t="s">
        <v>761</v>
      </c>
      <c r="E1089" s="729" t="s">
        <v>761</v>
      </c>
      <c r="F1089" s="104">
        <f>+'[3]chd9-SAOB'!C415</f>
        <v>785000</v>
      </c>
      <c r="G1089" s="104"/>
      <c r="H1089" s="104"/>
      <c r="I1089" s="103">
        <f>SUM(F1089:H1089)</f>
        <v>785000</v>
      </c>
      <c r="J1089" s="104">
        <f>+'[3]chd9-SAOB'!G415</f>
        <v>785000</v>
      </c>
      <c r="K1089" s="104"/>
      <c r="L1089" s="104"/>
      <c r="M1089" s="103">
        <f>SUM(J1089:L1089)</f>
        <v>785000</v>
      </c>
      <c r="N1089" s="103">
        <f>+F1089-J1089</f>
        <v>0</v>
      </c>
      <c r="O1089" s="103">
        <f>+G1089-K1089</f>
        <v>0</v>
      </c>
      <c r="P1089" s="103">
        <f>+H1089-L1089</f>
        <v>0</v>
      </c>
      <c r="Q1089" s="103">
        <f>SUM(N1089:P1089)</f>
        <v>0</v>
      </c>
      <c r="S1089" s="730">
        <f t="shared" si="387"/>
        <v>1</v>
      </c>
      <c r="T1089" s="730" t="str">
        <f t="shared" si="387"/>
        <v/>
      </c>
      <c r="U1089" s="730" t="str">
        <f t="shared" si="387"/>
        <v/>
      </c>
      <c r="V1089" s="730">
        <f t="shared" si="387"/>
        <v>1</v>
      </c>
      <c r="W1089" s="531"/>
      <c r="X1089" s="236"/>
      <c r="Y1089" s="236" t="s">
        <v>688</v>
      </c>
      <c r="Z1089" s="236"/>
    </row>
    <row r="1090" spans="1:26" ht="11.25" customHeight="1">
      <c r="A1090" s="528" t="s">
        <v>640</v>
      </c>
      <c r="B1090" s="1013" t="s">
        <v>206</v>
      </c>
      <c r="C1090" s="410"/>
      <c r="D1090" s="647"/>
      <c r="E1090" s="461" t="s">
        <v>764</v>
      </c>
      <c r="F1090" s="104"/>
      <c r="G1090" s="104"/>
      <c r="H1090" s="104"/>
      <c r="I1090" s="103"/>
      <c r="J1090" s="104"/>
      <c r="K1090" s="104"/>
      <c r="L1090" s="104"/>
      <c r="M1090" s="103"/>
      <c r="N1090" s="103"/>
      <c r="O1090" s="103"/>
      <c r="P1090" s="103"/>
      <c r="Q1090" s="103"/>
      <c r="S1090" s="730" t="str">
        <f t="shared" si="387"/>
        <v/>
      </c>
      <c r="T1090" s="730" t="str">
        <f t="shared" si="387"/>
        <v/>
      </c>
      <c r="U1090" s="730" t="str">
        <f t="shared" si="387"/>
        <v/>
      </c>
      <c r="V1090" s="730" t="str">
        <f t="shared" si="387"/>
        <v/>
      </c>
      <c r="W1090" s="531"/>
      <c r="X1090" s="236"/>
      <c r="Y1090" s="236" t="s">
        <v>688</v>
      </c>
      <c r="Z1090" s="240"/>
    </row>
    <row r="1091" spans="1:26" ht="11.25" customHeight="1">
      <c r="A1091" s="528" t="s">
        <v>640</v>
      </c>
      <c r="B1091" s="1013" t="s">
        <v>206</v>
      </c>
      <c r="C1091" s="728"/>
      <c r="D1091" s="649" t="s">
        <v>289</v>
      </c>
      <c r="E1091" s="729" t="s">
        <v>289</v>
      </c>
      <c r="F1091" s="103">
        <f>SUM('[3]chd9-SAOB'!BS14)</f>
        <v>0</v>
      </c>
      <c r="G1091" s="103">
        <f>SUM('[3]chd9-SAOB'!BS50)</f>
        <v>0</v>
      </c>
      <c r="H1091" s="103">
        <f>SUM('[3]chd9-SAOB'!BS142)</f>
        <v>0</v>
      </c>
      <c r="I1091" s="103">
        <f>SUM(F1091:H1091)</f>
        <v>0</v>
      </c>
      <c r="J1091" s="103">
        <f>SUM('[3]chd9-SAOB'!BS15)</f>
        <v>0</v>
      </c>
      <c r="K1091" s="103">
        <f>SUM('[3]chd9-SAOB'!BS51)</f>
        <v>0</v>
      </c>
      <c r="L1091" s="103">
        <f>SUM('[3]chd9-SAOB'!BS143)</f>
        <v>0</v>
      </c>
      <c r="M1091" s="103">
        <f>SUM(J1091:L1091)</f>
        <v>0</v>
      </c>
      <c r="N1091" s="103">
        <f t="shared" si="391"/>
        <v>0</v>
      </c>
      <c r="O1091" s="103">
        <f t="shared" si="391"/>
        <v>0</v>
      </c>
      <c r="P1091" s="103">
        <f t="shared" si="391"/>
        <v>0</v>
      </c>
      <c r="Q1091" s="103">
        <f t="shared" si="392"/>
        <v>0</v>
      </c>
      <c r="S1091" s="730" t="str">
        <f t="shared" si="387"/>
        <v/>
      </c>
      <c r="T1091" s="730" t="str">
        <f t="shared" si="387"/>
        <v/>
      </c>
      <c r="U1091" s="730" t="str">
        <f t="shared" si="387"/>
        <v/>
      </c>
      <c r="V1091" s="730" t="str">
        <f t="shared" si="387"/>
        <v/>
      </c>
      <c r="W1091" s="531"/>
      <c r="X1091" s="236"/>
      <c r="Y1091" s="236" t="s">
        <v>598</v>
      </c>
      <c r="Z1091" s="236"/>
    </row>
    <row r="1092" spans="1:26" ht="11.25" customHeight="1">
      <c r="A1092" s="528" t="s">
        <v>640</v>
      </c>
      <c r="B1092" s="1013" t="s">
        <v>206</v>
      </c>
      <c r="C1092" s="728"/>
      <c r="D1092" s="649" t="s">
        <v>290</v>
      </c>
      <c r="E1092" s="729" t="s">
        <v>290</v>
      </c>
      <c r="F1092" s="103">
        <f>SUM('[3]chd9-SAOB'!CC14)</f>
        <v>0</v>
      </c>
      <c r="G1092" s="103">
        <f>SUM('[3]chd9-SAOB'!CC50)</f>
        <v>1200000</v>
      </c>
      <c r="H1092" s="103">
        <f>SUM('[3]chd9-SAOB'!CC142)</f>
        <v>0</v>
      </c>
      <c r="I1092" s="103">
        <f>SUM(F1092:H1092)</f>
        <v>1200000</v>
      </c>
      <c r="J1092" s="103">
        <f>SUM('[3]chd9-SAOB'!CC15)</f>
        <v>0</v>
      </c>
      <c r="K1092" s="103">
        <f>SUM('[3]chd9-SAOB'!CC51)</f>
        <v>1000000</v>
      </c>
      <c r="L1092" s="103">
        <f>SUM('[3]chd9-SAOB'!CC143)</f>
        <v>0</v>
      </c>
      <c r="M1092" s="103">
        <f>SUM(J1092:L1092)</f>
        <v>1000000</v>
      </c>
      <c r="N1092" s="103">
        <f t="shared" si="391"/>
        <v>0</v>
      </c>
      <c r="O1092" s="103">
        <f t="shared" si="391"/>
        <v>200000</v>
      </c>
      <c r="P1092" s="103">
        <f t="shared" si="391"/>
        <v>0</v>
      </c>
      <c r="Q1092" s="103">
        <f t="shared" si="392"/>
        <v>200000</v>
      </c>
      <c r="S1092" s="730" t="str">
        <f t="shared" si="387"/>
        <v/>
      </c>
      <c r="T1092" s="730">
        <f t="shared" si="387"/>
        <v>0.83333333333333337</v>
      </c>
      <c r="U1092" s="730" t="str">
        <f t="shared" si="387"/>
        <v/>
      </c>
      <c r="V1092" s="730">
        <f t="shared" si="387"/>
        <v>0.83333333333333337</v>
      </c>
      <c r="W1092" s="531"/>
      <c r="X1092" s="236"/>
      <c r="Y1092" s="236" t="s">
        <v>598</v>
      </c>
      <c r="Z1092" s="236"/>
    </row>
    <row r="1093" spans="1:26" s="259" customFormat="1" ht="11.25" customHeight="1">
      <c r="A1093" s="246" t="s">
        <v>640</v>
      </c>
      <c r="B1093" s="235" t="s">
        <v>206</v>
      </c>
      <c r="C1093" s="656"/>
      <c r="D1093" s="656"/>
      <c r="E1093" s="657" t="s">
        <v>4</v>
      </c>
      <c r="F1093" s="652">
        <f>+F1083+F1085+F1087</f>
        <v>20888000</v>
      </c>
      <c r="G1093" s="652">
        <f t="shared" ref="G1093:M1093" si="401">+G1083+G1085+G1087</f>
        <v>15093000</v>
      </c>
      <c r="H1093" s="652">
        <f t="shared" si="401"/>
        <v>11000000</v>
      </c>
      <c r="I1093" s="652">
        <f t="shared" si="401"/>
        <v>46981000</v>
      </c>
      <c r="J1093" s="652">
        <f t="shared" si="401"/>
        <v>18707841.359999999</v>
      </c>
      <c r="K1093" s="652">
        <f t="shared" si="401"/>
        <v>12146194.84</v>
      </c>
      <c r="L1093" s="652">
        <f t="shared" si="401"/>
        <v>175000</v>
      </c>
      <c r="M1093" s="652">
        <f t="shared" si="401"/>
        <v>31029036.199999999</v>
      </c>
      <c r="N1093" s="652">
        <f t="shared" si="391"/>
        <v>2180158.6400000006</v>
      </c>
      <c r="O1093" s="652">
        <f t="shared" si="391"/>
        <v>2946805.16</v>
      </c>
      <c r="P1093" s="652">
        <f t="shared" si="391"/>
        <v>10825000</v>
      </c>
      <c r="Q1093" s="652">
        <f t="shared" si="392"/>
        <v>15951963.800000001</v>
      </c>
      <c r="R1093" s="653">
        <f>+Q1093-'[3]chd9-SAOB'!DU179</f>
        <v>0</v>
      </c>
      <c r="S1093" s="1008">
        <f t="shared" si="387"/>
        <v>0.89562626196859441</v>
      </c>
      <c r="T1093" s="1008">
        <f t="shared" si="387"/>
        <v>0.80475683031869072</v>
      </c>
      <c r="U1093" s="1008">
        <f t="shared" si="387"/>
        <v>1.5909090909090907E-2</v>
      </c>
      <c r="V1093" s="1008">
        <f t="shared" si="387"/>
        <v>0.660459253740874</v>
      </c>
      <c r="W1093" s="254"/>
      <c r="X1093" s="520"/>
      <c r="Y1093" s="610" t="s">
        <v>598</v>
      </c>
      <c r="Z1093" s="241" t="s">
        <v>598</v>
      </c>
    </row>
    <row r="1094" spans="1:26" ht="11.25" hidden="1" customHeight="1">
      <c r="A1094" s="246"/>
      <c r="B1094" s="235"/>
      <c r="C1094" s="410"/>
      <c r="D1094" s="386"/>
      <c r="E1094" s="461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S1094" s="730" t="str">
        <f t="shared" si="387"/>
        <v/>
      </c>
      <c r="T1094" s="730" t="str">
        <f t="shared" si="387"/>
        <v/>
      </c>
      <c r="U1094" s="730" t="str">
        <f t="shared" si="387"/>
        <v/>
      </c>
      <c r="V1094" s="730" t="str">
        <f t="shared" si="387"/>
        <v/>
      </c>
      <c r="W1094" s="254"/>
      <c r="Z1094" s="241"/>
    </row>
    <row r="1095" spans="1:26" s="675" customFormat="1" ht="10.5" customHeight="1">
      <c r="A1095" s="528" t="s">
        <v>640</v>
      </c>
      <c r="B1095" s="528" t="s">
        <v>207</v>
      </c>
      <c r="C1095" s="407" t="s">
        <v>98</v>
      </c>
      <c r="D1095" s="655" t="s">
        <v>189</v>
      </c>
      <c r="E1095" s="408" t="s">
        <v>833</v>
      </c>
      <c r="F1095" s="673"/>
      <c r="G1095" s="673"/>
      <c r="H1095" s="673"/>
      <c r="I1095" s="674">
        <f>SUM(F1095:H1095)</f>
        <v>0</v>
      </c>
      <c r="J1095" s="673"/>
      <c r="K1095" s="673"/>
      <c r="L1095" s="673"/>
      <c r="M1095" s="674">
        <f>SUM(J1095:L1095)</f>
        <v>0</v>
      </c>
      <c r="N1095" s="674">
        <f t="shared" si="391"/>
        <v>0</v>
      </c>
      <c r="O1095" s="674">
        <f t="shared" si="391"/>
        <v>0</v>
      </c>
      <c r="P1095" s="674">
        <f t="shared" si="391"/>
        <v>0</v>
      </c>
      <c r="Q1095" s="674">
        <f t="shared" si="392"/>
        <v>0</v>
      </c>
      <c r="R1095" s="101"/>
      <c r="S1095" s="254" t="str">
        <f t="shared" si="387"/>
        <v/>
      </c>
      <c r="T1095" s="254" t="str">
        <f t="shared" si="387"/>
        <v/>
      </c>
      <c r="U1095" s="254" t="str">
        <f t="shared" si="387"/>
        <v/>
      </c>
      <c r="V1095" s="254" t="str">
        <f t="shared" si="387"/>
        <v/>
      </c>
      <c r="W1095" s="531"/>
      <c r="Y1095" s="272" t="s">
        <v>598</v>
      </c>
      <c r="Z1095" s="260" t="s">
        <v>598</v>
      </c>
    </row>
    <row r="1096" spans="1:26" ht="10.5" customHeight="1">
      <c r="A1096" s="528" t="s">
        <v>640</v>
      </c>
      <c r="B1096" s="1013" t="s">
        <v>207</v>
      </c>
      <c r="C1096" s="461"/>
      <c r="D1096" s="645" t="s">
        <v>766</v>
      </c>
      <c r="E1096" s="447" t="s">
        <v>766</v>
      </c>
      <c r="F1096" s="104">
        <f>+'[3]chd9-SAOB'!C419</f>
        <v>38814853</v>
      </c>
      <c r="G1096" s="104">
        <f>+'[3]chd9-SAOB'!D419</f>
        <v>28004147</v>
      </c>
      <c r="H1096" s="104">
        <f>+'[3]chd9-SAOB'!E419</f>
        <v>0</v>
      </c>
      <c r="I1096" s="103">
        <f>SUM(F1096:H1096)</f>
        <v>66819000</v>
      </c>
      <c r="J1096" s="104">
        <f>+'[3]chd9-SAOB'!G419</f>
        <v>36411638</v>
      </c>
      <c r="K1096" s="104">
        <f>+'[3]chd9-SAOB'!H419</f>
        <v>22376889.650000002</v>
      </c>
      <c r="L1096" s="104">
        <f>+'[3]chd9-SAOB'!I419</f>
        <v>0</v>
      </c>
      <c r="M1096" s="103">
        <f>SUM(J1096:L1096)</f>
        <v>58788527.650000006</v>
      </c>
      <c r="N1096" s="103">
        <f t="shared" si="391"/>
        <v>2403215</v>
      </c>
      <c r="O1096" s="103">
        <f t="shared" si="391"/>
        <v>5627257.3499999978</v>
      </c>
      <c r="P1096" s="103">
        <f t="shared" si="391"/>
        <v>0</v>
      </c>
      <c r="Q1096" s="103">
        <f t="shared" si="392"/>
        <v>8030472.3499999978</v>
      </c>
      <c r="S1096" s="730">
        <f t="shared" si="387"/>
        <v>0.93808517064331021</v>
      </c>
      <c r="T1096" s="730">
        <f t="shared" si="387"/>
        <v>0.79905628441387633</v>
      </c>
      <c r="U1096" s="730" t="str">
        <f t="shared" si="387"/>
        <v/>
      </c>
      <c r="V1096" s="730">
        <f t="shared" si="387"/>
        <v>0.87981753169008825</v>
      </c>
      <c r="W1096" s="531"/>
      <c r="X1096" s="236"/>
      <c r="Y1096" s="236" t="s">
        <v>688</v>
      </c>
      <c r="Z1096" s="236"/>
    </row>
    <row r="1097" spans="1:26" ht="10.5" customHeight="1">
      <c r="A1097" s="528" t="s">
        <v>640</v>
      </c>
      <c r="B1097" s="1013" t="s">
        <v>207</v>
      </c>
      <c r="C1097" s="728"/>
      <c r="D1097" s="649" t="s">
        <v>50</v>
      </c>
      <c r="E1097" s="447" t="s">
        <v>50</v>
      </c>
      <c r="F1097" s="104"/>
      <c r="G1097" s="104">
        <f>+'[3]chd9-SAOB'!D421</f>
        <v>7220000</v>
      </c>
      <c r="H1097" s="104">
        <f>+'[3]chd9-SAOB'!E421</f>
        <v>20500000</v>
      </c>
      <c r="I1097" s="103">
        <f>SUM(F1097:H1097)</f>
        <v>27720000</v>
      </c>
      <c r="J1097" s="104"/>
      <c r="K1097" s="104">
        <f>+'[3]chd9-SAOB'!H421</f>
        <v>5948855.8100000005</v>
      </c>
      <c r="L1097" s="104">
        <f>+'[3]chd9-SAOB'!I421</f>
        <v>19738409.219999999</v>
      </c>
      <c r="M1097" s="103">
        <f>SUM(J1097:L1097)</f>
        <v>25687265.030000001</v>
      </c>
      <c r="N1097" s="103">
        <f t="shared" si="391"/>
        <v>0</v>
      </c>
      <c r="O1097" s="103">
        <f t="shared" si="391"/>
        <v>1271144.1899999995</v>
      </c>
      <c r="P1097" s="103">
        <f t="shared" si="391"/>
        <v>761590.78000000119</v>
      </c>
      <c r="Q1097" s="103">
        <f t="shared" si="392"/>
        <v>2032734.9700000007</v>
      </c>
      <c r="S1097" s="730" t="str">
        <f t="shared" si="387"/>
        <v/>
      </c>
      <c r="T1097" s="730">
        <f t="shared" si="387"/>
        <v>0.82394124792243773</v>
      </c>
      <c r="U1097" s="730">
        <f t="shared" si="387"/>
        <v>0.96284923024390234</v>
      </c>
      <c r="V1097" s="730">
        <f t="shared" si="387"/>
        <v>0.92666901262626267</v>
      </c>
      <c r="W1097" s="531"/>
      <c r="X1097" s="236"/>
      <c r="Y1097" s="236" t="s">
        <v>688</v>
      </c>
      <c r="Z1097" s="236"/>
    </row>
    <row r="1098" spans="1:26" s="256" customFormat="1" ht="10.5" customHeight="1">
      <c r="A1098" s="528" t="s">
        <v>640</v>
      </c>
      <c r="B1098" s="528" t="s">
        <v>207</v>
      </c>
      <c r="C1098" s="389"/>
      <c r="D1098" s="650" t="s">
        <v>98</v>
      </c>
      <c r="E1098" s="390" t="s">
        <v>767</v>
      </c>
      <c r="F1098" s="391">
        <f>+F1096+F1097</f>
        <v>38814853</v>
      </c>
      <c r="G1098" s="391">
        <f t="shared" ref="G1098:M1098" si="402">+G1096+G1097</f>
        <v>35224147</v>
      </c>
      <c r="H1098" s="391">
        <f t="shared" si="402"/>
        <v>20500000</v>
      </c>
      <c r="I1098" s="391">
        <f t="shared" si="402"/>
        <v>94539000</v>
      </c>
      <c r="J1098" s="391">
        <f t="shared" si="402"/>
        <v>36411638</v>
      </c>
      <c r="K1098" s="391">
        <f t="shared" si="402"/>
        <v>28325745.460000001</v>
      </c>
      <c r="L1098" s="391">
        <f t="shared" si="402"/>
        <v>19738409.219999999</v>
      </c>
      <c r="M1098" s="391">
        <f t="shared" si="402"/>
        <v>84475792.680000007</v>
      </c>
      <c r="N1098" s="391">
        <f t="shared" si="391"/>
        <v>2403215</v>
      </c>
      <c r="O1098" s="391">
        <f t="shared" si="391"/>
        <v>6898401.5399999991</v>
      </c>
      <c r="P1098" s="391">
        <f t="shared" si="391"/>
        <v>761590.78000000119</v>
      </c>
      <c r="Q1098" s="391">
        <f t="shared" si="392"/>
        <v>10063207.32</v>
      </c>
      <c r="R1098" s="101"/>
      <c r="S1098" s="254">
        <f t="shared" si="387"/>
        <v>0.93808517064331021</v>
      </c>
      <c r="T1098" s="254">
        <f t="shared" si="387"/>
        <v>0.8041570306869319</v>
      </c>
      <c r="U1098" s="254">
        <f t="shared" si="387"/>
        <v>0.96284923024390234</v>
      </c>
      <c r="V1098" s="254">
        <f t="shared" si="387"/>
        <v>0.89355496334845941</v>
      </c>
      <c r="W1098" s="531"/>
      <c r="Y1098" s="256" t="s">
        <v>598</v>
      </c>
      <c r="Z1098" s="256" t="s">
        <v>598</v>
      </c>
    </row>
    <row r="1099" spans="1:26" ht="10.5" hidden="1" customHeight="1">
      <c r="A1099" s="528" t="s">
        <v>640</v>
      </c>
      <c r="B1099" s="1013" t="s">
        <v>207</v>
      </c>
      <c r="C1099" s="410"/>
      <c r="D1099" s="651"/>
      <c r="E1099" s="806" t="s">
        <v>764</v>
      </c>
      <c r="F1099" s="807"/>
      <c r="G1099" s="807"/>
      <c r="H1099" s="807"/>
      <c r="I1099" s="807"/>
      <c r="J1099" s="807"/>
      <c r="K1099" s="807"/>
      <c r="L1099" s="807"/>
      <c r="M1099" s="807"/>
      <c r="N1099" s="807">
        <f t="shared" si="391"/>
        <v>0</v>
      </c>
      <c r="O1099" s="807">
        <f t="shared" si="391"/>
        <v>0</v>
      </c>
      <c r="P1099" s="807">
        <f t="shared" si="391"/>
        <v>0</v>
      </c>
      <c r="Q1099" s="807">
        <f t="shared" si="392"/>
        <v>0</v>
      </c>
      <c r="R1099" s="276"/>
      <c r="S1099" s="730" t="str">
        <f t="shared" si="387"/>
        <v/>
      </c>
      <c r="T1099" s="730" t="str">
        <f t="shared" si="387"/>
        <v/>
      </c>
      <c r="U1099" s="730" t="str">
        <f t="shared" si="387"/>
        <v/>
      </c>
      <c r="V1099" s="730" t="str">
        <f t="shared" si="387"/>
        <v/>
      </c>
      <c r="W1099" s="531"/>
      <c r="X1099" s="236"/>
      <c r="Y1099" s="236"/>
      <c r="Z1099" s="236"/>
    </row>
    <row r="1100" spans="1:26" s="256" customFormat="1" ht="10.5" customHeight="1">
      <c r="A1100" s="528" t="s">
        <v>640</v>
      </c>
      <c r="B1100" s="528" t="s">
        <v>207</v>
      </c>
      <c r="C1100" s="389"/>
      <c r="D1100" s="650" t="s">
        <v>98</v>
      </c>
      <c r="E1100" s="390" t="s">
        <v>99</v>
      </c>
      <c r="F1100" s="391">
        <f>+F1101</f>
        <v>3594729</v>
      </c>
      <c r="G1100" s="391">
        <f t="shared" ref="G1100:M1100" si="403">+G1101</f>
        <v>0</v>
      </c>
      <c r="H1100" s="391">
        <f t="shared" si="403"/>
        <v>0</v>
      </c>
      <c r="I1100" s="391">
        <f t="shared" si="403"/>
        <v>3594729</v>
      </c>
      <c r="J1100" s="391">
        <f t="shared" si="403"/>
        <v>3148882.47</v>
      </c>
      <c r="K1100" s="391">
        <f t="shared" si="403"/>
        <v>0</v>
      </c>
      <c r="L1100" s="391">
        <f t="shared" si="403"/>
        <v>0</v>
      </c>
      <c r="M1100" s="391">
        <f t="shared" si="403"/>
        <v>3148882.47</v>
      </c>
      <c r="N1100" s="391">
        <f t="shared" si="391"/>
        <v>445846.5299999998</v>
      </c>
      <c r="O1100" s="391">
        <f t="shared" si="391"/>
        <v>0</v>
      </c>
      <c r="P1100" s="391">
        <f t="shared" si="391"/>
        <v>0</v>
      </c>
      <c r="Q1100" s="391">
        <f t="shared" si="392"/>
        <v>445846.5299999998</v>
      </c>
      <c r="R1100" s="101"/>
      <c r="S1100" s="254">
        <f t="shared" si="387"/>
        <v>0.87597214421448744</v>
      </c>
      <c r="T1100" s="254" t="str">
        <f t="shared" si="387"/>
        <v/>
      </c>
      <c r="U1100" s="254" t="str">
        <f t="shared" si="387"/>
        <v/>
      </c>
      <c r="V1100" s="254">
        <f t="shared" si="387"/>
        <v>0.87597214421448744</v>
      </c>
      <c r="W1100" s="531"/>
      <c r="Y1100" s="256" t="s">
        <v>598</v>
      </c>
      <c r="Z1100" s="256" t="s">
        <v>598</v>
      </c>
    </row>
    <row r="1101" spans="1:26" ht="10.5" customHeight="1">
      <c r="A1101" s="528" t="s">
        <v>640</v>
      </c>
      <c r="B1101" s="1013" t="s">
        <v>207</v>
      </c>
      <c r="C1101" s="728"/>
      <c r="D1101" s="649" t="s">
        <v>286</v>
      </c>
      <c r="E1101" s="729" t="s">
        <v>286</v>
      </c>
      <c r="F1101" s="103">
        <f>SUM('[3]chd9-SAOB'!AZ14)</f>
        <v>3594729</v>
      </c>
      <c r="G1101" s="103">
        <f>SUM('[3]chd9-SAOB'!AZ50)</f>
        <v>0</v>
      </c>
      <c r="H1101" s="103">
        <f>SUM('[3]chd9-SAOB'!AZ142)</f>
        <v>0</v>
      </c>
      <c r="I1101" s="103">
        <f>SUM(F1101:H1101)</f>
        <v>3594729</v>
      </c>
      <c r="J1101" s="103">
        <f>SUM('[3]chd9-SAOB'!AZ15)</f>
        <v>3148882.47</v>
      </c>
      <c r="K1101" s="103">
        <f>SUM('[3]chd9-SAOB'!AZ51)</f>
        <v>0</v>
      </c>
      <c r="L1101" s="103">
        <f>SUM('[3]chd9-SAOB'!AZ143)</f>
        <v>0</v>
      </c>
      <c r="M1101" s="103">
        <f>SUM(J1101:L1101)</f>
        <v>3148882.47</v>
      </c>
      <c r="N1101" s="103">
        <f t="shared" si="391"/>
        <v>445846.5299999998</v>
      </c>
      <c r="O1101" s="103">
        <f t="shared" si="391"/>
        <v>0</v>
      </c>
      <c r="P1101" s="103">
        <f t="shared" si="391"/>
        <v>0</v>
      </c>
      <c r="Q1101" s="103">
        <f t="shared" si="392"/>
        <v>445846.5299999998</v>
      </c>
      <c r="S1101" s="730">
        <f t="shared" si="387"/>
        <v>0.87597214421448744</v>
      </c>
      <c r="T1101" s="730" t="str">
        <f t="shared" si="387"/>
        <v/>
      </c>
      <c r="U1101" s="730" t="str">
        <f t="shared" si="387"/>
        <v/>
      </c>
      <c r="V1101" s="730">
        <f t="shared" si="387"/>
        <v>0.87597214421448744</v>
      </c>
      <c r="W1101" s="531"/>
      <c r="X1101" s="236"/>
      <c r="Y1101" s="236" t="s">
        <v>598</v>
      </c>
      <c r="Z1101" s="236"/>
    </row>
    <row r="1102" spans="1:26" s="272" customFormat="1" ht="10.5" customHeight="1">
      <c r="A1102" s="528" t="s">
        <v>640</v>
      </c>
      <c r="B1102" s="528" t="s">
        <v>207</v>
      </c>
      <c r="C1102" s="389"/>
      <c r="D1102" s="650" t="s">
        <v>98</v>
      </c>
      <c r="E1102" s="390" t="s">
        <v>100</v>
      </c>
      <c r="F1102" s="391">
        <f t="shared" ref="F1102:M1102" si="404">SUM(F1103:F1107)</f>
        <v>1878917</v>
      </c>
      <c r="G1102" s="391">
        <f t="shared" si="404"/>
        <v>0</v>
      </c>
      <c r="H1102" s="391">
        <f t="shared" si="404"/>
        <v>0</v>
      </c>
      <c r="I1102" s="391">
        <f t="shared" si="404"/>
        <v>1878917</v>
      </c>
      <c r="J1102" s="391">
        <f t="shared" si="404"/>
        <v>862500</v>
      </c>
      <c r="K1102" s="391">
        <f t="shared" si="404"/>
        <v>0</v>
      </c>
      <c r="L1102" s="391">
        <f t="shared" si="404"/>
        <v>0</v>
      </c>
      <c r="M1102" s="391">
        <f t="shared" si="404"/>
        <v>862500</v>
      </c>
      <c r="N1102" s="391">
        <f t="shared" si="391"/>
        <v>1016417</v>
      </c>
      <c r="O1102" s="391">
        <f t="shared" si="391"/>
        <v>0</v>
      </c>
      <c r="P1102" s="391">
        <f t="shared" si="391"/>
        <v>0</v>
      </c>
      <c r="Q1102" s="391">
        <f t="shared" si="392"/>
        <v>1016417</v>
      </c>
      <c r="R1102" s="102"/>
      <c r="S1102" s="254">
        <f t="shared" si="387"/>
        <v>0.45904103267999596</v>
      </c>
      <c r="T1102" s="254" t="str">
        <f t="shared" si="387"/>
        <v/>
      </c>
      <c r="U1102" s="254" t="str">
        <f t="shared" si="387"/>
        <v/>
      </c>
      <c r="V1102" s="254">
        <f t="shared" si="387"/>
        <v>0.45904103267999596</v>
      </c>
      <c r="W1102" s="531"/>
      <c r="Y1102" s="272" t="s">
        <v>598</v>
      </c>
      <c r="Z1102" s="256" t="s">
        <v>598</v>
      </c>
    </row>
    <row r="1103" spans="1:26" ht="10.5" customHeight="1">
      <c r="A1103" s="528" t="s">
        <v>640</v>
      </c>
      <c r="B1103" s="1013" t="s">
        <v>207</v>
      </c>
      <c r="C1103" s="728"/>
      <c r="D1103" s="649" t="s">
        <v>288</v>
      </c>
      <c r="E1103" s="729" t="s">
        <v>288</v>
      </c>
      <c r="F1103" s="103">
        <f>SUM('[3]chd9-SAOB'!BJ14)</f>
        <v>998917</v>
      </c>
      <c r="G1103" s="103">
        <f>SUM('[3]chd9-SAOB'!BJ50)</f>
        <v>0</v>
      </c>
      <c r="H1103" s="103">
        <f>SUM('[3]chd9-SAOB'!BJ142)</f>
        <v>0</v>
      </c>
      <c r="I1103" s="103">
        <f>SUM(F1103:H1103)</f>
        <v>998917</v>
      </c>
      <c r="J1103" s="103">
        <f>SUM('[3]chd9-SAOB'!BJ15)</f>
        <v>0</v>
      </c>
      <c r="K1103" s="103">
        <f>SUM('[3]chd9-SAOB'!BJ51)</f>
        <v>0</v>
      </c>
      <c r="L1103" s="103">
        <f>SUM('[3]chd9-SAOB'!BJ143)</f>
        <v>0</v>
      </c>
      <c r="M1103" s="103">
        <f>SUM(J1103:L1103)</f>
        <v>0</v>
      </c>
      <c r="N1103" s="103">
        <f t="shared" si="391"/>
        <v>998917</v>
      </c>
      <c r="O1103" s="103">
        <f t="shared" si="391"/>
        <v>0</v>
      </c>
      <c r="P1103" s="103">
        <f t="shared" si="391"/>
        <v>0</v>
      </c>
      <c r="Q1103" s="103">
        <f t="shared" si="392"/>
        <v>998917</v>
      </c>
      <c r="S1103" s="730">
        <f t="shared" si="387"/>
        <v>0</v>
      </c>
      <c r="T1103" s="730" t="str">
        <f t="shared" si="387"/>
        <v/>
      </c>
      <c r="U1103" s="730" t="str">
        <f t="shared" si="387"/>
        <v/>
      </c>
      <c r="V1103" s="730">
        <f t="shared" si="387"/>
        <v>0</v>
      </c>
      <c r="W1103" s="531"/>
      <c r="X1103" s="236"/>
      <c r="Y1103" s="236" t="s">
        <v>598</v>
      </c>
      <c r="Z1103" s="236"/>
    </row>
    <row r="1104" spans="1:26" ht="10.5" customHeight="1">
      <c r="A1104" s="528" t="s">
        <v>640</v>
      </c>
      <c r="B1104" s="1013" t="s">
        <v>207</v>
      </c>
      <c r="C1104" s="728"/>
      <c r="D1104" s="649" t="s">
        <v>761</v>
      </c>
      <c r="E1104" s="729" t="s">
        <v>761</v>
      </c>
      <c r="F1104" s="104">
        <f>+'[3]chd9-SAOB'!C421</f>
        <v>880000</v>
      </c>
      <c r="G1104" s="104"/>
      <c r="H1104" s="104"/>
      <c r="I1104" s="103">
        <f>SUM(F1104:H1104)</f>
        <v>880000</v>
      </c>
      <c r="J1104" s="104">
        <f>+'[3]chd9-SAOB'!G421</f>
        <v>862500</v>
      </c>
      <c r="K1104" s="104"/>
      <c r="L1104" s="104"/>
      <c r="M1104" s="103">
        <f>SUM(J1104:L1104)</f>
        <v>862500</v>
      </c>
      <c r="N1104" s="103">
        <f t="shared" si="391"/>
        <v>17500</v>
      </c>
      <c r="O1104" s="103">
        <f t="shared" si="391"/>
        <v>0</v>
      </c>
      <c r="P1104" s="103">
        <f t="shared" si="391"/>
        <v>0</v>
      </c>
      <c r="Q1104" s="103">
        <f>SUM(N1104:P1104)</f>
        <v>17500</v>
      </c>
      <c r="S1104" s="730">
        <f t="shared" si="387"/>
        <v>0.98011363636363635</v>
      </c>
      <c r="T1104" s="730" t="str">
        <f t="shared" si="387"/>
        <v/>
      </c>
      <c r="U1104" s="730" t="str">
        <f t="shared" si="387"/>
        <v/>
      </c>
      <c r="V1104" s="730">
        <f t="shared" si="387"/>
        <v>0.98011363636363635</v>
      </c>
      <c r="W1104" s="531"/>
      <c r="X1104" s="236"/>
      <c r="Y1104" s="236" t="s">
        <v>688</v>
      </c>
      <c r="Z1104" s="236"/>
    </row>
    <row r="1105" spans="1:26" ht="10.5" customHeight="1">
      <c r="A1105" s="528" t="s">
        <v>640</v>
      </c>
      <c r="B1105" s="1013" t="s">
        <v>207</v>
      </c>
      <c r="C1105" s="410"/>
      <c r="D1105" s="647"/>
      <c r="E1105" s="461" t="s">
        <v>764</v>
      </c>
      <c r="F1105" s="104"/>
      <c r="G1105" s="104"/>
      <c r="H1105" s="104"/>
      <c r="I1105" s="103"/>
      <c r="J1105" s="104"/>
      <c r="K1105" s="104"/>
      <c r="L1105" s="104"/>
      <c r="M1105" s="103"/>
      <c r="N1105" s="103"/>
      <c r="O1105" s="103"/>
      <c r="P1105" s="103"/>
      <c r="Q1105" s="103"/>
      <c r="S1105" s="730" t="str">
        <f t="shared" si="387"/>
        <v/>
      </c>
      <c r="T1105" s="730" t="str">
        <f t="shared" si="387"/>
        <v/>
      </c>
      <c r="U1105" s="730" t="str">
        <f t="shared" si="387"/>
        <v/>
      </c>
      <c r="V1105" s="730" t="str">
        <f t="shared" si="387"/>
        <v/>
      </c>
      <c r="W1105" s="531"/>
      <c r="X1105" s="236"/>
      <c r="Y1105" s="236" t="s">
        <v>688</v>
      </c>
      <c r="Z1105" s="240"/>
    </row>
    <row r="1106" spans="1:26" ht="10.5" customHeight="1">
      <c r="A1106" s="528" t="s">
        <v>640</v>
      </c>
      <c r="B1106" s="1013" t="s">
        <v>207</v>
      </c>
      <c r="C1106" s="728"/>
      <c r="D1106" s="649" t="s">
        <v>289</v>
      </c>
      <c r="E1106" s="729" t="s">
        <v>289</v>
      </c>
      <c r="F1106" s="103">
        <f>SUM('[3]chd9-SAOB'!BT14)</f>
        <v>0</v>
      </c>
      <c r="G1106" s="103">
        <f>SUM('[3]chd9-SAOB'!BT50)</f>
        <v>0</v>
      </c>
      <c r="H1106" s="103">
        <f>SUM('[3]chd9-SAOB'!BT142)</f>
        <v>0</v>
      </c>
      <c r="I1106" s="103">
        <f>SUM(F1106:H1106)</f>
        <v>0</v>
      </c>
      <c r="J1106" s="103">
        <f>SUM('[3]chd9-SAOB'!BT15)</f>
        <v>0</v>
      </c>
      <c r="K1106" s="103">
        <f>SUM('[3]chd9-SAOB'!BT51)</f>
        <v>0</v>
      </c>
      <c r="L1106" s="103">
        <f>SUM('[3]chd9-SAOB'!BT143)</f>
        <v>0</v>
      </c>
      <c r="M1106" s="103">
        <f>SUM(J1106:L1106)</f>
        <v>0</v>
      </c>
      <c r="N1106" s="103">
        <f t="shared" si="391"/>
        <v>0</v>
      </c>
      <c r="O1106" s="103">
        <f t="shared" si="391"/>
        <v>0</v>
      </c>
      <c r="P1106" s="103">
        <f t="shared" si="391"/>
        <v>0</v>
      </c>
      <c r="Q1106" s="103">
        <f t="shared" si="392"/>
        <v>0</v>
      </c>
      <c r="S1106" s="730" t="str">
        <f t="shared" si="387"/>
        <v/>
      </c>
      <c r="T1106" s="730" t="str">
        <f t="shared" si="387"/>
        <v/>
      </c>
      <c r="U1106" s="730" t="str">
        <f t="shared" si="387"/>
        <v/>
      </c>
      <c r="V1106" s="730" t="str">
        <f t="shared" si="387"/>
        <v/>
      </c>
      <c r="W1106" s="531"/>
      <c r="X1106" s="236"/>
      <c r="Y1106" s="236" t="s">
        <v>598</v>
      </c>
      <c r="Z1106" s="236"/>
    </row>
    <row r="1107" spans="1:26" ht="10.5" customHeight="1">
      <c r="A1107" s="528" t="s">
        <v>640</v>
      </c>
      <c r="B1107" s="1013" t="s">
        <v>207</v>
      </c>
      <c r="C1107" s="728"/>
      <c r="D1107" s="649" t="s">
        <v>290</v>
      </c>
      <c r="E1107" s="729" t="s">
        <v>290</v>
      </c>
      <c r="F1107" s="103">
        <f>SUM('[3]chd9-SAOB'!CD14)</f>
        <v>0</v>
      </c>
      <c r="G1107" s="103">
        <f>SUM('[3]chd9-SAOB'!CD50)</f>
        <v>0</v>
      </c>
      <c r="H1107" s="103">
        <f>SUM('[3]chd9-SAOB'!CD142)</f>
        <v>0</v>
      </c>
      <c r="I1107" s="103">
        <f>SUM(F1107:H1107)</f>
        <v>0</v>
      </c>
      <c r="J1107" s="103">
        <f>SUM('[3]chd9-SAOB'!CD15)</f>
        <v>0</v>
      </c>
      <c r="K1107" s="103">
        <f>SUM('[3]chd9-SAOB'!CD51)</f>
        <v>0</v>
      </c>
      <c r="L1107" s="103">
        <f>SUM('[3]chd9-SAOB'!CD143)</f>
        <v>0</v>
      </c>
      <c r="M1107" s="103">
        <f>SUM(J1107:L1107)</f>
        <v>0</v>
      </c>
      <c r="N1107" s="103">
        <f t="shared" si="391"/>
        <v>0</v>
      </c>
      <c r="O1107" s="103">
        <f t="shared" si="391"/>
        <v>0</v>
      </c>
      <c r="P1107" s="103">
        <f t="shared" si="391"/>
        <v>0</v>
      </c>
      <c r="Q1107" s="103">
        <f t="shared" si="392"/>
        <v>0</v>
      </c>
      <c r="S1107" s="730" t="str">
        <f t="shared" si="387"/>
        <v/>
      </c>
      <c r="T1107" s="730" t="str">
        <f t="shared" si="387"/>
        <v/>
      </c>
      <c r="U1107" s="730" t="str">
        <f t="shared" si="387"/>
        <v/>
      </c>
      <c r="V1107" s="730" t="str">
        <f t="shared" si="387"/>
        <v/>
      </c>
      <c r="W1107" s="531"/>
      <c r="X1107" s="236"/>
      <c r="Y1107" s="236" t="s">
        <v>598</v>
      </c>
      <c r="Z1107" s="236"/>
    </row>
    <row r="1108" spans="1:26" s="259" customFormat="1" ht="11.25" customHeight="1">
      <c r="A1108" s="246" t="s">
        <v>640</v>
      </c>
      <c r="B1108" s="235" t="s">
        <v>207</v>
      </c>
      <c r="C1108" s="656"/>
      <c r="D1108" s="656"/>
      <c r="E1108" s="657" t="s">
        <v>4</v>
      </c>
      <c r="F1108" s="652">
        <f>+F1098+F1100+F1102</f>
        <v>44288499</v>
      </c>
      <c r="G1108" s="652">
        <f t="shared" ref="G1108:M1108" si="405">+G1098+G1100+G1102</f>
        <v>35224147</v>
      </c>
      <c r="H1108" s="652">
        <f t="shared" si="405"/>
        <v>20500000</v>
      </c>
      <c r="I1108" s="652">
        <f t="shared" si="405"/>
        <v>100012646</v>
      </c>
      <c r="J1108" s="652">
        <f t="shared" si="405"/>
        <v>40423020.469999999</v>
      </c>
      <c r="K1108" s="652">
        <f t="shared" si="405"/>
        <v>28325745.460000001</v>
      </c>
      <c r="L1108" s="652">
        <f t="shared" si="405"/>
        <v>19738409.219999999</v>
      </c>
      <c r="M1108" s="652">
        <f t="shared" si="405"/>
        <v>88487175.150000006</v>
      </c>
      <c r="N1108" s="652">
        <f t="shared" si="391"/>
        <v>3865478.5300000012</v>
      </c>
      <c r="O1108" s="652">
        <f t="shared" si="391"/>
        <v>6898401.5399999991</v>
      </c>
      <c r="P1108" s="652">
        <f t="shared" si="391"/>
        <v>761590.78000000119</v>
      </c>
      <c r="Q1108" s="652">
        <f t="shared" si="392"/>
        <v>11525470.850000001</v>
      </c>
      <c r="R1108" s="653">
        <f>+Q1108-'[3]chd9-SAOB'!DV179</f>
        <v>0</v>
      </c>
      <c r="S1108" s="1008">
        <f t="shared" si="387"/>
        <v>0.91272048912743686</v>
      </c>
      <c r="T1108" s="1008">
        <f t="shared" si="387"/>
        <v>0.8041570306869319</v>
      </c>
      <c r="U1108" s="1008">
        <f t="shared" si="387"/>
        <v>0.96284923024390234</v>
      </c>
      <c r="V1108" s="1008">
        <f t="shared" si="387"/>
        <v>0.88475986476750157</v>
      </c>
      <c r="W1108" s="254"/>
      <c r="X1108" s="520"/>
      <c r="Y1108" s="610" t="s">
        <v>598</v>
      </c>
      <c r="Z1108" s="241" t="s">
        <v>598</v>
      </c>
    </row>
    <row r="1109" spans="1:26" ht="11.25" customHeight="1">
      <c r="A1109" s="246" t="s">
        <v>640</v>
      </c>
      <c r="B1109" s="235" t="s">
        <v>207</v>
      </c>
      <c r="C1109" s="410"/>
      <c r="D1109" s="386"/>
      <c r="E1109" s="461" t="s">
        <v>764</v>
      </c>
      <c r="F1109" s="103"/>
      <c r="G1109" s="103"/>
      <c r="H1109" s="103"/>
      <c r="I1109" s="103">
        <f>SUM(F1109:H1109)</f>
        <v>0</v>
      </c>
      <c r="J1109" s="103"/>
      <c r="K1109" s="103"/>
      <c r="L1109" s="103"/>
      <c r="M1109" s="103">
        <f>SUM(J1109:L1109)</f>
        <v>0</v>
      </c>
      <c r="N1109" s="103">
        <f t="shared" si="391"/>
        <v>0</v>
      </c>
      <c r="O1109" s="103">
        <f t="shared" si="391"/>
        <v>0</v>
      </c>
      <c r="P1109" s="103">
        <f t="shared" si="391"/>
        <v>0</v>
      </c>
      <c r="Q1109" s="103">
        <f t="shared" si="392"/>
        <v>0</v>
      </c>
      <c r="S1109" s="730" t="str">
        <f t="shared" si="387"/>
        <v/>
      </c>
      <c r="T1109" s="730" t="str">
        <f t="shared" si="387"/>
        <v/>
      </c>
      <c r="U1109" s="730" t="str">
        <f t="shared" si="387"/>
        <v/>
      </c>
      <c r="V1109" s="730" t="str">
        <f t="shared" si="387"/>
        <v/>
      </c>
      <c r="W1109" s="254"/>
      <c r="Y1109" s="610" t="s">
        <v>598</v>
      </c>
      <c r="Z1109" s="241" t="s">
        <v>598</v>
      </c>
    </row>
    <row r="1110" spans="1:26" s="675" customFormat="1" ht="11.25" customHeight="1">
      <c r="A1110" s="528" t="s">
        <v>640</v>
      </c>
      <c r="B1110" s="528" t="s">
        <v>208</v>
      </c>
      <c r="C1110" s="407" t="s">
        <v>98</v>
      </c>
      <c r="D1110" s="655" t="s">
        <v>209</v>
      </c>
      <c r="E1110" s="408" t="s">
        <v>834</v>
      </c>
      <c r="F1110" s="673"/>
      <c r="G1110" s="673"/>
      <c r="H1110" s="673"/>
      <c r="I1110" s="674">
        <f>SUM(F1110:H1110)</f>
        <v>0</v>
      </c>
      <c r="J1110" s="673"/>
      <c r="K1110" s="673"/>
      <c r="L1110" s="673"/>
      <c r="M1110" s="674">
        <f>SUM(J1110:L1110)</f>
        <v>0</v>
      </c>
      <c r="N1110" s="674">
        <f t="shared" si="391"/>
        <v>0</v>
      </c>
      <c r="O1110" s="674">
        <f t="shared" si="391"/>
        <v>0</v>
      </c>
      <c r="P1110" s="674">
        <f t="shared" si="391"/>
        <v>0</v>
      </c>
      <c r="Q1110" s="674">
        <f t="shared" si="392"/>
        <v>0</v>
      </c>
      <c r="R1110" s="101"/>
      <c r="S1110" s="254" t="str">
        <f t="shared" si="387"/>
        <v/>
      </c>
      <c r="T1110" s="254" t="str">
        <f t="shared" si="387"/>
        <v/>
      </c>
      <c r="U1110" s="254" t="str">
        <f t="shared" si="387"/>
        <v/>
      </c>
      <c r="V1110" s="254" t="str">
        <f t="shared" si="387"/>
        <v/>
      </c>
      <c r="W1110" s="531"/>
      <c r="Y1110" s="272" t="s">
        <v>598</v>
      </c>
      <c r="Z1110" s="260" t="s">
        <v>598</v>
      </c>
    </row>
    <row r="1111" spans="1:26" ht="11.25" customHeight="1">
      <c r="A1111" s="528" t="s">
        <v>640</v>
      </c>
      <c r="B1111" s="1013" t="s">
        <v>208</v>
      </c>
      <c r="C1111" s="461"/>
      <c r="D1111" s="645" t="s">
        <v>766</v>
      </c>
      <c r="E1111" s="447" t="s">
        <v>766</v>
      </c>
      <c r="F1111" s="104">
        <f>+'[3]chd9-SAOB'!C425</f>
        <v>17682000</v>
      </c>
      <c r="G1111" s="104">
        <f>+'[3]chd9-SAOB'!D425</f>
        <v>24897000</v>
      </c>
      <c r="H1111" s="104">
        <f>+'[3]chd9-SAOB'!E425</f>
        <v>0</v>
      </c>
      <c r="I1111" s="103">
        <f>SUM(F1111:H1111)</f>
        <v>42579000</v>
      </c>
      <c r="J1111" s="104">
        <f>+'[3]chd9-SAOB'!G425</f>
        <v>16510142.9</v>
      </c>
      <c r="K1111" s="104">
        <f>+'[3]chd9-SAOB'!H425</f>
        <v>18791169.77</v>
      </c>
      <c r="L1111" s="104">
        <f>+'[3]chd9-SAOB'!I425</f>
        <v>0</v>
      </c>
      <c r="M1111" s="103">
        <f>SUM(J1111:L1111)</f>
        <v>35301312.670000002</v>
      </c>
      <c r="N1111" s="103">
        <f t="shared" si="391"/>
        <v>1171857.0999999996</v>
      </c>
      <c r="O1111" s="103">
        <f t="shared" si="391"/>
        <v>6105830.2300000004</v>
      </c>
      <c r="P1111" s="103">
        <f t="shared" si="391"/>
        <v>0</v>
      </c>
      <c r="Q1111" s="103">
        <f t="shared" si="392"/>
        <v>7277687.3300000001</v>
      </c>
      <c r="S1111" s="730">
        <f t="shared" si="387"/>
        <v>0.9337259868793123</v>
      </c>
      <c r="T1111" s="730">
        <f t="shared" si="387"/>
        <v>0.75475638711491344</v>
      </c>
      <c r="U1111" s="730" t="str">
        <f t="shared" si="387"/>
        <v/>
      </c>
      <c r="V1111" s="730">
        <f t="shared" ref="V1111:V1174" si="406">IF(I1111=0,"",M1111/I1111)</f>
        <v>0.82907801193076403</v>
      </c>
      <c r="W1111" s="531"/>
      <c r="X1111" s="236"/>
      <c r="Y1111" s="236" t="s">
        <v>688</v>
      </c>
      <c r="Z1111" s="236"/>
    </row>
    <row r="1112" spans="1:26" ht="11.25" customHeight="1">
      <c r="A1112" s="528" t="s">
        <v>640</v>
      </c>
      <c r="B1112" s="1013" t="s">
        <v>208</v>
      </c>
      <c r="C1112" s="728"/>
      <c r="D1112" s="649" t="s">
        <v>50</v>
      </c>
      <c r="E1112" s="447" t="s">
        <v>50</v>
      </c>
      <c r="F1112" s="104"/>
      <c r="G1112" s="104">
        <f>+'[3]chd9-SAOB'!D427</f>
        <v>2420000</v>
      </c>
      <c r="H1112" s="104">
        <f>+'[3]chd9-SAOB'!E427</f>
        <v>0</v>
      </c>
      <c r="I1112" s="103">
        <f>SUM(F1112:H1112)</f>
        <v>2420000</v>
      </c>
      <c r="J1112" s="104"/>
      <c r="K1112" s="104">
        <f>+'[3]chd9-SAOB'!H427</f>
        <v>1861025.99</v>
      </c>
      <c r="L1112" s="104">
        <f>+'[3]chd9-SAOB'!I427</f>
        <v>0</v>
      </c>
      <c r="M1112" s="103">
        <f>SUM(J1112:L1112)</f>
        <v>1861025.99</v>
      </c>
      <c r="N1112" s="103">
        <f t="shared" si="391"/>
        <v>0</v>
      </c>
      <c r="O1112" s="103">
        <f t="shared" si="391"/>
        <v>558974.01</v>
      </c>
      <c r="P1112" s="103">
        <f t="shared" si="391"/>
        <v>0</v>
      </c>
      <c r="Q1112" s="103">
        <f t="shared" si="392"/>
        <v>558974.01</v>
      </c>
      <c r="S1112" s="730" t="str">
        <f t="shared" ref="S1112:V1175" si="407">IF(F1112=0,"",J1112/F1112)</f>
        <v/>
      </c>
      <c r="T1112" s="730">
        <f t="shared" si="407"/>
        <v>0.76901900413223145</v>
      </c>
      <c r="U1112" s="730" t="str">
        <f t="shared" si="407"/>
        <v/>
      </c>
      <c r="V1112" s="730">
        <f t="shared" si="406"/>
        <v>0.76901900413223145</v>
      </c>
      <c r="W1112" s="531"/>
      <c r="X1112" s="236"/>
      <c r="Y1112" s="236" t="s">
        <v>688</v>
      </c>
      <c r="Z1112" s="236"/>
    </row>
    <row r="1113" spans="1:26" s="256" customFormat="1" ht="11.25" customHeight="1">
      <c r="A1113" s="528" t="s">
        <v>640</v>
      </c>
      <c r="B1113" s="528" t="s">
        <v>208</v>
      </c>
      <c r="C1113" s="389"/>
      <c r="D1113" s="650" t="s">
        <v>98</v>
      </c>
      <c r="E1113" s="390" t="s">
        <v>767</v>
      </c>
      <c r="F1113" s="391">
        <f>+F1111+F1112</f>
        <v>17682000</v>
      </c>
      <c r="G1113" s="391">
        <f t="shared" ref="G1113:M1113" si="408">+G1111+G1112</f>
        <v>27317000</v>
      </c>
      <c r="H1113" s="391">
        <f t="shared" si="408"/>
        <v>0</v>
      </c>
      <c r="I1113" s="391">
        <f t="shared" si="408"/>
        <v>44999000</v>
      </c>
      <c r="J1113" s="391">
        <f t="shared" si="408"/>
        <v>16510142.9</v>
      </c>
      <c r="K1113" s="391">
        <f t="shared" si="408"/>
        <v>20652195.759999998</v>
      </c>
      <c r="L1113" s="391">
        <f t="shared" si="408"/>
        <v>0</v>
      </c>
      <c r="M1113" s="391">
        <f t="shared" si="408"/>
        <v>37162338.660000004</v>
      </c>
      <c r="N1113" s="391">
        <f t="shared" si="391"/>
        <v>1171857.0999999996</v>
      </c>
      <c r="O1113" s="391">
        <f t="shared" si="391"/>
        <v>6664804.2400000021</v>
      </c>
      <c r="P1113" s="391">
        <f t="shared" si="391"/>
        <v>0</v>
      </c>
      <c r="Q1113" s="391">
        <f t="shared" si="392"/>
        <v>7836661.3400000017</v>
      </c>
      <c r="R1113" s="101"/>
      <c r="S1113" s="254">
        <f t="shared" si="407"/>
        <v>0.9337259868793123</v>
      </c>
      <c r="T1113" s="254">
        <f t="shared" si="407"/>
        <v>0.75601990555331833</v>
      </c>
      <c r="U1113" s="254" t="str">
        <f t="shared" si="407"/>
        <v/>
      </c>
      <c r="V1113" s="254">
        <f t="shared" si="406"/>
        <v>0.8258481001800041</v>
      </c>
      <c r="W1113" s="531"/>
      <c r="Y1113" s="256" t="s">
        <v>598</v>
      </c>
      <c r="Z1113" s="256" t="s">
        <v>598</v>
      </c>
    </row>
    <row r="1114" spans="1:26" ht="11.25" hidden="1" customHeight="1">
      <c r="A1114" s="528" t="s">
        <v>640</v>
      </c>
      <c r="B1114" s="1013" t="s">
        <v>208</v>
      </c>
      <c r="C1114" s="410"/>
      <c r="D1114" s="651"/>
      <c r="E1114" s="806" t="s">
        <v>764</v>
      </c>
      <c r="F1114" s="807"/>
      <c r="G1114" s="807"/>
      <c r="H1114" s="807"/>
      <c r="I1114" s="807"/>
      <c r="J1114" s="807"/>
      <c r="K1114" s="807"/>
      <c r="L1114" s="807"/>
      <c r="M1114" s="807"/>
      <c r="N1114" s="807">
        <f t="shared" si="391"/>
        <v>0</v>
      </c>
      <c r="O1114" s="807">
        <f t="shared" si="391"/>
        <v>0</v>
      </c>
      <c r="P1114" s="807">
        <f t="shared" si="391"/>
        <v>0</v>
      </c>
      <c r="Q1114" s="807">
        <f t="shared" si="392"/>
        <v>0</v>
      </c>
      <c r="R1114" s="276"/>
      <c r="S1114" s="730" t="str">
        <f t="shared" si="407"/>
        <v/>
      </c>
      <c r="T1114" s="730" t="str">
        <f t="shared" si="407"/>
        <v/>
      </c>
      <c r="U1114" s="730" t="str">
        <f t="shared" si="407"/>
        <v/>
      </c>
      <c r="V1114" s="730" t="str">
        <f t="shared" si="406"/>
        <v/>
      </c>
      <c r="W1114" s="531"/>
      <c r="X1114" s="236"/>
      <c r="Y1114" s="236"/>
      <c r="Z1114" s="236"/>
    </row>
    <row r="1115" spans="1:26" s="256" customFormat="1" ht="11.25" customHeight="1">
      <c r="A1115" s="528" t="s">
        <v>640</v>
      </c>
      <c r="B1115" s="528" t="s">
        <v>208</v>
      </c>
      <c r="C1115" s="389"/>
      <c r="D1115" s="650" t="s">
        <v>98</v>
      </c>
      <c r="E1115" s="390" t="s">
        <v>99</v>
      </c>
      <c r="F1115" s="391">
        <f>+F1116</f>
        <v>1643761</v>
      </c>
      <c r="G1115" s="391">
        <f t="shared" ref="G1115:M1115" si="409">+G1116</f>
        <v>0</v>
      </c>
      <c r="H1115" s="391">
        <f t="shared" si="409"/>
        <v>0</v>
      </c>
      <c r="I1115" s="391">
        <f t="shared" si="409"/>
        <v>1643761</v>
      </c>
      <c r="J1115" s="391">
        <f t="shared" si="409"/>
        <v>1506950.1</v>
      </c>
      <c r="K1115" s="391">
        <f t="shared" si="409"/>
        <v>0</v>
      </c>
      <c r="L1115" s="391">
        <f t="shared" si="409"/>
        <v>0</v>
      </c>
      <c r="M1115" s="391">
        <f t="shared" si="409"/>
        <v>1506950.1</v>
      </c>
      <c r="N1115" s="391">
        <f t="shared" si="391"/>
        <v>136810.89999999991</v>
      </c>
      <c r="O1115" s="391">
        <f t="shared" si="391"/>
        <v>0</v>
      </c>
      <c r="P1115" s="391">
        <f t="shared" si="391"/>
        <v>0</v>
      </c>
      <c r="Q1115" s="391">
        <f t="shared" si="392"/>
        <v>136810.89999999991</v>
      </c>
      <c r="R1115" s="101"/>
      <c r="S1115" s="254">
        <f t="shared" si="407"/>
        <v>0.91676959119969392</v>
      </c>
      <c r="T1115" s="254" t="str">
        <f t="shared" si="407"/>
        <v/>
      </c>
      <c r="U1115" s="254" t="str">
        <f t="shared" si="407"/>
        <v/>
      </c>
      <c r="V1115" s="254">
        <f t="shared" si="406"/>
        <v>0.91676959119969392</v>
      </c>
      <c r="W1115" s="531"/>
      <c r="Y1115" s="256" t="s">
        <v>598</v>
      </c>
      <c r="Z1115" s="256" t="s">
        <v>598</v>
      </c>
    </row>
    <row r="1116" spans="1:26" ht="11.25" customHeight="1">
      <c r="A1116" s="528" t="s">
        <v>640</v>
      </c>
      <c r="B1116" s="1013" t="s">
        <v>208</v>
      </c>
      <c r="C1116" s="728"/>
      <c r="D1116" s="649" t="s">
        <v>286</v>
      </c>
      <c r="E1116" s="729" t="s">
        <v>286</v>
      </c>
      <c r="F1116" s="103">
        <f>SUM('[3]chd9-SAOB'!BA14)</f>
        <v>1643761</v>
      </c>
      <c r="G1116" s="103">
        <f>SUM('[3]chd9-SAOB'!BA50)</f>
        <v>0</v>
      </c>
      <c r="H1116" s="103">
        <f>SUM('[3]chd9-SAOB'!BA142)</f>
        <v>0</v>
      </c>
      <c r="I1116" s="103">
        <f>SUM(F1116:H1116)</f>
        <v>1643761</v>
      </c>
      <c r="J1116" s="103">
        <f>SUM('[3]chd9-SAOB'!BA15)</f>
        <v>1506950.1</v>
      </c>
      <c r="K1116" s="103">
        <f>SUM('[3]chd9-SAOB'!BA51)</f>
        <v>0</v>
      </c>
      <c r="L1116" s="103">
        <f>SUM('[3]chd9-SAOB'!BA143)</f>
        <v>0</v>
      </c>
      <c r="M1116" s="103">
        <f>SUM(J1116:L1116)</f>
        <v>1506950.1</v>
      </c>
      <c r="N1116" s="103">
        <f t="shared" si="391"/>
        <v>136810.89999999991</v>
      </c>
      <c r="O1116" s="103">
        <f t="shared" si="391"/>
        <v>0</v>
      </c>
      <c r="P1116" s="103">
        <f t="shared" si="391"/>
        <v>0</v>
      </c>
      <c r="Q1116" s="103">
        <f t="shared" si="392"/>
        <v>136810.89999999991</v>
      </c>
      <c r="S1116" s="730">
        <f t="shared" si="407"/>
        <v>0.91676959119969392</v>
      </c>
      <c r="T1116" s="730" t="str">
        <f t="shared" si="407"/>
        <v/>
      </c>
      <c r="U1116" s="730" t="str">
        <f t="shared" si="407"/>
        <v/>
      </c>
      <c r="V1116" s="730">
        <f t="shared" si="406"/>
        <v>0.91676959119969392</v>
      </c>
      <c r="W1116" s="531"/>
      <c r="X1116" s="236"/>
      <c r="Y1116" s="236" t="s">
        <v>598</v>
      </c>
      <c r="Z1116" s="236"/>
    </row>
    <row r="1117" spans="1:26" s="272" customFormat="1" ht="11.25" customHeight="1">
      <c r="A1117" s="528" t="s">
        <v>640</v>
      </c>
      <c r="B1117" s="528" t="s">
        <v>208</v>
      </c>
      <c r="C1117" s="389"/>
      <c r="D1117" s="650" t="s">
        <v>98</v>
      </c>
      <c r="E1117" s="390" t="s">
        <v>100</v>
      </c>
      <c r="F1117" s="391">
        <f t="shared" ref="F1117:M1117" si="410">SUM(F1118:F1122)</f>
        <v>1116307</v>
      </c>
      <c r="G1117" s="391">
        <f t="shared" si="410"/>
        <v>0</v>
      </c>
      <c r="H1117" s="391">
        <f t="shared" si="410"/>
        <v>0</v>
      </c>
      <c r="I1117" s="391">
        <f t="shared" si="410"/>
        <v>1116307</v>
      </c>
      <c r="J1117" s="391">
        <f t="shared" si="410"/>
        <v>895650</v>
      </c>
      <c r="K1117" s="391">
        <f t="shared" si="410"/>
        <v>0</v>
      </c>
      <c r="L1117" s="391">
        <f t="shared" si="410"/>
        <v>0</v>
      </c>
      <c r="M1117" s="391">
        <f t="shared" si="410"/>
        <v>895650</v>
      </c>
      <c r="N1117" s="391">
        <f t="shared" si="391"/>
        <v>220657</v>
      </c>
      <c r="O1117" s="391">
        <f t="shared" si="391"/>
        <v>0</v>
      </c>
      <c r="P1117" s="391">
        <f t="shared" si="391"/>
        <v>0</v>
      </c>
      <c r="Q1117" s="391">
        <f t="shared" si="392"/>
        <v>220657</v>
      </c>
      <c r="R1117" s="102"/>
      <c r="S1117" s="254">
        <f t="shared" si="407"/>
        <v>0.80233304995847921</v>
      </c>
      <c r="T1117" s="254" t="str">
        <f t="shared" si="407"/>
        <v/>
      </c>
      <c r="U1117" s="254" t="str">
        <f t="shared" si="407"/>
        <v/>
      </c>
      <c r="V1117" s="254">
        <f t="shared" si="406"/>
        <v>0.80233304995847921</v>
      </c>
      <c r="W1117" s="531"/>
      <c r="Y1117" s="272" t="s">
        <v>598</v>
      </c>
      <c r="Z1117" s="256" t="s">
        <v>598</v>
      </c>
    </row>
    <row r="1118" spans="1:26" ht="11.25" customHeight="1">
      <c r="A1118" s="528" t="s">
        <v>640</v>
      </c>
      <c r="B1118" s="1013" t="s">
        <v>208</v>
      </c>
      <c r="C1118" s="728"/>
      <c r="D1118" s="649" t="s">
        <v>288</v>
      </c>
      <c r="E1118" s="729" t="s">
        <v>288</v>
      </c>
      <c r="F1118" s="103">
        <f>SUM('[3]chd9-SAOB'!BK14)</f>
        <v>490807</v>
      </c>
      <c r="G1118" s="103">
        <f>SUM('[3]chd9-SAOB'!BK50)</f>
        <v>0</v>
      </c>
      <c r="H1118" s="103">
        <f>SUM('[3]chd9-SAOB'!BK142)</f>
        <v>0</v>
      </c>
      <c r="I1118" s="103">
        <f>SUM(F1118:H1118)</f>
        <v>490807</v>
      </c>
      <c r="J1118" s="103">
        <f>SUM('[3]chd9-SAOB'!BK15)</f>
        <v>270150</v>
      </c>
      <c r="K1118" s="103">
        <f>SUM('[3]chd9-SAOB'!BK51)</f>
        <v>0</v>
      </c>
      <c r="L1118" s="103">
        <f>SUM('[3]chd9-SAOB'!BK143)</f>
        <v>0</v>
      </c>
      <c r="M1118" s="103">
        <f>SUM(J1118:L1118)</f>
        <v>270150</v>
      </c>
      <c r="N1118" s="103">
        <f t="shared" si="391"/>
        <v>220657</v>
      </c>
      <c r="O1118" s="103">
        <f t="shared" si="391"/>
        <v>0</v>
      </c>
      <c r="P1118" s="103">
        <f t="shared" si="391"/>
        <v>0</v>
      </c>
      <c r="Q1118" s="103">
        <f t="shared" si="392"/>
        <v>220657</v>
      </c>
      <c r="S1118" s="730">
        <f t="shared" si="407"/>
        <v>0.55042002253431588</v>
      </c>
      <c r="T1118" s="730" t="str">
        <f t="shared" si="407"/>
        <v/>
      </c>
      <c r="U1118" s="730" t="str">
        <f t="shared" si="407"/>
        <v/>
      </c>
      <c r="V1118" s="730">
        <f t="shared" si="406"/>
        <v>0.55042002253431588</v>
      </c>
      <c r="W1118" s="531"/>
      <c r="X1118" s="236"/>
      <c r="Y1118" s="236" t="s">
        <v>598</v>
      </c>
      <c r="Z1118" s="236"/>
    </row>
    <row r="1119" spans="1:26" ht="11.25" customHeight="1">
      <c r="A1119" s="528" t="s">
        <v>640</v>
      </c>
      <c r="B1119" s="1013" t="s">
        <v>208</v>
      </c>
      <c r="C1119" s="728"/>
      <c r="D1119" s="649" t="s">
        <v>761</v>
      </c>
      <c r="E1119" s="729" t="s">
        <v>761</v>
      </c>
      <c r="F1119" s="104">
        <f>+'[3]chd9-SAOB'!C427</f>
        <v>625500</v>
      </c>
      <c r="G1119" s="104"/>
      <c r="H1119" s="104"/>
      <c r="I1119" s="103">
        <f>SUM(F1119:H1119)</f>
        <v>625500</v>
      </c>
      <c r="J1119" s="104">
        <f>+'[3]chd9-SAOB'!G427</f>
        <v>625500</v>
      </c>
      <c r="K1119" s="104"/>
      <c r="L1119" s="104"/>
      <c r="M1119" s="103">
        <f>SUM(J1119:L1119)</f>
        <v>625500</v>
      </c>
      <c r="N1119" s="103">
        <f>+F1119-J1119</f>
        <v>0</v>
      </c>
      <c r="O1119" s="103">
        <f>+G1119-K1119</f>
        <v>0</v>
      </c>
      <c r="P1119" s="103">
        <f>+H1119-L1119</f>
        <v>0</v>
      </c>
      <c r="Q1119" s="103">
        <f>SUM(N1119:P1119)</f>
        <v>0</v>
      </c>
      <c r="S1119" s="730">
        <f t="shared" si="407"/>
        <v>1</v>
      </c>
      <c r="T1119" s="730" t="str">
        <f t="shared" si="407"/>
        <v/>
      </c>
      <c r="U1119" s="730" t="str">
        <f t="shared" si="407"/>
        <v/>
      </c>
      <c r="V1119" s="730">
        <f t="shared" si="406"/>
        <v>1</v>
      </c>
      <c r="W1119" s="531"/>
      <c r="X1119" s="236"/>
      <c r="Y1119" s="236" t="s">
        <v>688</v>
      </c>
      <c r="Z1119" s="236"/>
    </row>
    <row r="1120" spans="1:26" ht="11.25" customHeight="1">
      <c r="A1120" s="528" t="s">
        <v>640</v>
      </c>
      <c r="B1120" s="1013" t="s">
        <v>208</v>
      </c>
      <c r="C1120" s="410"/>
      <c r="D1120" s="647"/>
      <c r="E1120" s="461" t="s">
        <v>764</v>
      </c>
      <c r="F1120" s="104"/>
      <c r="G1120" s="104"/>
      <c r="H1120" s="104"/>
      <c r="I1120" s="103"/>
      <c r="J1120" s="104"/>
      <c r="K1120" s="104"/>
      <c r="L1120" s="104"/>
      <c r="M1120" s="103"/>
      <c r="N1120" s="103"/>
      <c r="O1120" s="103"/>
      <c r="P1120" s="103"/>
      <c r="Q1120" s="103"/>
      <c r="S1120" s="730" t="str">
        <f t="shared" si="407"/>
        <v/>
      </c>
      <c r="T1120" s="730" t="str">
        <f t="shared" si="407"/>
        <v/>
      </c>
      <c r="U1120" s="730" t="str">
        <f t="shared" si="407"/>
        <v/>
      </c>
      <c r="V1120" s="730" t="str">
        <f t="shared" si="406"/>
        <v/>
      </c>
      <c r="W1120" s="531"/>
      <c r="X1120" s="236"/>
      <c r="Y1120" s="236" t="s">
        <v>688</v>
      </c>
      <c r="Z1120" s="240"/>
    </row>
    <row r="1121" spans="1:26" ht="11.25" customHeight="1">
      <c r="A1121" s="528" t="s">
        <v>640</v>
      </c>
      <c r="B1121" s="1013" t="s">
        <v>208</v>
      </c>
      <c r="C1121" s="728"/>
      <c r="D1121" s="649" t="s">
        <v>289</v>
      </c>
      <c r="E1121" s="729" t="s">
        <v>289</v>
      </c>
      <c r="F1121" s="103">
        <f>SUM('[3]chd9-SAOB'!BU14)</f>
        <v>0</v>
      </c>
      <c r="G1121" s="103">
        <f>SUM('[3]chd9-SAOB'!BU50)</f>
        <v>0</v>
      </c>
      <c r="H1121" s="103">
        <f>SUM('[3]chd9-SAOB'!BU142)</f>
        <v>0</v>
      </c>
      <c r="I1121" s="103">
        <f>SUM(F1121:H1121)</f>
        <v>0</v>
      </c>
      <c r="J1121" s="103">
        <f>SUM('[3]chd9-SAOB'!BU15)</f>
        <v>0</v>
      </c>
      <c r="K1121" s="103">
        <f>SUM('[3]chd9-SAOB'!BU51)</f>
        <v>0</v>
      </c>
      <c r="L1121" s="103">
        <f>SUM('[3]chd9-SAOB'!BU143)</f>
        <v>0</v>
      </c>
      <c r="M1121" s="103">
        <f>SUM(J1121:L1121)</f>
        <v>0</v>
      </c>
      <c r="N1121" s="103">
        <f t="shared" si="391"/>
        <v>0</v>
      </c>
      <c r="O1121" s="103">
        <f t="shared" si="391"/>
        <v>0</v>
      </c>
      <c r="P1121" s="103">
        <f t="shared" si="391"/>
        <v>0</v>
      </c>
      <c r="Q1121" s="103">
        <f t="shared" si="392"/>
        <v>0</v>
      </c>
      <c r="S1121" s="730" t="str">
        <f t="shared" si="407"/>
        <v/>
      </c>
      <c r="T1121" s="730" t="str">
        <f t="shared" si="407"/>
        <v/>
      </c>
      <c r="U1121" s="730" t="str">
        <f t="shared" si="407"/>
        <v/>
      </c>
      <c r="V1121" s="730" t="str">
        <f t="shared" si="406"/>
        <v/>
      </c>
      <c r="W1121" s="531"/>
      <c r="X1121" s="236"/>
      <c r="Y1121" s="236" t="s">
        <v>598</v>
      </c>
      <c r="Z1121" s="236"/>
    </row>
    <row r="1122" spans="1:26" ht="11.25" customHeight="1">
      <c r="A1122" s="528" t="s">
        <v>640</v>
      </c>
      <c r="B1122" s="1013" t="s">
        <v>208</v>
      </c>
      <c r="C1122" s="728"/>
      <c r="D1122" s="649" t="s">
        <v>290</v>
      </c>
      <c r="E1122" s="729" t="s">
        <v>290</v>
      </c>
      <c r="F1122" s="103">
        <f>SUM('[3]chd9-SAOB'!CE14)</f>
        <v>0</v>
      </c>
      <c r="G1122" s="103">
        <f>SUM('[3]chd9-SAOB'!CE50)</f>
        <v>0</v>
      </c>
      <c r="H1122" s="103">
        <f>SUM('[3]chd9-SAOB'!CE142)</f>
        <v>0</v>
      </c>
      <c r="I1122" s="103">
        <f>SUM(F1122:H1122)</f>
        <v>0</v>
      </c>
      <c r="J1122" s="103">
        <f>SUM('[3]chd9-SAOB'!CE15)</f>
        <v>0</v>
      </c>
      <c r="K1122" s="103">
        <f>SUM('[3]chd9-SAOB'!CE51)</f>
        <v>0</v>
      </c>
      <c r="L1122" s="103">
        <f>SUM('[3]chd9-SAOB'!CE143)</f>
        <v>0</v>
      </c>
      <c r="M1122" s="103">
        <f>SUM(J1122:L1122)</f>
        <v>0</v>
      </c>
      <c r="N1122" s="103">
        <f t="shared" si="391"/>
        <v>0</v>
      </c>
      <c r="O1122" s="103">
        <f t="shared" si="391"/>
        <v>0</v>
      </c>
      <c r="P1122" s="103">
        <f t="shared" si="391"/>
        <v>0</v>
      </c>
      <c r="Q1122" s="103">
        <f t="shared" si="392"/>
        <v>0</v>
      </c>
      <c r="S1122" s="730" t="str">
        <f t="shared" si="407"/>
        <v/>
      </c>
      <c r="T1122" s="730" t="str">
        <f t="shared" si="407"/>
        <v/>
      </c>
      <c r="U1122" s="730" t="str">
        <f t="shared" si="407"/>
        <v/>
      </c>
      <c r="V1122" s="730" t="str">
        <f t="shared" si="406"/>
        <v/>
      </c>
      <c r="W1122" s="531"/>
      <c r="X1122" s="236"/>
      <c r="Y1122" s="236" t="s">
        <v>598</v>
      </c>
      <c r="Z1122" s="236"/>
    </row>
    <row r="1123" spans="1:26" s="259" customFormat="1" ht="11.25" customHeight="1">
      <c r="A1123" s="246" t="s">
        <v>640</v>
      </c>
      <c r="B1123" s="235" t="s">
        <v>208</v>
      </c>
      <c r="C1123" s="656"/>
      <c r="D1123" s="656"/>
      <c r="E1123" s="657" t="s">
        <v>4</v>
      </c>
      <c r="F1123" s="652">
        <f>+F1113+F1115+F1117</f>
        <v>20442068</v>
      </c>
      <c r="G1123" s="652">
        <f t="shared" ref="G1123:M1123" si="411">+G1113+G1115+G1117</f>
        <v>27317000</v>
      </c>
      <c r="H1123" s="652">
        <f t="shared" si="411"/>
        <v>0</v>
      </c>
      <c r="I1123" s="652">
        <f t="shared" si="411"/>
        <v>47759068</v>
      </c>
      <c r="J1123" s="652">
        <f t="shared" si="411"/>
        <v>18912743</v>
      </c>
      <c r="K1123" s="652">
        <f t="shared" si="411"/>
        <v>20652195.759999998</v>
      </c>
      <c r="L1123" s="652">
        <f t="shared" si="411"/>
        <v>0</v>
      </c>
      <c r="M1123" s="652">
        <f t="shared" si="411"/>
        <v>39564938.760000005</v>
      </c>
      <c r="N1123" s="652">
        <f t="shared" si="391"/>
        <v>1529325</v>
      </c>
      <c r="O1123" s="652">
        <f t="shared" si="391"/>
        <v>6664804.2400000021</v>
      </c>
      <c r="P1123" s="652">
        <f t="shared" si="391"/>
        <v>0</v>
      </c>
      <c r="Q1123" s="652">
        <f t="shared" si="392"/>
        <v>8194129.2400000021</v>
      </c>
      <c r="R1123" s="653">
        <f>+Q1123-'[3]chd9-SAOB'!DW179</f>
        <v>0</v>
      </c>
      <c r="S1123" s="1008">
        <f t="shared" si="407"/>
        <v>0.92518736362681109</v>
      </c>
      <c r="T1123" s="1008">
        <f t="shared" si="407"/>
        <v>0.75601990555331833</v>
      </c>
      <c r="U1123" s="1008" t="str">
        <f t="shared" si="407"/>
        <v/>
      </c>
      <c r="V1123" s="1008">
        <f t="shared" si="406"/>
        <v>0.82842778171466847</v>
      </c>
      <c r="W1123" s="254"/>
      <c r="X1123" s="520"/>
      <c r="Y1123" s="610" t="s">
        <v>598</v>
      </c>
      <c r="Z1123" s="241" t="s">
        <v>598</v>
      </c>
    </row>
    <row r="1124" spans="1:26" ht="11.25" customHeight="1">
      <c r="A1124" s="246" t="s">
        <v>640</v>
      </c>
      <c r="B1124" s="235" t="s">
        <v>208</v>
      </c>
      <c r="C1124" s="410"/>
      <c r="D1124" s="386"/>
      <c r="E1124" s="461" t="s">
        <v>764</v>
      </c>
      <c r="F1124" s="103"/>
      <c r="G1124" s="103"/>
      <c r="H1124" s="103"/>
      <c r="I1124" s="103">
        <f>SUM(F1124:H1124)</f>
        <v>0</v>
      </c>
      <c r="J1124" s="103"/>
      <c r="K1124" s="103"/>
      <c r="L1124" s="103"/>
      <c r="M1124" s="103">
        <f>SUM(J1124:L1124)</f>
        <v>0</v>
      </c>
      <c r="N1124" s="103">
        <f t="shared" si="391"/>
        <v>0</v>
      </c>
      <c r="O1124" s="103">
        <f t="shared" si="391"/>
        <v>0</v>
      </c>
      <c r="P1124" s="103">
        <f t="shared" si="391"/>
        <v>0</v>
      </c>
      <c r="Q1124" s="103">
        <f t="shared" si="392"/>
        <v>0</v>
      </c>
      <c r="S1124" s="730" t="str">
        <f t="shared" si="407"/>
        <v/>
      </c>
      <c r="T1124" s="730" t="str">
        <f t="shared" si="407"/>
        <v/>
      </c>
      <c r="U1124" s="730" t="str">
        <f t="shared" si="407"/>
        <v/>
      </c>
      <c r="V1124" s="730" t="str">
        <f t="shared" si="406"/>
        <v/>
      </c>
      <c r="W1124" s="254"/>
      <c r="Y1124" s="610" t="s">
        <v>598</v>
      </c>
      <c r="Z1124" s="241" t="s">
        <v>598</v>
      </c>
    </row>
    <row r="1125" spans="1:26" s="675" customFormat="1" ht="11.25" customHeight="1">
      <c r="A1125" s="528" t="s">
        <v>640</v>
      </c>
      <c r="B1125" s="528" t="s">
        <v>210</v>
      </c>
      <c r="C1125" s="407" t="s">
        <v>98</v>
      </c>
      <c r="D1125" s="655" t="s">
        <v>211</v>
      </c>
      <c r="E1125" s="408" t="s">
        <v>835</v>
      </c>
      <c r="F1125" s="673"/>
      <c r="G1125" s="673"/>
      <c r="H1125" s="673"/>
      <c r="I1125" s="674">
        <f>SUM(F1125:H1125)</f>
        <v>0</v>
      </c>
      <c r="J1125" s="673"/>
      <c r="K1125" s="673"/>
      <c r="L1125" s="673"/>
      <c r="M1125" s="674">
        <f>SUM(J1125:L1125)</f>
        <v>0</v>
      </c>
      <c r="N1125" s="674">
        <f t="shared" si="391"/>
        <v>0</v>
      </c>
      <c r="O1125" s="674">
        <f t="shared" si="391"/>
        <v>0</v>
      </c>
      <c r="P1125" s="674">
        <f t="shared" si="391"/>
        <v>0</v>
      </c>
      <c r="Q1125" s="674">
        <f t="shared" si="392"/>
        <v>0</v>
      </c>
      <c r="R1125" s="101"/>
      <c r="S1125" s="254" t="str">
        <f t="shared" si="407"/>
        <v/>
      </c>
      <c r="T1125" s="254" t="str">
        <f t="shared" si="407"/>
        <v/>
      </c>
      <c r="U1125" s="254" t="str">
        <f t="shared" si="407"/>
        <v/>
      </c>
      <c r="V1125" s="254" t="str">
        <f t="shared" si="406"/>
        <v/>
      </c>
      <c r="W1125" s="531"/>
      <c r="Y1125" s="272" t="s">
        <v>598</v>
      </c>
      <c r="Z1125" s="260" t="s">
        <v>598</v>
      </c>
    </row>
    <row r="1126" spans="1:26" ht="11.25" customHeight="1">
      <c r="A1126" s="528" t="s">
        <v>640</v>
      </c>
      <c r="B1126" s="1013" t="s">
        <v>210</v>
      </c>
      <c r="C1126" s="461"/>
      <c r="D1126" s="645" t="s">
        <v>766</v>
      </c>
      <c r="E1126" s="447" t="s">
        <v>766</v>
      </c>
      <c r="F1126" s="104">
        <f>+'[3]chd9-SAOB'!C431</f>
        <v>0</v>
      </c>
      <c r="G1126" s="104">
        <f>+'[3]chd9-SAOB'!D431</f>
        <v>691000</v>
      </c>
      <c r="H1126" s="104">
        <f>+'[3]chd9-SAOB'!E431</f>
        <v>0</v>
      </c>
      <c r="I1126" s="103">
        <f>SUM(F1126:H1126)</f>
        <v>691000</v>
      </c>
      <c r="J1126" s="104">
        <f>+'[3]chd9-SAOB'!G431</f>
        <v>0</v>
      </c>
      <c r="K1126" s="104">
        <f>+'[3]chd9-SAOB'!H431</f>
        <v>0</v>
      </c>
      <c r="L1126" s="104">
        <f>+'[3]chd9-SAOB'!I431</f>
        <v>0</v>
      </c>
      <c r="M1126" s="103">
        <f>SUM(J1126:L1126)</f>
        <v>0</v>
      </c>
      <c r="N1126" s="103">
        <f t="shared" si="391"/>
        <v>0</v>
      </c>
      <c r="O1126" s="103">
        <f t="shared" si="391"/>
        <v>691000</v>
      </c>
      <c r="P1126" s="103">
        <f t="shared" si="391"/>
        <v>0</v>
      </c>
      <c r="Q1126" s="103">
        <f t="shared" si="392"/>
        <v>691000</v>
      </c>
      <c r="S1126" s="730" t="str">
        <f t="shared" si="407"/>
        <v/>
      </c>
      <c r="T1126" s="730">
        <f t="shared" si="407"/>
        <v>0</v>
      </c>
      <c r="U1126" s="730" t="str">
        <f t="shared" si="407"/>
        <v/>
      </c>
      <c r="V1126" s="730">
        <f t="shared" si="406"/>
        <v>0</v>
      </c>
      <c r="W1126" s="531"/>
      <c r="X1126" s="236"/>
      <c r="Y1126" s="236" t="s">
        <v>688</v>
      </c>
      <c r="Z1126" s="236"/>
    </row>
    <row r="1127" spans="1:26" ht="11.25" customHeight="1">
      <c r="A1127" s="528" t="s">
        <v>640</v>
      </c>
      <c r="B1127" s="1013" t="s">
        <v>210</v>
      </c>
      <c r="C1127" s="728"/>
      <c r="D1127" s="649" t="s">
        <v>50</v>
      </c>
      <c r="E1127" s="447" t="s">
        <v>50</v>
      </c>
      <c r="F1127" s="104"/>
      <c r="G1127" s="104">
        <f>+'[3]chd9-SAOB'!D433</f>
        <v>0</v>
      </c>
      <c r="H1127" s="104">
        <f>+'[3]chd9-SAOB'!E433</f>
        <v>0</v>
      </c>
      <c r="I1127" s="103">
        <f>SUM(F1127:H1127)</f>
        <v>0</v>
      </c>
      <c r="J1127" s="104"/>
      <c r="K1127" s="104">
        <f>+'[3]chd9-SAOB'!H433</f>
        <v>0</v>
      </c>
      <c r="L1127" s="104">
        <f>+'[3]chd9-SAOB'!I433</f>
        <v>0</v>
      </c>
      <c r="M1127" s="103">
        <f>SUM(J1127:L1127)</f>
        <v>0</v>
      </c>
      <c r="N1127" s="103">
        <f t="shared" si="391"/>
        <v>0</v>
      </c>
      <c r="O1127" s="103">
        <f t="shared" si="391"/>
        <v>0</v>
      </c>
      <c r="P1127" s="103">
        <f t="shared" si="391"/>
        <v>0</v>
      </c>
      <c r="Q1127" s="103">
        <f t="shared" si="392"/>
        <v>0</v>
      </c>
      <c r="S1127" s="730" t="str">
        <f t="shared" si="407"/>
        <v/>
      </c>
      <c r="T1127" s="730" t="str">
        <f t="shared" si="407"/>
        <v/>
      </c>
      <c r="U1127" s="730" t="str">
        <f t="shared" si="407"/>
        <v/>
      </c>
      <c r="V1127" s="730" t="str">
        <f t="shared" si="406"/>
        <v/>
      </c>
      <c r="W1127" s="531"/>
      <c r="X1127" s="236"/>
      <c r="Y1127" s="236" t="s">
        <v>688</v>
      </c>
      <c r="Z1127" s="236"/>
    </row>
    <row r="1128" spans="1:26" s="256" customFormat="1" ht="11.25" customHeight="1">
      <c r="A1128" s="528" t="s">
        <v>640</v>
      </c>
      <c r="B1128" s="528" t="s">
        <v>210</v>
      </c>
      <c r="C1128" s="389"/>
      <c r="D1128" s="650" t="s">
        <v>98</v>
      </c>
      <c r="E1128" s="390" t="s">
        <v>767</v>
      </c>
      <c r="F1128" s="391">
        <f>+F1126+F1127</f>
        <v>0</v>
      </c>
      <c r="G1128" s="391">
        <f t="shared" ref="G1128:M1128" si="412">+G1126+G1127</f>
        <v>691000</v>
      </c>
      <c r="H1128" s="391">
        <f t="shared" si="412"/>
        <v>0</v>
      </c>
      <c r="I1128" s="391">
        <f t="shared" si="412"/>
        <v>691000</v>
      </c>
      <c r="J1128" s="391">
        <f t="shared" si="412"/>
        <v>0</v>
      </c>
      <c r="K1128" s="391">
        <f t="shared" si="412"/>
        <v>0</v>
      </c>
      <c r="L1128" s="391">
        <f t="shared" si="412"/>
        <v>0</v>
      </c>
      <c r="M1128" s="391">
        <f t="shared" si="412"/>
        <v>0</v>
      </c>
      <c r="N1128" s="391">
        <f t="shared" ref="N1128:P1194" si="413">+F1128-J1128</f>
        <v>0</v>
      </c>
      <c r="O1128" s="391">
        <f t="shared" si="413"/>
        <v>691000</v>
      </c>
      <c r="P1128" s="391">
        <f t="shared" si="413"/>
        <v>0</v>
      </c>
      <c r="Q1128" s="391">
        <f t="shared" ref="Q1128:Q1194" si="414">SUM(N1128:P1128)</f>
        <v>691000</v>
      </c>
      <c r="R1128" s="101"/>
      <c r="S1128" s="254" t="str">
        <f t="shared" si="407"/>
        <v/>
      </c>
      <c r="T1128" s="254">
        <f t="shared" si="407"/>
        <v>0</v>
      </c>
      <c r="U1128" s="254" t="str">
        <f t="shared" si="407"/>
        <v/>
      </c>
      <c r="V1128" s="254">
        <f t="shared" si="406"/>
        <v>0</v>
      </c>
      <c r="W1128" s="531"/>
      <c r="Y1128" s="256" t="s">
        <v>598</v>
      </c>
      <c r="Z1128" s="256" t="s">
        <v>598</v>
      </c>
    </row>
    <row r="1129" spans="1:26" ht="11.25" hidden="1" customHeight="1">
      <c r="A1129" s="528" t="s">
        <v>640</v>
      </c>
      <c r="B1129" s="1013" t="s">
        <v>210</v>
      </c>
      <c r="C1129" s="410"/>
      <c r="D1129" s="651"/>
      <c r="E1129" s="806" t="s">
        <v>764</v>
      </c>
      <c r="F1129" s="807"/>
      <c r="G1129" s="807"/>
      <c r="H1129" s="807"/>
      <c r="I1129" s="807"/>
      <c r="J1129" s="807"/>
      <c r="K1129" s="807"/>
      <c r="L1129" s="807"/>
      <c r="M1129" s="807"/>
      <c r="N1129" s="807">
        <f t="shared" si="413"/>
        <v>0</v>
      </c>
      <c r="O1129" s="807">
        <f t="shared" si="413"/>
        <v>0</v>
      </c>
      <c r="P1129" s="807">
        <f t="shared" si="413"/>
        <v>0</v>
      </c>
      <c r="Q1129" s="807">
        <f t="shared" si="414"/>
        <v>0</v>
      </c>
      <c r="R1129" s="276"/>
      <c r="S1129" s="730" t="str">
        <f t="shared" si="407"/>
        <v/>
      </c>
      <c r="T1129" s="730" t="str">
        <f t="shared" si="407"/>
        <v/>
      </c>
      <c r="U1129" s="730" t="str">
        <f t="shared" si="407"/>
        <v/>
      </c>
      <c r="V1129" s="730" t="str">
        <f t="shared" si="406"/>
        <v/>
      </c>
      <c r="W1129" s="531"/>
      <c r="X1129" s="236"/>
      <c r="Y1129" s="236"/>
      <c r="Z1129" s="236"/>
    </row>
    <row r="1130" spans="1:26" s="256" customFormat="1" ht="11.25" customHeight="1">
      <c r="A1130" s="528" t="s">
        <v>640</v>
      </c>
      <c r="B1130" s="528" t="s">
        <v>210</v>
      </c>
      <c r="C1130" s="389"/>
      <c r="D1130" s="650" t="s">
        <v>98</v>
      </c>
      <c r="E1130" s="390" t="s">
        <v>99</v>
      </c>
      <c r="F1130" s="391">
        <f>+F1131</f>
        <v>0</v>
      </c>
      <c r="G1130" s="391">
        <f t="shared" ref="G1130:M1130" si="415">+G1131</f>
        <v>0</v>
      </c>
      <c r="H1130" s="391">
        <f t="shared" si="415"/>
        <v>0</v>
      </c>
      <c r="I1130" s="391">
        <f t="shared" si="415"/>
        <v>0</v>
      </c>
      <c r="J1130" s="391">
        <f t="shared" si="415"/>
        <v>0</v>
      </c>
      <c r="K1130" s="391">
        <f t="shared" si="415"/>
        <v>0</v>
      </c>
      <c r="L1130" s="391">
        <f t="shared" si="415"/>
        <v>0</v>
      </c>
      <c r="M1130" s="391">
        <f t="shared" si="415"/>
        <v>0</v>
      </c>
      <c r="N1130" s="391">
        <f t="shared" si="413"/>
        <v>0</v>
      </c>
      <c r="O1130" s="391">
        <f t="shared" si="413"/>
        <v>0</v>
      </c>
      <c r="P1130" s="391">
        <f t="shared" si="413"/>
        <v>0</v>
      </c>
      <c r="Q1130" s="391">
        <f t="shared" si="414"/>
        <v>0</v>
      </c>
      <c r="R1130" s="101"/>
      <c r="S1130" s="254" t="str">
        <f t="shared" si="407"/>
        <v/>
      </c>
      <c r="T1130" s="254" t="str">
        <f t="shared" si="407"/>
        <v/>
      </c>
      <c r="U1130" s="254" t="str">
        <f t="shared" si="407"/>
        <v/>
      </c>
      <c r="V1130" s="254" t="str">
        <f t="shared" si="406"/>
        <v/>
      </c>
      <c r="W1130" s="531"/>
      <c r="Y1130" s="256" t="s">
        <v>598</v>
      </c>
      <c r="Z1130" s="256" t="s">
        <v>598</v>
      </c>
    </row>
    <row r="1131" spans="1:26" ht="11.25" customHeight="1">
      <c r="A1131" s="528" t="s">
        <v>640</v>
      </c>
      <c r="B1131" s="1013" t="s">
        <v>210</v>
      </c>
      <c r="C1131" s="728"/>
      <c r="D1131" s="649" t="s">
        <v>286</v>
      </c>
      <c r="E1131" s="729" t="s">
        <v>286</v>
      </c>
      <c r="F1131" s="103">
        <f>SUM('[3]chd9-SAOB'!BB14)</f>
        <v>0</v>
      </c>
      <c r="G1131" s="103">
        <f>SUM('[3]chd9-SAOB'!BB50)</f>
        <v>0</v>
      </c>
      <c r="H1131" s="103">
        <f>SUM('[3]chd9-SAOB'!BB142)</f>
        <v>0</v>
      </c>
      <c r="I1131" s="103">
        <f>SUM(F1131:H1131)</f>
        <v>0</v>
      </c>
      <c r="J1131" s="103">
        <f>SUM('[3]chd9-SAOB'!BB15)</f>
        <v>0</v>
      </c>
      <c r="K1131" s="103">
        <f>SUM('[3]chd9-SAOB'!BB51)</f>
        <v>0</v>
      </c>
      <c r="L1131" s="103">
        <f>SUM('[3]chd9-SAOB'!BB143)</f>
        <v>0</v>
      </c>
      <c r="M1131" s="103">
        <f>SUM(J1131:L1131)</f>
        <v>0</v>
      </c>
      <c r="N1131" s="103">
        <f t="shared" si="413"/>
        <v>0</v>
      </c>
      <c r="O1131" s="103">
        <f t="shared" si="413"/>
        <v>0</v>
      </c>
      <c r="P1131" s="103">
        <f t="shared" si="413"/>
        <v>0</v>
      </c>
      <c r="Q1131" s="103">
        <f t="shared" si="414"/>
        <v>0</v>
      </c>
      <c r="S1131" s="730" t="str">
        <f t="shared" si="407"/>
        <v/>
      </c>
      <c r="T1131" s="730" t="str">
        <f t="shared" si="407"/>
        <v/>
      </c>
      <c r="U1131" s="730" t="str">
        <f t="shared" si="407"/>
        <v/>
      </c>
      <c r="V1131" s="730" t="str">
        <f t="shared" si="406"/>
        <v/>
      </c>
      <c r="W1131" s="531"/>
      <c r="X1131" s="236"/>
      <c r="Y1131" s="236" t="s">
        <v>598</v>
      </c>
      <c r="Z1131" s="236"/>
    </row>
    <row r="1132" spans="1:26" s="272" customFormat="1" ht="11.25" customHeight="1">
      <c r="A1132" s="528" t="s">
        <v>640</v>
      </c>
      <c r="B1132" s="528" t="s">
        <v>210</v>
      </c>
      <c r="C1132" s="389"/>
      <c r="D1132" s="650" t="s">
        <v>98</v>
      </c>
      <c r="E1132" s="390" t="s">
        <v>100</v>
      </c>
      <c r="F1132" s="391">
        <f t="shared" ref="F1132:M1132" si="416">SUM(F1133:F1137)</f>
        <v>0</v>
      </c>
      <c r="G1132" s="391">
        <f t="shared" si="416"/>
        <v>0</v>
      </c>
      <c r="H1132" s="391">
        <f t="shared" si="416"/>
        <v>0</v>
      </c>
      <c r="I1132" s="391">
        <f t="shared" si="416"/>
        <v>0</v>
      </c>
      <c r="J1132" s="391">
        <f t="shared" si="416"/>
        <v>0</v>
      </c>
      <c r="K1132" s="391">
        <f t="shared" si="416"/>
        <v>0</v>
      </c>
      <c r="L1132" s="391">
        <f t="shared" si="416"/>
        <v>0</v>
      </c>
      <c r="M1132" s="391">
        <f t="shared" si="416"/>
        <v>0</v>
      </c>
      <c r="N1132" s="391">
        <f t="shared" si="413"/>
        <v>0</v>
      </c>
      <c r="O1132" s="391">
        <f t="shared" si="413"/>
        <v>0</v>
      </c>
      <c r="P1132" s="391">
        <f t="shared" si="413"/>
        <v>0</v>
      </c>
      <c r="Q1132" s="391">
        <f t="shared" si="414"/>
        <v>0</v>
      </c>
      <c r="R1132" s="102"/>
      <c r="S1132" s="254" t="str">
        <f t="shared" si="407"/>
        <v/>
      </c>
      <c r="T1132" s="254" t="str">
        <f t="shared" si="407"/>
        <v/>
      </c>
      <c r="U1132" s="254" t="str">
        <f t="shared" si="407"/>
        <v/>
      </c>
      <c r="V1132" s="254" t="str">
        <f t="shared" si="406"/>
        <v/>
      </c>
      <c r="W1132" s="531"/>
      <c r="Y1132" s="272" t="s">
        <v>598</v>
      </c>
      <c r="Z1132" s="256" t="s">
        <v>598</v>
      </c>
    </row>
    <row r="1133" spans="1:26" ht="11.25" customHeight="1">
      <c r="A1133" s="528" t="s">
        <v>640</v>
      </c>
      <c r="B1133" s="1013" t="s">
        <v>210</v>
      </c>
      <c r="C1133" s="728"/>
      <c r="D1133" s="649" t="s">
        <v>288</v>
      </c>
      <c r="E1133" s="729" t="s">
        <v>288</v>
      </c>
      <c r="F1133" s="103">
        <f>SUM('[3]chd9-SAOB'!BL14)</f>
        <v>0</v>
      </c>
      <c r="G1133" s="103">
        <f>SUM('[3]chd9-SAOB'!BL50)</f>
        <v>0</v>
      </c>
      <c r="H1133" s="103">
        <f>SUM('[3]chd9-SAOB'!BL142)</f>
        <v>0</v>
      </c>
      <c r="I1133" s="103">
        <f>SUM(F1133:H1133)</f>
        <v>0</v>
      </c>
      <c r="J1133" s="103">
        <f>SUM('[3]chd9-SAOB'!BL15)</f>
        <v>0</v>
      </c>
      <c r="K1133" s="103">
        <f>SUM('[3]chd9-SAOB'!BL51)</f>
        <v>0</v>
      </c>
      <c r="L1133" s="103">
        <f>SUM('[3]chd9-SAOB'!BL143)</f>
        <v>0</v>
      </c>
      <c r="M1133" s="103">
        <f>SUM(J1133:L1133)</f>
        <v>0</v>
      </c>
      <c r="N1133" s="103">
        <f t="shared" si="413"/>
        <v>0</v>
      </c>
      <c r="O1133" s="103">
        <f t="shared" si="413"/>
        <v>0</v>
      </c>
      <c r="P1133" s="103">
        <f t="shared" si="413"/>
        <v>0</v>
      </c>
      <c r="Q1133" s="103">
        <f t="shared" si="414"/>
        <v>0</v>
      </c>
      <c r="S1133" s="730" t="str">
        <f t="shared" si="407"/>
        <v/>
      </c>
      <c r="T1133" s="730" t="str">
        <f t="shared" si="407"/>
        <v/>
      </c>
      <c r="U1133" s="730" t="str">
        <f t="shared" si="407"/>
        <v/>
      </c>
      <c r="V1133" s="730" t="str">
        <f t="shared" si="406"/>
        <v/>
      </c>
      <c r="W1133" s="531"/>
      <c r="X1133" s="236"/>
      <c r="Y1133" s="236" t="s">
        <v>598</v>
      </c>
      <c r="Z1133" s="236"/>
    </row>
    <row r="1134" spans="1:26" ht="11.25" customHeight="1">
      <c r="A1134" s="528" t="s">
        <v>640</v>
      </c>
      <c r="B1134" s="1013" t="s">
        <v>210</v>
      </c>
      <c r="C1134" s="728"/>
      <c r="D1134" s="649" t="s">
        <v>761</v>
      </c>
      <c r="E1134" s="729" t="s">
        <v>761</v>
      </c>
      <c r="F1134" s="104">
        <f>+'[3]chd9-SAOB'!C433</f>
        <v>0</v>
      </c>
      <c r="G1134" s="104"/>
      <c r="H1134" s="104"/>
      <c r="I1134" s="103">
        <f>SUM(F1134:H1134)</f>
        <v>0</v>
      </c>
      <c r="J1134" s="104">
        <f>+'[3]chd9-SAOB'!G433</f>
        <v>0</v>
      </c>
      <c r="K1134" s="104"/>
      <c r="L1134" s="104"/>
      <c r="M1134" s="103">
        <f>SUM(J1134:L1134)</f>
        <v>0</v>
      </c>
      <c r="N1134" s="103">
        <f t="shared" si="413"/>
        <v>0</v>
      </c>
      <c r="O1134" s="103">
        <f t="shared" si="413"/>
        <v>0</v>
      </c>
      <c r="P1134" s="103">
        <f t="shared" si="413"/>
        <v>0</v>
      </c>
      <c r="Q1134" s="103">
        <f>SUM(N1134:P1134)</f>
        <v>0</v>
      </c>
      <c r="S1134" s="730" t="str">
        <f t="shared" si="407"/>
        <v/>
      </c>
      <c r="T1134" s="730" t="str">
        <f t="shared" si="407"/>
        <v/>
      </c>
      <c r="U1134" s="730" t="str">
        <f t="shared" si="407"/>
        <v/>
      </c>
      <c r="V1134" s="730" t="str">
        <f t="shared" si="406"/>
        <v/>
      </c>
      <c r="W1134" s="531"/>
      <c r="X1134" s="236"/>
      <c r="Y1134" s="236" t="s">
        <v>688</v>
      </c>
      <c r="Z1134" s="236"/>
    </row>
    <row r="1135" spans="1:26" ht="11.25" customHeight="1">
      <c r="A1135" s="528" t="s">
        <v>640</v>
      </c>
      <c r="B1135" s="1013" t="s">
        <v>210</v>
      </c>
      <c r="C1135" s="410"/>
      <c r="D1135" s="647"/>
      <c r="E1135" s="461" t="s">
        <v>764</v>
      </c>
      <c r="F1135" s="104"/>
      <c r="G1135" s="104"/>
      <c r="H1135" s="104"/>
      <c r="I1135" s="103"/>
      <c r="J1135" s="104"/>
      <c r="K1135" s="104"/>
      <c r="L1135" s="104"/>
      <c r="M1135" s="103"/>
      <c r="N1135" s="103"/>
      <c r="O1135" s="103"/>
      <c r="P1135" s="103"/>
      <c r="Q1135" s="103"/>
      <c r="S1135" s="730" t="str">
        <f t="shared" si="407"/>
        <v/>
      </c>
      <c r="T1135" s="730" t="str">
        <f t="shared" si="407"/>
        <v/>
      </c>
      <c r="U1135" s="730" t="str">
        <f t="shared" si="407"/>
        <v/>
      </c>
      <c r="V1135" s="730" t="str">
        <f t="shared" si="406"/>
        <v/>
      </c>
      <c r="W1135" s="531"/>
      <c r="X1135" s="236"/>
      <c r="Y1135" s="236" t="s">
        <v>688</v>
      </c>
      <c r="Z1135" s="240"/>
    </row>
    <row r="1136" spans="1:26" ht="11.25" customHeight="1">
      <c r="A1136" s="528" t="s">
        <v>640</v>
      </c>
      <c r="B1136" s="1013" t="s">
        <v>210</v>
      </c>
      <c r="C1136" s="728"/>
      <c r="D1136" s="649" t="s">
        <v>289</v>
      </c>
      <c r="E1136" s="729" t="s">
        <v>289</v>
      </c>
      <c r="F1136" s="103">
        <f>SUM('[3]chd9-SAOB'!BV14)</f>
        <v>0</v>
      </c>
      <c r="G1136" s="103">
        <f>SUM('[3]chd9-SAOB'!BV50)</f>
        <v>0</v>
      </c>
      <c r="H1136" s="103">
        <f>SUM('[3]chd9-SAOB'!BV142)</f>
        <v>0</v>
      </c>
      <c r="I1136" s="103">
        <f>SUM(F1136:H1136)</f>
        <v>0</v>
      </c>
      <c r="J1136" s="103">
        <f>SUM('[3]chd9-SAOB'!BV15)</f>
        <v>0</v>
      </c>
      <c r="K1136" s="103">
        <f>SUM('[3]chd9-SAOB'!BV51)</f>
        <v>0</v>
      </c>
      <c r="L1136" s="103">
        <f>SUM('[3]chd9-SAOB'!BV143)</f>
        <v>0</v>
      </c>
      <c r="M1136" s="103">
        <f>SUM(J1136:L1136)</f>
        <v>0</v>
      </c>
      <c r="N1136" s="103">
        <f t="shared" si="413"/>
        <v>0</v>
      </c>
      <c r="O1136" s="103">
        <f t="shared" si="413"/>
        <v>0</v>
      </c>
      <c r="P1136" s="103">
        <f t="shared" si="413"/>
        <v>0</v>
      </c>
      <c r="Q1136" s="103">
        <f t="shared" si="414"/>
        <v>0</v>
      </c>
      <c r="S1136" s="730" t="str">
        <f t="shared" si="407"/>
        <v/>
      </c>
      <c r="T1136" s="730" t="str">
        <f t="shared" si="407"/>
        <v/>
      </c>
      <c r="U1136" s="730" t="str">
        <f t="shared" si="407"/>
        <v/>
      </c>
      <c r="V1136" s="730" t="str">
        <f t="shared" si="406"/>
        <v/>
      </c>
      <c r="W1136" s="531"/>
      <c r="X1136" s="236"/>
      <c r="Y1136" s="236" t="s">
        <v>598</v>
      </c>
      <c r="Z1136" s="236"/>
    </row>
    <row r="1137" spans="1:26" ht="11.25" customHeight="1">
      <c r="A1137" s="528" t="s">
        <v>640</v>
      </c>
      <c r="B1137" s="1013" t="s">
        <v>210</v>
      </c>
      <c r="C1137" s="728"/>
      <c r="D1137" s="649" t="s">
        <v>290</v>
      </c>
      <c r="E1137" s="729" t="s">
        <v>290</v>
      </c>
      <c r="F1137" s="103">
        <f>SUM('[3]chd9-SAOB'!CF14)</f>
        <v>0</v>
      </c>
      <c r="G1137" s="103">
        <f>SUM('[3]chd9-SAOB'!CF50)</f>
        <v>0</v>
      </c>
      <c r="H1137" s="103">
        <f>SUM('[3]chd9-SAOB'!CF142)</f>
        <v>0</v>
      </c>
      <c r="I1137" s="103">
        <f>SUM(F1137:H1137)</f>
        <v>0</v>
      </c>
      <c r="J1137" s="103">
        <f>SUM('[3]chd9-SAOB'!CF15)</f>
        <v>0</v>
      </c>
      <c r="K1137" s="103">
        <f>SUM('[3]chd9-SAOB'!CF51)</f>
        <v>0</v>
      </c>
      <c r="L1137" s="103">
        <f>SUM('[3]chd9-SAOB'!CF143)</f>
        <v>0</v>
      </c>
      <c r="M1137" s="103">
        <f>SUM(J1137:L1137)</f>
        <v>0</v>
      </c>
      <c r="N1137" s="103">
        <f t="shared" si="413"/>
        <v>0</v>
      </c>
      <c r="O1137" s="103">
        <f t="shared" si="413"/>
        <v>0</v>
      </c>
      <c r="P1137" s="103">
        <f t="shared" si="413"/>
        <v>0</v>
      </c>
      <c r="Q1137" s="103">
        <f t="shared" si="414"/>
        <v>0</v>
      </c>
      <c r="S1137" s="730" t="str">
        <f t="shared" si="407"/>
        <v/>
      </c>
      <c r="T1137" s="730" t="str">
        <f t="shared" si="407"/>
        <v/>
      </c>
      <c r="U1137" s="730" t="str">
        <f t="shared" si="407"/>
        <v/>
      </c>
      <c r="V1137" s="730" t="str">
        <f t="shared" si="406"/>
        <v/>
      </c>
      <c r="W1137" s="531"/>
      <c r="X1137" s="236"/>
      <c r="Y1137" s="236" t="s">
        <v>598</v>
      </c>
      <c r="Z1137" s="236"/>
    </row>
    <row r="1138" spans="1:26" s="259" customFormat="1" ht="11.25" customHeight="1">
      <c r="A1138" s="246" t="s">
        <v>640</v>
      </c>
      <c r="B1138" s="235" t="s">
        <v>210</v>
      </c>
      <c r="C1138" s="656"/>
      <c r="D1138" s="656"/>
      <c r="E1138" s="657" t="s">
        <v>4</v>
      </c>
      <c r="F1138" s="652">
        <f>+F1128+F1130+F1132</f>
        <v>0</v>
      </c>
      <c r="G1138" s="652">
        <f t="shared" ref="G1138:M1138" si="417">+G1128+G1130+G1132</f>
        <v>691000</v>
      </c>
      <c r="H1138" s="652">
        <f t="shared" si="417"/>
        <v>0</v>
      </c>
      <c r="I1138" s="652">
        <f t="shared" si="417"/>
        <v>691000</v>
      </c>
      <c r="J1138" s="652">
        <f t="shared" si="417"/>
        <v>0</v>
      </c>
      <c r="K1138" s="652">
        <f t="shared" si="417"/>
        <v>0</v>
      </c>
      <c r="L1138" s="652">
        <f t="shared" si="417"/>
        <v>0</v>
      </c>
      <c r="M1138" s="652">
        <f t="shared" si="417"/>
        <v>0</v>
      </c>
      <c r="N1138" s="652">
        <f t="shared" si="413"/>
        <v>0</v>
      </c>
      <c r="O1138" s="652">
        <f t="shared" si="413"/>
        <v>691000</v>
      </c>
      <c r="P1138" s="652">
        <f t="shared" si="413"/>
        <v>0</v>
      </c>
      <c r="Q1138" s="652">
        <f t="shared" si="414"/>
        <v>691000</v>
      </c>
      <c r="R1138" s="653">
        <f>+Q1138-'[3]chd9-SAOB'!DX179</f>
        <v>0</v>
      </c>
      <c r="S1138" s="1008" t="str">
        <f t="shared" si="407"/>
        <v/>
      </c>
      <c r="T1138" s="1008">
        <f t="shared" si="407"/>
        <v>0</v>
      </c>
      <c r="U1138" s="1008" t="str">
        <f t="shared" si="407"/>
        <v/>
      </c>
      <c r="V1138" s="1008">
        <f t="shared" si="406"/>
        <v>0</v>
      </c>
      <c r="W1138" s="254"/>
      <c r="X1138" s="520"/>
      <c r="Y1138" s="610" t="s">
        <v>598</v>
      </c>
      <c r="Z1138" s="241" t="s">
        <v>598</v>
      </c>
    </row>
    <row r="1139" spans="1:26" s="660" customFormat="1" ht="24" hidden="1" customHeight="1">
      <c r="A1139" s="246" t="s">
        <v>640</v>
      </c>
      <c r="B1139" s="1009" t="s">
        <v>641</v>
      </c>
      <c r="C1139" s="1428" t="s">
        <v>639</v>
      </c>
      <c r="D1139" s="1429"/>
      <c r="E1139" s="1430"/>
      <c r="F1139" s="659">
        <f>+F1033+F1048+F1063+F1078+F1093+F1108+F1123+F1138</f>
        <v>288537319</v>
      </c>
      <c r="G1139" s="659">
        <f>+G1033+G1048+G1063+G1078+G1093+G1108+G1123+G1138</f>
        <v>202751690</v>
      </c>
      <c r="H1139" s="659">
        <f>+H1033+H1048+H1063+H1078+H1093+H1108+H1123+H1138</f>
        <v>206000000</v>
      </c>
      <c r="I1139" s="659">
        <f>SUM(F1139:H1139)</f>
        <v>697289009</v>
      </c>
      <c r="J1139" s="659">
        <f>+J1033+J1048+J1063+J1078+J1093+J1108+J1123+J1138</f>
        <v>263869029.32000002</v>
      </c>
      <c r="K1139" s="659">
        <f>+K1033+K1048+K1063+K1078+K1093+K1108+K1123+K1138</f>
        <v>156110368.86999997</v>
      </c>
      <c r="L1139" s="659">
        <f>+L1033+L1048+L1063+L1078+L1093+L1108+L1123+L1138</f>
        <v>188254881.11999997</v>
      </c>
      <c r="M1139" s="659">
        <f>SUM(J1139:L1139)</f>
        <v>608234279.30999994</v>
      </c>
      <c r="N1139" s="659">
        <f t="shared" si="413"/>
        <v>24668289.679999977</v>
      </c>
      <c r="O1139" s="659">
        <f t="shared" si="413"/>
        <v>46641321.130000025</v>
      </c>
      <c r="P1139" s="659">
        <f t="shared" si="413"/>
        <v>17745118.880000025</v>
      </c>
      <c r="Q1139" s="659">
        <f t="shared" si="414"/>
        <v>89054729.690000027</v>
      </c>
      <c r="S1139" s="1015">
        <f t="shared" si="407"/>
        <v>0.91450572229098737</v>
      </c>
      <c r="T1139" s="1015">
        <f t="shared" si="407"/>
        <v>0.76995841006306764</v>
      </c>
      <c r="U1139" s="1015">
        <f t="shared" si="407"/>
        <v>0.91385864621359214</v>
      </c>
      <c r="V1139" s="1015">
        <f t="shared" si="406"/>
        <v>0.8722843347011654</v>
      </c>
      <c r="W1139" s="254"/>
    </row>
    <row r="1140" spans="1:26" ht="11.25" hidden="1" customHeight="1">
      <c r="A1140" s="246" t="s">
        <v>640</v>
      </c>
      <c r="B1140" s="235" t="s">
        <v>641</v>
      </c>
      <c r="C1140" s="1016"/>
      <c r="D1140" s="396"/>
      <c r="E1140" s="806"/>
      <c r="F1140" s="103"/>
      <c r="G1140" s="103"/>
      <c r="H1140" s="103"/>
      <c r="I1140" s="103">
        <f>SUM(F1140:H1140)</f>
        <v>0</v>
      </c>
      <c r="J1140" s="103"/>
      <c r="K1140" s="103"/>
      <c r="L1140" s="103"/>
      <c r="M1140" s="103">
        <f>SUM(J1140:L1140)</f>
        <v>0</v>
      </c>
      <c r="N1140" s="103">
        <f t="shared" si="413"/>
        <v>0</v>
      </c>
      <c r="O1140" s="103">
        <f t="shared" si="413"/>
        <v>0</v>
      </c>
      <c r="P1140" s="103">
        <f t="shared" si="413"/>
        <v>0</v>
      </c>
      <c r="Q1140" s="103">
        <f t="shared" si="414"/>
        <v>0</v>
      </c>
      <c r="R1140" s="236"/>
      <c r="S1140" s="730" t="str">
        <f t="shared" si="407"/>
        <v/>
      </c>
      <c r="T1140" s="730" t="str">
        <f t="shared" si="407"/>
        <v/>
      </c>
      <c r="U1140" s="730" t="str">
        <f t="shared" si="407"/>
        <v/>
      </c>
      <c r="V1140" s="730" t="str">
        <f t="shared" si="406"/>
        <v/>
      </c>
      <c r="W1140" s="254"/>
      <c r="X1140" s="520" t="s">
        <v>598</v>
      </c>
      <c r="Z1140" s="241"/>
    </row>
    <row r="1141" spans="1:26" s="275" customFormat="1" ht="11.25" hidden="1" customHeight="1">
      <c r="A1141" s="246" t="s">
        <v>640</v>
      </c>
      <c r="B1141" s="246" t="s">
        <v>641</v>
      </c>
      <c r="C1141" s="407" t="s">
        <v>836</v>
      </c>
      <c r="D1141" s="407"/>
      <c r="E1141" s="408"/>
      <c r="F1141" s="409"/>
      <c r="G1141" s="409"/>
      <c r="H1141" s="409"/>
      <c r="I1141" s="409">
        <f>SUM(F1141:H1141)</f>
        <v>0</v>
      </c>
      <c r="J1141" s="409"/>
      <c r="K1141" s="409"/>
      <c r="L1141" s="409"/>
      <c r="M1141" s="409">
        <f>SUM(J1141:L1141)</f>
        <v>0</v>
      </c>
      <c r="N1141" s="409">
        <f t="shared" si="413"/>
        <v>0</v>
      </c>
      <c r="O1141" s="409">
        <f t="shared" si="413"/>
        <v>0</v>
      </c>
      <c r="P1141" s="409">
        <f t="shared" si="413"/>
        <v>0</v>
      </c>
      <c r="Q1141" s="409">
        <f t="shared" si="414"/>
        <v>0</v>
      </c>
      <c r="R1141" s="522"/>
      <c r="S1141" s="254" t="str">
        <f t="shared" si="407"/>
        <v/>
      </c>
      <c r="T1141" s="254" t="str">
        <f t="shared" si="407"/>
        <v/>
      </c>
      <c r="U1141" s="254" t="str">
        <f t="shared" si="407"/>
        <v/>
      </c>
      <c r="V1141" s="1002" t="str">
        <f t="shared" si="406"/>
        <v/>
      </c>
      <c r="W1141" s="254"/>
      <c r="X1141" s="274" t="s">
        <v>598</v>
      </c>
      <c r="Y1141" s="663"/>
      <c r="Z1141" s="253"/>
    </row>
    <row r="1142" spans="1:26" ht="11.25" hidden="1" customHeight="1">
      <c r="A1142" s="246" t="s">
        <v>640</v>
      </c>
      <c r="B1142" s="235" t="s">
        <v>641</v>
      </c>
      <c r="C1142" s="461"/>
      <c r="D1142" s="664" t="s">
        <v>766</v>
      </c>
      <c r="E1142" s="447" t="s">
        <v>766</v>
      </c>
      <c r="F1142" s="103">
        <f>+F1002+F1021+F1036+F1051+F1066+F1081+F1096+F1111+F1126</f>
        <v>347951113</v>
      </c>
      <c r="G1142" s="103">
        <f>+G1002+G1021+G1036+G1051+G1066+G1081+G1096+G1111+G1126</f>
        <v>306359887</v>
      </c>
      <c r="H1142" s="103">
        <f>+H1002+H1021+H1036+H1051+H1066+H1081+H1096+H1111+H1126</f>
        <v>1350000</v>
      </c>
      <c r="I1142" s="103">
        <f>SUM(F1142:H1142)</f>
        <v>655661000</v>
      </c>
      <c r="J1142" s="103">
        <f>+J1002+J1021+J1036+J1051+J1066+J1081+J1096+J1111+J1126</f>
        <v>317884841.42000008</v>
      </c>
      <c r="K1142" s="103">
        <f>+K1002+K1021+K1036+K1051+K1066+K1081+K1096+K1111+K1126</f>
        <v>188802218.79000002</v>
      </c>
      <c r="L1142" s="103">
        <f>+L1002+L1021+L1036+L1051+L1066+L1081+L1096+L1111+L1126</f>
        <v>0</v>
      </c>
      <c r="M1142" s="103">
        <f>SUM(J1142:L1142)</f>
        <v>506687060.2100001</v>
      </c>
      <c r="N1142" s="103">
        <f t="shared" si="413"/>
        <v>30066271.579999924</v>
      </c>
      <c r="O1142" s="103">
        <f t="shared" si="413"/>
        <v>117557668.20999998</v>
      </c>
      <c r="P1142" s="103">
        <f t="shared" si="413"/>
        <v>1350000</v>
      </c>
      <c r="Q1142" s="103">
        <f t="shared" si="414"/>
        <v>148973939.7899999</v>
      </c>
      <c r="R1142" s="236"/>
      <c r="S1142" s="730">
        <f t="shared" si="407"/>
        <v>0.9135905290810209</v>
      </c>
      <c r="T1142" s="730">
        <f t="shared" si="407"/>
        <v>0.61627591209419663</v>
      </c>
      <c r="U1142" s="730">
        <f t="shared" si="407"/>
        <v>0</v>
      </c>
      <c r="V1142" s="730">
        <f t="shared" si="406"/>
        <v>0.7727881637157008</v>
      </c>
      <c r="W1142" s="254"/>
      <c r="X1142" s="237" t="s">
        <v>598</v>
      </c>
    </row>
    <row r="1143" spans="1:26" ht="11.25" hidden="1" customHeight="1">
      <c r="A1143" s="246" t="s">
        <v>640</v>
      </c>
      <c r="B1143" s="235" t="s">
        <v>641</v>
      </c>
      <c r="C1143" s="728"/>
      <c r="D1143" s="394" t="s">
        <v>50</v>
      </c>
      <c r="E1143" s="447" t="s">
        <v>50</v>
      </c>
      <c r="F1143" s="103">
        <f>+F1006+F1022+F1037+F1052+F1067+F1082+F1097+F1112+F1127</f>
        <v>0</v>
      </c>
      <c r="G1143" s="103">
        <f>+G1006+G1022+G1037+G1052+G1067+G1082+G1097+G1112+G1127</f>
        <v>189147214</v>
      </c>
      <c r="H1143" s="103">
        <f>+H1006+H1022+H1037+H1052+H1067+H1082+H1097+H1112+H1127</f>
        <v>217245000</v>
      </c>
      <c r="I1143" s="103">
        <f>SUM(F1143:H1143)</f>
        <v>406392214</v>
      </c>
      <c r="J1143" s="103">
        <f>+J1006+J1022+J1037+J1052+J1067+J1082+J1097+J1112+J1127</f>
        <v>0</v>
      </c>
      <c r="K1143" s="103">
        <f>+K1006+K1022+K1037+K1052+K1067+K1082+K1097+K1112+K1127</f>
        <v>108837992.75000003</v>
      </c>
      <c r="L1143" s="103">
        <f>+L1006+L1022+L1037+L1052+L1067+L1082+L1097+L1112+L1127</f>
        <v>192137399.43999997</v>
      </c>
      <c r="M1143" s="103">
        <f>SUM(J1143:L1143)</f>
        <v>300975392.19</v>
      </c>
      <c r="N1143" s="103">
        <f t="shared" si="413"/>
        <v>0</v>
      </c>
      <c r="O1143" s="103">
        <f t="shared" si="413"/>
        <v>80309221.24999997</v>
      </c>
      <c r="P1143" s="103">
        <f t="shared" si="413"/>
        <v>25107600.560000032</v>
      </c>
      <c r="Q1143" s="103">
        <f t="shared" si="414"/>
        <v>105416821.81</v>
      </c>
      <c r="R1143" s="236"/>
      <c r="S1143" s="730" t="str">
        <f t="shared" si="407"/>
        <v/>
      </c>
      <c r="T1143" s="730">
        <f t="shared" si="407"/>
        <v>0.57541419959799156</v>
      </c>
      <c r="U1143" s="730">
        <f t="shared" si="407"/>
        <v>0.88442725696793922</v>
      </c>
      <c r="V1143" s="730">
        <f t="shared" si="406"/>
        <v>0.74060324440664604</v>
      </c>
      <c r="W1143" s="254"/>
      <c r="X1143" s="237" t="s">
        <v>598</v>
      </c>
    </row>
    <row r="1144" spans="1:26" s="256" customFormat="1" ht="11.25" hidden="1" customHeight="1">
      <c r="A1144" s="246" t="s">
        <v>640</v>
      </c>
      <c r="B1144" s="246" t="s">
        <v>641</v>
      </c>
      <c r="C1144" s="389"/>
      <c r="D1144" s="389" t="s">
        <v>98</v>
      </c>
      <c r="E1144" s="390" t="s">
        <v>767</v>
      </c>
      <c r="F1144" s="391">
        <f>+F1142+F1143</f>
        <v>347951113</v>
      </c>
      <c r="G1144" s="391">
        <f t="shared" ref="G1144:M1144" si="418">+G1142+G1143</f>
        <v>495507101</v>
      </c>
      <c r="H1144" s="391">
        <f t="shared" si="418"/>
        <v>218595000</v>
      </c>
      <c r="I1144" s="391">
        <f t="shared" si="418"/>
        <v>1062053214</v>
      </c>
      <c r="J1144" s="391">
        <f t="shared" si="418"/>
        <v>317884841.42000008</v>
      </c>
      <c r="K1144" s="391">
        <f t="shared" si="418"/>
        <v>297640211.54000008</v>
      </c>
      <c r="L1144" s="391">
        <f t="shared" si="418"/>
        <v>192137399.43999997</v>
      </c>
      <c r="M1144" s="391">
        <f t="shared" si="418"/>
        <v>807662452.4000001</v>
      </c>
      <c r="N1144" s="391">
        <f t="shared" si="413"/>
        <v>30066271.579999924</v>
      </c>
      <c r="O1144" s="391">
        <f t="shared" si="413"/>
        <v>197866889.45999992</v>
      </c>
      <c r="P1144" s="391">
        <f t="shared" si="413"/>
        <v>26457600.560000032</v>
      </c>
      <c r="Q1144" s="391">
        <f t="shared" si="414"/>
        <v>254390761.59999987</v>
      </c>
      <c r="R1144" s="665"/>
      <c r="S1144" s="254">
        <f t="shared" si="407"/>
        <v>0.9135905290810209</v>
      </c>
      <c r="T1144" s="254">
        <f t="shared" si="407"/>
        <v>0.60067799419891676</v>
      </c>
      <c r="U1144" s="254">
        <f t="shared" si="407"/>
        <v>0.87896520707243975</v>
      </c>
      <c r="V1144" s="297">
        <f t="shared" si="406"/>
        <v>0.76047267853755596</v>
      </c>
      <c r="W1144" s="254"/>
      <c r="X1144" s="271" t="s">
        <v>598</v>
      </c>
      <c r="Y1144" s="628"/>
      <c r="Z1144" s="255"/>
    </row>
    <row r="1145" spans="1:26" ht="11.25" hidden="1" customHeight="1">
      <c r="A1145" s="246" t="s">
        <v>640</v>
      </c>
      <c r="B1145" s="235" t="s">
        <v>641</v>
      </c>
      <c r="C1145" s="410"/>
      <c r="D1145" s="396"/>
      <c r="E1145" s="806"/>
      <c r="F1145" s="807"/>
      <c r="G1145" s="807"/>
      <c r="H1145" s="807"/>
      <c r="I1145" s="807"/>
      <c r="J1145" s="807"/>
      <c r="K1145" s="807"/>
      <c r="L1145" s="807"/>
      <c r="M1145" s="807"/>
      <c r="N1145" s="807">
        <f t="shared" si="413"/>
        <v>0</v>
      </c>
      <c r="O1145" s="807">
        <f t="shared" si="413"/>
        <v>0</v>
      </c>
      <c r="P1145" s="807">
        <f t="shared" si="413"/>
        <v>0</v>
      </c>
      <c r="Q1145" s="807">
        <f t="shared" si="414"/>
        <v>0</v>
      </c>
      <c r="R1145" s="276"/>
      <c r="S1145" s="730" t="str">
        <f t="shared" si="407"/>
        <v/>
      </c>
      <c r="T1145" s="730" t="str">
        <f t="shared" si="407"/>
        <v/>
      </c>
      <c r="U1145" s="730" t="str">
        <f t="shared" si="407"/>
        <v/>
      </c>
      <c r="V1145" s="730" t="str">
        <f t="shared" si="406"/>
        <v/>
      </c>
      <c r="W1145" s="254"/>
      <c r="X1145" s="237" t="s">
        <v>598</v>
      </c>
    </row>
    <row r="1146" spans="1:26" s="256" customFormat="1" ht="11.25" hidden="1" customHeight="1">
      <c r="A1146" s="246" t="s">
        <v>640</v>
      </c>
      <c r="B1146" s="246" t="s">
        <v>641</v>
      </c>
      <c r="C1146" s="389"/>
      <c r="D1146" s="389" t="s">
        <v>98</v>
      </c>
      <c r="E1146" s="390" t="s">
        <v>99</v>
      </c>
      <c r="F1146" s="391">
        <f>+F1147</f>
        <v>31131490</v>
      </c>
      <c r="G1146" s="391">
        <f t="shared" ref="G1146:M1146" si="419">+G1147</f>
        <v>0</v>
      </c>
      <c r="H1146" s="391">
        <f t="shared" si="419"/>
        <v>0</v>
      </c>
      <c r="I1146" s="391">
        <f t="shared" si="419"/>
        <v>31131490</v>
      </c>
      <c r="J1146" s="391">
        <f t="shared" si="419"/>
        <v>27187649.399999999</v>
      </c>
      <c r="K1146" s="391">
        <f t="shared" si="419"/>
        <v>0</v>
      </c>
      <c r="L1146" s="391">
        <f t="shared" si="419"/>
        <v>0</v>
      </c>
      <c r="M1146" s="391">
        <f t="shared" si="419"/>
        <v>27187649.399999999</v>
      </c>
      <c r="N1146" s="391">
        <f t="shared" si="413"/>
        <v>3943840.6000000015</v>
      </c>
      <c r="O1146" s="391">
        <f t="shared" si="413"/>
        <v>0</v>
      </c>
      <c r="P1146" s="391">
        <f t="shared" si="413"/>
        <v>0</v>
      </c>
      <c r="Q1146" s="391">
        <f t="shared" si="414"/>
        <v>3943840.6000000015</v>
      </c>
      <c r="R1146" s="522"/>
      <c r="S1146" s="254">
        <f t="shared" si="407"/>
        <v>0.87331667710090322</v>
      </c>
      <c r="T1146" s="254" t="str">
        <f t="shared" si="407"/>
        <v/>
      </c>
      <c r="U1146" s="254" t="str">
        <f t="shared" si="407"/>
        <v/>
      </c>
      <c r="V1146" s="297">
        <f t="shared" si="406"/>
        <v>0.87331667710090322</v>
      </c>
      <c r="W1146" s="254"/>
      <c r="X1146" s="271" t="s">
        <v>598</v>
      </c>
      <c r="Y1146" s="628"/>
      <c r="Z1146" s="255"/>
    </row>
    <row r="1147" spans="1:26" ht="11.25" hidden="1" customHeight="1">
      <c r="A1147" s="246" t="s">
        <v>640</v>
      </c>
      <c r="B1147" s="235" t="s">
        <v>641</v>
      </c>
      <c r="C1147" s="728"/>
      <c r="D1147" s="394" t="s">
        <v>286</v>
      </c>
      <c r="E1147" s="729" t="s">
        <v>286</v>
      </c>
      <c r="F1147" s="103">
        <f>+F1010+F1026+F1041+F1056+F1071+F1086+F1101+F1116+F1131</f>
        <v>31131490</v>
      </c>
      <c r="G1147" s="103">
        <f>+G1010+G1026+G1041+G1056+G1071+G1086+G1101+G1116+G1131</f>
        <v>0</v>
      </c>
      <c r="H1147" s="103">
        <f>+H1010+H1026+H1041+H1056+H1071+H1086+H1101+H1116+H1131</f>
        <v>0</v>
      </c>
      <c r="I1147" s="103">
        <f>SUM(F1147:H1147)</f>
        <v>31131490</v>
      </c>
      <c r="J1147" s="103">
        <f>+J1010+J1026+J1041+J1056+J1071+J1086+J1101+J1116+J1131</f>
        <v>27187649.399999999</v>
      </c>
      <c r="K1147" s="103">
        <f>+K1010+K1026+K1041+K1056+K1071+K1086+K1101+K1116+K1131</f>
        <v>0</v>
      </c>
      <c r="L1147" s="103">
        <f>+L1010+L1026+L1041+L1056+L1071+L1086+L1101+L1116+L1131</f>
        <v>0</v>
      </c>
      <c r="M1147" s="103">
        <f t="shared" ref="M1147:M1232" si="420">SUM(J1147:L1147)</f>
        <v>27187649.399999999</v>
      </c>
      <c r="N1147" s="103">
        <f t="shared" si="413"/>
        <v>3943840.6000000015</v>
      </c>
      <c r="O1147" s="103">
        <f t="shared" si="413"/>
        <v>0</v>
      </c>
      <c r="P1147" s="103">
        <f t="shared" si="413"/>
        <v>0</v>
      </c>
      <c r="Q1147" s="103">
        <f t="shared" si="414"/>
        <v>3943840.6000000015</v>
      </c>
      <c r="R1147" s="236"/>
      <c r="S1147" s="730">
        <f t="shared" si="407"/>
        <v>0.87331667710090322</v>
      </c>
      <c r="T1147" s="730" t="str">
        <f t="shared" si="407"/>
        <v/>
      </c>
      <c r="U1147" s="730" t="str">
        <f t="shared" si="407"/>
        <v/>
      </c>
      <c r="V1147" s="730">
        <f t="shared" si="406"/>
        <v>0.87331667710090322</v>
      </c>
      <c r="W1147" s="254"/>
      <c r="X1147" s="237" t="s">
        <v>598</v>
      </c>
    </row>
    <row r="1148" spans="1:26" s="272" customFormat="1" ht="11.25" hidden="1" customHeight="1">
      <c r="A1148" s="246" t="s">
        <v>640</v>
      </c>
      <c r="B1148" s="246" t="s">
        <v>641</v>
      </c>
      <c r="C1148" s="389"/>
      <c r="D1148" s="389" t="s">
        <v>98</v>
      </c>
      <c r="E1148" s="390" t="s">
        <v>100</v>
      </c>
      <c r="F1148" s="391">
        <f t="shared" ref="F1148:M1148" si="421">SUM(F1149:F1153)</f>
        <v>12849445</v>
      </c>
      <c r="G1148" s="391">
        <f t="shared" si="421"/>
        <v>11325000</v>
      </c>
      <c r="H1148" s="391">
        <f t="shared" si="421"/>
        <v>4500000</v>
      </c>
      <c r="I1148" s="391">
        <f t="shared" si="421"/>
        <v>28674445</v>
      </c>
      <c r="J1148" s="391">
        <f t="shared" si="421"/>
        <v>11394868.23</v>
      </c>
      <c r="K1148" s="391">
        <f t="shared" si="421"/>
        <v>5863210.5499999998</v>
      </c>
      <c r="L1148" s="391">
        <f t="shared" si="421"/>
        <v>0</v>
      </c>
      <c r="M1148" s="391">
        <f t="shared" si="421"/>
        <v>17258078.780000001</v>
      </c>
      <c r="N1148" s="391">
        <f t="shared" si="413"/>
        <v>1454576.7699999996</v>
      </c>
      <c r="O1148" s="391">
        <f t="shared" si="413"/>
        <v>5461789.4500000002</v>
      </c>
      <c r="P1148" s="391">
        <f t="shared" si="413"/>
        <v>4500000</v>
      </c>
      <c r="Q1148" s="391">
        <f t="shared" si="414"/>
        <v>11416366.219999999</v>
      </c>
      <c r="R1148" s="94"/>
      <c r="S1148" s="254">
        <f t="shared" si="407"/>
        <v>0.88679847495358755</v>
      </c>
      <c r="T1148" s="254">
        <f t="shared" si="407"/>
        <v>0.51772278587196463</v>
      </c>
      <c r="U1148" s="254">
        <f t="shared" si="407"/>
        <v>0</v>
      </c>
      <c r="V1148" s="297">
        <f t="shared" si="406"/>
        <v>0.60186269620911581</v>
      </c>
      <c r="W1148" s="254"/>
      <c r="X1148" s="527" t="s">
        <v>598</v>
      </c>
      <c r="Y1148" s="629"/>
      <c r="Z1148" s="277"/>
    </row>
    <row r="1149" spans="1:26" ht="11.25" hidden="1" customHeight="1">
      <c r="A1149" s="246" t="s">
        <v>640</v>
      </c>
      <c r="B1149" s="235" t="s">
        <v>641</v>
      </c>
      <c r="C1149" s="728"/>
      <c r="D1149" s="394" t="s">
        <v>288</v>
      </c>
      <c r="E1149" s="729" t="s">
        <v>288</v>
      </c>
      <c r="F1149" s="103">
        <f t="shared" ref="F1149:H1150" si="422">+F1012+F1028+F1043+F1058+F1073+F1088+F1103+F1118+F1133</f>
        <v>1489724</v>
      </c>
      <c r="G1149" s="103">
        <f t="shared" si="422"/>
        <v>0</v>
      </c>
      <c r="H1149" s="103">
        <f t="shared" si="422"/>
        <v>0</v>
      </c>
      <c r="I1149" s="103">
        <f>SUM(F1149:H1149)</f>
        <v>1489724</v>
      </c>
      <c r="J1149" s="103">
        <f t="shared" ref="J1149:L1150" si="423">+J1012+J1028+J1043+J1058+J1073+J1088+J1103+J1118+J1133</f>
        <v>270150</v>
      </c>
      <c r="K1149" s="103">
        <f t="shared" si="423"/>
        <v>0</v>
      </c>
      <c r="L1149" s="103">
        <f t="shared" si="423"/>
        <v>0</v>
      </c>
      <c r="M1149" s="103">
        <f t="shared" si="420"/>
        <v>270150</v>
      </c>
      <c r="N1149" s="103">
        <f t="shared" si="413"/>
        <v>1219574</v>
      </c>
      <c r="O1149" s="103">
        <f t="shared" si="413"/>
        <v>0</v>
      </c>
      <c r="P1149" s="103">
        <f t="shared" si="413"/>
        <v>0</v>
      </c>
      <c r="Q1149" s="103">
        <f t="shared" si="414"/>
        <v>1219574</v>
      </c>
      <c r="R1149" s="236"/>
      <c r="S1149" s="730">
        <f t="shared" si="407"/>
        <v>0.18134231575781823</v>
      </c>
      <c r="T1149" s="730" t="str">
        <f t="shared" si="407"/>
        <v/>
      </c>
      <c r="U1149" s="730" t="str">
        <f t="shared" si="407"/>
        <v/>
      </c>
      <c r="V1149" s="730">
        <f t="shared" si="406"/>
        <v>0.18134231575781823</v>
      </c>
      <c r="W1149" s="254"/>
      <c r="X1149" s="237" t="s">
        <v>598</v>
      </c>
    </row>
    <row r="1150" spans="1:26" ht="11.25" hidden="1" customHeight="1">
      <c r="A1150" s="246" t="s">
        <v>640</v>
      </c>
      <c r="B1150" s="235" t="s">
        <v>641</v>
      </c>
      <c r="C1150" s="728"/>
      <c r="D1150" s="394" t="s">
        <v>761</v>
      </c>
      <c r="E1150" s="729" t="s">
        <v>761</v>
      </c>
      <c r="F1150" s="103">
        <f t="shared" si="422"/>
        <v>7795500</v>
      </c>
      <c r="G1150" s="103">
        <f t="shared" si="422"/>
        <v>0</v>
      </c>
      <c r="H1150" s="103">
        <f t="shared" si="422"/>
        <v>0</v>
      </c>
      <c r="I1150" s="103">
        <f>SUM(F1150:H1150)</f>
        <v>7795500</v>
      </c>
      <c r="J1150" s="103">
        <f t="shared" si="423"/>
        <v>7560499.8499999996</v>
      </c>
      <c r="K1150" s="103">
        <f t="shared" si="423"/>
        <v>0</v>
      </c>
      <c r="L1150" s="103">
        <f t="shared" si="423"/>
        <v>0</v>
      </c>
      <c r="M1150" s="103">
        <f>SUM(J1150:L1150)</f>
        <v>7560499.8499999996</v>
      </c>
      <c r="N1150" s="103">
        <f>+F1150-J1150</f>
        <v>235000.15000000037</v>
      </c>
      <c r="O1150" s="103">
        <f>+G1150-K1150</f>
        <v>0</v>
      </c>
      <c r="P1150" s="103">
        <f>+H1150-L1150</f>
        <v>0</v>
      </c>
      <c r="Q1150" s="103">
        <f>SUM(N1150:P1150)</f>
        <v>235000.15000000037</v>
      </c>
      <c r="R1150" s="236"/>
      <c r="S1150" s="730">
        <f t="shared" si="407"/>
        <v>0.96985438393945222</v>
      </c>
      <c r="T1150" s="730" t="str">
        <f t="shared" si="407"/>
        <v/>
      </c>
      <c r="U1150" s="730" t="str">
        <f t="shared" si="407"/>
        <v/>
      </c>
      <c r="V1150" s="730">
        <f t="shared" si="406"/>
        <v>0.96985438393945222</v>
      </c>
      <c r="W1150" s="254"/>
      <c r="X1150" s="237" t="s">
        <v>598</v>
      </c>
    </row>
    <row r="1151" spans="1:26" ht="11.25" hidden="1" customHeight="1">
      <c r="A1151" s="246" t="s">
        <v>640</v>
      </c>
      <c r="B1151" s="235" t="s">
        <v>641</v>
      </c>
      <c r="C1151" s="410"/>
      <c r="D1151" s="386"/>
      <c r="E1151" s="461"/>
      <c r="F1151" s="104"/>
      <c r="G1151" s="104"/>
      <c r="H1151" s="104"/>
      <c r="I1151" s="103"/>
      <c r="J1151" s="104"/>
      <c r="K1151" s="104"/>
      <c r="L1151" s="104"/>
      <c r="M1151" s="103"/>
      <c r="N1151" s="103"/>
      <c r="O1151" s="103"/>
      <c r="P1151" s="103"/>
      <c r="Q1151" s="103"/>
      <c r="R1151" s="236"/>
      <c r="S1151" s="730" t="str">
        <f t="shared" si="407"/>
        <v/>
      </c>
      <c r="T1151" s="730" t="str">
        <f t="shared" si="407"/>
        <v/>
      </c>
      <c r="U1151" s="730" t="str">
        <f t="shared" si="407"/>
        <v/>
      </c>
      <c r="V1151" s="730" t="str">
        <f t="shared" si="406"/>
        <v/>
      </c>
      <c r="W1151" s="254"/>
      <c r="X1151" s="237" t="s">
        <v>598</v>
      </c>
    </row>
    <row r="1152" spans="1:26" ht="11.25" hidden="1" customHeight="1">
      <c r="A1152" s="246" t="s">
        <v>640</v>
      </c>
      <c r="B1152" s="235" t="s">
        <v>641</v>
      </c>
      <c r="C1152" s="728"/>
      <c r="D1152" s="394" t="s">
        <v>289</v>
      </c>
      <c r="E1152" s="729" t="s">
        <v>289</v>
      </c>
      <c r="F1152" s="103">
        <f t="shared" ref="F1152:H1153" si="424">+F1015+F1031+F1046+F1061+F1076+F1091+F1106+F1121+F1136</f>
        <v>3564221</v>
      </c>
      <c r="G1152" s="103">
        <f t="shared" si="424"/>
        <v>0</v>
      </c>
      <c r="H1152" s="103">
        <f t="shared" si="424"/>
        <v>0</v>
      </c>
      <c r="I1152" s="103">
        <f>SUM(F1152:H1152)</f>
        <v>3564221</v>
      </c>
      <c r="J1152" s="103">
        <f t="shared" ref="J1152:L1153" si="425">+J1015+J1031+J1046+J1061+J1076+J1091+J1106+J1121+J1136</f>
        <v>3564218.38</v>
      </c>
      <c r="K1152" s="103">
        <f t="shared" si="425"/>
        <v>0</v>
      </c>
      <c r="L1152" s="103">
        <f t="shared" si="425"/>
        <v>0</v>
      </c>
      <c r="M1152" s="103">
        <f t="shared" si="420"/>
        <v>3564218.38</v>
      </c>
      <c r="N1152" s="103">
        <f t="shared" si="413"/>
        <v>2.6200000001117587</v>
      </c>
      <c r="O1152" s="103">
        <f t="shared" si="413"/>
        <v>0</v>
      </c>
      <c r="P1152" s="103">
        <f t="shared" si="413"/>
        <v>0</v>
      </c>
      <c r="Q1152" s="103">
        <f t="shared" si="414"/>
        <v>2.6200000001117587</v>
      </c>
      <c r="R1152" s="236"/>
      <c r="S1152" s="730">
        <f t="shared" si="407"/>
        <v>0.99999926491651325</v>
      </c>
      <c r="T1152" s="730" t="str">
        <f t="shared" si="407"/>
        <v/>
      </c>
      <c r="U1152" s="730" t="str">
        <f t="shared" si="407"/>
        <v/>
      </c>
      <c r="V1152" s="730">
        <f t="shared" si="406"/>
        <v>0.99999926491651325</v>
      </c>
      <c r="W1152" s="254"/>
      <c r="X1152" s="237" t="s">
        <v>598</v>
      </c>
    </row>
    <row r="1153" spans="1:26" ht="11.25" hidden="1" customHeight="1">
      <c r="A1153" s="246" t="s">
        <v>640</v>
      </c>
      <c r="B1153" s="235" t="s">
        <v>641</v>
      </c>
      <c r="C1153" s="728"/>
      <c r="D1153" s="394" t="s">
        <v>290</v>
      </c>
      <c r="E1153" s="729" t="s">
        <v>290</v>
      </c>
      <c r="F1153" s="103">
        <f t="shared" si="424"/>
        <v>0</v>
      </c>
      <c r="G1153" s="103">
        <f t="shared" si="424"/>
        <v>11325000</v>
      </c>
      <c r="H1153" s="103">
        <f t="shared" si="424"/>
        <v>4500000</v>
      </c>
      <c r="I1153" s="103">
        <f>SUM(F1153:H1153)</f>
        <v>15825000</v>
      </c>
      <c r="J1153" s="103">
        <f t="shared" si="425"/>
        <v>0</v>
      </c>
      <c r="K1153" s="103">
        <f t="shared" si="425"/>
        <v>5863210.5499999998</v>
      </c>
      <c r="L1153" s="103">
        <f t="shared" si="425"/>
        <v>0</v>
      </c>
      <c r="M1153" s="103">
        <f t="shared" si="420"/>
        <v>5863210.5499999998</v>
      </c>
      <c r="N1153" s="103">
        <f t="shared" si="413"/>
        <v>0</v>
      </c>
      <c r="O1153" s="103">
        <f t="shared" si="413"/>
        <v>5461789.4500000002</v>
      </c>
      <c r="P1153" s="103">
        <f t="shared" si="413"/>
        <v>4500000</v>
      </c>
      <c r="Q1153" s="103">
        <f t="shared" si="414"/>
        <v>9961789.4499999993</v>
      </c>
      <c r="R1153" s="236"/>
      <c r="S1153" s="730" t="str">
        <f t="shared" si="407"/>
        <v/>
      </c>
      <c r="T1153" s="730">
        <f t="shared" si="407"/>
        <v>0.51772278587196463</v>
      </c>
      <c r="U1153" s="730">
        <f t="shared" si="407"/>
        <v>0</v>
      </c>
      <c r="V1153" s="730">
        <f t="shared" si="406"/>
        <v>0.37050303633491311</v>
      </c>
      <c r="W1153" s="254"/>
      <c r="X1153" s="237" t="s">
        <v>598</v>
      </c>
    </row>
    <row r="1154" spans="1:26" s="266" customFormat="1" ht="24.75" customHeight="1">
      <c r="A1154" s="246" t="s">
        <v>640</v>
      </c>
      <c r="B1154" s="1009" t="s">
        <v>641</v>
      </c>
      <c r="C1154" s="1431" t="s">
        <v>642</v>
      </c>
      <c r="D1154" s="1432"/>
      <c r="E1154" s="1433"/>
      <c r="F1154" s="666">
        <f>+F1148+F1146+F1144</f>
        <v>391932048</v>
      </c>
      <c r="G1154" s="666">
        <f t="shared" ref="G1154:M1154" si="426">+G1148+G1146+G1144</f>
        <v>506832101</v>
      </c>
      <c r="H1154" s="666">
        <f t="shared" si="426"/>
        <v>223095000</v>
      </c>
      <c r="I1154" s="666">
        <f t="shared" si="426"/>
        <v>1121859149</v>
      </c>
      <c r="J1154" s="666">
        <f t="shared" si="426"/>
        <v>356467359.05000007</v>
      </c>
      <c r="K1154" s="666">
        <f t="shared" si="426"/>
        <v>303503422.09000009</v>
      </c>
      <c r="L1154" s="666">
        <f t="shared" si="426"/>
        <v>192137399.43999997</v>
      </c>
      <c r="M1154" s="666">
        <f t="shared" si="426"/>
        <v>852108180.58000004</v>
      </c>
      <c r="N1154" s="666">
        <f t="shared" si="413"/>
        <v>35464688.949999928</v>
      </c>
      <c r="O1154" s="666">
        <f t="shared" si="413"/>
        <v>203328678.90999991</v>
      </c>
      <c r="P1154" s="666">
        <f t="shared" si="413"/>
        <v>30957600.560000032</v>
      </c>
      <c r="Q1154" s="666">
        <f t="shared" si="414"/>
        <v>269750968.41999984</v>
      </c>
      <c r="R1154" s="667">
        <f>+Q1154-'[3]chd9-SAOB'!DY179</f>
        <v>0</v>
      </c>
      <c r="S1154" s="1010">
        <f t="shared" si="407"/>
        <v>0.90951316910425262</v>
      </c>
      <c r="T1154" s="1010">
        <f t="shared" si="407"/>
        <v>0.59882438679628958</v>
      </c>
      <c r="U1154" s="1010">
        <f t="shared" si="407"/>
        <v>0.8612357938994597</v>
      </c>
      <c r="V1154" s="1010">
        <f t="shared" si="406"/>
        <v>0.75955005700987521</v>
      </c>
      <c r="W1154" s="254"/>
      <c r="X1154" s="237" t="s">
        <v>598</v>
      </c>
      <c r="Y1154" s="610" t="s">
        <v>598</v>
      </c>
      <c r="Z1154" s="241" t="s">
        <v>598</v>
      </c>
    </row>
    <row r="1155" spans="1:26" ht="11.25" customHeight="1">
      <c r="A1155" s="246" t="s">
        <v>640</v>
      </c>
      <c r="B1155" s="235" t="s">
        <v>641</v>
      </c>
      <c r="C1155" s="410"/>
      <c r="D1155" s="386"/>
      <c r="E1155" s="461"/>
      <c r="F1155" s="104"/>
      <c r="G1155" s="104"/>
      <c r="H1155" s="104"/>
      <c r="I1155" s="103">
        <f>SUM(F1155:H1155)</f>
        <v>0</v>
      </c>
      <c r="J1155" s="104"/>
      <c r="K1155" s="104"/>
      <c r="L1155" s="104"/>
      <c r="M1155" s="103">
        <f t="shared" si="420"/>
        <v>0</v>
      </c>
      <c r="N1155" s="103">
        <f t="shared" si="413"/>
        <v>0</v>
      </c>
      <c r="O1155" s="103">
        <f t="shared" si="413"/>
        <v>0</v>
      </c>
      <c r="P1155" s="103">
        <f t="shared" si="413"/>
        <v>0</v>
      </c>
      <c r="Q1155" s="103">
        <f t="shared" si="414"/>
        <v>0</v>
      </c>
      <c r="S1155" s="730" t="str">
        <f t="shared" si="407"/>
        <v/>
      </c>
      <c r="T1155" s="730" t="str">
        <f t="shared" si="407"/>
        <v/>
      </c>
      <c r="U1155" s="730" t="str">
        <f t="shared" si="407"/>
        <v/>
      </c>
      <c r="V1155" s="730" t="str">
        <f t="shared" si="406"/>
        <v/>
      </c>
      <c r="W1155" s="254"/>
      <c r="Y1155" s="610" t="s">
        <v>598</v>
      </c>
      <c r="Z1155" s="241" t="s">
        <v>598</v>
      </c>
    </row>
    <row r="1156" spans="1:26" ht="11.25" customHeight="1">
      <c r="A1156" s="528" t="s">
        <v>644</v>
      </c>
      <c r="B1156" s="528" t="s">
        <v>213</v>
      </c>
      <c r="C1156" s="408"/>
      <c r="D1156" s="529"/>
      <c r="E1156" s="408" t="s">
        <v>213</v>
      </c>
      <c r="F1156" s="104"/>
      <c r="G1156" s="104"/>
      <c r="H1156" s="104"/>
      <c r="I1156" s="103">
        <f>SUM(F1156:H1156)</f>
        <v>0</v>
      </c>
      <c r="J1156" s="104"/>
      <c r="K1156" s="104"/>
      <c r="L1156" s="104"/>
      <c r="M1156" s="103">
        <f t="shared" si="420"/>
        <v>0</v>
      </c>
      <c r="N1156" s="103">
        <f t="shared" si="413"/>
        <v>0</v>
      </c>
      <c r="O1156" s="103">
        <f t="shared" si="413"/>
        <v>0</v>
      </c>
      <c r="P1156" s="103">
        <f t="shared" si="413"/>
        <v>0</v>
      </c>
      <c r="Q1156" s="103">
        <f t="shared" si="414"/>
        <v>0</v>
      </c>
      <c r="S1156" s="730" t="str">
        <f t="shared" si="407"/>
        <v/>
      </c>
      <c r="T1156" s="730" t="str">
        <f t="shared" si="407"/>
        <v/>
      </c>
      <c r="U1156" s="730" t="str">
        <f t="shared" si="407"/>
        <v/>
      </c>
      <c r="V1156" s="730" t="str">
        <f t="shared" si="406"/>
        <v/>
      </c>
      <c r="W1156" s="531"/>
      <c r="X1156" s="236"/>
      <c r="Y1156" s="236" t="s">
        <v>598</v>
      </c>
      <c r="Z1156" s="240" t="s">
        <v>598</v>
      </c>
    </row>
    <row r="1157" spans="1:26" ht="11.25" customHeight="1">
      <c r="A1157" s="528" t="s">
        <v>644</v>
      </c>
      <c r="B1157" s="1013" t="s">
        <v>213</v>
      </c>
      <c r="C1157" s="461"/>
      <c r="D1157" s="645" t="s">
        <v>766</v>
      </c>
      <c r="E1157" s="447" t="s">
        <v>766</v>
      </c>
      <c r="F1157" s="103">
        <f>SUM(F1158:F1160)</f>
        <v>91437000</v>
      </c>
      <c r="G1157" s="103">
        <f t="shared" ref="G1157:M1157" si="427">SUM(G1158:G1160)</f>
        <v>168249000</v>
      </c>
      <c r="H1157" s="103">
        <f t="shared" si="427"/>
        <v>0</v>
      </c>
      <c r="I1157" s="103">
        <f t="shared" si="427"/>
        <v>259686000</v>
      </c>
      <c r="J1157" s="103">
        <f t="shared" si="427"/>
        <v>83004298.370000005</v>
      </c>
      <c r="K1157" s="103">
        <f t="shared" si="427"/>
        <v>117979187.27</v>
      </c>
      <c r="L1157" s="103">
        <f t="shared" si="427"/>
        <v>0</v>
      </c>
      <c r="M1157" s="103">
        <f t="shared" si="427"/>
        <v>200983485.64000002</v>
      </c>
      <c r="N1157" s="103">
        <f t="shared" si="413"/>
        <v>8432701.6299999952</v>
      </c>
      <c r="O1157" s="103">
        <f t="shared" si="413"/>
        <v>50269812.730000004</v>
      </c>
      <c r="P1157" s="103">
        <f t="shared" si="413"/>
        <v>0</v>
      </c>
      <c r="Q1157" s="103">
        <f t="shared" si="414"/>
        <v>58702514.359999999</v>
      </c>
      <c r="S1157" s="730">
        <f t="shared" si="407"/>
        <v>0.90777582783774624</v>
      </c>
      <c r="T1157" s="730">
        <f t="shared" si="407"/>
        <v>0.70121776218580789</v>
      </c>
      <c r="U1157" s="730" t="str">
        <f t="shared" si="407"/>
        <v/>
      </c>
      <c r="V1157" s="730">
        <f t="shared" si="406"/>
        <v>0.7739480974715619</v>
      </c>
      <c r="W1157" s="531"/>
      <c r="X1157" s="236"/>
      <c r="Y1157" s="236" t="s">
        <v>688</v>
      </c>
      <c r="Z1157" s="236"/>
    </row>
    <row r="1158" spans="1:26" ht="11.25" hidden="1" customHeight="1">
      <c r="A1158" s="528" t="s">
        <v>644</v>
      </c>
      <c r="B1158" s="1013" t="s">
        <v>213</v>
      </c>
      <c r="C1158" s="411"/>
      <c r="D1158" s="647" t="s">
        <v>98</v>
      </c>
      <c r="E1158" s="459" t="s">
        <v>775</v>
      </c>
      <c r="F1158" s="104">
        <f>+'[3]chd 10-SAOB'!C13</f>
        <v>28640000</v>
      </c>
      <c r="G1158" s="104">
        <f>+'[3]chd 10-SAOB'!C49</f>
        <v>5136000</v>
      </c>
      <c r="H1158" s="104">
        <f>+'[3]chd 10-SAOB'!C141</f>
        <v>0</v>
      </c>
      <c r="I1158" s="103">
        <f>SUM(F1158:H1158)</f>
        <v>33776000</v>
      </c>
      <c r="J1158" s="104">
        <f>+'[3]chd 10-SAOB'!C14</f>
        <v>27423959.040000003</v>
      </c>
      <c r="K1158" s="104">
        <f>+'[3]chd 10-SAOB'!C50</f>
        <v>3120285.3699999996</v>
      </c>
      <c r="L1158" s="104">
        <f>+'[3]chd 10-SAOB'!C142</f>
        <v>0</v>
      </c>
      <c r="M1158" s="103">
        <f t="shared" si="420"/>
        <v>30544244.410000004</v>
      </c>
      <c r="N1158" s="103">
        <f t="shared" si="413"/>
        <v>1216040.9599999972</v>
      </c>
      <c r="O1158" s="103">
        <f t="shared" si="413"/>
        <v>2015714.6300000004</v>
      </c>
      <c r="P1158" s="103">
        <f t="shared" si="413"/>
        <v>0</v>
      </c>
      <c r="Q1158" s="103">
        <f t="shared" si="414"/>
        <v>3231755.5899999975</v>
      </c>
      <c r="R1158" s="236"/>
      <c r="S1158" s="730">
        <f t="shared" si="407"/>
        <v>0.95754046927374314</v>
      </c>
      <c r="T1158" s="730">
        <f t="shared" si="407"/>
        <v>0.60753219820872262</v>
      </c>
      <c r="U1158" s="730" t="str">
        <f t="shared" si="407"/>
        <v/>
      </c>
      <c r="V1158" s="730">
        <f t="shared" si="406"/>
        <v>0.90431798940075803</v>
      </c>
      <c r="W1158" s="531"/>
      <c r="X1158" s="236"/>
      <c r="Y1158" s="236"/>
      <c r="Z1158" s="236"/>
    </row>
    <row r="1159" spans="1:26" ht="11.25" hidden="1" customHeight="1">
      <c r="A1159" s="528" t="s">
        <v>644</v>
      </c>
      <c r="B1159" s="1013" t="s">
        <v>213</v>
      </c>
      <c r="C1159" s="406" t="s">
        <v>776</v>
      </c>
      <c r="D1159" s="647" t="s">
        <v>98</v>
      </c>
      <c r="E1159" s="406" t="s">
        <v>776</v>
      </c>
      <c r="F1159" s="104">
        <f>+'[3]chd 10-SAOB'!D13</f>
        <v>1936000</v>
      </c>
      <c r="G1159" s="104">
        <f>+'[3]chd 10-SAOB'!D49</f>
        <v>10659000</v>
      </c>
      <c r="H1159" s="104">
        <f>+'[3]chd 10-SAOB'!D141</f>
        <v>0</v>
      </c>
      <c r="I1159" s="103">
        <f>SUM(F1159:H1159)</f>
        <v>12595000</v>
      </c>
      <c r="J1159" s="104">
        <f>+'[3]chd 10-SAOB'!D14</f>
        <v>747037.5</v>
      </c>
      <c r="K1159" s="104">
        <f>+'[3]chd 10-SAOB'!D50</f>
        <v>5478112.6200000001</v>
      </c>
      <c r="L1159" s="104">
        <f>+'[3]chd 10-SAOB'!D142</f>
        <v>0</v>
      </c>
      <c r="M1159" s="103">
        <f t="shared" si="420"/>
        <v>6225150.1200000001</v>
      </c>
      <c r="N1159" s="103">
        <f t="shared" si="413"/>
        <v>1188962.5</v>
      </c>
      <c r="O1159" s="103">
        <f t="shared" si="413"/>
        <v>5180887.38</v>
      </c>
      <c r="P1159" s="103">
        <f t="shared" si="413"/>
        <v>0</v>
      </c>
      <c r="Q1159" s="103">
        <f t="shared" si="414"/>
        <v>6369849.8799999999</v>
      </c>
      <c r="R1159" s="236"/>
      <c r="S1159" s="730">
        <f t="shared" si="407"/>
        <v>0.38586647727272727</v>
      </c>
      <c r="T1159" s="730">
        <f t="shared" si="407"/>
        <v>0.51394245426400231</v>
      </c>
      <c r="U1159" s="730" t="str">
        <f t="shared" si="407"/>
        <v/>
      </c>
      <c r="V1159" s="730">
        <f t="shared" si="406"/>
        <v>0.49425566653433906</v>
      </c>
      <c r="W1159" s="531"/>
      <c r="X1159" s="236"/>
      <c r="Y1159" s="236"/>
      <c r="Z1159" s="236"/>
    </row>
    <row r="1160" spans="1:26" ht="11.25" hidden="1" customHeight="1">
      <c r="A1160" s="528" t="s">
        <v>644</v>
      </c>
      <c r="B1160" s="1013" t="s">
        <v>213</v>
      </c>
      <c r="C1160" s="411"/>
      <c r="D1160" s="647" t="s">
        <v>98</v>
      </c>
      <c r="E1160" s="406" t="s">
        <v>777</v>
      </c>
      <c r="F1160" s="104">
        <f>+'[3]chd 10-SAOB'!E13</f>
        <v>60861000</v>
      </c>
      <c r="G1160" s="104">
        <f>+'[3]chd 10-SAOB'!E49</f>
        <v>152454000</v>
      </c>
      <c r="H1160" s="104">
        <f>+'[3]chd 10-SAOB'!E141</f>
        <v>0</v>
      </c>
      <c r="I1160" s="103">
        <f>SUM(F1160:H1160)</f>
        <v>213315000</v>
      </c>
      <c r="J1160" s="104">
        <f>+'[3]chd 10-SAOB'!E14</f>
        <v>54833301.830000006</v>
      </c>
      <c r="K1160" s="104">
        <f>+'[3]chd 10-SAOB'!E50</f>
        <v>109380789.28</v>
      </c>
      <c r="L1160" s="104">
        <f>+'[3]chd 10-SAOB'!E142</f>
        <v>0</v>
      </c>
      <c r="M1160" s="103">
        <f t="shared" si="420"/>
        <v>164214091.11000001</v>
      </c>
      <c r="N1160" s="103">
        <f t="shared" si="413"/>
        <v>6027698.1699999943</v>
      </c>
      <c r="O1160" s="103">
        <f t="shared" si="413"/>
        <v>43073210.719999999</v>
      </c>
      <c r="P1160" s="103">
        <f t="shared" si="413"/>
        <v>0</v>
      </c>
      <c r="Q1160" s="103">
        <f t="shared" si="414"/>
        <v>49100908.889999993</v>
      </c>
      <c r="R1160" s="236"/>
      <c r="S1160" s="730">
        <f t="shared" si="407"/>
        <v>0.90095959366425138</v>
      </c>
      <c r="T1160" s="730">
        <f t="shared" si="407"/>
        <v>0.71746749367022189</v>
      </c>
      <c r="U1160" s="730" t="str">
        <f t="shared" si="407"/>
        <v/>
      </c>
      <c r="V1160" s="730">
        <f t="shared" si="406"/>
        <v>0.7698197084593208</v>
      </c>
      <c r="W1160" s="531"/>
      <c r="X1160" s="236"/>
      <c r="Y1160" s="236"/>
      <c r="Z1160" s="236"/>
    </row>
    <row r="1161" spans="1:26" ht="11.25" customHeight="1">
      <c r="A1161" s="528" t="s">
        <v>644</v>
      </c>
      <c r="B1161" s="1013" t="s">
        <v>213</v>
      </c>
      <c r="C1161" s="728"/>
      <c r="D1161" s="649" t="s">
        <v>50</v>
      </c>
      <c r="E1161" s="447" t="s">
        <v>50</v>
      </c>
      <c r="F1161" s="104"/>
      <c r="G1161" s="104">
        <f>+'[3]chd 10-SAOB'!D381</f>
        <v>167546681.66</v>
      </c>
      <c r="H1161" s="104">
        <f>+'[3]chd 10-SAOB'!E381</f>
        <v>56285968</v>
      </c>
      <c r="I1161" s="103">
        <f>SUM(F1161:H1161)</f>
        <v>223832649.66</v>
      </c>
      <c r="J1161" s="104"/>
      <c r="K1161" s="104">
        <f>+'[3]chd 10-SAOB'!H381</f>
        <v>110065596.33999999</v>
      </c>
      <c r="L1161" s="104">
        <f>+'[3]chd 10-SAOB'!I381</f>
        <v>52012389.670000002</v>
      </c>
      <c r="M1161" s="103">
        <f>SUM(J1161:L1161)</f>
        <v>162077986.00999999</v>
      </c>
      <c r="N1161" s="103">
        <f t="shared" si="413"/>
        <v>0</v>
      </c>
      <c r="O1161" s="103">
        <f t="shared" si="413"/>
        <v>57481085.320000008</v>
      </c>
      <c r="P1161" s="103">
        <f t="shared" si="413"/>
        <v>4273578.3299999982</v>
      </c>
      <c r="Q1161" s="103">
        <f t="shared" si="414"/>
        <v>61754663.650000006</v>
      </c>
      <c r="S1161" s="730" t="str">
        <f t="shared" si="407"/>
        <v/>
      </c>
      <c r="T1161" s="730">
        <f t="shared" si="407"/>
        <v>0.6569249551796823</v>
      </c>
      <c r="U1161" s="730">
        <f t="shared" si="407"/>
        <v>0.92407382369261204</v>
      </c>
      <c r="V1161" s="730">
        <f t="shared" si="406"/>
        <v>0.72410341501204201</v>
      </c>
      <c r="W1161" s="531"/>
      <c r="X1161" s="236"/>
      <c r="Y1161" s="236" t="s">
        <v>688</v>
      </c>
      <c r="Z1161" s="236"/>
    </row>
    <row r="1162" spans="1:26" s="256" customFormat="1" ht="11.25" customHeight="1">
      <c r="A1162" s="528" t="s">
        <v>644</v>
      </c>
      <c r="B1162" s="528" t="s">
        <v>213</v>
      </c>
      <c r="C1162" s="389"/>
      <c r="D1162" s="650" t="s">
        <v>98</v>
      </c>
      <c r="E1162" s="390" t="s">
        <v>767</v>
      </c>
      <c r="F1162" s="391">
        <f>+F1161+F1157</f>
        <v>91437000</v>
      </c>
      <c r="G1162" s="391">
        <f t="shared" ref="G1162:M1162" si="428">+G1161+G1157</f>
        <v>335795681.65999997</v>
      </c>
      <c r="H1162" s="391">
        <f t="shared" si="428"/>
        <v>56285968</v>
      </c>
      <c r="I1162" s="391">
        <f t="shared" si="428"/>
        <v>483518649.65999997</v>
      </c>
      <c r="J1162" s="391">
        <f t="shared" si="428"/>
        <v>83004298.370000005</v>
      </c>
      <c r="K1162" s="391">
        <f t="shared" si="428"/>
        <v>228044783.60999998</v>
      </c>
      <c r="L1162" s="391">
        <f t="shared" si="428"/>
        <v>52012389.670000002</v>
      </c>
      <c r="M1162" s="391">
        <f t="shared" si="428"/>
        <v>363061471.64999998</v>
      </c>
      <c r="N1162" s="391">
        <f t="shared" si="413"/>
        <v>8432701.6299999952</v>
      </c>
      <c r="O1162" s="391">
        <f t="shared" si="413"/>
        <v>107750898.04999998</v>
      </c>
      <c r="P1162" s="391">
        <f t="shared" si="413"/>
        <v>4273578.3299999982</v>
      </c>
      <c r="Q1162" s="391">
        <f t="shared" si="414"/>
        <v>120457178.00999998</v>
      </c>
      <c r="R1162" s="101"/>
      <c r="S1162" s="254">
        <f t="shared" si="407"/>
        <v>0.90777582783774624</v>
      </c>
      <c r="T1162" s="254">
        <f t="shared" si="407"/>
        <v>0.67911767799593092</v>
      </c>
      <c r="U1162" s="254">
        <f t="shared" si="407"/>
        <v>0.92407382369261204</v>
      </c>
      <c r="V1162" s="254">
        <f t="shared" si="406"/>
        <v>0.7508737706504125</v>
      </c>
      <c r="W1162" s="531"/>
      <c r="Y1162" s="256" t="s">
        <v>598</v>
      </c>
      <c r="Z1162" s="256" t="s">
        <v>598</v>
      </c>
    </row>
    <row r="1163" spans="1:26" ht="11.25" hidden="1" customHeight="1">
      <c r="A1163" s="528" t="s">
        <v>644</v>
      </c>
      <c r="B1163" s="1013" t="s">
        <v>213</v>
      </c>
      <c r="C1163" s="410"/>
      <c r="D1163" s="651"/>
      <c r="E1163" s="806"/>
      <c r="F1163" s="807"/>
      <c r="G1163" s="807"/>
      <c r="H1163" s="807"/>
      <c r="I1163" s="807"/>
      <c r="J1163" s="807"/>
      <c r="K1163" s="807"/>
      <c r="L1163" s="807"/>
      <c r="M1163" s="807"/>
      <c r="N1163" s="807">
        <f t="shared" si="413"/>
        <v>0</v>
      </c>
      <c r="O1163" s="807">
        <f t="shared" si="413"/>
        <v>0</v>
      </c>
      <c r="P1163" s="807">
        <f t="shared" si="413"/>
        <v>0</v>
      </c>
      <c r="Q1163" s="807">
        <f t="shared" si="414"/>
        <v>0</v>
      </c>
      <c r="R1163" s="276"/>
      <c r="S1163" s="730" t="str">
        <f t="shared" si="407"/>
        <v/>
      </c>
      <c r="T1163" s="730" t="str">
        <f t="shared" si="407"/>
        <v/>
      </c>
      <c r="U1163" s="730" t="str">
        <f t="shared" si="407"/>
        <v/>
      </c>
      <c r="V1163" s="730" t="str">
        <f t="shared" si="406"/>
        <v/>
      </c>
      <c r="W1163" s="531"/>
      <c r="X1163" s="236"/>
      <c r="Y1163" s="236"/>
      <c r="Z1163" s="236"/>
    </row>
    <row r="1164" spans="1:26" s="256" customFormat="1" ht="11.25" customHeight="1">
      <c r="A1164" s="528" t="s">
        <v>644</v>
      </c>
      <c r="B1164" s="528" t="s">
        <v>213</v>
      </c>
      <c r="C1164" s="389"/>
      <c r="D1164" s="650" t="s">
        <v>98</v>
      </c>
      <c r="E1164" s="390" t="s">
        <v>99</v>
      </c>
      <c r="F1164" s="391">
        <f>+F1165</f>
        <v>8267000</v>
      </c>
      <c r="G1164" s="391">
        <f t="shared" ref="G1164:M1164" si="429">+G1165</f>
        <v>0</v>
      </c>
      <c r="H1164" s="391">
        <f t="shared" si="429"/>
        <v>0</v>
      </c>
      <c r="I1164" s="391">
        <f t="shared" si="429"/>
        <v>8267000</v>
      </c>
      <c r="J1164" s="391">
        <f t="shared" si="429"/>
        <v>6489530.75</v>
      </c>
      <c r="K1164" s="391">
        <f t="shared" si="429"/>
        <v>0</v>
      </c>
      <c r="L1164" s="391">
        <f t="shared" si="429"/>
        <v>0</v>
      </c>
      <c r="M1164" s="391">
        <f t="shared" si="429"/>
        <v>6489530.75</v>
      </c>
      <c r="N1164" s="391">
        <f t="shared" si="413"/>
        <v>1777469.25</v>
      </c>
      <c r="O1164" s="391">
        <f t="shared" si="413"/>
        <v>0</v>
      </c>
      <c r="P1164" s="391">
        <f t="shared" si="413"/>
        <v>0</v>
      </c>
      <c r="Q1164" s="391">
        <f t="shared" si="414"/>
        <v>1777469.25</v>
      </c>
      <c r="R1164" s="101"/>
      <c r="S1164" s="254">
        <f t="shared" si="407"/>
        <v>0.78499222813596226</v>
      </c>
      <c r="T1164" s="254" t="str">
        <f t="shared" si="407"/>
        <v/>
      </c>
      <c r="U1164" s="254" t="str">
        <f t="shared" si="407"/>
        <v/>
      </c>
      <c r="V1164" s="254">
        <f t="shared" si="406"/>
        <v>0.78499222813596226</v>
      </c>
      <c r="W1164" s="531"/>
      <c r="Y1164" s="256" t="s">
        <v>598</v>
      </c>
      <c r="Z1164" s="256" t="s">
        <v>598</v>
      </c>
    </row>
    <row r="1165" spans="1:26" ht="11.25" customHeight="1">
      <c r="A1165" s="528" t="s">
        <v>644</v>
      </c>
      <c r="B1165" s="1013" t="s">
        <v>213</v>
      </c>
      <c r="C1165" s="728"/>
      <c r="D1165" s="649" t="s">
        <v>286</v>
      </c>
      <c r="E1165" s="729" t="s">
        <v>286</v>
      </c>
      <c r="F1165" s="103">
        <f>SUM('[3]chd 10-SAOB'!Z13)</f>
        <v>8267000</v>
      </c>
      <c r="G1165" s="103">
        <f>SUM('[3]chd 10-SAOB'!Z49)</f>
        <v>0</v>
      </c>
      <c r="H1165" s="103">
        <f>SUM('[3]chd 10-SAOB'!Z141)</f>
        <v>0</v>
      </c>
      <c r="I1165" s="103">
        <f>SUM(F1165:H1165)</f>
        <v>8267000</v>
      </c>
      <c r="J1165" s="103">
        <f>SUM('[3]chd 10-SAOB'!Z14)</f>
        <v>6489530.75</v>
      </c>
      <c r="K1165" s="103">
        <f>SUM('[3]chd 10-SAOB'!Z50)</f>
        <v>0</v>
      </c>
      <c r="L1165" s="103">
        <f>SUM('[3]chd 10-SAOB'!Z142)</f>
        <v>0</v>
      </c>
      <c r="M1165" s="103">
        <f t="shared" si="420"/>
        <v>6489530.75</v>
      </c>
      <c r="N1165" s="103">
        <f t="shared" si="413"/>
        <v>1777469.25</v>
      </c>
      <c r="O1165" s="103">
        <f t="shared" si="413"/>
        <v>0</v>
      </c>
      <c r="P1165" s="103">
        <f t="shared" si="413"/>
        <v>0</v>
      </c>
      <c r="Q1165" s="103">
        <f t="shared" si="414"/>
        <v>1777469.25</v>
      </c>
      <c r="S1165" s="730">
        <f t="shared" si="407"/>
        <v>0.78499222813596226</v>
      </c>
      <c r="T1165" s="730" t="str">
        <f t="shared" si="407"/>
        <v/>
      </c>
      <c r="U1165" s="730" t="str">
        <f t="shared" si="407"/>
        <v/>
      </c>
      <c r="V1165" s="730">
        <f t="shared" si="406"/>
        <v>0.78499222813596226</v>
      </c>
      <c r="W1165" s="531"/>
      <c r="X1165" s="236"/>
      <c r="Y1165" s="236" t="s">
        <v>598</v>
      </c>
      <c r="Z1165" s="236"/>
    </row>
    <row r="1166" spans="1:26" s="272" customFormat="1" ht="11.25" customHeight="1">
      <c r="A1166" s="528" t="s">
        <v>644</v>
      </c>
      <c r="B1166" s="528" t="s">
        <v>213</v>
      </c>
      <c r="C1166" s="389"/>
      <c r="D1166" s="650" t="s">
        <v>98</v>
      </c>
      <c r="E1166" s="390" t="s">
        <v>100</v>
      </c>
      <c r="F1166" s="391">
        <f t="shared" ref="F1166:M1166" si="430">SUM(F1167:F1171)</f>
        <v>2460500</v>
      </c>
      <c r="G1166" s="391">
        <f t="shared" si="430"/>
        <v>0</v>
      </c>
      <c r="H1166" s="391">
        <f t="shared" si="430"/>
        <v>0</v>
      </c>
      <c r="I1166" s="391">
        <f t="shared" si="430"/>
        <v>2460500</v>
      </c>
      <c r="J1166" s="391">
        <f t="shared" si="430"/>
        <v>2439500</v>
      </c>
      <c r="K1166" s="391">
        <f t="shared" si="430"/>
        <v>0</v>
      </c>
      <c r="L1166" s="391">
        <f t="shared" si="430"/>
        <v>0</v>
      </c>
      <c r="M1166" s="391">
        <f t="shared" si="430"/>
        <v>2439500</v>
      </c>
      <c r="N1166" s="391">
        <f t="shared" si="413"/>
        <v>21000</v>
      </c>
      <c r="O1166" s="391">
        <f t="shared" si="413"/>
        <v>0</v>
      </c>
      <c r="P1166" s="391">
        <f t="shared" si="413"/>
        <v>0</v>
      </c>
      <c r="Q1166" s="391">
        <f t="shared" si="414"/>
        <v>21000</v>
      </c>
      <c r="R1166" s="102"/>
      <c r="S1166" s="254">
        <f t="shared" si="407"/>
        <v>0.99146514935988617</v>
      </c>
      <c r="T1166" s="254" t="str">
        <f t="shared" si="407"/>
        <v/>
      </c>
      <c r="U1166" s="254" t="str">
        <f t="shared" si="407"/>
        <v/>
      </c>
      <c r="V1166" s="254">
        <f t="shared" si="406"/>
        <v>0.99146514935988617</v>
      </c>
      <c r="W1166" s="531"/>
      <c r="Y1166" s="272" t="s">
        <v>598</v>
      </c>
      <c r="Z1166" s="256" t="s">
        <v>598</v>
      </c>
    </row>
    <row r="1167" spans="1:26" ht="11.25" customHeight="1">
      <c r="A1167" s="528" t="s">
        <v>644</v>
      </c>
      <c r="B1167" s="1013" t="s">
        <v>213</v>
      </c>
      <c r="C1167" s="728"/>
      <c r="D1167" s="649" t="s">
        <v>288</v>
      </c>
      <c r="E1167" s="729" t="s">
        <v>288</v>
      </c>
      <c r="F1167" s="103">
        <f>SUM('[3]chd 10-SAOB'!AE13)</f>
        <v>0</v>
      </c>
      <c r="G1167" s="103">
        <f>SUM('[3]chd 10-SAOB'!AE49)</f>
        <v>0</v>
      </c>
      <c r="H1167" s="103">
        <f>SUM('[3]chd 10-SAOB'!AE141)</f>
        <v>0</v>
      </c>
      <c r="I1167" s="103">
        <f>SUM(F1167:H1167)</f>
        <v>0</v>
      </c>
      <c r="J1167" s="103">
        <f>SUM('[3]chd 10-SAOB'!AE14)</f>
        <v>0</v>
      </c>
      <c r="K1167" s="103">
        <f>SUM('[3]chd 10-SAOB'!AE50)</f>
        <v>0</v>
      </c>
      <c r="L1167" s="103">
        <f>SUM('[3]chd 10-SAOB'!AE142)</f>
        <v>0</v>
      </c>
      <c r="M1167" s="103">
        <f t="shared" si="420"/>
        <v>0</v>
      </c>
      <c r="N1167" s="103">
        <f t="shared" si="413"/>
        <v>0</v>
      </c>
      <c r="O1167" s="103">
        <f t="shared" si="413"/>
        <v>0</v>
      </c>
      <c r="P1167" s="103">
        <f t="shared" si="413"/>
        <v>0</v>
      </c>
      <c r="Q1167" s="103">
        <f t="shared" si="414"/>
        <v>0</v>
      </c>
      <c r="S1167" s="730" t="str">
        <f t="shared" si="407"/>
        <v/>
      </c>
      <c r="T1167" s="730" t="str">
        <f t="shared" si="407"/>
        <v/>
      </c>
      <c r="U1167" s="730" t="str">
        <f t="shared" si="407"/>
        <v/>
      </c>
      <c r="V1167" s="730" t="str">
        <f t="shared" si="406"/>
        <v/>
      </c>
      <c r="W1167" s="531"/>
      <c r="X1167" s="236"/>
      <c r="Y1167" s="236" t="s">
        <v>598</v>
      </c>
      <c r="Z1167" s="236"/>
    </row>
    <row r="1168" spans="1:26" ht="11.25" customHeight="1">
      <c r="A1168" s="528" t="s">
        <v>644</v>
      </c>
      <c r="B1168" s="1013" t="s">
        <v>213</v>
      </c>
      <c r="C1168" s="728"/>
      <c r="D1168" s="649" t="s">
        <v>761</v>
      </c>
      <c r="E1168" s="729" t="s">
        <v>761</v>
      </c>
      <c r="F1168" s="104">
        <f>+'[3]chd 10-SAOB'!C381</f>
        <v>2460500</v>
      </c>
      <c r="G1168" s="104"/>
      <c r="H1168" s="104"/>
      <c r="I1168" s="103">
        <f>SUM(F1168:H1168)</f>
        <v>2460500</v>
      </c>
      <c r="J1168" s="104">
        <f>+'[3]chd 10-SAOB'!G381</f>
        <v>2439500</v>
      </c>
      <c r="K1168" s="104"/>
      <c r="L1168" s="104"/>
      <c r="M1168" s="103">
        <f t="shared" si="420"/>
        <v>2439500</v>
      </c>
      <c r="N1168" s="103">
        <f t="shared" si="413"/>
        <v>21000</v>
      </c>
      <c r="O1168" s="103">
        <f t="shared" si="413"/>
        <v>0</v>
      </c>
      <c r="P1168" s="103">
        <f t="shared" si="413"/>
        <v>0</v>
      </c>
      <c r="Q1168" s="103">
        <f>SUM(N1168:P1168)</f>
        <v>21000</v>
      </c>
      <c r="S1168" s="730">
        <f t="shared" si="407"/>
        <v>0.99146514935988617</v>
      </c>
      <c r="T1168" s="730" t="str">
        <f t="shared" si="407"/>
        <v/>
      </c>
      <c r="U1168" s="730" t="str">
        <f t="shared" si="407"/>
        <v/>
      </c>
      <c r="V1168" s="730">
        <f t="shared" si="406"/>
        <v>0.99146514935988617</v>
      </c>
      <c r="W1168" s="531"/>
      <c r="X1168" s="236"/>
      <c r="Y1168" s="236" t="s">
        <v>688</v>
      </c>
      <c r="Z1168" s="236"/>
    </row>
    <row r="1169" spans="1:26" ht="11.25" customHeight="1">
      <c r="A1169" s="528" t="s">
        <v>644</v>
      </c>
      <c r="B1169" s="1013" t="s">
        <v>213</v>
      </c>
      <c r="C1169" s="410"/>
      <c r="D1169" s="647"/>
      <c r="E1169" s="461"/>
      <c r="F1169" s="104"/>
      <c r="G1169" s="104"/>
      <c r="H1169" s="104"/>
      <c r="I1169" s="103"/>
      <c r="J1169" s="104"/>
      <c r="K1169" s="104"/>
      <c r="L1169" s="104"/>
      <c r="M1169" s="103"/>
      <c r="N1169" s="103"/>
      <c r="O1169" s="103"/>
      <c r="P1169" s="103"/>
      <c r="Q1169" s="103"/>
      <c r="S1169" s="730" t="str">
        <f t="shared" si="407"/>
        <v/>
      </c>
      <c r="T1169" s="730" t="str">
        <f t="shared" si="407"/>
        <v/>
      </c>
      <c r="U1169" s="730" t="str">
        <f t="shared" si="407"/>
        <v/>
      </c>
      <c r="V1169" s="730" t="str">
        <f t="shared" si="406"/>
        <v/>
      </c>
      <c r="W1169" s="531"/>
      <c r="X1169" s="236"/>
      <c r="Y1169" s="236" t="s">
        <v>688</v>
      </c>
      <c r="Z1169" s="240"/>
    </row>
    <row r="1170" spans="1:26" ht="11.25" customHeight="1">
      <c r="A1170" s="528" t="s">
        <v>644</v>
      </c>
      <c r="B1170" s="1013" t="s">
        <v>213</v>
      </c>
      <c r="C1170" s="728"/>
      <c r="D1170" s="649" t="s">
        <v>289</v>
      </c>
      <c r="E1170" s="729" t="s">
        <v>289</v>
      </c>
      <c r="F1170" s="103">
        <f>SUM('[3]chd 10-SAOB'!AJ13)</f>
        <v>0</v>
      </c>
      <c r="G1170" s="103">
        <f>SUM('[3]chd 10-SAOB'!AJ49)</f>
        <v>0</v>
      </c>
      <c r="H1170" s="103">
        <f>SUM('[3]chd 10-SAOB'!AJ141)</f>
        <v>0</v>
      </c>
      <c r="I1170" s="103">
        <f>SUM(F1170:H1170)</f>
        <v>0</v>
      </c>
      <c r="J1170" s="103">
        <f>SUM('[3]chd 10-SAOB'!AJ14)</f>
        <v>0</v>
      </c>
      <c r="K1170" s="103">
        <f>SUM('[3]chd 10-SAOB'!AJ50)</f>
        <v>0</v>
      </c>
      <c r="L1170" s="103">
        <f>SUM('[3]chd 10-SAOB'!AJ142)</f>
        <v>0</v>
      </c>
      <c r="M1170" s="103">
        <f t="shared" si="420"/>
        <v>0</v>
      </c>
      <c r="N1170" s="103">
        <f t="shared" si="413"/>
        <v>0</v>
      </c>
      <c r="O1170" s="103">
        <f t="shared" si="413"/>
        <v>0</v>
      </c>
      <c r="P1170" s="103">
        <f t="shared" si="413"/>
        <v>0</v>
      </c>
      <c r="Q1170" s="103">
        <f t="shared" si="414"/>
        <v>0</v>
      </c>
      <c r="S1170" s="730" t="str">
        <f t="shared" si="407"/>
        <v/>
      </c>
      <c r="T1170" s="730" t="str">
        <f t="shared" si="407"/>
        <v/>
      </c>
      <c r="U1170" s="730" t="str">
        <f t="shared" si="407"/>
        <v/>
      </c>
      <c r="V1170" s="730" t="str">
        <f t="shared" si="406"/>
        <v/>
      </c>
      <c r="W1170" s="531"/>
      <c r="X1170" s="236"/>
      <c r="Y1170" s="236" t="s">
        <v>598</v>
      </c>
      <c r="Z1170" s="236"/>
    </row>
    <row r="1171" spans="1:26" ht="11.25" customHeight="1">
      <c r="A1171" s="528" t="s">
        <v>644</v>
      </c>
      <c r="B1171" s="1013" t="s">
        <v>213</v>
      </c>
      <c r="C1171" s="728"/>
      <c r="D1171" s="649" t="s">
        <v>290</v>
      </c>
      <c r="E1171" s="729" t="s">
        <v>290</v>
      </c>
      <c r="F1171" s="103">
        <f>SUM('[3]chd 10-SAOB'!AO13)</f>
        <v>0</v>
      </c>
      <c r="G1171" s="103">
        <f>SUM('[3]chd 10-SAOB'!AO49)</f>
        <v>0</v>
      </c>
      <c r="H1171" s="103">
        <f>SUM('[3]chd 10-SAOB'!AO141)</f>
        <v>0</v>
      </c>
      <c r="I1171" s="103">
        <f>SUM(F1171:H1171)</f>
        <v>0</v>
      </c>
      <c r="J1171" s="103">
        <f>SUM('[3]chd 10-SAOB'!AO14)</f>
        <v>0</v>
      </c>
      <c r="K1171" s="103">
        <f>SUM('[3]chd 10-SAOB'!AO50)</f>
        <v>0</v>
      </c>
      <c r="L1171" s="103">
        <f>SUM('[3]chd 10-SAOB'!AO142)</f>
        <v>0</v>
      </c>
      <c r="M1171" s="103">
        <f t="shared" si="420"/>
        <v>0</v>
      </c>
      <c r="N1171" s="103">
        <f t="shared" si="413"/>
        <v>0</v>
      </c>
      <c r="O1171" s="103">
        <f t="shared" si="413"/>
        <v>0</v>
      </c>
      <c r="P1171" s="103">
        <f t="shared" si="413"/>
        <v>0</v>
      </c>
      <c r="Q1171" s="103">
        <f t="shared" si="414"/>
        <v>0</v>
      </c>
      <c r="S1171" s="730" t="str">
        <f t="shared" si="407"/>
        <v/>
      </c>
      <c r="T1171" s="730" t="str">
        <f t="shared" si="407"/>
        <v/>
      </c>
      <c r="U1171" s="730" t="str">
        <f t="shared" si="407"/>
        <v/>
      </c>
      <c r="V1171" s="730" t="str">
        <f t="shared" si="406"/>
        <v/>
      </c>
      <c r="W1171" s="531"/>
      <c r="X1171" s="236"/>
      <c r="Y1171" s="236" t="s">
        <v>598</v>
      </c>
      <c r="Z1171" s="236"/>
    </row>
    <row r="1172" spans="1:26" s="671" customFormat="1" ht="11.25" customHeight="1">
      <c r="A1172" s="246" t="s">
        <v>644</v>
      </c>
      <c r="B1172" s="235" t="s">
        <v>213</v>
      </c>
      <c r="C1172" s="1425" t="s">
        <v>315</v>
      </c>
      <c r="D1172" s="1426"/>
      <c r="E1172" s="1427"/>
      <c r="F1172" s="652">
        <f t="shared" ref="F1172:M1172" si="431">+F1162+F1164+F1166</f>
        <v>102164500</v>
      </c>
      <c r="G1172" s="652">
        <f t="shared" si="431"/>
        <v>335795681.65999997</v>
      </c>
      <c r="H1172" s="652">
        <f t="shared" si="431"/>
        <v>56285968</v>
      </c>
      <c r="I1172" s="652">
        <f t="shared" si="431"/>
        <v>494246149.65999997</v>
      </c>
      <c r="J1172" s="652">
        <f t="shared" si="431"/>
        <v>91933329.120000005</v>
      </c>
      <c r="K1172" s="652">
        <f t="shared" si="431"/>
        <v>228044783.60999998</v>
      </c>
      <c r="L1172" s="652">
        <f t="shared" si="431"/>
        <v>52012389.670000002</v>
      </c>
      <c r="M1172" s="652">
        <f t="shared" si="431"/>
        <v>371990502.39999998</v>
      </c>
      <c r="N1172" s="652">
        <f t="shared" si="413"/>
        <v>10231170.879999995</v>
      </c>
      <c r="O1172" s="652">
        <f t="shared" si="413"/>
        <v>107750898.04999998</v>
      </c>
      <c r="P1172" s="652">
        <f t="shared" si="413"/>
        <v>4273578.3299999982</v>
      </c>
      <c r="Q1172" s="652">
        <f t="shared" si="414"/>
        <v>122255647.25999998</v>
      </c>
      <c r="R1172" s="670">
        <f>+Q1172-'[3]chd 10-SAOB'!BM178</f>
        <v>0</v>
      </c>
      <c r="S1172" s="1008">
        <f t="shared" si="407"/>
        <v>0.8998559100274558</v>
      </c>
      <c r="T1172" s="1008">
        <f t="shared" si="407"/>
        <v>0.67911767799593092</v>
      </c>
      <c r="U1172" s="1008">
        <f t="shared" si="407"/>
        <v>0.92407382369261204</v>
      </c>
      <c r="V1172" s="1008">
        <f t="shared" si="406"/>
        <v>0.75264218579324971</v>
      </c>
      <c r="W1172" s="254"/>
      <c r="X1172" s="237"/>
      <c r="Y1172" s="610" t="s">
        <v>598</v>
      </c>
      <c r="Z1172" s="241" t="s">
        <v>598</v>
      </c>
    </row>
    <row r="1173" spans="1:26" ht="11.25" customHeight="1">
      <c r="A1173" s="246" t="s">
        <v>644</v>
      </c>
      <c r="B1173" s="235" t="s">
        <v>213</v>
      </c>
      <c r="C1173" s="410"/>
      <c r="D1173" s="386"/>
      <c r="E1173" s="461"/>
      <c r="F1173" s="103"/>
      <c r="G1173" s="103"/>
      <c r="H1173" s="103"/>
      <c r="I1173" s="103">
        <f>SUM(F1173:H1173)</f>
        <v>0</v>
      </c>
      <c r="J1173" s="103"/>
      <c r="K1173" s="103"/>
      <c r="L1173" s="103"/>
      <c r="M1173" s="103">
        <f t="shared" si="420"/>
        <v>0</v>
      </c>
      <c r="N1173" s="103">
        <f t="shared" si="413"/>
        <v>0</v>
      </c>
      <c r="O1173" s="103">
        <f t="shared" si="413"/>
        <v>0</v>
      </c>
      <c r="P1173" s="103">
        <f t="shared" si="413"/>
        <v>0</v>
      </c>
      <c r="Q1173" s="103">
        <f t="shared" si="414"/>
        <v>0</v>
      </c>
      <c r="S1173" s="730" t="str">
        <f t="shared" si="407"/>
        <v/>
      </c>
      <c r="T1173" s="730" t="str">
        <f t="shared" si="407"/>
        <v/>
      </c>
      <c r="U1173" s="730" t="str">
        <f t="shared" si="407"/>
        <v/>
      </c>
      <c r="V1173" s="730" t="str">
        <f t="shared" si="406"/>
        <v/>
      </c>
      <c r="W1173" s="254"/>
      <c r="Y1173" s="610" t="s">
        <v>598</v>
      </c>
      <c r="Z1173" s="241" t="s">
        <v>598</v>
      </c>
    </row>
    <row r="1174" spans="1:26" ht="11.25" customHeight="1">
      <c r="A1174" s="246" t="s">
        <v>644</v>
      </c>
      <c r="B1174" s="235" t="s">
        <v>216</v>
      </c>
      <c r="C1174" s="410" t="s">
        <v>215</v>
      </c>
      <c r="D1174" s="386"/>
      <c r="E1174" s="461"/>
      <c r="F1174" s="104"/>
      <c r="G1174" s="104"/>
      <c r="H1174" s="104"/>
      <c r="I1174" s="103">
        <f>SUM(F1174:H1174)</f>
        <v>0</v>
      </c>
      <c r="J1174" s="104"/>
      <c r="K1174" s="104"/>
      <c r="L1174" s="104"/>
      <c r="M1174" s="103">
        <f t="shared" si="420"/>
        <v>0</v>
      </c>
      <c r="N1174" s="103">
        <f t="shared" si="413"/>
        <v>0</v>
      </c>
      <c r="O1174" s="103">
        <f t="shared" si="413"/>
        <v>0</v>
      </c>
      <c r="P1174" s="103">
        <f t="shared" si="413"/>
        <v>0</v>
      </c>
      <c r="Q1174" s="103">
        <f t="shared" si="414"/>
        <v>0</v>
      </c>
      <c r="S1174" s="730" t="str">
        <f t="shared" si="407"/>
        <v/>
      </c>
      <c r="T1174" s="730" t="str">
        <f t="shared" si="407"/>
        <v/>
      </c>
      <c r="U1174" s="730" t="str">
        <f t="shared" si="407"/>
        <v/>
      </c>
      <c r="V1174" s="730" t="str">
        <f t="shared" si="406"/>
        <v/>
      </c>
      <c r="W1174" s="254"/>
      <c r="Y1174" s="610" t="s">
        <v>598</v>
      </c>
      <c r="Z1174" s="241" t="s">
        <v>598</v>
      </c>
    </row>
    <row r="1175" spans="1:26" s="675" customFormat="1" ht="11.25" customHeight="1">
      <c r="A1175" s="528" t="s">
        <v>644</v>
      </c>
      <c r="B1175" s="528" t="s">
        <v>216</v>
      </c>
      <c r="C1175" s="407" t="s">
        <v>98</v>
      </c>
      <c r="D1175" s="655" t="s">
        <v>105</v>
      </c>
      <c r="E1175" s="408" t="s">
        <v>837</v>
      </c>
      <c r="F1175" s="673"/>
      <c r="G1175" s="673"/>
      <c r="H1175" s="673"/>
      <c r="I1175" s="674">
        <f>SUM(F1175:H1175)</f>
        <v>0</v>
      </c>
      <c r="J1175" s="673"/>
      <c r="K1175" s="673"/>
      <c r="L1175" s="673"/>
      <c r="M1175" s="674">
        <f t="shared" si="420"/>
        <v>0</v>
      </c>
      <c r="N1175" s="674">
        <f t="shared" si="413"/>
        <v>0</v>
      </c>
      <c r="O1175" s="674">
        <f t="shared" si="413"/>
        <v>0</v>
      </c>
      <c r="P1175" s="674">
        <f t="shared" si="413"/>
        <v>0</v>
      </c>
      <c r="Q1175" s="674">
        <f t="shared" si="414"/>
        <v>0</v>
      </c>
      <c r="R1175" s="101"/>
      <c r="S1175" s="254" t="str">
        <f t="shared" si="407"/>
        <v/>
      </c>
      <c r="T1175" s="254" t="str">
        <f t="shared" si="407"/>
        <v/>
      </c>
      <c r="U1175" s="254" t="str">
        <f t="shared" si="407"/>
        <v/>
      </c>
      <c r="V1175" s="254" t="str">
        <f t="shared" si="407"/>
        <v/>
      </c>
      <c r="W1175" s="531"/>
      <c r="Y1175" s="272" t="s">
        <v>598</v>
      </c>
      <c r="Z1175" s="260" t="s">
        <v>598</v>
      </c>
    </row>
    <row r="1176" spans="1:26" ht="11.25" customHeight="1">
      <c r="A1176" s="528" t="s">
        <v>644</v>
      </c>
      <c r="B1176" s="1013" t="s">
        <v>216</v>
      </c>
      <c r="C1176" s="461"/>
      <c r="D1176" s="645" t="s">
        <v>766</v>
      </c>
      <c r="E1176" s="447" t="s">
        <v>766</v>
      </c>
      <c r="F1176" s="104">
        <f>+'[3]chd 10-SAOB'!C393</f>
        <v>154484000</v>
      </c>
      <c r="G1176" s="104">
        <f>+'[3]chd 10-SAOB'!D393</f>
        <v>85131000</v>
      </c>
      <c r="H1176" s="104">
        <f>+'[3]chd 10-SAOB'!E393</f>
        <v>0</v>
      </c>
      <c r="I1176" s="103">
        <f>SUM(F1176:H1176)</f>
        <v>239615000</v>
      </c>
      <c r="J1176" s="104">
        <f>+'[3]chd 10-SAOB'!G393</f>
        <v>145994854.17000005</v>
      </c>
      <c r="K1176" s="104">
        <f>+'[3]chd 10-SAOB'!H393</f>
        <v>72613813.499999985</v>
      </c>
      <c r="L1176" s="104">
        <f>+'[3]chd 10-SAOB'!I393</f>
        <v>0</v>
      </c>
      <c r="M1176" s="103">
        <f t="shared" si="420"/>
        <v>218608667.67000002</v>
      </c>
      <c r="N1176" s="103">
        <f t="shared" si="413"/>
        <v>8489145.8299999535</v>
      </c>
      <c r="O1176" s="103">
        <f t="shared" si="413"/>
        <v>12517186.500000015</v>
      </c>
      <c r="P1176" s="103">
        <f t="shared" si="413"/>
        <v>0</v>
      </c>
      <c r="Q1176" s="103">
        <f t="shared" si="414"/>
        <v>21006332.329999968</v>
      </c>
      <c r="S1176" s="730">
        <f t="shared" ref="S1176:V1239" si="432">IF(F1176=0,"",J1176/F1176)</f>
        <v>0.94504838151523818</v>
      </c>
      <c r="T1176" s="730">
        <f t="shared" si="432"/>
        <v>0.85296558832857583</v>
      </c>
      <c r="U1176" s="730" t="str">
        <f t="shared" si="432"/>
        <v/>
      </c>
      <c r="V1176" s="730">
        <f t="shared" si="432"/>
        <v>0.91233298278488417</v>
      </c>
      <c r="W1176" s="531"/>
      <c r="X1176" s="236"/>
      <c r="Y1176" s="236" t="s">
        <v>688</v>
      </c>
      <c r="Z1176" s="236"/>
    </row>
    <row r="1177" spans="1:26" ht="11.25" customHeight="1">
      <c r="A1177" s="528" t="s">
        <v>644</v>
      </c>
      <c r="B1177" s="1013" t="s">
        <v>216</v>
      </c>
      <c r="C1177" s="728"/>
      <c r="D1177" s="649" t="s">
        <v>50</v>
      </c>
      <c r="E1177" s="447" t="s">
        <v>50</v>
      </c>
      <c r="F1177" s="104"/>
      <c r="G1177" s="104">
        <f>+'[3]chd 10-SAOB'!D395</f>
        <v>28031000</v>
      </c>
      <c r="H1177" s="104">
        <f>+'[3]chd 10-SAOB'!E395</f>
        <v>185000000</v>
      </c>
      <c r="I1177" s="103">
        <f>SUM(F1177:H1177)</f>
        <v>213031000</v>
      </c>
      <c r="J1177" s="104"/>
      <c r="K1177" s="104">
        <f>+'[3]chd 10-SAOB'!H395</f>
        <v>24615393.029999994</v>
      </c>
      <c r="L1177" s="104">
        <f>+'[3]chd 10-SAOB'!I395</f>
        <v>43251746.239999995</v>
      </c>
      <c r="M1177" s="103">
        <f>SUM(J1177:L1177)</f>
        <v>67867139.269999981</v>
      </c>
      <c r="N1177" s="103">
        <f t="shared" si="413"/>
        <v>0</v>
      </c>
      <c r="O1177" s="103">
        <f t="shared" si="413"/>
        <v>3415606.9700000063</v>
      </c>
      <c r="P1177" s="103">
        <f t="shared" si="413"/>
        <v>141748253.75999999</v>
      </c>
      <c r="Q1177" s="103">
        <f t="shared" si="414"/>
        <v>145163860.72999999</v>
      </c>
      <c r="S1177" s="730" t="str">
        <f t="shared" si="432"/>
        <v/>
      </c>
      <c r="T1177" s="730">
        <f t="shared" si="432"/>
        <v>0.87814894331276061</v>
      </c>
      <c r="U1177" s="730">
        <f t="shared" si="432"/>
        <v>0.23379322291891888</v>
      </c>
      <c r="V1177" s="730">
        <f t="shared" si="432"/>
        <v>0.31857870108106323</v>
      </c>
      <c r="W1177" s="531"/>
      <c r="X1177" s="236"/>
      <c r="Y1177" s="236" t="s">
        <v>688</v>
      </c>
      <c r="Z1177" s="236"/>
    </row>
    <row r="1178" spans="1:26" s="256" customFormat="1" ht="11.25" customHeight="1">
      <c r="A1178" s="528" t="s">
        <v>644</v>
      </c>
      <c r="B1178" s="528" t="s">
        <v>216</v>
      </c>
      <c r="C1178" s="389"/>
      <c r="D1178" s="650" t="s">
        <v>98</v>
      </c>
      <c r="E1178" s="390" t="s">
        <v>767</v>
      </c>
      <c r="F1178" s="391">
        <f>+F1176+F1177</f>
        <v>154484000</v>
      </c>
      <c r="G1178" s="391">
        <f t="shared" ref="G1178:M1178" si="433">+G1176+G1177</f>
        <v>113162000</v>
      </c>
      <c r="H1178" s="391">
        <f t="shared" si="433"/>
        <v>185000000</v>
      </c>
      <c r="I1178" s="391">
        <f t="shared" si="433"/>
        <v>452646000</v>
      </c>
      <c r="J1178" s="391">
        <f t="shared" si="433"/>
        <v>145994854.17000005</v>
      </c>
      <c r="K1178" s="391">
        <f t="shared" si="433"/>
        <v>97229206.529999971</v>
      </c>
      <c r="L1178" s="391">
        <f t="shared" si="433"/>
        <v>43251746.239999995</v>
      </c>
      <c r="M1178" s="391">
        <f t="shared" si="433"/>
        <v>286475806.94</v>
      </c>
      <c r="N1178" s="391">
        <f t="shared" si="413"/>
        <v>8489145.8299999535</v>
      </c>
      <c r="O1178" s="391">
        <f t="shared" si="413"/>
        <v>15932793.470000029</v>
      </c>
      <c r="P1178" s="391">
        <f t="shared" si="413"/>
        <v>141748253.75999999</v>
      </c>
      <c r="Q1178" s="391">
        <f t="shared" si="414"/>
        <v>166170193.05999997</v>
      </c>
      <c r="R1178" s="101"/>
      <c r="S1178" s="254">
        <f t="shared" si="432"/>
        <v>0.94504838151523818</v>
      </c>
      <c r="T1178" s="254">
        <f t="shared" si="432"/>
        <v>0.85920367729449787</v>
      </c>
      <c r="U1178" s="254">
        <f t="shared" si="432"/>
        <v>0.23379322291891888</v>
      </c>
      <c r="V1178" s="254">
        <f t="shared" si="432"/>
        <v>0.63289150227771818</v>
      </c>
      <c r="W1178" s="531"/>
      <c r="Y1178" s="256" t="s">
        <v>598</v>
      </c>
      <c r="Z1178" s="256" t="s">
        <v>598</v>
      </c>
    </row>
    <row r="1179" spans="1:26" ht="11.25" hidden="1" customHeight="1">
      <c r="A1179" s="528" t="s">
        <v>644</v>
      </c>
      <c r="B1179" s="1013" t="s">
        <v>216</v>
      </c>
      <c r="C1179" s="410"/>
      <c r="D1179" s="651"/>
      <c r="E1179" s="806" t="s">
        <v>764</v>
      </c>
      <c r="F1179" s="807"/>
      <c r="G1179" s="807"/>
      <c r="H1179" s="807"/>
      <c r="I1179" s="807"/>
      <c r="J1179" s="807"/>
      <c r="K1179" s="807"/>
      <c r="L1179" s="807"/>
      <c r="M1179" s="807"/>
      <c r="N1179" s="807">
        <f t="shared" si="413"/>
        <v>0</v>
      </c>
      <c r="O1179" s="807">
        <f t="shared" si="413"/>
        <v>0</v>
      </c>
      <c r="P1179" s="807">
        <f t="shared" si="413"/>
        <v>0</v>
      </c>
      <c r="Q1179" s="807">
        <f t="shared" si="414"/>
        <v>0</v>
      </c>
      <c r="R1179" s="276"/>
      <c r="S1179" s="730" t="str">
        <f t="shared" si="432"/>
        <v/>
      </c>
      <c r="T1179" s="730" t="str">
        <f t="shared" si="432"/>
        <v/>
      </c>
      <c r="U1179" s="730" t="str">
        <f t="shared" si="432"/>
        <v/>
      </c>
      <c r="V1179" s="730" t="str">
        <f t="shared" si="432"/>
        <v/>
      </c>
      <c r="W1179" s="531"/>
      <c r="X1179" s="236"/>
      <c r="Y1179" s="236"/>
      <c r="Z1179" s="236"/>
    </row>
    <row r="1180" spans="1:26" s="256" customFormat="1" ht="11.25" customHeight="1">
      <c r="A1180" s="528" t="s">
        <v>644</v>
      </c>
      <c r="B1180" s="528" t="s">
        <v>216</v>
      </c>
      <c r="C1180" s="389"/>
      <c r="D1180" s="650" t="s">
        <v>98</v>
      </c>
      <c r="E1180" s="390" t="s">
        <v>99</v>
      </c>
      <c r="F1180" s="391">
        <f>+F1181</f>
        <v>14504000</v>
      </c>
      <c r="G1180" s="391">
        <f t="shared" ref="G1180:M1180" si="434">+G1181</f>
        <v>0</v>
      </c>
      <c r="H1180" s="391">
        <f t="shared" si="434"/>
        <v>0</v>
      </c>
      <c r="I1180" s="391">
        <f t="shared" si="434"/>
        <v>14504000</v>
      </c>
      <c r="J1180" s="391">
        <f t="shared" si="434"/>
        <v>13184357.01</v>
      </c>
      <c r="K1180" s="391">
        <f t="shared" si="434"/>
        <v>0</v>
      </c>
      <c r="L1180" s="391">
        <f t="shared" si="434"/>
        <v>0</v>
      </c>
      <c r="M1180" s="391">
        <f t="shared" si="434"/>
        <v>13184357.01</v>
      </c>
      <c r="N1180" s="391">
        <f t="shared" si="413"/>
        <v>1319642.9900000002</v>
      </c>
      <c r="O1180" s="391">
        <f t="shared" si="413"/>
        <v>0</v>
      </c>
      <c r="P1180" s="391">
        <f t="shared" si="413"/>
        <v>0</v>
      </c>
      <c r="Q1180" s="391">
        <f t="shared" si="414"/>
        <v>1319642.9900000002</v>
      </c>
      <c r="R1180" s="101"/>
      <c r="S1180" s="254">
        <f t="shared" si="432"/>
        <v>0.90901523786541638</v>
      </c>
      <c r="T1180" s="254" t="str">
        <f t="shared" si="432"/>
        <v/>
      </c>
      <c r="U1180" s="254" t="str">
        <f t="shared" si="432"/>
        <v/>
      </c>
      <c r="V1180" s="254">
        <f t="shared" si="432"/>
        <v>0.90901523786541638</v>
      </c>
      <c r="W1180" s="531"/>
      <c r="Y1180" s="256" t="s">
        <v>598</v>
      </c>
      <c r="Z1180" s="256" t="s">
        <v>598</v>
      </c>
    </row>
    <row r="1181" spans="1:26" ht="11.25" customHeight="1">
      <c r="A1181" s="528" t="s">
        <v>644</v>
      </c>
      <c r="B1181" s="1013" t="s">
        <v>216</v>
      </c>
      <c r="C1181" s="728"/>
      <c r="D1181" s="649" t="s">
        <v>286</v>
      </c>
      <c r="E1181" s="729" t="s">
        <v>286</v>
      </c>
      <c r="F1181" s="103">
        <f>SUM('[3]chd 10-SAOB'!AB13)</f>
        <v>14504000</v>
      </c>
      <c r="G1181" s="103">
        <f>SUM('[3]chd 10-SAOB'!AB49)</f>
        <v>0</v>
      </c>
      <c r="H1181" s="103">
        <f>SUM('[3]chd 10-SAOB'!AB141)</f>
        <v>0</v>
      </c>
      <c r="I1181" s="103">
        <f>SUM(F1181:H1181)</f>
        <v>14504000</v>
      </c>
      <c r="J1181" s="103">
        <f>SUM('[3]chd 10-SAOB'!AB14)</f>
        <v>13184357.01</v>
      </c>
      <c r="K1181" s="103">
        <f>SUM('[3]chd 10-SAOB'!AB50)</f>
        <v>0</v>
      </c>
      <c r="L1181" s="103">
        <f>SUM('[3]chd 10-SAOB'!AB142)</f>
        <v>0</v>
      </c>
      <c r="M1181" s="103">
        <f t="shared" si="420"/>
        <v>13184357.01</v>
      </c>
      <c r="N1181" s="103">
        <f t="shared" si="413"/>
        <v>1319642.9900000002</v>
      </c>
      <c r="O1181" s="103">
        <f t="shared" si="413"/>
        <v>0</v>
      </c>
      <c r="P1181" s="103">
        <f t="shared" si="413"/>
        <v>0</v>
      </c>
      <c r="Q1181" s="103">
        <f t="shared" si="414"/>
        <v>1319642.9900000002</v>
      </c>
      <c r="S1181" s="730">
        <f t="shared" si="432"/>
        <v>0.90901523786541638</v>
      </c>
      <c r="T1181" s="730" t="str">
        <f t="shared" si="432"/>
        <v/>
      </c>
      <c r="U1181" s="730" t="str">
        <f t="shared" si="432"/>
        <v/>
      </c>
      <c r="V1181" s="730">
        <f t="shared" si="432"/>
        <v>0.90901523786541638</v>
      </c>
      <c r="W1181" s="531"/>
      <c r="X1181" s="236"/>
      <c r="Y1181" s="236" t="s">
        <v>598</v>
      </c>
      <c r="Z1181" s="236"/>
    </row>
    <row r="1182" spans="1:26" s="272" customFormat="1" ht="11.25" customHeight="1">
      <c r="A1182" s="528" t="s">
        <v>644</v>
      </c>
      <c r="B1182" s="528" t="s">
        <v>216</v>
      </c>
      <c r="C1182" s="389"/>
      <c r="D1182" s="650" t="s">
        <v>98</v>
      </c>
      <c r="E1182" s="390" t="s">
        <v>100</v>
      </c>
      <c r="F1182" s="391">
        <f t="shared" ref="F1182:M1182" si="435">SUM(F1183:F1187)</f>
        <v>7272396</v>
      </c>
      <c r="G1182" s="391">
        <f t="shared" si="435"/>
        <v>5350000</v>
      </c>
      <c r="H1182" s="391">
        <f t="shared" si="435"/>
        <v>0</v>
      </c>
      <c r="I1182" s="391">
        <f t="shared" si="435"/>
        <v>12622396</v>
      </c>
      <c r="J1182" s="391">
        <f t="shared" si="435"/>
        <v>6897392.8100000005</v>
      </c>
      <c r="K1182" s="391">
        <f t="shared" si="435"/>
        <v>3719739.8</v>
      </c>
      <c r="L1182" s="391">
        <f t="shared" si="435"/>
        <v>0</v>
      </c>
      <c r="M1182" s="391">
        <f t="shared" si="435"/>
        <v>10617132.609999999</v>
      </c>
      <c r="N1182" s="391">
        <f t="shared" si="413"/>
        <v>375003.18999999948</v>
      </c>
      <c r="O1182" s="391">
        <f t="shared" si="413"/>
        <v>1630260.2000000002</v>
      </c>
      <c r="P1182" s="391">
        <f t="shared" si="413"/>
        <v>0</v>
      </c>
      <c r="Q1182" s="391">
        <f t="shared" si="414"/>
        <v>2005263.3899999997</v>
      </c>
      <c r="R1182" s="102"/>
      <c r="S1182" s="254">
        <f t="shared" si="432"/>
        <v>0.94843471257615797</v>
      </c>
      <c r="T1182" s="254">
        <f t="shared" si="432"/>
        <v>0.69527846728971954</v>
      </c>
      <c r="U1182" s="254" t="str">
        <f t="shared" si="432"/>
        <v/>
      </c>
      <c r="V1182" s="254">
        <f t="shared" si="432"/>
        <v>0.84113448904629518</v>
      </c>
      <c r="W1182" s="531"/>
      <c r="Y1182" s="272" t="s">
        <v>598</v>
      </c>
      <c r="Z1182" s="256" t="s">
        <v>598</v>
      </c>
    </row>
    <row r="1183" spans="1:26" ht="11.25" customHeight="1">
      <c r="A1183" s="528" t="s">
        <v>644</v>
      </c>
      <c r="B1183" s="1013" t="s">
        <v>216</v>
      </c>
      <c r="C1183" s="728"/>
      <c r="D1183" s="649" t="s">
        <v>288</v>
      </c>
      <c r="E1183" s="729" t="s">
        <v>288</v>
      </c>
      <c r="F1183" s="103">
        <f>SUM('[3]chd 10-SAOB'!AG13)</f>
        <v>0</v>
      </c>
      <c r="G1183" s="103">
        <f>SUM('[3]chd 10-SAOB'!AG49)</f>
        <v>0</v>
      </c>
      <c r="H1183" s="103">
        <f>SUM('[3]chd 10-SAOB'!AG141)</f>
        <v>0</v>
      </c>
      <c r="I1183" s="103">
        <f>SUM(F1183:H1183)</f>
        <v>0</v>
      </c>
      <c r="J1183" s="103">
        <f>SUM('[3]chd 10-SAOB'!AG14)</f>
        <v>0</v>
      </c>
      <c r="K1183" s="103">
        <f>SUM('[3]chd 10-SAOB'!AG50)</f>
        <v>0</v>
      </c>
      <c r="L1183" s="103">
        <f>SUM('[3]chd 10-SAOB'!AG142)</f>
        <v>0</v>
      </c>
      <c r="M1183" s="103">
        <f t="shared" si="420"/>
        <v>0</v>
      </c>
      <c r="N1183" s="103">
        <f t="shared" si="413"/>
        <v>0</v>
      </c>
      <c r="O1183" s="103">
        <f t="shared" si="413"/>
        <v>0</v>
      </c>
      <c r="P1183" s="103">
        <f t="shared" si="413"/>
        <v>0</v>
      </c>
      <c r="Q1183" s="103">
        <f t="shared" si="414"/>
        <v>0</v>
      </c>
      <c r="S1183" s="730" t="str">
        <f t="shared" si="432"/>
        <v/>
      </c>
      <c r="T1183" s="730" t="str">
        <f t="shared" si="432"/>
        <v/>
      </c>
      <c r="U1183" s="730" t="str">
        <f t="shared" si="432"/>
        <v/>
      </c>
      <c r="V1183" s="730" t="str">
        <f t="shared" si="432"/>
        <v/>
      </c>
      <c r="W1183" s="531"/>
      <c r="X1183" s="236"/>
      <c r="Y1183" s="236" t="s">
        <v>598</v>
      </c>
      <c r="Z1183" s="236"/>
    </row>
    <row r="1184" spans="1:26" ht="11.25" customHeight="1">
      <c r="A1184" s="528" t="s">
        <v>644</v>
      </c>
      <c r="B1184" s="1013" t="s">
        <v>216</v>
      </c>
      <c r="C1184" s="728"/>
      <c r="D1184" s="649" t="s">
        <v>761</v>
      </c>
      <c r="E1184" s="729" t="s">
        <v>761</v>
      </c>
      <c r="F1184" s="104">
        <f>+'[3]chd 10-SAOB'!C395</f>
        <v>4573000</v>
      </c>
      <c r="G1184" s="104"/>
      <c r="H1184" s="104"/>
      <c r="I1184" s="103">
        <f>SUM(F1184:H1184)</f>
        <v>4573000</v>
      </c>
      <c r="J1184" s="104">
        <f>+'[3]chd 10-SAOB'!G395</f>
        <v>4198000</v>
      </c>
      <c r="K1184" s="104"/>
      <c r="L1184" s="104"/>
      <c r="M1184" s="103">
        <f>SUM(J1184:L1184)</f>
        <v>4198000</v>
      </c>
      <c r="N1184" s="103">
        <f>+F1184-J1184</f>
        <v>375000</v>
      </c>
      <c r="O1184" s="103">
        <f>+G1184-K1184</f>
        <v>0</v>
      </c>
      <c r="P1184" s="103">
        <f>+H1184-L1184</f>
        <v>0</v>
      </c>
      <c r="Q1184" s="103">
        <f>SUM(N1184:P1184)</f>
        <v>375000</v>
      </c>
      <c r="S1184" s="730">
        <f t="shared" si="432"/>
        <v>0.91799693855237263</v>
      </c>
      <c r="T1184" s="730" t="str">
        <f t="shared" si="432"/>
        <v/>
      </c>
      <c r="U1184" s="730" t="str">
        <f t="shared" si="432"/>
        <v/>
      </c>
      <c r="V1184" s="730">
        <f t="shared" si="432"/>
        <v>0.91799693855237263</v>
      </c>
      <c r="W1184" s="531"/>
      <c r="X1184" s="236"/>
      <c r="Y1184" s="236" t="s">
        <v>688</v>
      </c>
      <c r="Z1184" s="236"/>
    </row>
    <row r="1185" spans="1:26" ht="11.25" customHeight="1">
      <c r="A1185" s="528" t="s">
        <v>644</v>
      </c>
      <c r="B1185" s="1013" t="s">
        <v>216</v>
      </c>
      <c r="C1185" s="410"/>
      <c r="D1185" s="647"/>
      <c r="E1185" s="461" t="s">
        <v>764</v>
      </c>
      <c r="F1185" s="104"/>
      <c r="G1185" s="104"/>
      <c r="H1185" s="104"/>
      <c r="I1185" s="103"/>
      <c r="J1185" s="104"/>
      <c r="K1185" s="104"/>
      <c r="L1185" s="104"/>
      <c r="M1185" s="103"/>
      <c r="N1185" s="103"/>
      <c r="O1185" s="103"/>
      <c r="P1185" s="103"/>
      <c r="Q1185" s="103"/>
      <c r="S1185" s="730" t="str">
        <f t="shared" si="432"/>
        <v/>
      </c>
      <c r="T1185" s="730" t="str">
        <f t="shared" si="432"/>
        <v/>
      </c>
      <c r="U1185" s="730" t="str">
        <f t="shared" si="432"/>
        <v/>
      </c>
      <c r="V1185" s="730" t="str">
        <f t="shared" si="432"/>
        <v/>
      </c>
      <c r="W1185" s="531"/>
      <c r="X1185" s="236"/>
      <c r="Y1185" s="236" t="s">
        <v>688</v>
      </c>
      <c r="Z1185" s="240"/>
    </row>
    <row r="1186" spans="1:26" ht="11.25" customHeight="1">
      <c r="A1186" s="528" t="s">
        <v>644</v>
      </c>
      <c r="B1186" s="1013" t="s">
        <v>216</v>
      </c>
      <c r="C1186" s="728"/>
      <c r="D1186" s="649" t="s">
        <v>289</v>
      </c>
      <c r="E1186" s="729" t="s">
        <v>289</v>
      </c>
      <c r="F1186" s="103">
        <f>SUM('[3]chd 10-SAOB'!AL13)</f>
        <v>2699396</v>
      </c>
      <c r="G1186" s="103">
        <f>SUM('[3]chd 10-SAOB'!AL49)</f>
        <v>0</v>
      </c>
      <c r="H1186" s="103">
        <f>SUM('[3]chd 10-SAOB'!AL141)</f>
        <v>0</v>
      </c>
      <c r="I1186" s="103">
        <f>SUM(F1186:H1186)</f>
        <v>2699396</v>
      </c>
      <c r="J1186" s="103">
        <f>SUM('[3]chd 10-SAOB'!AL14)</f>
        <v>2699392.81</v>
      </c>
      <c r="K1186" s="103">
        <f>SUM('[3]chd 10-SAOB'!AL50)</f>
        <v>0</v>
      </c>
      <c r="L1186" s="103">
        <f>SUM('[3]chd 10-SAOB'!AL142)</f>
        <v>0</v>
      </c>
      <c r="M1186" s="103">
        <f t="shared" si="420"/>
        <v>2699392.81</v>
      </c>
      <c r="N1186" s="103">
        <f t="shared" si="413"/>
        <v>3.1899999999441206</v>
      </c>
      <c r="O1186" s="103">
        <f t="shared" si="413"/>
        <v>0</v>
      </c>
      <c r="P1186" s="103">
        <f t="shared" si="413"/>
        <v>0</v>
      </c>
      <c r="Q1186" s="103">
        <f t="shared" si="414"/>
        <v>3.1899999999441206</v>
      </c>
      <c r="S1186" s="730">
        <f t="shared" si="432"/>
        <v>0.9999988182541576</v>
      </c>
      <c r="T1186" s="730" t="str">
        <f t="shared" si="432"/>
        <v/>
      </c>
      <c r="U1186" s="730" t="str">
        <f t="shared" si="432"/>
        <v/>
      </c>
      <c r="V1186" s="730">
        <f t="shared" si="432"/>
        <v>0.9999988182541576</v>
      </c>
      <c r="W1186" s="531"/>
      <c r="X1186" s="236"/>
      <c r="Y1186" s="236" t="s">
        <v>598</v>
      </c>
      <c r="Z1186" s="236"/>
    </row>
    <row r="1187" spans="1:26" ht="11.25" customHeight="1">
      <c r="A1187" s="528" t="s">
        <v>644</v>
      </c>
      <c r="B1187" s="1013" t="s">
        <v>216</v>
      </c>
      <c r="C1187" s="728"/>
      <c r="D1187" s="649" t="s">
        <v>290</v>
      </c>
      <c r="E1187" s="729" t="s">
        <v>290</v>
      </c>
      <c r="F1187" s="103">
        <f>SUM('[3]chd 10-SAOB'!AQ13)</f>
        <v>0</v>
      </c>
      <c r="G1187" s="103">
        <f>SUM('[3]chd 10-SAOB'!AQ49)</f>
        <v>5350000</v>
      </c>
      <c r="H1187" s="103">
        <f>SUM('[3]chd 10-SAOB'!AQ141)</f>
        <v>0</v>
      </c>
      <c r="I1187" s="103">
        <f>SUM(F1187:H1187)</f>
        <v>5350000</v>
      </c>
      <c r="J1187" s="103">
        <f>SUM('[3]chd 10-SAOB'!AQ14)</f>
        <v>0</v>
      </c>
      <c r="K1187" s="103">
        <f>SUM('[3]chd 10-SAOB'!AQ50)</f>
        <v>3719739.8</v>
      </c>
      <c r="L1187" s="103">
        <f>SUM('[3]chd 10-SAOB'!AQ142)</f>
        <v>0</v>
      </c>
      <c r="M1187" s="103">
        <f t="shared" si="420"/>
        <v>3719739.8</v>
      </c>
      <c r="N1187" s="103">
        <f t="shared" si="413"/>
        <v>0</v>
      </c>
      <c r="O1187" s="103">
        <f t="shared" si="413"/>
        <v>1630260.2000000002</v>
      </c>
      <c r="P1187" s="103">
        <f t="shared" si="413"/>
        <v>0</v>
      </c>
      <c r="Q1187" s="103">
        <f t="shared" si="414"/>
        <v>1630260.2000000002</v>
      </c>
      <c r="S1187" s="730" t="str">
        <f t="shared" si="432"/>
        <v/>
      </c>
      <c r="T1187" s="730">
        <f t="shared" si="432"/>
        <v>0.69527846728971954</v>
      </c>
      <c r="U1187" s="730" t="str">
        <f t="shared" si="432"/>
        <v/>
      </c>
      <c r="V1187" s="730">
        <f t="shared" si="432"/>
        <v>0.69527846728971954</v>
      </c>
      <c r="W1187" s="531"/>
      <c r="X1187" s="236"/>
      <c r="Y1187" s="236" t="s">
        <v>598</v>
      </c>
      <c r="Z1187" s="236"/>
    </row>
    <row r="1188" spans="1:26" s="259" customFormat="1" ht="11.25" customHeight="1">
      <c r="A1188" s="246" t="s">
        <v>644</v>
      </c>
      <c r="B1188" s="235" t="s">
        <v>216</v>
      </c>
      <c r="C1188" s="656"/>
      <c r="D1188" s="656"/>
      <c r="E1188" s="657" t="s">
        <v>4</v>
      </c>
      <c r="F1188" s="652">
        <f>+F1178+F1180+F1182</f>
        <v>176260396</v>
      </c>
      <c r="G1188" s="652">
        <f t="shared" ref="G1188:M1188" si="436">+G1178+G1180+G1182</f>
        <v>118512000</v>
      </c>
      <c r="H1188" s="652">
        <f t="shared" si="436"/>
        <v>185000000</v>
      </c>
      <c r="I1188" s="652">
        <f t="shared" si="436"/>
        <v>479772396</v>
      </c>
      <c r="J1188" s="652">
        <f t="shared" si="436"/>
        <v>166076603.99000004</v>
      </c>
      <c r="K1188" s="652">
        <f t="shared" si="436"/>
        <v>100948946.32999997</v>
      </c>
      <c r="L1188" s="652">
        <f t="shared" si="436"/>
        <v>43251746.239999995</v>
      </c>
      <c r="M1188" s="652">
        <f t="shared" si="436"/>
        <v>310277296.56</v>
      </c>
      <c r="N1188" s="652">
        <f t="shared" si="413"/>
        <v>10183792.009999961</v>
      </c>
      <c r="O1188" s="652">
        <f t="shared" si="413"/>
        <v>17563053.670000032</v>
      </c>
      <c r="P1188" s="652">
        <f t="shared" si="413"/>
        <v>141748253.75999999</v>
      </c>
      <c r="Q1188" s="652">
        <f t="shared" si="414"/>
        <v>169495099.44</v>
      </c>
      <c r="R1188" s="653">
        <f>+Q1188-'[3]chd 10-SAOB'!BO178</f>
        <v>0</v>
      </c>
      <c r="S1188" s="1008">
        <f t="shared" si="432"/>
        <v>0.94222302774129729</v>
      </c>
      <c r="T1188" s="1008">
        <f t="shared" si="432"/>
        <v>0.8518035838564868</v>
      </c>
      <c r="U1188" s="1008">
        <f t="shared" si="432"/>
        <v>0.23379322291891888</v>
      </c>
      <c r="V1188" s="1008">
        <f t="shared" si="432"/>
        <v>0.64671769186153849</v>
      </c>
      <c r="W1188" s="254"/>
      <c r="X1188" s="520"/>
      <c r="Y1188" s="610" t="s">
        <v>598</v>
      </c>
      <c r="Z1188" s="241" t="s">
        <v>598</v>
      </c>
    </row>
    <row r="1189" spans="1:26" ht="11.25" customHeight="1">
      <c r="A1189" s="246" t="s">
        <v>644</v>
      </c>
      <c r="B1189" s="235" t="s">
        <v>216</v>
      </c>
      <c r="C1189" s="410"/>
      <c r="D1189" s="386"/>
      <c r="E1189" s="461" t="s">
        <v>764</v>
      </c>
      <c r="F1189" s="103"/>
      <c r="G1189" s="103"/>
      <c r="H1189" s="103"/>
      <c r="I1189" s="103">
        <f>SUM(F1189:H1189)</f>
        <v>0</v>
      </c>
      <c r="J1189" s="103"/>
      <c r="K1189" s="103"/>
      <c r="L1189" s="103"/>
      <c r="M1189" s="103">
        <f t="shared" si="420"/>
        <v>0</v>
      </c>
      <c r="N1189" s="103">
        <f t="shared" si="413"/>
        <v>0</v>
      </c>
      <c r="O1189" s="103">
        <f t="shared" si="413"/>
        <v>0</v>
      </c>
      <c r="P1189" s="103">
        <f t="shared" si="413"/>
        <v>0</v>
      </c>
      <c r="Q1189" s="103">
        <f t="shared" si="414"/>
        <v>0</v>
      </c>
      <c r="S1189" s="730" t="str">
        <f t="shared" si="432"/>
        <v/>
      </c>
      <c r="T1189" s="730" t="str">
        <f t="shared" si="432"/>
        <v/>
      </c>
      <c r="U1189" s="730" t="str">
        <f t="shared" si="432"/>
        <v/>
      </c>
      <c r="V1189" s="730" t="str">
        <f t="shared" si="432"/>
        <v/>
      </c>
      <c r="W1189" s="254"/>
      <c r="Y1189" s="610" t="s">
        <v>598</v>
      </c>
      <c r="Z1189" s="241" t="s">
        <v>598</v>
      </c>
    </row>
    <row r="1190" spans="1:26" s="675" customFormat="1" ht="11.25" customHeight="1">
      <c r="A1190" s="528" t="s">
        <v>644</v>
      </c>
      <c r="B1190" s="528" t="s">
        <v>217</v>
      </c>
      <c r="C1190" s="407" t="s">
        <v>98</v>
      </c>
      <c r="D1190" s="655" t="s">
        <v>107</v>
      </c>
      <c r="E1190" s="408" t="s">
        <v>838</v>
      </c>
      <c r="F1190" s="673"/>
      <c r="G1190" s="673"/>
      <c r="H1190" s="673"/>
      <c r="I1190" s="674">
        <f>SUM(F1190:H1190)</f>
        <v>0</v>
      </c>
      <c r="J1190" s="673"/>
      <c r="K1190" s="673"/>
      <c r="L1190" s="673"/>
      <c r="M1190" s="674">
        <f t="shared" si="420"/>
        <v>0</v>
      </c>
      <c r="N1190" s="674">
        <f t="shared" si="413"/>
        <v>0</v>
      </c>
      <c r="O1190" s="674">
        <f t="shared" si="413"/>
        <v>0</v>
      </c>
      <c r="P1190" s="674">
        <f t="shared" si="413"/>
        <v>0</v>
      </c>
      <c r="Q1190" s="674">
        <f t="shared" si="414"/>
        <v>0</v>
      </c>
      <c r="R1190" s="101"/>
      <c r="S1190" s="254" t="str">
        <f t="shared" si="432"/>
        <v/>
      </c>
      <c r="T1190" s="254" t="str">
        <f t="shared" si="432"/>
        <v/>
      </c>
      <c r="U1190" s="254" t="str">
        <f t="shared" si="432"/>
        <v/>
      </c>
      <c r="V1190" s="254" t="str">
        <f t="shared" si="432"/>
        <v/>
      </c>
      <c r="W1190" s="531"/>
      <c r="Y1190" s="272" t="s">
        <v>598</v>
      </c>
      <c r="Z1190" s="260" t="s">
        <v>598</v>
      </c>
    </row>
    <row r="1191" spans="1:26" ht="11.25" customHeight="1">
      <c r="A1191" s="528" t="s">
        <v>644</v>
      </c>
      <c r="B1191" s="1013" t="s">
        <v>217</v>
      </c>
      <c r="C1191" s="461"/>
      <c r="D1191" s="645" t="s">
        <v>766</v>
      </c>
      <c r="E1191" s="447" t="s">
        <v>766</v>
      </c>
      <c r="F1191" s="104">
        <f>+'[3]chd 10-SAOB'!C386</f>
        <v>78777000</v>
      </c>
      <c r="G1191" s="104">
        <f>+'[3]chd 10-SAOB'!D386</f>
        <v>26520000</v>
      </c>
      <c r="H1191" s="104">
        <f>+'[3]chd 10-SAOB'!E386</f>
        <v>0</v>
      </c>
      <c r="I1191" s="103">
        <f>SUM(F1191:H1191)</f>
        <v>105297000</v>
      </c>
      <c r="J1191" s="104">
        <f>+'[3]chd 10-SAOB'!G386</f>
        <v>71400655.399999991</v>
      </c>
      <c r="K1191" s="104">
        <f>+'[3]chd 10-SAOB'!H386</f>
        <v>24484625.690000005</v>
      </c>
      <c r="L1191" s="104">
        <f>+'[3]chd 10-SAOB'!I386</f>
        <v>0</v>
      </c>
      <c r="M1191" s="103">
        <f t="shared" si="420"/>
        <v>95885281.090000004</v>
      </c>
      <c r="N1191" s="103">
        <f t="shared" si="413"/>
        <v>7376344.6000000089</v>
      </c>
      <c r="O1191" s="103">
        <f t="shared" si="413"/>
        <v>2035374.3099999949</v>
      </c>
      <c r="P1191" s="103">
        <f t="shared" si="413"/>
        <v>0</v>
      </c>
      <c r="Q1191" s="103">
        <f t="shared" si="414"/>
        <v>9411718.9100000039</v>
      </c>
      <c r="S1191" s="730">
        <f t="shared" si="432"/>
        <v>0.90636423575409053</v>
      </c>
      <c r="T1191" s="730">
        <f t="shared" si="432"/>
        <v>0.92325134577677248</v>
      </c>
      <c r="U1191" s="730" t="str">
        <f t="shared" si="432"/>
        <v/>
      </c>
      <c r="V1191" s="730">
        <f t="shared" si="432"/>
        <v>0.91061740685869497</v>
      </c>
      <c r="W1191" s="531"/>
      <c r="X1191" s="236"/>
      <c r="Y1191" s="236" t="s">
        <v>688</v>
      </c>
      <c r="Z1191" s="236"/>
    </row>
    <row r="1192" spans="1:26" ht="11.25" customHeight="1">
      <c r="A1192" s="528" t="s">
        <v>644</v>
      </c>
      <c r="B1192" s="1013" t="s">
        <v>217</v>
      </c>
      <c r="C1192" s="728"/>
      <c r="D1192" s="649" t="s">
        <v>50</v>
      </c>
      <c r="E1192" s="447" t="s">
        <v>50</v>
      </c>
      <c r="F1192" s="104"/>
      <c r="G1192" s="104">
        <f>+'[3]chd 10-SAOB'!D388</f>
        <v>12212000</v>
      </c>
      <c r="H1192" s="104">
        <f>+'[3]chd 10-SAOB'!E388</f>
        <v>100000000</v>
      </c>
      <c r="I1192" s="103">
        <f>SUM(F1192:H1192)</f>
        <v>112212000</v>
      </c>
      <c r="J1192" s="104"/>
      <c r="K1192" s="104">
        <f>+'[3]chd 10-SAOB'!H388</f>
        <v>9431586.75</v>
      </c>
      <c r="L1192" s="104">
        <f>+'[3]chd 10-SAOB'!I388</f>
        <v>99791217.060000002</v>
      </c>
      <c r="M1192" s="103">
        <f>SUM(J1192:L1192)</f>
        <v>109222803.81</v>
      </c>
      <c r="N1192" s="103">
        <f t="shared" si="413"/>
        <v>0</v>
      </c>
      <c r="O1192" s="103">
        <f t="shared" si="413"/>
        <v>2780413.25</v>
      </c>
      <c r="P1192" s="103">
        <f t="shared" si="413"/>
        <v>208782.93999999762</v>
      </c>
      <c r="Q1192" s="103">
        <f t="shared" si="414"/>
        <v>2989196.1899999976</v>
      </c>
      <c r="S1192" s="730" t="str">
        <f t="shared" si="432"/>
        <v/>
      </c>
      <c r="T1192" s="730">
        <f t="shared" si="432"/>
        <v>0.77232122093023259</v>
      </c>
      <c r="U1192" s="730">
        <f t="shared" si="432"/>
        <v>0.99791217060000004</v>
      </c>
      <c r="V1192" s="730">
        <f t="shared" si="432"/>
        <v>0.97336117179980752</v>
      </c>
      <c r="W1192" s="531"/>
      <c r="X1192" s="236"/>
      <c r="Y1192" s="236" t="s">
        <v>688</v>
      </c>
      <c r="Z1192" s="236"/>
    </row>
    <row r="1193" spans="1:26" s="256" customFormat="1" ht="11.25" customHeight="1">
      <c r="A1193" s="528" t="s">
        <v>644</v>
      </c>
      <c r="B1193" s="528" t="s">
        <v>217</v>
      </c>
      <c r="C1193" s="389"/>
      <c r="D1193" s="650" t="s">
        <v>98</v>
      </c>
      <c r="E1193" s="390" t="s">
        <v>767</v>
      </c>
      <c r="F1193" s="391">
        <f>+F1191+F1192</f>
        <v>78777000</v>
      </c>
      <c r="G1193" s="391">
        <f t="shared" ref="G1193:M1193" si="437">+G1191+G1192</f>
        <v>38732000</v>
      </c>
      <c r="H1193" s="391">
        <f t="shared" si="437"/>
        <v>100000000</v>
      </c>
      <c r="I1193" s="391">
        <f t="shared" si="437"/>
        <v>217509000</v>
      </c>
      <c r="J1193" s="391">
        <f t="shared" si="437"/>
        <v>71400655.399999991</v>
      </c>
      <c r="K1193" s="391">
        <f t="shared" si="437"/>
        <v>33916212.440000005</v>
      </c>
      <c r="L1193" s="391">
        <f t="shared" si="437"/>
        <v>99791217.060000002</v>
      </c>
      <c r="M1193" s="391">
        <f t="shared" si="437"/>
        <v>205108084.90000001</v>
      </c>
      <c r="N1193" s="391">
        <f t="shared" si="413"/>
        <v>7376344.6000000089</v>
      </c>
      <c r="O1193" s="391">
        <f t="shared" si="413"/>
        <v>4815787.5599999949</v>
      </c>
      <c r="P1193" s="391">
        <f t="shared" si="413"/>
        <v>208782.93999999762</v>
      </c>
      <c r="Q1193" s="391">
        <f t="shared" si="414"/>
        <v>12400915.100000001</v>
      </c>
      <c r="R1193" s="101"/>
      <c r="S1193" s="254">
        <f t="shared" si="432"/>
        <v>0.90636423575409053</v>
      </c>
      <c r="T1193" s="254">
        <f t="shared" si="432"/>
        <v>0.87566385521016232</v>
      </c>
      <c r="U1193" s="254">
        <f t="shared" si="432"/>
        <v>0.99791217060000004</v>
      </c>
      <c r="V1193" s="254">
        <f t="shared" si="432"/>
        <v>0.94298665756359512</v>
      </c>
      <c r="W1193" s="531"/>
      <c r="Y1193" s="256" t="s">
        <v>598</v>
      </c>
      <c r="Z1193" s="256" t="s">
        <v>598</v>
      </c>
    </row>
    <row r="1194" spans="1:26" ht="11.25" hidden="1" customHeight="1">
      <c r="A1194" s="528" t="s">
        <v>644</v>
      </c>
      <c r="B1194" s="1013" t="s">
        <v>217</v>
      </c>
      <c r="C1194" s="410"/>
      <c r="D1194" s="651"/>
      <c r="E1194" s="806" t="s">
        <v>764</v>
      </c>
      <c r="F1194" s="807"/>
      <c r="G1194" s="807"/>
      <c r="H1194" s="807"/>
      <c r="I1194" s="807"/>
      <c r="J1194" s="807"/>
      <c r="K1194" s="807"/>
      <c r="L1194" s="807"/>
      <c r="M1194" s="807"/>
      <c r="N1194" s="807">
        <f t="shared" si="413"/>
        <v>0</v>
      </c>
      <c r="O1194" s="807">
        <f t="shared" si="413"/>
        <v>0</v>
      </c>
      <c r="P1194" s="807">
        <f t="shared" si="413"/>
        <v>0</v>
      </c>
      <c r="Q1194" s="807">
        <f t="shared" si="414"/>
        <v>0</v>
      </c>
      <c r="R1194" s="276"/>
      <c r="S1194" s="730" t="str">
        <f t="shared" si="432"/>
        <v/>
      </c>
      <c r="T1194" s="730" t="str">
        <f t="shared" si="432"/>
        <v/>
      </c>
      <c r="U1194" s="730" t="str">
        <f t="shared" si="432"/>
        <v/>
      </c>
      <c r="V1194" s="730" t="str">
        <f t="shared" si="432"/>
        <v/>
      </c>
      <c r="W1194" s="531"/>
      <c r="X1194" s="236"/>
      <c r="Y1194" s="236"/>
      <c r="Z1194" s="236"/>
    </row>
    <row r="1195" spans="1:26" s="256" customFormat="1" ht="11.25" customHeight="1">
      <c r="A1195" s="528" t="s">
        <v>644</v>
      </c>
      <c r="B1195" s="528" t="s">
        <v>217</v>
      </c>
      <c r="C1195" s="389"/>
      <c r="D1195" s="650" t="s">
        <v>98</v>
      </c>
      <c r="E1195" s="390" t="s">
        <v>99</v>
      </c>
      <c r="F1195" s="391">
        <f>+F1196</f>
        <v>7170000</v>
      </c>
      <c r="G1195" s="391">
        <f t="shared" ref="G1195:M1195" si="438">+G1196</f>
        <v>0</v>
      </c>
      <c r="H1195" s="391">
        <f t="shared" si="438"/>
        <v>0</v>
      </c>
      <c r="I1195" s="391">
        <f t="shared" si="438"/>
        <v>7170000</v>
      </c>
      <c r="J1195" s="391">
        <f t="shared" si="438"/>
        <v>6461673.4799999995</v>
      </c>
      <c r="K1195" s="391">
        <f t="shared" si="438"/>
        <v>0</v>
      </c>
      <c r="L1195" s="391">
        <f t="shared" si="438"/>
        <v>0</v>
      </c>
      <c r="M1195" s="391">
        <f t="shared" si="438"/>
        <v>6461673.4799999995</v>
      </c>
      <c r="N1195" s="391">
        <f t="shared" ref="N1195:P1261" si="439">+F1195-J1195</f>
        <v>708326.52000000048</v>
      </c>
      <c r="O1195" s="391">
        <f t="shared" si="439"/>
        <v>0</v>
      </c>
      <c r="P1195" s="391">
        <f t="shared" si="439"/>
        <v>0</v>
      </c>
      <c r="Q1195" s="391">
        <f t="shared" ref="Q1195:Q1261" si="440">SUM(N1195:P1195)</f>
        <v>708326.52000000048</v>
      </c>
      <c r="R1195" s="101"/>
      <c r="S1195" s="254">
        <f t="shared" si="432"/>
        <v>0.90120969037656895</v>
      </c>
      <c r="T1195" s="254" t="str">
        <f t="shared" si="432"/>
        <v/>
      </c>
      <c r="U1195" s="254" t="str">
        <f t="shared" si="432"/>
        <v/>
      </c>
      <c r="V1195" s="254">
        <f t="shared" si="432"/>
        <v>0.90120969037656895</v>
      </c>
      <c r="W1195" s="531"/>
      <c r="Y1195" s="256" t="s">
        <v>598</v>
      </c>
      <c r="Z1195" s="256" t="s">
        <v>598</v>
      </c>
    </row>
    <row r="1196" spans="1:26" ht="11.25" customHeight="1">
      <c r="A1196" s="528" t="s">
        <v>644</v>
      </c>
      <c r="B1196" s="1013" t="s">
        <v>217</v>
      </c>
      <c r="C1196" s="728"/>
      <c r="D1196" s="649" t="s">
        <v>286</v>
      </c>
      <c r="E1196" s="729" t="s">
        <v>286</v>
      </c>
      <c r="F1196" s="103">
        <f>SUM('[3]chd 10-SAOB'!AA13)</f>
        <v>7170000</v>
      </c>
      <c r="G1196" s="103">
        <f>SUM('[3]chd 10-SAOB'!AA49)</f>
        <v>0</v>
      </c>
      <c r="H1196" s="103">
        <f>SUM('[3]chd 10-SAOB'!AA141)</f>
        <v>0</v>
      </c>
      <c r="I1196" s="103">
        <f>SUM(F1196:H1196)</f>
        <v>7170000</v>
      </c>
      <c r="J1196" s="103">
        <f>SUM('[3]chd 10-SAOB'!AA14)</f>
        <v>6461673.4799999995</v>
      </c>
      <c r="K1196" s="103">
        <f>SUM('[3]chd 10-SAOB'!AA50)</f>
        <v>0</v>
      </c>
      <c r="L1196" s="103">
        <f>SUM('[3]chd 10-SAOB'!AA142)</f>
        <v>0</v>
      </c>
      <c r="M1196" s="103">
        <f t="shared" si="420"/>
        <v>6461673.4799999995</v>
      </c>
      <c r="N1196" s="103">
        <f t="shared" si="439"/>
        <v>708326.52000000048</v>
      </c>
      <c r="O1196" s="103">
        <f t="shared" si="439"/>
        <v>0</v>
      </c>
      <c r="P1196" s="103">
        <f t="shared" si="439"/>
        <v>0</v>
      </c>
      <c r="Q1196" s="103">
        <f t="shared" si="440"/>
        <v>708326.52000000048</v>
      </c>
      <c r="S1196" s="730">
        <f t="shared" si="432"/>
        <v>0.90120969037656895</v>
      </c>
      <c r="T1196" s="730" t="str">
        <f t="shared" si="432"/>
        <v/>
      </c>
      <c r="U1196" s="730" t="str">
        <f t="shared" si="432"/>
        <v/>
      </c>
      <c r="V1196" s="730">
        <f t="shared" si="432"/>
        <v>0.90120969037656895</v>
      </c>
      <c r="W1196" s="531"/>
      <c r="X1196" s="236"/>
      <c r="Y1196" s="236" t="s">
        <v>598</v>
      </c>
      <c r="Z1196" s="236"/>
    </row>
    <row r="1197" spans="1:26" s="272" customFormat="1" ht="11.25" customHeight="1">
      <c r="A1197" s="528" t="s">
        <v>644</v>
      </c>
      <c r="B1197" s="528" t="s">
        <v>217</v>
      </c>
      <c r="C1197" s="389"/>
      <c r="D1197" s="650" t="s">
        <v>98</v>
      </c>
      <c r="E1197" s="390" t="s">
        <v>100</v>
      </c>
      <c r="F1197" s="391">
        <f t="shared" ref="F1197:M1197" si="441">SUM(F1198:F1202)</f>
        <v>3689816.6</v>
      </c>
      <c r="G1197" s="391">
        <f t="shared" si="441"/>
        <v>100000</v>
      </c>
      <c r="H1197" s="391">
        <f t="shared" si="441"/>
        <v>0</v>
      </c>
      <c r="I1197" s="391">
        <f t="shared" si="441"/>
        <v>3789816.6</v>
      </c>
      <c r="J1197" s="391">
        <f t="shared" si="441"/>
        <v>3689816.6</v>
      </c>
      <c r="K1197" s="391">
        <f t="shared" si="441"/>
        <v>54952.42</v>
      </c>
      <c r="L1197" s="391">
        <f t="shared" si="441"/>
        <v>0</v>
      </c>
      <c r="M1197" s="391">
        <f t="shared" si="441"/>
        <v>3744769.02</v>
      </c>
      <c r="N1197" s="391">
        <f t="shared" si="439"/>
        <v>0</v>
      </c>
      <c r="O1197" s="391">
        <f t="shared" si="439"/>
        <v>45047.58</v>
      </c>
      <c r="P1197" s="391">
        <f t="shared" si="439"/>
        <v>0</v>
      </c>
      <c r="Q1197" s="391">
        <f t="shared" si="440"/>
        <v>45047.58</v>
      </c>
      <c r="R1197" s="102"/>
      <c r="S1197" s="254">
        <f t="shared" si="432"/>
        <v>1</v>
      </c>
      <c r="T1197" s="254">
        <f t="shared" si="432"/>
        <v>0.54952420000000002</v>
      </c>
      <c r="U1197" s="254" t="str">
        <f t="shared" si="432"/>
        <v/>
      </c>
      <c r="V1197" s="254">
        <f t="shared" si="432"/>
        <v>0.98811351979407125</v>
      </c>
      <c r="W1197" s="531"/>
      <c r="Y1197" s="272" t="s">
        <v>598</v>
      </c>
      <c r="Z1197" s="256" t="s">
        <v>598</v>
      </c>
    </row>
    <row r="1198" spans="1:26" ht="11.25" customHeight="1">
      <c r="A1198" s="528" t="s">
        <v>644</v>
      </c>
      <c r="B1198" s="1013" t="s">
        <v>217</v>
      </c>
      <c r="C1198" s="728"/>
      <c r="D1198" s="649" t="s">
        <v>288</v>
      </c>
      <c r="E1198" s="729" t="s">
        <v>288</v>
      </c>
      <c r="F1198" s="103">
        <f>SUM('[3]chd 10-SAOB'!AF13)</f>
        <v>39609.599999999999</v>
      </c>
      <c r="G1198" s="103">
        <f>SUM('[3]chd 10-SAOB'!AF49)</f>
        <v>0</v>
      </c>
      <c r="H1198" s="103">
        <f>SUM('[3]chd 10-SAOB'!AF141)</f>
        <v>0</v>
      </c>
      <c r="I1198" s="103">
        <f>SUM(F1198:H1198)</f>
        <v>39609.599999999999</v>
      </c>
      <c r="J1198" s="103">
        <f>SUM('[3]chd 10-SAOB'!AF14)</f>
        <v>39609.599999999999</v>
      </c>
      <c r="K1198" s="103">
        <f>SUM('[3]chd 10-SAOB'!AF50)</f>
        <v>0</v>
      </c>
      <c r="L1198" s="103">
        <f>SUM('[3]chd 10-SAOB'!AF142)</f>
        <v>0</v>
      </c>
      <c r="M1198" s="103">
        <f t="shared" si="420"/>
        <v>39609.599999999999</v>
      </c>
      <c r="N1198" s="103">
        <f t="shared" si="439"/>
        <v>0</v>
      </c>
      <c r="O1198" s="103">
        <f t="shared" si="439"/>
        <v>0</v>
      </c>
      <c r="P1198" s="103">
        <f t="shared" si="439"/>
        <v>0</v>
      </c>
      <c r="Q1198" s="103">
        <f t="shared" si="440"/>
        <v>0</v>
      </c>
      <c r="S1198" s="730">
        <f t="shared" si="432"/>
        <v>1</v>
      </c>
      <c r="T1198" s="730" t="str">
        <f t="shared" si="432"/>
        <v/>
      </c>
      <c r="U1198" s="730" t="str">
        <f t="shared" si="432"/>
        <v/>
      </c>
      <c r="V1198" s="730">
        <f t="shared" si="432"/>
        <v>1</v>
      </c>
      <c r="W1198" s="531"/>
      <c r="X1198" s="236"/>
      <c r="Y1198" s="236" t="s">
        <v>598</v>
      </c>
      <c r="Z1198" s="236"/>
    </row>
    <row r="1199" spans="1:26" ht="11.25" customHeight="1">
      <c r="A1199" s="528" t="s">
        <v>644</v>
      </c>
      <c r="B1199" s="1013" t="s">
        <v>217</v>
      </c>
      <c r="C1199" s="728"/>
      <c r="D1199" s="649" t="s">
        <v>761</v>
      </c>
      <c r="E1199" s="729" t="s">
        <v>761</v>
      </c>
      <c r="F1199" s="104">
        <f>+'[3]chd 10-SAOB'!C388</f>
        <v>3560000</v>
      </c>
      <c r="G1199" s="104"/>
      <c r="H1199" s="104"/>
      <c r="I1199" s="103">
        <f>SUM(F1199:H1199)</f>
        <v>3560000</v>
      </c>
      <c r="J1199" s="104">
        <f>+'[3]chd 10-SAOB'!G388</f>
        <v>3560000</v>
      </c>
      <c r="K1199" s="104"/>
      <c r="L1199" s="104"/>
      <c r="M1199" s="103">
        <f t="shared" si="420"/>
        <v>3560000</v>
      </c>
      <c r="N1199" s="103">
        <f t="shared" si="439"/>
        <v>0</v>
      </c>
      <c r="O1199" s="103">
        <f t="shared" si="439"/>
        <v>0</v>
      </c>
      <c r="P1199" s="103">
        <f t="shared" si="439"/>
        <v>0</v>
      </c>
      <c r="Q1199" s="103">
        <f>SUM(N1199:P1199)</f>
        <v>0</v>
      </c>
      <c r="S1199" s="730">
        <f t="shared" si="432"/>
        <v>1</v>
      </c>
      <c r="T1199" s="730" t="str">
        <f t="shared" si="432"/>
        <v/>
      </c>
      <c r="U1199" s="730" t="str">
        <f t="shared" si="432"/>
        <v/>
      </c>
      <c r="V1199" s="730">
        <f t="shared" si="432"/>
        <v>1</v>
      </c>
      <c r="W1199" s="531"/>
      <c r="X1199" s="236"/>
      <c r="Y1199" s="236" t="s">
        <v>688</v>
      </c>
      <c r="Z1199" s="236"/>
    </row>
    <row r="1200" spans="1:26" ht="11.25" customHeight="1">
      <c r="A1200" s="528" t="s">
        <v>644</v>
      </c>
      <c r="B1200" s="1013" t="s">
        <v>217</v>
      </c>
      <c r="C1200" s="410"/>
      <c r="D1200" s="647"/>
      <c r="E1200" s="461" t="s">
        <v>764</v>
      </c>
      <c r="F1200" s="104"/>
      <c r="G1200" s="104"/>
      <c r="H1200" s="104"/>
      <c r="I1200" s="103"/>
      <c r="J1200" s="104"/>
      <c r="K1200" s="104"/>
      <c r="L1200" s="104"/>
      <c r="M1200" s="103"/>
      <c r="N1200" s="103"/>
      <c r="O1200" s="103"/>
      <c r="P1200" s="103"/>
      <c r="Q1200" s="103"/>
      <c r="S1200" s="730" t="str">
        <f t="shared" si="432"/>
        <v/>
      </c>
      <c r="T1200" s="730" t="str">
        <f t="shared" si="432"/>
        <v/>
      </c>
      <c r="U1200" s="730" t="str">
        <f t="shared" si="432"/>
        <v/>
      </c>
      <c r="V1200" s="730" t="str">
        <f t="shared" si="432"/>
        <v/>
      </c>
      <c r="W1200" s="531"/>
      <c r="X1200" s="236"/>
      <c r="Y1200" s="236" t="s">
        <v>688</v>
      </c>
      <c r="Z1200" s="240"/>
    </row>
    <row r="1201" spans="1:26" ht="11.25" customHeight="1">
      <c r="A1201" s="528" t="s">
        <v>644</v>
      </c>
      <c r="B1201" s="1013" t="s">
        <v>217</v>
      </c>
      <c r="C1201" s="728"/>
      <c r="D1201" s="649" t="s">
        <v>289</v>
      </c>
      <c r="E1201" s="729" t="s">
        <v>289</v>
      </c>
      <c r="F1201" s="103">
        <f>SUM('[3]chd 10-SAOB'!AK13)</f>
        <v>90207</v>
      </c>
      <c r="G1201" s="103">
        <f>SUM('[3]chd 10-SAOB'!AK49)</f>
        <v>0</v>
      </c>
      <c r="H1201" s="103">
        <f>SUM('[3]chd 10-SAOB'!AK141)</f>
        <v>0</v>
      </c>
      <c r="I1201" s="103">
        <f>SUM(F1201:H1201)</f>
        <v>90207</v>
      </c>
      <c r="J1201" s="103">
        <f>SUM('[3]chd 10-SAOB'!AK14)</f>
        <v>90207</v>
      </c>
      <c r="K1201" s="103">
        <f>SUM('[3]chd 10-SAOB'!AK50)</f>
        <v>0</v>
      </c>
      <c r="L1201" s="103">
        <f>SUM('[3]chd 10-SAOB'!AK142)</f>
        <v>0</v>
      </c>
      <c r="M1201" s="103">
        <f t="shared" si="420"/>
        <v>90207</v>
      </c>
      <c r="N1201" s="103">
        <f t="shared" si="439"/>
        <v>0</v>
      </c>
      <c r="O1201" s="103">
        <f t="shared" si="439"/>
        <v>0</v>
      </c>
      <c r="P1201" s="103">
        <f t="shared" si="439"/>
        <v>0</v>
      </c>
      <c r="Q1201" s="103">
        <f t="shared" si="440"/>
        <v>0</v>
      </c>
      <c r="S1201" s="730">
        <f t="shared" si="432"/>
        <v>1</v>
      </c>
      <c r="T1201" s="730" t="str">
        <f t="shared" si="432"/>
        <v/>
      </c>
      <c r="U1201" s="730" t="str">
        <f t="shared" si="432"/>
        <v/>
      </c>
      <c r="V1201" s="730">
        <f t="shared" si="432"/>
        <v>1</v>
      </c>
      <c r="W1201" s="531"/>
      <c r="X1201" s="236"/>
      <c r="Y1201" s="236" t="s">
        <v>598</v>
      </c>
      <c r="Z1201" s="236"/>
    </row>
    <row r="1202" spans="1:26" ht="11.25" customHeight="1">
      <c r="A1202" s="528" t="s">
        <v>644</v>
      </c>
      <c r="B1202" s="1013" t="s">
        <v>217</v>
      </c>
      <c r="C1202" s="728"/>
      <c r="D1202" s="649" t="s">
        <v>290</v>
      </c>
      <c r="E1202" s="729" t="s">
        <v>290</v>
      </c>
      <c r="F1202" s="103">
        <f>SUM('[3]chd 10-SAOB'!AP13)</f>
        <v>0</v>
      </c>
      <c r="G1202" s="103">
        <f>SUM('[3]chd 10-SAOB'!AP49)</f>
        <v>100000</v>
      </c>
      <c r="H1202" s="103">
        <f>SUM('[3]chd 10-SAOB'!AP141)</f>
        <v>0</v>
      </c>
      <c r="I1202" s="103">
        <f>SUM(F1202:H1202)</f>
        <v>100000</v>
      </c>
      <c r="J1202" s="103">
        <f>SUM('[3]chd 10-SAOB'!AP14)</f>
        <v>0</v>
      </c>
      <c r="K1202" s="103">
        <f>SUM('[3]chd 10-SAOB'!AP50)</f>
        <v>54952.42</v>
      </c>
      <c r="L1202" s="103">
        <f>SUM('[3]chd 10-SAOB'!AP142)</f>
        <v>0</v>
      </c>
      <c r="M1202" s="103">
        <f t="shared" si="420"/>
        <v>54952.42</v>
      </c>
      <c r="N1202" s="103">
        <f t="shared" si="439"/>
        <v>0</v>
      </c>
      <c r="O1202" s="103">
        <f t="shared" si="439"/>
        <v>45047.58</v>
      </c>
      <c r="P1202" s="103">
        <f t="shared" si="439"/>
        <v>0</v>
      </c>
      <c r="Q1202" s="103">
        <f t="shared" si="440"/>
        <v>45047.58</v>
      </c>
      <c r="S1202" s="730" t="str">
        <f t="shared" si="432"/>
        <v/>
      </c>
      <c r="T1202" s="730">
        <f t="shared" si="432"/>
        <v>0.54952420000000002</v>
      </c>
      <c r="U1202" s="730" t="str">
        <f t="shared" si="432"/>
        <v/>
      </c>
      <c r="V1202" s="730">
        <f t="shared" si="432"/>
        <v>0.54952420000000002</v>
      </c>
      <c r="W1202" s="531"/>
      <c r="X1202" s="236"/>
      <c r="Y1202" s="236" t="s">
        <v>598</v>
      </c>
      <c r="Z1202" s="236"/>
    </row>
    <row r="1203" spans="1:26" s="259" customFormat="1" ht="11.25" customHeight="1">
      <c r="A1203" s="246" t="s">
        <v>644</v>
      </c>
      <c r="B1203" s="235" t="s">
        <v>217</v>
      </c>
      <c r="C1203" s="656"/>
      <c r="D1203" s="656"/>
      <c r="E1203" s="657" t="s">
        <v>4</v>
      </c>
      <c r="F1203" s="652">
        <f>+F1193+F1195+F1197</f>
        <v>89636816.599999994</v>
      </c>
      <c r="G1203" s="652">
        <f t="shared" ref="G1203:M1203" si="442">+G1193+G1195+G1197</f>
        <v>38832000</v>
      </c>
      <c r="H1203" s="652">
        <f t="shared" si="442"/>
        <v>100000000</v>
      </c>
      <c r="I1203" s="652">
        <f t="shared" si="442"/>
        <v>228468816.59999999</v>
      </c>
      <c r="J1203" s="652">
        <f t="shared" si="442"/>
        <v>81552145.479999989</v>
      </c>
      <c r="K1203" s="652">
        <f t="shared" si="442"/>
        <v>33971164.860000007</v>
      </c>
      <c r="L1203" s="652">
        <f t="shared" si="442"/>
        <v>99791217.060000002</v>
      </c>
      <c r="M1203" s="652">
        <f t="shared" si="442"/>
        <v>215314527.40000001</v>
      </c>
      <c r="N1203" s="652">
        <f t="shared" si="439"/>
        <v>8084671.1200000048</v>
      </c>
      <c r="O1203" s="652">
        <f t="shared" si="439"/>
        <v>4860835.1399999931</v>
      </c>
      <c r="P1203" s="652">
        <f t="shared" si="439"/>
        <v>208782.93999999762</v>
      </c>
      <c r="Q1203" s="652">
        <f t="shared" si="440"/>
        <v>13154289.199999996</v>
      </c>
      <c r="R1203" s="653">
        <f>+Q1203-'[3]chd 10-SAOB'!BN178</f>
        <v>0</v>
      </c>
      <c r="S1203" s="1008">
        <f t="shared" si="432"/>
        <v>0.90980635606374261</v>
      </c>
      <c r="T1203" s="1008">
        <f t="shared" si="432"/>
        <v>0.87482398176761456</v>
      </c>
      <c r="U1203" s="1008">
        <f t="shared" si="432"/>
        <v>0.99791217060000004</v>
      </c>
      <c r="V1203" s="1008">
        <f t="shared" si="432"/>
        <v>0.94242413736912578</v>
      </c>
      <c r="W1203" s="254"/>
      <c r="X1203" s="520"/>
      <c r="Y1203" s="610" t="s">
        <v>598</v>
      </c>
      <c r="Z1203" s="241" t="s">
        <v>598</v>
      </c>
    </row>
    <row r="1204" spans="1:26" ht="11.25" customHeight="1">
      <c r="A1204" s="246" t="s">
        <v>644</v>
      </c>
      <c r="B1204" s="235" t="s">
        <v>217</v>
      </c>
      <c r="C1204" s="410"/>
      <c r="D1204" s="386"/>
      <c r="E1204" s="461" t="s">
        <v>764</v>
      </c>
      <c r="F1204" s="103"/>
      <c r="G1204" s="103"/>
      <c r="H1204" s="103"/>
      <c r="I1204" s="103">
        <f>SUM(F1204:H1204)</f>
        <v>0</v>
      </c>
      <c r="J1204" s="103"/>
      <c r="K1204" s="103"/>
      <c r="L1204" s="103"/>
      <c r="M1204" s="103">
        <f t="shared" si="420"/>
        <v>0</v>
      </c>
      <c r="N1204" s="103">
        <f t="shared" si="439"/>
        <v>0</v>
      </c>
      <c r="O1204" s="103">
        <f t="shared" si="439"/>
        <v>0</v>
      </c>
      <c r="P1204" s="103">
        <f t="shared" si="439"/>
        <v>0</v>
      </c>
      <c r="Q1204" s="103">
        <f t="shared" si="440"/>
        <v>0</v>
      </c>
      <c r="S1204" s="730" t="str">
        <f t="shared" si="432"/>
        <v/>
      </c>
      <c r="T1204" s="730" t="str">
        <f t="shared" si="432"/>
        <v/>
      </c>
      <c r="U1204" s="730" t="str">
        <f t="shared" si="432"/>
        <v/>
      </c>
      <c r="V1204" s="730" t="str">
        <f t="shared" si="432"/>
        <v/>
      </c>
      <c r="W1204" s="254"/>
      <c r="Y1204" s="610" t="s">
        <v>598</v>
      </c>
      <c r="Z1204" s="241" t="s">
        <v>598</v>
      </c>
    </row>
    <row r="1205" spans="1:26" s="675" customFormat="1" ht="11.25" customHeight="1">
      <c r="A1205" s="528" t="s">
        <v>644</v>
      </c>
      <c r="B1205" s="528" t="s">
        <v>218</v>
      </c>
      <c r="C1205" s="407" t="s">
        <v>98</v>
      </c>
      <c r="D1205" s="655" t="s">
        <v>109</v>
      </c>
      <c r="E1205" s="408" t="s">
        <v>839</v>
      </c>
      <c r="F1205" s="673"/>
      <c r="G1205" s="673"/>
      <c r="H1205" s="673"/>
      <c r="I1205" s="674">
        <f>SUM(F1205:H1205)</f>
        <v>0</v>
      </c>
      <c r="J1205" s="673"/>
      <c r="K1205" s="673"/>
      <c r="L1205" s="673"/>
      <c r="M1205" s="674">
        <f t="shared" si="420"/>
        <v>0</v>
      </c>
      <c r="N1205" s="674">
        <f t="shared" si="439"/>
        <v>0</v>
      </c>
      <c r="O1205" s="674">
        <f t="shared" si="439"/>
        <v>0</v>
      </c>
      <c r="P1205" s="674">
        <f t="shared" si="439"/>
        <v>0</v>
      </c>
      <c r="Q1205" s="674">
        <f t="shared" si="440"/>
        <v>0</v>
      </c>
      <c r="R1205" s="101"/>
      <c r="S1205" s="254" t="str">
        <f t="shared" si="432"/>
        <v/>
      </c>
      <c r="T1205" s="254" t="str">
        <f t="shared" si="432"/>
        <v/>
      </c>
      <c r="U1205" s="254" t="str">
        <f t="shared" si="432"/>
        <v/>
      </c>
      <c r="V1205" s="254" t="str">
        <f t="shared" si="432"/>
        <v/>
      </c>
      <c r="W1205" s="531"/>
      <c r="Y1205" s="272" t="s">
        <v>598</v>
      </c>
      <c r="Z1205" s="260" t="s">
        <v>598</v>
      </c>
    </row>
    <row r="1206" spans="1:26" ht="11.25" customHeight="1">
      <c r="A1206" s="528" t="s">
        <v>644</v>
      </c>
      <c r="B1206" s="1013" t="s">
        <v>218</v>
      </c>
      <c r="C1206" s="461"/>
      <c r="D1206" s="645" t="s">
        <v>766</v>
      </c>
      <c r="E1206" s="447" t="s">
        <v>766</v>
      </c>
      <c r="F1206" s="104">
        <f>+'[3]chd 10-SAOB'!C400</f>
        <v>45583000</v>
      </c>
      <c r="G1206" s="104">
        <f>+'[3]chd 10-SAOB'!D400</f>
        <v>24345000</v>
      </c>
      <c r="H1206" s="104">
        <f>+'[3]chd 10-SAOB'!E400</f>
        <v>0</v>
      </c>
      <c r="I1206" s="103">
        <f>SUM(F1206:H1206)</f>
        <v>69928000</v>
      </c>
      <c r="J1206" s="104">
        <f>+'[3]chd 10-SAOB'!G400</f>
        <v>42064623.460000001</v>
      </c>
      <c r="K1206" s="104">
        <f>+'[3]chd 10-SAOB'!H400</f>
        <v>21745342.280000001</v>
      </c>
      <c r="L1206" s="104">
        <f>+'[3]chd 10-SAOB'!I400</f>
        <v>0</v>
      </c>
      <c r="M1206" s="103">
        <f t="shared" si="420"/>
        <v>63809965.740000002</v>
      </c>
      <c r="N1206" s="103">
        <f t="shared" si="439"/>
        <v>3518376.5399999991</v>
      </c>
      <c r="O1206" s="103">
        <f t="shared" si="439"/>
        <v>2599657.7199999988</v>
      </c>
      <c r="P1206" s="103">
        <f t="shared" si="439"/>
        <v>0</v>
      </c>
      <c r="Q1206" s="103">
        <f t="shared" si="440"/>
        <v>6118034.2599999979</v>
      </c>
      <c r="S1206" s="730">
        <f t="shared" si="432"/>
        <v>0.9228138441963013</v>
      </c>
      <c r="T1206" s="730">
        <f t="shared" si="432"/>
        <v>0.8932159490655166</v>
      </c>
      <c r="U1206" s="730" t="str">
        <f t="shared" si="432"/>
        <v/>
      </c>
      <c r="V1206" s="730">
        <f t="shared" si="432"/>
        <v>0.91250952036380284</v>
      </c>
      <c r="W1206" s="531"/>
      <c r="X1206" s="236"/>
      <c r="Y1206" s="236" t="s">
        <v>688</v>
      </c>
      <c r="Z1206" s="236"/>
    </row>
    <row r="1207" spans="1:26" ht="11.25" customHeight="1">
      <c r="A1207" s="528" t="s">
        <v>644</v>
      </c>
      <c r="B1207" s="1013" t="s">
        <v>218</v>
      </c>
      <c r="C1207" s="728"/>
      <c r="D1207" s="649" t="s">
        <v>50</v>
      </c>
      <c r="E1207" s="447" t="s">
        <v>50</v>
      </c>
      <c r="F1207" s="104"/>
      <c r="G1207" s="104">
        <f>+'[3]chd 10-SAOB'!D402</f>
        <v>6452000</v>
      </c>
      <c r="H1207" s="104">
        <f>+'[3]chd 10-SAOB'!E402</f>
        <v>26480000</v>
      </c>
      <c r="I1207" s="103">
        <f>SUM(F1207:H1207)</f>
        <v>32932000</v>
      </c>
      <c r="J1207" s="104"/>
      <c r="K1207" s="104">
        <f>+'[3]chd 10-SAOB'!H402</f>
        <v>6025773.1200000001</v>
      </c>
      <c r="L1207" s="104">
        <f>+'[3]chd 10-SAOB'!I402</f>
        <v>21970904.759999998</v>
      </c>
      <c r="M1207" s="103">
        <f>SUM(J1207:L1207)</f>
        <v>27996677.879999999</v>
      </c>
      <c r="N1207" s="103">
        <f t="shared" si="439"/>
        <v>0</v>
      </c>
      <c r="O1207" s="103">
        <f t="shared" si="439"/>
        <v>426226.87999999989</v>
      </c>
      <c r="P1207" s="103">
        <f t="shared" si="439"/>
        <v>4509095.2400000021</v>
      </c>
      <c r="Q1207" s="103">
        <f t="shared" si="440"/>
        <v>4935322.120000002</v>
      </c>
      <c r="S1207" s="730" t="str">
        <f t="shared" si="432"/>
        <v/>
      </c>
      <c r="T1207" s="730">
        <f t="shared" si="432"/>
        <v>0.93393879727216367</v>
      </c>
      <c r="U1207" s="730">
        <f t="shared" si="432"/>
        <v>0.82971694712990929</v>
      </c>
      <c r="V1207" s="730">
        <f t="shared" si="432"/>
        <v>0.85013597352119519</v>
      </c>
      <c r="W1207" s="531"/>
      <c r="X1207" s="236"/>
      <c r="Y1207" s="236" t="s">
        <v>688</v>
      </c>
      <c r="Z1207" s="236"/>
    </row>
    <row r="1208" spans="1:26" s="256" customFormat="1" ht="11.25" customHeight="1">
      <c r="A1208" s="528" t="s">
        <v>644</v>
      </c>
      <c r="B1208" s="528" t="s">
        <v>218</v>
      </c>
      <c r="C1208" s="389"/>
      <c r="D1208" s="650" t="s">
        <v>98</v>
      </c>
      <c r="E1208" s="390" t="s">
        <v>767</v>
      </c>
      <c r="F1208" s="391">
        <f>+F1206+F1207</f>
        <v>45583000</v>
      </c>
      <c r="G1208" s="391">
        <f t="shared" ref="G1208:M1208" si="443">+G1206+G1207</f>
        <v>30797000</v>
      </c>
      <c r="H1208" s="391">
        <f t="shared" si="443"/>
        <v>26480000</v>
      </c>
      <c r="I1208" s="391">
        <f t="shared" si="443"/>
        <v>102860000</v>
      </c>
      <c r="J1208" s="391">
        <f t="shared" si="443"/>
        <v>42064623.460000001</v>
      </c>
      <c r="K1208" s="391">
        <f t="shared" si="443"/>
        <v>27771115.400000002</v>
      </c>
      <c r="L1208" s="391">
        <f t="shared" si="443"/>
        <v>21970904.759999998</v>
      </c>
      <c r="M1208" s="391">
        <f t="shared" si="443"/>
        <v>91806643.620000005</v>
      </c>
      <c r="N1208" s="391">
        <f t="shared" si="439"/>
        <v>3518376.5399999991</v>
      </c>
      <c r="O1208" s="391">
        <f t="shared" si="439"/>
        <v>3025884.5999999978</v>
      </c>
      <c r="P1208" s="391">
        <f t="shared" si="439"/>
        <v>4509095.2400000021</v>
      </c>
      <c r="Q1208" s="391">
        <f t="shared" si="440"/>
        <v>11053356.379999999</v>
      </c>
      <c r="R1208" s="101"/>
      <c r="S1208" s="254">
        <f t="shared" si="432"/>
        <v>0.9228138441963013</v>
      </c>
      <c r="T1208" s="254">
        <f t="shared" si="432"/>
        <v>0.90174742345033609</v>
      </c>
      <c r="U1208" s="254">
        <f t="shared" si="432"/>
        <v>0.82971694712990929</v>
      </c>
      <c r="V1208" s="254">
        <f t="shared" si="432"/>
        <v>0.892539797977834</v>
      </c>
      <c r="W1208" s="531"/>
      <c r="Y1208" s="256" t="s">
        <v>598</v>
      </c>
      <c r="Z1208" s="256" t="s">
        <v>598</v>
      </c>
    </row>
    <row r="1209" spans="1:26" ht="11.25" hidden="1" customHeight="1">
      <c r="A1209" s="528" t="s">
        <v>644</v>
      </c>
      <c r="B1209" s="1013" t="s">
        <v>218</v>
      </c>
      <c r="C1209" s="410"/>
      <c r="D1209" s="651"/>
      <c r="E1209" s="806" t="s">
        <v>764</v>
      </c>
      <c r="F1209" s="807"/>
      <c r="G1209" s="807"/>
      <c r="H1209" s="807"/>
      <c r="I1209" s="807"/>
      <c r="J1209" s="807"/>
      <c r="K1209" s="807"/>
      <c r="L1209" s="807"/>
      <c r="M1209" s="807"/>
      <c r="N1209" s="807">
        <f t="shared" si="439"/>
        <v>0</v>
      </c>
      <c r="O1209" s="807">
        <f t="shared" si="439"/>
        <v>0</v>
      </c>
      <c r="P1209" s="807">
        <f t="shared" si="439"/>
        <v>0</v>
      </c>
      <c r="Q1209" s="807">
        <f t="shared" si="440"/>
        <v>0</v>
      </c>
      <c r="R1209" s="276"/>
      <c r="S1209" s="730" t="str">
        <f t="shared" si="432"/>
        <v/>
      </c>
      <c r="T1209" s="730" t="str">
        <f t="shared" si="432"/>
        <v/>
      </c>
      <c r="U1209" s="730" t="str">
        <f t="shared" si="432"/>
        <v/>
      </c>
      <c r="V1209" s="730" t="str">
        <f t="shared" si="432"/>
        <v/>
      </c>
      <c r="W1209" s="531"/>
      <c r="X1209" s="236"/>
      <c r="Y1209" s="236"/>
      <c r="Z1209" s="236"/>
    </row>
    <row r="1210" spans="1:26" s="256" customFormat="1" ht="11.25" customHeight="1">
      <c r="A1210" s="528" t="s">
        <v>644</v>
      </c>
      <c r="B1210" s="528" t="s">
        <v>218</v>
      </c>
      <c r="C1210" s="389"/>
      <c r="D1210" s="650" t="s">
        <v>98</v>
      </c>
      <c r="E1210" s="390" t="s">
        <v>99</v>
      </c>
      <c r="F1210" s="391">
        <f>+F1211</f>
        <v>4361042</v>
      </c>
      <c r="G1210" s="391">
        <f t="shared" ref="G1210:M1210" si="444">+G1211</f>
        <v>0</v>
      </c>
      <c r="H1210" s="391">
        <f t="shared" si="444"/>
        <v>0</v>
      </c>
      <c r="I1210" s="391">
        <f t="shared" si="444"/>
        <v>4361042</v>
      </c>
      <c r="J1210" s="391">
        <f t="shared" si="444"/>
        <v>3891545.5799999996</v>
      </c>
      <c r="K1210" s="391">
        <f t="shared" si="444"/>
        <v>0</v>
      </c>
      <c r="L1210" s="391">
        <f t="shared" si="444"/>
        <v>0</v>
      </c>
      <c r="M1210" s="391">
        <f t="shared" si="444"/>
        <v>3891545.5799999996</v>
      </c>
      <c r="N1210" s="391">
        <f t="shared" si="439"/>
        <v>469496.42000000039</v>
      </c>
      <c r="O1210" s="391">
        <f t="shared" si="439"/>
        <v>0</v>
      </c>
      <c r="P1210" s="391">
        <f t="shared" si="439"/>
        <v>0</v>
      </c>
      <c r="Q1210" s="391">
        <f t="shared" si="440"/>
        <v>469496.42000000039</v>
      </c>
      <c r="R1210" s="101"/>
      <c r="S1210" s="254">
        <f t="shared" si="432"/>
        <v>0.892343063882439</v>
      </c>
      <c r="T1210" s="254" t="str">
        <f t="shared" si="432"/>
        <v/>
      </c>
      <c r="U1210" s="254" t="str">
        <f t="shared" si="432"/>
        <v/>
      </c>
      <c r="V1210" s="254">
        <f t="shared" si="432"/>
        <v>0.892343063882439</v>
      </c>
      <c r="W1210" s="531"/>
      <c r="Y1210" s="256" t="s">
        <v>598</v>
      </c>
      <c r="Z1210" s="256" t="s">
        <v>598</v>
      </c>
    </row>
    <row r="1211" spans="1:26" ht="11.25" customHeight="1">
      <c r="A1211" s="528" t="s">
        <v>644</v>
      </c>
      <c r="B1211" s="1013" t="s">
        <v>218</v>
      </c>
      <c r="C1211" s="728"/>
      <c r="D1211" s="649" t="s">
        <v>286</v>
      </c>
      <c r="E1211" s="729" t="s">
        <v>286</v>
      </c>
      <c r="F1211" s="103">
        <f>SUM('[3]chd 10-SAOB'!AC13)</f>
        <v>4361042</v>
      </c>
      <c r="G1211" s="103">
        <f>SUM('[3]chd 10-SAOB'!AC49)</f>
        <v>0</v>
      </c>
      <c r="H1211" s="103">
        <f>SUM('[3]chd 10-SAOB'!AC141)</f>
        <v>0</v>
      </c>
      <c r="I1211" s="103">
        <f>SUM(F1211:H1211)</f>
        <v>4361042</v>
      </c>
      <c r="J1211" s="103">
        <f>SUM('[3]chd 10-SAOB'!AC14)</f>
        <v>3891545.5799999996</v>
      </c>
      <c r="K1211" s="103">
        <f>SUM('[3]chd 10-SAOB'!AC50)</f>
        <v>0</v>
      </c>
      <c r="L1211" s="103">
        <f>SUM('[3]chd 10-SAOB'!AC142)</f>
        <v>0</v>
      </c>
      <c r="M1211" s="103">
        <f t="shared" si="420"/>
        <v>3891545.5799999996</v>
      </c>
      <c r="N1211" s="103">
        <f t="shared" si="439"/>
        <v>469496.42000000039</v>
      </c>
      <c r="O1211" s="103">
        <f t="shared" si="439"/>
        <v>0</v>
      </c>
      <c r="P1211" s="103">
        <f t="shared" si="439"/>
        <v>0</v>
      </c>
      <c r="Q1211" s="103">
        <f t="shared" si="440"/>
        <v>469496.42000000039</v>
      </c>
      <c r="S1211" s="730">
        <f t="shared" si="432"/>
        <v>0.892343063882439</v>
      </c>
      <c r="T1211" s="730" t="str">
        <f t="shared" si="432"/>
        <v/>
      </c>
      <c r="U1211" s="730" t="str">
        <f t="shared" si="432"/>
        <v/>
      </c>
      <c r="V1211" s="730">
        <f t="shared" si="432"/>
        <v>0.892343063882439</v>
      </c>
      <c r="W1211" s="531"/>
      <c r="X1211" s="236"/>
      <c r="Y1211" s="236" t="s">
        <v>598</v>
      </c>
      <c r="Z1211" s="236"/>
    </row>
    <row r="1212" spans="1:26" s="272" customFormat="1" ht="11.25" customHeight="1">
      <c r="A1212" s="528" t="s">
        <v>644</v>
      </c>
      <c r="B1212" s="528" t="s">
        <v>218</v>
      </c>
      <c r="C1212" s="389"/>
      <c r="D1212" s="650" t="s">
        <v>98</v>
      </c>
      <c r="E1212" s="390" t="s">
        <v>100</v>
      </c>
      <c r="F1212" s="391">
        <f t="shared" ref="F1212:M1212" si="445">SUM(F1213:F1217)</f>
        <v>2658792</v>
      </c>
      <c r="G1212" s="391">
        <f t="shared" si="445"/>
        <v>0</v>
      </c>
      <c r="H1212" s="391">
        <f t="shared" si="445"/>
        <v>0</v>
      </c>
      <c r="I1212" s="391">
        <f t="shared" si="445"/>
        <v>2658792</v>
      </c>
      <c r="J1212" s="391">
        <f t="shared" si="445"/>
        <v>1881782.9</v>
      </c>
      <c r="K1212" s="391">
        <f t="shared" si="445"/>
        <v>0</v>
      </c>
      <c r="L1212" s="391">
        <f t="shared" si="445"/>
        <v>0</v>
      </c>
      <c r="M1212" s="391">
        <f t="shared" si="445"/>
        <v>1881782.9</v>
      </c>
      <c r="N1212" s="391">
        <f t="shared" si="439"/>
        <v>777009.10000000009</v>
      </c>
      <c r="O1212" s="391">
        <f t="shared" si="439"/>
        <v>0</v>
      </c>
      <c r="P1212" s="391">
        <f t="shared" si="439"/>
        <v>0</v>
      </c>
      <c r="Q1212" s="391">
        <f t="shared" si="440"/>
        <v>777009.10000000009</v>
      </c>
      <c r="R1212" s="102"/>
      <c r="S1212" s="254">
        <f t="shared" si="432"/>
        <v>0.70775859864178914</v>
      </c>
      <c r="T1212" s="254" t="str">
        <f t="shared" si="432"/>
        <v/>
      </c>
      <c r="U1212" s="254" t="str">
        <f t="shared" si="432"/>
        <v/>
      </c>
      <c r="V1212" s="254">
        <f t="shared" si="432"/>
        <v>0.70775859864178914</v>
      </c>
      <c r="W1212" s="531"/>
      <c r="Y1212" s="272" t="s">
        <v>598</v>
      </c>
      <c r="Z1212" s="256" t="s">
        <v>598</v>
      </c>
    </row>
    <row r="1213" spans="1:26" ht="11.25" customHeight="1">
      <c r="A1213" s="528" t="s">
        <v>644</v>
      </c>
      <c r="B1213" s="1013" t="s">
        <v>218</v>
      </c>
      <c r="C1213" s="728"/>
      <c r="D1213" s="649" t="s">
        <v>288</v>
      </c>
      <c r="E1213" s="729" t="s">
        <v>288</v>
      </c>
      <c r="F1213" s="103">
        <f>SUM('[3]chd 10-SAOB'!AH13)</f>
        <v>1286292</v>
      </c>
      <c r="G1213" s="103">
        <f>SUM('[3]chd 10-SAOB'!AH49)</f>
        <v>0</v>
      </c>
      <c r="H1213" s="103">
        <f>SUM('[3]chd 10-SAOB'!AH141)</f>
        <v>0</v>
      </c>
      <c r="I1213" s="103">
        <f>SUM(F1213:H1213)</f>
        <v>1286292</v>
      </c>
      <c r="J1213" s="103">
        <f>SUM('[3]chd 10-SAOB'!AH14)</f>
        <v>509282.9</v>
      </c>
      <c r="K1213" s="103">
        <f>SUM('[3]chd 10-SAOB'!AH50)</f>
        <v>0</v>
      </c>
      <c r="L1213" s="103">
        <f>SUM('[3]chd 10-SAOB'!AH142)</f>
        <v>0</v>
      </c>
      <c r="M1213" s="103">
        <f t="shared" si="420"/>
        <v>509282.9</v>
      </c>
      <c r="N1213" s="103">
        <f t="shared" si="439"/>
        <v>777009.1</v>
      </c>
      <c r="O1213" s="103">
        <f t="shared" si="439"/>
        <v>0</v>
      </c>
      <c r="P1213" s="103">
        <f t="shared" si="439"/>
        <v>0</v>
      </c>
      <c r="Q1213" s="103">
        <f t="shared" si="440"/>
        <v>777009.1</v>
      </c>
      <c r="S1213" s="730">
        <f t="shared" si="432"/>
        <v>0.39593101721848539</v>
      </c>
      <c r="T1213" s="730" t="str">
        <f t="shared" si="432"/>
        <v/>
      </c>
      <c r="U1213" s="730" t="str">
        <f t="shared" si="432"/>
        <v/>
      </c>
      <c r="V1213" s="730">
        <f t="shared" si="432"/>
        <v>0.39593101721848539</v>
      </c>
      <c r="W1213" s="531"/>
      <c r="X1213" s="236"/>
      <c r="Y1213" s="236" t="s">
        <v>598</v>
      </c>
      <c r="Z1213" s="236"/>
    </row>
    <row r="1214" spans="1:26" ht="11.25" customHeight="1">
      <c r="A1214" s="528" t="s">
        <v>644</v>
      </c>
      <c r="B1214" s="1013" t="s">
        <v>218</v>
      </c>
      <c r="C1214" s="728"/>
      <c r="D1214" s="649" t="s">
        <v>761</v>
      </c>
      <c r="E1214" s="729" t="s">
        <v>761</v>
      </c>
      <c r="F1214" s="104">
        <f>+'[3]chd 10-SAOB'!C402</f>
        <v>1372500</v>
      </c>
      <c r="G1214" s="104"/>
      <c r="H1214" s="104"/>
      <c r="I1214" s="103">
        <f>SUM(F1214:H1214)</f>
        <v>1372500</v>
      </c>
      <c r="J1214" s="104">
        <f>+'[3]chd 10-SAOB'!G402</f>
        <v>1372500</v>
      </c>
      <c r="K1214" s="104"/>
      <c r="L1214" s="104"/>
      <c r="M1214" s="103">
        <f>SUM(J1214:L1214)</f>
        <v>1372500</v>
      </c>
      <c r="N1214" s="103">
        <f>+F1214-J1214</f>
        <v>0</v>
      </c>
      <c r="O1214" s="103">
        <f>+G1214-K1214</f>
        <v>0</v>
      </c>
      <c r="P1214" s="103">
        <f>+H1214-L1214</f>
        <v>0</v>
      </c>
      <c r="Q1214" s="103">
        <f>SUM(N1214:P1214)</f>
        <v>0</v>
      </c>
      <c r="S1214" s="730">
        <f t="shared" si="432"/>
        <v>1</v>
      </c>
      <c r="T1214" s="730" t="str">
        <f t="shared" si="432"/>
        <v/>
      </c>
      <c r="U1214" s="730" t="str">
        <f t="shared" si="432"/>
        <v/>
      </c>
      <c r="V1214" s="730">
        <f t="shared" si="432"/>
        <v>1</v>
      </c>
      <c r="W1214" s="531"/>
      <c r="X1214" s="236"/>
      <c r="Y1214" s="236" t="s">
        <v>688</v>
      </c>
      <c r="Z1214" s="236"/>
    </row>
    <row r="1215" spans="1:26" ht="11.25" customHeight="1">
      <c r="A1215" s="528" t="s">
        <v>644</v>
      </c>
      <c r="B1215" s="1013" t="s">
        <v>218</v>
      </c>
      <c r="C1215" s="410"/>
      <c r="D1215" s="647"/>
      <c r="E1215" s="461" t="s">
        <v>764</v>
      </c>
      <c r="F1215" s="104"/>
      <c r="G1215" s="104"/>
      <c r="H1215" s="104"/>
      <c r="I1215" s="103"/>
      <c r="J1215" s="104"/>
      <c r="K1215" s="104"/>
      <c r="L1215" s="104"/>
      <c r="M1215" s="103"/>
      <c r="N1215" s="103"/>
      <c r="O1215" s="103"/>
      <c r="P1215" s="103"/>
      <c r="Q1215" s="103"/>
      <c r="S1215" s="730" t="str">
        <f t="shared" si="432"/>
        <v/>
      </c>
      <c r="T1215" s="730" t="str">
        <f t="shared" si="432"/>
        <v/>
      </c>
      <c r="U1215" s="730" t="str">
        <f t="shared" si="432"/>
        <v/>
      </c>
      <c r="V1215" s="730" t="str">
        <f t="shared" si="432"/>
        <v/>
      </c>
      <c r="W1215" s="531"/>
      <c r="X1215" s="236"/>
      <c r="Y1215" s="236" t="s">
        <v>688</v>
      </c>
      <c r="Z1215" s="240"/>
    </row>
    <row r="1216" spans="1:26" ht="11.25" customHeight="1">
      <c r="A1216" s="528" t="s">
        <v>644</v>
      </c>
      <c r="B1216" s="1013" t="s">
        <v>218</v>
      </c>
      <c r="C1216" s="728"/>
      <c r="D1216" s="649" t="s">
        <v>289</v>
      </c>
      <c r="E1216" s="729" t="s">
        <v>289</v>
      </c>
      <c r="F1216" s="103">
        <f>SUM('[3]chd 10-SAOB'!AM13)</f>
        <v>0</v>
      </c>
      <c r="G1216" s="103">
        <f>SUM('[3]chd 10-SAOB'!AM49)</f>
        <v>0</v>
      </c>
      <c r="H1216" s="103">
        <f>SUM('[3]chd 10-SAOB'!AM141)</f>
        <v>0</v>
      </c>
      <c r="I1216" s="103">
        <f>SUM(F1216:H1216)</f>
        <v>0</v>
      </c>
      <c r="J1216" s="103">
        <f>SUM('[3]chd 10-SAOB'!AM14)</f>
        <v>0</v>
      </c>
      <c r="K1216" s="103">
        <f>SUM('[3]chd 10-SAOB'!AM50)</f>
        <v>0</v>
      </c>
      <c r="L1216" s="103">
        <f>SUM('[3]chd 10-SAOB'!AM142)</f>
        <v>0</v>
      </c>
      <c r="M1216" s="103">
        <f t="shared" si="420"/>
        <v>0</v>
      </c>
      <c r="N1216" s="103">
        <f t="shared" si="439"/>
        <v>0</v>
      </c>
      <c r="O1216" s="103">
        <f t="shared" si="439"/>
        <v>0</v>
      </c>
      <c r="P1216" s="103">
        <f t="shared" si="439"/>
        <v>0</v>
      </c>
      <c r="Q1216" s="103">
        <f t="shared" si="440"/>
        <v>0</v>
      </c>
      <c r="S1216" s="730" t="str">
        <f t="shared" si="432"/>
        <v/>
      </c>
      <c r="T1216" s="730" t="str">
        <f t="shared" si="432"/>
        <v/>
      </c>
      <c r="U1216" s="730" t="str">
        <f t="shared" si="432"/>
        <v/>
      </c>
      <c r="V1216" s="730" t="str">
        <f t="shared" si="432"/>
        <v/>
      </c>
      <c r="W1216" s="531"/>
      <c r="X1216" s="236"/>
      <c r="Y1216" s="236" t="s">
        <v>598</v>
      </c>
      <c r="Z1216" s="236"/>
    </row>
    <row r="1217" spans="1:26" ht="11.25" customHeight="1">
      <c r="A1217" s="528" t="s">
        <v>644</v>
      </c>
      <c r="B1217" s="1013" t="s">
        <v>218</v>
      </c>
      <c r="C1217" s="728"/>
      <c r="D1217" s="649" t="s">
        <v>290</v>
      </c>
      <c r="E1217" s="729" t="s">
        <v>290</v>
      </c>
      <c r="F1217" s="103">
        <f>SUM('[3]chd 10-SAOB'!AR13)</f>
        <v>0</v>
      </c>
      <c r="G1217" s="103">
        <f>SUM('[3]chd 10-SAOB'!AR49)</f>
        <v>0</v>
      </c>
      <c r="H1217" s="103">
        <f>SUM('[3]chd 10-SAOB'!AR141)</f>
        <v>0</v>
      </c>
      <c r="I1217" s="103">
        <f>SUM(F1217:H1217)</f>
        <v>0</v>
      </c>
      <c r="J1217" s="103">
        <f>SUM('[3]chd 10-SAOB'!AR14)</f>
        <v>0</v>
      </c>
      <c r="K1217" s="103">
        <f>SUM('[3]chd 10-SAOB'!AR50)</f>
        <v>0</v>
      </c>
      <c r="L1217" s="103">
        <f>SUM('[3]chd 10-SAOB'!AR142)</f>
        <v>0</v>
      </c>
      <c r="M1217" s="103">
        <f t="shared" si="420"/>
        <v>0</v>
      </c>
      <c r="N1217" s="103">
        <f t="shared" si="439"/>
        <v>0</v>
      </c>
      <c r="O1217" s="103">
        <f t="shared" si="439"/>
        <v>0</v>
      </c>
      <c r="P1217" s="103">
        <f t="shared" si="439"/>
        <v>0</v>
      </c>
      <c r="Q1217" s="103">
        <f t="shared" si="440"/>
        <v>0</v>
      </c>
      <c r="S1217" s="730" t="str">
        <f t="shared" si="432"/>
        <v/>
      </c>
      <c r="T1217" s="730" t="str">
        <f t="shared" si="432"/>
        <v/>
      </c>
      <c r="U1217" s="730" t="str">
        <f t="shared" si="432"/>
        <v/>
      </c>
      <c r="V1217" s="730" t="str">
        <f t="shared" si="432"/>
        <v/>
      </c>
      <c r="W1217" s="531"/>
      <c r="X1217" s="236"/>
      <c r="Y1217" s="236" t="s">
        <v>598</v>
      </c>
      <c r="Z1217" s="236"/>
    </row>
    <row r="1218" spans="1:26" s="259" customFormat="1" ht="11.25" customHeight="1">
      <c r="A1218" s="246" t="s">
        <v>644</v>
      </c>
      <c r="B1218" s="235" t="s">
        <v>218</v>
      </c>
      <c r="C1218" s="656"/>
      <c r="D1218" s="656"/>
      <c r="E1218" s="657" t="s">
        <v>4</v>
      </c>
      <c r="F1218" s="652">
        <f>+F1208+F1210+F1212</f>
        <v>52602834</v>
      </c>
      <c r="G1218" s="652">
        <f t="shared" ref="G1218:M1218" si="446">+G1208+G1210+G1212</f>
        <v>30797000</v>
      </c>
      <c r="H1218" s="652">
        <f t="shared" si="446"/>
        <v>26480000</v>
      </c>
      <c r="I1218" s="652">
        <f t="shared" si="446"/>
        <v>109879834</v>
      </c>
      <c r="J1218" s="652">
        <f t="shared" si="446"/>
        <v>47837951.939999998</v>
      </c>
      <c r="K1218" s="652">
        <f t="shared" si="446"/>
        <v>27771115.400000002</v>
      </c>
      <c r="L1218" s="652">
        <f t="shared" si="446"/>
        <v>21970904.759999998</v>
      </c>
      <c r="M1218" s="652">
        <f t="shared" si="446"/>
        <v>97579972.100000009</v>
      </c>
      <c r="N1218" s="652">
        <f t="shared" si="439"/>
        <v>4764882.0600000024</v>
      </c>
      <c r="O1218" s="652">
        <f t="shared" si="439"/>
        <v>3025884.5999999978</v>
      </c>
      <c r="P1218" s="652">
        <f t="shared" si="439"/>
        <v>4509095.2400000021</v>
      </c>
      <c r="Q1218" s="652">
        <f t="shared" si="440"/>
        <v>12299861.900000002</v>
      </c>
      <c r="R1218" s="653">
        <f>+Q1218-'[3]chd 10-SAOB'!BP178</f>
        <v>0</v>
      </c>
      <c r="S1218" s="1008">
        <f t="shared" si="432"/>
        <v>0.90941776901221705</v>
      </c>
      <c r="T1218" s="1008">
        <f t="shared" si="432"/>
        <v>0.90174742345033609</v>
      </c>
      <c r="U1218" s="1008">
        <f t="shared" si="432"/>
        <v>0.82971694712990929</v>
      </c>
      <c r="V1218" s="1008">
        <f t="shared" si="432"/>
        <v>0.8880607892072353</v>
      </c>
      <c r="W1218" s="254"/>
      <c r="X1218" s="520"/>
      <c r="Y1218" s="610" t="s">
        <v>598</v>
      </c>
      <c r="Z1218" s="241" t="s">
        <v>598</v>
      </c>
    </row>
    <row r="1219" spans="1:26" s="660" customFormat="1" ht="25.5" hidden="1" customHeight="1">
      <c r="A1219" s="246" t="s">
        <v>644</v>
      </c>
      <c r="B1219" s="1009" t="s">
        <v>218</v>
      </c>
      <c r="C1219" s="1428" t="s">
        <v>643</v>
      </c>
      <c r="D1219" s="1429"/>
      <c r="E1219" s="1430"/>
      <c r="F1219" s="659">
        <f>+F1188+F1203+F1218</f>
        <v>318500046.60000002</v>
      </c>
      <c r="G1219" s="659">
        <f>+G1188+G1203+G1218</f>
        <v>188141000</v>
      </c>
      <c r="H1219" s="659">
        <f>+H1188+H1203+H1218</f>
        <v>311480000</v>
      </c>
      <c r="I1219" s="659">
        <f>SUM(F1219:H1219)</f>
        <v>818121046.60000002</v>
      </c>
      <c r="J1219" s="659">
        <f>+J1188+J1203+J1218</f>
        <v>295466701.41000003</v>
      </c>
      <c r="K1219" s="659">
        <f>+K1188+K1203+K1218</f>
        <v>162691226.58999997</v>
      </c>
      <c r="L1219" s="659">
        <f>+L1188+L1203+L1218</f>
        <v>165013868.06</v>
      </c>
      <c r="M1219" s="659">
        <f t="shared" si="420"/>
        <v>623171796.05999994</v>
      </c>
      <c r="N1219" s="659">
        <f t="shared" si="439"/>
        <v>23033345.189999998</v>
      </c>
      <c r="O1219" s="659">
        <f t="shared" si="439"/>
        <v>25449773.410000026</v>
      </c>
      <c r="P1219" s="659">
        <f t="shared" si="439"/>
        <v>146466131.94</v>
      </c>
      <c r="Q1219" s="659">
        <f t="shared" si="440"/>
        <v>194949250.54000002</v>
      </c>
      <c r="R1219" s="678"/>
      <c r="S1219" s="1015">
        <f t="shared" si="432"/>
        <v>0.92768181532190708</v>
      </c>
      <c r="T1219" s="1015">
        <f t="shared" si="432"/>
        <v>0.8647303171025984</v>
      </c>
      <c r="U1219" s="1015">
        <f t="shared" si="432"/>
        <v>0.52977355868755616</v>
      </c>
      <c r="V1219" s="1015">
        <f t="shared" si="432"/>
        <v>0.76171099454025448</v>
      </c>
      <c r="W1219" s="254"/>
    </row>
    <row r="1220" spans="1:26" ht="11.25" hidden="1" customHeight="1">
      <c r="A1220" s="246" t="s">
        <v>644</v>
      </c>
      <c r="B1220" s="235" t="s">
        <v>645</v>
      </c>
      <c r="C1220" s="1016"/>
      <c r="D1220" s="396"/>
      <c r="E1220" s="806"/>
      <c r="F1220" s="103"/>
      <c r="G1220" s="103"/>
      <c r="H1220" s="103"/>
      <c r="I1220" s="103">
        <f>SUM(F1220:H1220)</f>
        <v>0</v>
      </c>
      <c r="J1220" s="103"/>
      <c r="K1220" s="103"/>
      <c r="L1220" s="103"/>
      <c r="M1220" s="103">
        <f t="shared" si="420"/>
        <v>0</v>
      </c>
      <c r="N1220" s="103">
        <f t="shared" si="439"/>
        <v>0</v>
      </c>
      <c r="O1220" s="103">
        <f t="shared" si="439"/>
        <v>0</v>
      </c>
      <c r="P1220" s="103">
        <f t="shared" si="439"/>
        <v>0</v>
      </c>
      <c r="Q1220" s="103">
        <f t="shared" si="440"/>
        <v>0</v>
      </c>
      <c r="R1220" s="236"/>
      <c r="S1220" s="730" t="str">
        <f t="shared" si="432"/>
        <v/>
      </c>
      <c r="T1220" s="730" t="str">
        <f t="shared" si="432"/>
        <v/>
      </c>
      <c r="U1220" s="730" t="str">
        <f t="shared" si="432"/>
        <v/>
      </c>
      <c r="V1220" s="730" t="str">
        <f t="shared" si="432"/>
        <v/>
      </c>
      <c r="W1220" s="254"/>
      <c r="X1220" s="520" t="s">
        <v>598</v>
      </c>
      <c r="Z1220" s="241"/>
    </row>
    <row r="1221" spans="1:26" s="275" customFormat="1" ht="11.25" hidden="1" customHeight="1">
      <c r="A1221" s="246" t="s">
        <v>644</v>
      </c>
      <c r="B1221" s="246" t="s">
        <v>645</v>
      </c>
      <c r="C1221" s="407" t="s">
        <v>840</v>
      </c>
      <c r="D1221" s="407"/>
      <c r="E1221" s="408"/>
      <c r="F1221" s="409"/>
      <c r="G1221" s="409"/>
      <c r="H1221" s="409"/>
      <c r="I1221" s="409">
        <f>SUM(F1221:H1221)</f>
        <v>0</v>
      </c>
      <c r="J1221" s="409"/>
      <c r="K1221" s="409"/>
      <c r="L1221" s="409"/>
      <c r="M1221" s="409">
        <f t="shared" si="420"/>
        <v>0</v>
      </c>
      <c r="N1221" s="409">
        <f t="shared" si="439"/>
        <v>0</v>
      </c>
      <c r="O1221" s="409">
        <f t="shared" si="439"/>
        <v>0</v>
      </c>
      <c r="P1221" s="409">
        <f t="shared" si="439"/>
        <v>0</v>
      </c>
      <c r="Q1221" s="409">
        <f t="shared" si="440"/>
        <v>0</v>
      </c>
      <c r="R1221" s="522"/>
      <c r="S1221" s="254" t="str">
        <f t="shared" si="432"/>
        <v/>
      </c>
      <c r="T1221" s="254" t="str">
        <f t="shared" si="432"/>
        <v/>
      </c>
      <c r="U1221" s="254" t="str">
        <f t="shared" si="432"/>
        <v/>
      </c>
      <c r="V1221" s="1002" t="str">
        <f t="shared" si="432"/>
        <v/>
      </c>
      <c r="W1221" s="254"/>
      <c r="X1221" s="274" t="s">
        <v>598</v>
      </c>
      <c r="Y1221" s="663"/>
      <c r="Z1221" s="253"/>
    </row>
    <row r="1222" spans="1:26" ht="11.25" hidden="1" customHeight="1">
      <c r="A1222" s="246" t="s">
        <v>644</v>
      </c>
      <c r="B1222" s="235" t="s">
        <v>645</v>
      </c>
      <c r="C1222" s="461"/>
      <c r="D1222" s="664" t="s">
        <v>766</v>
      </c>
      <c r="E1222" s="447" t="s">
        <v>766</v>
      </c>
      <c r="F1222" s="103">
        <f>+F1157+F1176+F1191+F1206</f>
        <v>370281000</v>
      </c>
      <c r="G1222" s="103">
        <f>+G1157+G1176+G1191+G1206</f>
        <v>304245000</v>
      </c>
      <c r="H1222" s="103">
        <f>+H1157+H1176+H1191+H1206</f>
        <v>0</v>
      </c>
      <c r="I1222" s="103">
        <f>SUM(F1222:H1222)</f>
        <v>674526000</v>
      </c>
      <c r="J1222" s="103">
        <f>+J1157+J1176+J1191+J1206</f>
        <v>342464431.40000004</v>
      </c>
      <c r="K1222" s="103">
        <f>+K1157+K1176+K1191+K1206</f>
        <v>236822968.73999998</v>
      </c>
      <c r="L1222" s="103">
        <f>+L1157+L1176+L1191+L1206</f>
        <v>0</v>
      </c>
      <c r="M1222" s="103">
        <f t="shared" si="420"/>
        <v>579287400.13999999</v>
      </c>
      <c r="N1222" s="103">
        <f t="shared" si="439"/>
        <v>27816568.599999964</v>
      </c>
      <c r="O1222" s="103">
        <f t="shared" si="439"/>
        <v>67422031.26000002</v>
      </c>
      <c r="P1222" s="103">
        <f t="shared" si="439"/>
        <v>0</v>
      </c>
      <c r="Q1222" s="103">
        <f t="shared" si="440"/>
        <v>95238599.859999985</v>
      </c>
      <c r="R1222" s="236"/>
      <c r="S1222" s="730">
        <f t="shared" si="432"/>
        <v>0.92487713763331103</v>
      </c>
      <c r="T1222" s="730">
        <f t="shared" si="432"/>
        <v>0.77839559808706793</v>
      </c>
      <c r="U1222" s="730" t="str">
        <f t="shared" si="432"/>
        <v/>
      </c>
      <c r="V1222" s="730">
        <f t="shared" si="432"/>
        <v>0.85880662886234183</v>
      </c>
      <c r="W1222" s="254"/>
      <c r="X1222" s="237" t="s">
        <v>598</v>
      </c>
    </row>
    <row r="1223" spans="1:26" ht="11.25" hidden="1" customHeight="1">
      <c r="A1223" s="246" t="s">
        <v>644</v>
      </c>
      <c r="B1223" s="235" t="s">
        <v>645</v>
      </c>
      <c r="C1223" s="728"/>
      <c r="D1223" s="394" t="s">
        <v>50</v>
      </c>
      <c r="E1223" s="447" t="s">
        <v>50</v>
      </c>
      <c r="F1223" s="103">
        <f>+F1161+F1177+F1192+F1207</f>
        <v>0</v>
      </c>
      <c r="G1223" s="103">
        <f>+G1161+G1177+G1192+G1207</f>
        <v>214241681.66</v>
      </c>
      <c r="H1223" s="103">
        <f>+H1161+H1177+H1192+H1207</f>
        <v>367765968</v>
      </c>
      <c r="I1223" s="103">
        <f>SUM(F1223:H1223)</f>
        <v>582007649.65999997</v>
      </c>
      <c r="J1223" s="103">
        <f>+J1161+J1177+J1192+J1207</f>
        <v>0</v>
      </c>
      <c r="K1223" s="103">
        <f>+K1161+K1177+K1192+K1207</f>
        <v>150138349.23999998</v>
      </c>
      <c r="L1223" s="103">
        <f>+L1161+L1177+L1192+L1207</f>
        <v>217026257.72999999</v>
      </c>
      <c r="M1223" s="103">
        <f>SUM(J1223:L1223)</f>
        <v>367164606.96999997</v>
      </c>
      <c r="N1223" s="103">
        <f t="shared" si="439"/>
        <v>0</v>
      </c>
      <c r="O1223" s="103">
        <f t="shared" si="439"/>
        <v>64103332.420000017</v>
      </c>
      <c r="P1223" s="103">
        <f t="shared" si="439"/>
        <v>150739710.27000001</v>
      </c>
      <c r="Q1223" s="103">
        <f t="shared" si="440"/>
        <v>214843042.69000003</v>
      </c>
      <c r="R1223" s="236"/>
      <c r="S1223" s="730" t="str">
        <f t="shared" si="432"/>
        <v/>
      </c>
      <c r="T1223" s="730">
        <f t="shared" si="432"/>
        <v>0.70078963195531885</v>
      </c>
      <c r="U1223" s="730">
        <f t="shared" si="432"/>
        <v>0.59012055658722606</v>
      </c>
      <c r="V1223" s="730">
        <f t="shared" si="432"/>
        <v>0.63085873043849505</v>
      </c>
      <c r="W1223" s="254"/>
      <c r="X1223" s="237" t="s">
        <v>598</v>
      </c>
    </row>
    <row r="1224" spans="1:26" s="256" customFormat="1" ht="11.25" hidden="1" customHeight="1">
      <c r="A1224" s="246" t="s">
        <v>644</v>
      </c>
      <c r="B1224" s="246" t="s">
        <v>645</v>
      </c>
      <c r="C1224" s="389"/>
      <c r="D1224" s="389" t="s">
        <v>98</v>
      </c>
      <c r="E1224" s="390" t="s">
        <v>767</v>
      </c>
      <c r="F1224" s="391">
        <f>+F1222+F1223</f>
        <v>370281000</v>
      </c>
      <c r="G1224" s="391">
        <f t="shared" ref="G1224:M1224" si="447">+G1222+G1223</f>
        <v>518486681.65999997</v>
      </c>
      <c r="H1224" s="391">
        <f t="shared" si="447"/>
        <v>367765968</v>
      </c>
      <c r="I1224" s="391">
        <f t="shared" si="447"/>
        <v>1256533649.6599998</v>
      </c>
      <c r="J1224" s="391">
        <f t="shared" si="447"/>
        <v>342464431.40000004</v>
      </c>
      <c r="K1224" s="391">
        <f t="shared" si="447"/>
        <v>386961317.97999996</v>
      </c>
      <c r="L1224" s="391">
        <f t="shared" si="447"/>
        <v>217026257.72999999</v>
      </c>
      <c r="M1224" s="391">
        <f t="shared" si="447"/>
        <v>946452007.1099999</v>
      </c>
      <c r="N1224" s="391">
        <f t="shared" si="439"/>
        <v>27816568.599999964</v>
      </c>
      <c r="O1224" s="391">
        <f t="shared" si="439"/>
        <v>131525363.68000001</v>
      </c>
      <c r="P1224" s="391">
        <f t="shared" si="439"/>
        <v>150739710.27000001</v>
      </c>
      <c r="Q1224" s="391">
        <f t="shared" si="440"/>
        <v>310081642.54999995</v>
      </c>
      <c r="R1224" s="665"/>
      <c r="S1224" s="254">
        <f t="shared" si="432"/>
        <v>0.92487713763331103</v>
      </c>
      <c r="T1224" s="254">
        <f t="shared" si="432"/>
        <v>0.74632836612330122</v>
      </c>
      <c r="U1224" s="254">
        <f t="shared" si="432"/>
        <v>0.59012055658722606</v>
      </c>
      <c r="V1224" s="297">
        <f t="shared" si="432"/>
        <v>0.75322456136856852</v>
      </c>
      <c r="W1224" s="254"/>
      <c r="X1224" s="271" t="s">
        <v>598</v>
      </c>
      <c r="Y1224" s="628"/>
      <c r="Z1224" s="255"/>
    </row>
    <row r="1225" spans="1:26" ht="11.25" hidden="1" customHeight="1">
      <c r="A1225" s="246" t="s">
        <v>644</v>
      </c>
      <c r="B1225" s="235" t="s">
        <v>645</v>
      </c>
      <c r="C1225" s="410"/>
      <c r="D1225" s="396"/>
      <c r="E1225" s="806"/>
      <c r="F1225" s="807"/>
      <c r="G1225" s="807"/>
      <c r="H1225" s="807"/>
      <c r="I1225" s="807"/>
      <c r="J1225" s="807"/>
      <c r="K1225" s="807"/>
      <c r="L1225" s="807"/>
      <c r="M1225" s="807"/>
      <c r="N1225" s="807">
        <f t="shared" si="439"/>
        <v>0</v>
      </c>
      <c r="O1225" s="807">
        <f t="shared" si="439"/>
        <v>0</v>
      </c>
      <c r="P1225" s="807">
        <f t="shared" si="439"/>
        <v>0</v>
      </c>
      <c r="Q1225" s="807">
        <f t="shared" si="440"/>
        <v>0</v>
      </c>
      <c r="R1225" s="276"/>
      <c r="S1225" s="730" t="str">
        <f t="shared" si="432"/>
        <v/>
      </c>
      <c r="T1225" s="730" t="str">
        <f t="shared" si="432"/>
        <v/>
      </c>
      <c r="U1225" s="730" t="str">
        <f t="shared" si="432"/>
        <v/>
      </c>
      <c r="V1225" s="730" t="str">
        <f t="shared" si="432"/>
        <v/>
      </c>
      <c r="W1225" s="254"/>
      <c r="X1225" s="237" t="s">
        <v>598</v>
      </c>
    </row>
    <row r="1226" spans="1:26" s="256" customFormat="1" ht="11.25" hidden="1" customHeight="1">
      <c r="A1226" s="246" t="s">
        <v>644</v>
      </c>
      <c r="B1226" s="246" t="s">
        <v>645</v>
      </c>
      <c r="C1226" s="389"/>
      <c r="D1226" s="389" t="s">
        <v>98</v>
      </c>
      <c r="E1226" s="390" t="s">
        <v>99</v>
      </c>
      <c r="F1226" s="391">
        <f>+F1227</f>
        <v>34302042</v>
      </c>
      <c r="G1226" s="391">
        <f t="shared" ref="G1226:M1226" si="448">+G1227</f>
        <v>0</v>
      </c>
      <c r="H1226" s="391">
        <f t="shared" si="448"/>
        <v>0</v>
      </c>
      <c r="I1226" s="391">
        <f t="shared" si="448"/>
        <v>34302042</v>
      </c>
      <c r="J1226" s="391">
        <f t="shared" si="448"/>
        <v>30027106.819999997</v>
      </c>
      <c r="K1226" s="391">
        <f t="shared" si="448"/>
        <v>0</v>
      </c>
      <c r="L1226" s="391">
        <f t="shared" si="448"/>
        <v>0</v>
      </c>
      <c r="M1226" s="391">
        <f t="shared" si="448"/>
        <v>30027106.819999997</v>
      </c>
      <c r="N1226" s="391">
        <f t="shared" si="439"/>
        <v>4274935.1800000034</v>
      </c>
      <c r="O1226" s="391">
        <f t="shared" si="439"/>
        <v>0</v>
      </c>
      <c r="P1226" s="391">
        <f t="shared" si="439"/>
        <v>0</v>
      </c>
      <c r="Q1226" s="391">
        <f t="shared" si="440"/>
        <v>4274935.1800000034</v>
      </c>
      <c r="R1226" s="522"/>
      <c r="S1226" s="254">
        <f t="shared" si="432"/>
        <v>0.87537374072365715</v>
      </c>
      <c r="T1226" s="254" t="str">
        <f t="shared" si="432"/>
        <v/>
      </c>
      <c r="U1226" s="254" t="str">
        <f t="shared" si="432"/>
        <v/>
      </c>
      <c r="V1226" s="297">
        <f t="shared" si="432"/>
        <v>0.87537374072365715</v>
      </c>
      <c r="W1226" s="254"/>
      <c r="X1226" s="271" t="s">
        <v>598</v>
      </c>
      <c r="Y1226" s="628"/>
      <c r="Z1226" s="255"/>
    </row>
    <row r="1227" spans="1:26" ht="11.25" hidden="1" customHeight="1">
      <c r="A1227" s="246" t="s">
        <v>644</v>
      </c>
      <c r="B1227" s="235" t="s">
        <v>645</v>
      </c>
      <c r="C1227" s="728"/>
      <c r="D1227" s="394" t="s">
        <v>286</v>
      </c>
      <c r="E1227" s="729" t="s">
        <v>286</v>
      </c>
      <c r="F1227" s="103">
        <f>+F1165+F1181+F1196+F1211</f>
        <v>34302042</v>
      </c>
      <c r="G1227" s="103">
        <f>+G1165+G1181+G1196+G1211</f>
        <v>0</v>
      </c>
      <c r="H1227" s="103">
        <f>+H1165+H1181+H1196+H1211</f>
        <v>0</v>
      </c>
      <c r="I1227" s="103">
        <f>SUM(F1227:H1227)</f>
        <v>34302042</v>
      </c>
      <c r="J1227" s="103">
        <f>+J1165+J1181+J1196+J1211</f>
        <v>30027106.819999997</v>
      </c>
      <c r="K1227" s="103">
        <f>+K1165+K1181+K1196+K1211</f>
        <v>0</v>
      </c>
      <c r="L1227" s="103">
        <f>+L1165+L1181+L1196+L1211</f>
        <v>0</v>
      </c>
      <c r="M1227" s="103">
        <f t="shared" si="420"/>
        <v>30027106.819999997</v>
      </c>
      <c r="N1227" s="103">
        <f t="shared" si="439"/>
        <v>4274935.1800000034</v>
      </c>
      <c r="O1227" s="103">
        <f t="shared" si="439"/>
        <v>0</v>
      </c>
      <c r="P1227" s="103">
        <f t="shared" si="439"/>
        <v>0</v>
      </c>
      <c r="Q1227" s="103">
        <f t="shared" si="440"/>
        <v>4274935.1800000034</v>
      </c>
      <c r="R1227" s="236"/>
      <c r="S1227" s="730">
        <f t="shared" si="432"/>
        <v>0.87537374072365715</v>
      </c>
      <c r="T1227" s="730" t="str">
        <f t="shared" si="432"/>
        <v/>
      </c>
      <c r="U1227" s="730" t="str">
        <f t="shared" si="432"/>
        <v/>
      </c>
      <c r="V1227" s="730">
        <f t="shared" si="432"/>
        <v>0.87537374072365715</v>
      </c>
      <c r="W1227" s="254"/>
      <c r="X1227" s="237" t="s">
        <v>598</v>
      </c>
    </row>
    <row r="1228" spans="1:26" s="272" customFormat="1" ht="11.25" hidden="1" customHeight="1">
      <c r="A1228" s="246" t="s">
        <v>644</v>
      </c>
      <c r="B1228" s="246" t="s">
        <v>645</v>
      </c>
      <c r="C1228" s="389"/>
      <c r="D1228" s="389" t="s">
        <v>98</v>
      </c>
      <c r="E1228" s="390" t="s">
        <v>100</v>
      </c>
      <c r="F1228" s="391">
        <f t="shared" ref="F1228:M1228" si="449">SUM(F1229:F1233)</f>
        <v>16081504.6</v>
      </c>
      <c r="G1228" s="391">
        <f t="shared" si="449"/>
        <v>5450000</v>
      </c>
      <c r="H1228" s="391">
        <f t="shared" si="449"/>
        <v>0</v>
      </c>
      <c r="I1228" s="391">
        <f t="shared" si="449"/>
        <v>21531504.600000001</v>
      </c>
      <c r="J1228" s="391">
        <f t="shared" si="449"/>
        <v>14908492.310000001</v>
      </c>
      <c r="K1228" s="391">
        <f t="shared" si="449"/>
        <v>3774692.2199999997</v>
      </c>
      <c r="L1228" s="391">
        <f t="shared" si="449"/>
        <v>0</v>
      </c>
      <c r="M1228" s="391">
        <f t="shared" si="449"/>
        <v>18683184.530000001</v>
      </c>
      <c r="N1228" s="391">
        <f t="shared" si="439"/>
        <v>1173012.2899999991</v>
      </c>
      <c r="O1228" s="391">
        <f t="shared" si="439"/>
        <v>1675307.7800000003</v>
      </c>
      <c r="P1228" s="391">
        <f t="shared" si="439"/>
        <v>0</v>
      </c>
      <c r="Q1228" s="391">
        <f t="shared" si="440"/>
        <v>2848320.0699999994</v>
      </c>
      <c r="R1228" s="94"/>
      <c r="S1228" s="254">
        <f t="shared" si="432"/>
        <v>0.92705829963198849</v>
      </c>
      <c r="T1228" s="254">
        <f t="shared" si="432"/>
        <v>0.69260407706422011</v>
      </c>
      <c r="U1228" s="254" t="str">
        <f t="shared" si="432"/>
        <v/>
      </c>
      <c r="V1228" s="297">
        <f t="shared" si="432"/>
        <v>0.86771383965428961</v>
      </c>
      <c r="W1228" s="254"/>
      <c r="X1228" s="527" t="s">
        <v>598</v>
      </c>
      <c r="Y1228" s="629"/>
      <c r="Z1228" s="277"/>
    </row>
    <row r="1229" spans="1:26" ht="11.25" hidden="1" customHeight="1">
      <c r="A1229" s="246" t="s">
        <v>644</v>
      </c>
      <c r="B1229" s="235" t="s">
        <v>645</v>
      </c>
      <c r="C1229" s="728"/>
      <c r="D1229" s="394" t="s">
        <v>288</v>
      </c>
      <c r="E1229" s="729" t="s">
        <v>288</v>
      </c>
      <c r="F1229" s="103">
        <f t="shared" ref="F1229:H1230" si="450">+F1167+F1183+F1198+F1213</f>
        <v>1325901.6000000001</v>
      </c>
      <c r="G1229" s="103">
        <f t="shared" si="450"/>
        <v>0</v>
      </c>
      <c r="H1229" s="103">
        <f t="shared" si="450"/>
        <v>0</v>
      </c>
      <c r="I1229" s="103">
        <f>SUM(F1229:H1229)</f>
        <v>1325901.6000000001</v>
      </c>
      <c r="J1229" s="103">
        <f t="shared" ref="J1229:L1230" si="451">+J1167+J1183+J1198+J1213</f>
        <v>548892.5</v>
      </c>
      <c r="K1229" s="103">
        <f t="shared" si="451"/>
        <v>0</v>
      </c>
      <c r="L1229" s="103">
        <f t="shared" si="451"/>
        <v>0</v>
      </c>
      <c r="M1229" s="103">
        <f t="shared" si="420"/>
        <v>548892.5</v>
      </c>
      <c r="N1229" s="103">
        <f t="shared" si="439"/>
        <v>777009.10000000009</v>
      </c>
      <c r="O1229" s="103">
        <f t="shared" si="439"/>
        <v>0</v>
      </c>
      <c r="P1229" s="103">
        <f t="shared" si="439"/>
        <v>0</v>
      </c>
      <c r="Q1229" s="103">
        <f t="shared" si="440"/>
        <v>777009.10000000009</v>
      </c>
      <c r="R1229" s="236"/>
      <c r="S1229" s="730">
        <f t="shared" si="432"/>
        <v>0.41397679888160627</v>
      </c>
      <c r="T1229" s="730" t="str">
        <f t="shared" si="432"/>
        <v/>
      </c>
      <c r="U1229" s="730" t="str">
        <f t="shared" si="432"/>
        <v/>
      </c>
      <c r="V1229" s="730">
        <f t="shared" si="432"/>
        <v>0.41397679888160627</v>
      </c>
      <c r="W1229" s="254"/>
      <c r="X1229" s="237" t="s">
        <v>598</v>
      </c>
    </row>
    <row r="1230" spans="1:26" ht="11.25" hidden="1" customHeight="1">
      <c r="A1230" s="246" t="s">
        <v>644</v>
      </c>
      <c r="B1230" s="235" t="s">
        <v>645</v>
      </c>
      <c r="C1230" s="728"/>
      <c r="D1230" s="394" t="s">
        <v>761</v>
      </c>
      <c r="E1230" s="729" t="s">
        <v>761</v>
      </c>
      <c r="F1230" s="103">
        <f t="shared" si="450"/>
        <v>11966000</v>
      </c>
      <c r="G1230" s="103">
        <f t="shared" si="450"/>
        <v>0</v>
      </c>
      <c r="H1230" s="103">
        <f t="shared" si="450"/>
        <v>0</v>
      </c>
      <c r="I1230" s="103">
        <f>SUM(F1230:H1230)</f>
        <v>11966000</v>
      </c>
      <c r="J1230" s="103">
        <f t="shared" si="451"/>
        <v>11570000</v>
      </c>
      <c r="K1230" s="103">
        <f t="shared" si="451"/>
        <v>0</v>
      </c>
      <c r="L1230" s="103">
        <f t="shared" si="451"/>
        <v>0</v>
      </c>
      <c r="M1230" s="103">
        <f t="shared" si="420"/>
        <v>11570000</v>
      </c>
      <c r="N1230" s="103">
        <f t="shared" si="439"/>
        <v>396000</v>
      </c>
      <c r="O1230" s="103">
        <f t="shared" si="439"/>
        <v>0</v>
      </c>
      <c r="P1230" s="103">
        <f t="shared" si="439"/>
        <v>0</v>
      </c>
      <c r="Q1230" s="103">
        <f>SUM(N1230:P1230)</f>
        <v>396000</v>
      </c>
      <c r="R1230" s="236"/>
      <c r="S1230" s="730">
        <f t="shared" si="432"/>
        <v>0.96690623433060341</v>
      </c>
      <c r="T1230" s="730" t="str">
        <f t="shared" si="432"/>
        <v/>
      </c>
      <c r="U1230" s="730" t="str">
        <f t="shared" si="432"/>
        <v/>
      </c>
      <c r="V1230" s="730">
        <f t="shared" si="432"/>
        <v>0.96690623433060341</v>
      </c>
      <c r="W1230" s="254"/>
      <c r="X1230" s="237" t="s">
        <v>598</v>
      </c>
    </row>
    <row r="1231" spans="1:26" ht="11.25" hidden="1" customHeight="1">
      <c r="A1231" s="246" t="s">
        <v>644</v>
      </c>
      <c r="B1231" s="235" t="s">
        <v>645</v>
      </c>
      <c r="C1231" s="410"/>
      <c r="D1231" s="386"/>
      <c r="E1231" s="461"/>
      <c r="F1231" s="104"/>
      <c r="G1231" s="104"/>
      <c r="H1231" s="104"/>
      <c r="I1231" s="103"/>
      <c r="J1231" s="104"/>
      <c r="K1231" s="104"/>
      <c r="L1231" s="104"/>
      <c r="M1231" s="103"/>
      <c r="N1231" s="103"/>
      <c r="O1231" s="103"/>
      <c r="P1231" s="103"/>
      <c r="Q1231" s="103"/>
      <c r="R1231" s="236"/>
      <c r="S1231" s="730" t="str">
        <f t="shared" si="432"/>
        <v/>
      </c>
      <c r="T1231" s="730" t="str">
        <f t="shared" si="432"/>
        <v/>
      </c>
      <c r="U1231" s="730" t="str">
        <f t="shared" si="432"/>
        <v/>
      </c>
      <c r="V1231" s="730" t="str">
        <f t="shared" si="432"/>
        <v/>
      </c>
      <c r="W1231" s="254"/>
      <c r="X1231" s="237" t="s">
        <v>598</v>
      </c>
    </row>
    <row r="1232" spans="1:26" ht="11.25" hidden="1" customHeight="1">
      <c r="A1232" s="246" t="s">
        <v>644</v>
      </c>
      <c r="B1232" s="235" t="s">
        <v>645</v>
      </c>
      <c r="C1232" s="728"/>
      <c r="D1232" s="394" t="s">
        <v>289</v>
      </c>
      <c r="E1232" s="729" t="s">
        <v>289</v>
      </c>
      <c r="F1232" s="103">
        <f t="shared" ref="F1232:H1233" si="452">+F1170+F1186+F1201+F1216</f>
        <v>2789603</v>
      </c>
      <c r="G1232" s="103">
        <f t="shared" si="452"/>
        <v>0</v>
      </c>
      <c r="H1232" s="103">
        <f t="shared" si="452"/>
        <v>0</v>
      </c>
      <c r="I1232" s="103">
        <f>SUM(F1232:H1232)</f>
        <v>2789603</v>
      </c>
      <c r="J1232" s="103">
        <f t="shared" ref="J1232:L1233" si="453">+J1170+J1186+J1201+J1216</f>
        <v>2789599.81</v>
      </c>
      <c r="K1232" s="103">
        <f t="shared" si="453"/>
        <v>0</v>
      </c>
      <c r="L1232" s="103">
        <f t="shared" si="453"/>
        <v>0</v>
      </c>
      <c r="M1232" s="103">
        <f t="shared" si="420"/>
        <v>2789599.81</v>
      </c>
      <c r="N1232" s="103">
        <f t="shared" si="439"/>
        <v>3.1899999999441206</v>
      </c>
      <c r="O1232" s="103">
        <f t="shared" si="439"/>
        <v>0</v>
      </c>
      <c r="P1232" s="103">
        <f t="shared" si="439"/>
        <v>0</v>
      </c>
      <c r="Q1232" s="103">
        <f t="shared" si="440"/>
        <v>3.1899999999441206</v>
      </c>
      <c r="R1232" s="236"/>
      <c r="S1232" s="730">
        <f t="shared" si="432"/>
        <v>0.99999885646810682</v>
      </c>
      <c r="T1232" s="730" t="str">
        <f t="shared" si="432"/>
        <v/>
      </c>
      <c r="U1232" s="730" t="str">
        <f t="shared" si="432"/>
        <v/>
      </c>
      <c r="V1232" s="730">
        <f t="shared" si="432"/>
        <v>0.99999885646810682</v>
      </c>
      <c r="W1232" s="254"/>
      <c r="X1232" s="237" t="s">
        <v>598</v>
      </c>
    </row>
    <row r="1233" spans="1:26" ht="11.25" hidden="1" customHeight="1">
      <c r="A1233" s="246" t="s">
        <v>644</v>
      </c>
      <c r="B1233" s="235" t="s">
        <v>645</v>
      </c>
      <c r="C1233" s="728"/>
      <c r="D1233" s="394" t="s">
        <v>290</v>
      </c>
      <c r="E1233" s="729" t="s">
        <v>290</v>
      </c>
      <c r="F1233" s="103">
        <f t="shared" si="452"/>
        <v>0</v>
      </c>
      <c r="G1233" s="103">
        <f t="shared" si="452"/>
        <v>5450000</v>
      </c>
      <c r="H1233" s="103">
        <f t="shared" si="452"/>
        <v>0</v>
      </c>
      <c r="I1233" s="103">
        <f>SUM(F1233:H1233)</f>
        <v>5450000</v>
      </c>
      <c r="J1233" s="103">
        <f t="shared" si="453"/>
        <v>0</v>
      </c>
      <c r="K1233" s="103">
        <f t="shared" si="453"/>
        <v>3774692.2199999997</v>
      </c>
      <c r="L1233" s="103">
        <f t="shared" si="453"/>
        <v>0</v>
      </c>
      <c r="M1233" s="103">
        <f>SUM(J1233:L1233)</f>
        <v>3774692.2199999997</v>
      </c>
      <c r="N1233" s="103">
        <f t="shared" si="439"/>
        <v>0</v>
      </c>
      <c r="O1233" s="103">
        <f t="shared" si="439"/>
        <v>1675307.7800000003</v>
      </c>
      <c r="P1233" s="103">
        <f t="shared" si="439"/>
        <v>0</v>
      </c>
      <c r="Q1233" s="103">
        <f t="shared" si="440"/>
        <v>1675307.7800000003</v>
      </c>
      <c r="R1233" s="236"/>
      <c r="S1233" s="730" t="str">
        <f t="shared" si="432"/>
        <v/>
      </c>
      <c r="T1233" s="730">
        <f t="shared" si="432"/>
        <v>0.69260407706422011</v>
      </c>
      <c r="U1233" s="730" t="str">
        <f t="shared" si="432"/>
        <v/>
      </c>
      <c r="V1233" s="730">
        <f t="shared" si="432"/>
        <v>0.69260407706422011</v>
      </c>
      <c r="W1233" s="254"/>
      <c r="X1233" s="237" t="s">
        <v>598</v>
      </c>
    </row>
    <row r="1234" spans="1:26" s="266" customFormat="1" ht="26.25" customHeight="1">
      <c r="A1234" s="246" t="s">
        <v>644</v>
      </c>
      <c r="B1234" s="1009" t="s">
        <v>645</v>
      </c>
      <c r="C1234" s="1431" t="s">
        <v>646</v>
      </c>
      <c r="D1234" s="1432"/>
      <c r="E1234" s="1433"/>
      <c r="F1234" s="666">
        <f>+F1228+F1226+F1224</f>
        <v>420664546.60000002</v>
      </c>
      <c r="G1234" s="666">
        <f t="shared" ref="G1234:M1234" si="454">+G1228+G1226+G1224</f>
        <v>523936681.65999997</v>
      </c>
      <c r="H1234" s="666">
        <f t="shared" si="454"/>
        <v>367765968</v>
      </c>
      <c r="I1234" s="666">
        <f t="shared" si="454"/>
        <v>1312367196.2599998</v>
      </c>
      <c r="J1234" s="666">
        <f t="shared" si="454"/>
        <v>387400030.53000003</v>
      </c>
      <c r="K1234" s="666">
        <f t="shared" si="454"/>
        <v>390736010.19999999</v>
      </c>
      <c r="L1234" s="666">
        <f t="shared" si="454"/>
        <v>217026257.72999999</v>
      </c>
      <c r="M1234" s="666">
        <f t="shared" si="454"/>
        <v>995162298.45999992</v>
      </c>
      <c r="N1234" s="666">
        <f t="shared" si="439"/>
        <v>33264516.069999993</v>
      </c>
      <c r="O1234" s="666">
        <f t="shared" si="439"/>
        <v>133200671.45999998</v>
      </c>
      <c r="P1234" s="666">
        <f t="shared" si="439"/>
        <v>150739710.27000001</v>
      </c>
      <c r="Q1234" s="666">
        <f t="shared" si="440"/>
        <v>317204897.79999995</v>
      </c>
      <c r="R1234" s="667">
        <f>+Q1234-'[3]chd 10-SAOB'!BQ178</f>
        <v>0</v>
      </c>
      <c r="S1234" s="1010">
        <f t="shared" si="432"/>
        <v>0.92092388973860817</v>
      </c>
      <c r="T1234" s="1010">
        <f t="shared" si="432"/>
        <v>0.74576952497775606</v>
      </c>
      <c r="U1234" s="1010">
        <f t="shared" si="432"/>
        <v>0.59012055658722606</v>
      </c>
      <c r="V1234" s="1010">
        <f t="shared" si="432"/>
        <v>0.75829562129869277</v>
      </c>
      <c r="W1234" s="254"/>
      <c r="X1234" s="237" t="s">
        <v>598</v>
      </c>
      <c r="Y1234" s="610" t="s">
        <v>598</v>
      </c>
      <c r="Z1234" s="241" t="s">
        <v>598</v>
      </c>
    </row>
    <row r="1235" spans="1:26" ht="11.25" customHeight="1">
      <c r="A1235" s="246" t="s">
        <v>644</v>
      </c>
      <c r="B1235" s="235" t="s">
        <v>645</v>
      </c>
      <c r="C1235" s="410"/>
      <c r="D1235" s="681"/>
      <c r="E1235" s="461"/>
      <c r="F1235" s="104"/>
      <c r="G1235" s="104"/>
      <c r="H1235" s="104"/>
      <c r="I1235" s="103">
        <f>SUM(F1235:H1235)</f>
        <v>0</v>
      </c>
      <c r="J1235" s="104"/>
      <c r="K1235" s="104"/>
      <c r="L1235" s="104"/>
      <c r="M1235" s="103">
        <f>SUM(J1235:L1235)</f>
        <v>0</v>
      </c>
      <c r="N1235" s="103">
        <f t="shared" si="439"/>
        <v>0</v>
      </c>
      <c r="O1235" s="103">
        <f t="shared" si="439"/>
        <v>0</v>
      </c>
      <c r="P1235" s="103">
        <f t="shared" si="439"/>
        <v>0</v>
      </c>
      <c r="Q1235" s="103">
        <f t="shared" si="440"/>
        <v>0</v>
      </c>
      <c r="S1235" s="730" t="str">
        <f t="shared" si="432"/>
        <v/>
      </c>
      <c r="T1235" s="730" t="str">
        <f t="shared" si="432"/>
        <v/>
      </c>
      <c r="U1235" s="730" t="str">
        <f t="shared" si="432"/>
        <v/>
      </c>
      <c r="V1235" s="730" t="str">
        <f t="shared" si="432"/>
        <v/>
      </c>
      <c r="W1235" s="254"/>
      <c r="Y1235" s="610" t="s">
        <v>598</v>
      </c>
      <c r="Z1235" s="241" t="s">
        <v>598</v>
      </c>
    </row>
    <row r="1236" spans="1:26" ht="11.25" customHeight="1">
      <c r="A1236" s="528" t="s">
        <v>221</v>
      </c>
      <c r="B1236" s="528" t="s">
        <v>220</v>
      </c>
      <c r="C1236" s="408"/>
      <c r="D1236" s="682"/>
      <c r="E1236" s="408" t="s">
        <v>220</v>
      </c>
      <c r="F1236" s="104"/>
      <c r="G1236" s="104"/>
      <c r="H1236" s="104"/>
      <c r="I1236" s="103">
        <f>SUM(F1236:H1236)</f>
        <v>0</v>
      </c>
      <c r="J1236" s="104"/>
      <c r="K1236" s="104"/>
      <c r="L1236" s="104"/>
      <c r="M1236" s="103">
        <f>SUM(J1236:L1236)</f>
        <v>0</v>
      </c>
      <c r="N1236" s="103">
        <f t="shared" si="439"/>
        <v>0</v>
      </c>
      <c r="O1236" s="103">
        <f t="shared" si="439"/>
        <v>0</v>
      </c>
      <c r="P1236" s="103">
        <f t="shared" si="439"/>
        <v>0</v>
      </c>
      <c r="Q1236" s="103">
        <f t="shared" si="440"/>
        <v>0</v>
      </c>
      <c r="S1236" s="730" t="str">
        <f t="shared" si="432"/>
        <v/>
      </c>
      <c r="T1236" s="730" t="str">
        <f t="shared" si="432"/>
        <v/>
      </c>
      <c r="U1236" s="730" t="str">
        <f t="shared" si="432"/>
        <v/>
      </c>
      <c r="V1236" s="730" t="str">
        <f t="shared" si="432"/>
        <v/>
      </c>
      <c r="W1236" s="531"/>
      <c r="X1236" s="236"/>
      <c r="Y1236" s="236" t="s">
        <v>598</v>
      </c>
      <c r="Z1236" s="240" t="s">
        <v>598</v>
      </c>
    </row>
    <row r="1237" spans="1:26" ht="11.25" customHeight="1">
      <c r="A1237" s="528" t="s">
        <v>221</v>
      </c>
      <c r="B1237" s="1013" t="s">
        <v>220</v>
      </c>
      <c r="C1237" s="461"/>
      <c r="D1237" s="645" t="s">
        <v>766</v>
      </c>
      <c r="E1237" s="447" t="s">
        <v>766</v>
      </c>
      <c r="F1237" s="103">
        <f>SUM(F1238:F1240)</f>
        <v>77255000</v>
      </c>
      <c r="G1237" s="103">
        <f t="shared" ref="G1237:M1237" si="455">SUM(G1238:G1240)</f>
        <v>173271000</v>
      </c>
      <c r="H1237" s="103">
        <f t="shared" si="455"/>
        <v>0</v>
      </c>
      <c r="I1237" s="103">
        <f t="shared" si="455"/>
        <v>250526000</v>
      </c>
      <c r="J1237" s="103">
        <f t="shared" si="455"/>
        <v>62205069.679999992</v>
      </c>
      <c r="K1237" s="103">
        <f t="shared" si="455"/>
        <v>117966813.33</v>
      </c>
      <c r="L1237" s="103">
        <f t="shared" si="455"/>
        <v>0</v>
      </c>
      <c r="M1237" s="103">
        <f t="shared" si="455"/>
        <v>180171883.00999999</v>
      </c>
      <c r="N1237" s="103">
        <f t="shared" si="439"/>
        <v>15049930.320000008</v>
      </c>
      <c r="O1237" s="103">
        <f t="shared" si="439"/>
        <v>55304186.670000002</v>
      </c>
      <c r="P1237" s="103">
        <f t="shared" si="439"/>
        <v>0</v>
      </c>
      <c r="Q1237" s="103">
        <f t="shared" si="440"/>
        <v>70354116.99000001</v>
      </c>
      <c r="S1237" s="730">
        <f t="shared" si="432"/>
        <v>0.80519150449809063</v>
      </c>
      <c r="T1237" s="730">
        <f t="shared" si="432"/>
        <v>0.68082260349394874</v>
      </c>
      <c r="U1237" s="730" t="str">
        <f t="shared" si="432"/>
        <v/>
      </c>
      <c r="V1237" s="730">
        <f t="shared" si="432"/>
        <v>0.71917438912528042</v>
      </c>
      <c r="W1237" s="531"/>
      <c r="X1237" s="236"/>
      <c r="Y1237" s="236" t="s">
        <v>688</v>
      </c>
      <c r="Z1237" s="236"/>
    </row>
    <row r="1238" spans="1:26" ht="11.25" hidden="1" customHeight="1">
      <c r="A1238" s="528" t="s">
        <v>221</v>
      </c>
      <c r="B1238" s="1013" t="s">
        <v>220</v>
      </c>
      <c r="C1238" s="411"/>
      <c r="D1238" s="647" t="s">
        <v>98</v>
      </c>
      <c r="E1238" s="459" t="s">
        <v>775</v>
      </c>
      <c r="F1238" s="104">
        <f>+'[3]chd11-SAOB'!C14</f>
        <v>35482000</v>
      </c>
      <c r="G1238" s="104">
        <f>+'[3]chd11-SAOB'!C50</f>
        <v>13077000</v>
      </c>
      <c r="H1238" s="104">
        <f>+'[3]chd11-SAOB'!C142</f>
        <v>0</v>
      </c>
      <c r="I1238" s="103">
        <f>SUM(F1238:H1238)</f>
        <v>48559000</v>
      </c>
      <c r="J1238" s="104">
        <f>+'[3]chd11-SAOB'!C15</f>
        <v>15620479.029999997</v>
      </c>
      <c r="K1238" s="104">
        <f>+'[3]chd11-SAOB'!C51</f>
        <v>12995014.970000001</v>
      </c>
      <c r="L1238" s="104">
        <f>+'[3]chd11-SAOB'!C143</f>
        <v>0</v>
      </c>
      <c r="M1238" s="103">
        <f>SUM(J1238:L1238)</f>
        <v>28615494</v>
      </c>
      <c r="N1238" s="103">
        <f t="shared" si="439"/>
        <v>19861520.970000003</v>
      </c>
      <c r="O1238" s="103">
        <f t="shared" si="439"/>
        <v>81985.029999999329</v>
      </c>
      <c r="P1238" s="103">
        <f t="shared" si="439"/>
        <v>0</v>
      </c>
      <c r="Q1238" s="103">
        <f t="shared" si="440"/>
        <v>19943506</v>
      </c>
      <c r="R1238" s="236"/>
      <c r="S1238" s="730">
        <f t="shared" si="432"/>
        <v>0.44023671241756379</v>
      </c>
      <c r="T1238" s="730">
        <f t="shared" si="432"/>
        <v>0.99373059340827408</v>
      </c>
      <c r="U1238" s="730" t="str">
        <f t="shared" si="432"/>
        <v/>
      </c>
      <c r="V1238" s="730">
        <f t="shared" si="432"/>
        <v>0.58929331328898871</v>
      </c>
      <c r="W1238" s="531"/>
      <c r="X1238" s="236"/>
      <c r="Y1238" s="236"/>
      <c r="Z1238" s="236"/>
    </row>
    <row r="1239" spans="1:26" ht="11.25" hidden="1" customHeight="1">
      <c r="A1239" s="528" t="s">
        <v>221</v>
      </c>
      <c r="B1239" s="1013" t="s">
        <v>220</v>
      </c>
      <c r="C1239" s="406" t="s">
        <v>776</v>
      </c>
      <c r="D1239" s="647" t="s">
        <v>98</v>
      </c>
      <c r="E1239" s="406" t="s">
        <v>776</v>
      </c>
      <c r="F1239" s="104">
        <f>+'[3]chd11-SAOB'!D14</f>
        <v>388000</v>
      </c>
      <c r="G1239" s="104">
        <f>+'[3]chd11-SAOB'!D50</f>
        <v>6937000</v>
      </c>
      <c r="H1239" s="104">
        <f>+'[3]chd11-SAOB'!D142</f>
        <v>0</v>
      </c>
      <c r="I1239" s="103">
        <f>SUM(F1239:H1239)</f>
        <v>7325000</v>
      </c>
      <c r="J1239" s="104">
        <f>+'[3]chd11-SAOB'!D15</f>
        <v>4291474</v>
      </c>
      <c r="K1239" s="104">
        <f>+'[3]chd11-SAOB'!D51</f>
        <v>4177476.6999999997</v>
      </c>
      <c r="L1239" s="104">
        <f>+'[3]chd11-SAOB'!D143</f>
        <v>0</v>
      </c>
      <c r="M1239" s="103">
        <f>SUM(J1239:L1239)</f>
        <v>8468950.6999999993</v>
      </c>
      <c r="N1239" s="103">
        <f t="shared" si="439"/>
        <v>-3903474</v>
      </c>
      <c r="O1239" s="103">
        <f t="shared" si="439"/>
        <v>2759523.3000000003</v>
      </c>
      <c r="P1239" s="103">
        <f t="shared" si="439"/>
        <v>0</v>
      </c>
      <c r="Q1239" s="103">
        <f t="shared" si="440"/>
        <v>-1143950.6999999997</v>
      </c>
      <c r="R1239" s="236"/>
      <c r="S1239" s="730">
        <f t="shared" si="432"/>
        <v>11.060499999999999</v>
      </c>
      <c r="T1239" s="730">
        <f t="shared" si="432"/>
        <v>0.60220220556436499</v>
      </c>
      <c r="U1239" s="730" t="str">
        <f t="shared" si="432"/>
        <v/>
      </c>
      <c r="V1239" s="730">
        <f t="shared" ref="V1239:V1302" si="456">IF(I1239=0,"",M1239/I1239)</f>
        <v>1.1561707440273037</v>
      </c>
      <c r="W1239" s="531"/>
      <c r="X1239" s="236"/>
      <c r="Y1239" s="236"/>
      <c r="Z1239" s="236"/>
    </row>
    <row r="1240" spans="1:26" ht="11.25" hidden="1" customHeight="1">
      <c r="A1240" s="528" t="s">
        <v>221</v>
      </c>
      <c r="B1240" s="1013" t="s">
        <v>220</v>
      </c>
      <c r="C1240" s="411"/>
      <c r="D1240" s="647" t="s">
        <v>98</v>
      </c>
      <c r="E1240" s="406" t="s">
        <v>777</v>
      </c>
      <c r="F1240" s="104">
        <f>+'[3]chd11-SAOB'!E14</f>
        <v>41385000</v>
      </c>
      <c r="G1240" s="104">
        <f>+'[3]chd11-SAOB'!E50</f>
        <v>153257000</v>
      </c>
      <c r="H1240" s="104">
        <f>+'[3]chd11-SAOB'!E142</f>
        <v>0</v>
      </c>
      <c r="I1240" s="103">
        <f>SUM(F1240:H1240)</f>
        <v>194642000</v>
      </c>
      <c r="J1240" s="104">
        <f>+'[3]chd11-SAOB'!E15</f>
        <v>42293116.649999999</v>
      </c>
      <c r="K1240" s="104">
        <f>+'[3]chd11-SAOB'!E51</f>
        <v>100794321.66</v>
      </c>
      <c r="L1240" s="104">
        <f>+'[3]chd11-SAOB'!E143</f>
        <v>0</v>
      </c>
      <c r="M1240" s="103">
        <f>SUM(J1240:L1240)</f>
        <v>143087438.31</v>
      </c>
      <c r="N1240" s="103">
        <f t="shared" si="439"/>
        <v>-908116.64999999851</v>
      </c>
      <c r="O1240" s="103">
        <f t="shared" si="439"/>
        <v>52462678.340000004</v>
      </c>
      <c r="P1240" s="103">
        <f t="shared" si="439"/>
        <v>0</v>
      </c>
      <c r="Q1240" s="103">
        <f t="shared" si="440"/>
        <v>51554561.690000005</v>
      </c>
      <c r="R1240" s="236"/>
      <c r="S1240" s="730">
        <f t="shared" ref="S1240:V1303" si="457">IF(F1240=0,"",J1240/F1240)</f>
        <v>1.0219431351939108</v>
      </c>
      <c r="T1240" s="730">
        <f t="shared" si="457"/>
        <v>0.65768168279426065</v>
      </c>
      <c r="U1240" s="730" t="str">
        <f t="shared" si="457"/>
        <v/>
      </c>
      <c r="V1240" s="730">
        <f t="shared" si="456"/>
        <v>0.73513136070323981</v>
      </c>
      <c r="W1240" s="531"/>
      <c r="X1240" s="236"/>
      <c r="Y1240" s="236"/>
      <c r="Z1240" s="236"/>
    </row>
    <row r="1241" spans="1:26" ht="11.25" customHeight="1">
      <c r="A1241" s="528" t="s">
        <v>221</v>
      </c>
      <c r="B1241" s="1013" t="s">
        <v>220</v>
      </c>
      <c r="C1241" s="728"/>
      <c r="D1241" s="649" t="s">
        <v>50</v>
      </c>
      <c r="E1241" s="447" t="s">
        <v>50</v>
      </c>
      <c r="F1241" s="104"/>
      <c r="G1241" s="104">
        <f>+'[3]chd11-SAOB'!D382</f>
        <v>107856391.77</v>
      </c>
      <c r="H1241" s="104">
        <f>+'[3]chd11-SAOB'!E382</f>
        <v>72100000</v>
      </c>
      <c r="I1241" s="103">
        <f>SUM(F1241:H1241)</f>
        <v>179956391.76999998</v>
      </c>
      <c r="J1241" s="104"/>
      <c r="K1241" s="104">
        <f>+'[3]chd11-SAOB'!H382</f>
        <v>65139989.75999999</v>
      </c>
      <c r="L1241" s="104">
        <f>+'[3]chd11-SAOB'!I382</f>
        <v>59548445.82</v>
      </c>
      <c r="M1241" s="103">
        <f>SUM(J1241:L1241)</f>
        <v>124688435.57999998</v>
      </c>
      <c r="N1241" s="103">
        <f t="shared" si="439"/>
        <v>0</v>
      </c>
      <c r="O1241" s="103">
        <f t="shared" si="439"/>
        <v>42716402.010000005</v>
      </c>
      <c r="P1241" s="103">
        <f t="shared" si="439"/>
        <v>12551554.18</v>
      </c>
      <c r="Q1241" s="103">
        <f t="shared" si="440"/>
        <v>55267956.190000005</v>
      </c>
      <c r="S1241" s="730" t="str">
        <f t="shared" si="457"/>
        <v/>
      </c>
      <c r="T1241" s="730">
        <f t="shared" si="457"/>
        <v>0.60395113067483985</v>
      </c>
      <c r="U1241" s="730">
        <f t="shared" si="457"/>
        <v>0.8259146438280166</v>
      </c>
      <c r="V1241" s="730">
        <f t="shared" si="456"/>
        <v>0.6928813939510563</v>
      </c>
      <c r="W1241" s="531"/>
      <c r="X1241" s="236"/>
      <c r="Y1241" s="236" t="s">
        <v>688</v>
      </c>
      <c r="Z1241" s="236"/>
    </row>
    <row r="1242" spans="1:26" s="256" customFormat="1" ht="11.25" customHeight="1">
      <c r="A1242" s="528" t="s">
        <v>221</v>
      </c>
      <c r="B1242" s="528" t="s">
        <v>220</v>
      </c>
      <c r="C1242" s="389"/>
      <c r="D1242" s="650" t="s">
        <v>98</v>
      </c>
      <c r="E1242" s="390" t="s">
        <v>767</v>
      </c>
      <c r="F1242" s="391">
        <f>+F1241+F1237</f>
        <v>77255000</v>
      </c>
      <c r="G1242" s="391">
        <f t="shared" ref="G1242:M1242" si="458">+G1241+G1237</f>
        <v>281127391.76999998</v>
      </c>
      <c r="H1242" s="391">
        <f t="shared" si="458"/>
        <v>72100000</v>
      </c>
      <c r="I1242" s="391">
        <f t="shared" si="458"/>
        <v>430482391.76999998</v>
      </c>
      <c r="J1242" s="391">
        <f t="shared" si="458"/>
        <v>62205069.679999992</v>
      </c>
      <c r="K1242" s="391">
        <f t="shared" si="458"/>
        <v>183106803.08999997</v>
      </c>
      <c r="L1242" s="391">
        <f t="shared" si="458"/>
        <v>59548445.82</v>
      </c>
      <c r="M1242" s="391">
        <f t="shared" si="458"/>
        <v>304860318.58999997</v>
      </c>
      <c r="N1242" s="391">
        <f t="shared" si="439"/>
        <v>15049930.320000008</v>
      </c>
      <c r="O1242" s="391">
        <f t="shared" si="439"/>
        <v>98020588.680000007</v>
      </c>
      <c r="P1242" s="391">
        <f t="shared" si="439"/>
        <v>12551554.18</v>
      </c>
      <c r="Q1242" s="391">
        <f t="shared" si="440"/>
        <v>125622073.18000001</v>
      </c>
      <c r="R1242" s="101"/>
      <c r="S1242" s="254">
        <f t="shared" si="457"/>
        <v>0.80519150449809063</v>
      </c>
      <c r="T1242" s="254">
        <f t="shared" si="457"/>
        <v>0.65133035218356083</v>
      </c>
      <c r="U1242" s="254">
        <f t="shared" si="457"/>
        <v>0.8259146438280166</v>
      </c>
      <c r="V1242" s="254">
        <f t="shared" si="456"/>
        <v>0.70818301611946555</v>
      </c>
      <c r="W1242" s="531"/>
      <c r="Y1242" s="256" t="s">
        <v>598</v>
      </c>
      <c r="Z1242" s="256" t="s">
        <v>598</v>
      </c>
    </row>
    <row r="1243" spans="1:26" ht="11.25" hidden="1" customHeight="1">
      <c r="A1243" s="528" t="s">
        <v>221</v>
      </c>
      <c r="B1243" s="1013" t="s">
        <v>220</v>
      </c>
      <c r="C1243" s="410"/>
      <c r="D1243" s="651"/>
      <c r="E1243" s="806"/>
      <c r="F1243" s="807"/>
      <c r="G1243" s="807"/>
      <c r="H1243" s="807"/>
      <c r="I1243" s="807"/>
      <c r="J1243" s="807"/>
      <c r="K1243" s="807"/>
      <c r="L1243" s="807"/>
      <c r="M1243" s="807"/>
      <c r="N1243" s="807">
        <f t="shared" si="439"/>
        <v>0</v>
      </c>
      <c r="O1243" s="807">
        <f t="shared" si="439"/>
        <v>0</v>
      </c>
      <c r="P1243" s="807">
        <f t="shared" si="439"/>
        <v>0</v>
      </c>
      <c r="Q1243" s="807">
        <f t="shared" si="440"/>
        <v>0</v>
      </c>
      <c r="R1243" s="276"/>
      <c r="S1243" s="730" t="str">
        <f t="shared" si="457"/>
        <v/>
      </c>
      <c r="T1243" s="730" t="str">
        <f t="shared" si="457"/>
        <v/>
      </c>
      <c r="U1243" s="730" t="str">
        <f t="shared" si="457"/>
        <v/>
      </c>
      <c r="V1243" s="730" t="str">
        <f t="shared" si="456"/>
        <v/>
      </c>
      <c r="W1243" s="531"/>
      <c r="X1243" s="236"/>
      <c r="Y1243" s="236"/>
      <c r="Z1243" s="236"/>
    </row>
    <row r="1244" spans="1:26" s="256" customFormat="1" ht="11.25" customHeight="1">
      <c r="A1244" s="528" t="s">
        <v>221</v>
      </c>
      <c r="B1244" s="528" t="s">
        <v>220</v>
      </c>
      <c r="C1244" s="389"/>
      <c r="D1244" s="650" t="s">
        <v>98</v>
      </c>
      <c r="E1244" s="390" t="s">
        <v>99</v>
      </c>
      <c r="F1244" s="391">
        <f>+F1245</f>
        <v>6559000</v>
      </c>
      <c r="G1244" s="391">
        <f t="shared" ref="G1244:M1244" si="459">+G1245</f>
        <v>0</v>
      </c>
      <c r="H1244" s="391">
        <f t="shared" si="459"/>
        <v>0</v>
      </c>
      <c r="I1244" s="391">
        <f t="shared" si="459"/>
        <v>6559000</v>
      </c>
      <c r="J1244" s="391">
        <f t="shared" si="459"/>
        <v>5465222.7599999998</v>
      </c>
      <c r="K1244" s="391">
        <f t="shared" si="459"/>
        <v>0</v>
      </c>
      <c r="L1244" s="391">
        <f t="shared" si="459"/>
        <v>0</v>
      </c>
      <c r="M1244" s="391">
        <f t="shared" si="459"/>
        <v>5465222.7599999998</v>
      </c>
      <c r="N1244" s="391">
        <f t="shared" si="439"/>
        <v>1093777.2400000002</v>
      </c>
      <c r="O1244" s="391">
        <f t="shared" si="439"/>
        <v>0</v>
      </c>
      <c r="P1244" s="391">
        <f t="shared" si="439"/>
        <v>0</v>
      </c>
      <c r="Q1244" s="391">
        <f t="shared" si="440"/>
        <v>1093777.2400000002</v>
      </c>
      <c r="R1244" s="101"/>
      <c r="S1244" s="254">
        <f t="shared" si="457"/>
        <v>0.83324024393962492</v>
      </c>
      <c r="T1244" s="254" t="str">
        <f t="shared" si="457"/>
        <v/>
      </c>
      <c r="U1244" s="254" t="str">
        <f t="shared" si="457"/>
        <v/>
      </c>
      <c r="V1244" s="254">
        <f t="shared" si="456"/>
        <v>0.83324024393962492</v>
      </c>
      <c r="W1244" s="531"/>
      <c r="Y1244" s="256" t="s">
        <v>598</v>
      </c>
      <c r="Z1244" s="256" t="s">
        <v>598</v>
      </c>
    </row>
    <row r="1245" spans="1:26" ht="11.25" customHeight="1">
      <c r="A1245" s="528" t="s">
        <v>221</v>
      </c>
      <c r="B1245" s="1013" t="s">
        <v>220</v>
      </c>
      <c r="C1245" s="728"/>
      <c r="D1245" s="649" t="s">
        <v>286</v>
      </c>
      <c r="E1245" s="729" t="s">
        <v>286</v>
      </c>
      <c r="F1245" s="103">
        <f>SUM('[3]chd11-SAOB'!V14)</f>
        <v>6559000</v>
      </c>
      <c r="G1245" s="103">
        <f>SUM('[3]chd11-SAOB'!V50)</f>
        <v>0</v>
      </c>
      <c r="H1245" s="103">
        <f>SUM('[3]chd11-SAOB'!V142)</f>
        <v>0</v>
      </c>
      <c r="I1245" s="103">
        <f>SUM(F1245:H1245)</f>
        <v>6559000</v>
      </c>
      <c r="J1245" s="103">
        <f>SUM('[3]chd11-SAOB'!V15)</f>
        <v>5465222.7599999998</v>
      </c>
      <c r="K1245" s="103">
        <f>SUM('[3]chd11-SAOB'!V51)</f>
        <v>0</v>
      </c>
      <c r="L1245" s="103">
        <f>SUM('[3]chd11-SAOB'!V143)</f>
        <v>0</v>
      </c>
      <c r="M1245" s="103">
        <f>SUM(J1245:L1245)</f>
        <v>5465222.7599999998</v>
      </c>
      <c r="N1245" s="103">
        <f t="shared" si="439"/>
        <v>1093777.2400000002</v>
      </c>
      <c r="O1245" s="103">
        <f t="shared" si="439"/>
        <v>0</v>
      </c>
      <c r="P1245" s="103">
        <f t="shared" si="439"/>
        <v>0</v>
      </c>
      <c r="Q1245" s="103">
        <f t="shared" si="440"/>
        <v>1093777.2400000002</v>
      </c>
      <c r="S1245" s="730">
        <f t="shared" si="457"/>
        <v>0.83324024393962492</v>
      </c>
      <c r="T1245" s="730" t="str">
        <f t="shared" si="457"/>
        <v/>
      </c>
      <c r="U1245" s="730" t="str">
        <f t="shared" si="457"/>
        <v/>
      </c>
      <c r="V1245" s="730">
        <f t="shared" si="456"/>
        <v>0.83324024393962492</v>
      </c>
      <c r="W1245" s="531"/>
      <c r="X1245" s="236"/>
      <c r="Y1245" s="236" t="s">
        <v>598</v>
      </c>
      <c r="Z1245" s="236"/>
    </row>
    <row r="1246" spans="1:26" s="272" customFormat="1" ht="11.25" customHeight="1">
      <c r="A1246" s="528" t="s">
        <v>221</v>
      </c>
      <c r="B1246" s="528" t="s">
        <v>220</v>
      </c>
      <c r="C1246" s="389"/>
      <c r="D1246" s="650" t="s">
        <v>98</v>
      </c>
      <c r="E1246" s="390" t="s">
        <v>100</v>
      </c>
      <c r="F1246" s="391">
        <f t="shared" ref="F1246:M1246" si="460">SUM(F1247:F1251)</f>
        <v>2849421</v>
      </c>
      <c r="G1246" s="391">
        <f t="shared" si="460"/>
        <v>0</v>
      </c>
      <c r="H1246" s="391">
        <f t="shared" si="460"/>
        <v>0</v>
      </c>
      <c r="I1246" s="391">
        <f t="shared" si="460"/>
        <v>2849421</v>
      </c>
      <c r="J1246" s="391">
        <f t="shared" si="460"/>
        <v>2849408.02</v>
      </c>
      <c r="K1246" s="391">
        <f t="shared" si="460"/>
        <v>0</v>
      </c>
      <c r="L1246" s="391">
        <f t="shared" si="460"/>
        <v>0</v>
      </c>
      <c r="M1246" s="391">
        <f t="shared" si="460"/>
        <v>2849408.02</v>
      </c>
      <c r="N1246" s="391">
        <f t="shared" si="439"/>
        <v>12.979999999981374</v>
      </c>
      <c r="O1246" s="391">
        <f t="shared" si="439"/>
        <v>0</v>
      </c>
      <c r="P1246" s="391">
        <f t="shared" si="439"/>
        <v>0</v>
      </c>
      <c r="Q1246" s="391">
        <f t="shared" si="440"/>
        <v>12.979999999981374</v>
      </c>
      <c r="R1246" s="102"/>
      <c r="S1246" s="254">
        <f t="shared" si="457"/>
        <v>0.99999544468858759</v>
      </c>
      <c r="T1246" s="254" t="str">
        <f t="shared" si="457"/>
        <v/>
      </c>
      <c r="U1246" s="254" t="str">
        <f t="shared" si="457"/>
        <v/>
      </c>
      <c r="V1246" s="254">
        <f t="shared" si="456"/>
        <v>0.99999544468858759</v>
      </c>
      <c r="W1246" s="531"/>
      <c r="Y1246" s="272" t="s">
        <v>598</v>
      </c>
      <c r="Z1246" s="256" t="s">
        <v>598</v>
      </c>
    </row>
    <row r="1247" spans="1:26" ht="11.25" customHeight="1">
      <c r="A1247" s="528" t="s">
        <v>221</v>
      </c>
      <c r="B1247" s="1013" t="s">
        <v>220</v>
      </c>
      <c r="C1247" s="728"/>
      <c r="D1247" s="649" t="s">
        <v>288</v>
      </c>
      <c r="E1247" s="729" t="s">
        <v>288</v>
      </c>
      <c r="F1247" s="103">
        <f>SUM('[3]chd11-SAOB'!Z14)</f>
        <v>0</v>
      </c>
      <c r="G1247" s="103">
        <f>SUM('[3]chd11-SAOB'!Z50)</f>
        <v>0</v>
      </c>
      <c r="H1247" s="103">
        <f>SUM('[3]chd11-SAOB'!Z142)</f>
        <v>0</v>
      </c>
      <c r="I1247" s="103">
        <f>SUM(F1247:H1247)</f>
        <v>0</v>
      </c>
      <c r="J1247" s="103">
        <f>SUM('[3]chd11-SAOB'!Z15)</f>
        <v>0</v>
      </c>
      <c r="K1247" s="103">
        <f>SUM('[3]chd11-SAOB'!Z51)</f>
        <v>0</v>
      </c>
      <c r="L1247" s="103">
        <f>SUM('[3]chd11-SAOB'!Z143)</f>
        <v>0</v>
      </c>
      <c r="M1247" s="103">
        <f>SUM(J1247:L1247)</f>
        <v>0</v>
      </c>
      <c r="N1247" s="103">
        <f t="shared" si="439"/>
        <v>0</v>
      </c>
      <c r="O1247" s="103">
        <f t="shared" si="439"/>
        <v>0</v>
      </c>
      <c r="P1247" s="103">
        <f t="shared" si="439"/>
        <v>0</v>
      </c>
      <c r="Q1247" s="103">
        <f t="shared" si="440"/>
        <v>0</v>
      </c>
      <c r="S1247" s="730" t="str">
        <f t="shared" si="457"/>
        <v/>
      </c>
      <c r="T1247" s="730" t="str">
        <f t="shared" si="457"/>
        <v/>
      </c>
      <c r="U1247" s="730" t="str">
        <f t="shared" si="457"/>
        <v/>
      </c>
      <c r="V1247" s="730" t="str">
        <f t="shared" si="456"/>
        <v/>
      </c>
      <c r="W1247" s="531"/>
      <c r="X1247" s="236"/>
      <c r="Y1247" s="236" t="s">
        <v>598</v>
      </c>
      <c r="Z1247" s="236"/>
    </row>
    <row r="1248" spans="1:26" ht="11.25" customHeight="1">
      <c r="A1248" s="528" t="s">
        <v>221</v>
      </c>
      <c r="B1248" s="1013" t="s">
        <v>220</v>
      </c>
      <c r="C1248" s="728"/>
      <c r="D1248" s="649" t="s">
        <v>761</v>
      </c>
      <c r="E1248" s="729" t="s">
        <v>761</v>
      </c>
      <c r="F1248" s="104">
        <f>+'[3]chd11-SAOB'!C382</f>
        <v>1420000</v>
      </c>
      <c r="G1248" s="104"/>
      <c r="H1248" s="104"/>
      <c r="I1248" s="103">
        <f>SUM(F1248:H1248)</f>
        <v>1420000</v>
      </c>
      <c r="J1248" s="104">
        <f>+'[3]chd11-SAOB'!G382</f>
        <v>1419990.6</v>
      </c>
      <c r="K1248" s="104"/>
      <c r="L1248" s="104"/>
      <c r="M1248" s="103">
        <f>SUM(J1248:L1248)</f>
        <v>1419990.6</v>
      </c>
      <c r="N1248" s="103">
        <f>+F1248-J1248</f>
        <v>9.3999999999068677</v>
      </c>
      <c r="O1248" s="103">
        <f>+G1248-K1248</f>
        <v>0</v>
      </c>
      <c r="P1248" s="103">
        <f>+H1248-L1248</f>
        <v>0</v>
      </c>
      <c r="Q1248" s="103">
        <f>SUM(N1248:P1248)</f>
        <v>9.3999999999068677</v>
      </c>
      <c r="S1248" s="730">
        <f t="shared" si="457"/>
        <v>0.99999338028169016</v>
      </c>
      <c r="T1248" s="730" t="str">
        <f t="shared" si="457"/>
        <v/>
      </c>
      <c r="U1248" s="730" t="str">
        <f t="shared" si="457"/>
        <v/>
      </c>
      <c r="V1248" s="730">
        <f t="shared" si="456"/>
        <v>0.99999338028169016</v>
      </c>
      <c r="W1248" s="531"/>
      <c r="X1248" s="236"/>
      <c r="Y1248" s="236" t="s">
        <v>688</v>
      </c>
      <c r="Z1248" s="236"/>
    </row>
    <row r="1249" spans="1:26" ht="11.25" customHeight="1">
      <c r="A1249" s="528" t="s">
        <v>221</v>
      </c>
      <c r="B1249" s="1013" t="s">
        <v>220</v>
      </c>
      <c r="C1249" s="410"/>
      <c r="D1249" s="647"/>
      <c r="E1249" s="461"/>
      <c r="F1249" s="104"/>
      <c r="G1249" s="104"/>
      <c r="H1249" s="104"/>
      <c r="I1249" s="103"/>
      <c r="J1249" s="104"/>
      <c r="K1249" s="104"/>
      <c r="L1249" s="104"/>
      <c r="M1249" s="103"/>
      <c r="N1249" s="103"/>
      <c r="O1249" s="103"/>
      <c r="P1249" s="103"/>
      <c r="Q1249" s="103"/>
      <c r="S1249" s="730" t="str">
        <f t="shared" si="457"/>
        <v/>
      </c>
      <c r="T1249" s="730" t="str">
        <f t="shared" si="457"/>
        <v/>
      </c>
      <c r="U1249" s="730" t="str">
        <f t="shared" si="457"/>
        <v/>
      </c>
      <c r="V1249" s="730" t="str">
        <f t="shared" si="456"/>
        <v/>
      </c>
      <c r="W1249" s="531"/>
      <c r="X1249" s="236"/>
      <c r="Y1249" s="236" t="s">
        <v>688</v>
      </c>
      <c r="Z1249" s="240"/>
    </row>
    <row r="1250" spans="1:26" ht="11.25" customHeight="1">
      <c r="A1250" s="528" t="s">
        <v>221</v>
      </c>
      <c r="B1250" s="1013" t="s">
        <v>220</v>
      </c>
      <c r="C1250" s="728"/>
      <c r="D1250" s="649" t="s">
        <v>289</v>
      </c>
      <c r="E1250" s="729" t="s">
        <v>289</v>
      </c>
      <c r="F1250" s="103">
        <f>SUM('[3]chd11-SAOB'!AD14)</f>
        <v>1429421</v>
      </c>
      <c r="G1250" s="103">
        <f>SUM('[3]chd11-SAOB'!AD50)</f>
        <v>0</v>
      </c>
      <c r="H1250" s="103">
        <f>SUM('[3]chd11-SAOB'!AD142)</f>
        <v>0</v>
      </c>
      <c r="I1250" s="103">
        <f>SUM(F1250:H1250)</f>
        <v>1429421</v>
      </c>
      <c r="J1250" s="103">
        <f>SUM('[3]chd11-SAOB'!AD15)</f>
        <v>1429417.42</v>
      </c>
      <c r="K1250" s="103">
        <f>SUM('[3]chd11-SAOB'!AD51)</f>
        <v>0</v>
      </c>
      <c r="L1250" s="103">
        <f>SUM('[3]chd11-SAOB'!AD143)</f>
        <v>0</v>
      </c>
      <c r="M1250" s="103">
        <f>SUM(J1250:L1250)</f>
        <v>1429417.42</v>
      </c>
      <c r="N1250" s="103">
        <f t="shared" si="439"/>
        <v>3.5800000000745058</v>
      </c>
      <c r="O1250" s="103">
        <f t="shared" si="439"/>
        <v>0</v>
      </c>
      <c r="P1250" s="103">
        <f t="shared" si="439"/>
        <v>0</v>
      </c>
      <c r="Q1250" s="103">
        <f t="shared" si="440"/>
        <v>3.5800000000745058</v>
      </c>
      <c r="S1250" s="730">
        <f t="shared" si="457"/>
        <v>0.9999974954894324</v>
      </c>
      <c r="T1250" s="730" t="str">
        <f t="shared" si="457"/>
        <v/>
      </c>
      <c r="U1250" s="730" t="str">
        <f t="shared" si="457"/>
        <v/>
      </c>
      <c r="V1250" s="730">
        <f t="shared" si="456"/>
        <v>0.9999974954894324</v>
      </c>
      <c r="W1250" s="531"/>
      <c r="X1250" s="236"/>
      <c r="Y1250" s="236" t="s">
        <v>598</v>
      </c>
      <c r="Z1250" s="236"/>
    </row>
    <row r="1251" spans="1:26" ht="11.25" customHeight="1">
      <c r="A1251" s="528" t="s">
        <v>221</v>
      </c>
      <c r="B1251" s="1013" t="s">
        <v>220</v>
      </c>
      <c r="C1251" s="728"/>
      <c r="D1251" s="649" t="s">
        <v>290</v>
      </c>
      <c r="E1251" s="729" t="s">
        <v>290</v>
      </c>
      <c r="F1251" s="103">
        <f>SUM('[3]chd11-SAOB'!AH14)</f>
        <v>0</v>
      </c>
      <c r="G1251" s="103">
        <f>SUM('[3]chd11-SAOB'!AH50)</f>
        <v>0</v>
      </c>
      <c r="H1251" s="103">
        <f>SUM('[3]chd11-SAOB'!AH142)</f>
        <v>0</v>
      </c>
      <c r="I1251" s="103">
        <f>SUM(F1251:H1251)</f>
        <v>0</v>
      </c>
      <c r="J1251" s="103">
        <f>SUM('[3]chd11-SAOB'!AH15)</f>
        <v>0</v>
      </c>
      <c r="K1251" s="103">
        <f>SUM('[3]chd11-SAOB'!AH51)</f>
        <v>0</v>
      </c>
      <c r="L1251" s="103">
        <f>SUM('[3]chd11-SAOB'!AH143)</f>
        <v>0</v>
      </c>
      <c r="M1251" s="103">
        <f>SUM(J1251:L1251)</f>
        <v>0</v>
      </c>
      <c r="N1251" s="103">
        <f t="shared" si="439"/>
        <v>0</v>
      </c>
      <c r="O1251" s="103">
        <f t="shared" si="439"/>
        <v>0</v>
      </c>
      <c r="P1251" s="103">
        <f t="shared" si="439"/>
        <v>0</v>
      </c>
      <c r="Q1251" s="103">
        <f t="shared" si="440"/>
        <v>0</v>
      </c>
      <c r="S1251" s="730" t="str">
        <f t="shared" si="457"/>
        <v/>
      </c>
      <c r="T1251" s="730" t="str">
        <f t="shared" si="457"/>
        <v/>
      </c>
      <c r="U1251" s="730" t="str">
        <f t="shared" si="457"/>
        <v/>
      </c>
      <c r="V1251" s="730" t="str">
        <f t="shared" si="456"/>
        <v/>
      </c>
      <c r="W1251" s="531"/>
      <c r="X1251" s="236"/>
      <c r="Y1251" s="236" t="s">
        <v>598</v>
      </c>
      <c r="Z1251" s="236"/>
    </row>
    <row r="1252" spans="1:26" s="671" customFormat="1" ht="11.25" customHeight="1">
      <c r="A1252" s="246" t="s">
        <v>221</v>
      </c>
      <c r="B1252" s="235" t="s">
        <v>220</v>
      </c>
      <c r="C1252" s="1425" t="s">
        <v>317</v>
      </c>
      <c r="D1252" s="1426"/>
      <c r="E1252" s="1427"/>
      <c r="F1252" s="652">
        <f t="shared" ref="F1252:M1252" si="461">+F1242+F1244+F1246</f>
        <v>86663421</v>
      </c>
      <c r="G1252" s="652">
        <f t="shared" si="461"/>
        <v>281127391.76999998</v>
      </c>
      <c r="H1252" s="652">
        <f t="shared" si="461"/>
        <v>72100000</v>
      </c>
      <c r="I1252" s="652">
        <f t="shared" si="461"/>
        <v>439890812.76999998</v>
      </c>
      <c r="J1252" s="652">
        <f t="shared" si="461"/>
        <v>70519700.459999993</v>
      </c>
      <c r="K1252" s="652">
        <f t="shared" si="461"/>
        <v>183106803.08999997</v>
      </c>
      <c r="L1252" s="652">
        <f t="shared" si="461"/>
        <v>59548445.82</v>
      </c>
      <c r="M1252" s="652">
        <f t="shared" si="461"/>
        <v>313174949.36999995</v>
      </c>
      <c r="N1252" s="652">
        <f t="shared" si="439"/>
        <v>16143720.540000007</v>
      </c>
      <c r="O1252" s="652">
        <f t="shared" si="439"/>
        <v>98020588.680000007</v>
      </c>
      <c r="P1252" s="652">
        <f t="shared" si="439"/>
        <v>12551554.18</v>
      </c>
      <c r="Q1252" s="652">
        <f t="shared" si="440"/>
        <v>126715863.40000001</v>
      </c>
      <c r="R1252" s="670">
        <f>+Q1252-'[3]chd11-SAOB'!BB179</f>
        <v>0</v>
      </c>
      <c r="S1252" s="1008">
        <f t="shared" si="457"/>
        <v>0.81371932525026902</v>
      </c>
      <c r="T1252" s="1008">
        <f t="shared" si="457"/>
        <v>0.65133035218356083</v>
      </c>
      <c r="U1252" s="1008">
        <f t="shared" si="457"/>
        <v>0.8259146438280166</v>
      </c>
      <c r="V1252" s="1008">
        <f t="shared" si="456"/>
        <v>0.71193791795271177</v>
      </c>
      <c r="W1252" s="254"/>
      <c r="X1252" s="237"/>
      <c r="Y1252" s="610" t="s">
        <v>598</v>
      </c>
      <c r="Z1252" s="241" t="s">
        <v>598</v>
      </c>
    </row>
    <row r="1253" spans="1:26" ht="11.25" customHeight="1">
      <c r="A1253" s="246" t="s">
        <v>221</v>
      </c>
      <c r="B1253" s="235" t="s">
        <v>220</v>
      </c>
      <c r="C1253" s="410"/>
      <c r="D1253" s="386"/>
      <c r="E1253" s="461"/>
      <c r="F1253" s="103"/>
      <c r="G1253" s="103"/>
      <c r="H1253" s="103"/>
      <c r="I1253" s="103">
        <f>SUM(F1253:H1253)</f>
        <v>0</v>
      </c>
      <c r="J1253" s="103"/>
      <c r="K1253" s="103"/>
      <c r="L1253" s="103"/>
      <c r="M1253" s="103">
        <f>SUM(J1253:L1253)</f>
        <v>0</v>
      </c>
      <c r="N1253" s="103">
        <f t="shared" si="439"/>
        <v>0</v>
      </c>
      <c r="O1253" s="103">
        <f t="shared" si="439"/>
        <v>0</v>
      </c>
      <c r="P1253" s="103">
        <f t="shared" si="439"/>
        <v>0</v>
      </c>
      <c r="Q1253" s="103">
        <f t="shared" si="440"/>
        <v>0</v>
      </c>
      <c r="S1253" s="730" t="str">
        <f t="shared" si="457"/>
        <v/>
      </c>
      <c r="T1253" s="730" t="str">
        <f t="shared" si="457"/>
        <v/>
      </c>
      <c r="U1253" s="730" t="str">
        <f t="shared" si="457"/>
        <v/>
      </c>
      <c r="V1253" s="730" t="str">
        <f t="shared" si="456"/>
        <v/>
      </c>
      <c r="W1253" s="254"/>
      <c r="Y1253" s="610" t="s">
        <v>598</v>
      </c>
      <c r="Z1253" s="241" t="s">
        <v>598</v>
      </c>
    </row>
    <row r="1254" spans="1:26" ht="11.25" customHeight="1">
      <c r="A1254" s="246" t="s">
        <v>221</v>
      </c>
      <c r="B1254" s="235" t="s">
        <v>223</v>
      </c>
      <c r="C1254" s="410" t="s">
        <v>222</v>
      </c>
      <c r="D1254" s="386"/>
      <c r="E1254" s="461"/>
      <c r="F1254" s="104"/>
      <c r="G1254" s="104"/>
      <c r="H1254" s="104"/>
      <c r="I1254" s="103">
        <f>SUM(F1254:H1254)</f>
        <v>0</v>
      </c>
      <c r="J1254" s="104"/>
      <c r="K1254" s="104"/>
      <c r="L1254" s="104"/>
      <c r="M1254" s="103">
        <f>SUM(J1254:L1254)</f>
        <v>0</v>
      </c>
      <c r="N1254" s="103">
        <f t="shared" si="439"/>
        <v>0</v>
      </c>
      <c r="O1254" s="103">
        <f t="shared" si="439"/>
        <v>0</v>
      </c>
      <c r="P1254" s="103">
        <f t="shared" si="439"/>
        <v>0</v>
      </c>
      <c r="Q1254" s="103">
        <f t="shared" si="440"/>
        <v>0</v>
      </c>
      <c r="S1254" s="730" t="str">
        <f t="shared" si="457"/>
        <v/>
      </c>
      <c r="T1254" s="730" t="str">
        <f t="shared" si="457"/>
        <v/>
      </c>
      <c r="U1254" s="730" t="str">
        <f t="shared" si="457"/>
        <v/>
      </c>
      <c r="V1254" s="730" t="str">
        <f t="shared" si="456"/>
        <v/>
      </c>
      <c r="W1254" s="254"/>
      <c r="Y1254" s="610" t="s">
        <v>598</v>
      </c>
      <c r="Z1254" s="241" t="s">
        <v>598</v>
      </c>
    </row>
    <row r="1255" spans="1:26" s="675" customFormat="1" ht="11.25" customHeight="1">
      <c r="A1255" s="528" t="s">
        <v>221</v>
      </c>
      <c r="B1255" s="528" t="s">
        <v>223</v>
      </c>
      <c r="C1255" s="407" t="s">
        <v>98</v>
      </c>
      <c r="D1255" s="655" t="s">
        <v>105</v>
      </c>
      <c r="E1255" s="408" t="s">
        <v>841</v>
      </c>
      <c r="F1255" s="673"/>
      <c r="G1255" s="673"/>
      <c r="H1255" s="673"/>
      <c r="I1255" s="674">
        <f>SUM(F1255:H1255)</f>
        <v>0</v>
      </c>
      <c r="J1255" s="673"/>
      <c r="K1255" s="673"/>
      <c r="L1255" s="673"/>
      <c r="M1255" s="674">
        <f>SUM(J1255:L1255)</f>
        <v>0</v>
      </c>
      <c r="N1255" s="674">
        <f t="shared" si="439"/>
        <v>0</v>
      </c>
      <c r="O1255" s="674">
        <f t="shared" si="439"/>
        <v>0</v>
      </c>
      <c r="P1255" s="674">
        <f t="shared" si="439"/>
        <v>0</v>
      </c>
      <c r="Q1255" s="674">
        <f t="shared" si="440"/>
        <v>0</v>
      </c>
      <c r="R1255" s="101"/>
      <c r="S1255" s="254" t="str">
        <f t="shared" si="457"/>
        <v/>
      </c>
      <c r="T1255" s="254" t="str">
        <f t="shared" si="457"/>
        <v/>
      </c>
      <c r="U1255" s="254" t="str">
        <f t="shared" si="457"/>
        <v/>
      </c>
      <c r="V1255" s="254" t="str">
        <f t="shared" si="456"/>
        <v/>
      </c>
      <c r="W1255" s="531"/>
      <c r="Y1255" s="272" t="s">
        <v>598</v>
      </c>
      <c r="Z1255" s="260" t="s">
        <v>598</v>
      </c>
    </row>
    <row r="1256" spans="1:26" ht="11.25" customHeight="1">
      <c r="A1256" s="528" t="s">
        <v>221</v>
      </c>
      <c r="B1256" s="1013" t="s">
        <v>223</v>
      </c>
      <c r="C1256" s="461"/>
      <c r="D1256" s="645" t="s">
        <v>766</v>
      </c>
      <c r="E1256" s="447" t="s">
        <v>766</v>
      </c>
      <c r="F1256" s="104">
        <f>+'[3]chd11-SAOB'!C387</f>
        <v>233325000</v>
      </c>
      <c r="G1256" s="104">
        <f>+'[3]chd11-SAOB'!D387</f>
        <v>63208000</v>
      </c>
      <c r="H1256" s="104">
        <f>+'[3]chd11-SAOB'!E387</f>
        <v>0</v>
      </c>
      <c r="I1256" s="103">
        <f>SUM(F1256:H1256)</f>
        <v>296533000</v>
      </c>
      <c r="J1256" s="104">
        <f>+'[3]chd11-SAOB'!G387</f>
        <v>214702095.16000003</v>
      </c>
      <c r="K1256" s="104">
        <f>+'[3]chd11-SAOB'!H387</f>
        <v>47845949.980000004</v>
      </c>
      <c r="L1256" s="104">
        <f>+'[3]chd11-SAOB'!I387</f>
        <v>0</v>
      </c>
      <c r="M1256" s="103">
        <f>SUM(J1256:L1256)</f>
        <v>262548045.14000005</v>
      </c>
      <c r="N1256" s="103">
        <f t="shared" si="439"/>
        <v>18622904.839999974</v>
      </c>
      <c r="O1256" s="103">
        <f t="shared" si="439"/>
        <v>15362050.019999996</v>
      </c>
      <c r="P1256" s="103">
        <f t="shared" si="439"/>
        <v>0</v>
      </c>
      <c r="Q1256" s="103">
        <f t="shared" si="440"/>
        <v>33984954.85999997</v>
      </c>
      <c r="S1256" s="730">
        <f t="shared" si="457"/>
        <v>0.92018470013929077</v>
      </c>
      <c r="T1256" s="730">
        <f t="shared" si="457"/>
        <v>0.75696035280344265</v>
      </c>
      <c r="U1256" s="730" t="str">
        <f t="shared" si="457"/>
        <v/>
      </c>
      <c r="V1256" s="730">
        <f t="shared" si="456"/>
        <v>0.88539233454623956</v>
      </c>
      <c r="W1256" s="531"/>
      <c r="X1256" s="236"/>
      <c r="Y1256" s="236" t="s">
        <v>688</v>
      </c>
      <c r="Z1256" s="236"/>
    </row>
    <row r="1257" spans="1:26" ht="11.25" customHeight="1">
      <c r="A1257" s="528" t="s">
        <v>221</v>
      </c>
      <c r="B1257" s="1013" t="s">
        <v>223</v>
      </c>
      <c r="C1257" s="728"/>
      <c r="D1257" s="649" t="s">
        <v>50</v>
      </c>
      <c r="E1257" s="447" t="s">
        <v>50</v>
      </c>
      <c r="F1257" s="104"/>
      <c r="G1257" s="104">
        <f>+'[3]chd11-SAOB'!D389</f>
        <v>44993830</v>
      </c>
      <c r="H1257" s="104">
        <f>+'[3]chd11-SAOB'!E389</f>
        <v>52000000</v>
      </c>
      <c r="I1257" s="103">
        <f>SUM(F1257:H1257)</f>
        <v>96993830</v>
      </c>
      <c r="J1257" s="104"/>
      <c r="K1257" s="104">
        <f>+'[3]chd11-SAOB'!H389</f>
        <v>32979333.119999997</v>
      </c>
      <c r="L1257" s="104">
        <f>+'[3]chd11-SAOB'!I389</f>
        <v>50057794.579999998</v>
      </c>
      <c r="M1257" s="103">
        <f>SUM(J1257:L1257)</f>
        <v>83037127.699999988</v>
      </c>
      <c r="N1257" s="103">
        <f t="shared" si="439"/>
        <v>0</v>
      </c>
      <c r="O1257" s="103">
        <f t="shared" si="439"/>
        <v>12014496.880000003</v>
      </c>
      <c r="P1257" s="103">
        <f t="shared" si="439"/>
        <v>1942205.4200000018</v>
      </c>
      <c r="Q1257" s="103">
        <f t="shared" si="440"/>
        <v>13956702.300000004</v>
      </c>
      <c r="S1257" s="730" t="str">
        <f t="shared" si="457"/>
        <v/>
      </c>
      <c r="T1257" s="730">
        <f t="shared" si="457"/>
        <v>0.73297456829080776</v>
      </c>
      <c r="U1257" s="730">
        <f t="shared" si="457"/>
        <v>0.96264989576923077</v>
      </c>
      <c r="V1257" s="730">
        <f t="shared" si="456"/>
        <v>0.85610731837272525</v>
      </c>
      <c r="W1257" s="531"/>
      <c r="X1257" s="236"/>
      <c r="Y1257" s="236" t="s">
        <v>688</v>
      </c>
      <c r="Z1257" s="236"/>
    </row>
    <row r="1258" spans="1:26" s="256" customFormat="1" ht="11.25" customHeight="1">
      <c r="A1258" s="528" t="s">
        <v>221</v>
      </c>
      <c r="B1258" s="528" t="s">
        <v>223</v>
      </c>
      <c r="C1258" s="389"/>
      <c r="D1258" s="650" t="s">
        <v>98</v>
      </c>
      <c r="E1258" s="390" t="s">
        <v>767</v>
      </c>
      <c r="F1258" s="391">
        <f>+F1256+F1257</f>
        <v>233325000</v>
      </c>
      <c r="G1258" s="391">
        <f t="shared" ref="G1258:M1258" si="462">+G1256+G1257</f>
        <v>108201830</v>
      </c>
      <c r="H1258" s="391">
        <f t="shared" si="462"/>
        <v>52000000</v>
      </c>
      <c r="I1258" s="391">
        <f t="shared" si="462"/>
        <v>393526830</v>
      </c>
      <c r="J1258" s="391">
        <f t="shared" si="462"/>
        <v>214702095.16000003</v>
      </c>
      <c r="K1258" s="391">
        <f t="shared" si="462"/>
        <v>80825283.099999994</v>
      </c>
      <c r="L1258" s="391">
        <f t="shared" si="462"/>
        <v>50057794.579999998</v>
      </c>
      <c r="M1258" s="391">
        <f t="shared" si="462"/>
        <v>345585172.84000003</v>
      </c>
      <c r="N1258" s="391">
        <f t="shared" si="439"/>
        <v>18622904.839999974</v>
      </c>
      <c r="O1258" s="391">
        <f t="shared" si="439"/>
        <v>27376546.900000006</v>
      </c>
      <c r="P1258" s="391">
        <f t="shared" si="439"/>
        <v>1942205.4200000018</v>
      </c>
      <c r="Q1258" s="391">
        <f t="shared" si="440"/>
        <v>47941657.159999982</v>
      </c>
      <c r="R1258" s="101"/>
      <c r="S1258" s="254">
        <f t="shared" si="457"/>
        <v>0.92018470013929077</v>
      </c>
      <c r="T1258" s="254">
        <f t="shared" si="457"/>
        <v>0.74698628572178483</v>
      </c>
      <c r="U1258" s="254">
        <f t="shared" si="457"/>
        <v>0.96264989576923077</v>
      </c>
      <c r="V1258" s="254">
        <f t="shared" si="456"/>
        <v>0.87817436193613541</v>
      </c>
      <c r="W1258" s="531"/>
      <c r="Y1258" s="256" t="s">
        <v>598</v>
      </c>
      <c r="Z1258" s="256" t="s">
        <v>598</v>
      </c>
    </row>
    <row r="1259" spans="1:26" ht="11.25" hidden="1" customHeight="1">
      <c r="A1259" s="528" t="s">
        <v>221</v>
      </c>
      <c r="B1259" s="1013" t="s">
        <v>223</v>
      </c>
      <c r="C1259" s="410"/>
      <c r="D1259" s="651"/>
      <c r="E1259" s="806" t="s">
        <v>764</v>
      </c>
      <c r="F1259" s="807"/>
      <c r="G1259" s="807"/>
      <c r="H1259" s="807"/>
      <c r="I1259" s="807"/>
      <c r="J1259" s="807"/>
      <c r="K1259" s="807"/>
      <c r="L1259" s="807"/>
      <c r="M1259" s="807"/>
      <c r="N1259" s="807">
        <f t="shared" si="439"/>
        <v>0</v>
      </c>
      <c r="O1259" s="807">
        <f t="shared" si="439"/>
        <v>0</v>
      </c>
      <c r="P1259" s="807">
        <f t="shared" si="439"/>
        <v>0</v>
      </c>
      <c r="Q1259" s="807">
        <f t="shared" si="440"/>
        <v>0</v>
      </c>
      <c r="R1259" s="276"/>
      <c r="S1259" s="730" t="str">
        <f t="shared" si="457"/>
        <v/>
      </c>
      <c r="T1259" s="730" t="str">
        <f t="shared" si="457"/>
        <v/>
      </c>
      <c r="U1259" s="730" t="str">
        <f t="shared" si="457"/>
        <v/>
      </c>
      <c r="V1259" s="730" t="str">
        <f t="shared" si="456"/>
        <v/>
      </c>
      <c r="W1259" s="531"/>
      <c r="X1259" s="236"/>
      <c r="Y1259" s="236"/>
      <c r="Z1259" s="236"/>
    </row>
    <row r="1260" spans="1:26" s="256" customFormat="1" ht="11.25" customHeight="1">
      <c r="A1260" s="528" t="s">
        <v>221</v>
      </c>
      <c r="B1260" s="528" t="s">
        <v>223</v>
      </c>
      <c r="C1260" s="389"/>
      <c r="D1260" s="650" t="s">
        <v>98</v>
      </c>
      <c r="E1260" s="390" t="s">
        <v>99</v>
      </c>
      <c r="F1260" s="391">
        <f>+F1261</f>
        <v>22507999</v>
      </c>
      <c r="G1260" s="391">
        <f t="shared" ref="G1260:M1260" si="463">+G1261</f>
        <v>0</v>
      </c>
      <c r="H1260" s="391">
        <f t="shared" si="463"/>
        <v>0</v>
      </c>
      <c r="I1260" s="391">
        <f t="shared" si="463"/>
        <v>22507999</v>
      </c>
      <c r="J1260" s="391">
        <f t="shared" si="463"/>
        <v>18286699.16</v>
      </c>
      <c r="K1260" s="391">
        <f t="shared" si="463"/>
        <v>0</v>
      </c>
      <c r="L1260" s="391">
        <f t="shared" si="463"/>
        <v>0</v>
      </c>
      <c r="M1260" s="391">
        <f t="shared" si="463"/>
        <v>18286699.16</v>
      </c>
      <c r="N1260" s="391">
        <f t="shared" si="439"/>
        <v>4221299.84</v>
      </c>
      <c r="O1260" s="391">
        <f t="shared" si="439"/>
        <v>0</v>
      </c>
      <c r="P1260" s="391">
        <f t="shared" si="439"/>
        <v>0</v>
      </c>
      <c r="Q1260" s="391">
        <f t="shared" si="440"/>
        <v>4221299.84</v>
      </c>
      <c r="R1260" s="101"/>
      <c r="S1260" s="254">
        <f t="shared" si="457"/>
        <v>0.81245334869616803</v>
      </c>
      <c r="T1260" s="254" t="str">
        <f t="shared" si="457"/>
        <v/>
      </c>
      <c r="U1260" s="254" t="str">
        <f t="shared" si="457"/>
        <v/>
      </c>
      <c r="V1260" s="254">
        <f t="shared" si="456"/>
        <v>0.81245334869616803</v>
      </c>
      <c r="W1260" s="531"/>
      <c r="Y1260" s="256" t="s">
        <v>598</v>
      </c>
      <c r="Z1260" s="256" t="s">
        <v>598</v>
      </c>
    </row>
    <row r="1261" spans="1:26" ht="11.25" customHeight="1">
      <c r="A1261" s="528" t="s">
        <v>221</v>
      </c>
      <c r="B1261" s="1013" t="s">
        <v>223</v>
      </c>
      <c r="C1261" s="728"/>
      <c r="D1261" s="649" t="s">
        <v>286</v>
      </c>
      <c r="E1261" s="729" t="s">
        <v>286</v>
      </c>
      <c r="F1261" s="103">
        <f>SUM('[3]chd11-SAOB'!W14)</f>
        <v>22507999</v>
      </c>
      <c r="G1261" s="103">
        <f>SUM('[3]chd11-SAOB'!W50)</f>
        <v>0</v>
      </c>
      <c r="H1261" s="103">
        <f>SUM('[3]chd11-SAOB'!W142)</f>
        <v>0</v>
      </c>
      <c r="I1261" s="103">
        <f>SUM(F1261:H1261)</f>
        <v>22507999</v>
      </c>
      <c r="J1261" s="103">
        <f>SUM('[3]chd11-SAOB'!W15)</f>
        <v>18286699.16</v>
      </c>
      <c r="K1261" s="103">
        <f>SUM('[3]chd11-SAOB'!W51)</f>
        <v>0</v>
      </c>
      <c r="L1261" s="103">
        <f>SUM('[3]chd11-SAOB'!W143)</f>
        <v>0</v>
      </c>
      <c r="M1261" s="103">
        <f>SUM(J1261:L1261)</f>
        <v>18286699.16</v>
      </c>
      <c r="N1261" s="103">
        <f t="shared" si="439"/>
        <v>4221299.84</v>
      </c>
      <c r="O1261" s="103">
        <f t="shared" si="439"/>
        <v>0</v>
      </c>
      <c r="P1261" s="103">
        <f t="shared" si="439"/>
        <v>0</v>
      </c>
      <c r="Q1261" s="103">
        <f t="shared" si="440"/>
        <v>4221299.84</v>
      </c>
      <c r="S1261" s="730">
        <f t="shared" si="457"/>
        <v>0.81245334869616803</v>
      </c>
      <c r="T1261" s="730" t="str">
        <f t="shared" si="457"/>
        <v/>
      </c>
      <c r="U1261" s="730" t="str">
        <f t="shared" si="457"/>
        <v/>
      </c>
      <c r="V1261" s="730">
        <f t="shared" si="456"/>
        <v>0.81245334869616803</v>
      </c>
      <c r="W1261" s="531"/>
      <c r="X1261" s="236"/>
      <c r="Y1261" s="236" t="s">
        <v>598</v>
      </c>
      <c r="Z1261" s="236"/>
    </row>
    <row r="1262" spans="1:26" s="272" customFormat="1" ht="11.25" customHeight="1">
      <c r="A1262" s="528" t="s">
        <v>221</v>
      </c>
      <c r="B1262" s="528" t="s">
        <v>223</v>
      </c>
      <c r="C1262" s="389"/>
      <c r="D1262" s="650" t="s">
        <v>98</v>
      </c>
      <c r="E1262" s="390" t="s">
        <v>100</v>
      </c>
      <c r="F1262" s="391">
        <f t="shared" ref="F1262:M1262" si="464">SUM(F1263:F1267)</f>
        <v>18414567</v>
      </c>
      <c r="G1262" s="391">
        <f t="shared" si="464"/>
        <v>14750000</v>
      </c>
      <c r="H1262" s="391">
        <f t="shared" si="464"/>
        <v>0</v>
      </c>
      <c r="I1262" s="391">
        <f t="shared" si="464"/>
        <v>33164567</v>
      </c>
      <c r="J1262" s="391">
        <f t="shared" si="464"/>
        <v>18389561.990000002</v>
      </c>
      <c r="K1262" s="391">
        <f t="shared" si="464"/>
        <v>9385673.1500000004</v>
      </c>
      <c r="L1262" s="391">
        <f t="shared" si="464"/>
        <v>0</v>
      </c>
      <c r="M1262" s="391">
        <f t="shared" si="464"/>
        <v>27775235.140000001</v>
      </c>
      <c r="N1262" s="391">
        <f t="shared" ref="N1262:P1328" si="465">+F1262-J1262</f>
        <v>25005.009999997914</v>
      </c>
      <c r="O1262" s="391">
        <f t="shared" si="465"/>
        <v>5364326.8499999996</v>
      </c>
      <c r="P1262" s="391">
        <f t="shared" si="465"/>
        <v>0</v>
      </c>
      <c r="Q1262" s="391">
        <f t="shared" ref="Q1262:Q1328" si="466">SUM(N1262:P1262)</f>
        <v>5389331.8599999975</v>
      </c>
      <c r="R1262" s="102"/>
      <c r="S1262" s="254">
        <f t="shared" si="457"/>
        <v>0.99864210708837209</v>
      </c>
      <c r="T1262" s="254">
        <f t="shared" si="457"/>
        <v>0.6363168237288136</v>
      </c>
      <c r="U1262" s="254" t="str">
        <f t="shared" si="457"/>
        <v/>
      </c>
      <c r="V1262" s="254">
        <f t="shared" si="456"/>
        <v>0.83749729462772726</v>
      </c>
      <c r="W1262" s="531"/>
      <c r="Y1262" s="272" t="s">
        <v>598</v>
      </c>
      <c r="Z1262" s="256" t="s">
        <v>598</v>
      </c>
    </row>
    <row r="1263" spans="1:26" ht="11.25" customHeight="1">
      <c r="A1263" s="528" t="s">
        <v>221</v>
      </c>
      <c r="B1263" s="1013" t="s">
        <v>223</v>
      </c>
      <c r="C1263" s="728"/>
      <c r="D1263" s="649" t="s">
        <v>288</v>
      </c>
      <c r="E1263" s="729" t="s">
        <v>288</v>
      </c>
      <c r="F1263" s="103">
        <f>SUM('[3]chd11-SAOB'!AA14)</f>
        <v>8185999</v>
      </c>
      <c r="G1263" s="103">
        <f>SUM('[3]chd11-SAOB'!AA50)</f>
        <v>0</v>
      </c>
      <c r="H1263" s="103">
        <f>SUM('[3]chd11-SAOB'!AA142)</f>
        <v>0</v>
      </c>
      <c r="I1263" s="103">
        <f>SUM(F1263:H1263)</f>
        <v>8185999</v>
      </c>
      <c r="J1263" s="103">
        <f>SUM('[3]chd11-SAOB'!AA15)</f>
        <v>8185999</v>
      </c>
      <c r="K1263" s="103">
        <f>SUM('[3]chd11-SAOB'!AA51)</f>
        <v>0</v>
      </c>
      <c r="L1263" s="103">
        <f>SUM('[3]chd11-SAOB'!AA143)</f>
        <v>0</v>
      </c>
      <c r="M1263" s="103">
        <f>SUM(J1263:L1263)</f>
        <v>8185999</v>
      </c>
      <c r="N1263" s="103">
        <f t="shared" si="465"/>
        <v>0</v>
      </c>
      <c r="O1263" s="103">
        <f t="shared" si="465"/>
        <v>0</v>
      </c>
      <c r="P1263" s="103">
        <f t="shared" si="465"/>
        <v>0</v>
      </c>
      <c r="Q1263" s="103">
        <f t="shared" si="466"/>
        <v>0</v>
      </c>
      <c r="S1263" s="730">
        <f t="shared" si="457"/>
        <v>1</v>
      </c>
      <c r="T1263" s="730" t="str">
        <f t="shared" si="457"/>
        <v/>
      </c>
      <c r="U1263" s="730" t="str">
        <f t="shared" si="457"/>
        <v/>
      </c>
      <c r="V1263" s="730">
        <f t="shared" si="456"/>
        <v>1</v>
      </c>
      <c r="W1263" s="531"/>
      <c r="X1263" s="236"/>
      <c r="Y1263" s="236" t="s">
        <v>598</v>
      </c>
      <c r="Z1263" s="236"/>
    </row>
    <row r="1264" spans="1:26" ht="11.25" customHeight="1">
      <c r="A1264" s="528" t="s">
        <v>221</v>
      </c>
      <c r="B1264" s="1013" t="s">
        <v>223</v>
      </c>
      <c r="C1264" s="728"/>
      <c r="D1264" s="649" t="s">
        <v>761</v>
      </c>
      <c r="E1264" s="729" t="s">
        <v>761</v>
      </c>
      <c r="F1264" s="104">
        <f>+'[3]chd11-SAOB'!C389</f>
        <v>5770000</v>
      </c>
      <c r="G1264" s="104"/>
      <c r="H1264" s="104"/>
      <c r="I1264" s="103">
        <f>SUM(F1264:H1264)</f>
        <v>5770000</v>
      </c>
      <c r="J1264" s="104">
        <f>+'[3]chd11-SAOB'!G389</f>
        <v>5745000</v>
      </c>
      <c r="K1264" s="104"/>
      <c r="L1264" s="104"/>
      <c r="M1264" s="103">
        <f>SUM(J1264:L1264)</f>
        <v>5745000</v>
      </c>
      <c r="N1264" s="103">
        <f t="shared" si="465"/>
        <v>25000</v>
      </c>
      <c r="O1264" s="103">
        <f t="shared" si="465"/>
        <v>0</v>
      </c>
      <c r="P1264" s="103">
        <f t="shared" si="465"/>
        <v>0</v>
      </c>
      <c r="Q1264" s="103">
        <f>SUM(N1264:P1264)</f>
        <v>25000</v>
      </c>
      <c r="S1264" s="730">
        <f t="shared" si="457"/>
        <v>0.99566724436741771</v>
      </c>
      <c r="T1264" s="730" t="str">
        <f t="shared" si="457"/>
        <v/>
      </c>
      <c r="U1264" s="730" t="str">
        <f t="shared" si="457"/>
        <v/>
      </c>
      <c r="V1264" s="730">
        <f t="shared" si="456"/>
        <v>0.99566724436741771</v>
      </c>
      <c r="W1264" s="531"/>
      <c r="X1264" s="236"/>
      <c r="Y1264" s="236" t="s">
        <v>688</v>
      </c>
      <c r="Z1264" s="236"/>
    </row>
    <row r="1265" spans="1:26" ht="11.25" customHeight="1">
      <c r="A1265" s="528" t="s">
        <v>221</v>
      </c>
      <c r="B1265" s="1013" t="s">
        <v>223</v>
      </c>
      <c r="C1265" s="410"/>
      <c r="D1265" s="647"/>
      <c r="E1265" s="461" t="s">
        <v>764</v>
      </c>
      <c r="F1265" s="104"/>
      <c r="G1265" s="104"/>
      <c r="H1265" s="104"/>
      <c r="I1265" s="103"/>
      <c r="J1265" s="104"/>
      <c r="K1265" s="104"/>
      <c r="L1265" s="104"/>
      <c r="M1265" s="103"/>
      <c r="N1265" s="103"/>
      <c r="O1265" s="103"/>
      <c r="P1265" s="103"/>
      <c r="Q1265" s="103"/>
      <c r="S1265" s="730" t="str">
        <f t="shared" si="457"/>
        <v/>
      </c>
      <c r="T1265" s="730" t="str">
        <f t="shared" si="457"/>
        <v/>
      </c>
      <c r="U1265" s="730" t="str">
        <f t="shared" si="457"/>
        <v/>
      </c>
      <c r="V1265" s="730" t="str">
        <f t="shared" si="456"/>
        <v/>
      </c>
      <c r="W1265" s="531"/>
      <c r="X1265" s="236"/>
      <c r="Y1265" s="236" t="s">
        <v>688</v>
      </c>
      <c r="Z1265" s="240"/>
    </row>
    <row r="1266" spans="1:26" ht="11.25" customHeight="1">
      <c r="A1266" s="528" t="s">
        <v>221</v>
      </c>
      <c r="B1266" s="1013" t="s">
        <v>223</v>
      </c>
      <c r="C1266" s="728"/>
      <c r="D1266" s="649" t="s">
        <v>289</v>
      </c>
      <c r="E1266" s="729" t="s">
        <v>289</v>
      </c>
      <c r="F1266" s="103">
        <f>SUM('[3]chd11-SAOB'!AE14)</f>
        <v>4458568</v>
      </c>
      <c r="G1266" s="103">
        <f>SUM('[3]chd11-SAOB'!AE50)</f>
        <v>0</v>
      </c>
      <c r="H1266" s="103">
        <f>SUM('[3]chd11-SAOB'!AE142)</f>
        <v>0</v>
      </c>
      <c r="I1266" s="103">
        <f>SUM(F1266:H1266)</f>
        <v>4458568</v>
      </c>
      <c r="J1266" s="103">
        <f>SUM('[3]chd11-SAOB'!AE15)</f>
        <v>4458562.99</v>
      </c>
      <c r="K1266" s="103">
        <f>SUM('[3]chd11-SAOB'!AE51)</f>
        <v>0</v>
      </c>
      <c r="L1266" s="103">
        <f>SUM('[3]chd11-SAOB'!AE143)</f>
        <v>0</v>
      </c>
      <c r="M1266" s="103">
        <f>SUM(J1266:L1266)</f>
        <v>4458562.99</v>
      </c>
      <c r="N1266" s="103">
        <f t="shared" si="465"/>
        <v>5.0099999997764826</v>
      </c>
      <c r="O1266" s="103">
        <f t="shared" si="465"/>
        <v>0</v>
      </c>
      <c r="P1266" s="103">
        <f t="shared" si="465"/>
        <v>0</v>
      </c>
      <c r="Q1266" s="103">
        <f t="shared" si="466"/>
        <v>5.0099999997764826</v>
      </c>
      <c r="S1266" s="730">
        <f t="shared" si="457"/>
        <v>0.99999887632082773</v>
      </c>
      <c r="T1266" s="730" t="str">
        <f t="shared" si="457"/>
        <v/>
      </c>
      <c r="U1266" s="730" t="str">
        <f t="shared" si="457"/>
        <v/>
      </c>
      <c r="V1266" s="730">
        <f t="shared" si="456"/>
        <v>0.99999887632082773</v>
      </c>
      <c r="W1266" s="531"/>
      <c r="X1266" s="236"/>
      <c r="Y1266" s="236" t="s">
        <v>598</v>
      </c>
      <c r="Z1266" s="236"/>
    </row>
    <row r="1267" spans="1:26" ht="11.25" customHeight="1">
      <c r="A1267" s="528" t="s">
        <v>221</v>
      </c>
      <c r="B1267" s="1013" t="s">
        <v>223</v>
      </c>
      <c r="C1267" s="728"/>
      <c r="D1267" s="649" t="s">
        <v>290</v>
      </c>
      <c r="E1267" s="729" t="s">
        <v>290</v>
      </c>
      <c r="F1267" s="103">
        <f>SUM('[3]chd11-SAOB'!AI14)</f>
        <v>0</v>
      </c>
      <c r="G1267" s="103">
        <f>SUM('[3]chd11-SAOB'!AI50)</f>
        <v>14750000</v>
      </c>
      <c r="H1267" s="103">
        <f>SUM('[3]chd11-SAOB'!AI142)</f>
        <v>0</v>
      </c>
      <c r="I1267" s="103">
        <f>SUM(F1267:H1267)</f>
        <v>14750000</v>
      </c>
      <c r="J1267" s="103">
        <f>SUM('[3]chd11-SAOB'!AI15)</f>
        <v>0</v>
      </c>
      <c r="K1267" s="103">
        <f>SUM('[3]chd11-SAOB'!AI51)</f>
        <v>9385673.1500000004</v>
      </c>
      <c r="L1267" s="103">
        <f>SUM('[3]chd11-SAOB'!AI143)</f>
        <v>0</v>
      </c>
      <c r="M1267" s="103">
        <f>SUM(J1267:L1267)</f>
        <v>9385673.1500000004</v>
      </c>
      <c r="N1267" s="103">
        <f t="shared" si="465"/>
        <v>0</v>
      </c>
      <c r="O1267" s="103">
        <f t="shared" si="465"/>
        <v>5364326.8499999996</v>
      </c>
      <c r="P1267" s="103">
        <f t="shared" si="465"/>
        <v>0</v>
      </c>
      <c r="Q1267" s="103">
        <f t="shared" si="466"/>
        <v>5364326.8499999996</v>
      </c>
      <c r="S1267" s="730" t="str">
        <f t="shared" si="457"/>
        <v/>
      </c>
      <c r="T1267" s="730">
        <f t="shared" si="457"/>
        <v>0.6363168237288136</v>
      </c>
      <c r="U1267" s="730" t="str">
        <f t="shared" si="457"/>
        <v/>
      </c>
      <c r="V1267" s="730">
        <f t="shared" si="456"/>
        <v>0.6363168237288136</v>
      </c>
      <c r="W1267" s="531"/>
      <c r="X1267" s="236"/>
      <c r="Y1267" s="236" t="s">
        <v>598</v>
      </c>
      <c r="Z1267" s="236"/>
    </row>
    <row r="1268" spans="1:26" s="259" customFormat="1" ht="11.25" customHeight="1">
      <c r="A1268" s="246" t="s">
        <v>221</v>
      </c>
      <c r="B1268" s="235" t="s">
        <v>223</v>
      </c>
      <c r="C1268" s="656"/>
      <c r="D1268" s="656"/>
      <c r="E1268" s="657" t="s">
        <v>4</v>
      </c>
      <c r="F1268" s="652">
        <f>+F1258+F1260+F1262</f>
        <v>274247566</v>
      </c>
      <c r="G1268" s="652">
        <f t="shared" ref="G1268:M1268" si="467">+G1258+G1260+G1262</f>
        <v>122951830</v>
      </c>
      <c r="H1268" s="652">
        <f t="shared" si="467"/>
        <v>52000000</v>
      </c>
      <c r="I1268" s="652">
        <f t="shared" si="467"/>
        <v>449199396</v>
      </c>
      <c r="J1268" s="652">
        <f t="shared" si="467"/>
        <v>251378356.31000003</v>
      </c>
      <c r="K1268" s="652">
        <f t="shared" si="467"/>
        <v>90210956.25</v>
      </c>
      <c r="L1268" s="652">
        <f t="shared" si="467"/>
        <v>50057794.579999998</v>
      </c>
      <c r="M1268" s="652">
        <f t="shared" si="467"/>
        <v>391647107.14000005</v>
      </c>
      <c r="N1268" s="652">
        <f t="shared" si="465"/>
        <v>22869209.689999968</v>
      </c>
      <c r="O1268" s="652">
        <f t="shared" si="465"/>
        <v>32740873.75</v>
      </c>
      <c r="P1268" s="652">
        <f t="shared" si="465"/>
        <v>1942205.4200000018</v>
      </c>
      <c r="Q1268" s="652">
        <f t="shared" si="466"/>
        <v>57552288.85999997</v>
      </c>
      <c r="R1268" s="653">
        <f>+Q1268-'[3]chd11-SAOB'!BC179</f>
        <v>0</v>
      </c>
      <c r="S1268" s="1008">
        <f t="shared" si="457"/>
        <v>0.91661107508243134</v>
      </c>
      <c r="T1268" s="1008">
        <f t="shared" si="457"/>
        <v>0.73370974836242775</v>
      </c>
      <c r="U1268" s="1008">
        <f t="shared" si="457"/>
        <v>0.96264989576923077</v>
      </c>
      <c r="V1268" s="1008">
        <f t="shared" si="456"/>
        <v>0.87187808048611015</v>
      </c>
      <c r="W1268" s="254"/>
      <c r="X1268" s="520"/>
      <c r="Y1268" s="610" t="s">
        <v>598</v>
      </c>
      <c r="Z1268" s="241" t="s">
        <v>598</v>
      </c>
    </row>
    <row r="1269" spans="1:26" ht="11.25" customHeight="1">
      <c r="A1269" s="246" t="s">
        <v>221</v>
      </c>
      <c r="B1269" s="235" t="s">
        <v>223</v>
      </c>
      <c r="C1269" s="410"/>
      <c r="D1269" s="386"/>
      <c r="E1269" s="461" t="s">
        <v>764</v>
      </c>
      <c r="F1269" s="103"/>
      <c r="G1269" s="103"/>
      <c r="H1269" s="103"/>
      <c r="I1269" s="103">
        <f>SUM(F1269:H1269)</f>
        <v>0</v>
      </c>
      <c r="J1269" s="103"/>
      <c r="K1269" s="103"/>
      <c r="L1269" s="103"/>
      <c r="M1269" s="103">
        <f>SUM(J1269:L1269)</f>
        <v>0</v>
      </c>
      <c r="N1269" s="103">
        <f t="shared" si="465"/>
        <v>0</v>
      </c>
      <c r="O1269" s="103">
        <f t="shared" si="465"/>
        <v>0</v>
      </c>
      <c r="P1269" s="103">
        <f t="shared" si="465"/>
        <v>0</v>
      </c>
      <c r="Q1269" s="103">
        <f t="shared" si="466"/>
        <v>0</v>
      </c>
      <c r="S1269" s="730" t="str">
        <f t="shared" si="457"/>
        <v/>
      </c>
      <c r="T1269" s="730" t="str">
        <f t="shared" si="457"/>
        <v/>
      </c>
      <c r="U1269" s="730" t="str">
        <f t="shared" si="457"/>
        <v/>
      </c>
      <c r="V1269" s="730" t="str">
        <f t="shared" si="456"/>
        <v/>
      </c>
      <c r="W1269" s="254"/>
      <c r="Y1269" s="610" t="s">
        <v>598</v>
      </c>
      <c r="Z1269" s="241" t="s">
        <v>598</v>
      </c>
    </row>
    <row r="1270" spans="1:26" s="675" customFormat="1" ht="11.25" customHeight="1">
      <c r="A1270" s="528" t="s">
        <v>221</v>
      </c>
      <c r="B1270" s="528" t="s">
        <v>224</v>
      </c>
      <c r="C1270" s="407" t="s">
        <v>98</v>
      </c>
      <c r="D1270" s="655" t="s">
        <v>107</v>
      </c>
      <c r="E1270" s="408" t="s">
        <v>842</v>
      </c>
      <c r="F1270" s="673"/>
      <c r="G1270" s="673"/>
      <c r="H1270" s="673"/>
      <c r="I1270" s="674"/>
      <c r="J1270" s="673"/>
      <c r="K1270" s="673"/>
      <c r="L1270" s="673"/>
      <c r="M1270" s="674"/>
      <c r="N1270" s="674">
        <f t="shared" si="465"/>
        <v>0</v>
      </c>
      <c r="O1270" s="674">
        <f t="shared" si="465"/>
        <v>0</v>
      </c>
      <c r="P1270" s="674">
        <f t="shared" si="465"/>
        <v>0</v>
      </c>
      <c r="Q1270" s="674">
        <f t="shared" si="466"/>
        <v>0</v>
      </c>
      <c r="R1270" s="101"/>
      <c r="S1270" s="254" t="str">
        <f t="shared" si="457"/>
        <v/>
      </c>
      <c r="T1270" s="254" t="str">
        <f t="shared" si="457"/>
        <v/>
      </c>
      <c r="U1270" s="254" t="str">
        <f t="shared" si="457"/>
        <v/>
      </c>
      <c r="V1270" s="254" t="str">
        <f t="shared" si="456"/>
        <v/>
      </c>
      <c r="W1270" s="531"/>
      <c r="Y1270" s="272" t="s">
        <v>598</v>
      </c>
      <c r="Z1270" s="260" t="s">
        <v>598</v>
      </c>
    </row>
    <row r="1271" spans="1:26" ht="11.25" customHeight="1">
      <c r="A1271" s="528" t="s">
        <v>221</v>
      </c>
      <c r="B1271" s="1013" t="s">
        <v>224</v>
      </c>
      <c r="C1271" s="461"/>
      <c r="D1271" s="645" t="s">
        <v>766</v>
      </c>
      <c r="E1271" s="447" t="s">
        <v>766</v>
      </c>
      <c r="F1271" s="104">
        <f>+'[3]chd11-SAOB'!C394</f>
        <v>113626000</v>
      </c>
      <c r="G1271" s="104">
        <f>+'[3]chd11-SAOB'!D394</f>
        <v>36765000</v>
      </c>
      <c r="H1271" s="104">
        <f>+'[3]chd11-SAOB'!E394</f>
        <v>0</v>
      </c>
      <c r="I1271" s="103">
        <f>SUM(F1271:H1271)</f>
        <v>150391000</v>
      </c>
      <c r="J1271" s="104">
        <f>+'[3]chd11-SAOB'!G394</f>
        <v>105351339.83</v>
      </c>
      <c r="K1271" s="104">
        <f>+'[3]chd11-SAOB'!H394</f>
        <v>31229232.949999999</v>
      </c>
      <c r="L1271" s="104">
        <f>+'[3]chd11-SAOB'!I394</f>
        <v>0</v>
      </c>
      <c r="M1271" s="103">
        <f>SUM(J1271:L1271)</f>
        <v>136580572.78</v>
      </c>
      <c r="N1271" s="103">
        <f t="shared" si="465"/>
        <v>8274660.1700000018</v>
      </c>
      <c r="O1271" s="103">
        <f t="shared" si="465"/>
        <v>5535767.0500000007</v>
      </c>
      <c r="P1271" s="103">
        <f t="shared" si="465"/>
        <v>0</v>
      </c>
      <c r="Q1271" s="103">
        <f t="shared" si="466"/>
        <v>13810427.220000003</v>
      </c>
      <c r="S1271" s="730">
        <f t="shared" si="457"/>
        <v>0.92717634898702761</v>
      </c>
      <c r="T1271" s="730">
        <f t="shared" si="457"/>
        <v>0.84942834081327345</v>
      </c>
      <c r="U1271" s="730" t="str">
        <f t="shared" si="457"/>
        <v/>
      </c>
      <c r="V1271" s="730">
        <f t="shared" si="456"/>
        <v>0.908169855775944</v>
      </c>
      <c r="W1271" s="531"/>
      <c r="X1271" s="236"/>
      <c r="Y1271" s="236" t="s">
        <v>688</v>
      </c>
      <c r="Z1271" s="236"/>
    </row>
    <row r="1272" spans="1:26" ht="11.25" customHeight="1">
      <c r="A1272" s="528" t="s">
        <v>221</v>
      </c>
      <c r="B1272" s="1013" t="s">
        <v>224</v>
      </c>
      <c r="C1272" s="728"/>
      <c r="D1272" s="649" t="s">
        <v>50</v>
      </c>
      <c r="E1272" s="447" t="s">
        <v>50</v>
      </c>
      <c r="F1272" s="104"/>
      <c r="G1272" s="104">
        <f>+'[3]chd11-SAOB'!D396</f>
        <v>38703765</v>
      </c>
      <c r="H1272" s="104">
        <f>+'[3]chd11-SAOB'!E396</f>
        <v>104000000</v>
      </c>
      <c r="I1272" s="103">
        <f>SUM(F1272:H1272)</f>
        <v>142703765</v>
      </c>
      <c r="J1272" s="104"/>
      <c r="K1272" s="104">
        <f>+'[3]chd11-SAOB'!H396</f>
        <v>28412421.709999997</v>
      </c>
      <c r="L1272" s="104">
        <f>+'[3]chd11-SAOB'!I396</f>
        <v>104000000</v>
      </c>
      <c r="M1272" s="103">
        <f>SUM(J1272:L1272)</f>
        <v>132412421.70999999</v>
      </c>
      <c r="N1272" s="103">
        <f t="shared" si="465"/>
        <v>0</v>
      </c>
      <c r="O1272" s="103">
        <f t="shared" si="465"/>
        <v>10291343.290000003</v>
      </c>
      <c r="P1272" s="103">
        <f t="shared" si="465"/>
        <v>0</v>
      </c>
      <c r="Q1272" s="103">
        <f t="shared" si="466"/>
        <v>10291343.290000003</v>
      </c>
      <c r="S1272" s="730" t="str">
        <f t="shared" si="457"/>
        <v/>
      </c>
      <c r="T1272" s="730">
        <f t="shared" si="457"/>
        <v>0.73409968539236425</v>
      </c>
      <c r="U1272" s="730">
        <f t="shared" si="457"/>
        <v>1</v>
      </c>
      <c r="V1272" s="730">
        <f t="shared" si="456"/>
        <v>0.92788316909508306</v>
      </c>
      <c r="W1272" s="531"/>
      <c r="X1272" s="236"/>
      <c r="Y1272" s="236" t="s">
        <v>688</v>
      </c>
      <c r="Z1272" s="236"/>
    </row>
    <row r="1273" spans="1:26" s="256" customFormat="1" ht="11.25" customHeight="1">
      <c r="A1273" s="528" t="s">
        <v>221</v>
      </c>
      <c r="B1273" s="528" t="s">
        <v>224</v>
      </c>
      <c r="C1273" s="389"/>
      <c r="D1273" s="650" t="s">
        <v>98</v>
      </c>
      <c r="E1273" s="390" t="s">
        <v>767</v>
      </c>
      <c r="F1273" s="391">
        <f>+F1271+F1272</f>
        <v>113626000</v>
      </c>
      <c r="G1273" s="391">
        <f t="shared" ref="G1273:M1273" si="468">+G1271+G1272</f>
        <v>75468765</v>
      </c>
      <c r="H1273" s="391">
        <f t="shared" si="468"/>
        <v>104000000</v>
      </c>
      <c r="I1273" s="391">
        <f t="shared" si="468"/>
        <v>293094765</v>
      </c>
      <c r="J1273" s="391">
        <f t="shared" si="468"/>
        <v>105351339.83</v>
      </c>
      <c r="K1273" s="391">
        <f t="shared" si="468"/>
        <v>59641654.659999996</v>
      </c>
      <c r="L1273" s="391">
        <f t="shared" si="468"/>
        <v>104000000</v>
      </c>
      <c r="M1273" s="391">
        <f t="shared" si="468"/>
        <v>268992994.49000001</v>
      </c>
      <c r="N1273" s="391">
        <f t="shared" si="465"/>
        <v>8274660.1700000018</v>
      </c>
      <c r="O1273" s="391">
        <f t="shared" si="465"/>
        <v>15827110.340000004</v>
      </c>
      <c r="P1273" s="391">
        <f t="shared" si="465"/>
        <v>0</v>
      </c>
      <c r="Q1273" s="391">
        <f t="shared" si="466"/>
        <v>24101770.510000005</v>
      </c>
      <c r="R1273" s="101"/>
      <c r="S1273" s="254">
        <f t="shared" si="457"/>
        <v>0.92717634898702761</v>
      </c>
      <c r="T1273" s="254">
        <f t="shared" si="457"/>
        <v>0.79028263759185668</v>
      </c>
      <c r="U1273" s="254">
        <f t="shared" si="457"/>
        <v>1</v>
      </c>
      <c r="V1273" s="254">
        <f t="shared" si="456"/>
        <v>0.91776799387733865</v>
      </c>
      <c r="W1273" s="531"/>
      <c r="Y1273" s="256" t="s">
        <v>598</v>
      </c>
      <c r="Z1273" s="256" t="s">
        <v>598</v>
      </c>
    </row>
    <row r="1274" spans="1:26" ht="11.25" hidden="1" customHeight="1">
      <c r="A1274" s="528" t="s">
        <v>221</v>
      </c>
      <c r="B1274" s="1013" t="s">
        <v>224</v>
      </c>
      <c r="C1274" s="410"/>
      <c r="D1274" s="651"/>
      <c r="E1274" s="806" t="s">
        <v>764</v>
      </c>
      <c r="F1274" s="807"/>
      <c r="G1274" s="807"/>
      <c r="H1274" s="807"/>
      <c r="I1274" s="807"/>
      <c r="J1274" s="807"/>
      <c r="K1274" s="807"/>
      <c r="L1274" s="807"/>
      <c r="M1274" s="807"/>
      <c r="N1274" s="807">
        <f t="shared" si="465"/>
        <v>0</v>
      </c>
      <c r="O1274" s="807">
        <f t="shared" si="465"/>
        <v>0</v>
      </c>
      <c r="P1274" s="807">
        <f t="shared" si="465"/>
        <v>0</v>
      </c>
      <c r="Q1274" s="807">
        <f t="shared" si="466"/>
        <v>0</v>
      </c>
      <c r="R1274" s="276"/>
      <c r="S1274" s="730" t="str">
        <f t="shared" si="457"/>
        <v/>
      </c>
      <c r="T1274" s="730" t="str">
        <f t="shared" si="457"/>
        <v/>
      </c>
      <c r="U1274" s="730" t="str">
        <f t="shared" si="457"/>
        <v/>
      </c>
      <c r="V1274" s="730" t="str">
        <f t="shared" si="456"/>
        <v/>
      </c>
      <c r="W1274" s="531"/>
      <c r="X1274" s="236"/>
      <c r="Y1274" s="236"/>
      <c r="Z1274" s="236"/>
    </row>
    <row r="1275" spans="1:26" s="256" customFormat="1" ht="11.25" customHeight="1">
      <c r="A1275" s="528" t="s">
        <v>221</v>
      </c>
      <c r="B1275" s="528" t="s">
        <v>224</v>
      </c>
      <c r="C1275" s="389"/>
      <c r="D1275" s="650" t="s">
        <v>98</v>
      </c>
      <c r="E1275" s="390" t="s">
        <v>99</v>
      </c>
      <c r="F1275" s="391">
        <f>+F1276</f>
        <v>10510000</v>
      </c>
      <c r="G1275" s="391">
        <f t="shared" ref="G1275:M1275" si="469">+G1276</f>
        <v>0</v>
      </c>
      <c r="H1275" s="391">
        <f t="shared" si="469"/>
        <v>0</v>
      </c>
      <c r="I1275" s="391">
        <f t="shared" si="469"/>
        <v>10510000</v>
      </c>
      <c r="J1275" s="391">
        <f t="shared" si="469"/>
        <v>9347549.4800000004</v>
      </c>
      <c r="K1275" s="391">
        <f t="shared" si="469"/>
        <v>0</v>
      </c>
      <c r="L1275" s="391">
        <f t="shared" si="469"/>
        <v>0</v>
      </c>
      <c r="M1275" s="391">
        <f t="shared" si="469"/>
        <v>9347549.4800000004</v>
      </c>
      <c r="N1275" s="391">
        <f t="shared" si="465"/>
        <v>1162450.5199999996</v>
      </c>
      <c r="O1275" s="391">
        <f t="shared" si="465"/>
        <v>0</v>
      </c>
      <c r="P1275" s="391">
        <f t="shared" si="465"/>
        <v>0</v>
      </c>
      <c r="Q1275" s="391">
        <f t="shared" si="466"/>
        <v>1162450.5199999996</v>
      </c>
      <c r="R1275" s="101"/>
      <c r="S1275" s="254">
        <f t="shared" si="457"/>
        <v>0.88939576403425313</v>
      </c>
      <c r="T1275" s="254" t="str">
        <f t="shared" si="457"/>
        <v/>
      </c>
      <c r="U1275" s="254" t="str">
        <f t="shared" si="457"/>
        <v/>
      </c>
      <c r="V1275" s="254">
        <f t="shared" si="456"/>
        <v>0.88939576403425313</v>
      </c>
      <c r="W1275" s="531"/>
      <c r="Y1275" s="256" t="s">
        <v>598</v>
      </c>
      <c r="Z1275" s="256" t="s">
        <v>598</v>
      </c>
    </row>
    <row r="1276" spans="1:26" ht="11.25" customHeight="1">
      <c r="A1276" s="528" t="s">
        <v>221</v>
      </c>
      <c r="B1276" s="1013" t="s">
        <v>224</v>
      </c>
      <c r="C1276" s="728"/>
      <c r="D1276" s="649" t="s">
        <v>286</v>
      </c>
      <c r="E1276" s="729" t="s">
        <v>286</v>
      </c>
      <c r="F1276" s="103">
        <f>SUM('[3]chd11-SAOB'!X14)</f>
        <v>10510000</v>
      </c>
      <c r="G1276" s="103">
        <f>SUM('[3]chd11-SAOB'!X50)</f>
        <v>0</v>
      </c>
      <c r="H1276" s="103">
        <f>SUM('[3]chd11-SAOB'!X142)</f>
        <v>0</v>
      </c>
      <c r="I1276" s="103">
        <f>SUM(F1276:H1276)</f>
        <v>10510000</v>
      </c>
      <c r="J1276" s="103">
        <f>SUM('[3]chd11-SAOB'!X15)</f>
        <v>9347549.4800000004</v>
      </c>
      <c r="K1276" s="103">
        <f>SUM('[3]chd11-SAOB'!X51)</f>
        <v>0</v>
      </c>
      <c r="L1276" s="103">
        <f>SUM('[3]chd11-SAOB'!X143)</f>
        <v>0</v>
      </c>
      <c r="M1276" s="103">
        <f>SUM(J1276:L1276)</f>
        <v>9347549.4800000004</v>
      </c>
      <c r="N1276" s="103">
        <f t="shared" si="465"/>
        <v>1162450.5199999996</v>
      </c>
      <c r="O1276" s="103">
        <f t="shared" si="465"/>
        <v>0</v>
      </c>
      <c r="P1276" s="103">
        <f t="shared" si="465"/>
        <v>0</v>
      </c>
      <c r="Q1276" s="103">
        <f t="shared" si="466"/>
        <v>1162450.5199999996</v>
      </c>
      <c r="S1276" s="730">
        <f t="shared" si="457"/>
        <v>0.88939576403425313</v>
      </c>
      <c r="T1276" s="730" t="str">
        <f t="shared" si="457"/>
        <v/>
      </c>
      <c r="U1276" s="730" t="str">
        <f t="shared" si="457"/>
        <v/>
      </c>
      <c r="V1276" s="730">
        <f t="shared" si="456"/>
        <v>0.88939576403425313</v>
      </c>
      <c r="W1276" s="531"/>
      <c r="X1276" s="236"/>
      <c r="Y1276" s="236" t="s">
        <v>598</v>
      </c>
      <c r="Z1276" s="236"/>
    </row>
    <row r="1277" spans="1:26" s="272" customFormat="1" ht="11.25" customHeight="1">
      <c r="A1277" s="528" t="s">
        <v>221</v>
      </c>
      <c r="B1277" s="528" t="s">
        <v>224</v>
      </c>
      <c r="C1277" s="389"/>
      <c r="D1277" s="650" t="s">
        <v>98</v>
      </c>
      <c r="E1277" s="390" t="s">
        <v>100</v>
      </c>
      <c r="F1277" s="391">
        <f t="shared" ref="F1277:M1277" si="470">SUM(F1278:F1282)</f>
        <v>8347468</v>
      </c>
      <c r="G1277" s="391">
        <f t="shared" si="470"/>
        <v>3600000</v>
      </c>
      <c r="H1277" s="391">
        <f t="shared" si="470"/>
        <v>0</v>
      </c>
      <c r="I1277" s="391">
        <f t="shared" si="470"/>
        <v>11947468</v>
      </c>
      <c r="J1277" s="391">
        <f t="shared" si="470"/>
        <v>8345697.21</v>
      </c>
      <c r="K1277" s="391">
        <f t="shared" si="470"/>
        <v>2084663</v>
      </c>
      <c r="L1277" s="391">
        <f t="shared" si="470"/>
        <v>0</v>
      </c>
      <c r="M1277" s="391">
        <f t="shared" si="470"/>
        <v>10430360.210000001</v>
      </c>
      <c r="N1277" s="391">
        <f t="shared" si="465"/>
        <v>1770.7900000000373</v>
      </c>
      <c r="O1277" s="391">
        <f t="shared" si="465"/>
        <v>1515337</v>
      </c>
      <c r="P1277" s="391">
        <f t="shared" si="465"/>
        <v>0</v>
      </c>
      <c r="Q1277" s="391">
        <f t="shared" si="466"/>
        <v>1517107.79</v>
      </c>
      <c r="R1277" s="102"/>
      <c r="S1277" s="254">
        <f t="shared" si="457"/>
        <v>0.99978786501487638</v>
      </c>
      <c r="T1277" s="254">
        <f t="shared" si="457"/>
        <v>0.57907305555555555</v>
      </c>
      <c r="U1277" s="254" t="str">
        <f t="shared" si="457"/>
        <v/>
      </c>
      <c r="V1277" s="254">
        <f t="shared" si="456"/>
        <v>0.87301846801347371</v>
      </c>
      <c r="W1277" s="531"/>
      <c r="Y1277" s="272" t="s">
        <v>598</v>
      </c>
      <c r="Z1277" s="256" t="s">
        <v>598</v>
      </c>
    </row>
    <row r="1278" spans="1:26" ht="11.25" customHeight="1">
      <c r="A1278" s="528" t="s">
        <v>221</v>
      </c>
      <c r="B1278" s="1013" t="s">
        <v>224</v>
      </c>
      <c r="C1278" s="728"/>
      <c r="D1278" s="649" t="s">
        <v>288</v>
      </c>
      <c r="E1278" s="729" t="s">
        <v>288</v>
      </c>
      <c r="F1278" s="103">
        <f>SUM('[3]chd11-SAOB'!AB14)</f>
        <v>0</v>
      </c>
      <c r="G1278" s="103">
        <f>SUM('[3]chd11-SAOB'!AB50)</f>
        <v>0</v>
      </c>
      <c r="H1278" s="103">
        <f>SUM('[3]chd11-SAOB'!AB142)</f>
        <v>0</v>
      </c>
      <c r="I1278" s="103">
        <f>SUM(F1278:H1278)</f>
        <v>0</v>
      </c>
      <c r="J1278" s="103">
        <f>SUM('[3]chd11-SAOB'!AB15)</f>
        <v>0</v>
      </c>
      <c r="K1278" s="103">
        <f>SUM('[3]chd11-SAOB'!AB51)</f>
        <v>0</v>
      </c>
      <c r="L1278" s="103">
        <f>SUM('[3]chd11-SAOB'!AB143)</f>
        <v>0</v>
      </c>
      <c r="M1278" s="103">
        <f>SUM(J1278:L1278)</f>
        <v>0</v>
      </c>
      <c r="N1278" s="103">
        <f t="shared" si="465"/>
        <v>0</v>
      </c>
      <c r="O1278" s="103">
        <f t="shared" si="465"/>
        <v>0</v>
      </c>
      <c r="P1278" s="103">
        <f t="shared" si="465"/>
        <v>0</v>
      </c>
      <c r="Q1278" s="103">
        <f t="shared" si="466"/>
        <v>0</v>
      </c>
      <c r="S1278" s="730" t="str">
        <f t="shared" si="457"/>
        <v/>
      </c>
      <c r="T1278" s="730" t="str">
        <f t="shared" si="457"/>
        <v/>
      </c>
      <c r="U1278" s="730" t="str">
        <f t="shared" si="457"/>
        <v/>
      </c>
      <c r="V1278" s="730" t="str">
        <f t="shared" si="456"/>
        <v/>
      </c>
      <c r="W1278" s="531"/>
      <c r="X1278" s="236"/>
      <c r="Y1278" s="236" t="s">
        <v>598</v>
      </c>
      <c r="Z1278" s="236"/>
    </row>
    <row r="1279" spans="1:26" ht="11.25" customHeight="1">
      <c r="A1279" s="528" t="s">
        <v>221</v>
      </c>
      <c r="B1279" s="1013" t="s">
        <v>224</v>
      </c>
      <c r="C1279" s="728"/>
      <c r="D1279" s="649" t="s">
        <v>761</v>
      </c>
      <c r="E1279" s="729" t="s">
        <v>761</v>
      </c>
      <c r="F1279" s="104">
        <f>+'[3]chd11-SAOB'!C396</f>
        <v>5275000</v>
      </c>
      <c r="G1279" s="104"/>
      <c r="H1279" s="104"/>
      <c r="I1279" s="103">
        <f>SUM(F1279:H1279)</f>
        <v>5275000</v>
      </c>
      <c r="J1279" s="104">
        <f>+'[3]chd11-SAOB'!G396</f>
        <v>5273250</v>
      </c>
      <c r="K1279" s="104"/>
      <c r="L1279" s="104"/>
      <c r="M1279" s="103">
        <f>SUM(J1279:L1279)</f>
        <v>5273250</v>
      </c>
      <c r="N1279" s="103">
        <f>+F1279-J1279</f>
        <v>1750</v>
      </c>
      <c r="O1279" s="103">
        <f>+G1279-K1279</f>
        <v>0</v>
      </c>
      <c r="P1279" s="103">
        <f>+H1279-L1279</f>
        <v>0</v>
      </c>
      <c r="Q1279" s="103">
        <f>SUM(N1279:P1279)</f>
        <v>1750</v>
      </c>
      <c r="S1279" s="730">
        <f t="shared" si="457"/>
        <v>0.99966824644549768</v>
      </c>
      <c r="T1279" s="730" t="str">
        <f t="shared" si="457"/>
        <v/>
      </c>
      <c r="U1279" s="730" t="str">
        <f t="shared" si="457"/>
        <v/>
      </c>
      <c r="V1279" s="730">
        <f t="shared" si="456"/>
        <v>0.99966824644549768</v>
      </c>
      <c r="W1279" s="531"/>
      <c r="X1279" s="236"/>
      <c r="Y1279" s="236" t="s">
        <v>688</v>
      </c>
      <c r="Z1279" s="236"/>
    </row>
    <row r="1280" spans="1:26" ht="11.25" customHeight="1">
      <c r="A1280" s="528" t="s">
        <v>221</v>
      </c>
      <c r="B1280" s="1013" t="s">
        <v>224</v>
      </c>
      <c r="C1280" s="410"/>
      <c r="D1280" s="647"/>
      <c r="E1280" s="461" t="s">
        <v>764</v>
      </c>
      <c r="F1280" s="104"/>
      <c r="G1280" s="104"/>
      <c r="H1280" s="104"/>
      <c r="I1280" s="103"/>
      <c r="J1280" s="104"/>
      <c r="K1280" s="104"/>
      <c r="L1280" s="104"/>
      <c r="M1280" s="103"/>
      <c r="N1280" s="103"/>
      <c r="O1280" s="103"/>
      <c r="P1280" s="103"/>
      <c r="Q1280" s="103"/>
      <c r="S1280" s="730" t="str">
        <f t="shared" si="457"/>
        <v/>
      </c>
      <c r="T1280" s="730" t="str">
        <f t="shared" si="457"/>
        <v/>
      </c>
      <c r="U1280" s="730" t="str">
        <f t="shared" si="457"/>
        <v/>
      </c>
      <c r="V1280" s="730" t="str">
        <f t="shared" si="456"/>
        <v/>
      </c>
      <c r="W1280" s="531"/>
      <c r="X1280" s="236"/>
      <c r="Y1280" s="236" t="s">
        <v>688</v>
      </c>
      <c r="Z1280" s="240"/>
    </row>
    <row r="1281" spans="1:26" ht="11.25" customHeight="1">
      <c r="A1281" s="528" t="s">
        <v>221</v>
      </c>
      <c r="B1281" s="1013" t="s">
        <v>224</v>
      </c>
      <c r="C1281" s="728"/>
      <c r="D1281" s="649" t="s">
        <v>289</v>
      </c>
      <c r="E1281" s="729" t="s">
        <v>289</v>
      </c>
      <c r="F1281" s="103">
        <f>SUM('[3]chd11-SAOB'!AF14)</f>
        <v>3072468</v>
      </c>
      <c r="G1281" s="103">
        <f>SUM('[3]chd11-SAOB'!AF50)</f>
        <v>0</v>
      </c>
      <c r="H1281" s="103">
        <f>SUM('[3]chd11-SAOB'!AF142)</f>
        <v>0</v>
      </c>
      <c r="I1281" s="103">
        <f>SUM(F1281:H1281)</f>
        <v>3072468</v>
      </c>
      <c r="J1281" s="103">
        <f>SUM('[3]chd11-SAOB'!AF15)</f>
        <v>3072447.21</v>
      </c>
      <c r="K1281" s="103">
        <f>SUM('[3]chd11-SAOB'!AF51)</f>
        <v>0</v>
      </c>
      <c r="L1281" s="103">
        <f>SUM('[3]chd11-SAOB'!AF143)</f>
        <v>0</v>
      </c>
      <c r="M1281" s="103">
        <f>SUM(J1281:L1281)</f>
        <v>3072447.21</v>
      </c>
      <c r="N1281" s="103">
        <f t="shared" si="465"/>
        <v>20.790000000037253</v>
      </c>
      <c r="O1281" s="103">
        <f t="shared" si="465"/>
        <v>0</v>
      </c>
      <c r="P1281" s="103">
        <f t="shared" si="465"/>
        <v>0</v>
      </c>
      <c r="Q1281" s="103">
        <f t="shared" si="466"/>
        <v>20.790000000037253</v>
      </c>
      <c r="S1281" s="730">
        <f t="shared" si="457"/>
        <v>0.99999323345271618</v>
      </c>
      <c r="T1281" s="730" t="str">
        <f t="shared" si="457"/>
        <v/>
      </c>
      <c r="U1281" s="730" t="str">
        <f t="shared" si="457"/>
        <v/>
      </c>
      <c r="V1281" s="730">
        <f t="shared" si="456"/>
        <v>0.99999323345271618</v>
      </c>
      <c r="W1281" s="531"/>
      <c r="X1281" s="236"/>
      <c r="Y1281" s="236" t="s">
        <v>598</v>
      </c>
      <c r="Z1281" s="236"/>
    </row>
    <row r="1282" spans="1:26" ht="11.25" customHeight="1">
      <c r="A1282" s="528" t="s">
        <v>221</v>
      </c>
      <c r="B1282" s="1013" t="s">
        <v>224</v>
      </c>
      <c r="C1282" s="728"/>
      <c r="D1282" s="649" t="s">
        <v>290</v>
      </c>
      <c r="E1282" s="729" t="s">
        <v>290</v>
      </c>
      <c r="F1282" s="103">
        <f>SUM('[3]chd11-SAOB'!AJ14)</f>
        <v>0</v>
      </c>
      <c r="G1282" s="103">
        <f>SUM('[3]chd11-SAOB'!AJ50)</f>
        <v>3600000</v>
      </c>
      <c r="H1282" s="103">
        <f>SUM('[3]chd11-SAOB'!AJ142)</f>
        <v>0</v>
      </c>
      <c r="I1282" s="103">
        <f>SUM(F1282:H1282)</f>
        <v>3600000</v>
      </c>
      <c r="J1282" s="103">
        <f>SUM('[3]chd11-SAOB'!AJ15)</f>
        <v>0</v>
      </c>
      <c r="K1282" s="103">
        <f>SUM('[3]chd11-SAOB'!AJ51)</f>
        <v>2084663</v>
      </c>
      <c r="L1282" s="103">
        <f>SUM('[3]chd11-SAOB'!AJ143)</f>
        <v>0</v>
      </c>
      <c r="M1282" s="103">
        <f>SUM(J1282:L1282)</f>
        <v>2084663</v>
      </c>
      <c r="N1282" s="103">
        <f t="shared" si="465"/>
        <v>0</v>
      </c>
      <c r="O1282" s="103">
        <f t="shared" si="465"/>
        <v>1515337</v>
      </c>
      <c r="P1282" s="103">
        <f t="shared" si="465"/>
        <v>0</v>
      </c>
      <c r="Q1282" s="103">
        <f t="shared" si="466"/>
        <v>1515337</v>
      </c>
      <c r="S1282" s="730" t="str">
        <f t="shared" si="457"/>
        <v/>
      </c>
      <c r="T1282" s="730">
        <f t="shared" si="457"/>
        <v>0.57907305555555555</v>
      </c>
      <c r="U1282" s="730" t="str">
        <f t="shared" si="457"/>
        <v/>
      </c>
      <c r="V1282" s="730">
        <f t="shared" si="456"/>
        <v>0.57907305555555555</v>
      </c>
      <c r="W1282" s="531"/>
      <c r="X1282" s="236"/>
      <c r="Y1282" s="236" t="s">
        <v>598</v>
      </c>
      <c r="Z1282" s="236"/>
    </row>
    <row r="1283" spans="1:26" s="259" customFormat="1" ht="11.25" customHeight="1">
      <c r="A1283" s="246" t="s">
        <v>221</v>
      </c>
      <c r="B1283" s="235" t="s">
        <v>224</v>
      </c>
      <c r="C1283" s="656"/>
      <c r="D1283" s="656"/>
      <c r="E1283" s="657" t="s">
        <v>4</v>
      </c>
      <c r="F1283" s="652">
        <f>+F1273+F1275+F1277</f>
        <v>132483468</v>
      </c>
      <c r="G1283" s="652">
        <f t="shared" ref="G1283:M1283" si="471">+G1273+G1275+G1277</f>
        <v>79068765</v>
      </c>
      <c r="H1283" s="652">
        <f t="shared" si="471"/>
        <v>104000000</v>
      </c>
      <c r="I1283" s="652">
        <f t="shared" si="471"/>
        <v>315552233</v>
      </c>
      <c r="J1283" s="652">
        <f t="shared" si="471"/>
        <v>123044586.52</v>
      </c>
      <c r="K1283" s="652">
        <f t="shared" si="471"/>
        <v>61726317.659999996</v>
      </c>
      <c r="L1283" s="652">
        <f t="shared" si="471"/>
        <v>104000000</v>
      </c>
      <c r="M1283" s="652">
        <f t="shared" si="471"/>
        <v>288770904.18000001</v>
      </c>
      <c r="N1283" s="652">
        <f t="shared" si="465"/>
        <v>9438881.4800000042</v>
      </c>
      <c r="O1283" s="652">
        <f t="shared" si="465"/>
        <v>17342447.340000004</v>
      </c>
      <c r="P1283" s="652">
        <f t="shared" si="465"/>
        <v>0</v>
      </c>
      <c r="Q1283" s="652">
        <f t="shared" si="466"/>
        <v>26781328.820000008</v>
      </c>
      <c r="R1283" s="653">
        <f>+Q1283-'[3]chd11-SAOB'!BD179</f>
        <v>0</v>
      </c>
      <c r="S1283" s="1008">
        <f t="shared" si="457"/>
        <v>0.92875426932513572</v>
      </c>
      <c r="T1283" s="1008">
        <f t="shared" si="457"/>
        <v>0.78066626764690195</v>
      </c>
      <c r="U1283" s="1008">
        <f t="shared" si="457"/>
        <v>1</v>
      </c>
      <c r="V1283" s="1008">
        <f t="shared" si="456"/>
        <v>0.91512869813854247</v>
      </c>
      <c r="W1283" s="254"/>
      <c r="X1283" s="520"/>
      <c r="Y1283" s="610" t="s">
        <v>598</v>
      </c>
      <c r="Z1283" s="241" t="s">
        <v>598</v>
      </c>
    </row>
    <row r="1284" spans="1:26" s="660" customFormat="1" ht="16.5" hidden="1" customHeight="1">
      <c r="A1284" s="246" t="s">
        <v>221</v>
      </c>
      <c r="B1284" s="1009" t="s">
        <v>224</v>
      </c>
      <c r="C1284" s="1428" t="s">
        <v>647</v>
      </c>
      <c r="D1284" s="1429"/>
      <c r="E1284" s="1430"/>
      <c r="F1284" s="659">
        <f>+F1268+F1283</f>
        <v>406731034</v>
      </c>
      <c r="G1284" s="659">
        <f>+G1268+G1283</f>
        <v>202020595</v>
      </c>
      <c r="H1284" s="659">
        <f>+H1268+H1283</f>
        <v>156000000</v>
      </c>
      <c r="I1284" s="659">
        <f>SUM(F1284:H1284)</f>
        <v>764751629</v>
      </c>
      <c r="J1284" s="659">
        <f>+J1268+J1283</f>
        <v>374422942.83000004</v>
      </c>
      <c r="K1284" s="659">
        <f>+K1268+K1283</f>
        <v>151937273.91</v>
      </c>
      <c r="L1284" s="659">
        <f>+L1268+L1283</f>
        <v>154057794.57999998</v>
      </c>
      <c r="M1284" s="659">
        <f>SUM(J1284:L1284)</f>
        <v>680418011.31999993</v>
      </c>
      <c r="N1284" s="659">
        <f t="shared" si="465"/>
        <v>32308091.169999957</v>
      </c>
      <c r="O1284" s="659">
        <f t="shared" si="465"/>
        <v>50083321.090000004</v>
      </c>
      <c r="P1284" s="659">
        <f t="shared" si="465"/>
        <v>1942205.4200000167</v>
      </c>
      <c r="Q1284" s="659">
        <f t="shared" si="466"/>
        <v>84333617.679999977</v>
      </c>
      <c r="S1284" s="1015">
        <f t="shared" si="457"/>
        <v>0.92056644694095324</v>
      </c>
      <c r="T1284" s="1015">
        <f t="shared" si="457"/>
        <v>0.75208804285523467</v>
      </c>
      <c r="U1284" s="1015">
        <f t="shared" si="457"/>
        <v>0.98754996525641014</v>
      </c>
      <c r="V1284" s="1015">
        <f t="shared" si="456"/>
        <v>0.88972417385985059</v>
      </c>
      <c r="W1284" s="254"/>
    </row>
    <row r="1285" spans="1:26" ht="11.25" hidden="1" customHeight="1">
      <c r="A1285" s="246" t="s">
        <v>221</v>
      </c>
      <c r="B1285" s="235" t="s">
        <v>649</v>
      </c>
      <c r="C1285" s="1016"/>
      <c r="D1285" s="386"/>
      <c r="E1285" s="461"/>
      <c r="F1285" s="103"/>
      <c r="G1285" s="103"/>
      <c r="H1285" s="103"/>
      <c r="I1285" s="103">
        <f>SUM(F1285:H1285)</f>
        <v>0</v>
      </c>
      <c r="J1285" s="103"/>
      <c r="K1285" s="103"/>
      <c r="L1285" s="103"/>
      <c r="M1285" s="103">
        <f>SUM(J1285:L1285)</f>
        <v>0</v>
      </c>
      <c r="N1285" s="103">
        <f t="shared" si="465"/>
        <v>0</v>
      </c>
      <c r="O1285" s="103">
        <f t="shared" si="465"/>
        <v>0</v>
      </c>
      <c r="P1285" s="103">
        <f t="shared" si="465"/>
        <v>0</v>
      </c>
      <c r="Q1285" s="103">
        <f t="shared" si="466"/>
        <v>0</v>
      </c>
      <c r="R1285" s="236"/>
      <c r="S1285" s="730" t="str">
        <f t="shared" si="457"/>
        <v/>
      </c>
      <c r="T1285" s="730" t="str">
        <f t="shared" si="457"/>
        <v/>
      </c>
      <c r="U1285" s="730" t="str">
        <f t="shared" si="457"/>
        <v/>
      </c>
      <c r="V1285" s="730" t="str">
        <f t="shared" si="456"/>
        <v/>
      </c>
      <c r="W1285" s="254"/>
      <c r="X1285" s="520" t="s">
        <v>598</v>
      </c>
      <c r="Z1285" s="241"/>
    </row>
    <row r="1286" spans="1:26" s="275" customFormat="1" ht="11.25" hidden="1" customHeight="1">
      <c r="A1286" s="246" t="s">
        <v>648</v>
      </c>
      <c r="B1286" s="246" t="s">
        <v>649</v>
      </c>
      <c r="C1286" s="407" t="s">
        <v>843</v>
      </c>
      <c r="D1286" s="407"/>
      <c r="E1286" s="408"/>
      <c r="F1286" s="409"/>
      <c r="G1286" s="409"/>
      <c r="H1286" s="409"/>
      <c r="I1286" s="409">
        <f>SUM(F1286:H1286)</f>
        <v>0</v>
      </c>
      <c r="J1286" s="409"/>
      <c r="K1286" s="409"/>
      <c r="L1286" s="409"/>
      <c r="M1286" s="409">
        <f>SUM(J1286:L1286)</f>
        <v>0</v>
      </c>
      <c r="N1286" s="409">
        <f t="shared" si="465"/>
        <v>0</v>
      </c>
      <c r="O1286" s="409">
        <f t="shared" si="465"/>
        <v>0</v>
      </c>
      <c r="P1286" s="409">
        <f t="shared" si="465"/>
        <v>0</v>
      </c>
      <c r="Q1286" s="409">
        <f t="shared" si="466"/>
        <v>0</v>
      </c>
      <c r="R1286" s="522"/>
      <c r="S1286" s="254" t="str">
        <f t="shared" si="457"/>
        <v/>
      </c>
      <c r="T1286" s="254" t="str">
        <f t="shared" si="457"/>
        <v/>
      </c>
      <c r="U1286" s="254" t="str">
        <f t="shared" si="457"/>
        <v/>
      </c>
      <c r="V1286" s="1002" t="str">
        <f t="shared" si="456"/>
        <v/>
      </c>
      <c r="W1286" s="254"/>
      <c r="X1286" s="274" t="s">
        <v>598</v>
      </c>
      <c r="Y1286" s="663"/>
      <c r="Z1286" s="253"/>
    </row>
    <row r="1287" spans="1:26" ht="11.25" hidden="1" customHeight="1">
      <c r="A1287" s="246" t="s">
        <v>648</v>
      </c>
      <c r="B1287" s="235" t="s">
        <v>649</v>
      </c>
      <c r="C1287" s="461"/>
      <c r="D1287" s="664" t="s">
        <v>766</v>
      </c>
      <c r="E1287" s="447" t="s">
        <v>766</v>
      </c>
      <c r="F1287" s="103">
        <f>+F1237+F1256+F1271</f>
        <v>424206000</v>
      </c>
      <c r="G1287" s="103">
        <f>+G1237+G1256+G1271</f>
        <v>273244000</v>
      </c>
      <c r="H1287" s="103">
        <f>+H1237+H1256+H1271</f>
        <v>0</v>
      </c>
      <c r="I1287" s="103">
        <f>SUM(F1287:H1287)</f>
        <v>697450000</v>
      </c>
      <c r="J1287" s="103">
        <f>+J1237+J1256+J1271</f>
        <v>382258504.67000002</v>
      </c>
      <c r="K1287" s="103">
        <f>+K1237+K1256+K1271</f>
        <v>197041996.25999999</v>
      </c>
      <c r="L1287" s="103">
        <f>+L1237+L1256+L1271</f>
        <v>0</v>
      </c>
      <c r="M1287" s="103">
        <f>SUM(J1287:L1287)</f>
        <v>579300500.93000007</v>
      </c>
      <c r="N1287" s="103">
        <f t="shared" si="465"/>
        <v>41947495.329999983</v>
      </c>
      <c r="O1287" s="103">
        <f t="shared" si="465"/>
        <v>76202003.74000001</v>
      </c>
      <c r="P1287" s="103">
        <f t="shared" si="465"/>
        <v>0</v>
      </c>
      <c r="Q1287" s="103">
        <f t="shared" si="466"/>
        <v>118149499.06999999</v>
      </c>
      <c r="R1287" s="236"/>
      <c r="S1287" s="730">
        <f t="shared" si="457"/>
        <v>0.90111527104755718</v>
      </c>
      <c r="T1287" s="730">
        <f t="shared" si="457"/>
        <v>0.72112103563115748</v>
      </c>
      <c r="U1287" s="730" t="str">
        <f t="shared" si="457"/>
        <v/>
      </c>
      <c r="V1287" s="730">
        <f t="shared" si="456"/>
        <v>0.83059789365545922</v>
      </c>
      <c r="W1287" s="254"/>
      <c r="X1287" s="237" t="s">
        <v>598</v>
      </c>
    </row>
    <row r="1288" spans="1:26" ht="11.25" hidden="1" customHeight="1">
      <c r="A1288" s="246" t="s">
        <v>648</v>
      </c>
      <c r="B1288" s="235" t="s">
        <v>649</v>
      </c>
      <c r="C1288" s="728"/>
      <c r="D1288" s="394" t="s">
        <v>50</v>
      </c>
      <c r="E1288" s="447" t="s">
        <v>50</v>
      </c>
      <c r="F1288" s="103">
        <f>+F1241+F1257+F1272</f>
        <v>0</v>
      </c>
      <c r="G1288" s="103">
        <f>+G1241+G1257+G1272</f>
        <v>191553986.76999998</v>
      </c>
      <c r="H1288" s="103">
        <f>+H1241+H1257+H1272</f>
        <v>228100000</v>
      </c>
      <c r="I1288" s="103">
        <f>SUM(F1288:H1288)</f>
        <v>419653986.76999998</v>
      </c>
      <c r="J1288" s="103">
        <f>+J1241+J1257+J1272</f>
        <v>0</v>
      </c>
      <c r="K1288" s="103">
        <f>+K1241+K1257+K1272</f>
        <v>126531744.58999999</v>
      </c>
      <c r="L1288" s="103">
        <f>+L1241+L1257+L1272</f>
        <v>213606240.40000001</v>
      </c>
      <c r="M1288" s="103">
        <f>SUM(J1288:L1288)</f>
        <v>340137984.99000001</v>
      </c>
      <c r="N1288" s="103">
        <f t="shared" si="465"/>
        <v>0</v>
      </c>
      <c r="O1288" s="103">
        <f t="shared" si="465"/>
        <v>65022242.179999992</v>
      </c>
      <c r="P1288" s="103">
        <f t="shared" si="465"/>
        <v>14493759.599999994</v>
      </c>
      <c r="Q1288" s="103">
        <f t="shared" si="466"/>
        <v>79516001.779999986</v>
      </c>
      <c r="R1288" s="236"/>
      <c r="S1288" s="730" t="str">
        <f t="shared" si="457"/>
        <v/>
      </c>
      <c r="T1288" s="730">
        <f t="shared" si="457"/>
        <v>0.66055396039304271</v>
      </c>
      <c r="U1288" s="730">
        <f t="shared" si="457"/>
        <v>0.93645874791757999</v>
      </c>
      <c r="V1288" s="730">
        <f t="shared" si="456"/>
        <v>0.81052008491085692</v>
      </c>
      <c r="W1288" s="254"/>
      <c r="X1288" s="237" t="s">
        <v>598</v>
      </c>
    </row>
    <row r="1289" spans="1:26" s="256" customFormat="1" ht="11.25" hidden="1" customHeight="1">
      <c r="A1289" s="246" t="s">
        <v>648</v>
      </c>
      <c r="B1289" s="246" t="s">
        <v>649</v>
      </c>
      <c r="C1289" s="389"/>
      <c r="D1289" s="389" t="s">
        <v>98</v>
      </c>
      <c r="E1289" s="390" t="s">
        <v>767</v>
      </c>
      <c r="F1289" s="391">
        <f>+F1287+F1288</f>
        <v>424206000</v>
      </c>
      <c r="G1289" s="391">
        <f t="shared" ref="G1289:M1289" si="472">+G1287+G1288</f>
        <v>464797986.76999998</v>
      </c>
      <c r="H1289" s="391">
        <f t="shared" si="472"/>
        <v>228100000</v>
      </c>
      <c r="I1289" s="391">
        <f t="shared" si="472"/>
        <v>1117103986.77</v>
      </c>
      <c r="J1289" s="391">
        <f t="shared" si="472"/>
        <v>382258504.67000002</v>
      </c>
      <c r="K1289" s="391">
        <f t="shared" si="472"/>
        <v>323573740.84999996</v>
      </c>
      <c r="L1289" s="391">
        <f t="shared" si="472"/>
        <v>213606240.40000001</v>
      </c>
      <c r="M1289" s="391">
        <f t="shared" si="472"/>
        <v>919438485.92000008</v>
      </c>
      <c r="N1289" s="391">
        <f t="shared" si="465"/>
        <v>41947495.329999983</v>
      </c>
      <c r="O1289" s="391">
        <f t="shared" si="465"/>
        <v>141224245.92000002</v>
      </c>
      <c r="P1289" s="391">
        <f t="shared" si="465"/>
        <v>14493759.599999994</v>
      </c>
      <c r="Q1289" s="391">
        <f t="shared" si="466"/>
        <v>197665500.84999999</v>
      </c>
      <c r="R1289" s="665"/>
      <c r="S1289" s="254">
        <f t="shared" si="457"/>
        <v>0.90111527104755718</v>
      </c>
      <c r="T1289" s="254">
        <f t="shared" si="457"/>
        <v>0.69615994487970267</v>
      </c>
      <c r="U1289" s="254">
        <f t="shared" si="457"/>
        <v>0.93645874791757999</v>
      </c>
      <c r="V1289" s="297">
        <f t="shared" si="456"/>
        <v>0.82305541543940697</v>
      </c>
      <c r="W1289" s="254"/>
      <c r="X1289" s="271" t="s">
        <v>598</v>
      </c>
      <c r="Y1289" s="628"/>
      <c r="Z1289" s="255"/>
    </row>
    <row r="1290" spans="1:26" ht="11.25" hidden="1" customHeight="1">
      <c r="A1290" s="246" t="s">
        <v>648</v>
      </c>
      <c r="B1290" s="235" t="s">
        <v>649</v>
      </c>
      <c r="C1290" s="410"/>
      <c r="D1290" s="396"/>
      <c r="E1290" s="806"/>
      <c r="F1290" s="807"/>
      <c r="G1290" s="807"/>
      <c r="H1290" s="807"/>
      <c r="I1290" s="807"/>
      <c r="J1290" s="807"/>
      <c r="K1290" s="807"/>
      <c r="L1290" s="807"/>
      <c r="M1290" s="807"/>
      <c r="N1290" s="807">
        <f t="shared" si="465"/>
        <v>0</v>
      </c>
      <c r="O1290" s="807">
        <f t="shared" si="465"/>
        <v>0</v>
      </c>
      <c r="P1290" s="807">
        <f t="shared" si="465"/>
        <v>0</v>
      </c>
      <c r="Q1290" s="807">
        <f t="shared" si="466"/>
        <v>0</v>
      </c>
      <c r="R1290" s="276"/>
      <c r="S1290" s="730" t="str">
        <f t="shared" si="457"/>
        <v/>
      </c>
      <c r="T1290" s="730" t="str">
        <f t="shared" si="457"/>
        <v/>
      </c>
      <c r="U1290" s="730" t="str">
        <f t="shared" si="457"/>
        <v/>
      </c>
      <c r="V1290" s="730" t="str">
        <f t="shared" si="456"/>
        <v/>
      </c>
      <c r="W1290" s="254"/>
      <c r="X1290" s="237" t="s">
        <v>598</v>
      </c>
    </row>
    <row r="1291" spans="1:26" s="256" customFormat="1" ht="11.25" hidden="1" customHeight="1">
      <c r="A1291" s="246" t="s">
        <v>648</v>
      </c>
      <c r="B1291" s="246" t="s">
        <v>649</v>
      </c>
      <c r="C1291" s="389"/>
      <c r="D1291" s="389" t="s">
        <v>98</v>
      </c>
      <c r="E1291" s="390" t="s">
        <v>99</v>
      </c>
      <c r="F1291" s="391">
        <f>+F1292</f>
        <v>39576999</v>
      </c>
      <c r="G1291" s="391">
        <f t="shared" ref="G1291:M1291" si="473">+G1292</f>
        <v>0</v>
      </c>
      <c r="H1291" s="391">
        <f t="shared" si="473"/>
        <v>0</v>
      </c>
      <c r="I1291" s="391">
        <f t="shared" si="473"/>
        <v>39576999</v>
      </c>
      <c r="J1291" s="391">
        <f t="shared" si="473"/>
        <v>33099471.400000002</v>
      </c>
      <c r="K1291" s="391">
        <f t="shared" si="473"/>
        <v>0</v>
      </c>
      <c r="L1291" s="391">
        <f t="shared" si="473"/>
        <v>0</v>
      </c>
      <c r="M1291" s="391">
        <f t="shared" si="473"/>
        <v>33099471.400000002</v>
      </c>
      <c r="N1291" s="391">
        <f t="shared" si="465"/>
        <v>6477527.5999999978</v>
      </c>
      <c r="O1291" s="391">
        <f t="shared" si="465"/>
        <v>0</v>
      </c>
      <c r="P1291" s="391">
        <f t="shared" si="465"/>
        <v>0</v>
      </c>
      <c r="Q1291" s="391">
        <f t="shared" si="466"/>
        <v>6477527.5999999978</v>
      </c>
      <c r="R1291" s="522"/>
      <c r="S1291" s="254">
        <f t="shared" si="457"/>
        <v>0.83633100629989665</v>
      </c>
      <c r="T1291" s="254" t="str">
        <f t="shared" si="457"/>
        <v/>
      </c>
      <c r="U1291" s="254" t="str">
        <f t="shared" si="457"/>
        <v/>
      </c>
      <c r="V1291" s="297">
        <f t="shared" si="456"/>
        <v>0.83633100629989665</v>
      </c>
      <c r="W1291" s="254"/>
      <c r="X1291" s="271" t="s">
        <v>598</v>
      </c>
      <c r="Y1291" s="628"/>
      <c r="Z1291" s="255"/>
    </row>
    <row r="1292" spans="1:26" ht="11.25" hidden="1" customHeight="1">
      <c r="A1292" s="246" t="s">
        <v>648</v>
      </c>
      <c r="B1292" s="235" t="s">
        <v>649</v>
      </c>
      <c r="C1292" s="728"/>
      <c r="D1292" s="394" t="s">
        <v>286</v>
      </c>
      <c r="E1292" s="729" t="s">
        <v>286</v>
      </c>
      <c r="F1292" s="103">
        <f>+F1245+F1261+F1276</f>
        <v>39576999</v>
      </c>
      <c r="G1292" s="103">
        <f>+G1245+G1261+G1276</f>
        <v>0</v>
      </c>
      <c r="H1292" s="103">
        <f>+H1245+H1261+H1276</f>
        <v>0</v>
      </c>
      <c r="I1292" s="103">
        <f>SUM(F1292:H1292)</f>
        <v>39576999</v>
      </c>
      <c r="J1292" s="103">
        <f>+J1245+J1261+J1276</f>
        <v>33099471.400000002</v>
      </c>
      <c r="K1292" s="103">
        <f>+K1245+K1261+K1276</f>
        <v>0</v>
      </c>
      <c r="L1292" s="103">
        <f>+L1245+L1261+L1276</f>
        <v>0</v>
      </c>
      <c r="M1292" s="103">
        <f>SUM(J1292:L1292)</f>
        <v>33099471.400000002</v>
      </c>
      <c r="N1292" s="103">
        <f t="shared" si="465"/>
        <v>6477527.5999999978</v>
      </c>
      <c r="O1292" s="103">
        <f t="shared" si="465"/>
        <v>0</v>
      </c>
      <c r="P1292" s="103">
        <f t="shared" si="465"/>
        <v>0</v>
      </c>
      <c r="Q1292" s="103">
        <f t="shared" si="466"/>
        <v>6477527.5999999978</v>
      </c>
      <c r="R1292" s="236"/>
      <c r="S1292" s="730">
        <f t="shared" si="457"/>
        <v>0.83633100629989665</v>
      </c>
      <c r="T1292" s="730" t="str">
        <f t="shared" si="457"/>
        <v/>
      </c>
      <c r="U1292" s="730" t="str">
        <f t="shared" si="457"/>
        <v/>
      </c>
      <c r="V1292" s="730">
        <f t="shared" si="456"/>
        <v>0.83633100629989665</v>
      </c>
      <c r="W1292" s="254"/>
      <c r="X1292" s="237" t="s">
        <v>598</v>
      </c>
    </row>
    <row r="1293" spans="1:26" s="272" customFormat="1" ht="11.25" hidden="1" customHeight="1">
      <c r="A1293" s="246" t="s">
        <v>648</v>
      </c>
      <c r="B1293" s="246" t="s">
        <v>649</v>
      </c>
      <c r="C1293" s="389"/>
      <c r="D1293" s="389" t="s">
        <v>98</v>
      </c>
      <c r="E1293" s="390" t="s">
        <v>100</v>
      </c>
      <c r="F1293" s="391">
        <f t="shared" ref="F1293:M1293" si="474">SUM(F1294:F1298)</f>
        <v>29611456</v>
      </c>
      <c r="G1293" s="391">
        <f t="shared" si="474"/>
        <v>18350000</v>
      </c>
      <c r="H1293" s="391">
        <f t="shared" si="474"/>
        <v>0</v>
      </c>
      <c r="I1293" s="391">
        <f t="shared" si="474"/>
        <v>47961456</v>
      </c>
      <c r="J1293" s="391">
        <f t="shared" si="474"/>
        <v>29584667.220000003</v>
      </c>
      <c r="K1293" s="391">
        <f t="shared" si="474"/>
        <v>11470336.15</v>
      </c>
      <c r="L1293" s="391">
        <f t="shared" si="474"/>
        <v>0</v>
      </c>
      <c r="M1293" s="391">
        <f t="shared" si="474"/>
        <v>41055003.370000005</v>
      </c>
      <c r="N1293" s="391">
        <f t="shared" si="465"/>
        <v>26788.779999997467</v>
      </c>
      <c r="O1293" s="391">
        <f t="shared" si="465"/>
        <v>6879663.8499999996</v>
      </c>
      <c r="P1293" s="391">
        <f t="shared" si="465"/>
        <v>0</v>
      </c>
      <c r="Q1293" s="391">
        <f t="shared" si="466"/>
        <v>6906452.6299999971</v>
      </c>
      <c r="R1293" s="94"/>
      <c r="S1293" s="254">
        <f t="shared" si="457"/>
        <v>0.99909532378279553</v>
      </c>
      <c r="T1293" s="254">
        <f t="shared" si="457"/>
        <v>0.62508643869209812</v>
      </c>
      <c r="U1293" s="254" t="str">
        <f t="shared" si="457"/>
        <v/>
      </c>
      <c r="V1293" s="297">
        <f t="shared" si="456"/>
        <v>0.85599993815867481</v>
      </c>
      <c r="W1293" s="254"/>
      <c r="X1293" s="527" t="s">
        <v>598</v>
      </c>
      <c r="Y1293" s="629"/>
      <c r="Z1293" s="277"/>
    </row>
    <row r="1294" spans="1:26" ht="11.25" hidden="1" customHeight="1">
      <c r="A1294" s="246" t="s">
        <v>648</v>
      </c>
      <c r="B1294" s="235" t="s">
        <v>649</v>
      </c>
      <c r="C1294" s="728"/>
      <c r="D1294" s="394" t="s">
        <v>288</v>
      </c>
      <c r="E1294" s="729" t="s">
        <v>288</v>
      </c>
      <c r="F1294" s="103">
        <f t="shared" ref="F1294:H1295" si="475">+F1247+F1263+F1278</f>
        <v>8185999</v>
      </c>
      <c r="G1294" s="103">
        <f t="shared" si="475"/>
        <v>0</v>
      </c>
      <c r="H1294" s="103">
        <f t="shared" si="475"/>
        <v>0</v>
      </c>
      <c r="I1294" s="103">
        <f>SUM(F1294:H1294)</f>
        <v>8185999</v>
      </c>
      <c r="J1294" s="103">
        <f t="shared" ref="J1294:L1295" si="476">+J1247+J1263+J1278</f>
        <v>8185999</v>
      </c>
      <c r="K1294" s="103">
        <f t="shared" si="476"/>
        <v>0</v>
      </c>
      <c r="L1294" s="103">
        <f t="shared" si="476"/>
        <v>0</v>
      </c>
      <c r="M1294" s="103">
        <f>SUM(J1294:L1294)</f>
        <v>8185999</v>
      </c>
      <c r="N1294" s="103">
        <f t="shared" si="465"/>
        <v>0</v>
      </c>
      <c r="O1294" s="103">
        <f t="shared" si="465"/>
        <v>0</v>
      </c>
      <c r="P1294" s="103">
        <f t="shared" si="465"/>
        <v>0</v>
      </c>
      <c r="Q1294" s="103">
        <f t="shared" si="466"/>
        <v>0</v>
      </c>
      <c r="R1294" s="236"/>
      <c r="S1294" s="730">
        <f t="shared" si="457"/>
        <v>1</v>
      </c>
      <c r="T1294" s="730" t="str">
        <f t="shared" si="457"/>
        <v/>
      </c>
      <c r="U1294" s="730" t="str">
        <f t="shared" si="457"/>
        <v/>
      </c>
      <c r="V1294" s="730">
        <f t="shared" si="456"/>
        <v>1</v>
      </c>
      <c r="W1294" s="254"/>
      <c r="X1294" s="237" t="s">
        <v>598</v>
      </c>
    </row>
    <row r="1295" spans="1:26" ht="11.25" hidden="1" customHeight="1">
      <c r="A1295" s="246" t="s">
        <v>648</v>
      </c>
      <c r="B1295" s="235" t="s">
        <v>649</v>
      </c>
      <c r="C1295" s="728"/>
      <c r="D1295" s="394" t="s">
        <v>761</v>
      </c>
      <c r="E1295" s="729" t="s">
        <v>761</v>
      </c>
      <c r="F1295" s="103">
        <f t="shared" si="475"/>
        <v>12465000</v>
      </c>
      <c r="G1295" s="103">
        <f t="shared" si="475"/>
        <v>0</v>
      </c>
      <c r="H1295" s="103">
        <f t="shared" si="475"/>
        <v>0</v>
      </c>
      <c r="I1295" s="103">
        <f>SUM(F1295:H1295)</f>
        <v>12465000</v>
      </c>
      <c r="J1295" s="103">
        <f t="shared" si="476"/>
        <v>12438240.6</v>
      </c>
      <c r="K1295" s="103">
        <f t="shared" si="476"/>
        <v>0</v>
      </c>
      <c r="L1295" s="103">
        <f t="shared" si="476"/>
        <v>0</v>
      </c>
      <c r="M1295" s="103">
        <f>SUM(J1295:L1295)</f>
        <v>12438240.6</v>
      </c>
      <c r="N1295" s="103">
        <f>+F1295-J1295</f>
        <v>26759.400000000373</v>
      </c>
      <c r="O1295" s="103">
        <f t="shared" si="465"/>
        <v>0</v>
      </c>
      <c r="P1295" s="103">
        <f t="shared" si="465"/>
        <v>0</v>
      </c>
      <c r="Q1295" s="103">
        <f>SUM(N1295:P1295)</f>
        <v>26759.400000000373</v>
      </c>
      <c r="R1295" s="236"/>
      <c r="S1295" s="730">
        <f t="shared" si="457"/>
        <v>0.9978532370637786</v>
      </c>
      <c r="T1295" s="730" t="str">
        <f t="shared" si="457"/>
        <v/>
      </c>
      <c r="U1295" s="730" t="str">
        <f t="shared" si="457"/>
        <v/>
      </c>
      <c r="V1295" s="730">
        <f t="shared" si="456"/>
        <v>0.9978532370637786</v>
      </c>
      <c r="W1295" s="254"/>
      <c r="X1295" s="237" t="s">
        <v>598</v>
      </c>
    </row>
    <row r="1296" spans="1:26" ht="11.25" hidden="1" customHeight="1">
      <c r="A1296" s="246" t="s">
        <v>648</v>
      </c>
      <c r="B1296" s="235" t="s">
        <v>649</v>
      </c>
      <c r="C1296" s="410"/>
      <c r="D1296" s="386"/>
      <c r="E1296" s="461"/>
      <c r="F1296" s="104"/>
      <c r="G1296" s="104"/>
      <c r="H1296" s="104"/>
      <c r="I1296" s="103"/>
      <c r="J1296" s="104"/>
      <c r="K1296" s="104"/>
      <c r="L1296" s="104"/>
      <c r="M1296" s="103"/>
      <c r="N1296" s="103"/>
      <c r="O1296" s="103"/>
      <c r="P1296" s="103"/>
      <c r="Q1296" s="103"/>
      <c r="R1296" s="236"/>
      <c r="S1296" s="730" t="str">
        <f t="shared" si="457"/>
        <v/>
      </c>
      <c r="T1296" s="730" t="str">
        <f t="shared" si="457"/>
        <v/>
      </c>
      <c r="U1296" s="730" t="str">
        <f t="shared" si="457"/>
        <v/>
      </c>
      <c r="V1296" s="730" t="str">
        <f t="shared" si="456"/>
        <v/>
      </c>
      <c r="W1296" s="254"/>
      <c r="X1296" s="237" t="s">
        <v>598</v>
      </c>
    </row>
    <row r="1297" spans="1:26" ht="11.25" hidden="1" customHeight="1">
      <c r="A1297" s="246" t="s">
        <v>648</v>
      </c>
      <c r="B1297" s="235" t="s">
        <v>649</v>
      </c>
      <c r="C1297" s="728"/>
      <c r="D1297" s="394" t="s">
        <v>289</v>
      </c>
      <c r="E1297" s="729" t="s">
        <v>289</v>
      </c>
      <c r="F1297" s="103">
        <f t="shared" ref="F1297:H1298" si="477">+F1250+F1266+F1281</f>
        <v>8960457</v>
      </c>
      <c r="G1297" s="103">
        <f t="shared" si="477"/>
        <v>0</v>
      </c>
      <c r="H1297" s="103">
        <f t="shared" si="477"/>
        <v>0</v>
      </c>
      <c r="I1297" s="103">
        <f>SUM(F1297:H1297)</f>
        <v>8960457</v>
      </c>
      <c r="J1297" s="103">
        <f t="shared" ref="J1297:L1298" si="478">+J1250+J1266+J1281</f>
        <v>8960427.620000001</v>
      </c>
      <c r="K1297" s="103">
        <f t="shared" si="478"/>
        <v>0</v>
      </c>
      <c r="L1297" s="103">
        <f t="shared" si="478"/>
        <v>0</v>
      </c>
      <c r="M1297" s="103">
        <f>SUM(J1297:L1297)</f>
        <v>8960427.620000001</v>
      </c>
      <c r="N1297" s="103">
        <f t="shared" si="465"/>
        <v>29.379999998956919</v>
      </c>
      <c r="O1297" s="103">
        <f t="shared" si="465"/>
        <v>0</v>
      </c>
      <c r="P1297" s="103">
        <f t="shared" si="465"/>
        <v>0</v>
      </c>
      <c r="Q1297" s="103">
        <f t="shared" si="466"/>
        <v>29.379999998956919</v>
      </c>
      <c r="R1297" s="236"/>
      <c r="S1297" s="730">
        <f t="shared" si="457"/>
        <v>0.99999672114937899</v>
      </c>
      <c r="T1297" s="730" t="str">
        <f t="shared" si="457"/>
        <v/>
      </c>
      <c r="U1297" s="730" t="str">
        <f t="shared" si="457"/>
        <v/>
      </c>
      <c r="V1297" s="730">
        <f t="shared" si="456"/>
        <v>0.99999672114937899</v>
      </c>
      <c r="W1297" s="254"/>
      <c r="X1297" s="237" t="s">
        <v>598</v>
      </c>
    </row>
    <row r="1298" spans="1:26" ht="11.25" hidden="1" customHeight="1">
      <c r="A1298" s="246" t="s">
        <v>648</v>
      </c>
      <c r="B1298" s="235" t="s">
        <v>649</v>
      </c>
      <c r="C1298" s="728"/>
      <c r="D1298" s="394" t="s">
        <v>290</v>
      </c>
      <c r="E1298" s="729" t="s">
        <v>290</v>
      </c>
      <c r="F1298" s="103">
        <f t="shared" si="477"/>
        <v>0</v>
      </c>
      <c r="G1298" s="103">
        <f t="shared" si="477"/>
        <v>18350000</v>
      </c>
      <c r="H1298" s="103">
        <f t="shared" si="477"/>
        <v>0</v>
      </c>
      <c r="I1298" s="103">
        <f>SUM(F1298:H1298)</f>
        <v>18350000</v>
      </c>
      <c r="J1298" s="103">
        <f t="shared" si="478"/>
        <v>0</v>
      </c>
      <c r="K1298" s="103">
        <f t="shared" si="478"/>
        <v>11470336.15</v>
      </c>
      <c r="L1298" s="103">
        <f t="shared" si="478"/>
        <v>0</v>
      </c>
      <c r="M1298" s="103">
        <f>SUM(J1298:L1298)</f>
        <v>11470336.15</v>
      </c>
      <c r="N1298" s="103">
        <f t="shared" si="465"/>
        <v>0</v>
      </c>
      <c r="O1298" s="103">
        <f t="shared" si="465"/>
        <v>6879663.8499999996</v>
      </c>
      <c r="P1298" s="103">
        <f t="shared" si="465"/>
        <v>0</v>
      </c>
      <c r="Q1298" s="103">
        <f t="shared" si="466"/>
        <v>6879663.8499999996</v>
      </c>
      <c r="R1298" s="236"/>
      <c r="S1298" s="730" t="str">
        <f t="shared" si="457"/>
        <v/>
      </c>
      <c r="T1298" s="730">
        <f t="shared" si="457"/>
        <v>0.62508643869209812</v>
      </c>
      <c r="U1298" s="730" t="str">
        <f t="shared" si="457"/>
        <v/>
      </c>
      <c r="V1298" s="730">
        <f t="shared" si="456"/>
        <v>0.62508643869209812</v>
      </c>
      <c r="W1298" s="254"/>
      <c r="X1298" s="237" t="s">
        <v>598</v>
      </c>
    </row>
    <row r="1299" spans="1:26" s="266" customFormat="1" ht="18" customHeight="1">
      <c r="A1299" s="246" t="s">
        <v>648</v>
      </c>
      <c r="B1299" s="1009" t="s">
        <v>649</v>
      </c>
      <c r="C1299" s="1431" t="s">
        <v>650</v>
      </c>
      <c r="D1299" s="1432"/>
      <c r="E1299" s="1433"/>
      <c r="F1299" s="666">
        <f>+F1293+F1291+F1289</f>
        <v>493394455</v>
      </c>
      <c r="G1299" s="666">
        <f t="shared" ref="G1299:M1299" si="479">+G1293+G1291+G1289</f>
        <v>483147986.76999998</v>
      </c>
      <c r="H1299" s="666">
        <f t="shared" si="479"/>
        <v>228100000</v>
      </c>
      <c r="I1299" s="666">
        <f t="shared" si="479"/>
        <v>1204642441.77</v>
      </c>
      <c r="J1299" s="666">
        <f t="shared" si="479"/>
        <v>444942643.29000002</v>
      </c>
      <c r="K1299" s="666">
        <f t="shared" si="479"/>
        <v>335044076.99999994</v>
      </c>
      <c r="L1299" s="666">
        <f t="shared" si="479"/>
        <v>213606240.40000001</v>
      </c>
      <c r="M1299" s="666">
        <f t="shared" si="479"/>
        <v>993592960.69000006</v>
      </c>
      <c r="N1299" s="666">
        <f t="shared" si="465"/>
        <v>48451811.709999979</v>
      </c>
      <c r="O1299" s="666">
        <f t="shared" si="465"/>
        <v>148103909.77000004</v>
      </c>
      <c r="P1299" s="666">
        <f t="shared" si="465"/>
        <v>14493759.599999994</v>
      </c>
      <c r="Q1299" s="666">
        <f t="shared" si="466"/>
        <v>211049481.08000001</v>
      </c>
      <c r="R1299" s="667">
        <f>+Q1299-'[3]chd11-SAOB'!BE179</f>
        <v>0</v>
      </c>
      <c r="S1299" s="1010">
        <f t="shared" si="457"/>
        <v>0.90179903479053092</v>
      </c>
      <c r="T1299" s="1010">
        <f t="shared" si="457"/>
        <v>0.69346056730956818</v>
      </c>
      <c r="U1299" s="1010">
        <f t="shared" si="457"/>
        <v>0.93645874791757999</v>
      </c>
      <c r="V1299" s="1010">
        <f t="shared" si="456"/>
        <v>0.82480321648812105</v>
      </c>
      <c r="W1299" s="254"/>
      <c r="X1299" s="237" t="s">
        <v>598</v>
      </c>
      <c r="Y1299" s="610" t="s">
        <v>598</v>
      </c>
      <c r="Z1299" s="241" t="s">
        <v>598</v>
      </c>
    </row>
    <row r="1300" spans="1:26" ht="11.25" customHeight="1">
      <c r="A1300" s="246" t="s">
        <v>648</v>
      </c>
      <c r="B1300" s="235" t="s">
        <v>649</v>
      </c>
      <c r="C1300" s="410"/>
      <c r="D1300" s="681"/>
      <c r="E1300" s="461"/>
      <c r="F1300" s="104"/>
      <c r="G1300" s="104"/>
      <c r="H1300" s="104"/>
      <c r="I1300" s="103"/>
      <c r="J1300" s="104"/>
      <c r="K1300" s="104"/>
      <c r="L1300" s="104"/>
      <c r="M1300" s="103"/>
      <c r="N1300" s="103"/>
      <c r="O1300" s="103"/>
      <c r="P1300" s="103"/>
      <c r="Q1300" s="103"/>
      <c r="S1300" s="730" t="str">
        <f t="shared" si="457"/>
        <v/>
      </c>
      <c r="T1300" s="730" t="str">
        <f t="shared" si="457"/>
        <v/>
      </c>
      <c r="U1300" s="730" t="str">
        <f t="shared" si="457"/>
        <v/>
      </c>
      <c r="V1300" s="730" t="str">
        <f t="shared" si="456"/>
        <v/>
      </c>
      <c r="W1300" s="254"/>
      <c r="Y1300" s="610" t="s">
        <v>598</v>
      </c>
      <c r="Z1300" s="241" t="s">
        <v>598</v>
      </c>
    </row>
    <row r="1301" spans="1:26" ht="11.25" customHeight="1">
      <c r="A1301" s="528" t="s">
        <v>652</v>
      </c>
      <c r="B1301" s="528" t="s">
        <v>226</v>
      </c>
      <c r="C1301" s="408"/>
      <c r="D1301" s="682"/>
      <c r="E1301" s="408" t="s">
        <v>431</v>
      </c>
      <c r="F1301" s="104"/>
      <c r="G1301" s="104"/>
      <c r="H1301" s="104"/>
      <c r="I1301" s="103"/>
      <c r="J1301" s="104"/>
      <c r="K1301" s="104"/>
      <c r="L1301" s="104"/>
      <c r="M1301" s="103"/>
      <c r="N1301" s="103"/>
      <c r="O1301" s="103"/>
      <c r="P1301" s="103"/>
      <c r="Q1301" s="103"/>
      <c r="S1301" s="730" t="str">
        <f t="shared" si="457"/>
        <v/>
      </c>
      <c r="T1301" s="730" t="str">
        <f t="shared" si="457"/>
        <v/>
      </c>
      <c r="U1301" s="730" t="str">
        <f t="shared" si="457"/>
        <v/>
      </c>
      <c r="V1301" s="730" t="str">
        <f t="shared" si="456"/>
        <v/>
      </c>
      <c r="W1301" s="531"/>
      <c r="X1301" s="236"/>
      <c r="Y1301" s="236" t="s">
        <v>598</v>
      </c>
      <c r="Z1301" s="240" t="s">
        <v>598</v>
      </c>
    </row>
    <row r="1302" spans="1:26" ht="11.25" customHeight="1">
      <c r="A1302" s="528" t="s">
        <v>652</v>
      </c>
      <c r="B1302" s="1013" t="s">
        <v>226</v>
      </c>
      <c r="C1302" s="461"/>
      <c r="D1302" s="645" t="s">
        <v>766</v>
      </c>
      <c r="E1302" s="447" t="s">
        <v>766</v>
      </c>
      <c r="F1302" s="103">
        <f>SUM(F1303:F1305)</f>
        <v>67022000</v>
      </c>
      <c r="G1302" s="103">
        <f t="shared" ref="G1302:M1302" si="480">SUM(G1303:G1305)</f>
        <v>160267000</v>
      </c>
      <c r="H1302" s="103">
        <f t="shared" si="480"/>
        <v>0</v>
      </c>
      <c r="I1302" s="103">
        <f t="shared" si="480"/>
        <v>227289000</v>
      </c>
      <c r="J1302" s="103">
        <f t="shared" si="480"/>
        <v>56892590.170000002</v>
      </c>
      <c r="K1302" s="103">
        <f t="shared" si="480"/>
        <v>105638191.8</v>
      </c>
      <c r="L1302" s="103">
        <f t="shared" si="480"/>
        <v>0</v>
      </c>
      <c r="M1302" s="103">
        <f t="shared" si="480"/>
        <v>162530781.97</v>
      </c>
      <c r="N1302" s="103">
        <f t="shared" si="465"/>
        <v>10129409.829999998</v>
      </c>
      <c r="O1302" s="103">
        <f t="shared" si="465"/>
        <v>54628808.200000003</v>
      </c>
      <c r="P1302" s="103">
        <f t="shared" si="465"/>
        <v>0</v>
      </c>
      <c r="Q1302" s="103">
        <f t="shared" si="466"/>
        <v>64758218.030000001</v>
      </c>
      <c r="S1302" s="730">
        <f t="shared" si="457"/>
        <v>0.84886440526991136</v>
      </c>
      <c r="T1302" s="730">
        <f t="shared" si="457"/>
        <v>0.65913876094267687</v>
      </c>
      <c r="U1302" s="730" t="str">
        <f t="shared" si="457"/>
        <v/>
      </c>
      <c r="V1302" s="730">
        <f t="shared" si="456"/>
        <v>0.71508424063637044</v>
      </c>
      <c r="W1302" s="531"/>
      <c r="X1302" s="236"/>
      <c r="Y1302" s="236" t="s">
        <v>688</v>
      </c>
      <c r="Z1302" s="236"/>
    </row>
    <row r="1303" spans="1:26" ht="11.25" hidden="1" customHeight="1">
      <c r="A1303" s="528" t="s">
        <v>652</v>
      </c>
      <c r="B1303" s="1013" t="s">
        <v>226</v>
      </c>
      <c r="C1303" s="411"/>
      <c r="D1303" s="647" t="s">
        <v>98</v>
      </c>
      <c r="E1303" s="459" t="s">
        <v>775</v>
      </c>
      <c r="F1303" s="104">
        <f>+'[3]chd12-SAOB'!C14</f>
        <v>26632000</v>
      </c>
      <c r="G1303" s="104">
        <f>+'[3]chd12-SAOB'!C50</f>
        <v>8940000</v>
      </c>
      <c r="H1303" s="104">
        <f>+'[3]chd12-SAOB'!C142</f>
        <v>0</v>
      </c>
      <c r="I1303" s="103">
        <f>SUM(F1303:H1303)</f>
        <v>35572000</v>
      </c>
      <c r="J1303" s="104">
        <f>+'[3]chd12-SAOB'!C15</f>
        <v>21767331.18</v>
      </c>
      <c r="K1303" s="104">
        <f>+'[3]chd12-SAOB'!C51</f>
        <v>6663316.2400000012</v>
      </c>
      <c r="L1303" s="104">
        <f>+'[3]chd12-SAOB'!C143</f>
        <v>0</v>
      </c>
      <c r="M1303" s="103">
        <f>SUM(J1303:L1303)</f>
        <v>28430647.420000002</v>
      </c>
      <c r="N1303" s="103">
        <f t="shared" si="465"/>
        <v>4864668.82</v>
      </c>
      <c r="O1303" s="103">
        <f t="shared" si="465"/>
        <v>2276683.7599999988</v>
      </c>
      <c r="P1303" s="103">
        <f t="shared" si="465"/>
        <v>0</v>
      </c>
      <c r="Q1303" s="103">
        <f t="shared" si="466"/>
        <v>7141352.5799999991</v>
      </c>
      <c r="R1303" s="236"/>
      <c r="S1303" s="730">
        <f t="shared" si="457"/>
        <v>0.81733745794532897</v>
      </c>
      <c r="T1303" s="730">
        <f t="shared" si="457"/>
        <v>0.74533738702460861</v>
      </c>
      <c r="U1303" s="730" t="str">
        <f t="shared" si="457"/>
        <v/>
      </c>
      <c r="V1303" s="730">
        <f t="shared" si="457"/>
        <v>0.79924230911953231</v>
      </c>
      <c r="W1303" s="531"/>
      <c r="X1303" s="236"/>
      <c r="Y1303" s="236"/>
      <c r="Z1303" s="236"/>
    </row>
    <row r="1304" spans="1:26" ht="11.25" hidden="1" customHeight="1">
      <c r="A1304" s="528" t="s">
        <v>652</v>
      </c>
      <c r="B1304" s="1013" t="s">
        <v>226</v>
      </c>
      <c r="C1304" s="406" t="s">
        <v>776</v>
      </c>
      <c r="D1304" s="647" t="s">
        <v>98</v>
      </c>
      <c r="E1304" s="406" t="s">
        <v>776</v>
      </c>
      <c r="F1304" s="104">
        <f>+'[3]chd12-SAOB'!D14</f>
        <v>1563000</v>
      </c>
      <c r="G1304" s="104">
        <f>+'[3]chd12-SAOB'!D50</f>
        <v>6326000</v>
      </c>
      <c r="H1304" s="104">
        <f>+'[3]chd12-SAOB'!D142</f>
        <v>0</v>
      </c>
      <c r="I1304" s="103">
        <f>SUM(F1304:H1304)</f>
        <v>7889000</v>
      </c>
      <c r="J1304" s="104">
        <f>+'[3]chd12-SAOB'!D15</f>
        <v>1415652.1400000001</v>
      </c>
      <c r="K1304" s="104">
        <f>+'[3]chd12-SAOB'!D51</f>
        <v>2201236.17</v>
      </c>
      <c r="L1304" s="104">
        <f>+'[3]chd12-SAOB'!D143</f>
        <v>0</v>
      </c>
      <c r="M1304" s="103">
        <f>SUM(J1304:L1304)</f>
        <v>3616888.31</v>
      </c>
      <c r="N1304" s="103">
        <f t="shared" si="465"/>
        <v>147347.85999999987</v>
      </c>
      <c r="O1304" s="103">
        <f t="shared" si="465"/>
        <v>4124763.83</v>
      </c>
      <c r="P1304" s="103">
        <f t="shared" si="465"/>
        <v>0</v>
      </c>
      <c r="Q1304" s="103">
        <f t="shared" si="466"/>
        <v>4272111.6899999995</v>
      </c>
      <c r="R1304" s="236"/>
      <c r="S1304" s="730">
        <f t="shared" ref="S1304:V1367" si="481">IF(F1304=0,"",J1304/F1304)</f>
        <v>0.90572753678822782</v>
      </c>
      <c r="T1304" s="730">
        <f t="shared" si="481"/>
        <v>0.34796651438507742</v>
      </c>
      <c r="U1304" s="730" t="str">
        <f t="shared" si="481"/>
        <v/>
      </c>
      <c r="V1304" s="730">
        <f t="shared" si="481"/>
        <v>0.4584723425022183</v>
      </c>
      <c r="W1304" s="531"/>
      <c r="X1304" s="236"/>
      <c r="Y1304" s="236"/>
      <c r="Z1304" s="236"/>
    </row>
    <row r="1305" spans="1:26" ht="11.25" hidden="1" customHeight="1">
      <c r="A1305" s="528" t="s">
        <v>652</v>
      </c>
      <c r="B1305" s="1013" t="s">
        <v>226</v>
      </c>
      <c r="C1305" s="411"/>
      <c r="D1305" s="647" t="s">
        <v>98</v>
      </c>
      <c r="E1305" s="406" t="s">
        <v>777</v>
      </c>
      <c r="F1305" s="104">
        <f>+'[3]chd12-SAOB'!E14</f>
        <v>38827000</v>
      </c>
      <c r="G1305" s="104">
        <f>+'[3]chd12-SAOB'!E50</f>
        <v>145001000</v>
      </c>
      <c r="H1305" s="104">
        <f>+'[3]chd12-SAOB'!E142</f>
        <v>0</v>
      </c>
      <c r="I1305" s="103">
        <f>SUM(F1305:H1305)</f>
        <v>183828000</v>
      </c>
      <c r="J1305" s="104">
        <f>+'[3]chd12-SAOB'!E15</f>
        <v>33709606.850000001</v>
      </c>
      <c r="K1305" s="104">
        <f>+'[3]chd12-SAOB'!E51</f>
        <v>96773639.390000001</v>
      </c>
      <c r="L1305" s="104">
        <f>+'[3]chd12-SAOB'!E143</f>
        <v>0</v>
      </c>
      <c r="M1305" s="103">
        <f>SUM(J1305:L1305)</f>
        <v>130483246.24000001</v>
      </c>
      <c r="N1305" s="103">
        <f t="shared" si="465"/>
        <v>5117393.1499999985</v>
      </c>
      <c r="O1305" s="103">
        <f t="shared" si="465"/>
        <v>48227360.609999999</v>
      </c>
      <c r="P1305" s="103">
        <f t="shared" si="465"/>
        <v>0</v>
      </c>
      <c r="Q1305" s="103">
        <f t="shared" si="466"/>
        <v>53344753.759999998</v>
      </c>
      <c r="R1305" s="236"/>
      <c r="S1305" s="730">
        <f t="shared" si="481"/>
        <v>0.86820014036624005</v>
      </c>
      <c r="T1305" s="730">
        <f t="shared" si="481"/>
        <v>0.66739980682891842</v>
      </c>
      <c r="U1305" s="730" t="str">
        <f t="shared" si="481"/>
        <v/>
      </c>
      <c r="V1305" s="730">
        <f t="shared" si="481"/>
        <v>0.70981159692756279</v>
      </c>
      <c r="W1305" s="531"/>
      <c r="X1305" s="236"/>
      <c r="Y1305" s="236"/>
      <c r="Z1305" s="236"/>
    </row>
    <row r="1306" spans="1:26" ht="11.25" customHeight="1">
      <c r="A1306" s="528" t="s">
        <v>652</v>
      </c>
      <c r="B1306" s="1013" t="s">
        <v>226</v>
      </c>
      <c r="C1306" s="728"/>
      <c r="D1306" s="649" t="s">
        <v>50</v>
      </c>
      <c r="E1306" s="447" t="s">
        <v>50</v>
      </c>
      <c r="F1306" s="104"/>
      <c r="G1306" s="104">
        <f>+'[3]chd12-SAOB'!D382</f>
        <v>115654297.58</v>
      </c>
      <c r="H1306" s="104">
        <f>+'[3]chd12-SAOB'!E382</f>
        <v>104357980</v>
      </c>
      <c r="I1306" s="103">
        <f>SUM(F1306:H1306)</f>
        <v>220012277.57999998</v>
      </c>
      <c r="J1306" s="104"/>
      <c r="K1306" s="104">
        <f>+'[3]chd12-SAOB'!H382</f>
        <v>59874194.969999999</v>
      </c>
      <c r="L1306" s="104">
        <f>+'[3]chd12-SAOB'!I382</f>
        <v>84572524.929999992</v>
      </c>
      <c r="M1306" s="103">
        <f>SUM(J1306:L1306)</f>
        <v>144446719.89999998</v>
      </c>
      <c r="N1306" s="103">
        <f t="shared" si="465"/>
        <v>0</v>
      </c>
      <c r="O1306" s="103">
        <f t="shared" si="465"/>
        <v>55780102.609999999</v>
      </c>
      <c r="P1306" s="103">
        <f t="shared" si="465"/>
        <v>19785455.070000008</v>
      </c>
      <c r="Q1306" s="103">
        <f t="shared" si="466"/>
        <v>75565557.680000007</v>
      </c>
      <c r="S1306" s="730" t="str">
        <f t="shared" si="481"/>
        <v/>
      </c>
      <c r="T1306" s="730">
        <f t="shared" si="481"/>
        <v>0.5176996983495924</v>
      </c>
      <c r="U1306" s="730">
        <f t="shared" si="481"/>
        <v>0.81040783780981573</v>
      </c>
      <c r="V1306" s="730">
        <f t="shared" si="481"/>
        <v>0.6565393599340239</v>
      </c>
      <c r="W1306" s="531"/>
      <c r="X1306" s="236"/>
      <c r="Y1306" s="236" t="s">
        <v>688</v>
      </c>
      <c r="Z1306" s="236"/>
    </row>
    <row r="1307" spans="1:26" s="256" customFormat="1" ht="11.25" customHeight="1">
      <c r="A1307" s="528" t="s">
        <v>652</v>
      </c>
      <c r="B1307" s="528" t="s">
        <v>226</v>
      </c>
      <c r="C1307" s="389"/>
      <c r="D1307" s="650" t="s">
        <v>98</v>
      </c>
      <c r="E1307" s="390" t="s">
        <v>767</v>
      </c>
      <c r="F1307" s="391">
        <f>+F1306+F1302</f>
        <v>67022000</v>
      </c>
      <c r="G1307" s="391">
        <f t="shared" ref="G1307:M1307" si="482">+G1306+G1302</f>
        <v>275921297.57999998</v>
      </c>
      <c r="H1307" s="391">
        <f t="shared" si="482"/>
        <v>104357980</v>
      </c>
      <c r="I1307" s="391">
        <f t="shared" si="482"/>
        <v>447301277.57999998</v>
      </c>
      <c r="J1307" s="391">
        <f t="shared" si="482"/>
        <v>56892590.170000002</v>
      </c>
      <c r="K1307" s="391">
        <f t="shared" si="482"/>
        <v>165512386.76999998</v>
      </c>
      <c r="L1307" s="391">
        <f t="shared" si="482"/>
        <v>84572524.929999992</v>
      </c>
      <c r="M1307" s="391">
        <f t="shared" si="482"/>
        <v>306977501.87</v>
      </c>
      <c r="N1307" s="391">
        <f t="shared" si="465"/>
        <v>10129409.829999998</v>
      </c>
      <c r="O1307" s="391">
        <f t="shared" si="465"/>
        <v>110408910.81</v>
      </c>
      <c r="P1307" s="391">
        <f t="shared" si="465"/>
        <v>19785455.070000008</v>
      </c>
      <c r="Q1307" s="391">
        <f t="shared" si="466"/>
        <v>140323775.71000001</v>
      </c>
      <c r="R1307" s="101"/>
      <c r="S1307" s="254">
        <f t="shared" si="481"/>
        <v>0.84886440526991136</v>
      </c>
      <c r="T1307" s="254">
        <f t="shared" si="481"/>
        <v>0.5998536112349635</v>
      </c>
      <c r="U1307" s="254">
        <f t="shared" si="481"/>
        <v>0.81040783780981573</v>
      </c>
      <c r="V1307" s="254">
        <f t="shared" si="481"/>
        <v>0.68628800599635442</v>
      </c>
      <c r="W1307" s="531"/>
      <c r="Y1307" s="256" t="s">
        <v>598</v>
      </c>
      <c r="Z1307" s="256" t="s">
        <v>598</v>
      </c>
    </row>
    <row r="1308" spans="1:26" ht="11.25" hidden="1" customHeight="1">
      <c r="A1308" s="528" t="s">
        <v>652</v>
      </c>
      <c r="B1308" s="1013" t="s">
        <v>226</v>
      </c>
      <c r="C1308" s="410"/>
      <c r="D1308" s="651"/>
      <c r="E1308" s="806"/>
      <c r="F1308" s="807"/>
      <c r="G1308" s="807"/>
      <c r="H1308" s="807"/>
      <c r="I1308" s="807"/>
      <c r="J1308" s="807"/>
      <c r="K1308" s="807"/>
      <c r="L1308" s="807"/>
      <c r="M1308" s="807"/>
      <c r="N1308" s="807">
        <f t="shared" si="465"/>
        <v>0</v>
      </c>
      <c r="O1308" s="807">
        <f t="shared" si="465"/>
        <v>0</v>
      </c>
      <c r="P1308" s="807">
        <f t="shared" si="465"/>
        <v>0</v>
      </c>
      <c r="Q1308" s="807">
        <f t="shared" si="466"/>
        <v>0</v>
      </c>
      <c r="R1308" s="276"/>
      <c r="S1308" s="730" t="str">
        <f t="shared" si="481"/>
        <v/>
      </c>
      <c r="T1308" s="730" t="str">
        <f t="shared" si="481"/>
        <v/>
      </c>
      <c r="U1308" s="730" t="str">
        <f t="shared" si="481"/>
        <v/>
      </c>
      <c r="V1308" s="730" t="str">
        <f t="shared" si="481"/>
        <v/>
      </c>
      <c r="W1308" s="531"/>
      <c r="X1308" s="236"/>
      <c r="Y1308" s="236"/>
      <c r="Z1308" s="236"/>
    </row>
    <row r="1309" spans="1:26" s="256" customFormat="1" ht="11.25" customHeight="1">
      <c r="A1309" s="528" t="s">
        <v>652</v>
      </c>
      <c r="B1309" s="528" t="s">
        <v>226</v>
      </c>
      <c r="C1309" s="389"/>
      <c r="D1309" s="650" t="s">
        <v>98</v>
      </c>
      <c r="E1309" s="390" t="s">
        <v>99</v>
      </c>
      <c r="F1309" s="391">
        <f>+F1310</f>
        <v>5835000</v>
      </c>
      <c r="G1309" s="391">
        <f t="shared" ref="G1309:M1309" si="483">+G1310</f>
        <v>0</v>
      </c>
      <c r="H1309" s="391">
        <f t="shared" si="483"/>
        <v>0</v>
      </c>
      <c r="I1309" s="391">
        <f t="shared" si="483"/>
        <v>5835000</v>
      </c>
      <c r="J1309" s="391">
        <f t="shared" si="483"/>
        <v>4788354.96</v>
      </c>
      <c r="K1309" s="391">
        <f t="shared" si="483"/>
        <v>0</v>
      </c>
      <c r="L1309" s="391">
        <f t="shared" si="483"/>
        <v>0</v>
      </c>
      <c r="M1309" s="391">
        <f t="shared" si="483"/>
        <v>4788354.96</v>
      </c>
      <c r="N1309" s="391">
        <f t="shared" si="465"/>
        <v>1046645.04</v>
      </c>
      <c r="O1309" s="391">
        <f t="shared" si="465"/>
        <v>0</v>
      </c>
      <c r="P1309" s="391">
        <f t="shared" si="465"/>
        <v>0</v>
      </c>
      <c r="Q1309" s="391">
        <f t="shared" si="466"/>
        <v>1046645.04</v>
      </c>
      <c r="R1309" s="101"/>
      <c r="S1309" s="254">
        <f t="shared" si="481"/>
        <v>0.82062638560411305</v>
      </c>
      <c r="T1309" s="254" t="str">
        <f t="shared" si="481"/>
        <v/>
      </c>
      <c r="U1309" s="254" t="str">
        <f t="shared" si="481"/>
        <v/>
      </c>
      <c r="V1309" s="254">
        <f t="shared" si="481"/>
        <v>0.82062638560411305</v>
      </c>
      <c r="W1309" s="531"/>
      <c r="Y1309" s="256" t="s">
        <v>598</v>
      </c>
      <c r="Z1309" s="256" t="s">
        <v>598</v>
      </c>
    </row>
    <row r="1310" spans="1:26" ht="11.25" customHeight="1">
      <c r="A1310" s="528" t="s">
        <v>652</v>
      </c>
      <c r="B1310" s="1013" t="s">
        <v>226</v>
      </c>
      <c r="C1310" s="728"/>
      <c r="D1310" s="649" t="s">
        <v>286</v>
      </c>
      <c r="E1310" s="729" t="s">
        <v>286</v>
      </c>
      <c r="F1310" s="103">
        <f>SUM('[3]chd12-SAOB'!V14)</f>
        <v>5835000</v>
      </c>
      <c r="G1310" s="103">
        <f>SUM('[3]chd12-SAOB'!V50)</f>
        <v>0</v>
      </c>
      <c r="H1310" s="103">
        <f>SUM('[3]chd12-SAOB'!V142)</f>
        <v>0</v>
      </c>
      <c r="I1310" s="103">
        <f>SUM(F1310:H1310)</f>
        <v>5835000</v>
      </c>
      <c r="J1310" s="103">
        <f>SUM('[3]chd12-SAOB'!V15)</f>
        <v>4788354.96</v>
      </c>
      <c r="K1310" s="103">
        <f>SUM('[3]chd12-SAOB'!V51)</f>
        <v>0</v>
      </c>
      <c r="L1310" s="103">
        <f>SUM('[3]chd12-SAOB'!V143)</f>
        <v>0</v>
      </c>
      <c r="M1310" s="103">
        <f>SUM(J1310:L1310)</f>
        <v>4788354.96</v>
      </c>
      <c r="N1310" s="103">
        <f t="shared" si="465"/>
        <v>1046645.04</v>
      </c>
      <c r="O1310" s="103">
        <f t="shared" si="465"/>
        <v>0</v>
      </c>
      <c r="P1310" s="103">
        <f t="shared" si="465"/>
        <v>0</v>
      </c>
      <c r="Q1310" s="103">
        <f t="shared" si="466"/>
        <v>1046645.04</v>
      </c>
      <c r="S1310" s="730">
        <f t="shared" si="481"/>
        <v>0.82062638560411305</v>
      </c>
      <c r="T1310" s="730" t="str">
        <f t="shared" si="481"/>
        <v/>
      </c>
      <c r="U1310" s="730" t="str">
        <f t="shared" si="481"/>
        <v/>
      </c>
      <c r="V1310" s="730">
        <f t="shared" si="481"/>
        <v>0.82062638560411305</v>
      </c>
      <c r="W1310" s="531"/>
      <c r="X1310" s="236"/>
      <c r="Y1310" s="236" t="s">
        <v>598</v>
      </c>
      <c r="Z1310" s="236"/>
    </row>
    <row r="1311" spans="1:26" s="272" customFormat="1" ht="11.25" customHeight="1">
      <c r="A1311" s="528" t="s">
        <v>652</v>
      </c>
      <c r="B1311" s="528" t="s">
        <v>226</v>
      </c>
      <c r="C1311" s="389"/>
      <c r="D1311" s="650" t="s">
        <v>98</v>
      </c>
      <c r="E1311" s="390" t="s">
        <v>100</v>
      </c>
      <c r="F1311" s="391">
        <f t="shared" ref="F1311:M1311" si="484">SUM(F1312:F1316)</f>
        <v>2575000</v>
      </c>
      <c r="G1311" s="391">
        <f t="shared" si="484"/>
        <v>0</v>
      </c>
      <c r="H1311" s="391">
        <f t="shared" si="484"/>
        <v>0</v>
      </c>
      <c r="I1311" s="391">
        <f t="shared" si="484"/>
        <v>2575000</v>
      </c>
      <c r="J1311" s="391">
        <f t="shared" si="484"/>
        <v>2575000</v>
      </c>
      <c r="K1311" s="391">
        <f t="shared" si="484"/>
        <v>0</v>
      </c>
      <c r="L1311" s="391">
        <f t="shared" si="484"/>
        <v>0</v>
      </c>
      <c r="M1311" s="391">
        <f t="shared" si="484"/>
        <v>2575000</v>
      </c>
      <c r="N1311" s="391">
        <f t="shared" si="465"/>
        <v>0</v>
      </c>
      <c r="O1311" s="391">
        <f t="shared" si="465"/>
        <v>0</v>
      </c>
      <c r="P1311" s="391">
        <f t="shared" si="465"/>
        <v>0</v>
      </c>
      <c r="Q1311" s="391">
        <f t="shared" si="466"/>
        <v>0</v>
      </c>
      <c r="R1311" s="102"/>
      <c r="S1311" s="254">
        <f t="shared" si="481"/>
        <v>1</v>
      </c>
      <c r="T1311" s="254" t="str">
        <f t="shared" si="481"/>
        <v/>
      </c>
      <c r="U1311" s="254" t="str">
        <f t="shared" si="481"/>
        <v/>
      </c>
      <c r="V1311" s="254">
        <f t="shared" si="481"/>
        <v>1</v>
      </c>
      <c r="W1311" s="531"/>
      <c r="Y1311" s="272" t="s">
        <v>598</v>
      </c>
      <c r="Z1311" s="256" t="s">
        <v>598</v>
      </c>
    </row>
    <row r="1312" spans="1:26" ht="11.25" customHeight="1">
      <c r="A1312" s="528" t="s">
        <v>652</v>
      </c>
      <c r="B1312" s="1013" t="s">
        <v>226</v>
      </c>
      <c r="C1312" s="728"/>
      <c r="D1312" s="649" t="s">
        <v>288</v>
      </c>
      <c r="E1312" s="729" t="s">
        <v>288</v>
      </c>
      <c r="F1312" s="103">
        <f>SUM('[3]chd12-SAOB'!Z14)</f>
        <v>0</v>
      </c>
      <c r="G1312" s="103">
        <f>SUM('[3]chd12-SAOB'!Z50)</f>
        <v>0</v>
      </c>
      <c r="H1312" s="103">
        <f>SUM('[3]chd12-SAOB'!Z142)</f>
        <v>0</v>
      </c>
      <c r="I1312" s="103">
        <f>SUM(F1312:H1312)</f>
        <v>0</v>
      </c>
      <c r="J1312" s="103">
        <f>SUM('[3]chd12-SAOB'!Z15)</f>
        <v>0</v>
      </c>
      <c r="K1312" s="103">
        <f>SUM('[3]chd12-SAOB'!Z51)</f>
        <v>0</v>
      </c>
      <c r="L1312" s="103">
        <f>SUM('[3]chd12-SAOB'!Z143)</f>
        <v>0</v>
      </c>
      <c r="M1312" s="103">
        <f>SUM(J1312:L1312)</f>
        <v>0</v>
      </c>
      <c r="N1312" s="103">
        <f t="shared" si="465"/>
        <v>0</v>
      </c>
      <c r="O1312" s="103">
        <f t="shared" si="465"/>
        <v>0</v>
      </c>
      <c r="P1312" s="103">
        <f t="shared" si="465"/>
        <v>0</v>
      </c>
      <c r="Q1312" s="103">
        <f t="shared" si="466"/>
        <v>0</v>
      </c>
      <c r="S1312" s="730" t="str">
        <f t="shared" si="481"/>
        <v/>
      </c>
      <c r="T1312" s="730" t="str">
        <f t="shared" si="481"/>
        <v/>
      </c>
      <c r="U1312" s="730" t="str">
        <f t="shared" si="481"/>
        <v/>
      </c>
      <c r="V1312" s="730" t="str">
        <f t="shared" si="481"/>
        <v/>
      </c>
      <c r="W1312" s="531"/>
      <c r="X1312" s="236"/>
      <c r="Y1312" s="236" t="s">
        <v>598</v>
      </c>
      <c r="Z1312" s="236"/>
    </row>
    <row r="1313" spans="1:26" ht="11.25" customHeight="1">
      <c r="A1313" s="528" t="s">
        <v>652</v>
      </c>
      <c r="B1313" s="1013" t="s">
        <v>226</v>
      </c>
      <c r="C1313" s="728"/>
      <c r="D1313" s="649" t="s">
        <v>761</v>
      </c>
      <c r="E1313" s="729" t="s">
        <v>761</v>
      </c>
      <c r="F1313" s="104">
        <f>+'[3]chd12-SAOB'!C382</f>
        <v>2575000</v>
      </c>
      <c r="G1313" s="104"/>
      <c r="H1313" s="104"/>
      <c r="I1313" s="103">
        <f>SUM(F1313:H1313)</f>
        <v>2575000</v>
      </c>
      <c r="J1313" s="104">
        <f>+'[3]chd12-SAOB'!G382</f>
        <v>2575000</v>
      </c>
      <c r="K1313" s="104"/>
      <c r="L1313" s="104"/>
      <c r="M1313" s="103">
        <f>SUM(J1313:L1313)</f>
        <v>2575000</v>
      </c>
      <c r="N1313" s="103">
        <f t="shared" si="465"/>
        <v>0</v>
      </c>
      <c r="O1313" s="103">
        <f>+G1313-K1313</f>
        <v>0</v>
      </c>
      <c r="P1313" s="103">
        <f>+H1313-L1313</f>
        <v>0</v>
      </c>
      <c r="Q1313" s="103">
        <f>SUM(N1313:P1313)</f>
        <v>0</v>
      </c>
      <c r="S1313" s="730">
        <f t="shared" si="481"/>
        <v>1</v>
      </c>
      <c r="T1313" s="730" t="str">
        <f t="shared" si="481"/>
        <v/>
      </c>
      <c r="U1313" s="730" t="str">
        <f t="shared" si="481"/>
        <v/>
      </c>
      <c r="V1313" s="730">
        <f t="shared" si="481"/>
        <v>1</v>
      </c>
      <c r="W1313" s="531"/>
      <c r="X1313" s="236"/>
      <c r="Y1313" s="236" t="s">
        <v>688</v>
      </c>
      <c r="Z1313" s="236"/>
    </row>
    <row r="1314" spans="1:26" ht="11.25" customHeight="1">
      <c r="A1314" s="528" t="s">
        <v>652</v>
      </c>
      <c r="B1314" s="1013" t="s">
        <v>226</v>
      </c>
      <c r="C1314" s="410"/>
      <c r="D1314" s="647"/>
      <c r="E1314" s="461"/>
      <c r="F1314" s="104"/>
      <c r="G1314" s="104"/>
      <c r="H1314" s="104"/>
      <c r="I1314" s="103"/>
      <c r="J1314" s="104"/>
      <c r="K1314" s="104"/>
      <c r="L1314" s="104"/>
      <c r="M1314" s="103"/>
      <c r="N1314" s="103"/>
      <c r="O1314" s="103"/>
      <c r="P1314" s="103"/>
      <c r="Q1314" s="103"/>
      <c r="S1314" s="730" t="str">
        <f t="shared" si="481"/>
        <v/>
      </c>
      <c r="T1314" s="730" t="str">
        <f t="shared" si="481"/>
        <v/>
      </c>
      <c r="U1314" s="730" t="str">
        <f t="shared" si="481"/>
        <v/>
      </c>
      <c r="V1314" s="730" t="str">
        <f t="shared" si="481"/>
        <v/>
      </c>
      <c r="W1314" s="531"/>
      <c r="X1314" s="236"/>
      <c r="Y1314" s="236" t="s">
        <v>688</v>
      </c>
      <c r="Z1314" s="240"/>
    </row>
    <row r="1315" spans="1:26" ht="11.25" customHeight="1">
      <c r="A1315" s="528" t="s">
        <v>652</v>
      </c>
      <c r="B1315" s="1013" t="s">
        <v>226</v>
      </c>
      <c r="C1315" s="728"/>
      <c r="D1315" s="649" t="s">
        <v>289</v>
      </c>
      <c r="E1315" s="729" t="s">
        <v>289</v>
      </c>
      <c r="F1315" s="103">
        <f>SUM('[3]chd12-SAOB'!AD14)</f>
        <v>0</v>
      </c>
      <c r="G1315" s="103">
        <f>SUM('[3]chd12-SAOB'!AD50)</f>
        <v>0</v>
      </c>
      <c r="H1315" s="103">
        <f>SUM('[3]chd12-SAOB'!AD142)</f>
        <v>0</v>
      </c>
      <c r="I1315" s="103">
        <f>SUM(F1315:H1315)</f>
        <v>0</v>
      </c>
      <c r="J1315" s="103">
        <f>SUM('[3]chd12-SAOB'!AD15)</f>
        <v>0</v>
      </c>
      <c r="K1315" s="103">
        <f>SUM('[3]chd12-SAOB'!AD51)</f>
        <v>0</v>
      </c>
      <c r="L1315" s="103">
        <f>SUM('[3]chd12-SAOB'!AD143)</f>
        <v>0</v>
      </c>
      <c r="M1315" s="103">
        <f>SUM(J1315:L1315)</f>
        <v>0</v>
      </c>
      <c r="N1315" s="103">
        <f t="shared" si="465"/>
        <v>0</v>
      </c>
      <c r="O1315" s="103">
        <f t="shared" si="465"/>
        <v>0</v>
      </c>
      <c r="P1315" s="103">
        <f t="shared" si="465"/>
        <v>0</v>
      </c>
      <c r="Q1315" s="103">
        <f t="shared" si="466"/>
        <v>0</v>
      </c>
      <c r="S1315" s="730" t="str">
        <f t="shared" si="481"/>
        <v/>
      </c>
      <c r="T1315" s="730" t="str">
        <f t="shared" si="481"/>
        <v/>
      </c>
      <c r="U1315" s="730" t="str">
        <f t="shared" si="481"/>
        <v/>
      </c>
      <c r="V1315" s="730" t="str">
        <f t="shared" si="481"/>
        <v/>
      </c>
      <c r="W1315" s="531"/>
      <c r="X1315" s="236"/>
      <c r="Y1315" s="236" t="s">
        <v>598</v>
      </c>
      <c r="Z1315" s="236"/>
    </row>
    <row r="1316" spans="1:26" ht="11.25" customHeight="1">
      <c r="A1316" s="528" t="s">
        <v>652</v>
      </c>
      <c r="B1316" s="1013" t="s">
        <v>226</v>
      </c>
      <c r="C1316" s="728"/>
      <c r="D1316" s="649" t="s">
        <v>290</v>
      </c>
      <c r="E1316" s="729" t="s">
        <v>290</v>
      </c>
      <c r="F1316" s="103">
        <f>SUM('[3]chd12-SAOB'!AH14)</f>
        <v>0</v>
      </c>
      <c r="G1316" s="103">
        <f>SUM('[3]chd12-SAOB'!AH50)</f>
        <v>0</v>
      </c>
      <c r="H1316" s="103">
        <f>SUM('[3]chd12-SAOB'!AH142)</f>
        <v>0</v>
      </c>
      <c r="I1316" s="103">
        <f>SUM(F1316:H1316)</f>
        <v>0</v>
      </c>
      <c r="J1316" s="103">
        <f>SUM('[3]chd12-SAOB'!AH15)</f>
        <v>0</v>
      </c>
      <c r="K1316" s="103">
        <f>SUM('[3]chd12-SAOB'!AH51)</f>
        <v>0</v>
      </c>
      <c r="L1316" s="103">
        <f>SUM('[3]chd12-SAOB'!AH143)</f>
        <v>0</v>
      </c>
      <c r="M1316" s="103">
        <f t="shared" ref="M1316:M1397" si="485">SUM(J1316:L1316)</f>
        <v>0</v>
      </c>
      <c r="N1316" s="103">
        <f t="shared" si="465"/>
        <v>0</v>
      </c>
      <c r="O1316" s="103">
        <f t="shared" si="465"/>
        <v>0</v>
      </c>
      <c r="P1316" s="103">
        <f t="shared" si="465"/>
        <v>0</v>
      </c>
      <c r="Q1316" s="103">
        <f t="shared" si="466"/>
        <v>0</v>
      </c>
      <c r="S1316" s="730" t="str">
        <f t="shared" si="481"/>
        <v/>
      </c>
      <c r="T1316" s="730" t="str">
        <f t="shared" si="481"/>
        <v/>
      </c>
      <c r="U1316" s="730" t="str">
        <f t="shared" si="481"/>
        <v/>
      </c>
      <c r="V1316" s="730" t="str">
        <f t="shared" si="481"/>
        <v/>
      </c>
      <c r="W1316" s="531"/>
      <c r="X1316" s="236"/>
      <c r="Y1316" s="236" t="s">
        <v>598</v>
      </c>
      <c r="Z1316" s="236"/>
    </row>
    <row r="1317" spans="1:26" s="671" customFormat="1" ht="11.25" customHeight="1">
      <c r="A1317" s="246" t="s">
        <v>652</v>
      </c>
      <c r="B1317" s="235" t="s">
        <v>226</v>
      </c>
      <c r="C1317" s="1425" t="s">
        <v>433</v>
      </c>
      <c r="D1317" s="1426"/>
      <c r="E1317" s="1427"/>
      <c r="F1317" s="652">
        <f t="shared" ref="F1317:M1317" si="486">+F1307+F1309+F1311</f>
        <v>75432000</v>
      </c>
      <c r="G1317" s="652">
        <f t="shared" si="486"/>
        <v>275921297.57999998</v>
      </c>
      <c r="H1317" s="652">
        <f t="shared" si="486"/>
        <v>104357980</v>
      </c>
      <c r="I1317" s="652">
        <f t="shared" si="486"/>
        <v>455711277.57999998</v>
      </c>
      <c r="J1317" s="652">
        <f t="shared" si="486"/>
        <v>64255945.130000003</v>
      </c>
      <c r="K1317" s="652">
        <f t="shared" si="486"/>
        <v>165512386.76999998</v>
      </c>
      <c r="L1317" s="652">
        <f t="shared" si="486"/>
        <v>84572524.929999992</v>
      </c>
      <c r="M1317" s="652">
        <f t="shared" si="486"/>
        <v>314340856.82999998</v>
      </c>
      <c r="N1317" s="652">
        <f t="shared" si="465"/>
        <v>11176054.869999997</v>
      </c>
      <c r="O1317" s="652">
        <f t="shared" si="465"/>
        <v>110408910.81</v>
      </c>
      <c r="P1317" s="652">
        <f t="shared" si="465"/>
        <v>19785455.070000008</v>
      </c>
      <c r="Q1317" s="652">
        <f t="shared" si="466"/>
        <v>141370420.75</v>
      </c>
      <c r="R1317" s="670">
        <f>+Q1317-'[3]chd12-SAOB'!BB179</f>
        <v>0</v>
      </c>
      <c r="S1317" s="1008">
        <f t="shared" si="481"/>
        <v>0.85183934046558496</v>
      </c>
      <c r="T1317" s="1008">
        <f t="shared" si="481"/>
        <v>0.5998536112349635</v>
      </c>
      <c r="U1317" s="1008">
        <f t="shared" si="481"/>
        <v>0.81040783780981573</v>
      </c>
      <c r="V1317" s="1008">
        <f t="shared" si="481"/>
        <v>0.68978072805059676</v>
      </c>
      <c r="W1317" s="254"/>
      <c r="X1317" s="237"/>
      <c r="Y1317" s="610" t="s">
        <v>598</v>
      </c>
      <c r="Z1317" s="241" t="s">
        <v>598</v>
      </c>
    </row>
    <row r="1318" spans="1:26" ht="11.25" customHeight="1">
      <c r="A1318" s="246" t="s">
        <v>652</v>
      </c>
      <c r="B1318" s="235" t="s">
        <v>226</v>
      </c>
      <c r="C1318" s="410"/>
      <c r="D1318" s="386"/>
      <c r="E1318" s="461"/>
      <c r="F1318" s="103"/>
      <c r="G1318" s="103"/>
      <c r="H1318" s="103"/>
      <c r="I1318" s="103">
        <f>SUM(F1318:H1318)</f>
        <v>0</v>
      </c>
      <c r="J1318" s="103"/>
      <c r="K1318" s="103"/>
      <c r="L1318" s="103"/>
      <c r="M1318" s="103">
        <f t="shared" si="485"/>
        <v>0</v>
      </c>
      <c r="N1318" s="103">
        <f t="shared" si="465"/>
        <v>0</v>
      </c>
      <c r="O1318" s="103">
        <f t="shared" si="465"/>
        <v>0</v>
      </c>
      <c r="P1318" s="103">
        <f t="shared" si="465"/>
        <v>0</v>
      </c>
      <c r="Q1318" s="103">
        <f t="shared" si="466"/>
        <v>0</v>
      </c>
      <c r="S1318" s="730" t="str">
        <f t="shared" si="481"/>
        <v/>
      </c>
      <c r="T1318" s="730" t="str">
        <f t="shared" si="481"/>
        <v/>
      </c>
      <c r="U1318" s="730" t="str">
        <f t="shared" si="481"/>
        <v/>
      </c>
      <c r="V1318" s="730" t="str">
        <f t="shared" si="481"/>
        <v/>
      </c>
      <c r="W1318" s="254"/>
      <c r="Y1318" s="610" t="s">
        <v>598</v>
      </c>
      <c r="Z1318" s="241" t="s">
        <v>598</v>
      </c>
    </row>
    <row r="1319" spans="1:26" ht="11.25" customHeight="1">
      <c r="A1319" s="246" t="s">
        <v>652</v>
      </c>
      <c r="B1319" s="235" t="s">
        <v>226</v>
      </c>
      <c r="C1319" s="410" t="s">
        <v>432</v>
      </c>
      <c r="D1319" s="386"/>
      <c r="E1319" s="461"/>
      <c r="F1319" s="104"/>
      <c r="G1319" s="104"/>
      <c r="H1319" s="104"/>
      <c r="I1319" s="103">
        <f>SUM(F1319:H1319)</f>
        <v>0</v>
      </c>
      <c r="J1319" s="104"/>
      <c r="K1319" s="104"/>
      <c r="L1319" s="104"/>
      <c r="M1319" s="103">
        <f t="shared" si="485"/>
        <v>0</v>
      </c>
      <c r="N1319" s="103">
        <f t="shared" si="465"/>
        <v>0</v>
      </c>
      <c r="O1319" s="103">
        <f t="shared" si="465"/>
        <v>0</v>
      </c>
      <c r="P1319" s="103">
        <f t="shared" si="465"/>
        <v>0</v>
      </c>
      <c r="Q1319" s="103">
        <f t="shared" si="466"/>
        <v>0</v>
      </c>
      <c r="S1319" s="730" t="str">
        <f t="shared" si="481"/>
        <v/>
      </c>
      <c r="T1319" s="730" t="str">
        <f t="shared" si="481"/>
        <v/>
      </c>
      <c r="U1319" s="730" t="str">
        <f t="shared" si="481"/>
        <v/>
      </c>
      <c r="V1319" s="730" t="str">
        <f t="shared" si="481"/>
        <v/>
      </c>
      <c r="W1319" s="254"/>
      <c r="Y1319" s="610" t="s">
        <v>598</v>
      </c>
      <c r="Z1319" s="241" t="s">
        <v>598</v>
      </c>
    </row>
    <row r="1320" spans="1:26" s="675" customFormat="1" ht="11.25" customHeight="1">
      <c r="A1320" s="528" t="s">
        <v>652</v>
      </c>
      <c r="B1320" s="528" t="s">
        <v>228</v>
      </c>
      <c r="C1320" s="407" t="s">
        <v>98</v>
      </c>
      <c r="D1320" s="655" t="s">
        <v>105</v>
      </c>
      <c r="E1320" s="408" t="s">
        <v>844</v>
      </c>
      <c r="F1320" s="673"/>
      <c r="G1320" s="673"/>
      <c r="H1320" s="673"/>
      <c r="I1320" s="674">
        <f>SUM(F1320:H1320)</f>
        <v>0</v>
      </c>
      <c r="J1320" s="673"/>
      <c r="K1320" s="673"/>
      <c r="L1320" s="673"/>
      <c r="M1320" s="674">
        <f t="shared" si="485"/>
        <v>0</v>
      </c>
      <c r="N1320" s="674">
        <f t="shared" si="465"/>
        <v>0</v>
      </c>
      <c r="O1320" s="674">
        <f t="shared" si="465"/>
        <v>0</v>
      </c>
      <c r="P1320" s="674">
        <f t="shared" si="465"/>
        <v>0</v>
      </c>
      <c r="Q1320" s="674">
        <f t="shared" si="466"/>
        <v>0</v>
      </c>
      <c r="R1320" s="101"/>
      <c r="S1320" s="254" t="str">
        <f t="shared" si="481"/>
        <v/>
      </c>
      <c r="T1320" s="254" t="str">
        <f t="shared" si="481"/>
        <v/>
      </c>
      <c r="U1320" s="254" t="str">
        <f t="shared" si="481"/>
        <v/>
      </c>
      <c r="V1320" s="254" t="str">
        <f t="shared" si="481"/>
        <v/>
      </c>
      <c r="W1320" s="531"/>
      <c r="Y1320" s="272" t="s">
        <v>598</v>
      </c>
      <c r="Z1320" s="260" t="s">
        <v>598</v>
      </c>
    </row>
    <row r="1321" spans="1:26" ht="11.25" customHeight="1">
      <c r="A1321" s="528" t="s">
        <v>652</v>
      </c>
      <c r="B1321" s="1013" t="s">
        <v>228</v>
      </c>
      <c r="C1321" s="461"/>
      <c r="D1321" s="645" t="s">
        <v>766</v>
      </c>
      <c r="E1321" s="447" t="s">
        <v>766</v>
      </c>
      <c r="F1321" s="104">
        <f>+'[3]chd12-SAOB'!C387</f>
        <v>117947000</v>
      </c>
      <c r="G1321" s="104">
        <f>+'[3]chd12-SAOB'!D387</f>
        <v>41998000</v>
      </c>
      <c r="H1321" s="104">
        <f>+'[3]chd12-SAOB'!E387</f>
        <v>0</v>
      </c>
      <c r="I1321" s="103">
        <f>SUM(F1321:H1321)</f>
        <v>159945000</v>
      </c>
      <c r="J1321" s="104">
        <f>+'[3]chd12-SAOB'!G387</f>
        <v>111642052.28000002</v>
      </c>
      <c r="K1321" s="104">
        <f>+'[3]chd12-SAOB'!H387</f>
        <v>36490804.649999999</v>
      </c>
      <c r="L1321" s="104">
        <f>+'[3]chd12-SAOB'!I387</f>
        <v>0</v>
      </c>
      <c r="M1321" s="103">
        <f t="shared" si="485"/>
        <v>148132856.93000001</v>
      </c>
      <c r="N1321" s="103">
        <f t="shared" si="465"/>
        <v>6304947.7199999839</v>
      </c>
      <c r="O1321" s="103">
        <f t="shared" si="465"/>
        <v>5507195.3500000015</v>
      </c>
      <c r="P1321" s="103">
        <f t="shared" si="465"/>
        <v>0</v>
      </c>
      <c r="Q1321" s="103">
        <f t="shared" si="466"/>
        <v>11812143.069999985</v>
      </c>
      <c r="S1321" s="730">
        <f t="shared" si="481"/>
        <v>0.94654422986595688</v>
      </c>
      <c r="T1321" s="730">
        <f t="shared" si="481"/>
        <v>0.86887005690747177</v>
      </c>
      <c r="U1321" s="730" t="str">
        <f t="shared" si="481"/>
        <v/>
      </c>
      <c r="V1321" s="730">
        <f t="shared" si="481"/>
        <v>0.92614871943480581</v>
      </c>
      <c r="W1321" s="531"/>
      <c r="X1321" s="236"/>
      <c r="Y1321" s="236" t="s">
        <v>688</v>
      </c>
      <c r="Z1321" s="236"/>
    </row>
    <row r="1322" spans="1:26" ht="11.25" customHeight="1">
      <c r="A1322" s="528" t="s">
        <v>652</v>
      </c>
      <c r="B1322" s="1013" t="s">
        <v>228</v>
      </c>
      <c r="C1322" s="728"/>
      <c r="D1322" s="649" t="s">
        <v>50</v>
      </c>
      <c r="E1322" s="447" t="s">
        <v>50</v>
      </c>
      <c r="F1322" s="104"/>
      <c r="G1322" s="104">
        <f>+'[3]chd12-SAOB'!D389</f>
        <v>20084000</v>
      </c>
      <c r="H1322" s="104">
        <f>+'[3]chd12-SAOB'!E389</f>
        <v>0</v>
      </c>
      <c r="I1322" s="103">
        <f>SUM(F1322:H1322)</f>
        <v>20084000</v>
      </c>
      <c r="J1322" s="104"/>
      <c r="K1322" s="104">
        <f>+'[3]chd12-SAOB'!H389</f>
        <v>18570259.149999999</v>
      </c>
      <c r="L1322" s="104">
        <f>+'[3]chd12-SAOB'!I389</f>
        <v>0</v>
      </c>
      <c r="M1322" s="103">
        <f>SUM(J1322:L1322)</f>
        <v>18570259.149999999</v>
      </c>
      <c r="N1322" s="103">
        <f t="shared" si="465"/>
        <v>0</v>
      </c>
      <c r="O1322" s="103">
        <f t="shared" si="465"/>
        <v>1513740.8500000015</v>
      </c>
      <c r="P1322" s="103">
        <f t="shared" si="465"/>
        <v>0</v>
      </c>
      <c r="Q1322" s="103">
        <f t="shared" si="466"/>
        <v>1513740.8500000015</v>
      </c>
      <c r="S1322" s="730" t="str">
        <f t="shared" si="481"/>
        <v/>
      </c>
      <c r="T1322" s="730">
        <f t="shared" si="481"/>
        <v>0.92462951354311884</v>
      </c>
      <c r="U1322" s="730" t="str">
        <f t="shared" si="481"/>
        <v/>
      </c>
      <c r="V1322" s="730">
        <f t="shared" si="481"/>
        <v>0.92462951354311884</v>
      </c>
      <c r="W1322" s="531"/>
      <c r="X1322" s="236"/>
      <c r="Y1322" s="236" t="s">
        <v>688</v>
      </c>
      <c r="Z1322" s="236"/>
    </row>
    <row r="1323" spans="1:26" s="256" customFormat="1" ht="11.25" customHeight="1">
      <c r="A1323" s="528" t="s">
        <v>652</v>
      </c>
      <c r="B1323" s="528" t="s">
        <v>228</v>
      </c>
      <c r="C1323" s="389"/>
      <c r="D1323" s="650" t="s">
        <v>98</v>
      </c>
      <c r="E1323" s="390" t="s">
        <v>767</v>
      </c>
      <c r="F1323" s="391">
        <f>+F1321+F1322</f>
        <v>117947000</v>
      </c>
      <c r="G1323" s="391">
        <f t="shared" ref="G1323:M1323" si="487">+G1321+G1322</f>
        <v>62082000</v>
      </c>
      <c r="H1323" s="391">
        <f t="shared" si="487"/>
        <v>0</v>
      </c>
      <c r="I1323" s="391">
        <f t="shared" si="487"/>
        <v>180029000</v>
      </c>
      <c r="J1323" s="391">
        <f t="shared" si="487"/>
        <v>111642052.28000002</v>
      </c>
      <c r="K1323" s="391">
        <f t="shared" si="487"/>
        <v>55061063.799999997</v>
      </c>
      <c r="L1323" s="391">
        <f t="shared" si="487"/>
        <v>0</v>
      </c>
      <c r="M1323" s="391">
        <f t="shared" si="487"/>
        <v>166703116.08000001</v>
      </c>
      <c r="N1323" s="391">
        <f t="shared" si="465"/>
        <v>6304947.7199999839</v>
      </c>
      <c r="O1323" s="391">
        <f t="shared" si="465"/>
        <v>7020936.200000003</v>
      </c>
      <c r="P1323" s="391">
        <f t="shared" si="465"/>
        <v>0</v>
      </c>
      <c r="Q1323" s="391">
        <f t="shared" si="466"/>
        <v>13325883.919999987</v>
      </c>
      <c r="R1323" s="101"/>
      <c r="S1323" s="254">
        <f t="shared" si="481"/>
        <v>0.94654422986595688</v>
      </c>
      <c r="T1323" s="254">
        <f t="shared" si="481"/>
        <v>0.88690866595792661</v>
      </c>
      <c r="U1323" s="254" t="str">
        <f t="shared" si="481"/>
        <v/>
      </c>
      <c r="V1323" s="254">
        <f t="shared" si="481"/>
        <v>0.92597923712290808</v>
      </c>
      <c r="W1323" s="531"/>
      <c r="Y1323" s="256" t="s">
        <v>598</v>
      </c>
      <c r="Z1323" s="256" t="s">
        <v>598</v>
      </c>
    </row>
    <row r="1324" spans="1:26" ht="11.25" hidden="1" customHeight="1">
      <c r="A1324" s="528" t="s">
        <v>652</v>
      </c>
      <c r="B1324" s="1013" t="s">
        <v>228</v>
      </c>
      <c r="C1324" s="410"/>
      <c r="D1324" s="651"/>
      <c r="E1324" s="806" t="s">
        <v>764</v>
      </c>
      <c r="F1324" s="807"/>
      <c r="G1324" s="807"/>
      <c r="H1324" s="807"/>
      <c r="I1324" s="807"/>
      <c r="J1324" s="807"/>
      <c r="K1324" s="807"/>
      <c r="L1324" s="807"/>
      <c r="M1324" s="807"/>
      <c r="N1324" s="807">
        <f t="shared" si="465"/>
        <v>0</v>
      </c>
      <c r="O1324" s="807">
        <f t="shared" si="465"/>
        <v>0</v>
      </c>
      <c r="P1324" s="807">
        <f t="shared" si="465"/>
        <v>0</v>
      </c>
      <c r="Q1324" s="807">
        <f t="shared" si="466"/>
        <v>0</v>
      </c>
      <c r="R1324" s="276"/>
      <c r="S1324" s="730" t="str">
        <f t="shared" si="481"/>
        <v/>
      </c>
      <c r="T1324" s="730" t="str">
        <f t="shared" si="481"/>
        <v/>
      </c>
      <c r="U1324" s="730" t="str">
        <f t="shared" si="481"/>
        <v/>
      </c>
      <c r="V1324" s="730" t="str">
        <f t="shared" si="481"/>
        <v/>
      </c>
      <c r="W1324" s="531"/>
      <c r="X1324" s="236"/>
      <c r="Y1324" s="236"/>
      <c r="Z1324" s="236"/>
    </row>
    <row r="1325" spans="1:26" s="256" customFormat="1" ht="11.25" customHeight="1">
      <c r="A1325" s="528" t="s">
        <v>652</v>
      </c>
      <c r="B1325" s="528" t="s">
        <v>228</v>
      </c>
      <c r="C1325" s="389"/>
      <c r="D1325" s="650" t="s">
        <v>98</v>
      </c>
      <c r="E1325" s="390" t="s">
        <v>99</v>
      </c>
      <c r="F1325" s="391">
        <f>+F1326</f>
        <v>11016000</v>
      </c>
      <c r="G1325" s="391">
        <f t="shared" ref="G1325:M1325" si="488">+G1326</f>
        <v>0</v>
      </c>
      <c r="H1325" s="391">
        <f t="shared" si="488"/>
        <v>0</v>
      </c>
      <c r="I1325" s="391">
        <f t="shared" si="488"/>
        <v>11016000</v>
      </c>
      <c r="J1325" s="391">
        <f t="shared" si="488"/>
        <v>9901696.8200000003</v>
      </c>
      <c r="K1325" s="391">
        <f t="shared" si="488"/>
        <v>0</v>
      </c>
      <c r="L1325" s="391">
        <f t="shared" si="488"/>
        <v>0</v>
      </c>
      <c r="M1325" s="391">
        <f t="shared" si="488"/>
        <v>9901696.8200000003</v>
      </c>
      <c r="N1325" s="391">
        <f t="shared" si="465"/>
        <v>1114303.1799999997</v>
      </c>
      <c r="O1325" s="391">
        <f t="shared" si="465"/>
        <v>0</v>
      </c>
      <c r="P1325" s="391">
        <f t="shared" si="465"/>
        <v>0</v>
      </c>
      <c r="Q1325" s="391">
        <f t="shared" si="466"/>
        <v>1114303.1799999997</v>
      </c>
      <c r="R1325" s="101"/>
      <c r="S1325" s="254">
        <f t="shared" si="481"/>
        <v>0.89884684277414673</v>
      </c>
      <c r="T1325" s="254" t="str">
        <f t="shared" si="481"/>
        <v/>
      </c>
      <c r="U1325" s="254" t="str">
        <f t="shared" si="481"/>
        <v/>
      </c>
      <c r="V1325" s="254">
        <f t="shared" si="481"/>
        <v>0.89884684277414673</v>
      </c>
      <c r="W1325" s="531"/>
      <c r="Y1325" s="256" t="s">
        <v>598</v>
      </c>
      <c r="Z1325" s="256" t="s">
        <v>598</v>
      </c>
    </row>
    <row r="1326" spans="1:26" ht="11.25" customHeight="1">
      <c r="A1326" s="528" t="s">
        <v>652</v>
      </c>
      <c r="B1326" s="1013" t="s">
        <v>228</v>
      </c>
      <c r="C1326" s="728"/>
      <c r="D1326" s="649" t="s">
        <v>286</v>
      </c>
      <c r="E1326" s="729" t="s">
        <v>286</v>
      </c>
      <c r="F1326" s="103">
        <f>SUM('[3]chd12-SAOB'!W14)</f>
        <v>11016000</v>
      </c>
      <c r="G1326" s="103">
        <f>SUM('[3]chd12-SAOB'!W50)</f>
        <v>0</v>
      </c>
      <c r="H1326" s="103">
        <f>SUM('[3]chd12-SAOB'!W142)</f>
        <v>0</v>
      </c>
      <c r="I1326" s="103">
        <f>SUM(F1326:H1326)</f>
        <v>11016000</v>
      </c>
      <c r="J1326" s="103">
        <f>SUM('[3]chd12-SAOB'!W15)</f>
        <v>9901696.8200000003</v>
      </c>
      <c r="K1326" s="103">
        <f>SUM('[3]chd12-SAOB'!W51)</f>
        <v>0</v>
      </c>
      <c r="L1326" s="103">
        <f>SUM('[3]chd12-SAOB'!W143)</f>
        <v>0</v>
      </c>
      <c r="M1326" s="103">
        <f t="shared" si="485"/>
        <v>9901696.8200000003</v>
      </c>
      <c r="N1326" s="103">
        <f t="shared" si="465"/>
        <v>1114303.1799999997</v>
      </c>
      <c r="O1326" s="103">
        <f t="shared" si="465"/>
        <v>0</v>
      </c>
      <c r="P1326" s="103">
        <f t="shared" si="465"/>
        <v>0</v>
      </c>
      <c r="Q1326" s="103">
        <f t="shared" si="466"/>
        <v>1114303.1799999997</v>
      </c>
      <c r="S1326" s="730">
        <f t="shared" si="481"/>
        <v>0.89884684277414673</v>
      </c>
      <c r="T1326" s="730" t="str">
        <f t="shared" si="481"/>
        <v/>
      </c>
      <c r="U1326" s="730" t="str">
        <f t="shared" si="481"/>
        <v/>
      </c>
      <c r="V1326" s="730">
        <f t="shared" si="481"/>
        <v>0.89884684277414673</v>
      </c>
      <c r="W1326" s="531"/>
      <c r="X1326" s="236"/>
      <c r="Y1326" s="236" t="s">
        <v>598</v>
      </c>
      <c r="Z1326" s="236"/>
    </row>
    <row r="1327" spans="1:26" s="272" customFormat="1" ht="11.25" customHeight="1">
      <c r="A1327" s="528" t="s">
        <v>652</v>
      </c>
      <c r="B1327" s="528" t="s">
        <v>228</v>
      </c>
      <c r="C1327" s="389"/>
      <c r="D1327" s="650" t="s">
        <v>98</v>
      </c>
      <c r="E1327" s="390" t="s">
        <v>100</v>
      </c>
      <c r="F1327" s="391">
        <f t="shared" ref="F1327:M1327" si="489">SUM(F1328:F1332)</f>
        <v>8738248</v>
      </c>
      <c r="G1327" s="391">
        <f t="shared" si="489"/>
        <v>2500000</v>
      </c>
      <c r="H1327" s="391">
        <f t="shared" si="489"/>
        <v>0</v>
      </c>
      <c r="I1327" s="391">
        <f t="shared" si="489"/>
        <v>11238248</v>
      </c>
      <c r="J1327" s="391">
        <f t="shared" si="489"/>
        <v>8703245.8300000001</v>
      </c>
      <c r="K1327" s="391">
        <f t="shared" si="489"/>
        <v>2500000</v>
      </c>
      <c r="L1327" s="391">
        <f t="shared" si="489"/>
        <v>0</v>
      </c>
      <c r="M1327" s="391">
        <f t="shared" si="489"/>
        <v>11203245.83</v>
      </c>
      <c r="N1327" s="391">
        <f t="shared" si="465"/>
        <v>35002.169999999925</v>
      </c>
      <c r="O1327" s="391">
        <f t="shared" si="465"/>
        <v>0</v>
      </c>
      <c r="P1327" s="391">
        <f t="shared" si="465"/>
        <v>0</v>
      </c>
      <c r="Q1327" s="391">
        <f t="shared" si="466"/>
        <v>35002.169999999925</v>
      </c>
      <c r="R1327" s="102"/>
      <c r="S1327" s="254">
        <f t="shared" si="481"/>
        <v>0.99599437209838859</v>
      </c>
      <c r="T1327" s="254">
        <f t="shared" si="481"/>
        <v>1</v>
      </c>
      <c r="U1327" s="254" t="str">
        <f t="shared" si="481"/>
        <v/>
      </c>
      <c r="V1327" s="254">
        <f t="shared" si="481"/>
        <v>0.99688544246398547</v>
      </c>
      <c r="W1327" s="531"/>
      <c r="Y1327" s="272" t="s">
        <v>598</v>
      </c>
      <c r="Z1327" s="256" t="s">
        <v>598</v>
      </c>
    </row>
    <row r="1328" spans="1:26" ht="11.25" customHeight="1">
      <c r="A1328" s="528" t="s">
        <v>652</v>
      </c>
      <c r="B1328" s="1013" t="s">
        <v>228</v>
      </c>
      <c r="C1328" s="728"/>
      <c r="D1328" s="649" t="s">
        <v>288</v>
      </c>
      <c r="E1328" s="729" t="s">
        <v>288</v>
      </c>
      <c r="F1328" s="103">
        <f>SUM('[3]chd12-SAOB'!AA14)</f>
        <v>0</v>
      </c>
      <c r="G1328" s="103">
        <f>SUM('[3]chd12-SAOB'!AA50)</f>
        <v>0</v>
      </c>
      <c r="H1328" s="103">
        <f>SUM('[3]chd12-SAOB'!AA142)</f>
        <v>0</v>
      </c>
      <c r="I1328" s="103">
        <f>SUM(F1328:H1328)</f>
        <v>0</v>
      </c>
      <c r="J1328" s="103">
        <f>SUM('[3]chd12-SAOB'!AA15)</f>
        <v>0</v>
      </c>
      <c r="K1328" s="103">
        <f>SUM('[3]chd12-SAOB'!AA51)</f>
        <v>0</v>
      </c>
      <c r="L1328" s="103">
        <f>SUM('[3]chd12-SAOB'!AA143)</f>
        <v>0</v>
      </c>
      <c r="M1328" s="103">
        <f t="shared" si="485"/>
        <v>0</v>
      </c>
      <c r="N1328" s="103">
        <f t="shared" si="465"/>
        <v>0</v>
      </c>
      <c r="O1328" s="103">
        <f t="shared" si="465"/>
        <v>0</v>
      </c>
      <c r="P1328" s="103">
        <f t="shared" si="465"/>
        <v>0</v>
      </c>
      <c r="Q1328" s="103">
        <f t="shared" si="466"/>
        <v>0</v>
      </c>
      <c r="S1328" s="730" t="str">
        <f t="shared" si="481"/>
        <v/>
      </c>
      <c r="T1328" s="730" t="str">
        <f t="shared" si="481"/>
        <v/>
      </c>
      <c r="U1328" s="730" t="str">
        <f t="shared" si="481"/>
        <v/>
      </c>
      <c r="V1328" s="730" t="str">
        <f t="shared" si="481"/>
        <v/>
      </c>
      <c r="W1328" s="531"/>
      <c r="X1328" s="236"/>
      <c r="Y1328" s="236" t="s">
        <v>598</v>
      </c>
      <c r="Z1328" s="236"/>
    </row>
    <row r="1329" spans="1:26" ht="11.25" customHeight="1">
      <c r="A1329" s="528" t="s">
        <v>652</v>
      </c>
      <c r="B1329" s="1013" t="s">
        <v>228</v>
      </c>
      <c r="C1329" s="728"/>
      <c r="D1329" s="649" t="s">
        <v>761</v>
      </c>
      <c r="E1329" s="729" t="s">
        <v>761</v>
      </c>
      <c r="F1329" s="104">
        <f>+'[3]chd12-SAOB'!C389</f>
        <v>4860000</v>
      </c>
      <c r="G1329" s="104"/>
      <c r="H1329" s="104"/>
      <c r="I1329" s="103">
        <f>SUM(F1329:H1329)</f>
        <v>4860000</v>
      </c>
      <c r="J1329" s="104">
        <f>+'[3]chd12-SAOB'!G389</f>
        <v>4825000</v>
      </c>
      <c r="K1329" s="104"/>
      <c r="L1329" s="104"/>
      <c r="M1329" s="103">
        <f>SUM(J1329:L1329)</f>
        <v>4825000</v>
      </c>
      <c r="N1329" s="103">
        <f>+F1329-J1329</f>
        <v>35000</v>
      </c>
      <c r="O1329" s="103">
        <f>+G1329-K1329</f>
        <v>0</v>
      </c>
      <c r="P1329" s="103">
        <f>+H1329-L1329</f>
        <v>0</v>
      </c>
      <c r="Q1329" s="103">
        <f>SUM(N1329:P1329)</f>
        <v>35000</v>
      </c>
      <c r="S1329" s="730">
        <f t="shared" si="481"/>
        <v>0.99279835390946503</v>
      </c>
      <c r="T1329" s="730" t="str">
        <f t="shared" si="481"/>
        <v/>
      </c>
      <c r="U1329" s="730" t="str">
        <f t="shared" si="481"/>
        <v/>
      </c>
      <c r="V1329" s="730">
        <f t="shared" si="481"/>
        <v>0.99279835390946503</v>
      </c>
      <c r="W1329" s="531"/>
      <c r="X1329" s="236"/>
      <c r="Y1329" s="236" t="s">
        <v>688</v>
      </c>
      <c r="Z1329" s="236"/>
    </row>
    <row r="1330" spans="1:26" ht="11.25" customHeight="1">
      <c r="A1330" s="528" t="s">
        <v>652</v>
      </c>
      <c r="B1330" s="1013" t="s">
        <v>228</v>
      </c>
      <c r="C1330" s="410"/>
      <c r="D1330" s="647"/>
      <c r="E1330" s="461" t="s">
        <v>764</v>
      </c>
      <c r="F1330" s="104"/>
      <c r="G1330" s="104"/>
      <c r="H1330" s="104"/>
      <c r="I1330" s="103"/>
      <c r="J1330" s="104"/>
      <c r="K1330" s="104"/>
      <c r="L1330" s="104"/>
      <c r="M1330" s="103"/>
      <c r="N1330" s="103"/>
      <c r="O1330" s="103"/>
      <c r="P1330" s="103"/>
      <c r="Q1330" s="103"/>
      <c r="S1330" s="730" t="str">
        <f t="shared" si="481"/>
        <v/>
      </c>
      <c r="T1330" s="730" t="str">
        <f t="shared" si="481"/>
        <v/>
      </c>
      <c r="U1330" s="730" t="str">
        <f t="shared" si="481"/>
        <v/>
      </c>
      <c r="V1330" s="730" t="str">
        <f t="shared" si="481"/>
        <v/>
      </c>
      <c r="W1330" s="531"/>
      <c r="X1330" s="236"/>
      <c r="Y1330" s="236" t="s">
        <v>688</v>
      </c>
      <c r="Z1330" s="240"/>
    </row>
    <row r="1331" spans="1:26" ht="11.25" customHeight="1">
      <c r="A1331" s="528" t="s">
        <v>652</v>
      </c>
      <c r="B1331" s="1013" t="s">
        <v>228</v>
      </c>
      <c r="C1331" s="728"/>
      <c r="D1331" s="649" t="s">
        <v>289</v>
      </c>
      <c r="E1331" s="729" t="s">
        <v>289</v>
      </c>
      <c r="F1331" s="103">
        <f>SUM('[3]chd12-SAOB'!AE14)</f>
        <v>3878248</v>
      </c>
      <c r="G1331" s="103">
        <f>SUM('[3]chd12-SAOB'!AE50)</f>
        <v>0</v>
      </c>
      <c r="H1331" s="103">
        <f>SUM('[3]chd12-SAOB'!AE142)</f>
        <v>0</v>
      </c>
      <c r="I1331" s="103">
        <f>SUM(F1331:H1331)</f>
        <v>3878248</v>
      </c>
      <c r="J1331" s="103">
        <f>SUM('[3]chd12-SAOB'!AE15)</f>
        <v>3878245.83</v>
      </c>
      <c r="K1331" s="103">
        <f>SUM('[3]chd12-SAOB'!AE51)</f>
        <v>0</v>
      </c>
      <c r="L1331" s="103">
        <f>SUM('[3]chd12-SAOB'!AE143)</f>
        <v>0</v>
      </c>
      <c r="M1331" s="103">
        <f t="shared" si="485"/>
        <v>3878245.83</v>
      </c>
      <c r="N1331" s="103">
        <f t="shared" ref="N1331:P1397" si="490">+F1331-J1331</f>
        <v>2.1699999999254942</v>
      </c>
      <c r="O1331" s="103">
        <f t="shared" si="490"/>
        <v>0</v>
      </c>
      <c r="P1331" s="103">
        <f t="shared" si="490"/>
        <v>0</v>
      </c>
      <c r="Q1331" s="103">
        <f t="shared" ref="Q1331:Q1397" si="491">SUM(N1331:P1331)</f>
        <v>2.1699999999254942</v>
      </c>
      <c r="S1331" s="730">
        <f t="shared" si="481"/>
        <v>0.99999944046899525</v>
      </c>
      <c r="T1331" s="730" t="str">
        <f t="shared" si="481"/>
        <v/>
      </c>
      <c r="U1331" s="730" t="str">
        <f t="shared" si="481"/>
        <v/>
      </c>
      <c r="V1331" s="730">
        <f t="shared" si="481"/>
        <v>0.99999944046899525</v>
      </c>
      <c r="W1331" s="531"/>
      <c r="X1331" s="236"/>
      <c r="Y1331" s="236" t="s">
        <v>598</v>
      </c>
      <c r="Z1331" s="236"/>
    </row>
    <row r="1332" spans="1:26" ht="11.25" customHeight="1">
      <c r="A1332" s="528" t="s">
        <v>652</v>
      </c>
      <c r="B1332" s="1013" t="s">
        <v>228</v>
      </c>
      <c r="C1332" s="728"/>
      <c r="D1332" s="649" t="s">
        <v>290</v>
      </c>
      <c r="E1332" s="729" t="s">
        <v>290</v>
      </c>
      <c r="F1332" s="103">
        <f>SUM('[3]chd12-SAOB'!AI14)</f>
        <v>0</v>
      </c>
      <c r="G1332" s="103">
        <f>SUM('[3]chd12-SAOB'!AI50)</f>
        <v>2500000</v>
      </c>
      <c r="H1332" s="103">
        <f>SUM('[3]chd12-SAOB'!AI142)</f>
        <v>0</v>
      </c>
      <c r="I1332" s="103">
        <f>SUM(F1332:H1332)</f>
        <v>2500000</v>
      </c>
      <c r="J1332" s="103">
        <f>SUM('[3]chd12-SAOB'!AI15)</f>
        <v>0</v>
      </c>
      <c r="K1332" s="103">
        <f>SUM('[3]chd12-SAOB'!AI51)</f>
        <v>2500000</v>
      </c>
      <c r="L1332" s="103">
        <f>SUM('[3]chd12-SAOB'!AI143)</f>
        <v>0</v>
      </c>
      <c r="M1332" s="103">
        <f t="shared" si="485"/>
        <v>2500000</v>
      </c>
      <c r="N1332" s="103">
        <f t="shared" si="490"/>
        <v>0</v>
      </c>
      <c r="O1332" s="103">
        <f t="shared" si="490"/>
        <v>0</v>
      </c>
      <c r="P1332" s="103">
        <f t="shared" si="490"/>
        <v>0</v>
      </c>
      <c r="Q1332" s="103">
        <f t="shared" si="491"/>
        <v>0</v>
      </c>
      <c r="S1332" s="730" t="str">
        <f t="shared" si="481"/>
        <v/>
      </c>
      <c r="T1332" s="730">
        <f t="shared" si="481"/>
        <v>1</v>
      </c>
      <c r="U1332" s="730" t="str">
        <f t="shared" si="481"/>
        <v/>
      </c>
      <c r="V1332" s="730">
        <f t="shared" si="481"/>
        <v>1</v>
      </c>
      <c r="W1332" s="531"/>
      <c r="X1332" s="236"/>
      <c r="Y1332" s="236" t="s">
        <v>598</v>
      </c>
      <c r="Z1332" s="236"/>
    </row>
    <row r="1333" spans="1:26" s="259" customFormat="1" ht="11.25" customHeight="1">
      <c r="A1333" s="246" t="s">
        <v>652</v>
      </c>
      <c r="B1333" s="235" t="s">
        <v>228</v>
      </c>
      <c r="C1333" s="656"/>
      <c r="D1333" s="656"/>
      <c r="E1333" s="657" t="s">
        <v>4</v>
      </c>
      <c r="F1333" s="652">
        <f>+F1323+F1325+F1327</f>
        <v>137701248</v>
      </c>
      <c r="G1333" s="652">
        <f t="shared" ref="G1333:M1333" si="492">+G1323+G1325+G1327</f>
        <v>64582000</v>
      </c>
      <c r="H1333" s="652">
        <f t="shared" si="492"/>
        <v>0</v>
      </c>
      <c r="I1333" s="652">
        <f t="shared" si="492"/>
        <v>202283248</v>
      </c>
      <c r="J1333" s="652">
        <f t="shared" si="492"/>
        <v>130246994.93000002</v>
      </c>
      <c r="K1333" s="652">
        <f t="shared" si="492"/>
        <v>57561063.799999997</v>
      </c>
      <c r="L1333" s="652">
        <f t="shared" si="492"/>
        <v>0</v>
      </c>
      <c r="M1333" s="652">
        <f t="shared" si="492"/>
        <v>187808058.73000002</v>
      </c>
      <c r="N1333" s="652">
        <f t="shared" si="490"/>
        <v>7454253.0699999779</v>
      </c>
      <c r="O1333" s="652">
        <f t="shared" si="490"/>
        <v>7020936.200000003</v>
      </c>
      <c r="P1333" s="652">
        <f t="shared" si="490"/>
        <v>0</v>
      </c>
      <c r="Q1333" s="652">
        <f t="shared" si="491"/>
        <v>14475189.269999981</v>
      </c>
      <c r="R1333" s="653">
        <f>+Q1333-'[3]chd12-SAOB'!BC179</f>
        <v>0</v>
      </c>
      <c r="S1333" s="1008">
        <f t="shared" si="481"/>
        <v>0.9458664813989196</v>
      </c>
      <c r="T1333" s="1008">
        <f t="shared" si="481"/>
        <v>0.89128648539840816</v>
      </c>
      <c r="U1333" s="1008" t="str">
        <f t="shared" si="481"/>
        <v/>
      </c>
      <c r="V1333" s="1008">
        <f t="shared" si="481"/>
        <v>0.92844098849945311</v>
      </c>
      <c r="W1333" s="254"/>
      <c r="X1333" s="520"/>
      <c r="Y1333" s="610" t="s">
        <v>598</v>
      </c>
      <c r="Z1333" s="241" t="s">
        <v>598</v>
      </c>
    </row>
    <row r="1334" spans="1:26" ht="11.25" customHeight="1">
      <c r="A1334" s="246" t="s">
        <v>652</v>
      </c>
      <c r="B1334" s="235" t="s">
        <v>228</v>
      </c>
      <c r="C1334" s="410"/>
      <c r="D1334" s="386"/>
      <c r="E1334" s="461" t="s">
        <v>764</v>
      </c>
      <c r="F1334" s="103"/>
      <c r="G1334" s="103"/>
      <c r="H1334" s="103"/>
      <c r="I1334" s="103">
        <f>SUM(F1334:H1334)</f>
        <v>0</v>
      </c>
      <c r="J1334" s="103"/>
      <c r="K1334" s="103"/>
      <c r="L1334" s="103"/>
      <c r="M1334" s="103">
        <f t="shared" si="485"/>
        <v>0</v>
      </c>
      <c r="N1334" s="103">
        <f t="shared" si="490"/>
        <v>0</v>
      </c>
      <c r="O1334" s="103">
        <f t="shared" si="490"/>
        <v>0</v>
      </c>
      <c r="P1334" s="103">
        <f t="shared" si="490"/>
        <v>0</v>
      </c>
      <c r="Q1334" s="103">
        <f t="shared" si="491"/>
        <v>0</v>
      </c>
      <c r="S1334" s="730" t="str">
        <f t="shared" si="481"/>
        <v/>
      </c>
      <c r="T1334" s="730" t="str">
        <f t="shared" si="481"/>
        <v/>
      </c>
      <c r="U1334" s="730" t="str">
        <f t="shared" si="481"/>
        <v/>
      </c>
      <c r="V1334" s="730" t="str">
        <f t="shared" si="481"/>
        <v/>
      </c>
      <c r="W1334" s="254"/>
      <c r="Y1334" s="610" t="s">
        <v>598</v>
      </c>
      <c r="Z1334" s="241" t="s">
        <v>598</v>
      </c>
    </row>
    <row r="1335" spans="1:26" s="675" customFormat="1" ht="11.25" customHeight="1">
      <c r="A1335" s="528" t="s">
        <v>652</v>
      </c>
      <c r="B1335" s="528" t="s">
        <v>229</v>
      </c>
      <c r="C1335" s="407" t="s">
        <v>98</v>
      </c>
      <c r="D1335" s="655" t="s">
        <v>107</v>
      </c>
      <c r="E1335" s="408" t="s">
        <v>845</v>
      </c>
      <c r="F1335" s="673"/>
      <c r="G1335" s="673"/>
      <c r="H1335" s="673"/>
      <c r="I1335" s="674">
        <f>SUM(F1335:H1335)</f>
        <v>0</v>
      </c>
      <c r="J1335" s="673"/>
      <c r="K1335" s="673"/>
      <c r="L1335" s="673"/>
      <c r="M1335" s="674">
        <f t="shared" si="485"/>
        <v>0</v>
      </c>
      <c r="N1335" s="674">
        <f t="shared" si="490"/>
        <v>0</v>
      </c>
      <c r="O1335" s="674">
        <f t="shared" si="490"/>
        <v>0</v>
      </c>
      <c r="P1335" s="674">
        <f t="shared" si="490"/>
        <v>0</v>
      </c>
      <c r="Q1335" s="674">
        <f t="shared" si="491"/>
        <v>0</v>
      </c>
      <c r="R1335" s="101"/>
      <c r="S1335" s="254" t="str">
        <f t="shared" si="481"/>
        <v/>
      </c>
      <c r="T1335" s="254" t="str">
        <f t="shared" si="481"/>
        <v/>
      </c>
      <c r="U1335" s="254" t="str">
        <f t="shared" si="481"/>
        <v/>
      </c>
      <c r="V1335" s="254" t="str">
        <f t="shared" si="481"/>
        <v/>
      </c>
      <c r="W1335" s="531"/>
      <c r="Y1335" s="272" t="s">
        <v>598</v>
      </c>
      <c r="Z1335" s="260" t="s">
        <v>598</v>
      </c>
    </row>
    <row r="1336" spans="1:26" ht="11.25" customHeight="1">
      <c r="A1336" s="528" t="s">
        <v>652</v>
      </c>
      <c r="B1336" s="1013" t="s">
        <v>229</v>
      </c>
      <c r="C1336" s="461"/>
      <c r="D1336" s="645" t="s">
        <v>766</v>
      </c>
      <c r="E1336" s="447" t="s">
        <v>766</v>
      </c>
      <c r="F1336" s="104">
        <f>+'[3]chd12-SAOB'!C394</f>
        <v>8559000</v>
      </c>
      <c r="G1336" s="104">
        <f>+'[3]chd12-SAOB'!D394</f>
        <v>7009000</v>
      </c>
      <c r="H1336" s="104">
        <f>+'[3]chd12-SAOB'!E394</f>
        <v>0</v>
      </c>
      <c r="I1336" s="103">
        <f>SUM(F1336:H1336)</f>
        <v>15568000</v>
      </c>
      <c r="J1336" s="104">
        <f>+'[3]chd12-SAOB'!G394</f>
        <v>7995249.5499999998</v>
      </c>
      <c r="K1336" s="104">
        <f>+'[3]chd12-SAOB'!H394</f>
        <v>6032443.2800000003</v>
      </c>
      <c r="L1336" s="104">
        <f>+'[3]chd12-SAOB'!I394</f>
        <v>0</v>
      </c>
      <c r="M1336" s="103">
        <f t="shared" si="485"/>
        <v>14027692.83</v>
      </c>
      <c r="N1336" s="103">
        <f t="shared" si="490"/>
        <v>563750.45000000019</v>
      </c>
      <c r="O1336" s="103">
        <f t="shared" si="490"/>
        <v>976556.71999999974</v>
      </c>
      <c r="P1336" s="103">
        <f t="shared" si="490"/>
        <v>0</v>
      </c>
      <c r="Q1336" s="103">
        <f t="shared" si="491"/>
        <v>1540307.17</v>
      </c>
      <c r="S1336" s="730">
        <f t="shared" si="481"/>
        <v>0.93413360789811895</v>
      </c>
      <c r="T1336" s="730">
        <f t="shared" si="481"/>
        <v>0.86067103438436299</v>
      </c>
      <c r="U1336" s="730" t="str">
        <f t="shared" si="481"/>
        <v/>
      </c>
      <c r="V1336" s="730">
        <f t="shared" si="481"/>
        <v>0.9010594058324769</v>
      </c>
      <c r="W1336" s="531"/>
      <c r="X1336" s="236"/>
      <c r="Y1336" s="236" t="s">
        <v>688</v>
      </c>
      <c r="Z1336" s="236"/>
    </row>
    <row r="1337" spans="1:26" ht="11.25" customHeight="1">
      <c r="A1337" s="528" t="s">
        <v>652</v>
      </c>
      <c r="B1337" s="1013" t="s">
        <v>229</v>
      </c>
      <c r="C1337" s="728"/>
      <c r="D1337" s="649" t="s">
        <v>50</v>
      </c>
      <c r="E1337" s="447" t="s">
        <v>50</v>
      </c>
      <c r="F1337" s="104"/>
      <c r="G1337" s="104">
        <f>+'[3]chd12-SAOB'!D396</f>
        <v>2118000</v>
      </c>
      <c r="H1337" s="104">
        <f>+'[3]chd12-SAOB'!E396</f>
        <v>23900000</v>
      </c>
      <c r="I1337" s="103">
        <f>SUM(F1337:H1337)</f>
        <v>26018000</v>
      </c>
      <c r="J1337" s="104"/>
      <c r="K1337" s="104">
        <f>+'[3]chd12-SAOB'!H396</f>
        <v>1241172.79</v>
      </c>
      <c r="L1337" s="104">
        <f>+'[3]chd12-SAOB'!I396</f>
        <v>23899085.800000001</v>
      </c>
      <c r="M1337" s="103">
        <f>SUM(J1337:L1337)</f>
        <v>25140258.59</v>
      </c>
      <c r="N1337" s="103">
        <f t="shared" si="490"/>
        <v>0</v>
      </c>
      <c r="O1337" s="103">
        <f t="shared" si="490"/>
        <v>876827.21</v>
      </c>
      <c r="P1337" s="103">
        <f t="shared" si="490"/>
        <v>914.19999999925494</v>
      </c>
      <c r="Q1337" s="103">
        <f t="shared" si="491"/>
        <v>877741.40999999922</v>
      </c>
      <c r="S1337" s="730" t="str">
        <f t="shared" si="481"/>
        <v/>
      </c>
      <c r="T1337" s="730">
        <f t="shared" si="481"/>
        <v>0.58601170443814921</v>
      </c>
      <c r="U1337" s="730">
        <f t="shared" si="481"/>
        <v>0.99996174895397494</v>
      </c>
      <c r="V1337" s="730">
        <f t="shared" si="481"/>
        <v>0.9662640706434007</v>
      </c>
      <c r="W1337" s="531"/>
      <c r="X1337" s="236"/>
      <c r="Y1337" s="236" t="s">
        <v>688</v>
      </c>
      <c r="Z1337" s="236"/>
    </row>
    <row r="1338" spans="1:26" s="256" customFormat="1" ht="11.25" customHeight="1">
      <c r="A1338" s="528" t="s">
        <v>652</v>
      </c>
      <c r="B1338" s="528" t="s">
        <v>229</v>
      </c>
      <c r="C1338" s="389"/>
      <c r="D1338" s="650" t="s">
        <v>98</v>
      </c>
      <c r="E1338" s="390" t="s">
        <v>767</v>
      </c>
      <c r="F1338" s="391">
        <f>+F1336+F1337</f>
        <v>8559000</v>
      </c>
      <c r="G1338" s="391">
        <f t="shared" ref="G1338:M1338" si="493">+G1336+G1337</f>
        <v>9127000</v>
      </c>
      <c r="H1338" s="391">
        <f t="shared" si="493"/>
        <v>23900000</v>
      </c>
      <c r="I1338" s="391">
        <f t="shared" si="493"/>
        <v>41586000</v>
      </c>
      <c r="J1338" s="391">
        <f t="shared" si="493"/>
        <v>7995249.5499999998</v>
      </c>
      <c r="K1338" s="391">
        <f t="shared" si="493"/>
        <v>7273616.0700000003</v>
      </c>
      <c r="L1338" s="391">
        <f t="shared" si="493"/>
        <v>23899085.800000001</v>
      </c>
      <c r="M1338" s="391">
        <f t="shared" si="493"/>
        <v>39167951.420000002</v>
      </c>
      <c r="N1338" s="391">
        <f t="shared" si="490"/>
        <v>563750.45000000019</v>
      </c>
      <c r="O1338" s="391">
        <f t="shared" si="490"/>
        <v>1853383.9299999997</v>
      </c>
      <c r="P1338" s="391">
        <f t="shared" si="490"/>
        <v>914.19999999925494</v>
      </c>
      <c r="Q1338" s="391">
        <f t="shared" si="491"/>
        <v>2418048.5799999991</v>
      </c>
      <c r="R1338" s="101"/>
      <c r="S1338" s="254">
        <f t="shared" si="481"/>
        <v>0.93413360789811895</v>
      </c>
      <c r="T1338" s="254">
        <f t="shared" si="481"/>
        <v>0.79693393995836537</v>
      </c>
      <c r="U1338" s="254">
        <f t="shared" si="481"/>
        <v>0.99996174895397494</v>
      </c>
      <c r="V1338" s="254">
        <f t="shared" si="481"/>
        <v>0.94185426393497818</v>
      </c>
      <c r="W1338" s="531"/>
      <c r="Y1338" s="256" t="s">
        <v>598</v>
      </c>
      <c r="Z1338" s="256" t="s">
        <v>598</v>
      </c>
    </row>
    <row r="1339" spans="1:26" ht="11.25" hidden="1" customHeight="1">
      <c r="A1339" s="528" t="s">
        <v>652</v>
      </c>
      <c r="B1339" s="1013" t="s">
        <v>229</v>
      </c>
      <c r="C1339" s="410"/>
      <c r="D1339" s="651"/>
      <c r="E1339" s="806" t="s">
        <v>764</v>
      </c>
      <c r="F1339" s="807"/>
      <c r="G1339" s="807"/>
      <c r="H1339" s="807"/>
      <c r="I1339" s="807"/>
      <c r="J1339" s="807"/>
      <c r="K1339" s="807"/>
      <c r="L1339" s="807"/>
      <c r="M1339" s="807"/>
      <c r="N1339" s="807">
        <f t="shared" si="490"/>
        <v>0</v>
      </c>
      <c r="O1339" s="807">
        <f t="shared" si="490"/>
        <v>0</v>
      </c>
      <c r="P1339" s="807">
        <f t="shared" si="490"/>
        <v>0</v>
      </c>
      <c r="Q1339" s="807">
        <f t="shared" si="491"/>
        <v>0</v>
      </c>
      <c r="R1339" s="276"/>
      <c r="S1339" s="730" t="str">
        <f t="shared" si="481"/>
        <v/>
      </c>
      <c r="T1339" s="730" t="str">
        <f t="shared" si="481"/>
        <v/>
      </c>
      <c r="U1339" s="730" t="str">
        <f t="shared" si="481"/>
        <v/>
      </c>
      <c r="V1339" s="730" t="str">
        <f t="shared" si="481"/>
        <v/>
      </c>
      <c r="W1339" s="531"/>
      <c r="X1339" s="236"/>
      <c r="Y1339" s="236"/>
      <c r="Z1339" s="236"/>
    </row>
    <row r="1340" spans="1:26" s="256" customFormat="1" ht="11.25" customHeight="1">
      <c r="A1340" s="528" t="s">
        <v>652</v>
      </c>
      <c r="B1340" s="528" t="s">
        <v>229</v>
      </c>
      <c r="C1340" s="389"/>
      <c r="D1340" s="650" t="s">
        <v>98</v>
      </c>
      <c r="E1340" s="390" t="s">
        <v>99</v>
      </c>
      <c r="F1340" s="391">
        <f>+F1341</f>
        <v>813000</v>
      </c>
      <c r="G1340" s="391">
        <f t="shared" ref="G1340:M1340" si="494">+G1341</f>
        <v>0</v>
      </c>
      <c r="H1340" s="391">
        <f t="shared" si="494"/>
        <v>0</v>
      </c>
      <c r="I1340" s="391">
        <f t="shared" si="494"/>
        <v>813000</v>
      </c>
      <c r="J1340" s="391">
        <f t="shared" si="494"/>
        <v>751507.42999999993</v>
      </c>
      <c r="K1340" s="391">
        <f t="shared" si="494"/>
        <v>0</v>
      </c>
      <c r="L1340" s="391">
        <f t="shared" si="494"/>
        <v>0</v>
      </c>
      <c r="M1340" s="391">
        <f t="shared" si="494"/>
        <v>751507.42999999993</v>
      </c>
      <c r="N1340" s="391">
        <f t="shared" si="490"/>
        <v>61492.570000000065</v>
      </c>
      <c r="O1340" s="391">
        <f t="shared" si="490"/>
        <v>0</v>
      </c>
      <c r="P1340" s="391">
        <f t="shared" si="490"/>
        <v>0</v>
      </c>
      <c r="Q1340" s="391">
        <f t="shared" si="491"/>
        <v>61492.570000000065</v>
      </c>
      <c r="R1340" s="101"/>
      <c r="S1340" s="254">
        <f t="shared" si="481"/>
        <v>0.92436338253382522</v>
      </c>
      <c r="T1340" s="254" t="str">
        <f t="shared" si="481"/>
        <v/>
      </c>
      <c r="U1340" s="254" t="str">
        <f t="shared" si="481"/>
        <v/>
      </c>
      <c r="V1340" s="254">
        <f t="shared" si="481"/>
        <v>0.92436338253382522</v>
      </c>
      <c r="W1340" s="531"/>
      <c r="Y1340" s="256" t="s">
        <v>598</v>
      </c>
      <c r="Z1340" s="256" t="s">
        <v>598</v>
      </c>
    </row>
    <row r="1341" spans="1:26" ht="11.25" customHeight="1">
      <c r="A1341" s="528" t="s">
        <v>652</v>
      </c>
      <c r="B1341" s="1013" t="s">
        <v>229</v>
      </c>
      <c r="C1341" s="728"/>
      <c r="D1341" s="649" t="s">
        <v>286</v>
      </c>
      <c r="E1341" s="729" t="s">
        <v>286</v>
      </c>
      <c r="F1341" s="103">
        <f>SUM('[3]chd12-SAOB'!X14)</f>
        <v>813000</v>
      </c>
      <c r="G1341" s="103">
        <f>SUM('[3]chd12-SAOB'!X50)</f>
        <v>0</v>
      </c>
      <c r="H1341" s="103">
        <f>SUM('[3]chd12-SAOB'!X142)</f>
        <v>0</v>
      </c>
      <c r="I1341" s="103">
        <f>SUM(F1341:H1341)</f>
        <v>813000</v>
      </c>
      <c r="J1341" s="103">
        <f>SUM('[3]chd12-SAOB'!X15)</f>
        <v>751507.42999999993</v>
      </c>
      <c r="K1341" s="103">
        <f>SUM('[3]chd12-SAOB'!X51)</f>
        <v>0</v>
      </c>
      <c r="L1341" s="103">
        <f>SUM('[3]chd12-SAOB'!X143)</f>
        <v>0</v>
      </c>
      <c r="M1341" s="103">
        <f t="shared" si="485"/>
        <v>751507.42999999993</v>
      </c>
      <c r="N1341" s="103">
        <f t="shared" si="490"/>
        <v>61492.570000000065</v>
      </c>
      <c r="O1341" s="103">
        <f t="shared" si="490"/>
        <v>0</v>
      </c>
      <c r="P1341" s="103">
        <f t="shared" si="490"/>
        <v>0</v>
      </c>
      <c r="Q1341" s="103">
        <f t="shared" si="491"/>
        <v>61492.570000000065</v>
      </c>
      <c r="S1341" s="730">
        <f t="shared" si="481"/>
        <v>0.92436338253382522</v>
      </c>
      <c r="T1341" s="730" t="str">
        <f t="shared" si="481"/>
        <v/>
      </c>
      <c r="U1341" s="730" t="str">
        <f t="shared" si="481"/>
        <v/>
      </c>
      <c r="V1341" s="730">
        <f t="shared" si="481"/>
        <v>0.92436338253382522</v>
      </c>
      <c r="W1341" s="531"/>
      <c r="X1341" s="236"/>
      <c r="Y1341" s="236" t="s">
        <v>598</v>
      </c>
      <c r="Z1341" s="236"/>
    </row>
    <row r="1342" spans="1:26" s="272" customFormat="1" ht="11.25" customHeight="1">
      <c r="A1342" s="528" t="s">
        <v>652</v>
      </c>
      <c r="B1342" s="528" t="s">
        <v>229</v>
      </c>
      <c r="C1342" s="389"/>
      <c r="D1342" s="650" t="s">
        <v>98</v>
      </c>
      <c r="E1342" s="390" t="s">
        <v>100</v>
      </c>
      <c r="F1342" s="391">
        <f t="shared" ref="F1342:M1342" si="495">SUM(F1343:F1347)</f>
        <v>810500</v>
      </c>
      <c r="G1342" s="391">
        <f t="shared" si="495"/>
        <v>0</v>
      </c>
      <c r="H1342" s="391">
        <f t="shared" si="495"/>
        <v>0</v>
      </c>
      <c r="I1342" s="391">
        <f t="shared" si="495"/>
        <v>810500</v>
      </c>
      <c r="J1342" s="391">
        <f t="shared" si="495"/>
        <v>773647</v>
      </c>
      <c r="K1342" s="391">
        <f t="shared" si="495"/>
        <v>0</v>
      </c>
      <c r="L1342" s="391">
        <f t="shared" si="495"/>
        <v>0</v>
      </c>
      <c r="M1342" s="391">
        <f t="shared" si="495"/>
        <v>773647</v>
      </c>
      <c r="N1342" s="391">
        <f t="shared" si="490"/>
        <v>36853</v>
      </c>
      <c r="O1342" s="391">
        <f t="shared" si="490"/>
        <v>0</v>
      </c>
      <c r="P1342" s="391">
        <f t="shared" si="490"/>
        <v>0</v>
      </c>
      <c r="Q1342" s="391">
        <f t="shared" si="491"/>
        <v>36853</v>
      </c>
      <c r="R1342" s="102"/>
      <c r="S1342" s="254">
        <f t="shared" si="481"/>
        <v>0.95453053670573718</v>
      </c>
      <c r="T1342" s="254" t="str">
        <f t="shared" si="481"/>
        <v/>
      </c>
      <c r="U1342" s="254" t="str">
        <f t="shared" si="481"/>
        <v/>
      </c>
      <c r="V1342" s="254">
        <f t="shared" si="481"/>
        <v>0.95453053670573718</v>
      </c>
      <c r="W1342" s="531"/>
      <c r="Y1342" s="272" t="s">
        <v>598</v>
      </c>
      <c r="Z1342" s="256" t="s">
        <v>598</v>
      </c>
    </row>
    <row r="1343" spans="1:26" ht="11.25" customHeight="1">
      <c r="A1343" s="528" t="s">
        <v>652</v>
      </c>
      <c r="B1343" s="1013" t="s">
        <v>229</v>
      </c>
      <c r="C1343" s="728"/>
      <c r="D1343" s="649" t="s">
        <v>288</v>
      </c>
      <c r="E1343" s="729" t="s">
        <v>288</v>
      </c>
      <c r="F1343" s="103">
        <f>SUM('[3]chd12-SAOB'!AB14)</f>
        <v>515000</v>
      </c>
      <c r="G1343" s="103">
        <f>SUM('[3]chd12-SAOB'!AB50)</f>
        <v>0</v>
      </c>
      <c r="H1343" s="103">
        <f>SUM('[3]chd12-SAOB'!AB142)</f>
        <v>0</v>
      </c>
      <c r="I1343" s="103">
        <f>SUM(F1343:H1343)</f>
        <v>515000</v>
      </c>
      <c r="J1343" s="103">
        <f>SUM('[3]chd12-SAOB'!AB15)</f>
        <v>478147</v>
      </c>
      <c r="K1343" s="103">
        <f>SUM('[3]chd12-SAOB'!AB51)</f>
        <v>0</v>
      </c>
      <c r="L1343" s="103">
        <f>SUM('[3]chd12-SAOB'!AB143)</f>
        <v>0</v>
      </c>
      <c r="M1343" s="103">
        <f t="shared" si="485"/>
        <v>478147</v>
      </c>
      <c r="N1343" s="103">
        <f t="shared" si="490"/>
        <v>36853</v>
      </c>
      <c r="O1343" s="103">
        <f t="shared" si="490"/>
        <v>0</v>
      </c>
      <c r="P1343" s="103">
        <f t="shared" si="490"/>
        <v>0</v>
      </c>
      <c r="Q1343" s="103">
        <f t="shared" si="491"/>
        <v>36853</v>
      </c>
      <c r="S1343" s="730">
        <f t="shared" si="481"/>
        <v>0.92844077669902914</v>
      </c>
      <c r="T1343" s="730" t="str">
        <f t="shared" si="481"/>
        <v/>
      </c>
      <c r="U1343" s="730" t="str">
        <f t="shared" si="481"/>
        <v/>
      </c>
      <c r="V1343" s="730">
        <f t="shared" si="481"/>
        <v>0.92844077669902914</v>
      </c>
      <c r="W1343" s="531"/>
      <c r="X1343" s="236"/>
      <c r="Y1343" s="236" t="s">
        <v>598</v>
      </c>
      <c r="Z1343" s="236"/>
    </row>
    <row r="1344" spans="1:26" ht="11.25" customHeight="1">
      <c r="A1344" s="528" t="s">
        <v>652</v>
      </c>
      <c r="B1344" s="1013" t="s">
        <v>229</v>
      </c>
      <c r="C1344" s="728"/>
      <c r="D1344" s="649" t="s">
        <v>761</v>
      </c>
      <c r="E1344" s="729" t="s">
        <v>761</v>
      </c>
      <c r="F1344" s="104">
        <f>+'[3]chd12-SAOB'!C396</f>
        <v>295500</v>
      </c>
      <c r="G1344" s="104"/>
      <c r="H1344" s="104"/>
      <c r="I1344" s="103">
        <f>SUM(F1344:H1344)</f>
        <v>295500</v>
      </c>
      <c r="J1344" s="104">
        <f>+'[3]chd12-SAOB'!G396</f>
        <v>295500</v>
      </c>
      <c r="K1344" s="104"/>
      <c r="L1344" s="104"/>
      <c r="M1344" s="103">
        <f>SUM(J1344:L1344)</f>
        <v>295500</v>
      </c>
      <c r="N1344" s="103">
        <f t="shared" si="490"/>
        <v>0</v>
      </c>
      <c r="O1344" s="103">
        <f t="shared" si="490"/>
        <v>0</v>
      </c>
      <c r="P1344" s="103">
        <f t="shared" si="490"/>
        <v>0</v>
      </c>
      <c r="Q1344" s="103">
        <f>SUM(N1344:P1344)</f>
        <v>0</v>
      </c>
      <c r="S1344" s="730">
        <f t="shared" si="481"/>
        <v>1</v>
      </c>
      <c r="T1344" s="730" t="str">
        <f t="shared" si="481"/>
        <v/>
      </c>
      <c r="U1344" s="730" t="str">
        <f t="shared" si="481"/>
        <v/>
      </c>
      <c r="V1344" s="730">
        <f t="shared" si="481"/>
        <v>1</v>
      </c>
      <c r="W1344" s="531"/>
      <c r="X1344" s="236"/>
      <c r="Y1344" s="236" t="s">
        <v>688</v>
      </c>
      <c r="Z1344" s="236"/>
    </row>
    <row r="1345" spans="1:26" ht="11.25" customHeight="1">
      <c r="A1345" s="528" t="s">
        <v>652</v>
      </c>
      <c r="B1345" s="1013" t="s">
        <v>229</v>
      </c>
      <c r="C1345" s="410"/>
      <c r="D1345" s="647"/>
      <c r="E1345" s="461" t="s">
        <v>764</v>
      </c>
      <c r="F1345" s="104"/>
      <c r="G1345" s="104"/>
      <c r="H1345" s="104"/>
      <c r="I1345" s="103"/>
      <c r="J1345" s="104"/>
      <c r="K1345" s="104"/>
      <c r="L1345" s="104"/>
      <c r="M1345" s="103"/>
      <c r="N1345" s="103"/>
      <c r="O1345" s="103"/>
      <c r="P1345" s="103"/>
      <c r="Q1345" s="103"/>
      <c r="S1345" s="730" t="str">
        <f t="shared" si="481"/>
        <v/>
      </c>
      <c r="T1345" s="730" t="str">
        <f t="shared" si="481"/>
        <v/>
      </c>
      <c r="U1345" s="730" t="str">
        <f t="shared" si="481"/>
        <v/>
      </c>
      <c r="V1345" s="730" t="str">
        <f t="shared" si="481"/>
        <v/>
      </c>
      <c r="W1345" s="531"/>
      <c r="X1345" s="236"/>
      <c r="Y1345" s="236" t="s">
        <v>688</v>
      </c>
      <c r="Z1345" s="240"/>
    </row>
    <row r="1346" spans="1:26" ht="11.25" customHeight="1">
      <c r="A1346" s="528" t="s">
        <v>652</v>
      </c>
      <c r="B1346" s="1013" t="s">
        <v>229</v>
      </c>
      <c r="C1346" s="728"/>
      <c r="D1346" s="649" t="s">
        <v>289</v>
      </c>
      <c r="E1346" s="729" t="s">
        <v>289</v>
      </c>
      <c r="F1346" s="103">
        <f>SUM('[3]chd12-SAOB'!AF14)</f>
        <v>0</v>
      </c>
      <c r="G1346" s="103">
        <f>SUM('[3]chd12-SAOB'!AF50)</f>
        <v>0</v>
      </c>
      <c r="H1346" s="103">
        <f>SUM('[3]chd12-SAOB'!AF142)</f>
        <v>0</v>
      </c>
      <c r="I1346" s="103">
        <f>SUM(F1346:H1346)</f>
        <v>0</v>
      </c>
      <c r="J1346" s="103">
        <f>SUM('[3]chd12-SAOB'!AF15)</f>
        <v>0</v>
      </c>
      <c r="K1346" s="103">
        <f>SUM('[3]chd12-SAOB'!AF51)</f>
        <v>0</v>
      </c>
      <c r="L1346" s="103">
        <f>SUM('[3]chd12-SAOB'!AF143)</f>
        <v>0</v>
      </c>
      <c r="M1346" s="103">
        <f t="shared" si="485"/>
        <v>0</v>
      </c>
      <c r="N1346" s="103">
        <f t="shared" si="490"/>
        <v>0</v>
      </c>
      <c r="O1346" s="103">
        <f t="shared" si="490"/>
        <v>0</v>
      </c>
      <c r="P1346" s="103">
        <f t="shared" si="490"/>
        <v>0</v>
      </c>
      <c r="Q1346" s="103">
        <f t="shared" si="491"/>
        <v>0</v>
      </c>
      <c r="S1346" s="730" t="str">
        <f t="shared" si="481"/>
        <v/>
      </c>
      <c r="T1346" s="730" t="str">
        <f t="shared" si="481"/>
        <v/>
      </c>
      <c r="U1346" s="730" t="str">
        <f t="shared" si="481"/>
        <v/>
      </c>
      <c r="V1346" s="730" t="str">
        <f t="shared" si="481"/>
        <v/>
      </c>
      <c r="W1346" s="531"/>
      <c r="X1346" s="236"/>
      <c r="Y1346" s="236" t="s">
        <v>598</v>
      </c>
      <c r="Z1346" s="236"/>
    </row>
    <row r="1347" spans="1:26" ht="11.25" customHeight="1">
      <c r="A1347" s="528" t="s">
        <v>652</v>
      </c>
      <c r="B1347" s="1013" t="s">
        <v>229</v>
      </c>
      <c r="C1347" s="728"/>
      <c r="D1347" s="649" t="s">
        <v>290</v>
      </c>
      <c r="E1347" s="729" t="s">
        <v>290</v>
      </c>
      <c r="F1347" s="103">
        <f>SUM('[3]chd12-SAOB'!AJ14)</f>
        <v>0</v>
      </c>
      <c r="G1347" s="103">
        <f>SUM('[3]chd12-SAOB'!AJ50)</f>
        <v>0</v>
      </c>
      <c r="H1347" s="103">
        <f>SUM('[3]chd12-SAOB'!AJ142)</f>
        <v>0</v>
      </c>
      <c r="I1347" s="103">
        <f>SUM(F1347:H1347)</f>
        <v>0</v>
      </c>
      <c r="J1347" s="103">
        <f>SUM('[3]chd12-SAOB'!AJ15)</f>
        <v>0</v>
      </c>
      <c r="K1347" s="103">
        <f>SUM('[3]chd12-SAOB'!AJ51)</f>
        <v>0</v>
      </c>
      <c r="L1347" s="103">
        <f>SUM('[3]chd12-SAOB'!AJ143)</f>
        <v>0</v>
      </c>
      <c r="M1347" s="103">
        <f t="shared" si="485"/>
        <v>0</v>
      </c>
      <c r="N1347" s="103">
        <f t="shared" si="490"/>
        <v>0</v>
      </c>
      <c r="O1347" s="103">
        <f t="shared" si="490"/>
        <v>0</v>
      </c>
      <c r="P1347" s="103">
        <f t="shared" si="490"/>
        <v>0</v>
      </c>
      <c r="Q1347" s="103">
        <f t="shared" si="491"/>
        <v>0</v>
      </c>
      <c r="S1347" s="730" t="str">
        <f t="shared" si="481"/>
        <v/>
      </c>
      <c r="T1347" s="730" t="str">
        <f t="shared" si="481"/>
        <v/>
      </c>
      <c r="U1347" s="730" t="str">
        <f t="shared" si="481"/>
        <v/>
      </c>
      <c r="V1347" s="730" t="str">
        <f t="shared" si="481"/>
        <v/>
      </c>
      <c r="W1347" s="531"/>
      <c r="X1347" s="236"/>
      <c r="Y1347" s="236" t="s">
        <v>598</v>
      </c>
      <c r="Z1347" s="236"/>
    </row>
    <row r="1348" spans="1:26" s="259" customFormat="1" ht="11.25" customHeight="1">
      <c r="A1348" s="246" t="s">
        <v>652</v>
      </c>
      <c r="B1348" s="235" t="s">
        <v>229</v>
      </c>
      <c r="C1348" s="656"/>
      <c r="D1348" s="656"/>
      <c r="E1348" s="657" t="s">
        <v>4</v>
      </c>
      <c r="F1348" s="652">
        <f>+F1338+F1340+F1342</f>
        <v>10182500</v>
      </c>
      <c r="G1348" s="652">
        <f t="shared" ref="G1348:M1348" si="496">+G1338+G1340+G1342</f>
        <v>9127000</v>
      </c>
      <c r="H1348" s="652">
        <f t="shared" si="496"/>
        <v>23900000</v>
      </c>
      <c r="I1348" s="652">
        <f t="shared" si="496"/>
        <v>43209500</v>
      </c>
      <c r="J1348" s="652">
        <f t="shared" si="496"/>
        <v>9520403.9800000004</v>
      </c>
      <c r="K1348" s="652">
        <f t="shared" si="496"/>
        <v>7273616.0700000003</v>
      </c>
      <c r="L1348" s="652">
        <f t="shared" si="496"/>
        <v>23899085.800000001</v>
      </c>
      <c r="M1348" s="652">
        <f t="shared" si="496"/>
        <v>40693105.850000001</v>
      </c>
      <c r="N1348" s="652">
        <f t="shared" si="490"/>
        <v>662096.01999999955</v>
      </c>
      <c r="O1348" s="652">
        <f t="shared" si="490"/>
        <v>1853383.9299999997</v>
      </c>
      <c r="P1348" s="652">
        <f t="shared" si="490"/>
        <v>914.19999999925494</v>
      </c>
      <c r="Q1348" s="652">
        <f t="shared" si="491"/>
        <v>2516394.1499999985</v>
      </c>
      <c r="R1348" s="653">
        <f>+Q1348-'[3]chd12-SAOB'!BD179</f>
        <v>0</v>
      </c>
      <c r="S1348" s="1008">
        <f t="shared" si="481"/>
        <v>0.9349770665357231</v>
      </c>
      <c r="T1348" s="1008">
        <f t="shared" si="481"/>
        <v>0.79693393995836537</v>
      </c>
      <c r="U1348" s="1008">
        <f t="shared" si="481"/>
        <v>0.99996174895397494</v>
      </c>
      <c r="V1348" s="1008">
        <f t="shared" si="481"/>
        <v>0.94176294217706757</v>
      </c>
      <c r="W1348" s="254"/>
      <c r="X1348" s="520"/>
      <c r="Y1348" s="610" t="s">
        <v>598</v>
      </c>
      <c r="Z1348" s="241" t="s">
        <v>598</v>
      </c>
    </row>
    <row r="1349" spans="1:26" s="660" customFormat="1" ht="16.5" hidden="1" customHeight="1">
      <c r="A1349" s="246" t="s">
        <v>652</v>
      </c>
      <c r="B1349" s="1009" t="s">
        <v>653</v>
      </c>
      <c r="C1349" s="1428" t="s">
        <v>651</v>
      </c>
      <c r="D1349" s="1429"/>
      <c r="E1349" s="1430"/>
      <c r="F1349" s="659">
        <f>+F1333+F1348</f>
        <v>147883748</v>
      </c>
      <c r="G1349" s="659">
        <f>+G1333+G1348</f>
        <v>73709000</v>
      </c>
      <c r="H1349" s="659">
        <f>+H1333+H1348</f>
        <v>23900000</v>
      </c>
      <c r="I1349" s="659">
        <f>SUM(F1349:H1349)</f>
        <v>245492748</v>
      </c>
      <c r="J1349" s="659">
        <f>+J1333+J1348</f>
        <v>139767398.91000003</v>
      </c>
      <c r="K1349" s="659">
        <f>+K1333+K1348</f>
        <v>64834679.869999997</v>
      </c>
      <c r="L1349" s="659">
        <f>+L1333+L1348</f>
        <v>23899085.800000001</v>
      </c>
      <c r="M1349" s="659">
        <f t="shared" si="485"/>
        <v>228501164.58000004</v>
      </c>
      <c r="N1349" s="659">
        <f t="shared" si="490"/>
        <v>8116349.0899999738</v>
      </c>
      <c r="O1349" s="659">
        <f t="shared" si="490"/>
        <v>8874320.1300000027</v>
      </c>
      <c r="P1349" s="659">
        <f t="shared" si="490"/>
        <v>914.19999999925494</v>
      </c>
      <c r="Q1349" s="659">
        <f t="shared" si="491"/>
        <v>16991583.419999976</v>
      </c>
      <c r="S1349" s="1015">
        <f t="shared" si="481"/>
        <v>0.94511669335023907</v>
      </c>
      <c r="T1349" s="1015">
        <f t="shared" si="481"/>
        <v>0.87960330312444879</v>
      </c>
      <c r="U1349" s="1015">
        <f t="shared" si="481"/>
        <v>0.99996174895397494</v>
      </c>
      <c r="V1349" s="1015">
        <f t="shared" si="481"/>
        <v>0.93078580300873104</v>
      </c>
      <c r="W1349" s="254"/>
    </row>
    <row r="1350" spans="1:26" ht="11.25" hidden="1" customHeight="1">
      <c r="A1350" s="246" t="s">
        <v>652</v>
      </c>
      <c r="B1350" s="235" t="s">
        <v>653</v>
      </c>
      <c r="C1350" s="1016"/>
      <c r="D1350" s="386"/>
      <c r="E1350" s="461"/>
      <c r="F1350" s="103"/>
      <c r="G1350" s="103"/>
      <c r="H1350" s="103"/>
      <c r="I1350" s="103">
        <f>SUM(F1350:H1350)</f>
        <v>0</v>
      </c>
      <c r="J1350" s="103"/>
      <c r="K1350" s="103"/>
      <c r="L1350" s="103"/>
      <c r="M1350" s="103">
        <f t="shared" si="485"/>
        <v>0</v>
      </c>
      <c r="N1350" s="103">
        <f t="shared" si="490"/>
        <v>0</v>
      </c>
      <c r="O1350" s="103">
        <f t="shared" si="490"/>
        <v>0</v>
      </c>
      <c r="P1350" s="103">
        <f t="shared" si="490"/>
        <v>0</v>
      </c>
      <c r="Q1350" s="103">
        <f t="shared" si="491"/>
        <v>0</v>
      </c>
      <c r="R1350" s="236"/>
      <c r="S1350" s="730" t="str">
        <f t="shared" si="481"/>
        <v/>
      </c>
      <c r="T1350" s="730" t="str">
        <f t="shared" si="481"/>
        <v/>
      </c>
      <c r="U1350" s="730" t="str">
        <f t="shared" si="481"/>
        <v/>
      </c>
      <c r="V1350" s="730" t="str">
        <f t="shared" si="481"/>
        <v/>
      </c>
      <c r="W1350" s="254"/>
      <c r="X1350" s="520" t="s">
        <v>598</v>
      </c>
      <c r="Z1350" s="241"/>
    </row>
    <row r="1351" spans="1:26" s="275" customFormat="1" ht="11.25" hidden="1" customHeight="1">
      <c r="A1351" s="246" t="s">
        <v>652</v>
      </c>
      <c r="B1351" s="246" t="s">
        <v>653</v>
      </c>
      <c r="C1351" s="407" t="s">
        <v>846</v>
      </c>
      <c r="D1351" s="407"/>
      <c r="E1351" s="408"/>
      <c r="F1351" s="409"/>
      <c r="G1351" s="409"/>
      <c r="H1351" s="409"/>
      <c r="I1351" s="409">
        <f>SUM(F1351:H1351)</f>
        <v>0</v>
      </c>
      <c r="J1351" s="409"/>
      <c r="K1351" s="409"/>
      <c r="L1351" s="409"/>
      <c r="M1351" s="409">
        <f t="shared" si="485"/>
        <v>0</v>
      </c>
      <c r="N1351" s="409">
        <f t="shared" si="490"/>
        <v>0</v>
      </c>
      <c r="O1351" s="409">
        <f t="shared" si="490"/>
        <v>0</v>
      </c>
      <c r="P1351" s="409">
        <f t="shared" si="490"/>
        <v>0</v>
      </c>
      <c r="Q1351" s="409">
        <f t="shared" si="491"/>
        <v>0</v>
      </c>
      <c r="R1351" s="522"/>
      <c r="S1351" s="254" t="str">
        <f t="shared" si="481"/>
        <v/>
      </c>
      <c r="T1351" s="254" t="str">
        <f t="shared" si="481"/>
        <v/>
      </c>
      <c r="U1351" s="254" t="str">
        <f t="shared" si="481"/>
        <v/>
      </c>
      <c r="V1351" s="1002" t="str">
        <f t="shared" si="481"/>
        <v/>
      </c>
      <c r="W1351" s="254"/>
      <c r="X1351" s="274" t="s">
        <v>598</v>
      </c>
      <c r="Y1351" s="663"/>
      <c r="Z1351" s="253"/>
    </row>
    <row r="1352" spans="1:26" ht="11.25" hidden="1" customHeight="1">
      <c r="A1352" s="246" t="s">
        <v>652</v>
      </c>
      <c r="B1352" s="235" t="s">
        <v>653</v>
      </c>
      <c r="C1352" s="461"/>
      <c r="D1352" s="664" t="s">
        <v>766</v>
      </c>
      <c r="E1352" s="447" t="s">
        <v>766</v>
      </c>
      <c r="F1352" s="103">
        <f>+F1302+F1321+F1336</f>
        <v>193528000</v>
      </c>
      <c r="G1352" s="103">
        <f>+G1302+G1321+G1336</f>
        <v>209274000</v>
      </c>
      <c r="H1352" s="103">
        <f>+H1302+H1321+H1336</f>
        <v>0</v>
      </c>
      <c r="I1352" s="103">
        <f>SUM(F1352:H1352)</f>
        <v>402802000</v>
      </c>
      <c r="J1352" s="103">
        <f>+J1302+J1321+J1336</f>
        <v>176529892.00000003</v>
      </c>
      <c r="K1352" s="103">
        <f>+K1302+K1321+K1336</f>
        <v>148161439.72999999</v>
      </c>
      <c r="L1352" s="103">
        <f>+L1302+L1321+L1336</f>
        <v>0</v>
      </c>
      <c r="M1352" s="103">
        <f t="shared" si="485"/>
        <v>324691331.73000002</v>
      </c>
      <c r="N1352" s="103">
        <f t="shared" si="490"/>
        <v>16998107.99999997</v>
      </c>
      <c r="O1352" s="103">
        <f t="shared" si="490"/>
        <v>61112560.270000011</v>
      </c>
      <c r="P1352" s="103">
        <f t="shared" si="490"/>
        <v>0</v>
      </c>
      <c r="Q1352" s="103">
        <f t="shared" si="491"/>
        <v>78110668.269999981</v>
      </c>
      <c r="R1352" s="236"/>
      <c r="S1352" s="730">
        <f t="shared" si="481"/>
        <v>0.91216719027737603</v>
      </c>
      <c r="T1352" s="730">
        <f t="shared" si="481"/>
        <v>0.70797824732169301</v>
      </c>
      <c r="U1352" s="730" t="str">
        <f t="shared" si="481"/>
        <v/>
      </c>
      <c r="V1352" s="730">
        <f t="shared" si="481"/>
        <v>0.80608172682856594</v>
      </c>
      <c r="W1352" s="254"/>
      <c r="X1352" s="237" t="s">
        <v>598</v>
      </c>
    </row>
    <row r="1353" spans="1:26" ht="11.25" hidden="1" customHeight="1">
      <c r="A1353" s="246" t="s">
        <v>652</v>
      </c>
      <c r="B1353" s="235" t="s">
        <v>653</v>
      </c>
      <c r="C1353" s="728"/>
      <c r="D1353" s="394" t="s">
        <v>50</v>
      </c>
      <c r="E1353" s="447" t="s">
        <v>50</v>
      </c>
      <c r="F1353" s="103">
        <f>+F1306+F1322+F1337</f>
        <v>0</v>
      </c>
      <c r="G1353" s="103">
        <f>+G1306+G1322+G1337</f>
        <v>137856297.57999998</v>
      </c>
      <c r="H1353" s="103">
        <f>+H1306+H1322+H1337</f>
        <v>128257980</v>
      </c>
      <c r="I1353" s="103">
        <f>SUM(F1353:H1353)</f>
        <v>266114277.57999998</v>
      </c>
      <c r="J1353" s="103">
        <f>+J1306+J1322+J1337</f>
        <v>0</v>
      </c>
      <c r="K1353" s="103">
        <f>+K1306+K1322+K1337</f>
        <v>79685626.910000011</v>
      </c>
      <c r="L1353" s="103">
        <f>+L1306+L1322+L1337</f>
        <v>108471610.72999999</v>
      </c>
      <c r="M1353" s="103">
        <f>SUM(J1353:L1353)</f>
        <v>188157237.63999999</v>
      </c>
      <c r="N1353" s="103">
        <f t="shared" si="490"/>
        <v>0</v>
      </c>
      <c r="O1353" s="103">
        <f t="shared" si="490"/>
        <v>58170670.669999972</v>
      </c>
      <c r="P1353" s="103">
        <f t="shared" si="490"/>
        <v>19786369.270000011</v>
      </c>
      <c r="Q1353" s="103">
        <f t="shared" si="491"/>
        <v>77957039.939999983</v>
      </c>
      <c r="R1353" s="236"/>
      <c r="S1353" s="730" t="str">
        <f t="shared" si="481"/>
        <v/>
      </c>
      <c r="T1353" s="730">
        <f t="shared" si="481"/>
        <v>0.57803399851034953</v>
      </c>
      <c r="U1353" s="730">
        <f t="shared" si="481"/>
        <v>0.84572991661025687</v>
      </c>
      <c r="V1353" s="730">
        <f t="shared" si="481"/>
        <v>0.70705427514476615</v>
      </c>
      <c r="W1353" s="254"/>
      <c r="X1353" s="237" t="s">
        <v>598</v>
      </c>
    </row>
    <row r="1354" spans="1:26" s="256" customFormat="1" ht="11.25" hidden="1" customHeight="1">
      <c r="A1354" s="246" t="s">
        <v>652</v>
      </c>
      <c r="B1354" s="246" t="s">
        <v>653</v>
      </c>
      <c r="C1354" s="389"/>
      <c r="D1354" s="389" t="s">
        <v>98</v>
      </c>
      <c r="E1354" s="390" t="s">
        <v>767</v>
      </c>
      <c r="F1354" s="391">
        <f>+F1352+F1353</f>
        <v>193528000</v>
      </c>
      <c r="G1354" s="391">
        <f t="shared" ref="G1354:M1354" si="497">+G1352+G1353</f>
        <v>347130297.57999998</v>
      </c>
      <c r="H1354" s="391">
        <f t="shared" si="497"/>
        <v>128257980</v>
      </c>
      <c r="I1354" s="391">
        <f t="shared" si="497"/>
        <v>668916277.57999992</v>
      </c>
      <c r="J1354" s="391">
        <f t="shared" si="497"/>
        <v>176529892.00000003</v>
      </c>
      <c r="K1354" s="391">
        <f t="shared" si="497"/>
        <v>227847066.63999999</v>
      </c>
      <c r="L1354" s="391">
        <f t="shared" si="497"/>
        <v>108471610.72999999</v>
      </c>
      <c r="M1354" s="391">
        <f t="shared" si="497"/>
        <v>512848569.37</v>
      </c>
      <c r="N1354" s="391">
        <f t="shared" si="490"/>
        <v>16998107.99999997</v>
      </c>
      <c r="O1354" s="391">
        <f t="shared" si="490"/>
        <v>119283230.94</v>
      </c>
      <c r="P1354" s="391">
        <f t="shared" si="490"/>
        <v>19786369.270000011</v>
      </c>
      <c r="Q1354" s="391">
        <f t="shared" si="491"/>
        <v>156067708.20999998</v>
      </c>
      <c r="R1354" s="665"/>
      <c r="S1354" s="254">
        <f t="shared" si="481"/>
        <v>0.91216719027737603</v>
      </c>
      <c r="T1354" s="254">
        <f t="shared" si="481"/>
        <v>0.65637332214567101</v>
      </c>
      <c r="U1354" s="254">
        <f t="shared" si="481"/>
        <v>0.84572991661025687</v>
      </c>
      <c r="V1354" s="297">
        <f t="shared" si="481"/>
        <v>0.76668573715290578</v>
      </c>
      <c r="W1354" s="254"/>
      <c r="X1354" s="271" t="s">
        <v>598</v>
      </c>
      <c r="Y1354" s="628"/>
      <c r="Z1354" s="255"/>
    </row>
    <row r="1355" spans="1:26" ht="11.25" hidden="1" customHeight="1">
      <c r="A1355" s="246" t="s">
        <v>652</v>
      </c>
      <c r="B1355" s="235" t="s">
        <v>653</v>
      </c>
      <c r="C1355" s="410"/>
      <c r="D1355" s="396"/>
      <c r="E1355" s="806"/>
      <c r="F1355" s="807"/>
      <c r="G1355" s="807"/>
      <c r="H1355" s="807"/>
      <c r="I1355" s="807"/>
      <c r="J1355" s="807"/>
      <c r="K1355" s="807"/>
      <c r="L1355" s="807"/>
      <c r="M1355" s="807"/>
      <c r="N1355" s="807">
        <f t="shared" si="490"/>
        <v>0</v>
      </c>
      <c r="O1355" s="807">
        <f t="shared" si="490"/>
        <v>0</v>
      </c>
      <c r="P1355" s="807">
        <f t="shared" si="490"/>
        <v>0</v>
      </c>
      <c r="Q1355" s="807">
        <f t="shared" si="491"/>
        <v>0</v>
      </c>
      <c r="R1355" s="276"/>
      <c r="S1355" s="730" t="str">
        <f t="shared" si="481"/>
        <v/>
      </c>
      <c r="T1355" s="730" t="str">
        <f t="shared" si="481"/>
        <v/>
      </c>
      <c r="U1355" s="730" t="str">
        <f t="shared" si="481"/>
        <v/>
      </c>
      <c r="V1355" s="730" t="str">
        <f t="shared" si="481"/>
        <v/>
      </c>
      <c r="W1355" s="254"/>
      <c r="X1355" s="237" t="s">
        <v>598</v>
      </c>
    </row>
    <row r="1356" spans="1:26" s="256" customFormat="1" ht="11.25" hidden="1" customHeight="1">
      <c r="A1356" s="246" t="s">
        <v>652</v>
      </c>
      <c r="B1356" s="246" t="s">
        <v>653</v>
      </c>
      <c r="C1356" s="389"/>
      <c r="D1356" s="389" t="s">
        <v>98</v>
      </c>
      <c r="E1356" s="390" t="s">
        <v>99</v>
      </c>
      <c r="F1356" s="391">
        <f>+F1357</f>
        <v>17664000</v>
      </c>
      <c r="G1356" s="391">
        <f t="shared" ref="G1356:M1356" si="498">+G1357</f>
        <v>0</v>
      </c>
      <c r="H1356" s="391">
        <f t="shared" si="498"/>
        <v>0</v>
      </c>
      <c r="I1356" s="391">
        <f t="shared" si="498"/>
        <v>17664000</v>
      </c>
      <c r="J1356" s="391">
        <f t="shared" si="498"/>
        <v>15441559.210000001</v>
      </c>
      <c r="K1356" s="391">
        <f t="shared" si="498"/>
        <v>0</v>
      </c>
      <c r="L1356" s="391">
        <f t="shared" si="498"/>
        <v>0</v>
      </c>
      <c r="M1356" s="391">
        <f t="shared" si="498"/>
        <v>15441559.210000001</v>
      </c>
      <c r="N1356" s="391">
        <f t="shared" si="490"/>
        <v>2222440.7899999991</v>
      </c>
      <c r="O1356" s="391">
        <f t="shared" si="490"/>
        <v>0</v>
      </c>
      <c r="P1356" s="391">
        <f t="shared" si="490"/>
        <v>0</v>
      </c>
      <c r="Q1356" s="391">
        <f t="shared" si="491"/>
        <v>2222440.7899999991</v>
      </c>
      <c r="R1356" s="522"/>
      <c r="S1356" s="254">
        <f t="shared" si="481"/>
        <v>0.87418247339221022</v>
      </c>
      <c r="T1356" s="254" t="str">
        <f t="shared" si="481"/>
        <v/>
      </c>
      <c r="U1356" s="254" t="str">
        <f t="shared" si="481"/>
        <v/>
      </c>
      <c r="V1356" s="297">
        <f t="shared" si="481"/>
        <v>0.87418247339221022</v>
      </c>
      <c r="W1356" s="254"/>
      <c r="X1356" s="271" t="s">
        <v>598</v>
      </c>
      <c r="Y1356" s="628"/>
      <c r="Z1356" s="255"/>
    </row>
    <row r="1357" spans="1:26" ht="11.25" hidden="1" customHeight="1">
      <c r="A1357" s="246" t="s">
        <v>652</v>
      </c>
      <c r="B1357" s="235" t="s">
        <v>653</v>
      </c>
      <c r="C1357" s="728"/>
      <c r="D1357" s="394" t="s">
        <v>286</v>
      </c>
      <c r="E1357" s="729" t="s">
        <v>286</v>
      </c>
      <c r="F1357" s="103">
        <f>+F1310+F1326+F1341</f>
        <v>17664000</v>
      </c>
      <c r="G1357" s="103">
        <f>+G1310+G1326+G1341</f>
        <v>0</v>
      </c>
      <c r="H1357" s="103">
        <f>+H1310+H1326+H1341</f>
        <v>0</v>
      </c>
      <c r="I1357" s="103">
        <f>SUM(F1357:H1357)</f>
        <v>17664000</v>
      </c>
      <c r="J1357" s="103">
        <f>+J1310+J1326+J1341</f>
        <v>15441559.210000001</v>
      </c>
      <c r="K1357" s="103">
        <f>+K1310+K1326+K1341</f>
        <v>0</v>
      </c>
      <c r="L1357" s="103">
        <f>+L1310+L1326+L1341</f>
        <v>0</v>
      </c>
      <c r="M1357" s="103">
        <f t="shared" si="485"/>
        <v>15441559.210000001</v>
      </c>
      <c r="N1357" s="103">
        <f t="shared" si="490"/>
        <v>2222440.7899999991</v>
      </c>
      <c r="O1357" s="103">
        <f t="shared" si="490"/>
        <v>0</v>
      </c>
      <c r="P1357" s="103">
        <f t="shared" si="490"/>
        <v>0</v>
      </c>
      <c r="Q1357" s="103">
        <f t="shared" si="491"/>
        <v>2222440.7899999991</v>
      </c>
      <c r="R1357" s="236"/>
      <c r="S1357" s="730">
        <f t="shared" si="481"/>
        <v>0.87418247339221022</v>
      </c>
      <c r="T1357" s="730" t="str">
        <f t="shared" si="481"/>
        <v/>
      </c>
      <c r="U1357" s="730" t="str">
        <f t="shared" si="481"/>
        <v/>
      </c>
      <c r="V1357" s="730">
        <f t="shared" si="481"/>
        <v>0.87418247339221022</v>
      </c>
      <c r="W1357" s="254"/>
      <c r="X1357" s="237" t="s">
        <v>598</v>
      </c>
    </row>
    <row r="1358" spans="1:26" s="272" customFormat="1" ht="11.25" hidden="1" customHeight="1">
      <c r="A1358" s="246" t="s">
        <v>652</v>
      </c>
      <c r="B1358" s="246" t="s">
        <v>653</v>
      </c>
      <c r="C1358" s="389"/>
      <c r="D1358" s="389" t="s">
        <v>98</v>
      </c>
      <c r="E1358" s="390" t="s">
        <v>100</v>
      </c>
      <c r="F1358" s="391">
        <f t="shared" ref="F1358:M1358" si="499">SUM(F1359:F1363)</f>
        <v>12123748</v>
      </c>
      <c r="G1358" s="391">
        <f t="shared" si="499"/>
        <v>2500000</v>
      </c>
      <c r="H1358" s="391">
        <f t="shared" si="499"/>
        <v>0</v>
      </c>
      <c r="I1358" s="391">
        <f t="shared" si="499"/>
        <v>14623748</v>
      </c>
      <c r="J1358" s="391">
        <f t="shared" si="499"/>
        <v>12051892.83</v>
      </c>
      <c r="K1358" s="391">
        <f t="shared" si="499"/>
        <v>2500000</v>
      </c>
      <c r="L1358" s="391">
        <f t="shared" si="499"/>
        <v>0</v>
      </c>
      <c r="M1358" s="391">
        <f t="shared" si="499"/>
        <v>14551892.83</v>
      </c>
      <c r="N1358" s="391">
        <f t="shared" si="490"/>
        <v>71855.169999999925</v>
      </c>
      <c r="O1358" s="391">
        <f t="shared" si="490"/>
        <v>0</v>
      </c>
      <c r="P1358" s="391">
        <f t="shared" si="490"/>
        <v>0</v>
      </c>
      <c r="Q1358" s="391">
        <f t="shared" si="491"/>
        <v>71855.169999999925</v>
      </c>
      <c r="R1358" s="94"/>
      <c r="S1358" s="254">
        <f t="shared" si="481"/>
        <v>0.99407318842324999</v>
      </c>
      <c r="T1358" s="254">
        <f t="shared" si="481"/>
        <v>1</v>
      </c>
      <c r="U1358" s="254" t="str">
        <f t="shared" si="481"/>
        <v/>
      </c>
      <c r="V1358" s="297">
        <f t="shared" si="481"/>
        <v>0.99508640534560633</v>
      </c>
      <c r="W1358" s="254"/>
      <c r="X1358" s="527" t="s">
        <v>598</v>
      </c>
      <c r="Y1358" s="629"/>
      <c r="Z1358" s="277"/>
    </row>
    <row r="1359" spans="1:26" ht="11.25" hidden="1" customHeight="1">
      <c r="A1359" s="246" t="s">
        <v>652</v>
      </c>
      <c r="B1359" s="235" t="s">
        <v>653</v>
      </c>
      <c r="C1359" s="728"/>
      <c r="D1359" s="394" t="s">
        <v>288</v>
      </c>
      <c r="E1359" s="729" t="s">
        <v>288</v>
      </c>
      <c r="F1359" s="103">
        <f t="shared" ref="F1359:H1360" si="500">+F1312+F1328+F1343</f>
        <v>515000</v>
      </c>
      <c r="G1359" s="103">
        <f t="shared" si="500"/>
        <v>0</v>
      </c>
      <c r="H1359" s="103">
        <f t="shared" si="500"/>
        <v>0</v>
      </c>
      <c r="I1359" s="103">
        <f>SUM(F1359:H1359)</f>
        <v>515000</v>
      </c>
      <c r="J1359" s="103">
        <f t="shared" ref="J1359:L1360" si="501">+J1312+J1328+J1343</f>
        <v>478147</v>
      </c>
      <c r="K1359" s="103">
        <f t="shared" si="501"/>
        <v>0</v>
      </c>
      <c r="L1359" s="103">
        <f t="shared" si="501"/>
        <v>0</v>
      </c>
      <c r="M1359" s="103">
        <f t="shared" si="485"/>
        <v>478147</v>
      </c>
      <c r="N1359" s="103">
        <f t="shared" si="490"/>
        <v>36853</v>
      </c>
      <c r="O1359" s="103">
        <f t="shared" si="490"/>
        <v>0</v>
      </c>
      <c r="P1359" s="103">
        <f t="shared" si="490"/>
        <v>0</v>
      </c>
      <c r="Q1359" s="103">
        <f t="shared" si="491"/>
        <v>36853</v>
      </c>
      <c r="R1359" s="236"/>
      <c r="S1359" s="730">
        <f t="shared" si="481"/>
        <v>0.92844077669902914</v>
      </c>
      <c r="T1359" s="730" t="str">
        <f t="shared" si="481"/>
        <v/>
      </c>
      <c r="U1359" s="730" t="str">
        <f t="shared" si="481"/>
        <v/>
      </c>
      <c r="V1359" s="730">
        <f t="shared" si="481"/>
        <v>0.92844077669902914</v>
      </c>
      <c r="W1359" s="254"/>
      <c r="X1359" s="237" t="s">
        <v>598</v>
      </c>
    </row>
    <row r="1360" spans="1:26" ht="11.25" hidden="1" customHeight="1">
      <c r="A1360" s="246" t="s">
        <v>652</v>
      </c>
      <c r="B1360" s="235" t="s">
        <v>653</v>
      </c>
      <c r="C1360" s="728"/>
      <c r="D1360" s="394" t="s">
        <v>761</v>
      </c>
      <c r="E1360" s="729" t="s">
        <v>761</v>
      </c>
      <c r="F1360" s="103">
        <f t="shared" si="500"/>
        <v>7730500</v>
      </c>
      <c r="G1360" s="103">
        <f t="shared" si="500"/>
        <v>0</v>
      </c>
      <c r="H1360" s="103">
        <f t="shared" si="500"/>
        <v>0</v>
      </c>
      <c r="I1360" s="103">
        <f>SUM(F1360:H1360)</f>
        <v>7730500</v>
      </c>
      <c r="J1360" s="103">
        <f t="shared" si="501"/>
        <v>7695500</v>
      </c>
      <c r="K1360" s="103">
        <f t="shared" si="501"/>
        <v>0</v>
      </c>
      <c r="L1360" s="103">
        <f t="shared" si="501"/>
        <v>0</v>
      </c>
      <c r="M1360" s="103">
        <f>SUM(J1360:L1360)</f>
        <v>7695500</v>
      </c>
      <c r="N1360" s="103">
        <f>+F1360-J1360</f>
        <v>35000</v>
      </c>
      <c r="O1360" s="103">
        <f>+G1360-K1360</f>
        <v>0</v>
      </c>
      <c r="P1360" s="103">
        <f>+H1360-L1360</f>
        <v>0</v>
      </c>
      <c r="Q1360" s="103">
        <f>SUM(N1360:P1360)</f>
        <v>35000</v>
      </c>
      <c r="R1360" s="236"/>
      <c r="S1360" s="730">
        <f t="shared" si="481"/>
        <v>0.99547247914106463</v>
      </c>
      <c r="T1360" s="730" t="str">
        <f t="shared" si="481"/>
        <v/>
      </c>
      <c r="U1360" s="730" t="str">
        <f t="shared" si="481"/>
        <v/>
      </c>
      <c r="V1360" s="730">
        <f t="shared" si="481"/>
        <v>0.99547247914106463</v>
      </c>
      <c r="W1360" s="254"/>
      <c r="X1360" s="237" t="s">
        <v>598</v>
      </c>
    </row>
    <row r="1361" spans="1:26" ht="11.25" hidden="1" customHeight="1">
      <c r="A1361" s="246" t="s">
        <v>652</v>
      </c>
      <c r="B1361" s="235" t="s">
        <v>653</v>
      </c>
      <c r="C1361" s="410"/>
      <c r="D1361" s="386"/>
      <c r="E1361" s="461"/>
      <c r="F1361" s="104"/>
      <c r="G1361" s="104"/>
      <c r="H1361" s="104"/>
      <c r="I1361" s="103"/>
      <c r="J1361" s="104"/>
      <c r="K1361" s="104"/>
      <c r="L1361" s="104"/>
      <c r="M1361" s="103"/>
      <c r="N1361" s="103"/>
      <c r="O1361" s="103"/>
      <c r="P1361" s="103"/>
      <c r="Q1361" s="103"/>
      <c r="R1361" s="236"/>
      <c r="S1361" s="730" t="str">
        <f t="shared" si="481"/>
        <v/>
      </c>
      <c r="T1361" s="730" t="str">
        <f t="shared" si="481"/>
        <v/>
      </c>
      <c r="U1361" s="730" t="str">
        <f t="shared" si="481"/>
        <v/>
      </c>
      <c r="V1361" s="730" t="str">
        <f t="shared" si="481"/>
        <v/>
      </c>
      <c r="W1361" s="254"/>
      <c r="X1361" s="237" t="s">
        <v>598</v>
      </c>
    </row>
    <row r="1362" spans="1:26" ht="11.25" hidden="1" customHeight="1">
      <c r="A1362" s="246" t="s">
        <v>652</v>
      </c>
      <c r="B1362" s="235" t="s">
        <v>653</v>
      </c>
      <c r="C1362" s="728"/>
      <c r="D1362" s="394" t="s">
        <v>289</v>
      </c>
      <c r="E1362" s="729" t="s">
        <v>289</v>
      </c>
      <c r="F1362" s="103">
        <f t="shared" ref="F1362:H1363" si="502">+F1315+F1331+F1346</f>
        <v>3878248</v>
      </c>
      <c r="G1362" s="103">
        <f t="shared" si="502"/>
        <v>0</v>
      </c>
      <c r="H1362" s="103">
        <f t="shared" si="502"/>
        <v>0</v>
      </c>
      <c r="I1362" s="103">
        <f>SUM(F1362:H1362)</f>
        <v>3878248</v>
      </c>
      <c r="J1362" s="103">
        <f t="shared" ref="J1362:L1363" si="503">+J1315+J1331+J1346</f>
        <v>3878245.83</v>
      </c>
      <c r="K1362" s="103">
        <f t="shared" si="503"/>
        <v>0</v>
      </c>
      <c r="L1362" s="103">
        <f t="shared" si="503"/>
        <v>0</v>
      </c>
      <c r="M1362" s="103">
        <f t="shared" si="485"/>
        <v>3878245.83</v>
      </c>
      <c r="N1362" s="103">
        <f t="shared" si="490"/>
        <v>2.1699999999254942</v>
      </c>
      <c r="O1362" s="103">
        <f t="shared" si="490"/>
        <v>0</v>
      </c>
      <c r="P1362" s="103">
        <f t="shared" si="490"/>
        <v>0</v>
      </c>
      <c r="Q1362" s="103">
        <f t="shared" si="491"/>
        <v>2.1699999999254942</v>
      </c>
      <c r="R1362" s="236"/>
      <c r="S1362" s="730">
        <f t="shared" si="481"/>
        <v>0.99999944046899525</v>
      </c>
      <c r="T1362" s="730" t="str">
        <f t="shared" si="481"/>
        <v/>
      </c>
      <c r="U1362" s="730" t="str">
        <f t="shared" si="481"/>
        <v/>
      </c>
      <c r="V1362" s="730">
        <f t="shared" si="481"/>
        <v>0.99999944046899525</v>
      </c>
      <c r="W1362" s="254"/>
      <c r="X1362" s="237" t="s">
        <v>598</v>
      </c>
    </row>
    <row r="1363" spans="1:26" ht="11.25" hidden="1" customHeight="1">
      <c r="A1363" s="246" t="s">
        <v>652</v>
      </c>
      <c r="B1363" s="235" t="s">
        <v>653</v>
      </c>
      <c r="C1363" s="728"/>
      <c r="D1363" s="394" t="s">
        <v>290</v>
      </c>
      <c r="E1363" s="729" t="s">
        <v>290</v>
      </c>
      <c r="F1363" s="103">
        <f t="shared" si="502"/>
        <v>0</v>
      </c>
      <c r="G1363" s="103">
        <f t="shared" si="502"/>
        <v>2500000</v>
      </c>
      <c r="H1363" s="103">
        <f t="shared" si="502"/>
        <v>0</v>
      </c>
      <c r="I1363" s="103">
        <f>SUM(F1363:H1363)</f>
        <v>2500000</v>
      </c>
      <c r="J1363" s="103">
        <f t="shared" si="503"/>
        <v>0</v>
      </c>
      <c r="K1363" s="103">
        <f t="shared" si="503"/>
        <v>2500000</v>
      </c>
      <c r="L1363" s="103">
        <f t="shared" si="503"/>
        <v>0</v>
      </c>
      <c r="M1363" s="103">
        <f t="shared" si="485"/>
        <v>2500000</v>
      </c>
      <c r="N1363" s="103">
        <f t="shared" si="490"/>
        <v>0</v>
      </c>
      <c r="O1363" s="103">
        <f t="shared" si="490"/>
        <v>0</v>
      </c>
      <c r="P1363" s="103">
        <f t="shared" si="490"/>
        <v>0</v>
      </c>
      <c r="Q1363" s="103">
        <f t="shared" si="491"/>
        <v>0</v>
      </c>
      <c r="R1363" s="236"/>
      <c r="S1363" s="730" t="str">
        <f t="shared" si="481"/>
        <v/>
      </c>
      <c r="T1363" s="730">
        <f t="shared" si="481"/>
        <v>1</v>
      </c>
      <c r="U1363" s="730" t="str">
        <f t="shared" si="481"/>
        <v/>
      </c>
      <c r="V1363" s="730">
        <f t="shared" si="481"/>
        <v>1</v>
      </c>
      <c r="W1363" s="254"/>
      <c r="X1363" s="237" t="s">
        <v>598</v>
      </c>
    </row>
    <row r="1364" spans="1:26" s="266" customFormat="1" ht="27.75" customHeight="1">
      <c r="A1364" s="246" t="s">
        <v>652</v>
      </c>
      <c r="B1364" s="1009" t="s">
        <v>653</v>
      </c>
      <c r="C1364" s="1431" t="s">
        <v>654</v>
      </c>
      <c r="D1364" s="1432"/>
      <c r="E1364" s="1433"/>
      <c r="F1364" s="666">
        <f>+F1358+F1356+F1354</f>
        <v>223315748</v>
      </c>
      <c r="G1364" s="666">
        <f t="shared" ref="G1364:M1364" si="504">+G1358+G1356+G1354</f>
        <v>349630297.57999998</v>
      </c>
      <c r="H1364" s="666">
        <f t="shared" si="504"/>
        <v>128257980</v>
      </c>
      <c r="I1364" s="666">
        <f t="shared" si="504"/>
        <v>701204025.57999992</v>
      </c>
      <c r="J1364" s="666">
        <f t="shared" si="504"/>
        <v>204023344.04000002</v>
      </c>
      <c r="K1364" s="666">
        <f t="shared" si="504"/>
        <v>230347066.63999999</v>
      </c>
      <c r="L1364" s="666">
        <f t="shared" si="504"/>
        <v>108471610.72999999</v>
      </c>
      <c r="M1364" s="666">
        <f t="shared" si="504"/>
        <v>542842021.40999997</v>
      </c>
      <c r="N1364" s="666">
        <f t="shared" si="490"/>
        <v>19292403.959999979</v>
      </c>
      <c r="O1364" s="666">
        <f t="shared" si="490"/>
        <v>119283230.94</v>
      </c>
      <c r="P1364" s="666">
        <f t="shared" si="490"/>
        <v>19786369.270000011</v>
      </c>
      <c r="Q1364" s="666">
        <f t="shared" si="491"/>
        <v>158362004.16999999</v>
      </c>
      <c r="R1364" s="667">
        <f>+Q1364-'[3]chd12-SAOB'!BE179</f>
        <v>0</v>
      </c>
      <c r="S1364" s="1010">
        <f t="shared" si="481"/>
        <v>0.9136092992420759</v>
      </c>
      <c r="T1364" s="1010">
        <f t="shared" si="481"/>
        <v>0.65883039380273833</v>
      </c>
      <c r="U1364" s="1010">
        <f t="shared" si="481"/>
        <v>0.84572991661025687</v>
      </c>
      <c r="V1364" s="1010">
        <f t="shared" si="481"/>
        <v>0.77415702364370909</v>
      </c>
      <c r="W1364" s="254"/>
      <c r="X1364" s="237" t="s">
        <v>598</v>
      </c>
      <c r="Y1364" s="610" t="s">
        <v>598</v>
      </c>
      <c r="Z1364" s="241" t="s">
        <v>598</v>
      </c>
    </row>
    <row r="1365" spans="1:26" ht="11.25" customHeight="1">
      <c r="A1365" s="246" t="s">
        <v>652</v>
      </c>
      <c r="B1365" s="235" t="s">
        <v>653</v>
      </c>
      <c r="C1365" s="410"/>
      <c r="D1365" s="386"/>
      <c r="E1365" s="461"/>
      <c r="F1365" s="103"/>
      <c r="G1365" s="103"/>
      <c r="H1365" s="103"/>
      <c r="I1365" s="103">
        <f>SUM(F1365:H1365)</f>
        <v>0</v>
      </c>
      <c r="J1365" s="103"/>
      <c r="K1365" s="103"/>
      <c r="L1365" s="103"/>
      <c r="M1365" s="103">
        <f t="shared" si="485"/>
        <v>0</v>
      </c>
      <c r="N1365" s="103">
        <f t="shared" si="490"/>
        <v>0</v>
      </c>
      <c r="O1365" s="103">
        <f t="shared" si="490"/>
        <v>0</v>
      </c>
      <c r="P1365" s="103">
        <f t="shared" si="490"/>
        <v>0</v>
      </c>
      <c r="Q1365" s="103">
        <f t="shared" si="491"/>
        <v>0</v>
      </c>
      <c r="S1365" s="730" t="str">
        <f t="shared" si="481"/>
        <v/>
      </c>
      <c r="T1365" s="730" t="str">
        <f t="shared" si="481"/>
        <v/>
      </c>
      <c r="U1365" s="730" t="str">
        <f t="shared" si="481"/>
        <v/>
      </c>
      <c r="V1365" s="730" t="str">
        <f t="shared" si="481"/>
        <v/>
      </c>
      <c r="W1365" s="254"/>
      <c r="Y1365" s="610" t="s">
        <v>598</v>
      </c>
      <c r="Z1365" s="241" t="s">
        <v>598</v>
      </c>
    </row>
    <row r="1366" spans="1:26" ht="11.25" customHeight="1">
      <c r="A1366" s="528" t="s">
        <v>656</v>
      </c>
      <c r="B1366" s="528" t="s">
        <v>231</v>
      </c>
      <c r="C1366" s="408"/>
      <c r="D1366" s="682"/>
      <c r="E1366" s="408" t="s">
        <v>231</v>
      </c>
      <c r="F1366" s="104"/>
      <c r="G1366" s="104"/>
      <c r="H1366" s="104"/>
      <c r="I1366" s="103">
        <f>SUM(F1366:H1366)</f>
        <v>0</v>
      </c>
      <c r="J1366" s="104"/>
      <c r="K1366" s="104"/>
      <c r="L1366" s="104"/>
      <c r="M1366" s="103">
        <f t="shared" si="485"/>
        <v>0</v>
      </c>
      <c r="N1366" s="103">
        <f t="shared" si="490"/>
        <v>0</v>
      </c>
      <c r="O1366" s="103">
        <f t="shared" si="490"/>
        <v>0</v>
      </c>
      <c r="P1366" s="103">
        <f t="shared" si="490"/>
        <v>0</v>
      </c>
      <c r="Q1366" s="103">
        <f t="shared" si="491"/>
        <v>0</v>
      </c>
      <c r="S1366" s="730" t="str">
        <f t="shared" si="481"/>
        <v/>
      </c>
      <c r="T1366" s="730" t="str">
        <f t="shared" si="481"/>
        <v/>
      </c>
      <c r="U1366" s="730" t="str">
        <f t="shared" si="481"/>
        <v/>
      </c>
      <c r="V1366" s="730" t="str">
        <f t="shared" si="481"/>
        <v/>
      </c>
      <c r="W1366" s="531"/>
      <c r="X1366" s="236"/>
      <c r="Y1366" s="236" t="s">
        <v>598</v>
      </c>
      <c r="Z1366" s="240" t="s">
        <v>598</v>
      </c>
    </row>
    <row r="1367" spans="1:26" ht="11.25" customHeight="1">
      <c r="A1367" s="528" t="s">
        <v>656</v>
      </c>
      <c r="B1367" s="1013" t="s">
        <v>231</v>
      </c>
      <c r="C1367" s="461"/>
      <c r="D1367" s="645" t="s">
        <v>766</v>
      </c>
      <c r="E1367" s="447" t="s">
        <v>766</v>
      </c>
      <c r="F1367" s="103">
        <f>SUM(F1368:F1370)</f>
        <v>72286457</v>
      </c>
      <c r="G1367" s="103">
        <f t="shared" ref="G1367:M1367" si="505">SUM(G1368:G1370)</f>
        <v>142881543</v>
      </c>
      <c r="H1367" s="103">
        <f t="shared" si="505"/>
        <v>0</v>
      </c>
      <c r="I1367" s="103">
        <f t="shared" si="505"/>
        <v>215168000</v>
      </c>
      <c r="J1367" s="103">
        <f t="shared" si="505"/>
        <v>63775743.059999987</v>
      </c>
      <c r="K1367" s="103">
        <f t="shared" si="505"/>
        <v>128424122.17</v>
      </c>
      <c r="L1367" s="103">
        <f t="shared" si="505"/>
        <v>0</v>
      </c>
      <c r="M1367" s="103">
        <f t="shared" si="505"/>
        <v>192199865.22999999</v>
      </c>
      <c r="N1367" s="103">
        <f t="shared" si="490"/>
        <v>8510713.9400000125</v>
      </c>
      <c r="O1367" s="103">
        <f t="shared" si="490"/>
        <v>14457420.829999998</v>
      </c>
      <c r="P1367" s="103">
        <f t="shared" si="490"/>
        <v>0</v>
      </c>
      <c r="Q1367" s="103">
        <f t="shared" si="491"/>
        <v>22968134.770000011</v>
      </c>
      <c r="S1367" s="730">
        <f t="shared" si="481"/>
        <v>0.88226406033428895</v>
      </c>
      <c r="T1367" s="730">
        <f t="shared" si="481"/>
        <v>0.898815336631688</v>
      </c>
      <c r="U1367" s="730" t="str">
        <f t="shared" si="481"/>
        <v/>
      </c>
      <c r="V1367" s="730">
        <f t="shared" ref="V1367:V1430" si="506">IF(I1367=0,"",M1367/I1367)</f>
        <v>0.89325487632919387</v>
      </c>
      <c r="W1367" s="531"/>
      <c r="X1367" s="236"/>
      <c r="Y1367" s="236" t="s">
        <v>688</v>
      </c>
      <c r="Z1367" s="236"/>
    </row>
    <row r="1368" spans="1:26" ht="11.25" hidden="1" customHeight="1">
      <c r="A1368" s="528" t="s">
        <v>656</v>
      </c>
      <c r="B1368" s="1013" t="s">
        <v>231</v>
      </c>
      <c r="C1368" s="411"/>
      <c r="D1368" s="647" t="s">
        <v>98</v>
      </c>
      <c r="E1368" s="459" t="s">
        <v>775</v>
      </c>
      <c r="F1368" s="104">
        <f>+'[3]caraga-SAOB'!C14</f>
        <v>23232457</v>
      </c>
      <c r="G1368" s="104">
        <f>+'[3]caraga-SAOB'!C50</f>
        <v>6323000</v>
      </c>
      <c r="H1368" s="104">
        <f>+'[3]caraga-SAOB'!C142</f>
        <v>0</v>
      </c>
      <c r="I1368" s="103">
        <f>SUM(F1368:H1368)</f>
        <v>29555457</v>
      </c>
      <c r="J1368" s="104">
        <f>+'[3]caraga-SAOB'!C15</f>
        <v>21460831.979999997</v>
      </c>
      <c r="K1368" s="104">
        <f>+'[3]caraga-SAOB'!C51</f>
        <v>6116233.9199999999</v>
      </c>
      <c r="L1368" s="104">
        <f>+'[3]caraga-SAOB'!C143</f>
        <v>0</v>
      </c>
      <c r="M1368" s="103">
        <f t="shared" si="485"/>
        <v>27577065.899999999</v>
      </c>
      <c r="N1368" s="103">
        <f t="shared" si="490"/>
        <v>1771625.0200000033</v>
      </c>
      <c r="O1368" s="103">
        <f t="shared" si="490"/>
        <v>206766.08000000007</v>
      </c>
      <c r="P1368" s="103">
        <f t="shared" si="490"/>
        <v>0</v>
      </c>
      <c r="Q1368" s="103">
        <f t="shared" si="491"/>
        <v>1978391.1000000034</v>
      </c>
      <c r="R1368" s="236"/>
      <c r="S1368" s="730">
        <f t="shared" ref="S1368:V1431" si="507">IF(F1368=0,"",J1368/F1368)</f>
        <v>0.92374353603667481</v>
      </c>
      <c r="T1368" s="730">
        <f t="shared" si="507"/>
        <v>0.96729937055195314</v>
      </c>
      <c r="U1368" s="730" t="str">
        <f t="shared" si="507"/>
        <v/>
      </c>
      <c r="V1368" s="730">
        <f t="shared" si="506"/>
        <v>0.9330617320517155</v>
      </c>
      <c r="W1368" s="531"/>
      <c r="X1368" s="236"/>
      <c r="Y1368" s="236"/>
      <c r="Z1368" s="236"/>
    </row>
    <row r="1369" spans="1:26" ht="11.25" hidden="1" customHeight="1">
      <c r="A1369" s="528" t="s">
        <v>656</v>
      </c>
      <c r="B1369" s="1013" t="s">
        <v>231</v>
      </c>
      <c r="C1369" s="406" t="s">
        <v>776</v>
      </c>
      <c r="D1369" s="647" t="s">
        <v>98</v>
      </c>
      <c r="E1369" s="406" t="s">
        <v>776</v>
      </c>
      <c r="F1369" s="104">
        <f>+'[3]caraga-SAOB'!D14</f>
        <v>1504000</v>
      </c>
      <c r="G1369" s="104">
        <f>+'[3]caraga-SAOB'!D50</f>
        <v>8310839</v>
      </c>
      <c r="H1369" s="104">
        <f>+'[3]caraga-SAOB'!D142</f>
        <v>0</v>
      </c>
      <c r="I1369" s="103">
        <f>SUM(F1369:H1369)</f>
        <v>9814839</v>
      </c>
      <c r="J1369" s="104">
        <f>+'[3]caraga-SAOB'!D15</f>
        <v>1494208.54</v>
      </c>
      <c r="K1369" s="104">
        <f>+'[3]caraga-SAOB'!D51</f>
        <v>6406855.1899999976</v>
      </c>
      <c r="L1369" s="104">
        <f>+'[3]caraga-SAOB'!D143</f>
        <v>0</v>
      </c>
      <c r="M1369" s="103">
        <f t="shared" si="485"/>
        <v>7901063.7299999977</v>
      </c>
      <c r="N1369" s="103">
        <f t="shared" si="490"/>
        <v>9791.4599999999627</v>
      </c>
      <c r="O1369" s="103">
        <f t="shared" si="490"/>
        <v>1903983.8100000024</v>
      </c>
      <c r="P1369" s="103">
        <f t="shared" si="490"/>
        <v>0</v>
      </c>
      <c r="Q1369" s="103">
        <f t="shared" si="491"/>
        <v>1913775.2700000023</v>
      </c>
      <c r="R1369" s="236"/>
      <c r="S1369" s="730">
        <f t="shared" si="507"/>
        <v>0.99348972074468089</v>
      </c>
      <c r="T1369" s="730">
        <f t="shared" si="507"/>
        <v>0.77090353813856793</v>
      </c>
      <c r="U1369" s="730" t="str">
        <f t="shared" si="507"/>
        <v/>
      </c>
      <c r="V1369" s="730">
        <f t="shared" si="506"/>
        <v>0.80501205674387499</v>
      </c>
      <c r="W1369" s="531"/>
      <c r="X1369" s="236"/>
      <c r="Y1369" s="236"/>
      <c r="Z1369" s="236"/>
    </row>
    <row r="1370" spans="1:26" ht="11.25" hidden="1" customHeight="1">
      <c r="A1370" s="528" t="s">
        <v>656</v>
      </c>
      <c r="B1370" s="1013" t="s">
        <v>231</v>
      </c>
      <c r="C1370" s="411"/>
      <c r="D1370" s="647" t="s">
        <v>98</v>
      </c>
      <c r="E1370" s="406" t="s">
        <v>777</v>
      </c>
      <c r="F1370" s="104">
        <f>+'[3]caraga-SAOB'!E14</f>
        <v>47550000</v>
      </c>
      <c r="G1370" s="104">
        <f>+'[3]caraga-SAOB'!E50</f>
        <v>128247704</v>
      </c>
      <c r="H1370" s="104">
        <f>+'[3]caraga-SAOB'!E142</f>
        <v>0</v>
      </c>
      <c r="I1370" s="103">
        <f>SUM(F1370:H1370)</f>
        <v>175797704</v>
      </c>
      <c r="J1370" s="104">
        <f>+'[3]caraga-SAOB'!E15</f>
        <v>40820702.539999992</v>
      </c>
      <c r="K1370" s="104">
        <f>+'[3]caraga-SAOB'!E51</f>
        <v>115901033.06</v>
      </c>
      <c r="L1370" s="104">
        <f>+'[3]caraga-SAOB'!E143</f>
        <v>0</v>
      </c>
      <c r="M1370" s="103">
        <f t="shared" si="485"/>
        <v>156721735.59999999</v>
      </c>
      <c r="N1370" s="103">
        <f t="shared" si="490"/>
        <v>6729297.4600000083</v>
      </c>
      <c r="O1370" s="103">
        <f t="shared" si="490"/>
        <v>12346670.939999998</v>
      </c>
      <c r="P1370" s="103">
        <f t="shared" si="490"/>
        <v>0</v>
      </c>
      <c r="Q1370" s="103">
        <f t="shared" si="491"/>
        <v>19075968.400000006</v>
      </c>
      <c r="R1370" s="236"/>
      <c r="S1370" s="730">
        <f t="shared" si="507"/>
        <v>0.85847954868559395</v>
      </c>
      <c r="T1370" s="730">
        <f t="shared" si="507"/>
        <v>0.90372793777267157</v>
      </c>
      <c r="U1370" s="730" t="str">
        <f t="shared" si="507"/>
        <v/>
      </c>
      <c r="V1370" s="730">
        <f t="shared" si="506"/>
        <v>0.89148909248553099</v>
      </c>
      <c r="W1370" s="531"/>
      <c r="X1370" s="236"/>
      <c r="Y1370" s="236"/>
      <c r="Z1370" s="236"/>
    </row>
    <row r="1371" spans="1:26" ht="11.25" customHeight="1">
      <c r="A1371" s="528" t="s">
        <v>656</v>
      </c>
      <c r="B1371" s="1013" t="s">
        <v>231</v>
      </c>
      <c r="C1371" s="728"/>
      <c r="D1371" s="649" t="s">
        <v>50</v>
      </c>
      <c r="E1371" s="447" t="s">
        <v>50</v>
      </c>
      <c r="F1371" s="104"/>
      <c r="G1371" s="104">
        <f>+'[3]caraga-SAOB'!D381</f>
        <v>131752069</v>
      </c>
      <c r="H1371" s="104">
        <f>+'[3]caraga-SAOB'!E381</f>
        <v>8543000</v>
      </c>
      <c r="I1371" s="103">
        <f>SUM(F1371:H1371)</f>
        <v>140295069</v>
      </c>
      <c r="J1371" s="104"/>
      <c r="K1371" s="104">
        <f>+'[3]caraga-SAOB'!H381</f>
        <v>99760848.890000001</v>
      </c>
      <c r="L1371" s="104">
        <f>+'[3]caraga-SAOB'!I381</f>
        <v>8539701.8100000005</v>
      </c>
      <c r="M1371" s="103">
        <f>SUM(J1371:L1371)</f>
        <v>108300550.7</v>
      </c>
      <c r="N1371" s="103">
        <f t="shared" si="490"/>
        <v>0</v>
      </c>
      <c r="O1371" s="103">
        <f t="shared" si="490"/>
        <v>31991220.109999999</v>
      </c>
      <c r="P1371" s="103">
        <f t="shared" si="490"/>
        <v>3298.1899999994785</v>
      </c>
      <c r="Q1371" s="103">
        <f t="shared" si="491"/>
        <v>31994518.299999997</v>
      </c>
      <c r="S1371" s="730" t="str">
        <f t="shared" si="507"/>
        <v/>
      </c>
      <c r="T1371" s="730">
        <f t="shared" si="507"/>
        <v>0.75718620320110497</v>
      </c>
      <c r="U1371" s="730">
        <f t="shared" si="507"/>
        <v>0.99961393070350002</v>
      </c>
      <c r="V1371" s="730">
        <f t="shared" si="506"/>
        <v>0.77194837617564449</v>
      </c>
      <c r="W1371" s="531"/>
      <c r="X1371" s="236"/>
      <c r="Y1371" s="236" t="s">
        <v>688</v>
      </c>
      <c r="Z1371" s="236"/>
    </row>
    <row r="1372" spans="1:26" s="256" customFormat="1" ht="11.25" customHeight="1">
      <c r="A1372" s="528" t="s">
        <v>656</v>
      </c>
      <c r="B1372" s="528" t="s">
        <v>231</v>
      </c>
      <c r="C1372" s="389"/>
      <c r="D1372" s="650" t="s">
        <v>98</v>
      </c>
      <c r="E1372" s="390" t="s">
        <v>767</v>
      </c>
      <c r="F1372" s="391">
        <f>+F1371+F1367</f>
        <v>72286457</v>
      </c>
      <c r="G1372" s="391">
        <f t="shared" ref="G1372:M1372" si="508">+G1371+G1367</f>
        <v>274633612</v>
      </c>
      <c r="H1372" s="391">
        <f t="shared" si="508"/>
        <v>8543000</v>
      </c>
      <c r="I1372" s="391">
        <f t="shared" si="508"/>
        <v>355463069</v>
      </c>
      <c r="J1372" s="391">
        <f t="shared" si="508"/>
        <v>63775743.059999987</v>
      </c>
      <c r="K1372" s="391">
        <f t="shared" si="508"/>
        <v>228184971.06</v>
      </c>
      <c r="L1372" s="391">
        <f t="shared" si="508"/>
        <v>8539701.8100000005</v>
      </c>
      <c r="M1372" s="391">
        <f t="shared" si="508"/>
        <v>300500415.93000001</v>
      </c>
      <c r="N1372" s="391">
        <f t="shared" si="490"/>
        <v>8510713.9400000125</v>
      </c>
      <c r="O1372" s="391">
        <f t="shared" si="490"/>
        <v>46448640.939999998</v>
      </c>
      <c r="P1372" s="391">
        <f t="shared" si="490"/>
        <v>3298.1899999994785</v>
      </c>
      <c r="Q1372" s="391">
        <f t="shared" si="491"/>
        <v>54962653.070000008</v>
      </c>
      <c r="R1372" s="101"/>
      <c r="S1372" s="254">
        <f t="shared" si="507"/>
        <v>0.88226406033428895</v>
      </c>
      <c r="T1372" s="254">
        <f t="shared" si="507"/>
        <v>0.83087051653386113</v>
      </c>
      <c r="U1372" s="254">
        <f t="shared" si="507"/>
        <v>0.99961393070350002</v>
      </c>
      <c r="V1372" s="254">
        <f t="shared" si="506"/>
        <v>0.84537731803018901</v>
      </c>
      <c r="W1372" s="531"/>
      <c r="Y1372" s="256" t="s">
        <v>598</v>
      </c>
      <c r="Z1372" s="256" t="s">
        <v>598</v>
      </c>
    </row>
    <row r="1373" spans="1:26" ht="11.25" hidden="1" customHeight="1">
      <c r="A1373" s="528" t="s">
        <v>656</v>
      </c>
      <c r="B1373" s="1013" t="s">
        <v>231</v>
      </c>
      <c r="C1373" s="410"/>
      <c r="D1373" s="651"/>
      <c r="E1373" s="806"/>
      <c r="F1373" s="807"/>
      <c r="G1373" s="807"/>
      <c r="H1373" s="807"/>
      <c r="I1373" s="807"/>
      <c r="J1373" s="807"/>
      <c r="K1373" s="807"/>
      <c r="L1373" s="807"/>
      <c r="M1373" s="807"/>
      <c r="N1373" s="807">
        <f t="shared" si="490"/>
        <v>0</v>
      </c>
      <c r="O1373" s="807">
        <f t="shared" si="490"/>
        <v>0</v>
      </c>
      <c r="P1373" s="807">
        <f t="shared" si="490"/>
        <v>0</v>
      </c>
      <c r="Q1373" s="807">
        <f t="shared" si="491"/>
        <v>0</v>
      </c>
      <c r="R1373" s="276"/>
      <c r="S1373" s="730" t="str">
        <f t="shared" si="507"/>
        <v/>
      </c>
      <c r="T1373" s="730" t="str">
        <f t="shared" si="507"/>
        <v/>
      </c>
      <c r="U1373" s="730" t="str">
        <f t="shared" si="507"/>
        <v/>
      </c>
      <c r="V1373" s="730" t="str">
        <f t="shared" si="506"/>
        <v/>
      </c>
      <c r="W1373" s="531"/>
      <c r="X1373" s="236"/>
      <c r="Y1373" s="236"/>
      <c r="Z1373" s="236"/>
    </row>
    <row r="1374" spans="1:26" s="256" customFormat="1" ht="11.25" customHeight="1">
      <c r="A1374" s="528" t="s">
        <v>656</v>
      </c>
      <c r="B1374" s="528" t="s">
        <v>231</v>
      </c>
      <c r="C1374" s="389"/>
      <c r="D1374" s="650" t="s">
        <v>98</v>
      </c>
      <c r="E1374" s="390" t="s">
        <v>99</v>
      </c>
      <c r="F1374" s="391">
        <f>+F1375</f>
        <v>5887000</v>
      </c>
      <c r="G1374" s="391">
        <f t="shared" ref="G1374:M1374" si="509">+G1375</f>
        <v>0</v>
      </c>
      <c r="H1374" s="391">
        <f t="shared" si="509"/>
        <v>0</v>
      </c>
      <c r="I1374" s="391">
        <f t="shared" si="509"/>
        <v>5887000</v>
      </c>
      <c r="J1374" s="391">
        <f t="shared" si="509"/>
        <v>5025786.5</v>
      </c>
      <c r="K1374" s="391">
        <f t="shared" si="509"/>
        <v>0</v>
      </c>
      <c r="L1374" s="391">
        <f t="shared" si="509"/>
        <v>0</v>
      </c>
      <c r="M1374" s="391">
        <f t="shared" si="509"/>
        <v>5025786.5</v>
      </c>
      <c r="N1374" s="391">
        <f t="shared" si="490"/>
        <v>861213.5</v>
      </c>
      <c r="O1374" s="391">
        <f t="shared" si="490"/>
        <v>0</v>
      </c>
      <c r="P1374" s="391">
        <f t="shared" si="490"/>
        <v>0</v>
      </c>
      <c r="Q1374" s="391">
        <f t="shared" si="491"/>
        <v>861213.5</v>
      </c>
      <c r="R1374" s="101"/>
      <c r="S1374" s="254">
        <f t="shared" si="507"/>
        <v>0.85370927467300828</v>
      </c>
      <c r="T1374" s="254" t="str">
        <f t="shared" si="507"/>
        <v/>
      </c>
      <c r="U1374" s="254" t="str">
        <f t="shared" si="507"/>
        <v/>
      </c>
      <c r="V1374" s="254">
        <f t="shared" si="506"/>
        <v>0.85370927467300828</v>
      </c>
      <c r="W1374" s="531"/>
      <c r="Y1374" s="256" t="s">
        <v>598</v>
      </c>
      <c r="Z1374" s="256" t="s">
        <v>598</v>
      </c>
    </row>
    <row r="1375" spans="1:26" ht="11.25" customHeight="1">
      <c r="A1375" s="528" t="s">
        <v>656</v>
      </c>
      <c r="B1375" s="1013" t="s">
        <v>231</v>
      </c>
      <c r="C1375" s="728"/>
      <c r="D1375" s="649" t="s">
        <v>286</v>
      </c>
      <c r="E1375" s="729" t="s">
        <v>286</v>
      </c>
      <c r="F1375" s="103">
        <f>SUM('[3]caraga-SAOB'!V14)</f>
        <v>5887000</v>
      </c>
      <c r="G1375" s="103">
        <f>SUM('[3]caraga-SAOB'!V50)</f>
        <v>0</v>
      </c>
      <c r="H1375" s="103">
        <f>SUM('[3]caraga-SAOB'!V142)</f>
        <v>0</v>
      </c>
      <c r="I1375" s="103">
        <f>SUM(F1375:H1375)</f>
        <v>5887000</v>
      </c>
      <c r="J1375" s="103">
        <f>SUM('[3]caraga-SAOB'!V15)</f>
        <v>5025786.5</v>
      </c>
      <c r="K1375" s="103">
        <f>SUM('[3]caraga-SAOB'!V51)</f>
        <v>0</v>
      </c>
      <c r="L1375" s="103">
        <f>SUM('[3]caraga-SAOB'!V143)</f>
        <v>0</v>
      </c>
      <c r="M1375" s="103">
        <f t="shared" si="485"/>
        <v>5025786.5</v>
      </c>
      <c r="N1375" s="103">
        <f t="shared" si="490"/>
        <v>861213.5</v>
      </c>
      <c r="O1375" s="103">
        <f t="shared" si="490"/>
        <v>0</v>
      </c>
      <c r="P1375" s="103">
        <f t="shared" si="490"/>
        <v>0</v>
      </c>
      <c r="Q1375" s="103">
        <f t="shared" si="491"/>
        <v>861213.5</v>
      </c>
      <c r="S1375" s="730">
        <f t="shared" si="507"/>
        <v>0.85370927467300828</v>
      </c>
      <c r="T1375" s="730" t="str">
        <f t="shared" si="507"/>
        <v/>
      </c>
      <c r="U1375" s="730" t="str">
        <f t="shared" si="507"/>
        <v/>
      </c>
      <c r="V1375" s="730">
        <f t="shared" si="506"/>
        <v>0.85370927467300828</v>
      </c>
      <c r="W1375" s="531"/>
      <c r="X1375" s="236"/>
      <c r="Y1375" s="236" t="s">
        <v>598</v>
      </c>
      <c r="Z1375" s="236"/>
    </row>
    <row r="1376" spans="1:26" s="272" customFormat="1" ht="11.25" customHeight="1">
      <c r="A1376" s="528" t="s">
        <v>656</v>
      </c>
      <c r="B1376" s="528" t="s">
        <v>231</v>
      </c>
      <c r="C1376" s="389"/>
      <c r="D1376" s="650" t="s">
        <v>98</v>
      </c>
      <c r="E1376" s="390" t="s">
        <v>100</v>
      </c>
      <c r="F1376" s="391">
        <f t="shared" ref="F1376:M1376" si="510">SUM(F1377:F1381)</f>
        <v>1330000</v>
      </c>
      <c r="G1376" s="391">
        <f t="shared" si="510"/>
        <v>0</v>
      </c>
      <c r="H1376" s="391">
        <f t="shared" si="510"/>
        <v>0</v>
      </c>
      <c r="I1376" s="391">
        <f t="shared" si="510"/>
        <v>1330000</v>
      </c>
      <c r="J1376" s="391">
        <f t="shared" si="510"/>
        <v>1330000</v>
      </c>
      <c r="K1376" s="391">
        <f t="shared" si="510"/>
        <v>0</v>
      </c>
      <c r="L1376" s="391">
        <f t="shared" si="510"/>
        <v>0</v>
      </c>
      <c r="M1376" s="391">
        <f t="shared" si="510"/>
        <v>1330000</v>
      </c>
      <c r="N1376" s="391">
        <f t="shared" si="490"/>
        <v>0</v>
      </c>
      <c r="O1376" s="391">
        <f t="shared" si="490"/>
        <v>0</v>
      </c>
      <c r="P1376" s="391">
        <f t="shared" si="490"/>
        <v>0</v>
      </c>
      <c r="Q1376" s="391">
        <f t="shared" si="491"/>
        <v>0</v>
      </c>
      <c r="R1376" s="102"/>
      <c r="S1376" s="254">
        <f t="shared" si="507"/>
        <v>1</v>
      </c>
      <c r="T1376" s="254" t="str">
        <f t="shared" si="507"/>
        <v/>
      </c>
      <c r="U1376" s="254" t="str">
        <f t="shared" si="507"/>
        <v/>
      </c>
      <c r="V1376" s="254">
        <f t="shared" si="506"/>
        <v>1</v>
      </c>
      <c r="W1376" s="531"/>
      <c r="Y1376" s="272" t="s">
        <v>598</v>
      </c>
      <c r="Z1376" s="256" t="s">
        <v>598</v>
      </c>
    </row>
    <row r="1377" spans="1:26" ht="11.25" customHeight="1">
      <c r="A1377" s="528" t="s">
        <v>656</v>
      </c>
      <c r="B1377" s="1013" t="s">
        <v>231</v>
      </c>
      <c r="C1377" s="728"/>
      <c r="D1377" s="649" t="s">
        <v>288</v>
      </c>
      <c r="E1377" s="729" t="s">
        <v>288</v>
      </c>
      <c r="F1377" s="103">
        <f>SUM('[3]caraga-SAOB'!Z14)</f>
        <v>0</v>
      </c>
      <c r="G1377" s="103">
        <f>SUM('[3]caraga-SAOB'!Z50)</f>
        <v>0</v>
      </c>
      <c r="H1377" s="103">
        <f>SUM('[3]caraga-SAOB'!Z142)</f>
        <v>0</v>
      </c>
      <c r="I1377" s="103">
        <f>SUM(F1377:H1377)</f>
        <v>0</v>
      </c>
      <c r="J1377" s="103">
        <f>SUM('[3]caraga-SAOB'!Z15)</f>
        <v>0</v>
      </c>
      <c r="K1377" s="103">
        <f>SUM('[3]caraga-SAOB'!Z51)</f>
        <v>0</v>
      </c>
      <c r="L1377" s="103">
        <f>SUM('[3]caraga-SAOB'!Z143)</f>
        <v>0</v>
      </c>
      <c r="M1377" s="103">
        <f t="shared" si="485"/>
        <v>0</v>
      </c>
      <c r="N1377" s="103">
        <f t="shared" si="490"/>
        <v>0</v>
      </c>
      <c r="O1377" s="103">
        <f t="shared" si="490"/>
        <v>0</v>
      </c>
      <c r="P1377" s="103">
        <f t="shared" si="490"/>
        <v>0</v>
      </c>
      <c r="Q1377" s="103">
        <f t="shared" si="491"/>
        <v>0</v>
      </c>
      <c r="S1377" s="730" t="str">
        <f t="shared" si="507"/>
        <v/>
      </c>
      <c r="T1377" s="730" t="str">
        <f t="shared" si="507"/>
        <v/>
      </c>
      <c r="U1377" s="730" t="str">
        <f t="shared" si="507"/>
        <v/>
      </c>
      <c r="V1377" s="730" t="str">
        <f t="shared" si="506"/>
        <v/>
      </c>
      <c r="W1377" s="531"/>
      <c r="X1377" s="236"/>
      <c r="Y1377" s="236" t="s">
        <v>598</v>
      </c>
      <c r="Z1377" s="236"/>
    </row>
    <row r="1378" spans="1:26" ht="11.25" customHeight="1">
      <c r="A1378" s="528" t="s">
        <v>656</v>
      </c>
      <c r="B1378" s="1013" t="s">
        <v>231</v>
      </c>
      <c r="C1378" s="728"/>
      <c r="D1378" s="649" t="s">
        <v>761</v>
      </c>
      <c r="E1378" s="729" t="s">
        <v>761</v>
      </c>
      <c r="F1378" s="104">
        <f>+'[3]caraga-SAOB'!C381</f>
        <v>1330000</v>
      </c>
      <c r="G1378" s="104"/>
      <c r="H1378" s="104"/>
      <c r="I1378" s="103">
        <f>SUM(F1378:H1378)</f>
        <v>1330000</v>
      </c>
      <c r="J1378" s="104">
        <f>+'[3]caraga-SAOB'!G381</f>
        <v>1330000</v>
      </c>
      <c r="K1378" s="104"/>
      <c r="L1378" s="104"/>
      <c r="M1378" s="103">
        <f t="shared" si="485"/>
        <v>1330000</v>
      </c>
      <c r="N1378" s="103">
        <f t="shared" si="490"/>
        <v>0</v>
      </c>
      <c r="O1378" s="103">
        <f t="shared" si="490"/>
        <v>0</v>
      </c>
      <c r="P1378" s="103">
        <f t="shared" si="490"/>
        <v>0</v>
      </c>
      <c r="Q1378" s="103">
        <f>SUM(N1378:P1378)</f>
        <v>0</v>
      </c>
      <c r="S1378" s="730">
        <f t="shared" si="507"/>
        <v>1</v>
      </c>
      <c r="T1378" s="730" t="str">
        <f t="shared" si="507"/>
        <v/>
      </c>
      <c r="U1378" s="730" t="str">
        <f t="shared" si="507"/>
        <v/>
      </c>
      <c r="V1378" s="730">
        <f t="shared" si="506"/>
        <v>1</v>
      </c>
      <c r="W1378" s="531"/>
      <c r="X1378" s="236"/>
      <c r="Y1378" s="236" t="s">
        <v>688</v>
      </c>
      <c r="Z1378" s="236"/>
    </row>
    <row r="1379" spans="1:26" ht="11.25" customHeight="1">
      <c r="A1379" s="528" t="s">
        <v>656</v>
      </c>
      <c r="B1379" s="1013" t="s">
        <v>231</v>
      </c>
      <c r="C1379" s="410"/>
      <c r="D1379" s="647"/>
      <c r="E1379" s="461"/>
      <c r="F1379" s="104"/>
      <c r="G1379" s="104"/>
      <c r="H1379" s="104"/>
      <c r="I1379" s="103"/>
      <c r="J1379" s="104"/>
      <c r="K1379" s="104"/>
      <c r="L1379" s="104"/>
      <c r="M1379" s="103"/>
      <c r="N1379" s="103"/>
      <c r="O1379" s="103"/>
      <c r="P1379" s="103"/>
      <c r="Q1379" s="103"/>
      <c r="S1379" s="730" t="str">
        <f t="shared" si="507"/>
        <v/>
      </c>
      <c r="T1379" s="730" t="str">
        <f t="shared" si="507"/>
        <v/>
      </c>
      <c r="U1379" s="730" t="str">
        <f t="shared" si="507"/>
        <v/>
      </c>
      <c r="V1379" s="730" t="str">
        <f t="shared" si="506"/>
        <v/>
      </c>
      <c r="W1379" s="531"/>
      <c r="X1379" s="236"/>
      <c r="Y1379" s="236" t="s">
        <v>688</v>
      </c>
      <c r="Z1379" s="240"/>
    </row>
    <row r="1380" spans="1:26" ht="11.25" customHeight="1">
      <c r="A1380" s="528" t="s">
        <v>656</v>
      </c>
      <c r="B1380" s="1013" t="s">
        <v>231</v>
      </c>
      <c r="C1380" s="728"/>
      <c r="D1380" s="649" t="s">
        <v>289</v>
      </c>
      <c r="E1380" s="729" t="s">
        <v>289</v>
      </c>
      <c r="F1380" s="103">
        <f>SUM('[3]caraga-SAOB'!AD14)</f>
        <v>0</v>
      </c>
      <c r="G1380" s="103">
        <f>SUM('[3]caraga-SAOB'!AD50)</f>
        <v>0</v>
      </c>
      <c r="H1380" s="103">
        <f>SUM('[3]caraga-SAOB'!AD142)</f>
        <v>0</v>
      </c>
      <c r="I1380" s="103">
        <f>SUM(F1380:H1380)</f>
        <v>0</v>
      </c>
      <c r="J1380" s="103">
        <f>SUM('[3]caraga-SAOB'!AD15)</f>
        <v>0</v>
      </c>
      <c r="K1380" s="103">
        <f>SUM('[3]caraga-SAOB'!AD51)</f>
        <v>0</v>
      </c>
      <c r="L1380" s="103">
        <f>SUM('[3]caraga-SAOB'!AD143)</f>
        <v>0</v>
      </c>
      <c r="M1380" s="103">
        <f t="shared" si="485"/>
        <v>0</v>
      </c>
      <c r="N1380" s="103">
        <f t="shared" si="490"/>
        <v>0</v>
      </c>
      <c r="O1380" s="103">
        <f t="shared" si="490"/>
        <v>0</v>
      </c>
      <c r="P1380" s="103">
        <f t="shared" si="490"/>
        <v>0</v>
      </c>
      <c r="Q1380" s="103">
        <f t="shared" si="491"/>
        <v>0</v>
      </c>
      <c r="S1380" s="730" t="str">
        <f t="shared" si="507"/>
        <v/>
      </c>
      <c r="T1380" s="730" t="str">
        <f t="shared" si="507"/>
        <v/>
      </c>
      <c r="U1380" s="730" t="str">
        <f t="shared" si="507"/>
        <v/>
      </c>
      <c r="V1380" s="730" t="str">
        <f t="shared" si="506"/>
        <v/>
      </c>
      <c r="W1380" s="531"/>
      <c r="X1380" s="236"/>
      <c r="Y1380" s="236" t="s">
        <v>598</v>
      </c>
      <c r="Z1380" s="236"/>
    </row>
    <row r="1381" spans="1:26" ht="11.25" customHeight="1">
      <c r="A1381" s="528" t="s">
        <v>656</v>
      </c>
      <c r="B1381" s="1013" t="s">
        <v>231</v>
      </c>
      <c r="C1381" s="728"/>
      <c r="D1381" s="649" t="s">
        <v>290</v>
      </c>
      <c r="E1381" s="729" t="s">
        <v>290</v>
      </c>
      <c r="F1381" s="103">
        <f>SUM('[3]caraga-SAOB'!AH14)</f>
        <v>0</v>
      </c>
      <c r="G1381" s="103">
        <f>SUM('[3]caraga-SAOB'!AH50)</f>
        <v>0</v>
      </c>
      <c r="H1381" s="103">
        <f>SUM('[3]caraga-SAOB'!AH142)</f>
        <v>0</v>
      </c>
      <c r="I1381" s="103">
        <f>SUM(F1381:H1381)</f>
        <v>0</v>
      </c>
      <c r="J1381" s="103">
        <f>SUM('[3]caraga-SAOB'!AH15)</f>
        <v>0</v>
      </c>
      <c r="K1381" s="103">
        <f>SUM('[3]caraga-SAOB'!AH51)</f>
        <v>0</v>
      </c>
      <c r="L1381" s="103">
        <f>SUM('[3]caraga-SAOB'!AH143)</f>
        <v>0</v>
      </c>
      <c r="M1381" s="103">
        <f t="shared" si="485"/>
        <v>0</v>
      </c>
      <c r="N1381" s="103">
        <f t="shared" si="490"/>
        <v>0</v>
      </c>
      <c r="O1381" s="103">
        <f t="shared" si="490"/>
        <v>0</v>
      </c>
      <c r="P1381" s="103">
        <f t="shared" si="490"/>
        <v>0</v>
      </c>
      <c r="Q1381" s="103">
        <f t="shared" si="491"/>
        <v>0</v>
      </c>
      <c r="S1381" s="730" t="str">
        <f t="shared" si="507"/>
        <v/>
      </c>
      <c r="T1381" s="730" t="str">
        <f t="shared" si="507"/>
        <v/>
      </c>
      <c r="U1381" s="730" t="str">
        <f t="shared" si="507"/>
        <v/>
      </c>
      <c r="V1381" s="730" t="str">
        <f t="shared" si="506"/>
        <v/>
      </c>
      <c r="W1381" s="531"/>
      <c r="X1381" s="236"/>
      <c r="Y1381" s="236" t="s">
        <v>598</v>
      </c>
      <c r="Z1381" s="236"/>
    </row>
    <row r="1382" spans="1:26" s="259" customFormat="1" ht="11.25" customHeight="1">
      <c r="A1382" s="246" t="s">
        <v>656</v>
      </c>
      <c r="B1382" s="235" t="s">
        <v>231</v>
      </c>
      <c r="C1382" s="1425" t="s">
        <v>320</v>
      </c>
      <c r="D1382" s="1426"/>
      <c r="E1382" s="1427"/>
      <c r="F1382" s="652">
        <f t="shared" ref="F1382:M1382" si="511">+F1372+F1374+F1376</f>
        <v>79503457</v>
      </c>
      <c r="G1382" s="652">
        <f t="shared" si="511"/>
        <v>274633612</v>
      </c>
      <c r="H1382" s="652">
        <f t="shared" si="511"/>
        <v>8543000</v>
      </c>
      <c r="I1382" s="652">
        <f t="shared" si="511"/>
        <v>362680069</v>
      </c>
      <c r="J1382" s="652">
        <f t="shared" si="511"/>
        <v>70131529.559999987</v>
      </c>
      <c r="K1382" s="652">
        <f t="shared" si="511"/>
        <v>228184971.06</v>
      </c>
      <c r="L1382" s="652">
        <f t="shared" si="511"/>
        <v>8539701.8100000005</v>
      </c>
      <c r="M1382" s="652">
        <f t="shared" si="511"/>
        <v>306856202.43000001</v>
      </c>
      <c r="N1382" s="652">
        <f t="shared" si="490"/>
        <v>9371927.4400000125</v>
      </c>
      <c r="O1382" s="652">
        <f t="shared" si="490"/>
        <v>46448640.939999998</v>
      </c>
      <c r="P1382" s="652">
        <f t="shared" si="490"/>
        <v>3298.1899999994785</v>
      </c>
      <c r="Q1382" s="652">
        <f t="shared" si="491"/>
        <v>55823866.570000008</v>
      </c>
      <c r="R1382" s="653">
        <f>+Q1382-'[3]caraga-SAOB'!BB179</f>
        <v>0</v>
      </c>
      <c r="S1382" s="1008">
        <f t="shared" si="507"/>
        <v>0.88211924621089099</v>
      </c>
      <c r="T1382" s="1008">
        <f t="shared" si="507"/>
        <v>0.83087051653386113</v>
      </c>
      <c r="U1382" s="1008">
        <f t="shared" si="507"/>
        <v>0.99961393070350002</v>
      </c>
      <c r="V1382" s="1008">
        <f t="shared" si="506"/>
        <v>0.8460795854486286</v>
      </c>
      <c r="W1382" s="254"/>
      <c r="X1382" s="520"/>
      <c r="Y1382" s="610" t="s">
        <v>598</v>
      </c>
      <c r="Z1382" s="241" t="s">
        <v>598</v>
      </c>
    </row>
    <row r="1383" spans="1:26" ht="11.25" customHeight="1">
      <c r="A1383" s="246" t="s">
        <v>656</v>
      </c>
      <c r="B1383" s="235" t="s">
        <v>231</v>
      </c>
      <c r="C1383" s="410"/>
      <c r="D1383" s="386"/>
      <c r="E1383" s="461"/>
      <c r="F1383" s="103"/>
      <c r="G1383" s="103"/>
      <c r="H1383" s="103"/>
      <c r="I1383" s="103">
        <f>SUM(F1383:H1383)</f>
        <v>0</v>
      </c>
      <c r="J1383" s="103"/>
      <c r="K1383" s="103"/>
      <c r="L1383" s="103"/>
      <c r="M1383" s="103">
        <f t="shared" si="485"/>
        <v>0</v>
      </c>
      <c r="N1383" s="103">
        <f t="shared" si="490"/>
        <v>0</v>
      </c>
      <c r="O1383" s="103">
        <f t="shared" si="490"/>
        <v>0</v>
      </c>
      <c r="P1383" s="103">
        <f t="shared" si="490"/>
        <v>0</v>
      </c>
      <c r="Q1383" s="103">
        <f t="shared" si="491"/>
        <v>0</v>
      </c>
      <c r="S1383" s="730" t="str">
        <f t="shared" si="507"/>
        <v/>
      </c>
      <c r="T1383" s="730" t="str">
        <f t="shared" si="507"/>
        <v/>
      </c>
      <c r="U1383" s="730" t="str">
        <f t="shared" si="507"/>
        <v/>
      </c>
      <c r="V1383" s="730" t="str">
        <f t="shared" si="506"/>
        <v/>
      </c>
      <c r="W1383" s="254"/>
      <c r="Y1383" s="610" t="s">
        <v>598</v>
      </c>
      <c r="Z1383" s="241" t="s">
        <v>598</v>
      </c>
    </row>
    <row r="1384" spans="1:26" ht="11.25" customHeight="1">
      <c r="A1384" s="246" t="s">
        <v>656</v>
      </c>
      <c r="B1384" s="235" t="s">
        <v>57</v>
      </c>
      <c r="C1384" s="410" t="s">
        <v>233</v>
      </c>
      <c r="D1384" s="386"/>
      <c r="E1384" s="461"/>
      <c r="F1384" s="104"/>
      <c r="G1384" s="104"/>
      <c r="H1384" s="104"/>
      <c r="I1384" s="103">
        <f>SUM(F1384:H1384)</f>
        <v>0</v>
      </c>
      <c r="J1384" s="104"/>
      <c r="K1384" s="104"/>
      <c r="L1384" s="104"/>
      <c r="M1384" s="103">
        <f t="shared" si="485"/>
        <v>0</v>
      </c>
      <c r="N1384" s="103">
        <f t="shared" si="490"/>
        <v>0</v>
      </c>
      <c r="O1384" s="103">
        <f t="shared" si="490"/>
        <v>0</v>
      </c>
      <c r="P1384" s="103">
        <f t="shared" si="490"/>
        <v>0</v>
      </c>
      <c r="Q1384" s="103">
        <f t="shared" si="491"/>
        <v>0</v>
      </c>
      <c r="S1384" s="730" t="str">
        <f t="shared" si="507"/>
        <v/>
      </c>
      <c r="T1384" s="730" t="str">
        <f t="shared" si="507"/>
        <v/>
      </c>
      <c r="U1384" s="730" t="str">
        <f t="shared" si="507"/>
        <v/>
      </c>
      <c r="V1384" s="730" t="str">
        <f t="shared" si="506"/>
        <v/>
      </c>
      <c r="W1384" s="254"/>
      <c r="Y1384" s="610" t="s">
        <v>598</v>
      </c>
      <c r="Z1384" s="241" t="s">
        <v>598</v>
      </c>
    </row>
    <row r="1385" spans="1:26" s="675" customFormat="1" ht="11.25" customHeight="1">
      <c r="A1385" s="528" t="s">
        <v>656</v>
      </c>
      <c r="B1385" s="528" t="s">
        <v>234</v>
      </c>
      <c r="C1385" s="407" t="s">
        <v>98</v>
      </c>
      <c r="D1385" s="655" t="s">
        <v>105</v>
      </c>
      <c r="E1385" s="408" t="s">
        <v>847</v>
      </c>
      <c r="F1385" s="673"/>
      <c r="G1385" s="673"/>
      <c r="H1385" s="673"/>
      <c r="I1385" s="674"/>
      <c r="J1385" s="673"/>
      <c r="K1385" s="673"/>
      <c r="L1385" s="673"/>
      <c r="M1385" s="674">
        <f t="shared" si="485"/>
        <v>0</v>
      </c>
      <c r="N1385" s="674">
        <f t="shared" si="490"/>
        <v>0</v>
      </c>
      <c r="O1385" s="674">
        <f t="shared" si="490"/>
        <v>0</v>
      </c>
      <c r="P1385" s="674">
        <f t="shared" si="490"/>
        <v>0</v>
      </c>
      <c r="Q1385" s="674">
        <f t="shared" si="491"/>
        <v>0</v>
      </c>
      <c r="R1385" s="101"/>
      <c r="S1385" s="254" t="str">
        <f t="shared" si="507"/>
        <v/>
      </c>
      <c r="T1385" s="254" t="str">
        <f t="shared" si="507"/>
        <v/>
      </c>
      <c r="U1385" s="254" t="str">
        <f t="shared" si="507"/>
        <v/>
      </c>
      <c r="V1385" s="254" t="str">
        <f t="shared" si="506"/>
        <v/>
      </c>
      <c r="W1385" s="531"/>
      <c r="Y1385" s="272" t="s">
        <v>598</v>
      </c>
      <c r="Z1385" s="260" t="s">
        <v>598</v>
      </c>
    </row>
    <row r="1386" spans="1:26" ht="11.25" customHeight="1">
      <c r="A1386" s="528" t="s">
        <v>656</v>
      </c>
      <c r="B1386" s="1013" t="s">
        <v>234</v>
      </c>
      <c r="C1386" s="461"/>
      <c r="D1386" s="645" t="s">
        <v>766</v>
      </c>
      <c r="E1386" s="447" t="s">
        <v>766</v>
      </c>
      <c r="F1386" s="104">
        <f>+'[3]caraga-SAOB'!C393</f>
        <v>78144000</v>
      </c>
      <c r="G1386" s="104">
        <f>+'[3]caraga-SAOB'!D393</f>
        <v>37869000</v>
      </c>
      <c r="H1386" s="104">
        <f>+'[3]caraga-SAOB'!E393</f>
        <v>0</v>
      </c>
      <c r="I1386" s="103">
        <f>SUM(F1386:H1386)</f>
        <v>116013000</v>
      </c>
      <c r="J1386" s="104">
        <f>+'[3]caraga-SAOB'!G393</f>
        <v>74250528.850000009</v>
      </c>
      <c r="K1386" s="104">
        <f>+'[3]caraga-SAOB'!H393</f>
        <v>31369782.43</v>
      </c>
      <c r="L1386" s="104">
        <f>+'[3]caraga-SAOB'!I393</f>
        <v>0</v>
      </c>
      <c r="M1386" s="103">
        <f t="shared" si="485"/>
        <v>105620311.28</v>
      </c>
      <c r="N1386" s="103">
        <f t="shared" si="490"/>
        <v>3893471.1499999911</v>
      </c>
      <c r="O1386" s="103">
        <f t="shared" si="490"/>
        <v>6499217.5700000003</v>
      </c>
      <c r="P1386" s="103">
        <f t="shared" si="490"/>
        <v>0</v>
      </c>
      <c r="Q1386" s="103">
        <f t="shared" si="491"/>
        <v>10392688.719999991</v>
      </c>
      <c r="S1386" s="730">
        <f t="shared" si="507"/>
        <v>0.95017568655303042</v>
      </c>
      <c r="T1386" s="730">
        <f t="shared" si="507"/>
        <v>0.82837630859013967</v>
      </c>
      <c r="U1386" s="730" t="str">
        <f t="shared" si="507"/>
        <v/>
      </c>
      <c r="V1386" s="730">
        <f t="shared" si="506"/>
        <v>0.91041789523587879</v>
      </c>
      <c r="W1386" s="531"/>
      <c r="X1386" s="236"/>
      <c r="Y1386" s="236" t="s">
        <v>688</v>
      </c>
      <c r="Z1386" s="236"/>
    </row>
    <row r="1387" spans="1:26" ht="11.25" customHeight="1">
      <c r="A1387" s="528" t="s">
        <v>656</v>
      </c>
      <c r="B1387" s="1013" t="s">
        <v>234</v>
      </c>
      <c r="C1387" s="728"/>
      <c r="D1387" s="649" t="s">
        <v>50</v>
      </c>
      <c r="E1387" s="447" t="s">
        <v>50</v>
      </c>
      <c r="F1387" s="104"/>
      <c r="G1387" s="104">
        <f>+'[3]caraga-SAOB'!D395</f>
        <v>14999000</v>
      </c>
      <c r="H1387" s="104">
        <f>+'[3]caraga-SAOB'!E395</f>
        <v>80000000</v>
      </c>
      <c r="I1387" s="103">
        <f>SUM(F1387:H1387)</f>
        <v>94999000</v>
      </c>
      <c r="J1387" s="104"/>
      <c r="K1387" s="104">
        <f>+'[3]caraga-SAOB'!H395</f>
        <v>11013196.09</v>
      </c>
      <c r="L1387" s="104">
        <f>+'[3]caraga-SAOB'!I395</f>
        <v>79939489.620000005</v>
      </c>
      <c r="M1387" s="103">
        <f>SUM(J1387:L1387)</f>
        <v>90952685.710000008</v>
      </c>
      <c r="N1387" s="103">
        <f t="shared" si="490"/>
        <v>0</v>
      </c>
      <c r="O1387" s="103">
        <f t="shared" si="490"/>
        <v>3985803.91</v>
      </c>
      <c r="P1387" s="103">
        <f t="shared" si="490"/>
        <v>60510.379999995232</v>
      </c>
      <c r="Q1387" s="103">
        <f t="shared" si="491"/>
        <v>4046314.2899999954</v>
      </c>
      <c r="S1387" s="730" t="str">
        <f t="shared" si="507"/>
        <v/>
      </c>
      <c r="T1387" s="730">
        <f t="shared" si="507"/>
        <v>0.73426202346823122</v>
      </c>
      <c r="U1387" s="730">
        <f t="shared" si="507"/>
        <v>0.99924362025000002</v>
      </c>
      <c r="V1387" s="730">
        <f t="shared" si="506"/>
        <v>0.95740676965020688</v>
      </c>
      <c r="W1387" s="531"/>
      <c r="X1387" s="236"/>
      <c r="Y1387" s="236" t="s">
        <v>688</v>
      </c>
      <c r="Z1387" s="236"/>
    </row>
    <row r="1388" spans="1:26" s="256" customFormat="1" ht="11.25" customHeight="1">
      <c r="A1388" s="528" t="s">
        <v>656</v>
      </c>
      <c r="B1388" s="528" t="s">
        <v>234</v>
      </c>
      <c r="C1388" s="389"/>
      <c r="D1388" s="650" t="s">
        <v>98</v>
      </c>
      <c r="E1388" s="390" t="s">
        <v>767</v>
      </c>
      <c r="F1388" s="391">
        <f>+F1386+F1387</f>
        <v>78144000</v>
      </c>
      <c r="G1388" s="391">
        <f t="shared" ref="G1388:M1388" si="512">+G1386+G1387</f>
        <v>52868000</v>
      </c>
      <c r="H1388" s="391">
        <f t="shared" si="512"/>
        <v>80000000</v>
      </c>
      <c r="I1388" s="391">
        <f t="shared" si="512"/>
        <v>211012000</v>
      </c>
      <c r="J1388" s="391">
        <f t="shared" si="512"/>
        <v>74250528.850000009</v>
      </c>
      <c r="K1388" s="391">
        <f t="shared" si="512"/>
        <v>42382978.519999996</v>
      </c>
      <c r="L1388" s="391">
        <f t="shared" si="512"/>
        <v>79939489.620000005</v>
      </c>
      <c r="M1388" s="391">
        <f t="shared" si="512"/>
        <v>196572996.99000001</v>
      </c>
      <c r="N1388" s="391">
        <f t="shared" si="490"/>
        <v>3893471.1499999911</v>
      </c>
      <c r="O1388" s="391">
        <f t="shared" si="490"/>
        <v>10485021.480000004</v>
      </c>
      <c r="P1388" s="391">
        <f t="shared" si="490"/>
        <v>60510.379999995232</v>
      </c>
      <c r="Q1388" s="391">
        <f t="shared" si="491"/>
        <v>14439003.00999999</v>
      </c>
      <c r="R1388" s="101"/>
      <c r="S1388" s="254">
        <f t="shared" si="507"/>
        <v>0.95017568655303042</v>
      </c>
      <c r="T1388" s="254">
        <f t="shared" si="507"/>
        <v>0.80167546568812886</v>
      </c>
      <c r="U1388" s="254">
        <f t="shared" si="507"/>
        <v>0.99924362025000002</v>
      </c>
      <c r="V1388" s="254">
        <f t="shared" si="506"/>
        <v>0.93157259771956102</v>
      </c>
      <c r="W1388" s="531"/>
      <c r="Y1388" s="256" t="s">
        <v>598</v>
      </c>
      <c r="Z1388" s="256" t="s">
        <v>598</v>
      </c>
    </row>
    <row r="1389" spans="1:26" ht="11.25" hidden="1" customHeight="1">
      <c r="A1389" s="528" t="s">
        <v>656</v>
      </c>
      <c r="B1389" s="1013" t="s">
        <v>234</v>
      </c>
      <c r="C1389" s="410"/>
      <c r="D1389" s="651"/>
      <c r="E1389" s="1004" t="s">
        <v>764</v>
      </c>
      <c r="F1389" s="807"/>
      <c r="G1389" s="807"/>
      <c r="H1389" s="807"/>
      <c r="I1389" s="807"/>
      <c r="J1389" s="807"/>
      <c r="K1389" s="807"/>
      <c r="L1389" s="807"/>
      <c r="M1389" s="807"/>
      <c r="N1389" s="807">
        <f t="shared" si="490"/>
        <v>0</v>
      </c>
      <c r="O1389" s="807">
        <f t="shared" si="490"/>
        <v>0</v>
      </c>
      <c r="P1389" s="807">
        <f t="shared" si="490"/>
        <v>0</v>
      </c>
      <c r="Q1389" s="807">
        <f t="shared" si="491"/>
        <v>0</v>
      </c>
      <c r="R1389" s="276"/>
      <c r="S1389" s="730" t="str">
        <f t="shared" si="507"/>
        <v/>
      </c>
      <c r="T1389" s="730" t="str">
        <f t="shared" si="507"/>
        <v/>
      </c>
      <c r="U1389" s="730" t="str">
        <f t="shared" si="507"/>
        <v/>
      </c>
      <c r="V1389" s="730" t="str">
        <f t="shared" si="506"/>
        <v/>
      </c>
      <c r="W1389" s="531"/>
      <c r="X1389" s="236"/>
      <c r="Y1389" s="236"/>
      <c r="Z1389" s="236"/>
    </row>
    <row r="1390" spans="1:26" s="256" customFormat="1" ht="11.25" customHeight="1">
      <c r="A1390" s="528" t="s">
        <v>656</v>
      </c>
      <c r="B1390" s="528" t="s">
        <v>234</v>
      </c>
      <c r="C1390" s="389"/>
      <c r="D1390" s="650" t="s">
        <v>98</v>
      </c>
      <c r="E1390" s="390" t="s">
        <v>99</v>
      </c>
      <c r="F1390" s="391">
        <f>+F1391</f>
        <v>7103000</v>
      </c>
      <c r="G1390" s="391">
        <f t="shared" ref="G1390:M1390" si="513">+G1391</f>
        <v>0</v>
      </c>
      <c r="H1390" s="391">
        <f t="shared" si="513"/>
        <v>0</v>
      </c>
      <c r="I1390" s="391">
        <f t="shared" si="513"/>
        <v>7103000</v>
      </c>
      <c r="J1390" s="391">
        <f t="shared" si="513"/>
        <v>5881178.0099999998</v>
      </c>
      <c r="K1390" s="391">
        <f t="shared" si="513"/>
        <v>0</v>
      </c>
      <c r="L1390" s="391">
        <f t="shared" si="513"/>
        <v>0</v>
      </c>
      <c r="M1390" s="391">
        <f t="shared" si="513"/>
        <v>5881178.0099999998</v>
      </c>
      <c r="N1390" s="391">
        <f t="shared" si="490"/>
        <v>1221821.9900000002</v>
      </c>
      <c r="O1390" s="391">
        <f t="shared" si="490"/>
        <v>0</v>
      </c>
      <c r="P1390" s="391">
        <f t="shared" si="490"/>
        <v>0</v>
      </c>
      <c r="Q1390" s="391">
        <f t="shared" si="491"/>
        <v>1221821.9900000002</v>
      </c>
      <c r="R1390" s="101"/>
      <c r="S1390" s="254">
        <f t="shared" si="507"/>
        <v>0.82798507813599886</v>
      </c>
      <c r="T1390" s="254" t="str">
        <f t="shared" si="507"/>
        <v/>
      </c>
      <c r="U1390" s="254" t="str">
        <f t="shared" si="507"/>
        <v/>
      </c>
      <c r="V1390" s="254">
        <f t="shared" si="506"/>
        <v>0.82798507813599886</v>
      </c>
      <c r="W1390" s="531"/>
      <c r="Y1390" s="256" t="s">
        <v>598</v>
      </c>
      <c r="Z1390" s="256" t="s">
        <v>598</v>
      </c>
    </row>
    <row r="1391" spans="1:26" ht="11.25" customHeight="1">
      <c r="A1391" s="528" t="s">
        <v>656</v>
      </c>
      <c r="B1391" s="1013" t="s">
        <v>234</v>
      </c>
      <c r="C1391" s="728"/>
      <c r="D1391" s="649" t="s">
        <v>286</v>
      </c>
      <c r="E1391" s="729" t="s">
        <v>286</v>
      </c>
      <c r="F1391" s="103">
        <f>SUM('[3]caraga-SAOB'!X14)</f>
        <v>7103000</v>
      </c>
      <c r="G1391" s="103">
        <f>SUM('[3]caraga-SAOB'!X50)</f>
        <v>0</v>
      </c>
      <c r="H1391" s="103">
        <f>SUM('[3]caraga-SAOB'!X142)</f>
        <v>0</v>
      </c>
      <c r="I1391" s="103">
        <f>SUM(F1391:H1391)</f>
        <v>7103000</v>
      </c>
      <c r="J1391" s="103">
        <f>SUM('[3]caraga-SAOB'!X15)</f>
        <v>5881178.0099999998</v>
      </c>
      <c r="K1391" s="103">
        <f>SUM('[3]caraga-SAOB'!X51)</f>
        <v>0</v>
      </c>
      <c r="L1391" s="103">
        <f>SUM('[3]caraga-SAOB'!X143)</f>
        <v>0</v>
      </c>
      <c r="M1391" s="103">
        <f t="shared" si="485"/>
        <v>5881178.0099999998</v>
      </c>
      <c r="N1391" s="103">
        <f t="shared" si="490"/>
        <v>1221821.9900000002</v>
      </c>
      <c r="O1391" s="103">
        <f t="shared" si="490"/>
        <v>0</v>
      </c>
      <c r="P1391" s="103">
        <f t="shared" si="490"/>
        <v>0</v>
      </c>
      <c r="Q1391" s="103">
        <f t="shared" si="491"/>
        <v>1221821.9900000002</v>
      </c>
      <c r="S1391" s="730">
        <f t="shared" si="507"/>
        <v>0.82798507813599886</v>
      </c>
      <c r="T1391" s="730" t="str">
        <f t="shared" si="507"/>
        <v/>
      </c>
      <c r="U1391" s="730" t="str">
        <f t="shared" si="507"/>
        <v/>
      </c>
      <c r="V1391" s="730">
        <f t="shared" si="506"/>
        <v>0.82798507813599886</v>
      </c>
      <c r="W1391" s="531"/>
      <c r="X1391" s="236"/>
      <c r="Y1391" s="236" t="s">
        <v>598</v>
      </c>
      <c r="Z1391" s="236"/>
    </row>
    <row r="1392" spans="1:26" s="272" customFormat="1" ht="11.25" customHeight="1">
      <c r="A1392" s="528" t="s">
        <v>656</v>
      </c>
      <c r="B1392" s="528" t="s">
        <v>234</v>
      </c>
      <c r="C1392" s="389"/>
      <c r="D1392" s="650" t="s">
        <v>98</v>
      </c>
      <c r="E1392" s="390" t="s">
        <v>100</v>
      </c>
      <c r="F1392" s="391">
        <f t="shared" ref="F1392:M1392" si="514">SUM(F1393:F1397)</f>
        <v>3513127</v>
      </c>
      <c r="G1392" s="391">
        <f t="shared" si="514"/>
        <v>3100000</v>
      </c>
      <c r="H1392" s="391">
        <f t="shared" si="514"/>
        <v>0</v>
      </c>
      <c r="I1392" s="391">
        <f t="shared" si="514"/>
        <v>6613127</v>
      </c>
      <c r="J1392" s="391">
        <f t="shared" si="514"/>
        <v>3513127</v>
      </c>
      <c r="K1392" s="391">
        <f t="shared" si="514"/>
        <v>1500000</v>
      </c>
      <c r="L1392" s="391">
        <f t="shared" si="514"/>
        <v>0</v>
      </c>
      <c r="M1392" s="391">
        <f t="shared" si="514"/>
        <v>5013127</v>
      </c>
      <c r="N1392" s="391">
        <f t="shared" si="490"/>
        <v>0</v>
      </c>
      <c r="O1392" s="391">
        <f t="shared" si="490"/>
        <v>1600000</v>
      </c>
      <c r="P1392" s="391">
        <f t="shared" si="490"/>
        <v>0</v>
      </c>
      <c r="Q1392" s="391">
        <f t="shared" si="491"/>
        <v>1600000</v>
      </c>
      <c r="R1392" s="102"/>
      <c r="S1392" s="254">
        <f t="shared" si="507"/>
        <v>1</v>
      </c>
      <c r="T1392" s="254">
        <f t="shared" si="507"/>
        <v>0.4838709677419355</v>
      </c>
      <c r="U1392" s="254" t="str">
        <f t="shared" si="507"/>
        <v/>
      </c>
      <c r="V1392" s="254">
        <f t="shared" si="506"/>
        <v>0.75805696760397923</v>
      </c>
      <c r="W1392" s="531"/>
      <c r="Y1392" s="272" t="s">
        <v>598</v>
      </c>
      <c r="Z1392" s="256" t="s">
        <v>598</v>
      </c>
    </row>
    <row r="1393" spans="1:26" ht="11.25" customHeight="1">
      <c r="A1393" s="528" t="s">
        <v>656</v>
      </c>
      <c r="B1393" s="1013" t="s">
        <v>234</v>
      </c>
      <c r="C1393" s="728"/>
      <c r="D1393" s="649" t="s">
        <v>288</v>
      </c>
      <c r="E1393" s="729" t="s">
        <v>288</v>
      </c>
      <c r="F1393" s="103">
        <f>SUM('[3]caraga-SAOB'!AB14)</f>
        <v>0</v>
      </c>
      <c r="G1393" s="103">
        <f>SUM('[3]caraga-SAOB'!AB50)</f>
        <v>0</v>
      </c>
      <c r="H1393" s="103">
        <f>SUM('[3]caraga-SAOB'!AB142)</f>
        <v>0</v>
      </c>
      <c r="I1393" s="103">
        <f>SUM(F1393:H1393)</f>
        <v>0</v>
      </c>
      <c r="J1393" s="103">
        <f>SUM('[3]caraga-SAOB'!AB15)</f>
        <v>0</v>
      </c>
      <c r="K1393" s="103">
        <f>SUM('[3]caraga-SAOB'!AB51)</f>
        <v>0</v>
      </c>
      <c r="L1393" s="103">
        <f>SUM('[3]caraga-SAOB'!AB143)</f>
        <v>0</v>
      </c>
      <c r="M1393" s="103">
        <f t="shared" si="485"/>
        <v>0</v>
      </c>
      <c r="N1393" s="103">
        <f t="shared" si="490"/>
        <v>0</v>
      </c>
      <c r="O1393" s="103">
        <f t="shared" si="490"/>
        <v>0</v>
      </c>
      <c r="P1393" s="103">
        <f t="shared" si="490"/>
        <v>0</v>
      </c>
      <c r="Q1393" s="103">
        <f t="shared" si="491"/>
        <v>0</v>
      </c>
      <c r="S1393" s="730" t="str">
        <f t="shared" si="507"/>
        <v/>
      </c>
      <c r="T1393" s="730" t="str">
        <f t="shared" si="507"/>
        <v/>
      </c>
      <c r="U1393" s="730" t="str">
        <f t="shared" si="507"/>
        <v/>
      </c>
      <c r="V1393" s="730" t="str">
        <f t="shared" si="506"/>
        <v/>
      </c>
      <c r="W1393" s="531"/>
      <c r="X1393" s="236"/>
      <c r="Y1393" s="236" t="s">
        <v>598</v>
      </c>
      <c r="Z1393" s="236"/>
    </row>
    <row r="1394" spans="1:26" ht="11.25" customHeight="1">
      <c r="A1394" s="528" t="s">
        <v>656</v>
      </c>
      <c r="B1394" s="1013" t="s">
        <v>234</v>
      </c>
      <c r="C1394" s="728"/>
      <c r="D1394" s="649" t="s">
        <v>761</v>
      </c>
      <c r="E1394" s="729" t="s">
        <v>761</v>
      </c>
      <c r="F1394" s="104">
        <f>+'[3]caraga-SAOB'!C395</f>
        <v>1765000</v>
      </c>
      <c r="G1394" s="104"/>
      <c r="H1394" s="104"/>
      <c r="I1394" s="103">
        <f>SUM(F1394:H1394)</f>
        <v>1765000</v>
      </c>
      <c r="J1394" s="104">
        <f>+'[3]caraga-SAOB'!G395</f>
        <v>1765000</v>
      </c>
      <c r="K1394" s="104"/>
      <c r="L1394" s="104"/>
      <c r="M1394" s="103">
        <f>SUM(J1394:L1394)</f>
        <v>1765000</v>
      </c>
      <c r="N1394" s="103">
        <f>+F1394-J1394</f>
        <v>0</v>
      </c>
      <c r="O1394" s="103">
        <f>+G1394-K1394</f>
        <v>0</v>
      </c>
      <c r="P1394" s="103">
        <f>+H1394-L1394</f>
        <v>0</v>
      </c>
      <c r="Q1394" s="103">
        <f>SUM(N1394:P1394)</f>
        <v>0</v>
      </c>
      <c r="S1394" s="730">
        <f t="shared" si="507"/>
        <v>1</v>
      </c>
      <c r="T1394" s="730" t="str">
        <f t="shared" si="507"/>
        <v/>
      </c>
      <c r="U1394" s="730" t="str">
        <f t="shared" si="507"/>
        <v/>
      </c>
      <c r="V1394" s="730">
        <f t="shared" si="506"/>
        <v>1</v>
      </c>
      <c r="W1394" s="531"/>
      <c r="X1394" s="236"/>
      <c r="Y1394" s="236" t="s">
        <v>688</v>
      </c>
      <c r="Z1394" s="236"/>
    </row>
    <row r="1395" spans="1:26" ht="11.25" customHeight="1">
      <c r="A1395" s="528" t="s">
        <v>656</v>
      </c>
      <c r="B1395" s="1013" t="s">
        <v>234</v>
      </c>
      <c r="C1395" s="410"/>
      <c r="D1395" s="647"/>
      <c r="E1395" s="1004" t="s">
        <v>764</v>
      </c>
      <c r="F1395" s="104"/>
      <c r="G1395" s="104"/>
      <c r="H1395" s="104"/>
      <c r="I1395" s="103"/>
      <c r="J1395" s="104"/>
      <c r="K1395" s="104"/>
      <c r="L1395" s="104"/>
      <c r="M1395" s="103"/>
      <c r="N1395" s="103"/>
      <c r="O1395" s="103"/>
      <c r="P1395" s="103"/>
      <c r="Q1395" s="103"/>
      <c r="S1395" s="730" t="str">
        <f t="shared" si="507"/>
        <v/>
      </c>
      <c r="T1395" s="730" t="str">
        <f t="shared" si="507"/>
        <v/>
      </c>
      <c r="U1395" s="730" t="str">
        <f t="shared" si="507"/>
        <v/>
      </c>
      <c r="V1395" s="730" t="str">
        <f t="shared" si="506"/>
        <v/>
      </c>
      <c r="W1395" s="531"/>
      <c r="X1395" s="236"/>
      <c r="Y1395" s="236" t="s">
        <v>688</v>
      </c>
      <c r="Z1395" s="240"/>
    </row>
    <row r="1396" spans="1:26" ht="11.25" customHeight="1">
      <c r="A1396" s="528" t="s">
        <v>656</v>
      </c>
      <c r="B1396" s="1013" t="s">
        <v>234</v>
      </c>
      <c r="C1396" s="728"/>
      <c r="D1396" s="649" t="s">
        <v>289</v>
      </c>
      <c r="E1396" s="729" t="s">
        <v>289</v>
      </c>
      <c r="F1396" s="103">
        <f>SUM('[3]caraga-SAOB'!AF14)</f>
        <v>1748127</v>
      </c>
      <c r="G1396" s="103">
        <f>SUM('[3]caraga-SAOB'!AF50)</f>
        <v>0</v>
      </c>
      <c r="H1396" s="103">
        <f>SUM('[3]caraga-SAOB'!AF142)</f>
        <v>0</v>
      </c>
      <c r="I1396" s="103">
        <f>SUM(F1396:H1396)</f>
        <v>1748127</v>
      </c>
      <c r="J1396" s="103">
        <f>SUM('[3]caraga-SAOB'!AF15)</f>
        <v>1748127</v>
      </c>
      <c r="K1396" s="103">
        <f>SUM('[3]caraga-SAOB'!AF51)</f>
        <v>0</v>
      </c>
      <c r="L1396" s="103">
        <f>SUM('[3]caraga-SAOB'!AF143)</f>
        <v>0</v>
      </c>
      <c r="M1396" s="103">
        <f t="shared" si="485"/>
        <v>1748127</v>
      </c>
      <c r="N1396" s="103">
        <f t="shared" si="490"/>
        <v>0</v>
      </c>
      <c r="O1396" s="103">
        <f t="shared" si="490"/>
        <v>0</v>
      </c>
      <c r="P1396" s="103">
        <f t="shared" si="490"/>
        <v>0</v>
      </c>
      <c r="Q1396" s="103">
        <f t="shared" si="491"/>
        <v>0</v>
      </c>
      <c r="S1396" s="730">
        <f t="shared" si="507"/>
        <v>1</v>
      </c>
      <c r="T1396" s="730" t="str">
        <f t="shared" si="507"/>
        <v/>
      </c>
      <c r="U1396" s="730" t="str">
        <f t="shared" si="507"/>
        <v/>
      </c>
      <c r="V1396" s="730">
        <f t="shared" si="506"/>
        <v>1</v>
      </c>
      <c r="W1396" s="531"/>
      <c r="X1396" s="236"/>
      <c r="Y1396" s="236" t="s">
        <v>598</v>
      </c>
      <c r="Z1396" s="236"/>
    </row>
    <row r="1397" spans="1:26" ht="11.25" customHeight="1">
      <c r="A1397" s="528" t="s">
        <v>656</v>
      </c>
      <c r="B1397" s="1013" t="s">
        <v>234</v>
      </c>
      <c r="C1397" s="728"/>
      <c r="D1397" s="649" t="s">
        <v>290</v>
      </c>
      <c r="E1397" s="729" t="s">
        <v>290</v>
      </c>
      <c r="F1397" s="103">
        <f>SUM('[3]caraga-SAOB'!AJ14)</f>
        <v>0</v>
      </c>
      <c r="G1397" s="103">
        <f>SUM('[3]caraga-SAOB'!AJ50)</f>
        <v>3100000</v>
      </c>
      <c r="H1397" s="103">
        <f>SUM('[3]caraga-SAOB'!AJ142)</f>
        <v>0</v>
      </c>
      <c r="I1397" s="103">
        <f>SUM(F1397:H1397)</f>
        <v>3100000</v>
      </c>
      <c r="J1397" s="103">
        <f>SUM('[3]caraga-SAOB'!AJ15)</f>
        <v>0</v>
      </c>
      <c r="K1397" s="103">
        <f>SUM('[3]caraga-SAOB'!AJ51)</f>
        <v>1500000</v>
      </c>
      <c r="L1397" s="103">
        <f>SUM('[3]caraga-SAOB'!AJ143)</f>
        <v>0</v>
      </c>
      <c r="M1397" s="103">
        <f t="shared" si="485"/>
        <v>1500000</v>
      </c>
      <c r="N1397" s="103">
        <f t="shared" si="490"/>
        <v>0</v>
      </c>
      <c r="O1397" s="103">
        <f t="shared" si="490"/>
        <v>1600000</v>
      </c>
      <c r="P1397" s="103">
        <f t="shared" si="490"/>
        <v>0</v>
      </c>
      <c r="Q1397" s="103">
        <f t="shared" si="491"/>
        <v>1600000</v>
      </c>
      <c r="S1397" s="730" t="str">
        <f t="shared" si="507"/>
        <v/>
      </c>
      <c r="T1397" s="730">
        <f t="shared" si="507"/>
        <v>0.4838709677419355</v>
      </c>
      <c r="U1397" s="730" t="str">
        <f t="shared" si="507"/>
        <v/>
      </c>
      <c r="V1397" s="730">
        <f t="shared" si="506"/>
        <v>0.4838709677419355</v>
      </c>
      <c r="W1397" s="531"/>
      <c r="X1397" s="236"/>
      <c r="Y1397" s="236" t="s">
        <v>598</v>
      </c>
      <c r="Z1397" s="236"/>
    </row>
    <row r="1398" spans="1:26" s="259" customFormat="1" ht="11.25" customHeight="1">
      <c r="A1398" s="246" t="s">
        <v>656</v>
      </c>
      <c r="B1398" s="235" t="s">
        <v>234</v>
      </c>
      <c r="C1398" s="656"/>
      <c r="D1398" s="656"/>
      <c r="E1398" s="657" t="s">
        <v>4</v>
      </c>
      <c r="F1398" s="652">
        <f>+F1388+F1390+F1392</f>
        <v>88760127</v>
      </c>
      <c r="G1398" s="652">
        <f t="shared" ref="G1398:M1398" si="515">+G1388+G1390+G1392</f>
        <v>55968000</v>
      </c>
      <c r="H1398" s="652">
        <f t="shared" si="515"/>
        <v>80000000</v>
      </c>
      <c r="I1398" s="652">
        <f t="shared" si="515"/>
        <v>224728127</v>
      </c>
      <c r="J1398" s="652">
        <f t="shared" si="515"/>
        <v>83644833.860000014</v>
      </c>
      <c r="K1398" s="652">
        <f t="shared" si="515"/>
        <v>43882978.519999996</v>
      </c>
      <c r="L1398" s="652">
        <f t="shared" si="515"/>
        <v>79939489.620000005</v>
      </c>
      <c r="M1398" s="652">
        <f t="shared" si="515"/>
        <v>207467302</v>
      </c>
      <c r="N1398" s="652">
        <f t="shared" ref="N1398:P1464" si="516">+F1398-J1398</f>
        <v>5115293.1399999857</v>
      </c>
      <c r="O1398" s="652">
        <f t="shared" si="516"/>
        <v>12085021.480000004</v>
      </c>
      <c r="P1398" s="652">
        <f t="shared" si="516"/>
        <v>60510.379999995232</v>
      </c>
      <c r="Q1398" s="652">
        <f t="shared" ref="Q1398:Q1464" si="517">SUM(N1398:P1398)</f>
        <v>17260824.999999985</v>
      </c>
      <c r="R1398" s="653">
        <f>+Q1398-'[3]caraga-SAOB'!BD179</f>
        <v>0</v>
      </c>
      <c r="S1398" s="1008">
        <f t="shared" si="507"/>
        <v>0.94236947024647699</v>
      </c>
      <c r="T1398" s="1008">
        <f t="shared" si="507"/>
        <v>0.78407265794739844</v>
      </c>
      <c r="U1398" s="1008">
        <f t="shared" si="507"/>
        <v>0.99924362025000002</v>
      </c>
      <c r="V1398" s="1008">
        <f t="shared" si="506"/>
        <v>0.92319241373822336</v>
      </c>
      <c r="W1398" s="254"/>
      <c r="X1398" s="520"/>
      <c r="Y1398" s="610" t="s">
        <v>598</v>
      </c>
      <c r="Z1398" s="241" t="s">
        <v>598</v>
      </c>
    </row>
    <row r="1399" spans="1:26" ht="11.25" customHeight="1">
      <c r="A1399" s="246" t="s">
        <v>656</v>
      </c>
      <c r="B1399" s="235" t="s">
        <v>234</v>
      </c>
      <c r="C1399" s="410"/>
      <c r="D1399" s="386"/>
      <c r="E1399" s="1004" t="s">
        <v>764</v>
      </c>
      <c r="F1399" s="103"/>
      <c r="G1399" s="103"/>
      <c r="H1399" s="103"/>
      <c r="I1399" s="103">
        <f t="shared" ref="I1399:I1479" si="518">SUM(F1399:H1399)</f>
        <v>0</v>
      </c>
      <c r="J1399" s="103"/>
      <c r="K1399" s="103"/>
      <c r="L1399" s="103"/>
      <c r="M1399" s="103">
        <f t="shared" ref="M1399:M1479" si="519">SUM(J1399:L1399)</f>
        <v>0</v>
      </c>
      <c r="N1399" s="103">
        <f t="shared" si="516"/>
        <v>0</v>
      </c>
      <c r="O1399" s="103">
        <f t="shared" si="516"/>
        <v>0</v>
      </c>
      <c r="P1399" s="103">
        <f t="shared" si="516"/>
        <v>0</v>
      </c>
      <c r="Q1399" s="103">
        <f t="shared" si="517"/>
        <v>0</v>
      </c>
      <c r="S1399" s="730" t="str">
        <f t="shared" si="507"/>
        <v/>
      </c>
      <c r="T1399" s="730" t="str">
        <f t="shared" si="507"/>
        <v/>
      </c>
      <c r="U1399" s="730" t="str">
        <f t="shared" si="507"/>
        <v/>
      </c>
      <c r="V1399" s="730" t="str">
        <f t="shared" si="506"/>
        <v/>
      </c>
      <c r="W1399" s="254"/>
      <c r="Y1399" s="610" t="s">
        <v>598</v>
      </c>
      <c r="Z1399" s="241" t="s">
        <v>598</v>
      </c>
    </row>
    <row r="1400" spans="1:26" s="675" customFormat="1" ht="11.25" customHeight="1">
      <c r="A1400" s="528" t="s">
        <v>656</v>
      </c>
      <c r="B1400" s="528" t="s">
        <v>235</v>
      </c>
      <c r="C1400" s="407" t="s">
        <v>98</v>
      </c>
      <c r="D1400" s="655" t="s">
        <v>107</v>
      </c>
      <c r="E1400" s="408" t="s">
        <v>848</v>
      </c>
      <c r="F1400" s="673"/>
      <c r="G1400" s="673"/>
      <c r="H1400" s="673"/>
      <c r="I1400" s="674">
        <f t="shared" si="518"/>
        <v>0</v>
      </c>
      <c r="J1400" s="673"/>
      <c r="K1400" s="673"/>
      <c r="L1400" s="673"/>
      <c r="M1400" s="674">
        <f t="shared" si="519"/>
        <v>0</v>
      </c>
      <c r="N1400" s="674">
        <f t="shared" si="516"/>
        <v>0</v>
      </c>
      <c r="O1400" s="674">
        <f t="shared" si="516"/>
        <v>0</v>
      </c>
      <c r="P1400" s="674">
        <f t="shared" si="516"/>
        <v>0</v>
      </c>
      <c r="Q1400" s="674">
        <f t="shared" si="517"/>
        <v>0</v>
      </c>
      <c r="R1400" s="101"/>
      <c r="S1400" s="254" t="str">
        <f t="shared" si="507"/>
        <v/>
      </c>
      <c r="T1400" s="254" t="str">
        <f t="shared" si="507"/>
        <v/>
      </c>
      <c r="U1400" s="254" t="str">
        <f t="shared" si="507"/>
        <v/>
      </c>
      <c r="V1400" s="254" t="str">
        <f t="shared" si="506"/>
        <v/>
      </c>
      <c r="W1400" s="531"/>
      <c r="Y1400" s="272" t="s">
        <v>598</v>
      </c>
      <c r="Z1400" s="260" t="s">
        <v>598</v>
      </c>
    </row>
    <row r="1401" spans="1:26" ht="11.25" customHeight="1">
      <c r="A1401" s="528" t="s">
        <v>656</v>
      </c>
      <c r="B1401" s="1013" t="s">
        <v>235</v>
      </c>
      <c r="C1401" s="461"/>
      <c r="D1401" s="645" t="s">
        <v>766</v>
      </c>
      <c r="E1401" s="447" t="s">
        <v>766</v>
      </c>
      <c r="F1401" s="104">
        <f>+'[3]caraga-SAOB'!C386</f>
        <v>34004000</v>
      </c>
      <c r="G1401" s="104">
        <f>+'[3]caraga-SAOB'!D386</f>
        <v>16895000</v>
      </c>
      <c r="H1401" s="104">
        <f>+'[3]caraga-SAOB'!E386</f>
        <v>0</v>
      </c>
      <c r="I1401" s="103">
        <f t="shared" si="518"/>
        <v>50899000</v>
      </c>
      <c r="J1401" s="104">
        <f>+'[3]caraga-SAOB'!G386</f>
        <v>30247789.190000005</v>
      </c>
      <c r="K1401" s="104">
        <f>+'[3]caraga-SAOB'!H386</f>
        <v>13554507.93</v>
      </c>
      <c r="L1401" s="104">
        <f>+'[3]caraga-SAOB'!I386</f>
        <v>0</v>
      </c>
      <c r="M1401" s="103">
        <f t="shared" si="519"/>
        <v>43802297.120000005</v>
      </c>
      <c r="N1401" s="103">
        <f t="shared" si="516"/>
        <v>3756210.8099999949</v>
      </c>
      <c r="O1401" s="103">
        <f t="shared" si="516"/>
        <v>3340492.0700000003</v>
      </c>
      <c r="P1401" s="103">
        <f t="shared" si="516"/>
        <v>0</v>
      </c>
      <c r="Q1401" s="103">
        <f t="shared" si="517"/>
        <v>7096702.8799999952</v>
      </c>
      <c r="S1401" s="730">
        <f t="shared" si="507"/>
        <v>0.88953620721091653</v>
      </c>
      <c r="T1401" s="730">
        <f t="shared" si="507"/>
        <v>0.80227925007398637</v>
      </c>
      <c r="U1401" s="730" t="str">
        <f t="shared" si="507"/>
        <v/>
      </c>
      <c r="V1401" s="730">
        <f t="shared" si="506"/>
        <v>0.86057284268846157</v>
      </c>
      <c r="W1401" s="531"/>
      <c r="X1401" s="236"/>
      <c r="Y1401" s="236" t="s">
        <v>688</v>
      </c>
      <c r="Z1401" s="236"/>
    </row>
    <row r="1402" spans="1:26" ht="11.25" customHeight="1">
      <c r="A1402" s="528" t="s">
        <v>656</v>
      </c>
      <c r="B1402" s="1013" t="s">
        <v>235</v>
      </c>
      <c r="C1402" s="728"/>
      <c r="D1402" s="649" t="s">
        <v>50</v>
      </c>
      <c r="E1402" s="447" t="s">
        <v>50</v>
      </c>
      <c r="F1402" s="104"/>
      <c r="G1402" s="104">
        <f>+'[3]caraga-SAOB'!D388</f>
        <v>4340000</v>
      </c>
      <c r="H1402" s="104">
        <f>+'[3]caraga-SAOB'!E388</f>
        <v>27230000</v>
      </c>
      <c r="I1402" s="103">
        <f>SUM(F1402:H1402)</f>
        <v>31570000</v>
      </c>
      <c r="J1402" s="104"/>
      <c r="K1402" s="104">
        <f>+'[3]caraga-SAOB'!H388</f>
        <v>3469623.56</v>
      </c>
      <c r="L1402" s="104">
        <f>+'[3]caraga-SAOB'!I388</f>
        <v>6679969.4000000004</v>
      </c>
      <c r="M1402" s="103">
        <f>SUM(J1402:L1402)</f>
        <v>10149592.960000001</v>
      </c>
      <c r="N1402" s="103">
        <f t="shared" si="516"/>
        <v>0</v>
      </c>
      <c r="O1402" s="103">
        <f t="shared" si="516"/>
        <v>870376.44</v>
      </c>
      <c r="P1402" s="103">
        <f t="shared" si="516"/>
        <v>20550030.600000001</v>
      </c>
      <c r="Q1402" s="103">
        <f t="shared" si="517"/>
        <v>21420407.040000003</v>
      </c>
      <c r="S1402" s="730" t="str">
        <f t="shared" si="507"/>
        <v/>
      </c>
      <c r="T1402" s="730">
        <f t="shared" si="507"/>
        <v>0.79945243317972348</v>
      </c>
      <c r="U1402" s="730">
        <f t="shared" si="507"/>
        <v>0.24531654058024238</v>
      </c>
      <c r="V1402" s="730">
        <f t="shared" si="506"/>
        <v>0.3214948672790624</v>
      </c>
      <c r="W1402" s="531"/>
      <c r="X1402" s="236"/>
      <c r="Y1402" s="236" t="s">
        <v>688</v>
      </c>
      <c r="Z1402" s="236"/>
    </row>
    <row r="1403" spans="1:26" s="256" customFormat="1" ht="11.25" customHeight="1">
      <c r="A1403" s="528" t="s">
        <v>656</v>
      </c>
      <c r="B1403" s="528" t="s">
        <v>235</v>
      </c>
      <c r="C1403" s="389"/>
      <c r="D1403" s="650" t="s">
        <v>98</v>
      </c>
      <c r="E1403" s="390" t="s">
        <v>767</v>
      </c>
      <c r="F1403" s="391">
        <f>+F1401+F1402</f>
        <v>34004000</v>
      </c>
      <c r="G1403" s="391">
        <f t="shared" ref="G1403:M1403" si="520">+G1401+G1402</f>
        <v>21235000</v>
      </c>
      <c r="H1403" s="391">
        <f t="shared" si="520"/>
        <v>27230000</v>
      </c>
      <c r="I1403" s="391">
        <f t="shared" si="520"/>
        <v>82469000</v>
      </c>
      <c r="J1403" s="391">
        <f t="shared" si="520"/>
        <v>30247789.190000005</v>
      </c>
      <c r="K1403" s="391">
        <f t="shared" si="520"/>
        <v>17024131.489999998</v>
      </c>
      <c r="L1403" s="391">
        <f t="shared" si="520"/>
        <v>6679969.4000000004</v>
      </c>
      <c r="M1403" s="391">
        <f t="shared" si="520"/>
        <v>53951890.080000006</v>
      </c>
      <c r="N1403" s="391">
        <f t="shared" si="516"/>
        <v>3756210.8099999949</v>
      </c>
      <c r="O1403" s="391">
        <f t="shared" si="516"/>
        <v>4210868.5100000016</v>
      </c>
      <c r="P1403" s="391">
        <f t="shared" si="516"/>
        <v>20550030.600000001</v>
      </c>
      <c r="Q1403" s="391">
        <f t="shared" si="517"/>
        <v>28517109.919999998</v>
      </c>
      <c r="R1403" s="101"/>
      <c r="S1403" s="254">
        <f t="shared" si="507"/>
        <v>0.88953620721091653</v>
      </c>
      <c r="T1403" s="254">
        <f t="shared" si="507"/>
        <v>0.80170150647515881</v>
      </c>
      <c r="U1403" s="254">
        <f t="shared" si="507"/>
        <v>0.24531654058024238</v>
      </c>
      <c r="V1403" s="254">
        <f t="shared" si="506"/>
        <v>0.65420812766009051</v>
      </c>
      <c r="W1403" s="531"/>
      <c r="Y1403" s="256" t="s">
        <v>598</v>
      </c>
      <c r="Z1403" s="256" t="s">
        <v>598</v>
      </c>
    </row>
    <row r="1404" spans="1:26" ht="11.25" hidden="1" customHeight="1">
      <c r="A1404" s="528" t="s">
        <v>656</v>
      </c>
      <c r="B1404" s="1013" t="s">
        <v>235</v>
      </c>
      <c r="C1404" s="410"/>
      <c r="D1404" s="651"/>
      <c r="E1404" s="1004" t="s">
        <v>764</v>
      </c>
      <c r="F1404" s="807"/>
      <c r="G1404" s="807"/>
      <c r="H1404" s="807"/>
      <c r="I1404" s="807"/>
      <c r="J1404" s="807"/>
      <c r="K1404" s="807"/>
      <c r="L1404" s="807"/>
      <c r="M1404" s="807"/>
      <c r="N1404" s="807">
        <f t="shared" si="516"/>
        <v>0</v>
      </c>
      <c r="O1404" s="807">
        <f t="shared" si="516"/>
        <v>0</v>
      </c>
      <c r="P1404" s="807">
        <f t="shared" si="516"/>
        <v>0</v>
      </c>
      <c r="Q1404" s="807">
        <f t="shared" si="517"/>
        <v>0</v>
      </c>
      <c r="R1404" s="276"/>
      <c r="S1404" s="730" t="str">
        <f t="shared" si="507"/>
        <v/>
      </c>
      <c r="T1404" s="730" t="str">
        <f t="shared" si="507"/>
        <v/>
      </c>
      <c r="U1404" s="730" t="str">
        <f t="shared" si="507"/>
        <v/>
      </c>
      <c r="V1404" s="730" t="str">
        <f t="shared" si="506"/>
        <v/>
      </c>
      <c r="W1404" s="531"/>
      <c r="X1404" s="236"/>
      <c r="Y1404" s="236"/>
      <c r="Z1404" s="236"/>
    </row>
    <row r="1405" spans="1:26" s="256" customFormat="1" ht="11.25" customHeight="1">
      <c r="A1405" s="528" t="s">
        <v>656</v>
      </c>
      <c r="B1405" s="528" t="s">
        <v>235</v>
      </c>
      <c r="C1405" s="389"/>
      <c r="D1405" s="650" t="s">
        <v>98</v>
      </c>
      <c r="E1405" s="390" t="s">
        <v>99</v>
      </c>
      <c r="F1405" s="391">
        <f>+F1406</f>
        <v>3085000</v>
      </c>
      <c r="G1405" s="391">
        <f t="shared" ref="G1405:M1405" si="521">+G1406</f>
        <v>0</v>
      </c>
      <c r="H1405" s="391">
        <f t="shared" si="521"/>
        <v>0</v>
      </c>
      <c r="I1405" s="391">
        <f t="shared" si="521"/>
        <v>3085000</v>
      </c>
      <c r="J1405" s="391">
        <f t="shared" si="521"/>
        <v>2458855.09</v>
      </c>
      <c r="K1405" s="391">
        <f t="shared" si="521"/>
        <v>0</v>
      </c>
      <c r="L1405" s="391">
        <f t="shared" si="521"/>
        <v>0</v>
      </c>
      <c r="M1405" s="391">
        <f t="shared" si="521"/>
        <v>2458855.09</v>
      </c>
      <c r="N1405" s="391">
        <f t="shared" si="516"/>
        <v>626144.91000000015</v>
      </c>
      <c r="O1405" s="391">
        <f t="shared" si="516"/>
        <v>0</v>
      </c>
      <c r="P1405" s="391">
        <f t="shared" si="516"/>
        <v>0</v>
      </c>
      <c r="Q1405" s="391">
        <f t="shared" si="517"/>
        <v>626144.91000000015</v>
      </c>
      <c r="R1405" s="101"/>
      <c r="S1405" s="254">
        <f t="shared" si="507"/>
        <v>0.79703568557536464</v>
      </c>
      <c r="T1405" s="254" t="str">
        <f t="shared" si="507"/>
        <v/>
      </c>
      <c r="U1405" s="254" t="str">
        <f t="shared" si="507"/>
        <v/>
      </c>
      <c r="V1405" s="254">
        <f t="shared" si="506"/>
        <v>0.79703568557536464</v>
      </c>
      <c r="W1405" s="531"/>
      <c r="Y1405" s="256" t="s">
        <v>598</v>
      </c>
      <c r="Z1405" s="256" t="s">
        <v>598</v>
      </c>
    </row>
    <row r="1406" spans="1:26" ht="11.25" customHeight="1">
      <c r="A1406" s="528" t="s">
        <v>656</v>
      </c>
      <c r="B1406" s="1013" t="s">
        <v>235</v>
      </c>
      <c r="C1406" s="728"/>
      <c r="D1406" s="649" t="s">
        <v>286</v>
      </c>
      <c r="E1406" s="729" t="s">
        <v>286</v>
      </c>
      <c r="F1406" s="103">
        <f>SUM('[3]caraga-SAOB'!W14)</f>
        <v>3085000</v>
      </c>
      <c r="G1406" s="103">
        <f>SUM('[3]caraga-SAOB'!W50)</f>
        <v>0</v>
      </c>
      <c r="H1406" s="103">
        <f>SUM('[3]caraga-SAOB'!W142)</f>
        <v>0</v>
      </c>
      <c r="I1406" s="103">
        <f t="shared" si="518"/>
        <v>3085000</v>
      </c>
      <c r="J1406" s="103">
        <f>SUM('[3]caraga-SAOB'!W15)</f>
        <v>2458855.09</v>
      </c>
      <c r="K1406" s="103">
        <f>SUM('[3]caraga-SAOB'!W51)</f>
        <v>0</v>
      </c>
      <c r="L1406" s="103">
        <f>SUM('[3]caraga-SAOB'!W143)</f>
        <v>0</v>
      </c>
      <c r="M1406" s="103">
        <f t="shared" si="519"/>
        <v>2458855.09</v>
      </c>
      <c r="N1406" s="103">
        <f t="shared" si="516"/>
        <v>626144.91000000015</v>
      </c>
      <c r="O1406" s="103">
        <f t="shared" si="516"/>
        <v>0</v>
      </c>
      <c r="P1406" s="103">
        <f t="shared" si="516"/>
        <v>0</v>
      </c>
      <c r="Q1406" s="103">
        <f t="shared" si="517"/>
        <v>626144.91000000015</v>
      </c>
      <c r="S1406" s="730">
        <f t="shared" si="507"/>
        <v>0.79703568557536464</v>
      </c>
      <c r="T1406" s="730" t="str">
        <f t="shared" si="507"/>
        <v/>
      </c>
      <c r="U1406" s="730" t="str">
        <f t="shared" si="507"/>
        <v/>
      </c>
      <c r="V1406" s="730">
        <f t="shared" si="506"/>
        <v>0.79703568557536464</v>
      </c>
      <c r="W1406" s="531"/>
      <c r="X1406" s="236"/>
      <c r="Y1406" s="236" t="s">
        <v>598</v>
      </c>
      <c r="Z1406" s="236"/>
    </row>
    <row r="1407" spans="1:26" s="272" customFormat="1" ht="11.25" customHeight="1">
      <c r="A1407" s="528" t="s">
        <v>656</v>
      </c>
      <c r="B1407" s="528" t="s">
        <v>235</v>
      </c>
      <c r="C1407" s="389"/>
      <c r="D1407" s="650" t="s">
        <v>98</v>
      </c>
      <c r="E1407" s="390" t="s">
        <v>100</v>
      </c>
      <c r="F1407" s="391">
        <f t="shared" ref="F1407:M1407" si="522">SUM(F1408:F1412)</f>
        <v>1070000</v>
      </c>
      <c r="G1407" s="391">
        <f t="shared" si="522"/>
        <v>1500000</v>
      </c>
      <c r="H1407" s="391">
        <f t="shared" si="522"/>
        <v>0</v>
      </c>
      <c r="I1407" s="391">
        <f t="shared" si="522"/>
        <v>2570000</v>
      </c>
      <c r="J1407" s="391">
        <f t="shared" si="522"/>
        <v>1035500</v>
      </c>
      <c r="K1407" s="391">
        <f t="shared" si="522"/>
        <v>131800</v>
      </c>
      <c r="L1407" s="391">
        <f t="shared" si="522"/>
        <v>0</v>
      </c>
      <c r="M1407" s="391">
        <f t="shared" si="522"/>
        <v>1167300</v>
      </c>
      <c r="N1407" s="391">
        <f t="shared" si="516"/>
        <v>34500</v>
      </c>
      <c r="O1407" s="391">
        <f t="shared" si="516"/>
        <v>1368200</v>
      </c>
      <c r="P1407" s="391">
        <f t="shared" si="516"/>
        <v>0</v>
      </c>
      <c r="Q1407" s="391">
        <f t="shared" si="517"/>
        <v>1402700</v>
      </c>
      <c r="R1407" s="102"/>
      <c r="S1407" s="254">
        <f t="shared" si="507"/>
        <v>0.96775700934579434</v>
      </c>
      <c r="T1407" s="254">
        <f t="shared" si="507"/>
        <v>8.7866666666666662E-2</v>
      </c>
      <c r="U1407" s="254" t="str">
        <f t="shared" si="507"/>
        <v/>
      </c>
      <c r="V1407" s="254">
        <f t="shared" si="506"/>
        <v>0.4542023346303502</v>
      </c>
      <c r="W1407" s="531"/>
      <c r="Y1407" s="272" t="s">
        <v>598</v>
      </c>
      <c r="Z1407" s="256" t="s">
        <v>598</v>
      </c>
    </row>
    <row r="1408" spans="1:26" ht="11.25" customHeight="1">
      <c r="A1408" s="528" t="s">
        <v>656</v>
      </c>
      <c r="B1408" s="1013" t="s">
        <v>235</v>
      </c>
      <c r="C1408" s="728"/>
      <c r="D1408" s="649" t="s">
        <v>288</v>
      </c>
      <c r="E1408" s="729" t="s">
        <v>288</v>
      </c>
      <c r="F1408" s="103">
        <f>SUM('[3]caraga-SAOB'!AA14)</f>
        <v>0</v>
      </c>
      <c r="G1408" s="103">
        <f>SUM('[3]caraga-SAOB'!AA50)</f>
        <v>0</v>
      </c>
      <c r="H1408" s="103">
        <f>SUM('[3]caraga-SAOB'!AA142)</f>
        <v>0</v>
      </c>
      <c r="I1408" s="103">
        <f t="shared" si="518"/>
        <v>0</v>
      </c>
      <c r="J1408" s="103">
        <f>SUM('[3]caraga-SAOB'!AA15)</f>
        <v>0</v>
      </c>
      <c r="K1408" s="103">
        <f>SUM('[3]caraga-SAOB'!AA51)</f>
        <v>0</v>
      </c>
      <c r="L1408" s="103">
        <f>SUM('[3]caraga-SAOB'!AA143)</f>
        <v>0</v>
      </c>
      <c r="M1408" s="103">
        <f t="shared" si="519"/>
        <v>0</v>
      </c>
      <c r="N1408" s="103">
        <f t="shared" si="516"/>
        <v>0</v>
      </c>
      <c r="O1408" s="103">
        <f t="shared" si="516"/>
        <v>0</v>
      </c>
      <c r="P1408" s="103">
        <f t="shared" si="516"/>
        <v>0</v>
      </c>
      <c r="Q1408" s="103">
        <f t="shared" si="517"/>
        <v>0</v>
      </c>
      <c r="S1408" s="730" t="str">
        <f t="shared" si="507"/>
        <v/>
      </c>
      <c r="T1408" s="730" t="str">
        <f t="shared" si="507"/>
        <v/>
      </c>
      <c r="U1408" s="730" t="str">
        <f t="shared" si="507"/>
        <v/>
      </c>
      <c r="V1408" s="730" t="str">
        <f t="shared" si="506"/>
        <v/>
      </c>
      <c r="W1408" s="531"/>
      <c r="X1408" s="236"/>
      <c r="Y1408" s="236" t="s">
        <v>598</v>
      </c>
      <c r="Z1408" s="236"/>
    </row>
    <row r="1409" spans="1:26" ht="11.25" customHeight="1">
      <c r="A1409" s="528" t="s">
        <v>656</v>
      </c>
      <c r="B1409" s="1013" t="s">
        <v>235</v>
      </c>
      <c r="C1409" s="728"/>
      <c r="D1409" s="649" t="s">
        <v>761</v>
      </c>
      <c r="E1409" s="729" t="s">
        <v>761</v>
      </c>
      <c r="F1409" s="104">
        <f>+'[3]caraga-SAOB'!C388</f>
        <v>1070000</v>
      </c>
      <c r="G1409" s="104"/>
      <c r="H1409" s="104"/>
      <c r="I1409" s="103">
        <f>SUM(F1409:H1409)</f>
        <v>1070000</v>
      </c>
      <c r="J1409" s="104">
        <f>+'[3]caraga-SAOB'!G388</f>
        <v>1035500</v>
      </c>
      <c r="K1409" s="104"/>
      <c r="L1409" s="104"/>
      <c r="M1409" s="103">
        <f>SUM(J1409:L1409)</f>
        <v>1035500</v>
      </c>
      <c r="N1409" s="103">
        <f t="shared" si="516"/>
        <v>34500</v>
      </c>
      <c r="O1409" s="103">
        <f t="shared" si="516"/>
        <v>0</v>
      </c>
      <c r="P1409" s="103">
        <f t="shared" si="516"/>
        <v>0</v>
      </c>
      <c r="Q1409" s="103">
        <f>SUM(N1409:P1409)</f>
        <v>34500</v>
      </c>
      <c r="S1409" s="730">
        <f t="shared" si="507"/>
        <v>0.96775700934579434</v>
      </c>
      <c r="T1409" s="730" t="str">
        <f t="shared" si="507"/>
        <v/>
      </c>
      <c r="U1409" s="730" t="str">
        <f t="shared" si="507"/>
        <v/>
      </c>
      <c r="V1409" s="730">
        <f t="shared" si="506"/>
        <v>0.96775700934579434</v>
      </c>
      <c r="W1409" s="531"/>
      <c r="X1409" s="236"/>
      <c r="Y1409" s="236" t="s">
        <v>688</v>
      </c>
      <c r="Z1409" s="236"/>
    </row>
    <row r="1410" spans="1:26" ht="11.25" customHeight="1">
      <c r="A1410" s="528" t="s">
        <v>656</v>
      </c>
      <c r="B1410" s="1013" t="s">
        <v>235</v>
      </c>
      <c r="C1410" s="410"/>
      <c r="D1410" s="647"/>
      <c r="E1410" s="1004" t="s">
        <v>764</v>
      </c>
      <c r="F1410" s="104"/>
      <c r="G1410" s="104"/>
      <c r="H1410" s="104"/>
      <c r="I1410" s="103"/>
      <c r="J1410" s="104"/>
      <c r="K1410" s="104"/>
      <c r="L1410" s="104"/>
      <c r="M1410" s="103"/>
      <c r="N1410" s="103"/>
      <c r="O1410" s="103"/>
      <c r="P1410" s="103"/>
      <c r="Q1410" s="103"/>
      <c r="S1410" s="730" t="str">
        <f t="shared" si="507"/>
        <v/>
      </c>
      <c r="T1410" s="730" t="str">
        <f t="shared" si="507"/>
        <v/>
      </c>
      <c r="U1410" s="730" t="str">
        <f t="shared" si="507"/>
        <v/>
      </c>
      <c r="V1410" s="730" t="str">
        <f t="shared" si="506"/>
        <v/>
      </c>
      <c r="W1410" s="531"/>
      <c r="X1410" s="236"/>
      <c r="Y1410" s="236" t="s">
        <v>688</v>
      </c>
      <c r="Z1410" s="240"/>
    </row>
    <row r="1411" spans="1:26" ht="11.25" customHeight="1">
      <c r="A1411" s="528" t="s">
        <v>656</v>
      </c>
      <c r="B1411" s="1013" t="s">
        <v>235</v>
      </c>
      <c r="C1411" s="728"/>
      <c r="D1411" s="649" t="s">
        <v>289</v>
      </c>
      <c r="E1411" s="729" t="s">
        <v>289</v>
      </c>
      <c r="F1411" s="103">
        <f>SUM('[3]caraga-SAOB'!AE14)</f>
        <v>0</v>
      </c>
      <c r="G1411" s="103">
        <f>SUM('[3]caraga-SAOB'!AE50)</f>
        <v>0</v>
      </c>
      <c r="H1411" s="103">
        <f>SUM('[3]caraga-SAOB'!AE142)</f>
        <v>0</v>
      </c>
      <c r="I1411" s="103">
        <f t="shared" si="518"/>
        <v>0</v>
      </c>
      <c r="J1411" s="103">
        <f>SUM('[3]caraga-SAOB'!AE15)</f>
        <v>0</v>
      </c>
      <c r="K1411" s="103">
        <f>SUM('[3]caraga-SAOB'!AE51)</f>
        <v>0</v>
      </c>
      <c r="L1411" s="103">
        <f>SUM('[3]caraga-SAOB'!AE143)</f>
        <v>0</v>
      </c>
      <c r="M1411" s="103">
        <f t="shared" si="519"/>
        <v>0</v>
      </c>
      <c r="N1411" s="103">
        <f t="shared" si="516"/>
        <v>0</v>
      </c>
      <c r="O1411" s="103">
        <f t="shared" si="516"/>
        <v>0</v>
      </c>
      <c r="P1411" s="103">
        <f t="shared" si="516"/>
        <v>0</v>
      </c>
      <c r="Q1411" s="103">
        <f t="shared" si="517"/>
        <v>0</v>
      </c>
      <c r="S1411" s="730" t="str">
        <f t="shared" si="507"/>
        <v/>
      </c>
      <c r="T1411" s="730" t="str">
        <f t="shared" si="507"/>
        <v/>
      </c>
      <c r="U1411" s="730" t="str">
        <f t="shared" si="507"/>
        <v/>
      </c>
      <c r="V1411" s="730" t="str">
        <f t="shared" si="506"/>
        <v/>
      </c>
      <c r="W1411" s="531"/>
      <c r="X1411" s="236"/>
      <c r="Y1411" s="236" t="s">
        <v>598</v>
      </c>
      <c r="Z1411" s="236"/>
    </row>
    <row r="1412" spans="1:26" ht="11.25" customHeight="1">
      <c r="A1412" s="528" t="s">
        <v>656</v>
      </c>
      <c r="B1412" s="1013" t="s">
        <v>235</v>
      </c>
      <c r="C1412" s="728"/>
      <c r="D1412" s="649" t="s">
        <v>290</v>
      </c>
      <c r="E1412" s="729" t="s">
        <v>290</v>
      </c>
      <c r="F1412" s="103">
        <f>SUM('[3]caraga-SAOB'!AI14)</f>
        <v>0</v>
      </c>
      <c r="G1412" s="103">
        <f>SUM('[3]caraga-SAOB'!AI50)</f>
        <v>1500000</v>
      </c>
      <c r="H1412" s="103">
        <f>SUM('[3]caraga-SAOB'!AI142)</f>
        <v>0</v>
      </c>
      <c r="I1412" s="103">
        <f t="shared" si="518"/>
        <v>1500000</v>
      </c>
      <c r="J1412" s="103">
        <f>SUM('[3]caraga-SAOB'!AI15)</f>
        <v>0</v>
      </c>
      <c r="K1412" s="103">
        <f>SUM('[3]caraga-SAOB'!AI51)</f>
        <v>131800</v>
      </c>
      <c r="L1412" s="103">
        <f>SUM('[3]caraga-SAOB'!AI143)</f>
        <v>0</v>
      </c>
      <c r="M1412" s="103">
        <f t="shared" si="519"/>
        <v>131800</v>
      </c>
      <c r="N1412" s="103">
        <f t="shared" si="516"/>
        <v>0</v>
      </c>
      <c r="O1412" s="103">
        <f t="shared" si="516"/>
        <v>1368200</v>
      </c>
      <c r="P1412" s="103">
        <f t="shared" si="516"/>
        <v>0</v>
      </c>
      <c r="Q1412" s="103">
        <f t="shared" si="517"/>
        <v>1368200</v>
      </c>
      <c r="S1412" s="730" t="str">
        <f t="shared" si="507"/>
        <v/>
      </c>
      <c r="T1412" s="730">
        <f t="shared" si="507"/>
        <v>8.7866666666666662E-2</v>
      </c>
      <c r="U1412" s="730" t="str">
        <f t="shared" si="507"/>
        <v/>
      </c>
      <c r="V1412" s="730">
        <f t="shared" si="506"/>
        <v>8.7866666666666662E-2</v>
      </c>
      <c r="W1412" s="531"/>
      <c r="X1412" s="236"/>
      <c r="Y1412" s="236" t="s">
        <v>598</v>
      </c>
      <c r="Z1412" s="236"/>
    </row>
    <row r="1413" spans="1:26" s="259" customFormat="1" ht="11.25" customHeight="1">
      <c r="A1413" s="246" t="s">
        <v>656</v>
      </c>
      <c r="B1413" s="235" t="s">
        <v>235</v>
      </c>
      <c r="C1413" s="656"/>
      <c r="D1413" s="656"/>
      <c r="E1413" s="657" t="s">
        <v>4</v>
      </c>
      <c r="F1413" s="652">
        <f>+F1403+F1405+F1407</f>
        <v>38159000</v>
      </c>
      <c r="G1413" s="652">
        <f t="shared" ref="G1413:M1413" si="523">+G1403+G1405+G1407</f>
        <v>22735000</v>
      </c>
      <c r="H1413" s="652">
        <f t="shared" si="523"/>
        <v>27230000</v>
      </c>
      <c r="I1413" s="652">
        <f t="shared" si="523"/>
        <v>88124000</v>
      </c>
      <c r="J1413" s="652">
        <f t="shared" si="523"/>
        <v>33742144.280000001</v>
      </c>
      <c r="K1413" s="652">
        <f t="shared" si="523"/>
        <v>17155931.489999998</v>
      </c>
      <c r="L1413" s="652">
        <f t="shared" si="523"/>
        <v>6679969.4000000004</v>
      </c>
      <c r="M1413" s="652">
        <f t="shared" si="523"/>
        <v>57578045.170000002</v>
      </c>
      <c r="N1413" s="652">
        <f t="shared" si="516"/>
        <v>4416855.7199999988</v>
      </c>
      <c r="O1413" s="652">
        <f t="shared" si="516"/>
        <v>5579068.5100000016</v>
      </c>
      <c r="P1413" s="652">
        <f t="shared" si="516"/>
        <v>20550030.600000001</v>
      </c>
      <c r="Q1413" s="652">
        <f t="shared" si="517"/>
        <v>30545954.830000002</v>
      </c>
      <c r="R1413" s="653">
        <f>+Q1413-'[3]caraga-SAOB'!BC179</f>
        <v>0</v>
      </c>
      <c r="S1413" s="1008">
        <f t="shared" si="507"/>
        <v>0.88425127178385177</v>
      </c>
      <c r="T1413" s="1008">
        <f t="shared" si="507"/>
        <v>0.75460442005718054</v>
      </c>
      <c r="U1413" s="1008">
        <f t="shared" si="507"/>
        <v>0.24531654058024238</v>
      </c>
      <c r="V1413" s="1008">
        <f t="shared" si="506"/>
        <v>0.65337530264173216</v>
      </c>
      <c r="W1413" s="254"/>
      <c r="X1413" s="520"/>
      <c r="Y1413" s="610" t="s">
        <v>598</v>
      </c>
      <c r="Z1413" s="241" t="s">
        <v>598</v>
      </c>
    </row>
    <row r="1414" spans="1:26" s="660" customFormat="1" ht="17.25" hidden="1" customHeight="1">
      <c r="A1414" s="246" t="s">
        <v>656</v>
      </c>
      <c r="B1414" s="1009" t="s">
        <v>657</v>
      </c>
      <c r="C1414" s="1428" t="s">
        <v>655</v>
      </c>
      <c r="D1414" s="1429"/>
      <c r="E1414" s="1430"/>
      <c r="F1414" s="659">
        <f>+F1398+F1413</f>
        <v>126919127</v>
      </c>
      <c r="G1414" s="659">
        <f>+G1398+G1413</f>
        <v>78703000</v>
      </c>
      <c r="H1414" s="659">
        <f>+H1398+H1413</f>
        <v>107230000</v>
      </c>
      <c r="I1414" s="659">
        <f t="shared" si="518"/>
        <v>312852127</v>
      </c>
      <c r="J1414" s="659">
        <f>+J1398+J1413</f>
        <v>117386978.14000002</v>
      </c>
      <c r="K1414" s="659">
        <f>+K1398+K1413</f>
        <v>61038910.00999999</v>
      </c>
      <c r="L1414" s="659">
        <f>+L1398+L1413</f>
        <v>86619459.020000011</v>
      </c>
      <c r="M1414" s="659">
        <f t="shared" si="519"/>
        <v>265045347.17000002</v>
      </c>
      <c r="N1414" s="659">
        <f t="shared" si="516"/>
        <v>9532148.8599999845</v>
      </c>
      <c r="O1414" s="659">
        <f t="shared" si="516"/>
        <v>17664089.99000001</v>
      </c>
      <c r="P1414" s="659">
        <f t="shared" si="516"/>
        <v>20610540.979999989</v>
      </c>
      <c r="Q1414" s="659">
        <f t="shared" si="517"/>
        <v>47806779.829999983</v>
      </c>
      <c r="S1414" s="1015">
        <f t="shared" si="507"/>
        <v>0.92489588381741716</v>
      </c>
      <c r="T1414" s="1015">
        <f t="shared" si="507"/>
        <v>0.77556014395893413</v>
      </c>
      <c r="U1414" s="1015">
        <f t="shared" si="507"/>
        <v>0.80779128061176919</v>
      </c>
      <c r="V1414" s="1015">
        <f t="shared" si="506"/>
        <v>0.84719049127641066</v>
      </c>
      <c r="W1414" s="254"/>
    </row>
    <row r="1415" spans="1:26" ht="11.25" hidden="1" customHeight="1">
      <c r="A1415" s="246" t="s">
        <v>656</v>
      </c>
      <c r="B1415" s="235" t="s">
        <v>657</v>
      </c>
      <c r="C1415" s="1016"/>
      <c r="D1415" s="386"/>
      <c r="E1415" s="461"/>
      <c r="F1415" s="103"/>
      <c r="G1415" s="103"/>
      <c r="H1415" s="103"/>
      <c r="I1415" s="103">
        <f t="shared" si="518"/>
        <v>0</v>
      </c>
      <c r="J1415" s="103"/>
      <c r="K1415" s="103"/>
      <c r="L1415" s="103"/>
      <c r="M1415" s="103">
        <f>SUM(J1415:L1415)</f>
        <v>0</v>
      </c>
      <c r="N1415" s="103">
        <f t="shared" si="516"/>
        <v>0</v>
      </c>
      <c r="O1415" s="103">
        <f t="shared" si="516"/>
        <v>0</v>
      </c>
      <c r="P1415" s="103">
        <f t="shared" si="516"/>
        <v>0</v>
      </c>
      <c r="Q1415" s="103">
        <f t="shared" si="517"/>
        <v>0</v>
      </c>
      <c r="R1415" s="236"/>
      <c r="S1415" s="730" t="str">
        <f t="shared" si="507"/>
        <v/>
      </c>
      <c r="T1415" s="730" t="str">
        <f t="shared" si="507"/>
        <v/>
      </c>
      <c r="U1415" s="730" t="str">
        <f t="shared" si="507"/>
        <v/>
      </c>
      <c r="V1415" s="730" t="str">
        <f t="shared" si="506"/>
        <v/>
      </c>
      <c r="W1415" s="254"/>
      <c r="X1415" s="520" t="s">
        <v>598</v>
      </c>
      <c r="Z1415" s="241" t="s">
        <v>598</v>
      </c>
    </row>
    <row r="1416" spans="1:26" s="275" customFormat="1" ht="11.25" hidden="1" customHeight="1">
      <c r="A1416" s="246" t="s">
        <v>656</v>
      </c>
      <c r="B1416" s="246" t="s">
        <v>657</v>
      </c>
      <c r="C1416" s="407" t="s">
        <v>849</v>
      </c>
      <c r="D1416" s="407"/>
      <c r="E1416" s="408"/>
      <c r="F1416" s="409"/>
      <c r="G1416" s="409"/>
      <c r="H1416" s="409"/>
      <c r="I1416" s="409">
        <f t="shared" si="518"/>
        <v>0</v>
      </c>
      <c r="J1416" s="409"/>
      <c r="K1416" s="409"/>
      <c r="L1416" s="409"/>
      <c r="M1416" s="409">
        <f t="shared" si="519"/>
        <v>0</v>
      </c>
      <c r="N1416" s="409">
        <f t="shared" si="516"/>
        <v>0</v>
      </c>
      <c r="O1416" s="409">
        <f t="shared" si="516"/>
        <v>0</v>
      </c>
      <c r="P1416" s="409">
        <f t="shared" si="516"/>
        <v>0</v>
      </c>
      <c r="Q1416" s="409">
        <f t="shared" si="517"/>
        <v>0</v>
      </c>
      <c r="R1416" s="522"/>
      <c r="S1416" s="254" t="str">
        <f t="shared" si="507"/>
        <v/>
      </c>
      <c r="T1416" s="254" t="str">
        <f t="shared" si="507"/>
        <v/>
      </c>
      <c r="U1416" s="254" t="str">
        <f t="shared" si="507"/>
        <v/>
      </c>
      <c r="V1416" s="1002" t="str">
        <f t="shared" si="506"/>
        <v/>
      </c>
      <c r="W1416" s="254"/>
      <c r="X1416" s="274" t="s">
        <v>598</v>
      </c>
      <c r="Y1416" s="663"/>
      <c r="Z1416" s="253"/>
    </row>
    <row r="1417" spans="1:26" ht="11.25" hidden="1" customHeight="1">
      <c r="A1417" s="246" t="s">
        <v>656</v>
      </c>
      <c r="B1417" s="235" t="s">
        <v>657</v>
      </c>
      <c r="C1417" s="461"/>
      <c r="D1417" s="664" t="s">
        <v>766</v>
      </c>
      <c r="E1417" s="447" t="s">
        <v>766</v>
      </c>
      <c r="F1417" s="103">
        <f>+F1367+F1386+F1401</f>
        <v>184434457</v>
      </c>
      <c r="G1417" s="103">
        <f>+G1367+G1386+G1401</f>
        <v>197645543</v>
      </c>
      <c r="H1417" s="103">
        <f>+H1367+H1386+H1401</f>
        <v>0</v>
      </c>
      <c r="I1417" s="103">
        <f t="shared" si="518"/>
        <v>382080000</v>
      </c>
      <c r="J1417" s="103">
        <f>+J1367+J1386+J1401</f>
        <v>168274061.09999999</v>
      </c>
      <c r="K1417" s="103">
        <f>+K1367+K1386+K1401</f>
        <v>173348412.53</v>
      </c>
      <c r="L1417" s="103">
        <f>+L1367+L1386+L1401</f>
        <v>0</v>
      </c>
      <c r="M1417" s="103">
        <f t="shared" si="519"/>
        <v>341622473.63</v>
      </c>
      <c r="N1417" s="103">
        <f t="shared" si="516"/>
        <v>16160395.900000006</v>
      </c>
      <c r="O1417" s="103">
        <f t="shared" si="516"/>
        <v>24297130.469999999</v>
      </c>
      <c r="P1417" s="103">
        <f t="shared" si="516"/>
        <v>0</v>
      </c>
      <c r="Q1417" s="103">
        <f t="shared" si="517"/>
        <v>40457526.370000005</v>
      </c>
      <c r="R1417" s="236"/>
      <c r="S1417" s="730">
        <f t="shared" si="507"/>
        <v>0.91237865113241823</v>
      </c>
      <c r="T1417" s="730">
        <f t="shared" si="507"/>
        <v>0.87706714706943834</v>
      </c>
      <c r="U1417" s="730" t="str">
        <f t="shared" si="507"/>
        <v/>
      </c>
      <c r="V1417" s="730">
        <f t="shared" si="506"/>
        <v>0.89411242051402851</v>
      </c>
      <c r="W1417" s="254"/>
      <c r="X1417" s="237" t="s">
        <v>598</v>
      </c>
    </row>
    <row r="1418" spans="1:26" ht="11.25" hidden="1" customHeight="1">
      <c r="A1418" s="246" t="s">
        <v>656</v>
      </c>
      <c r="B1418" s="235" t="s">
        <v>657</v>
      </c>
      <c r="C1418" s="728"/>
      <c r="D1418" s="394" t="s">
        <v>50</v>
      </c>
      <c r="E1418" s="447" t="s">
        <v>50</v>
      </c>
      <c r="F1418" s="103">
        <f>+F1371+F1387+F1402</f>
        <v>0</v>
      </c>
      <c r="G1418" s="103">
        <f>+G1371+G1387+G1402</f>
        <v>151091069</v>
      </c>
      <c r="H1418" s="103">
        <f>+H1371+H1387+H1402</f>
        <v>115773000</v>
      </c>
      <c r="I1418" s="103">
        <f>SUM(F1418:H1418)</f>
        <v>266864069</v>
      </c>
      <c r="J1418" s="103">
        <f>+J1371+J1387+J1402</f>
        <v>0</v>
      </c>
      <c r="K1418" s="103">
        <f>+K1371+K1387+K1402</f>
        <v>114243668.54000001</v>
      </c>
      <c r="L1418" s="103">
        <f>+L1371+L1387+L1402</f>
        <v>95159160.830000013</v>
      </c>
      <c r="M1418" s="103">
        <f>SUM(J1418:L1418)</f>
        <v>209402829.37</v>
      </c>
      <c r="N1418" s="103">
        <f t="shared" si="516"/>
        <v>0</v>
      </c>
      <c r="O1418" s="103">
        <f t="shared" si="516"/>
        <v>36847400.459999993</v>
      </c>
      <c r="P1418" s="103">
        <f t="shared" si="516"/>
        <v>20613839.169999987</v>
      </c>
      <c r="Q1418" s="103">
        <f t="shared" si="517"/>
        <v>57461239.62999998</v>
      </c>
      <c r="R1418" s="236"/>
      <c r="S1418" s="730" t="str">
        <f t="shared" si="507"/>
        <v/>
      </c>
      <c r="T1418" s="730">
        <f t="shared" si="507"/>
        <v>0.75612456312689147</v>
      </c>
      <c r="U1418" s="730">
        <f t="shared" si="507"/>
        <v>0.8219460567662582</v>
      </c>
      <c r="V1418" s="730">
        <f t="shared" si="506"/>
        <v>0.78467974409098895</v>
      </c>
      <c r="W1418" s="254"/>
      <c r="X1418" s="237" t="s">
        <v>598</v>
      </c>
    </row>
    <row r="1419" spans="1:26" s="256" customFormat="1" ht="11.25" hidden="1" customHeight="1">
      <c r="A1419" s="246" t="s">
        <v>656</v>
      </c>
      <c r="B1419" s="246" t="s">
        <v>657</v>
      </c>
      <c r="C1419" s="389"/>
      <c r="D1419" s="389" t="s">
        <v>98</v>
      </c>
      <c r="E1419" s="390" t="s">
        <v>767</v>
      </c>
      <c r="F1419" s="391">
        <f>+F1417+F1418</f>
        <v>184434457</v>
      </c>
      <c r="G1419" s="391">
        <f t="shared" ref="G1419:M1419" si="524">+G1417+G1418</f>
        <v>348736612</v>
      </c>
      <c r="H1419" s="391">
        <f t="shared" si="524"/>
        <v>115773000</v>
      </c>
      <c r="I1419" s="391">
        <f t="shared" si="524"/>
        <v>648944069</v>
      </c>
      <c r="J1419" s="391">
        <f t="shared" si="524"/>
        <v>168274061.09999999</v>
      </c>
      <c r="K1419" s="391">
        <f t="shared" si="524"/>
        <v>287592081.06999999</v>
      </c>
      <c r="L1419" s="391">
        <f t="shared" si="524"/>
        <v>95159160.830000013</v>
      </c>
      <c r="M1419" s="391">
        <f t="shared" si="524"/>
        <v>551025303</v>
      </c>
      <c r="N1419" s="391">
        <f t="shared" si="516"/>
        <v>16160395.900000006</v>
      </c>
      <c r="O1419" s="391">
        <f t="shared" si="516"/>
        <v>61144530.930000007</v>
      </c>
      <c r="P1419" s="391">
        <f t="shared" si="516"/>
        <v>20613839.169999987</v>
      </c>
      <c r="Q1419" s="391">
        <f t="shared" si="517"/>
        <v>97918766</v>
      </c>
      <c r="R1419" s="665"/>
      <c r="S1419" s="254">
        <f t="shared" si="507"/>
        <v>0.91237865113241823</v>
      </c>
      <c r="T1419" s="254">
        <f t="shared" si="507"/>
        <v>0.82466844940846074</v>
      </c>
      <c r="U1419" s="254">
        <f t="shared" si="507"/>
        <v>0.8219460567662582</v>
      </c>
      <c r="V1419" s="297">
        <f t="shared" si="506"/>
        <v>0.84911062343032218</v>
      </c>
      <c r="W1419" s="254"/>
      <c r="X1419" s="271" t="s">
        <v>598</v>
      </c>
      <c r="Y1419" s="628"/>
      <c r="Z1419" s="255"/>
    </row>
    <row r="1420" spans="1:26" ht="11.25" hidden="1" customHeight="1">
      <c r="A1420" s="246" t="s">
        <v>656</v>
      </c>
      <c r="B1420" s="235" t="s">
        <v>657</v>
      </c>
      <c r="C1420" s="410"/>
      <c r="D1420" s="396"/>
      <c r="E1420" s="806"/>
      <c r="F1420" s="807"/>
      <c r="G1420" s="807"/>
      <c r="H1420" s="807"/>
      <c r="I1420" s="807"/>
      <c r="J1420" s="807"/>
      <c r="K1420" s="807"/>
      <c r="L1420" s="807"/>
      <c r="M1420" s="807"/>
      <c r="N1420" s="807">
        <f t="shared" si="516"/>
        <v>0</v>
      </c>
      <c r="O1420" s="807">
        <f t="shared" si="516"/>
        <v>0</v>
      </c>
      <c r="P1420" s="807">
        <f t="shared" si="516"/>
        <v>0</v>
      </c>
      <c r="Q1420" s="807">
        <f t="shared" si="517"/>
        <v>0</v>
      </c>
      <c r="R1420" s="276"/>
      <c r="S1420" s="730" t="str">
        <f t="shared" si="507"/>
        <v/>
      </c>
      <c r="T1420" s="730" t="str">
        <f t="shared" si="507"/>
        <v/>
      </c>
      <c r="U1420" s="730" t="str">
        <f t="shared" si="507"/>
        <v/>
      </c>
      <c r="V1420" s="730" t="str">
        <f t="shared" si="506"/>
        <v/>
      </c>
      <c r="W1420" s="254"/>
      <c r="X1420" s="237" t="s">
        <v>598</v>
      </c>
    </row>
    <row r="1421" spans="1:26" s="256" customFormat="1" ht="11.25" hidden="1" customHeight="1">
      <c r="A1421" s="246" t="s">
        <v>656</v>
      </c>
      <c r="B1421" s="246" t="s">
        <v>657</v>
      </c>
      <c r="C1421" s="389"/>
      <c r="D1421" s="389" t="s">
        <v>98</v>
      </c>
      <c r="E1421" s="390" t="s">
        <v>99</v>
      </c>
      <c r="F1421" s="391">
        <f>+F1422</f>
        <v>16075000</v>
      </c>
      <c r="G1421" s="391">
        <f t="shared" ref="G1421:M1421" si="525">+G1422</f>
        <v>0</v>
      </c>
      <c r="H1421" s="391">
        <f t="shared" si="525"/>
        <v>0</v>
      </c>
      <c r="I1421" s="391">
        <f t="shared" si="525"/>
        <v>16075000</v>
      </c>
      <c r="J1421" s="391">
        <f t="shared" si="525"/>
        <v>13365819.6</v>
      </c>
      <c r="K1421" s="391">
        <f t="shared" si="525"/>
        <v>0</v>
      </c>
      <c r="L1421" s="391">
        <f t="shared" si="525"/>
        <v>0</v>
      </c>
      <c r="M1421" s="391">
        <f t="shared" si="525"/>
        <v>13365819.6</v>
      </c>
      <c r="N1421" s="391">
        <f t="shared" si="516"/>
        <v>2709180.4000000004</v>
      </c>
      <c r="O1421" s="391">
        <f t="shared" si="516"/>
        <v>0</v>
      </c>
      <c r="P1421" s="391">
        <f t="shared" si="516"/>
        <v>0</v>
      </c>
      <c r="Q1421" s="391">
        <f t="shared" si="517"/>
        <v>2709180.4000000004</v>
      </c>
      <c r="R1421" s="522"/>
      <c r="S1421" s="254">
        <f t="shared" si="507"/>
        <v>0.83146622706065321</v>
      </c>
      <c r="T1421" s="254" t="str">
        <f t="shared" si="507"/>
        <v/>
      </c>
      <c r="U1421" s="254" t="str">
        <f t="shared" si="507"/>
        <v/>
      </c>
      <c r="V1421" s="297">
        <f t="shared" si="506"/>
        <v>0.83146622706065321</v>
      </c>
      <c r="W1421" s="254"/>
      <c r="X1421" s="271" t="s">
        <v>598</v>
      </c>
      <c r="Y1421" s="628"/>
      <c r="Z1421" s="255"/>
    </row>
    <row r="1422" spans="1:26" ht="11.25" hidden="1" customHeight="1">
      <c r="A1422" s="246" t="s">
        <v>656</v>
      </c>
      <c r="B1422" s="235" t="s">
        <v>657</v>
      </c>
      <c r="C1422" s="728"/>
      <c r="D1422" s="394" t="s">
        <v>286</v>
      </c>
      <c r="E1422" s="729" t="s">
        <v>286</v>
      </c>
      <c r="F1422" s="103">
        <f>+F1391+F1406+F1375</f>
        <v>16075000</v>
      </c>
      <c r="G1422" s="103">
        <f>+G1391+G1406+G1375</f>
        <v>0</v>
      </c>
      <c r="H1422" s="103">
        <f>+H1391+H1406+H1375</f>
        <v>0</v>
      </c>
      <c r="I1422" s="103">
        <f t="shared" si="518"/>
        <v>16075000</v>
      </c>
      <c r="J1422" s="103">
        <f>+J1391+J1406+J1375</f>
        <v>13365819.6</v>
      </c>
      <c r="K1422" s="103">
        <f>+K1391+K1406+K1375</f>
        <v>0</v>
      </c>
      <c r="L1422" s="103">
        <f>+L1391+L1406+L1375</f>
        <v>0</v>
      </c>
      <c r="M1422" s="103">
        <f t="shared" si="519"/>
        <v>13365819.6</v>
      </c>
      <c r="N1422" s="103">
        <f t="shared" si="516"/>
        <v>2709180.4000000004</v>
      </c>
      <c r="O1422" s="103">
        <f t="shared" si="516"/>
        <v>0</v>
      </c>
      <c r="P1422" s="103">
        <f t="shared" si="516"/>
        <v>0</v>
      </c>
      <c r="Q1422" s="103">
        <f t="shared" si="517"/>
        <v>2709180.4000000004</v>
      </c>
      <c r="R1422" s="236"/>
      <c r="S1422" s="730">
        <f t="shared" si="507"/>
        <v>0.83146622706065321</v>
      </c>
      <c r="T1422" s="730" t="str">
        <f t="shared" si="507"/>
        <v/>
      </c>
      <c r="U1422" s="730" t="str">
        <f t="shared" si="507"/>
        <v/>
      </c>
      <c r="V1422" s="730">
        <f t="shared" si="506"/>
        <v>0.83146622706065321</v>
      </c>
      <c r="W1422" s="254"/>
      <c r="X1422" s="237" t="s">
        <v>598</v>
      </c>
    </row>
    <row r="1423" spans="1:26" s="272" customFormat="1" ht="11.25" hidden="1" customHeight="1">
      <c r="A1423" s="246" t="s">
        <v>656</v>
      </c>
      <c r="B1423" s="246" t="s">
        <v>657</v>
      </c>
      <c r="C1423" s="389"/>
      <c r="D1423" s="389" t="s">
        <v>98</v>
      </c>
      <c r="E1423" s="390" t="s">
        <v>100</v>
      </c>
      <c r="F1423" s="391">
        <f t="shared" ref="F1423:M1423" si="526">SUM(F1424:F1428)</f>
        <v>5913127</v>
      </c>
      <c r="G1423" s="391">
        <f t="shared" si="526"/>
        <v>4600000</v>
      </c>
      <c r="H1423" s="391">
        <f t="shared" si="526"/>
        <v>0</v>
      </c>
      <c r="I1423" s="391">
        <f t="shared" si="526"/>
        <v>10513127</v>
      </c>
      <c r="J1423" s="391">
        <f t="shared" si="526"/>
        <v>5878627</v>
      </c>
      <c r="K1423" s="391">
        <f t="shared" si="526"/>
        <v>1631800</v>
      </c>
      <c r="L1423" s="391">
        <f t="shared" si="526"/>
        <v>0</v>
      </c>
      <c r="M1423" s="391">
        <f t="shared" si="526"/>
        <v>7510427</v>
      </c>
      <c r="N1423" s="391">
        <f t="shared" si="516"/>
        <v>34500</v>
      </c>
      <c r="O1423" s="391">
        <f t="shared" si="516"/>
        <v>2968200</v>
      </c>
      <c r="P1423" s="391">
        <f t="shared" si="516"/>
        <v>0</v>
      </c>
      <c r="Q1423" s="391">
        <f t="shared" si="517"/>
        <v>3002700</v>
      </c>
      <c r="R1423" s="94"/>
      <c r="S1423" s="254">
        <f t="shared" si="507"/>
        <v>0.9941655235884499</v>
      </c>
      <c r="T1423" s="254">
        <f t="shared" si="507"/>
        <v>0.35473913043478261</v>
      </c>
      <c r="U1423" s="254" t="str">
        <f t="shared" si="507"/>
        <v/>
      </c>
      <c r="V1423" s="297">
        <f t="shared" si="506"/>
        <v>0.7143856437765852</v>
      </c>
      <c r="W1423" s="254"/>
      <c r="X1423" s="527" t="s">
        <v>598</v>
      </c>
      <c r="Y1423" s="629"/>
      <c r="Z1423" s="277"/>
    </row>
    <row r="1424" spans="1:26" ht="11.25" hidden="1" customHeight="1">
      <c r="A1424" s="246" t="s">
        <v>656</v>
      </c>
      <c r="B1424" s="235" t="s">
        <v>657</v>
      </c>
      <c r="C1424" s="728"/>
      <c r="D1424" s="394" t="s">
        <v>288</v>
      </c>
      <c r="E1424" s="729" t="s">
        <v>288</v>
      </c>
      <c r="F1424" s="103">
        <f t="shared" ref="F1424:H1425" si="527">+F1393+F1408+F1377</f>
        <v>0</v>
      </c>
      <c r="G1424" s="103">
        <f t="shared" si="527"/>
        <v>0</v>
      </c>
      <c r="H1424" s="103">
        <f t="shared" si="527"/>
        <v>0</v>
      </c>
      <c r="I1424" s="103">
        <f t="shared" si="518"/>
        <v>0</v>
      </c>
      <c r="J1424" s="103">
        <f t="shared" ref="J1424:L1425" si="528">+J1393+J1408+J1377</f>
        <v>0</v>
      </c>
      <c r="K1424" s="103">
        <f t="shared" si="528"/>
        <v>0</v>
      </c>
      <c r="L1424" s="103">
        <f t="shared" si="528"/>
        <v>0</v>
      </c>
      <c r="M1424" s="103">
        <f t="shared" si="519"/>
        <v>0</v>
      </c>
      <c r="N1424" s="103">
        <f t="shared" si="516"/>
        <v>0</v>
      </c>
      <c r="O1424" s="103">
        <f t="shared" si="516"/>
        <v>0</v>
      </c>
      <c r="P1424" s="103">
        <f t="shared" si="516"/>
        <v>0</v>
      </c>
      <c r="Q1424" s="103">
        <f t="shared" si="517"/>
        <v>0</v>
      </c>
      <c r="R1424" s="236"/>
      <c r="S1424" s="730" t="str">
        <f t="shared" si="507"/>
        <v/>
      </c>
      <c r="T1424" s="730" t="str">
        <f t="shared" si="507"/>
        <v/>
      </c>
      <c r="U1424" s="730" t="str">
        <f t="shared" si="507"/>
        <v/>
      </c>
      <c r="V1424" s="730" t="str">
        <f t="shared" si="506"/>
        <v/>
      </c>
      <c r="W1424" s="254"/>
      <c r="X1424" s="237" t="s">
        <v>598</v>
      </c>
    </row>
    <row r="1425" spans="1:26" ht="11.25" hidden="1" customHeight="1">
      <c r="A1425" s="246" t="s">
        <v>656</v>
      </c>
      <c r="B1425" s="235" t="s">
        <v>657</v>
      </c>
      <c r="C1425" s="728"/>
      <c r="D1425" s="394" t="s">
        <v>761</v>
      </c>
      <c r="E1425" s="729" t="s">
        <v>761</v>
      </c>
      <c r="F1425" s="103">
        <f t="shared" si="527"/>
        <v>4165000</v>
      </c>
      <c r="G1425" s="103">
        <f t="shared" si="527"/>
        <v>0</v>
      </c>
      <c r="H1425" s="103">
        <f t="shared" si="527"/>
        <v>0</v>
      </c>
      <c r="I1425" s="103">
        <f>SUM(F1425:H1425)</f>
        <v>4165000</v>
      </c>
      <c r="J1425" s="103">
        <f t="shared" si="528"/>
        <v>4130500</v>
      </c>
      <c r="K1425" s="103">
        <f t="shared" si="528"/>
        <v>0</v>
      </c>
      <c r="L1425" s="103">
        <f t="shared" si="528"/>
        <v>0</v>
      </c>
      <c r="M1425" s="103">
        <f>SUM(J1425:L1425)</f>
        <v>4130500</v>
      </c>
      <c r="N1425" s="103">
        <f>+F1425-J1425</f>
        <v>34500</v>
      </c>
      <c r="O1425" s="103">
        <f>+G1425-K1425</f>
        <v>0</v>
      </c>
      <c r="P1425" s="103">
        <f>+H1425-L1425</f>
        <v>0</v>
      </c>
      <c r="Q1425" s="103">
        <f>SUM(N1425:P1425)</f>
        <v>34500</v>
      </c>
      <c r="R1425" s="236"/>
      <c r="S1425" s="730">
        <f t="shared" si="507"/>
        <v>0.99171668667466983</v>
      </c>
      <c r="T1425" s="730" t="str">
        <f t="shared" si="507"/>
        <v/>
      </c>
      <c r="U1425" s="730" t="str">
        <f t="shared" si="507"/>
        <v/>
      </c>
      <c r="V1425" s="730">
        <f t="shared" si="506"/>
        <v>0.99171668667466983</v>
      </c>
      <c r="W1425" s="254"/>
      <c r="X1425" s="237" t="s">
        <v>598</v>
      </c>
    </row>
    <row r="1426" spans="1:26" ht="11.25" hidden="1" customHeight="1">
      <c r="A1426" s="246" t="s">
        <v>656</v>
      </c>
      <c r="B1426" s="235" t="s">
        <v>657</v>
      </c>
      <c r="C1426" s="410"/>
      <c r="D1426" s="386"/>
      <c r="E1426" s="461"/>
      <c r="F1426" s="104"/>
      <c r="G1426" s="104"/>
      <c r="H1426" s="104"/>
      <c r="I1426" s="103"/>
      <c r="J1426" s="104"/>
      <c r="K1426" s="104"/>
      <c r="L1426" s="104"/>
      <c r="M1426" s="103"/>
      <c r="N1426" s="103"/>
      <c r="O1426" s="103"/>
      <c r="P1426" s="103"/>
      <c r="Q1426" s="103"/>
      <c r="R1426" s="236"/>
      <c r="S1426" s="730" t="str">
        <f t="shared" si="507"/>
        <v/>
      </c>
      <c r="T1426" s="730" t="str">
        <f t="shared" si="507"/>
        <v/>
      </c>
      <c r="U1426" s="730" t="str">
        <f t="shared" si="507"/>
        <v/>
      </c>
      <c r="V1426" s="730" t="str">
        <f t="shared" si="506"/>
        <v/>
      </c>
      <c r="W1426" s="254"/>
      <c r="X1426" s="237" t="s">
        <v>598</v>
      </c>
    </row>
    <row r="1427" spans="1:26" ht="11.25" hidden="1" customHeight="1">
      <c r="A1427" s="246" t="s">
        <v>656</v>
      </c>
      <c r="B1427" s="235" t="s">
        <v>657</v>
      </c>
      <c r="C1427" s="728"/>
      <c r="D1427" s="394" t="s">
        <v>289</v>
      </c>
      <c r="E1427" s="729" t="s">
        <v>289</v>
      </c>
      <c r="F1427" s="103">
        <f t="shared" ref="F1427:H1428" si="529">+F1396+F1411+F1380</f>
        <v>1748127</v>
      </c>
      <c r="G1427" s="103">
        <f t="shared" si="529"/>
        <v>0</v>
      </c>
      <c r="H1427" s="103">
        <f t="shared" si="529"/>
        <v>0</v>
      </c>
      <c r="I1427" s="103">
        <f t="shared" si="518"/>
        <v>1748127</v>
      </c>
      <c r="J1427" s="103">
        <f t="shared" ref="J1427:L1428" si="530">+J1396+J1411+J1380</f>
        <v>1748127</v>
      </c>
      <c r="K1427" s="103">
        <f t="shared" si="530"/>
        <v>0</v>
      </c>
      <c r="L1427" s="103">
        <f t="shared" si="530"/>
        <v>0</v>
      </c>
      <c r="M1427" s="103">
        <f t="shared" si="519"/>
        <v>1748127</v>
      </c>
      <c r="N1427" s="103">
        <f t="shared" si="516"/>
        <v>0</v>
      </c>
      <c r="O1427" s="103">
        <f t="shared" si="516"/>
        <v>0</v>
      </c>
      <c r="P1427" s="103">
        <f t="shared" si="516"/>
        <v>0</v>
      </c>
      <c r="Q1427" s="103">
        <f t="shared" si="517"/>
        <v>0</v>
      </c>
      <c r="R1427" s="236"/>
      <c r="S1427" s="730">
        <f t="shared" si="507"/>
        <v>1</v>
      </c>
      <c r="T1427" s="730" t="str">
        <f t="shared" si="507"/>
        <v/>
      </c>
      <c r="U1427" s="730" t="str">
        <f t="shared" si="507"/>
        <v/>
      </c>
      <c r="V1427" s="730">
        <f t="shared" si="506"/>
        <v>1</v>
      </c>
      <c r="W1427" s="254"/>
      <c r="X1427" s="237" t="s">
        <v>598</v>
      </c>
    </row>
    <row r="1428" spans="1:26" ht="11.25" hidden="1" customHeight="1">
      <c r="A1428" s="246" t="s">
        <v>656</v>
      </c>
      <c r="B1428" s="235" t="s">
        <v>657</v>
      </c>
      <c r="C1428" s="728"/>
      <c r="D1428" s="394" t="s">
        <v>290</v>
      </c>
      <c r="E1428" s="729" t="s">
        <v>290</v>
      </c>
      <c r="F1428" s="103">
        <f t="shared" si="529"/>
        <v>0</v>
      </c>
      <c r="G1428" s="103">
        <f t="shared" si="529"/>
        <v>4600000</v>
      </c>
      <c r="H1428" s="103">
        <f t="shared" si="529"/>
        <v>0</v>
      </c>
      <c r="I1428" s="103">
        <f t="shared" si="518"/>
        <v>4600000</v>
      </c>
      <c r="J1428" s="103">
        <f t="shared" si="530"/>
        <v>0</v>
      </c>
      <c r="K1428" s="103">
        <f t="shared" si="530"/>
        <v>1631800</v>
      </c>
      <c r="L1428" s="103">
        <f t="shared" si="530"/>
        <v>0</v>
      </c>
      <c r="M1428" s="103">
        <f t="shared" si="519"/>
        <v>1631800</v>
      </c>
      <c r="N1428" s="103">
        <f t="shared" si="516"/>
        <v>0</v>
      </c>
      <c r="O1428" s="103">
        <f t="shared" si="516"/>
        <v>2968200</v>
      </c>
      <c r="P1428" s="103">
        <f t="shared" si="516"/>
        <v>0</v>
      </c>
      <c r="Q1428" s="103">
        <f t="shared" si="517"/>
        <v>2968200</v>
      </c>
      <c r="R1428" s="236"/>
      <c r="S1428" s="730" t="str">
        <f t="shared" si="507"/>
        <v/>
      </c>
      <c r="T1428" s="730">
        <f t="shared" si="507"/>
        <v>0.35473913043478261</v>
      </c>
      <c r="U1428" s="730" t="str">
        <f t="shared" si="507"/>
        <v/>
      </c>
      <c r="V1428" s="730">
        <f t="shared" si="506"/>
        <v>0.35473913043478261</v>
      </c>
      <c r="W1428" s="254"/>
      <c r="X1428" s="237" t="s">
        <v>598</v>
      </c>
    </row>
    <row r="1429" spans="1:26" s="266" customFormat="1" ht="26.25" customHeight="1">
      <c r="A1429" s="246" t="s">
        <v>656</v>
      </c>
      <c r="B1429" s="1009" t="s">
        <v>657</v>
      </c>
      <c r="C1429" s="1431" t="s">
        <v>658</v>
      </c>
      <c r="D1429" s="1432"/>
      <c r="E1429" s="1433"/>
      <c r="F1429" s="666">
        <f>+F1423+F1421+F1419</f>
        <v>206422584</v>
      </c>
      <c r="G1429" s="666">
        <f t="shared" ref="G1429:M1429" si="531">+G1423+G1421+G1419</f>
        <v>353336612</v>
      </c>
      <c r="H1429" s="666">
        <f t="shared" si="531"/>
        <v>115773000</v>
      </c>
      <c r="I1429" s="666">
        <f t="shared" si="531"/>
        <v>675532196</v>
      </c>
      <c r="J1429" s="666">
        <f t="shared" si="531"/>
        <v>187518507.69999999</v>
      </c>
      <c r="K1429" s="666">
        <f t="shared" si="531"/>
        <v>289223881.06999999</v>
      </c>
      <c r="L1429" s="666">
        <f t="shared" si="531"/>
        <v>95159160.830000013</v>
      </c>
      <c r="M1429" s="666">
        <f t="shared" si="531"/>
        <v>571901549.60000002</v>
      </c>
      <c r="N1429" s="666">
        <f t="shared" si="516"/>
        <v>18904076.300000012</v>
      </c>
      <c r="O1429" s="666">
        <f t="shared" si="516"/>
        <v>64112730.930000007</v>
      </c>
      <c r="P1429" s="666">
        <f t="shared" si="516"/>
        <v>20613839.169999987</v>
      </c>
      <c r="Q1429" s="666">
        <f t="shared" si="517"/>
        <v>103630646.40000001</v>
      </c>
      <c r="R1429" s="667">
        <f>+Q1429-'[3]caraga-SAOB'!BE179</f>
        <v>0</v>
      </c>
      <c r="S1429" s="1010">
        <f t="shared" si="507"/>
        <v>0.90842050354335258</v>
      </c>
      <c r="T1429" s="1010">
        <f t="shared" si="507"/>
        <v>0.81855055844028979</v>
      </c>
      <c r="U1429" s="1010">
        <f t="shared" si="507"/>
        <v>0.8219460567662582</v>
      </c>
      <c r="V1429" s="1010">
        <f t="shared" si="506"/>
        <v>0.84659406759052536</v>
      </c>
      <c r="W1429" s="254"/>
      <c r="X1429" s="237" t="s">
        <v>598</v>
      </c>
      <c r="Y1429" s="610" t="s">
        <v>598</v>
      </c>
      <c r="Z1429" s="241" t="s">
        <v>598</v>
      </c>
    </row>
    <row r="1430" spans="1:26" ht="11.25" customHeight="1">
      <c r="A1430" s="246" t="s">
        <v>656</v>
      </c>
      <c r="B1430" s="235" t="s">
        <v>657</v>
      </c>
      <c r="C1430" s="1016"/>
      <c r="D1430" s="386"/>
      <c r="E1430" s="461"/>
      <c r="F1430" s="103"/>
      <c r="G1430" s="103"/>
      <c r="H1430" s="103"/>
      <c r="I1430" s="103">
        <f t="shared" si="518"/>
        <v>0</v>
      </c>
      <c r="J1430" s="103"/>
      <c r="K1430" s="103"/>
      <c r="L1430" s="103"/>
      <c r="M1430" s="103">
        <f t="shared" si="519"/>
        <v>0</v>
      </c>
      <c r="N1430" s="103">
        <f t="shared" si="516"/>
        <v>0</v>
      </c>
      <c r="O1430" s="103">
        <f t="shared" si="516"/>
        <v>0</v>
      </c>
      <c r="P1430" s="103">
        <f t="shared" si="516"/>
        <v>0</v>
      </c>
      <c r="Q1430" s="103">
        <f t="shared" si="517"/>
        <v>0</v>
      </c>
      <c r="S1430" s="730" t="str">
        <f t="shared" si="507"/>
        <v/>
      </c>
      <c r="T1430" s="730" t="str">
        <f t="shared" si="507"/>
        <v/>
      </c>
      <c r="U1430" s="730" t="str">
        <f t="shared" si="507"/>
        <v/>
      </c>
      <c r="V1430" s="730" t="str">
        <f t="shared" si="506"/>
        <v/>
      </c>
      <c r="W1430" s="254"/>
      <c r="Y1430" s="610" t="s">
        <v>598</v>
      </c>
      <c r="Z1430" s="241" t="s">
        <v>598</v>
      </c>
    </row>
    <row r="1431" spans="1:26" s="689" customFormat="1" ht="11.25" customHeight="1">
      <c r="A1431" s="246" t="s">
        <v>69</v>
      </c>
      <c r="B1431" s="246" t="s">
        <v>69</v>
      </c>
      <c r="C1431" s="684" t="s">
        <v>69</v>
      </c>
      <c r="D1431" s="685"/>
      <c r="E1431" s="686"/>
      <c r="F1431" s="687"/>
      <c r="G1431" s="687"/>
      <c r="H1431" s="687"/>
      <c r="I1431" s="687">
        <f t="shared" si="518"/>
        <v>0</v>
      </c>
      <c r="J1431" s="687"/>
      <c r="K1431" s="687"/>
      <c r="L1431" s="687"/>
      <c r="M1431" s="687">
        <f t="shared" si="519"/>
        <v>0</v>
      </c>
      <c r="N1431" s="687">
        <f t="shared" si="516"/>
        <v>0</v>
      </c>
      <c r="O1431" s="687">
        <f t="shared" si="516"/>
        <v>0</v>
      </c>
      <c r="P1431" s="687">
        <f t="shared" si="516"/>
        <v>0</v>
      </c>
      <c r="Q1431" s="687">
        <f t="shared" si="517"/>
        <v>0</v>
      </c>
      <c r="R1431" s="102"/>
      <c r="S1431" s="254" t="str">
        <f t="shared" si="507"/>
        <v/>
      </c>
      <c r="T1431" s="254" t="str">
        <f t="shared" si="507"/>
        <v/>
      </c>
      <c r="U1431" s="254" t="str">
        <f t="shared" si="507"/>
        <v/>
      </c>
      <c r="V1431" s="254" t="str">
        <f t="shared" si="507"/>
        <v/>
      </c>
      <c r="W1431" s="688"/>
      <c r="X1431" s="1381"/>
      <c r="Y1431" s="629" t="s">
        <v>598</v>
      </c>
      <c r="Z1431" s="261" t="s">
        <v>598</v>
      </c>
    </row>
    <row r="1432" spans="1:26" s="675" customFormat="1" ht="11.25" customHeight="1">
      <c r="A1432" s="528" t="s">
        <v>69</v>
      </c>
      <c r="B1432" s="528" t="s">
        <v>236</v>
      </c>
      <c r="C1432" s="407" t="s">
        <v>98</v>
      </c>
      <c r="D1432" s="655" t="s">
        <v>105</v>
      </c>
      <c r="E1432" s="408" t="s">
        <v>850</v>
      </c>
      <c r="F1432" s="673"/>
      <c r="G1432" s="673"/>
      <c r="H1432" s="673"/>
      <c r="I1432" s="674"/>
      <c r="J1432" s="673"/>
      <c r="K1432" s="673"/>
      <c r="L1432" s="673"/>
      <c r="M1432" s="674">
        <f t="shared" si="519"/>
        <v>0</v>
      </c>
      <c r="N1432" s="674">
        <f t="shared" si="516"/>
        <v>0</v>
      </c>
      <c r="O1432" s="674">
        <f t="shared" si="516"/>
        <v>0</v>
      </c>
      <c r="P1432" s="674">
        <f t="shared" si="516"/>
        <v>0</v>
      </c>
      <c r="Q1432" s="674">
        <f t="shared" si="517"/>
        <v>0</v>
      </c>
      <c r="R1432" s="101"/>
      <c r="S1432" s="254" t="str">
        <f t="shared" ref="S1432:V1495" si="532">IF(F1432=0,"",J1432/F1432)</f>
        <v/>
      </c>
      <c r="T1432" s="254" t="str">
        <f t="shared" si="532"/>
        <v/>
      </c>
      <c r="U1432" s="254" t="str">
        <f t="shared" si="532"/>
        <v/>
      </c>
      <c r="V1432" s="254" t="str">
        <f t="shared" si="532"/>
        <v/>
      </c>
      <c r="W1432" s="531"/>
      <c r="Y1432" s="272" t="s">
        <v>598</v>
      </c>
      <c r="Z1432" s="260" t="s">
        <v>598</v>
      </c>
    </row>
    <row r="1433" spans="1:26" ht="11.25" customHeight="1">
      <c r="A1433" s="528" t="s">
        <v>69</v>
      </c>
      <c r="B1433" s="1013" t="s">
        <v>236</v>
      </c>
      <c r="C1433" s="461"/>
      <c r="D1433" s="645" t="s">
        <v>766</v>
      </c>
      <c r="E1433" s="447" t="s">
        <v>766</v>
      </c>
      <c r="F1433" s="104">
        <f>+'[3]special hospitals1'!B387</f>
        <v>372046555</v>
      </c>
      <c r="G1433" s="104">
        <f>+'[3]special hospitals1'!C387</f>
        <v>93219445</v>
      </c>
      <c r="H1433" s="104">
        <f>+'[3]special hospitals1'!D387</f>
        <v>0</v>
      </c>
      <c r="I1433" s="103">
        <f t="shared" si="518"/>
        <v>465266000</v>
      </c>
      <c r="J1433" s="104">
        <f>+'[3]special hospitals1'!F387</f>
        <v>338318736.92000002</v>
      </c>
      <c r="K1433" s="104">
        <f>+'[3]special hospitals1'!G387</f>
        <v>69571794.229999989</v>
      </c>
      <c r="L1433" s="104">
        <f>+'[3]special hospitals1'!H387</f>
        <v>0</v>
      </c>
      <c r="M1433" s="103">
        <f t="shared" si="519"/>
        <v>407890531.14999998</v>
      </c>
      <c r="N1433" s="103">
        <f t="shared" si="516"/>
        <v>33727818.079999983</v>
      </c>
      <c r="O1433" s="103">
        <f t="shared" si="516"/>
        <v>23647650.770000011</v>
      </c>
      <c r="P1433" s="103">
        <f t="shared" si="516"/>
        <v>0</v>
      </c>
      <c r="Q1433" s="103">
        <f t="shared" si="517"/>
        <v>57375468.849999994</v>
      </c>
      <c r="S1433" s="730">
        <f t="shared" si="532"/>
        <v>0.90934516762290685</v>
      </c>
      <c r="T1433" s="730">
        <f t="shared" si="532"/>
        <v>0.74632276806625475</v>
      </c>
      <c r="U1433" s="730" t="str">
        <f t="shared" si="532"/>
        <v/>
      </c>
      <c r="V1433" s="730">
        <f t="shared" si="532"/>
        <v>0.8766824378957413</v>
      </c>
      <c r="W1433" s="531"/>
      <c r="X1433" s="236"/>
      <c r="Y1433" s="236" t="s">
        <v>688</v>
      </c>
      <c r="Z1433" s="236"/>
    </row>
    <row r="1434" spans="1:26" ht="11.25" customHeight="1">
      <c r="A1434" s="528" t="s">
        <v>69</v>
      </c>
      <c r="B1434" s="1013" t="s">
        <v>236</v>
      </c>
      <c r="C1434" s="728"/>
      <c r="D1434" s="649" t="s">
        <v>50</v>
      </c>
      <c r="E1434" s="447" t="s">
        <v>50</v>
      </c>
      <c r="F1434" s="104"/>
      <c r="G1434" s="104">
        <f>+'[3]special hospitals1'!C389</f>
        <v>42600000</v>
      </c>
      <c r="H1434" s="104">
        <f>+'[3]special hospitals1'!D389</f>
        <v>115000000</v>
      </c>
      <c r="I1434" s="103">
        <f>SUM(F1434:H1434)</f>
        <v>157600000</v>
      </c>
      <c r="J1434" s="104"/>
      <c r="K1434" s="104">
        <f>+'[3]special hospitals1'!G389</f>
        <v>25919506.360000003</v>
      </c>
      <c r="L1434" s="104">
        <f>+'[3]special hospitals1'!H389</f>
        <v>74967988.280000001</v>
      </c>
      <c r="M1434" s="103">
        <f>SUM(J1434:L1434)</f>
        <v>100887494.64</v>
      </c>
      <c r="N1434" s="103">
        <f t="shared" si="516"/>
        <v>0</v>
      </c>
      <c r="O1434" s="103">
        <f t="shared" si="516"/>
        <v>16680493.639999997</v>
      </c>
      <c r="P1434" s="103">
        <f t="shared" si="516"/>
        <v>40032011.719999999</v>
      </c>
      <c r="Q1434" s="103">
        <f t="shared" si="517"/>
        <v>56712505.359999999</v>
      </c>
      <c r="S1434" s="730" t="str">
        <f t="shared" si="532"/>
        <v/>
      </c>
      <c r="T1434" s="730">
        <f t="shared" si="532"/>
        <v>0.60843911643192494</v>
      </c>
      <c r="U1434" s="730">
        <f t="shared" si="532"/>
        <v>0.65189555026086954</v>
      </c>
      <c r="V1434" s="730">
        <f t="shared" si="532"/>
        <v>0.64014907766497464</v>
      </c>
      <c r="W1434" s="531"/>
      <c r="X1434" s="236"/>
      <c r="Y1434" s="236" t="s">
        <v>688</v>
      </c>
      <c r="Z1434" s="236"/>
    </row>
    <row r="1435" spans="1:26" s="256" customFormat="1" ht="11.25" customHeight="1">
      <c r="A1435" s="528" t="s">
        <v>69</v>
      </c>
      <c r="B1435" s="528" t="s">
        <v>236</v>
      </c>
      <c r="C1435" s="389"/>
      <c r="D1435" s="650" t="s">
        <v>98</v>
      </c>
      <c r="E1435" s="390" t="s">
        <v>767</v>
      </c>
      <c r="F1435" s="391">
        <f>+F1433+F1434</f>
        <v>372046555</v>
      </c>
      <c r="G1435" s="391">
        <f t="shared" ref="G1435:M1435" si="533">+G1433+G1434</f>
        <v>135819445</v>
      </c>
      <c r="H1435" s="391">
        <f t="shared" si="533"/>
        <v>115000000</v>
      </c>
      <c r="I1435" s="391">
        <f t="shared" si="533"/>
        <v>622866000</v>
      </c>
      <c r="J1435" s="391">
        <f t="shared" si="533"/>
        <v>338318736.92000002</v>
      </c>
      <c r="K1435" s="391">
        <f t="shared" si="533"/>
        <v>95491300.589999989</v>
      </c>
      <c r="L1435" s="391">
        <f t="shared" si="533"/>
        <v>74967988.280000001</v>
      </c>
      <c r="M1435" s="391">
        <f t="shared" si="533"/>
        <v>508778025.78999996</v>
      </c>
      <c r="N1435" s="391">
        <f t="shared" si="516"/>
        <v>33727818.079999983</v>
      </c>
      <c r="O1435" s="391">
        <f t="shared" si="516"/>
        <v>40328144.410000011</v>
      </c>
      <c r="P1435" s="391">
        <f t="shared" si="516"/>
        <v>40032011.719999999</v>
      </c>
      <c r="Q1435" s="391">
        <f t="shared" si="517"/>
        <v>114087974.20999999</v>
      </c>
      <c r="R1435" s="101"/>
      <c r="S1435" s="254">
        <f t="shared" si="532"/>
        <v>0.90934516762290685</v>
      </c>
      <c r="T1435" s="254">
        <f t="shared" si="532"/>
        <v>0.70307532614346924</v>
      </c>
      <c r="U1435" s="254">
        <f t="shared" si="532"/>
        <v>0.65189555026086954</v>
      </c>
      <c r="V1435" s="254">
        <f t="shared" si="532"/>
        <v>0.81683383872293558</v>
      </c>
      <c r="W1435" s="531"/>
      <c r="Y1435" s="256" t="s">
        <v>598</v>
      </c>
      <c r="Z1435" s="256" t="s">
        <v>598</v>
      </c>
    </row>
    <row r="1436" spans="1:26" ht="11.25" hidden="1" customHeight="1">
      <c r="A1436" s="528" t="s">
        <v>69</v>
      </c>
      <c r="B1436" s="1013" t="s">
        <v>236</v>
      </c>
      <c r="C1436" s="410"/>
      <c r="D1436" s="651"/>
      <c r="E1436" s="806" t="s">
        <v>764</v>
      </c>
      <c r="F1436" s="807"/>
      <c r="G1436" s="807"/>
      <c r="H1436" s="807"/>
      <c r="I1436" s="807"/>
      <c r="J1436" s="807"/>
      <c r="K1436" s="807"/>
      <c r="L1436" s="807"/>
      <c r="M1436" s="807"/>
      <c r="N1436" s="807">
        <f t="shared" si="516"/>
        <v>0</v>
      </c>
      <c r="O1436" s="807">
        <f t="shared" si="516"/>
        <v>0</v>
      </c>
      <c r="P1436" s="807">
        <f t="shared" si="516"/>
        <v>0</v>
      </c>
      <c r="Q1436" s="807">
        <f t="shared" si="517"/>
        <v>0</v>
      </c>
      <c r="R1436" s="276"/>
      <c r="S1436" s="730" t="str">
        <f t="shared" si="532"/>
        <v/>
      </c>
      <c r="T1436" s="730" t="str">
        <f t="shared" si="532"/>
        <v/>
      </c>
      <c r="U1436" s="730" t="str">
        <f t="shared" si="532"/>
        <v/>
      </c>
      <c r="V1436" s="730" t="str">
        <f t="shared" si="532"/>
        <v/>
      </c>
      <c r="W1436" s="531"/>
      <c r="X1436" s="236"/>
      <c r="Y1436" s="236"/>
      <c r="Z1436" s="236"/>
    </row>
    <row r="1437" spans="1:26" s="256" customFormat="1" ht="11.25" customHeight="1">
      <c r="A1437" s="528" t="s">
        <v>69</v>
      </c>
      <c r="B1437" s="528" t="s">
        <v>236</v>
      </c>
      <c r="C1437" s="389"/>
      <c r="D1437" s="650" t="s">
        <v>98</v>
      </c>
      <c r="E1437" s="390" t="s">
        <v>99</v>
      </c>
      <c r="F1437" s="391">
        <f>+F1438</f>
        <v>33342000</v>
      </c>
      <c r="G1437" s="391">
        <f t="shared" ref="G1437:M1437" si="534">+G1438</f>
        <v>0</v>
      </c>
      <c r="H1437" s="391">
        <f t="shared" si="534"/>
        <v>0</v>
      </c>
      <c r="I1437" s="391">
        <f t="shared" si="534"/>
        <v>33342000</v>
      </c>
      <c r="J1437" s="391">
        <f t="shared" si="534"/>
        <v>29301538.100000001</v>
      </c>
      <c r="K1437" s="391">
        <f t="shared" si="534"/>
        <v>0</v>
      </c>
      <c r="L1437" s="391">
        <f t="shared" si="534"/>
        <v>0</v>
      </c>
      <c r="M1437" s="391">
        <f t="shared" si="534"/>
        <v>29301538.100000001</v>
      </c>
      <c r="N1437" s="391">
        <f t="shared" si="516"/>
        <v>4040461.8999999985</v>
      </c>
      <c r="O1437" s="391">
        <f t="shared" si="516"/>
        <v>0</v>
      </c>
      <c r="P1437" s="391">
        <f t="shared" si="516"/>
        <v>0</v>
      </c>
      <c r="Q1437" s="391">
        <f t="shared" si="517"/>
        <v>4040461.8999999985</v>
      </c>
      <c r="R1437" s="101"/>
      <c r="S1437" s="254">
        <f t="shared" si="532"/>
        <v>0.87881765041089321</v>
      </c>
      <c r="T1437" s="254" t="str">
        <f t="shared" si="532"/>
        <v/>
      </c>
      <c r="U1437" s="254" t="str">
        <f t="shared" si="532"/>
        <v/>
      </c>
      <c r="V1437" s="254">
        <f t="shared" si="532"/>
        <v>0.87881765041089321</v>
      </c>
      <c r="W1437" s="531"/>
      <c r="Y1437" s="256" t="s">
        <v>598</v>
      </c>
      <c r="Z1437" s="256" t="s">
        <v>598</v>
      </c>
    </row>
    <row r="1438" spans="1:26" ht="11.25" customHeight="1">
      <c r="A1438" s="528" t="s">
        <v>69</v>
      </c>
      <c r="B1438" s="1013" t="s">
        <v>236</v>
      </c>
      <c r="C1438" s="728"/>
      <c r="D1438" s="649" t="s">
        <v>286</v>
      </c>
      <c r="E1438" s="729" t="s">
        <v>286</v>
      </c>
      <c r="F1438" s="103">
        <f>SUM('[3]special hospitals1'!R14)</f>
        <v>33342000</v>
      </c>
      <c r="G1438" s="103"/>
      <c r="H1438" s="103">
        <f>SUM('[3]special hospitals1'!R142)</f>
        <v>0</v>
      </c>
      <c r="I1438" s="103">
        <f t="shared" si="518"/>
        <v>33342000</v>
      </c>
      <c r="J1438" s="103">
        <f>SUM('[3]special hospitals1'!R15)</f>
        <v>29301538.100000001</v>
      </c>
      <c r="K1438" s="103"/>
      <c r="L1438" s="103">
        <f>SUM('[3]special hospitals1'!R143)</f>
        <v>0</v>
      </c>
      <c r="M1438" s="103">
        <f t="shared" si="519"/>
        <v>29301538.100000001</v>
      </c>
      <c r="N1438" s="103">
        <f t="shared" si="516"/>
        <v>4040461.8999999985</v>
      </c>
      <c r="O1438" s="103">
        <f t="shared" si="516"/>
        <v>0</v>
      </c>
      <c r="P1438" s="103">
        <f t="shared" si="516"/>
        <v>0</v>
      </c>
      <c r="Q1438" s="103">
        <f t="shared" si="517"/>
        <v>4040461.8999999985</v>
      </c>
      <c r="S1438" s="730">
        <f t="shared" si="532"/>
        <v>0.87881765041089321</v>
      </c>
      <c r="T1438" s="730" t="str">
        <f t="shared" si="532"/>
        <v/>
      </c>
      <c r="U1438" s="730" t="str">
        <f t="shared" si="532"/>
        <v/>
      </c>
      <c r="V1438" s="730">
        <f t="shared" si="532"/>
        <v>0.87881765041089321</v>
      </c>
      <c r="W1438" s="531"/>
      <c r="X1438" s="236"/>
      <c r="Y1438" s="236" t="s">
        <v>598</v>
      </c>
      <c r="Z1438" s="236"/>
    </row>
    <row r="1439" spans="1:26" s="272" customFormat="1" ht="11.25" customHeight="1">
      <c r="A1439" s="528" t="s">
        <v>69</v>
      </c>
      <c r="B1439" s="528" t="s">
        <v>236</v>
      </c>
      <c r="C1439" s="389"/>
      <c r="D1439" s="650" t="s">
        <v>98</v>
      </c>
      <c r="E1439" s="390" t="s">
        <v>100</v>
      </c>
      <c r="F1439" s="391">
        <f>SUM(F1440:F1445)</f>
        <v>14138357</v>
      </c>
      <c r="G1439" s="391">
        <f t="shared" ref="G1439:M1439" si="535">SUM(G1440:G1445)</f>
        <v>6850000</v>
      </c>
      <c r="H1439" s="391">
        <f t="shared" si="535"/>
        <v>0</v>
      </c>
      <c r="I1439" s="391">
        <f t="shared" si="535"/>
        <v>20988357</v>
      </c>
      <c r="J1439" s="391">
        <f t="shared" si="535"/>
        <v>13710747.83</v>
      </c>
      <c r="K1439" s="391">
        <f t="shared" si="535"/>
        <v>6843900.8100000005</v>
      </c>
      <c r="L1439" s="391">
        <f t="shared" si="535"/>
        <v>0</v>
      </c>
      <c r="M1439" s="391">
        <f t="shared" si="535"/>
        <v>20554648.640000001</v>
      </c>
      <c r="N1439" s="391">
        <f t="shared" si="516"/>
        <v>427609.16999999993</v>
      </c>
      <c r="O1439" s="391">
        <f t="shared" si="516"/>
        <v>6099.1899999994785</v>
      </c>
      <c r="P1439" s="391">
        <f t="shared" si="516"/>
        <v>0</v>
      </c>
      <c r="Q1439" s="391">
        <f t="shared" si="517"/>
        <v>433708.3599999994</v>
      </c>
      <c r="R1439" s="102"/>
      <c r="S1439" s="254">
        <f t="shared" si="532"/>
        <v>0.96975538458959554</v>
      </c>
      <c r="T1439" s="254">
        <f t="shared" si="532"/>
        <v>0.99910960729927012</v>
      </c>
      <c r="U1439" s="254" t="str">
        <f t="shared" si="532"/>
        <v/>
      </c>
      <c r="V1439" s="254">
        <f t="shared" si="532"/>
        <v>0.97933576410959655</v>
      </c>
      <c r="W1439" s="531"/>
      <c r="Y1439" s="272" t="s">
        <v>598</v>
      </c>
      <c r="Z1439" s="256" t="s">
        <v>598</v>
      </c>
    </row>
    <row r="1440" spans="1:26" ht="11.25" customHeight="1">
      <c r="A1440" s="528" t="s">
        <v>69</v>
      </c>
      <c r="B1440" s="1013" t="s">
        <v>236</v>
      </c>
      <c r="C1440" s="728"/>
      <c r="D1440" s="649" t="s">
        <v>288</v>
      </c>
      <c r="E1440" s="729" t="s">
        <v>288</v>
      </c>
      <c r="F1440" s="103">
        <f>SUM('[3]special hospitals1'!Y14)</f>
        <v>0</v>
      </c>
      <c r="G1440" s="103">
        <f>SUM('[3]special hospitals1'!Y50)</f>
        <v>0</v>
      </c>
      <c r="H1440" s="103">
        <f>SUM('[3]special hospitals1'!Y142)</f>
        <v>0</v>
      </c>
      <c r="I1440" s="103">
        <f t="shared" si="518"/>
        <v>0</v>
      </c>
      <c r="J1440" s="103">
        <f>SUM('[3]special hospitals1'!Y15)</f>
        <v>0</v>
      </c>
      <c r="K1440" s="103">
        <f>SUM('[3]special hospitals1'!Y51)</f>
        <v>0</v>
      </c>
      <c r="L1440" s="103">
        <f>SUM('[3]special hospitals1'!Y143)</f>
        <v>0</v>
      </c>
      <c r="M1440" s="103">
        <f t="shared" si="519"/>
        <v>0</v>
      </c>
      <c r="N1440" s="103">
        <f t="shared" si="516"/>
        <v>0</v>
      </c>
      <c r="O1440" s="103">
        <f t="shared" si="516"/>
        <v>0</v>
      </c>
      <c r="P1440" s="103">
        <f t="shared" si="516"/>
        <v>0</v>
      </c>
      <c r="Q1440" s="103">
        <f t="shared" si="517"/>
        <v>0</v>
      </c>
      <c r="S1440" s="730" t="str">
        <f t="shared" si="532"/>
        <v/>
      </c>
      <c r="T1440" s="730" t="str">
        <f t="shared" si="532"/>
        <v/>
      </c>
      <c r="U1440" s="730" t="str">
        <f t="shared" si="532"/>
        <v/>
      </c>
      <c r="V1440" s="730" t="str">
        <f t="shared" si="532"/>
        <v/>
      </c>
      <c r="W1440" s="531"/>
      <c r="X1440" s="236"/>
      <c r="Y1440" s="236" t="s">
        <v>598</v>
      </c>
      <c r="Z1440" s="236"/>
    </row>
    <row r="1441" spans="1:26" ht="11.25" customHeight="1">
      <c r="A1441" s="528" t="s">
        <v>69</v>
      </c>
      <c r="B1441" s="1013" t="s">
        <v>236</v>
      </c>
      <c r="C1441" s="728"/>
      <c r="D1441" s="649" t="s">
        <v>761</v>
      </c>
      <c r="E1441" s="729" t="s">
        <v>761</v>
      </c>
      <c r="F1441" s="104">
        <f>+'[3]special hospitals1'!B389</f>
        <v>7420000</v>
      </c>
      <c r="G1441" s="104"/>
      <c r="H1441" s="104"/>
      <c r="I1441" s="103">
        <f>SUM(F1441:H1441)</f>
        <v>7420000</v>
      </c>
      <c r="J1441" s="104">
        <f>+'[3]special hospitals1'!F389</f>
        <v>6992500</v>
      </c>
      <c r="K1441" s="104"/>
      <c r="L1441" s="104"/>
      <c r="M1441" s="103">
        <f t="shared" si="519"/>
        <v>6992500</v>
      </c>
      <c r="N1441" s="103">
        <f t="shared" si="516"/>
        <v>427500</v>
      </c>
      <c r="O1441" s="103">
        <f t="shared" si="516"/>
        <v>0</v>
      </c>
      <c r="P1441" s="103">
        <f t="shared" si="516"/>
        <v>0</v>
      </c>
      <c r="Q1441" s="103">
        <f>SUM(N1441:P1441)</f>
        <v>427500</v>
      </c>
      <c r="S1441" s="730">
        <f t="shared" si="532"/>
        <v>0.94238544474393526</v>
      </c>
      <c r="T1441" s="730" t="str">
        <f t="shared" si="532"/>
        <v/>
      </c>
      <c r="U1441" s="730" t="str">
        <f t="shared" si="532"/>
        <v/>
      </c>
      <c r="V1441" s="730">
        <f t="shared" si="532"/>
        <v>0.94238544474393526</v>
      </c>
      <c r="W1441" s="531"/>
      <c r="X1441" s="236"/>
      <c r="Y1441" s="236" t="s">
        <v>688</v>
      </c>
      <c r="Z1441" s="236"/>
    </row>
    <row r="1442" spans="1:26" ht="11.25" customHeight="1">
      <c r="A1442" s="528" t="s">
        <v>69</v>
      </c>
      <c r="B1442" s="1013" t="s">
        <v>236</v>
      </c>
      <c r="C1442" s="410"/>
      <c r="D1442" s="647"/>
      <c r="E1442" s="461" t="s">
        <v>764</v>
      </c>
      <c r="F1442" s="104"/>
      <c r="G1442" s="104"/>
      <c r="H1442" s="104"/>
      <c r="I1442" s="103"/>
      <c r="J1442" s="104"/>
      <c r="K1442" s="104"/>
      <c r="L1442" s="104"/>
      <c r="M1442" s="103"/>
      <c r="N1442" s="103"/>
      <c r="O1442" s="103"/>
      <c r="P1442" s="103"/>
      <c r="Q1442" s="103"/>
      <c r="S1442" s="730" t="str">
        <f t="shared" si="532"/>
        <v/>
      </c>
      <c r="T1442" s="730" t="str">
        <f t="shared" si="532"/>
        <v/>
      </c>
      <c r="U1442" s="730" t="str">
        <f t="shared" si="532"/>
        <v/>
      </c>
      <c r="V1442" s="730" t="str">
        <f t="shared" si="532"/>
        <v/>
      </c>
      <c r="W1442" s="531"/>
      <c r="X1442" s="236"/>
      <c r="Y1442" s="236" t="s">
        <v>688</v>
      </c>
      <c r="Z1442" s="240"/>
    </row>
    <row r="1443" spans="1:26" ht="11.25" customHeight="1">
      <c r="A1443" s="528" t="s">
        <v>69</v>
      </c>
      <c r="B1443" s="1013" t="s">
        <v>236</v>
      </c>
      <c r="C1443" s="728"/>
      <c r="D1443" s="649" t="s">
        <v>289</v>
      </c>
      <c r="E1443" s="729" t="s">
        <v>289</v>
      </c>
      <c r="F1443" s="103">
        <f>SUM('[3]special hospitals1'!AF14)</f>
        <v>6718357</v>
      </c>
      <c r="G1443" s="103">
        <f>SUM('[3]special hospitals1'!AF50)</f>
        <v>0</v>
      </c>
      <c r="H1443" s="103">
        <f>SUM('[3]special hospitals1'!AF142)</f>
        <v>0</v>
      </c>
      <c r="I1443" s="103">
        <f t="shared" si="518"/>
        <v>6718357</v>
      </c>
      <c r="J1443" s="103">
        <f>SUM('[3]special hospitals1'!AF15)</f>
        <v>6718247.8300000001</v>
      </c>
      <c r="K1443" s="103">
        <f>SUM('[3]special hospitals1'!AF51)</f>
        <v>0</v>
      </c>
      <c r="L1443" s="103">
        <f>SUM('[3]special hospitals1'!AF143)</f>
        <v>0</v>
      </c>
      <c r="M1443" s="103">
        <f t="shared" si="519"/>
        <v>6718247.8300000001</v>
      </c>
      <c r="N1443" s="103">
        <f t="shared" si="516"/>
        <v>109.16999999992549</v>
      </c>
      <c r="O1443" s="103">
        <f t="shared" si="516"/>
        <v>0</v>
      </c>
      <c r="P1443" s="103">
        <f t="shared" si="516"/>
        <v>0</v>
      </c>
      <c r="Q1443" s="103">
        <f t="shared" si="517"/>
        <v>109.16999999992549</v>
      </c>
      <c r="S1443" s="730">
        <f t="shared" si="532"/>
        <v>0.99998375049137755</v>
      </c>
      <c r="T1443" s="730" t="str">
        <f t="shared" si="532"/>
        <v/>
      </c>
      <c r="U1443" s="730" t="str">
        <f t="shared" si="532"/>
        <v/>
      </c>
      <c r="V1443" s="730">
        <f t="shared" si="532"/>
        <v>0.99998375049137755</v>
      </c>
      <c r="W1443" s="531"/>
      <c r="X1443" s="236"/>
      <c r="Y1443" s="236" t="s">
        <v>598</v>
      </c>
      <c r="Z1443" s="236"/>
    </row>
    <row r="1444" spans="1:26" ht="11.25" customHeight="1">
      <c r="A1444" s="528" t="s">
        <v>69</v>
      </c>
      <c r="B1444" s="1013" t="s">
        <v>236</v>
      </c>
      <c r="C1444" s="728"/>
      <c r="D1444" s="649" t="s">
        <v>290</v>
      </c>
      <c r="E1444" s="729" t="s">
        <v>290</v>
      </c>
      <c r="F1444" s="103">
        <f>SUM('[3]special hospitals1'!AM14)</f>
        <v>0</v>
      </c>
      <c r="G1444" s="103">
        <f>SUM('[3]special hospitals1'!AM50)</f>
        <v>6850000</v>
      </c>
      <c r="H1444" s="103">
        <f>SUM('[3]special hospitals1'!AM142)</f>
        <v>0</v>
      </c>
      <c r="I1444" s="103">
        <f t="shared" si="518"/>
        <v>6850000</v>
      </c>
      <c r="J1444" s="103">
        <f>SUM('[3]special hospitals1'!AM15)</f>
        <v>0</v>
      </c>
      <c r="K1444" s="103">
        <f>SUM('[3]special hospitals1'!AM51)</f>
        <v>6843900.8100000005</v>
      </c>
      <c r="L1444" s="103">
        <f>SUM('[3]special hospitals1'!AM143)</f>
        <v>0</v>
      </c>
      <c r="M1444" s="103">
        <f t="shared" si="519"/>
        <v>6843900.8100000005</v>
      </c>
      <c r="N1444" s="103">
        <f t="shared" si="516"/>
        <v>0</v>
      </c>
      <c r="O1444" s="103">
        <f t="shared" si="516"/>
        <v>6099.1899999994785</v>
      </c>
      <c r="P1444" s="103">
        <f t="shared" si="516"/>
        <v>0</v>
      </c>
      <c r="Q1444" s="103">
        <f t="shared" si="517"/>
        <v>6099.1899999994785</v>
      </c>
      <c r="S1444" s="730" t="str">
        <f t="shared" si="532"/>
        <v/>
      </c>
      <c r="T1444" s="730">
        <f t="shared" si="532"/>
        <v>0.99910960729927012</v>
      </c>
      <c r="U1444" s="730" t="str">
        <f t="shared" si="532"/>
        <v/>
      </c>
      <c r="V1444" s="730">
        <f t="shared" si="532"/>
        <v>0.99910960729927012</v>
      </c>
      <c r="W1444" s="531"/>
      <c r="X1444" s="236"/>
      <c r="Y1444" s="236" t="s">
        <v>598</v>
      </c>
      <c r="Z1444" s="236"/>
    </row>
    <row r="1445" spans="1:26" ht="11.25" hidden="1" customHeight="1">
      <c r="A1445" s="528" t="s">
        <v>69</v>
      </c>
      <c r="B1445" s="1013" t="s">
        <v>236</v>
      </c>
      <c r="C1445" s="410"/>
      <c r="D1445" s="651"/>
      <c r="E1445" s="729" t="s">
        <v>851</v>
      </c>
      <c r="F1445" s="103">
        <f>SUM('[3]special hospitals1'!AT14)</f>
        <v>0</v>
      </c>
      <c r="G1445" s="103">
        <f>+'[3]special hospitals1'!R48</f>
        <v>0</v>
      </c>
      <c r="H1445" s="103">
        <f>SUM('[3]special hospitals1'!AT142)</f>
        <v>0</v>
      </c>
      <c r="I1445" s="103">
        <f t="shared" si="518"/>
        <v>0</v>
      </c>
      <c r="J1445" s="103">
        <f>SUM('[3]special hospitals1'!AT15)</f>
        <v>0</v>
      </c>
      <c r="K1445" s="103">
        <f>+'[3]special hospitals1'!R51</f>
        <v>0</v>
      </c>
      <c r="L1445" s="103">
        <f>SUM('[3]special hospitals1'!AT143)</f>
        <v>0</v>
      </c>
      <c r="M1445" s="103">
        <f t="shared" si="519"/>
        <v>0</v>
      </c>
      <c r="N1445" s="103">
        <f t="shared" si="516"/>
        <v>0</v>
      </c>
      <c r="O1445" s="103">
        <f t="shared" si="516"/>
        <v>0</v>
      </c>
      <c r="P1445" s="103">
        <f t="shared" si="516"/>
        <v>0</v>
      </c>
      <c r="Q1445" s="103">
        <f t="shared" si="517"/>
        <v>0</v>
      </c>
      <c r="R1445" s="236"/>
      <c r="S1445" s="730" t="str">
        <f t="shared" si="532"/>
        <v/>
      </c>
      <c r="T1445" s="730" t="str">
        <f t="shared" si="532"/>
        <v/>
      </c>
      <c r="U1445" s="730" t="str">
        <f t="shared" si="532"/>
        <v/>
      </c>
      <c r="V1445" s="730" t="str">
        <f t="shared" si="532"/>
        <v/>
      </c>
      <c r="W1445" s="531"/>
      <c r="X1445" s="236"/>
      <c r="Y1445" s="236"/>
      <c r="Z1445" s="236"/>
    </row>
    <row r="1446" spans="1:26" s="259" customFormat="1" ht="11.25" customHeight="1">
      <c r="A1446" s="246" t="s">
        <v>69</v>
      </c>
      <c r="B1446" s="235" t="s">
        <v>236</v>
      </c>
      <c r="C1446" s="656"/>
      <c r="D1446" s="656"/>
      <c r="E1446" s="657" t="s">
        <v>4</v>
      </c>
      <c r="F1446" s="652">
        <f>+F1435+F1437+F1439</f>
        <v>419526912</v>
      </c>
      <c r="G1446" s="652">
        <f t="shared" ref="G1446:M1446" si="536">+G1435+G1437+G1439</f>
        <v>142669445</v>
      </c>
      <c r="H1446" s="652">
        <f t="shared" si="536"/>
        <v>115000000</v>
      </c>
      <c r="I1446" s="652">
        <f t="shared" si="536"/>
        <v>677196357</v>
      </c>
      <c r="J1446" s="652">
        <f t="shared" si="536"/>
        <v>381331022.85000002</v>
      </c>
      <c r="K1446" s="652">
        <f t="shared" si="536"/>
        <v>102335201.39999999</v>
      </c>
      <c r="L1446" s="652">
        <f t="shared" si="536"/>
        <v>74967988.280000001</v>
      </c>
      <c r="M1446" s="652">
        <f t="shared" si="536"/>
        <v>558634212.52999997</v>
      </c>
      <c r="N1446" s="652">
        <f t="shared" si="516"/>
        <v>38195889.149999976</v>
      </c>
      <c r="O1446" s="652">
        <f t="shared" si="516"/>
        <v>40334243.600000009</v>
      </c>
      <c r="P1446" s="652">
        <f t="shared" si="516"/>
        <v>40032011.719999999</v>
      </c>
      <c r="Q1446" s="652">
        <f t="shared" si="517"/>
        <v>118562144.46999998</v>
      </c>
      <c r="R1446" s="653">
        <f>+Q1446-'[3]special hospitals1'!CO179</f>
        <v>0</v>
      </c>
      <c r="S1446" s="1008">
        <f t="shared" si="532"/>
        <v>0.90895485353273364</v>
      </c>
      <c r="T1446" s="1008">
        <f t="shared" si="532"/>
        <v>0.71728884485392086</v>
      </c>
      <c r="U1446" s="1008">
        <f t="shared" si="532"/>
        <v>0.65189555026086954</v>
      </c>
      <c r="V1446" s="1008">
        <f t="shared" si="532"/>
        <v>0.82492205806417229</v>
      </c>
      <c r="W1446" s="254"/>
      <c r="X1446" s="520"/>
      <c r="Y1446" s="610" t="s">
        <v>598</v>
      </c>
      <c r="Z1446" s="241" t="s">
        <v>598</v>
      </c>
    </row>
    <row r="1447" spans="1:26" ht="11.25" customHeight="1">
      <c r="A1447" s="246" t="s">
        <v>69</v>
      </c>
      <c r="B1447" s="235" t="s">
        <v>236</v>
      </c>
      <c r="C1447" s="410"/>
      <c r="D1447" s="386"/>
      <c r="E1447" s="461" t="s">
        <v>764</v>
      </c>
      <c r="F1447" s="103"/>
      <c r="G1447" s="103"/>
      <c r="H1447" s="103"/>
      <c r="I1447" s="103">
        <f t="shared" si="518"/>
        <v>0</v>
      </c>
      <c r="J1447" s="103"/>
      <c r="K1447" s="103"/>
      <c r="L1447" s="103"/>
      <c r="M1447" s="103">
        <f t="shared" si="519"/>
        <v>0</v>
      </c>
      <c r="N1447" s="103">
        <f t="shared" si="516"/>
        <v>0</v>
      </c>
      <c r="O1447" s="103">
        <f t="shared" si="516"/>
        <v>0</v>
      </c>
      <c r="P1447" s="103">
        <f t="shared" si="516"/>
        <v>0</v>
      </c>
      <c r="Q1447" s="103">
        <f t="shared" si="517"/>
        <v>0</v>
      </c>
      <c r="S1447" s="730" t="str">
        <f t="shared" si="532"/>
        <v/>
      </c>
      <c r="T1447" s="730" t="str">
        <f t="shared" si="532"/>
        <v/>
      </c>
      <c r="U1447" s="730" t="str">
        <f t="shared" si="532"/>
        <v/>
      </c>
      <c r="V1447" s="730" t="str">
        <f t="shared" si="532"/>
        <v/>
      </c>
      <c r="W1447" s="254"/>
      <c r="Y1447" s="610" t="s">
        <v>598</v>
      </c>
      <c r="Z1447" s="241" t="s">
        <v>598</v>
      </c>
    </row>
    <row r="1448" spans="1:26" s="675" customFormat="1" ht="11.25" customHeight="1">
      <c r="A1448" s="528" t="s">
        <v>69</v>
      </c>
      <c r="B1448" s="528" t="s">
        <v>237</v>
      </c>
      <c r="C1448" s="407" t="s">
        <v>98</v>
      </c>
      <c r="D1448" s="655" t="s">
        <v>107</v>
      </c>
      <c r="E1448" s="408" t="s">
        <v>237</v>
      </c>
      <c r="F1448" s="673"/>
      <c r="G1448" s="673"/>
      <c r="H1448" s="673"/>
      <c r="I1448" s="674">
        <f t="shared" si="518"/>
        <v>0</v>
      </c>
      <c r="J1448" s="673"/>
      <c r="K1448" s="673"/>
      <c r="L1448" s="673"/>
      <c r="M1448" s="674">
        <f t="shared" si="519"/>
        <v>0</v>
      </c>
      <c r="N1448" s="674">
        <f t="shared" si="516"/>
        <v>0</v>
      </c>
      <c r="O1448" s="674">
        <f t="shared" si="516"/>
        <v>0</v>
      </c>
      <c r="P1448" s="674">
        <f t="shared" si="516"/>
        <v>0</v>
      </c>
      <c r="Q1448" s="674">
        <f t="shared" si="517"/>
        <v>0</v>
      </c>
      <c r="R1448" s="101"/>
      <c r="S1448" s="254" t="str">
        <f t="shared" si="532"/>
        <v/>
      </c>
      <c r="T1448" s="254" t="str">
        <f t="shared" si="532"/>
        <v/>
      </c>
      <c r="U1448" s="254" t="str">
        <f t="shared" si="532"/>
        <v/>
      </c>
      <c r="V1448" s="254" t="str">
        <f t="shared" si="532"/>
        <v/>
      </c>
      <c r="W1448" s="531"/>
      <c r="Y1448" s="272" t="s">
        <v>598</v>
      </c>
      <c r="Z1448" s="260" t="s">
        <v>598</v>
      </c>
    </row>
    <row r="1449" spans="1:26" ht="11.25" customHeight="1">
      <c r="A1449" s="528" t="s">
        <v>69</v>
      </c>
      <c r="B1449" s="1013" t="s">
        <v>237</v>
      </c>
      <c r="C1449" s="461"/>
      <c r="D1449" s="645" t="s">
        <v>766</v>
      </c>
      <c r="E1449" s="447" t="s">
        <v>766</v>
      </c>
      <c r="F1449" s="104">
        <f>+'[3]special hospitals2'!B387</f>
        <v>182139000</v>
      </c>
      <c r="G1449" s="104">
        <f>+'[3]special hospitals2'!C387</f>
        <v>68763000</v>
      </c>
      <c r="H1449" s="104">
        <f>+'[3]special hospitals2'!D387</f>
        <v>0</v>
      </c>
      <c r="I1449" s="103">
        <f t="shared" si="518"/>
        <v>250902000</v>
      </c>
      <c r="J1449" s="104">
        <f>+'[3]special hospitals2'!F387</f>
        <v>172186343.55999997</v>
      </c>
      <c r="K1449" s="104">
        <f>+'[3]special hospitals2'!G387</f>
        <v>67395842.020000011</v>
      </c>
      <c r="L1449" s="104">
        <f>+'[3]special hospitals2'!H387</f>
        <v>0</v>
      </c>
      <c r="M1449" s="103">
        <f t="shared" si="519"/>
        <v>239582185.57999998</v>
      </c>
      <c r="N1449" s="103">
        <f t="shared" si="516"/>
        <v>9952656.4400000274</v>
      </c>
      <c r="O1449" s="103">
        <f t="shared" si="516"/>
        <v>1367157.9799999893</v>
      </c>
      <c r="P1449" s="103">
        <f t="shared" si="516"/>
        <v>0</v>
      </c>
      <c r="Q1449" s="103">
        <f t="shared" si="517"/>
        <v>11319814.420000017</v>
      </c>
      <c r="S1449" s="730">
        <f t="shared" si="532"/>
        <v>0.94535680749317819</v>
      </c>
      <c r="T1449" s="730">
        <f t="shared" si="532"/>
        <v>0.98011782528394642</v>
      </c>
      <c r="U1449" s="730" t="str">
        <f t="shared" si="532"/>
        <v/>
      </c>
      <c r="V1449" s="730">
        <f t="shared" si="532"/>
        <v>0.9548835225705653</v>
      </c>
      <c r="W1449" s="531"/>
      <c r="X1449" s="236"/>
      <c r="Y1449" s="236" t="s">
        <v>688</v>
      </c>
      <c r="Z1449" s="236"/>
    </row>
    <row r="1450" spans="1:26" ht="11.25" customHeight="1">
      <c r="A1450" s="528" t="s">
        <v>69</v>
      </c>
      <c r="B1450" s="1013" t="s">
        <v>237</v>
      </c>
      <c r="C1450" s="728"/>
      <c r="D1450" s="649" t="s">
        <v>50</v>
      </c>
      <c r="E1450" s="447" t="s">
        <v>50</v>
      </c>
      <c r="F1450" s="104"/>
      <c r="G1450" s="104">
        <f>+'[3]special hospitals2'!C389</f>
        <v>91242000</v>
      </c>
      <c r="H1450" s="104">
        <f>+'[3]special hospitals2'!D389</f>
        <v>55000000</v>
      </c>
      <c r="I1450" s="103">
        <f>SUM(F1450:H1450)</f>
        <v>146242000</v>
      </c>
      <c r="J1450" s="104"/>
      <c r="K1450" s="104">
        <f>+'[3]special hospitals2'!G389</f>
        <v>84259854.929999992</v>
      </c>
      <c r="L1450" s="104">
        <f>+'[3]special hospitals2'!H389</f>
        <v>50548924.090000004</v>
      </c>
      <c r="M1450" s="103">
        <f>SUM(J1450:L1450)</f>
        <v>134808779.01999998</v>
      </c>
      <c r="N1450" s="103">
        <f t="shared" si="516"/>
        <v>0</v>
      </c>
      <c r="O1450" s="103">
        <f t="shared" si="516"/>
        <v>6982145.0700000077</v>
      </c>
      <c r="P1450" s="103">
        <f t="shared" si="516"/>
        <v>4451075.9099999964</v>
      </c>
      <c r="Q1450" s="103">
        <f t="shared" si="517"/>
        <v>11433220.980000004</v>
      </c>
      <c r="S1450" s="730" t="str">
        <f t="shared" si="532"/>
        <v/>
      </c>
      <c r="T1450" s="730">
        <f t="shared" si="532"/>
        <v>0.92347663280068382</v>
      </c>
      <c r="U1450" s="730">
        <f t="shared" si="532"/>
        <v>0.91907134709090921</v>
      </c>
      <c r="V1450" s="730">
        <f t="shared" si="532"/>
        <v>0.92181985353044937</v>
      </c>
      <c r="W1450" s="531"/>
      <c r="X1450" s="236"/>
      <c r="Y1450" s="236" t="s">
        <v>688</v>
      </c>
      <c r="Z1450" s="236"/>
    </row>
    <row r="1451" spans="1:26" s="256" customFormat="1" ht="11.25" customHeight="1">
      <c r="A1451" s="528" t="s">
        <v>69</v>
      </c>
      <c r="B1451" s="528" t="s">
        <v>237</v>
      </c>
      <c r="C1451" s="389"/>
      <c r="D1451" s="650" t="s">
        <v>98</v>
      </c>
      <c r="E1451" s="390" t="s">
        <v>767</v>
      </c>
      <c r="F1451" s="391">
        <f>+F1449+F1450</f>
        <v>182139000</v>
      </c>
      <c r="G1451" s="391">
        <f t="shared" ref="G1451:M1451" si="537">+G1449+G1450</f>
        <v>160005000</v>
      </c>
      <c r="H1451" s="391">
        <f t="shared" si="537"/>
        <v>55000000</v>
      </c>
      <c r="I1451" s="391">
        <f t="shared" si="537"/>
        <v>397144000</v>
      </c>
      <c r="J1451" s="391">
        <f t="shared" si="537"/>
        <v>172186343.55999997</v>
      </c>
      <c r="K1451" s="391">
        <f t="shared" si="537"/>
        <v>151655696.94999999</v>
      </c>
      <c r="L1451" s="391">
        <f t="shared" si="537"/>
        <v>50548924.090000004</v>
      </c>
      <c r="M1451" s="391">
        <f t="shared" si="537"/>
        <v>374390964.59999996</v>
      </c>
      <c r="N1451" s="391">
        <f t="shared" si="516"/>
        <v>9952656.4400000274</v>
      </c>
      <c r="O1451" s="391">
        <f t="shared" si="516"/>
        <v>8349303.0500000119</v>
      </c>
      <c r="P1451" s="391">
        <f t="shared" si="516"/>
        <v>4451075.9099999964</v>
      </c>
      <c r="Q1451" s="391">
        <f t="shared" si="517"/>
        <v>22753035.400000036</v>
      </c>
      <c r="R1451" s="101"/>
      <c r="S1451" s="254">
        <f t="shared" si="532"/>
        <v>0.94535680749317819</v>
      </c>
      <c r="T1451" s="254">
        <f t="shared" si="532"/>
        <v>0.9478184866097934</v>
      </c>
      <c r="U1451" s="254">
        <f t="shared" si="532"/>
        <v>0.91907134709090921</v>
      </c>
      <c r="V1451" s="254">
        <f t="shared" si="532"/>
        <v>0.94270834911266432</v>
      </c>
      <c r="W1451" s="531"/>
      <c r="Y1451" s="256" t="s">
        <v>598</v>
      </c>
      <c r="Z1451" s="256" t="s">
        <v>598</v>
      </c>
    </row>
    <row r="1452" spans="1:26" ht="11.25" hidden="1" customHeight="1">
      <c r="A1452" s="528" t="s">
        <v>69</v>
      </c>
      <c r="B1452" s="1013" t="s">
        <v>237</v>
      </c>
      <c r="C1452" s="410"/>
      <c r="D1452" s="651"/>
      <c r="E1452" s="806" t="s">
        <v>764</v>
      </c>
      <c r="F1452" s="807"/>
      <c r="G1452" s="807"/>
      <c r="H1452" s="807"/>
      <c r="I1452" s="807"/>
      <c r="J1452" s="807"/>
      <c r="K1452" s="807"/>
      <c r="L1452" s="807"/>
      <c r="M1452" s="807"/>
      <c r="N1452" s="807">
        <f t="shared" si="516"/>
        <v>0</v>
      </c>
      <c r="O1452" s="807">
        <f t="shared" si="516"/>
        <v>0</v>
      </c>
      <c r="P1452" s="807">
        <f t="shared" si="516"/>
        <v>0</v>
      </c>
      <c r="Q1452" s="807">
        <f t="shared" si="517"/>
        <v>0</v>
      </c>
      <c r="R1452" s="276"/>
      <c r="S1452" s="730" t="str">
        <f t="shared" si="532"/>
        <v/>
      </c>
      <c r="T1452" s="730" t="str">
        <f t="shared" si="532"/>
        <v/>
      </c>
      <c r="U1452" s="730" t="str">
        <f t="shared" si="532"/>
        <v/>
      </c>
      <c r="V1452" s="730" t="str">
        <f t="shared" si="532"/>
        <v/>
      </c>
      <c r="W1452" s="531"/>
      <c r="X1452" s="236"/>
      <c r="Y1452" s="236"/>
      <c r="Z1452" s="236"/>
    </row>
    <row r="1453" spans="1:26" s="256" customFormat="1" ht="11.25" customHeight="1">
      <c r="A1453" s="528" t="s">
        <v>69</v>
      </c>
      <c r="B1453" s="528" t="s">
        <v>237</v>
      </c>
      <c r="C1453" s="389"/>
      <c r="D1453" s="650" t="s">
        <v>98</v>
      </c>
      <c r="E1453" s="390" t="s">
        <v>99</v>
      </c>
      <c r="F1453" s="391">
        <f>+F1454</f>
        <v>16819000</v>
      </c>
      <c r="G1453" s="391">
        <f t="shared" ref="G1453:M1453" si="538">+G1454</f>
        <v>0</v>
      </c>
      <c r="H1453" s="391">
        <f t="shared" si="538"/>
        <v>0</v>
      </c>
      <c r="I1453" s="391">
        <f t="shared" si="538"/>
        <v>16819000</v>
      </c>
      <c r="J1453" s="391">
        <f t="shared" si="538"/>
        <v>15536614.24</v>
      </c>
      <c r="K1453" s="391">
        <f t="shared" si="538"/>
        <v>0</v>
      </c>
      <c r="L1453" s="391">
        <f t="shared" si="538"/>
        <v>0</v>
      </c>
      <c r="M1453" s="391">
        <f t="shared" si="538"/>
        <v>15536614.24</v>
      </c>
      <c r="N1453" s="391">
        <f t="shared" si="516"/>
        <v>1282385.7599999998</v>
      </c>
      <c r="O1453" s="391">
        <f t="shared" si="516"/>
        <v>0</v>
      </c>
      <c r="P1453" s="391">
        <f t="shared" si="516"/>
        <v>0</v>
      </c>
      <c r="Q1453" s="391">
        <f t="shared" si="517"/>
        <v>1282385.7599999998</v>
      </c>
      <c r="R1453" s="101"/>
      <c r="S1453" s="254">
        <f t="shared" si="532"/>
        <v>0.92375374516915398</v>
      </c>
      <c r="T1453" s="254" t="str">
        <f t="shared" si="532"/>
        <v/>
      </c>
      <c r="U1453" s="254" t="str">
        <f t="shared" si="532"/>
        <v/>
      </c>
      <c r="V1453" s="254">
        <f t="shared" si="532"/>
        <v>0.92375374516915398</v>
      </c>
      <c r="W1453" s="531"/>
      <c r="Y1453" s="256" t="s">
        <v>598</v>
      </c>
      <c r="Z1453" s="256" t="s">
        <v>598</v>
      </c>
    </row>
    <row r="1454" spans="1:26" ht="11.25" customHeight="1">
      <c r="A1454" s="528" t="s">
        <v>69</v>
      </c>
      <c r="B1454" s="1013" t="s">
        <v>237</v>
      </c>
      <c r="C1454" s="728"/>
      <c r="D1454" s="649" t="s">
        <v>286</v>
      </c>
      <c r="E1454" s="729" t="s">
        <v>286</v>
      </c>
      <c r="F1454" s="103">
        <f>SUM('[3]special hospitals2'!R14)</f>
        <v>16819000</v>
      </c>
      <c r="G1454" s="103">
        <f>SUM('[3]special hospitals2'!R50)</f>
        <v>0</v>
      </c>
      <c r="H1454" s="103">
        <f>SUM('[3]special hospitals2'!R142)</f>
        <v>0</v>
      </c>
      <c r="I1454" s="103">
        <f t="shared" si="518"/>
        <v>16819000</v>
      </c>
      <c r="J1454" s="103">
        <f>SUM('[3]special hospitals2'!R15)</f>
        <v>15536614.24</v>
      </c>
      <c r="K1454" s="103">
        <f>SUM('[3]special hospitals2'!R51)</f>
        <v>0</v>
      </c>
      <c r="L1454" s="103">
        <f>SUM('[3]special hospitals2'!R143)</f>
        <v>0</v>
      </c>
      <c r="M1454" s="103">
        <f t="shared" si="519"/>
        <v>15536614.24</v>
      </c>
      <c r="N1454" s="103">
        <f t="shared" si="516"/>
        <v>1282385.7599999998</v>
      </c>
      <c r="O1454" s="103">
        <f t="shared" si="516"/>
        <v>0</v>
      </c>
      <c r="P1454" s="103">
        <f t="shared" si="516"/>
        <v>0</v>
      </c>
      <c r="Q1454" s="103">
        <f t="shared" si="517"/>
        <v>1282385.7599999998</v>
      </c>
      <c r="S1454" s="730">
        <f t="shared" si="532"/>
        <v>0.92375374516915398</v>
      </c>
      <c r="T1454" s="730" t="str">
        <f t="shared" si="532"/>
        <v/>
      </c>
      <c r="U1454" s="730" t="str">
        <f t="shared" si="532"/>
        <v/>
      </c>
      <c r="V1454" s="730">
        <f t="shared" si="532"/>
        <v>0.92375374516915398</v>
      </c>
      <c r="W1454" s="531"/>
      <c r="X1454" s="236"/>
      <c r="Y1454" s="236" t="s">
        <v>598</v>
      </c>
      <c r="Z1454" s="236"/>
    </row>
    <row r="1455" spans="1:26" s="272" customFormat="1" ht="11.25" customHeight="1">
      <c r="A1455" s="528" t="s">
        <v>69</v>
      </c>
      <c r="B1455" s="528" t="s">
        <v>237</v>
      </c>
      <c r="C1455" s="389"/>
      <c r="D1455" s="650" t="s">
        <v>98</v>
      </c>
      <c r="E1455" s="390" t="s">
        <v>100</v>
      </c>
      <c r="F1455" s="391">
        <f t="shared" ref="F1455:M1455" si="539">SUM(F1456:F1460)</f>
        <v>11992256</v>
      </c>
      <c r="G1455" s="391">
        <f t="shared" si="539"/>
        <v>4850000</v>
      </c>
      <c r="H1455" s="391">
        <f t="shared" si="539"/>
        <v>0</v>
      </c>
      <c r="I1455" s="391">
        <f t="shared" si="539"/>
        <v>16842256</v>
      </c>
      <c r="J1455" s="391">
        <f t="shared" si="539"/>
        <v>11682253.690000001</v>
      </c>
      <c r="K1455" s="391">
        <f t="shared" si="539"/>
        <v>4669925.95</v>
      </c>
      <c r="L1455" s="391">
        <f t="shared" si="539"/>
        <v>0</v>
      </c>
      <c r="M1455" s="391">
        <f t="shared" si="539"/>
        <v>16352179.640000001</v>
      </c>
      <c r="N1455" s="391">
        <f t="shared" si="516"/>
        <v>310002.30999999866</v>
      </c>
      <c r="O1455" s="391">
        <f t="shared" si="516"/>
        <v>180074.04999999981</v>
      </c>
      <c r="P1455" s="391">
        <f t="shared" si="516"/>
        <v>0</v>
      </c>
      <c r="Q1455" s="391">
        <f t="shared" si="517"/>
        <v>490076.35999999847</v>
      </c>
      <c r="R1455" s="102"/>
      <c r="S1455" s="254">
        <f t="shared" si="532"/>
        <v>0.97414979216587783</v>
      </c>
      <c r="T1455" s="254">
        <f t="shared" si="532"/>
        <v>0.96287132989690727</v>
      </c>
      <c r="U1455" s="254" t="str">
        <f t="shared" si="532"/>
        <v/>
      </c>
      <c r="V1455" s="254">
        <f t="shared" si="532"/>
        <v>0.97090197655230992</v>
      </c>
      <c r="W1455" s="531"/>
      <c r="Y1455" s="272" t="s">
        <v>598</v>
      </c>
      <c r="Z1455" s="256" t="s">
        <v>598</v>
      </c>
    </row>
    <row r="1456" spans="1:26" ht="11.25" customHeight="1">
      <c r="A1456" s="528" t="s">
        <v>69</v>
      </c>
      <c r="B1456" s="1013" t="s">
        <v>237</v>
      </c>
      <c r="C1456" s="728"/>
      <c r="D1456" s="649" t="s">
        <v>288</v>
      </c>
      <c r="E1456" s="729" t="s">
        <v>288</v>
      </c>
      <c r="F1456" s="103">
        <f>SUM('[3]special hospitals2'!Y14)</f>
        <v>0</v>
      </c>
      <c r="G1456" s="103">
        <f>SUM('[3]special hospitals2'!Y50)</f>
        <v>0</v>
      </c>
      <c r="H1456" s="103">
        <f>SUM('[3]special hospitals2'!Y142)</f>
        <v>0</v>
      </c>
      <c r="I1456" s="103">
        <f t="shared" si="518"/>
        <v>0</v>
      </c>
      <c r="J1456" s="103">
        <f>SUM('[3]special hospitals2'!Y15)</f>
        <v>0</v>
      </c>
      <c r="K1456" s="103">
        <f>SUM('[3]special hospitals2'!Y51)</f>
        <v>0</v>
      </c>
      <c r="L1456" s="103">
        <f>SUM('[3]special hospitals2'!Y143)</f>
        <v>0</v>
      </c>
      <c r="M1456" s="103">
        <f t="shared" si="519"/>
        <v>0</v>
      </c>
      <c r="N1456" s="103">
        <f t="shared" si="516"/>
        <v>0</v>
      </c>
      <c r="O1456" s="103">
        <f t="shared" si="516"/>
        <v>0</v>
      </c>
      <c r="P1456" s="103">
        <f t="shared" si="516"/>
        <v>0</v>
      </c>
      <c r="Q1456" s="103">
        <f t="shared" si="517"/>
        <v>0</v>
      </c>
      <c r="S1456" s="730" t="str">
        <f t="shared" si="532"/>
        <v/>
      </c>
      <c r="T1456" s="730" t="str">
        <f t="shared" si="532"/>
        <v/>
      </c>
      <c r="U1456" s="730" t="str">
        <f t="shared" si="532"/>
        <v/>
      </c>
      <c r="V1456" s="730" t="str">
        <f t="shared" si="532"/>
        <v/>
      </c>
      <c r="W1456" s="531"/>
      <c r="X1456" s="236"/>
      <c r="Y1456" s="236" t="s">
        <v>598</v>
      </c>
      <c r="Z1456" s="236"/>
    </row>
    <row r="1457" spans="1:26" ht="11.25" customHeight="1">
      <c r="A1457" s="528" t="s">
        <v>69</v>
      </c>
      <c r="B1457" s="1013" t="s">
        <v>237</v>
      </c>
      <c r="C1457" s="728"/>
      <c r="D1457" s="649" t="s">
        <v>761</v>
      </c>
      <c r="E1457" s="729" t="s">
        <v>761</v>
      </c>
      <c r="F1457" s="104">
        <f>+'[3]special hospitals2'!B389</f>
        <v>3970000</v>
      </c>
      <c r="G1457" s="104"/>
      <c r="H1457" s="104"/>
      <c r="I1457" s="103">
        <f>SUM(F1457:H1457)</f>
        <v>3970000</v>
      </c>
      <c r="J1457" s="104">
        <f>+'[3]special hospitals2'!F389</f>
        <v>3660000</v>
      </c>
      <c r="K1457" s="104"/>
      <c r="L1457" s="104"/>
      <c r="M1457" s="103">
        <f>SUM(J1457:L1457)</f>
        <v>3660000</v>
      </c>
      <c r="N1457" s="103">
        <f>+F1457-J1457</f>
        <v>310000</v>
      </c>
      <c r="O1457" s="103">
        <f>+G1457-K1457</f>
        <v>0</v>
      </c>
      <c r="P1457" s="103">
        <f>+H1457-L1457</f>
        <v>0</v>
      </c>
      <c r="Q1457" s="103">
        <f>SUM(N1457:P1457)</f>
        <v>310000</v>
      </c>
      <c r="S1457" s="730">
        <f t="shared" si="532"/>
        <v>0.92191435768261965</v>
      </c>
      <c r="T1457" s="730" t="str">
        <f t="shared" si="532"/>
        <v/>
      </c>
      <c r="U1457" s="730" t="str">
        <f t="shared" si="532"/>
        <v/>
      </c>
      <c r="V1457" s="730">
        <f t="shared" si="532"/>
        <v>0.92191435768261965</v>
      </c>
      <c r="W1457" s="531"/>
      <c r="X1457" s="236"/>
      <c r="Y1457" s="236" t="s">
        <v>688</v>
      </c>
      <c r="Z1457" s="236"/>
    </row>
    <row r="1458" spans="1:26" ht="11.25" customHeight="1">
      <c r="A1458" s="528" t="s">
        <v>69</v>
      </c>
      <c r="B1458" s="1013" t="s">
        <v>237</v>
      </c>
      <c r="C1458" s="410"/>
      <c r="D1458" s="647"/>
      <c r="E1458" s="461" t="s">
        <v>764</v>
      </c>
      <c r="F1458" s="104"/>
      <c r="G1458" s="104"/>
      <c r="H1458" s="104"/>
      <c r="I1458" s="103"/>
      <c r="J1458" s="104"/>
      <c r="K1458" s="104"/>
      <c r="L1458" s="104"/>
      <c r="M1458" s="103"/>
      <c r="N1458" s="103"/>
      <c r="O1458" s="103"/>
      <c r="P1458" s="103"/>
      <c r="Q1458" s="103"/>
      <c r="S1458" s="730" t="str">
        <f t="shared" si="532"/>
        <v/>
      </c>
      <c r="T1458" s="730" t="str">
        <f t="shared" si="532"/>
        <v/>
      </c>
      <c r="U1458" s="730" t="str">
        <f t="shared" si="532"/>
        <v/>
      </c>
      <c r="V1458" s="730" t="str">
        <f t="shared" si="532"/>
        <v/>
      </c>
      <c r="W1458" s="531"/>
      <c r="X1458" s="236"/>
      <c r="Y1458" s="236" t="s">
        <v>688</v>
      </c>
      <c r="Z1458" s="240"/>
    </row>
    <row r="1459" spans="1:26" ht="11.25" customHeight="1">
      <c r="A1459" s="528" t="s">
        <v>69</v>
      </c>
      <c r="B1459" s="1013" t="s">
        <v>237</v>
      </c>
      <c r="C1459" s="728"/>
      <c r="D1459" s="649" t="s">
        <v>289</v>
      </c>
      <c r="E1459" s="729" t="s">
        <v>289</v>
      </c>
      <c r="F1459" s="103">
        <f>SUM('[3]special hospitals2'!AF14)</f>
        <v>8022256</v>
      </c>
      <c r="G1459" s="103">
        <f>SUM('[3]special hospitals2'!AF50)</f>
        <v>0</v>
      </c>
      <c r="H1459" s="103">
        <f>SUM('[3]special hospitals2'!AF142)</f>
        <v>0</v>
      </c>
      <c r="I1459" s="103">
        <f t="shared" si="518"/>
        <v>8022256</v>
      </c>
      <c r="J1459" s="103">
        <f>SUM('[3]special hospitals2'!AF15)</f>
        <v>8022253.6900000004</v>
      </c>
      <c r="K1459" s="103">
        <f>SUM('[3]special hospitals2'!AF51)</f>
        <v>0</v>
      </c>
      <c r="L1459" s="103">
        <f>SUM('[3]special hospitals2'!AF143)</f>
        <v>0</v>
      </c>
      <c r="M1459" s="103">
        <f t="shared" si="519"/>
        <v>8022253.6900000004</v>
      </c>
      <c r="N1459" s="103">
        <f t="shared" si="516"/>
        <v>2.3099999995902181</v>
      </c>
      <c r="O1459" s="103">
        <f t="shared" si="516"/>
        <v>0</v>
      </c>
      <c r="P1459" s="103">
        <f t="shared" si="516"/>
        <v>0</v>
      </c>
      <c r="Q1459" s="103">
        <f t="shared" si="517"/>
        <v>2.3099999995902181</v>
      </c>
      <c r="S1459" s="730">
        <f t="shared" si="532"/>
        <v>0.99999971205107396</v>
      </c>
      <c r="T1459" s="730" t="str">
        <f t="shared" si="532"/>
        <v/>
      </c>
      <c r="U1459" s="730" t="str">
        <f t="shared" si="532"/>
        <v/>
      </c>
      <c r="V1459" s="730">
        <f t="shared" si="532"/>
        <v>0.99999971205107396</v>
      </c>
      <c r="W1459" s="531"/>
      <c r="X1459" s="236"/>
      <c r="Y1459" s="236" t="s">
        <v>598</v>
      </c>
      <c r="Z1459" s="236"/>
    </row>
    <row r="1460" spans="1:26" ht="11.25" customHeight="1">
      <c r="A1460" s="528" t="s">
        <v>69</v>
      </c>
      <c r="B1460" s="1013" t="s">
        <v>237</v>
      </c>
      <c r="C1460" s="728"/>
      <c r="D1460" s="649" t="s">
        <v>290</v>
      </c>
      <c r="E1460" s="729" t="s">
        <v>290</v>
      </c>
      <c r="F1460" s="103">
        <f>SUM('[3]special hospitals2'!AM14)</f>
        <v>0</v>
      </c>
      <c r="G1460" s="103">
        <f>SUM('[3]special hospitals2'!AM50)</f>
        <v>4850000</v>
      </c>
      <c r="H1460" s="103">
        <f>SUM('[3]special hospitals2'!AM142)</f>
        <v>0</v>
      </c>
      <c r="I1460" s="103">
        <f t="shared" si="518"/>
        <v>4850000</v>
      </c>
      <c r="J1460" s="103">
        <f>SUM('[3]special hospitals2'!AM15)</f>
        <v>0</v>
      </c>
      <c r="K1460" s="103">
        <f>SUM('[3]special hospitals2'!AM51)</f>
        <v>4669925.95</v>
      </c>
      <c r="L1460" s="103">
        <f>SUM('[3]special hospitals2'!AM143)</f>
        <v>0</v>
      </c>
      <c r="M1460" s="103">
        <f t="shared" si="519"/>
        <v>4669925.95</v>
      </c>
      <c r="N1460" s="103">
        <f t="shared" si="516"/>
        <v>0</v>
      </c>
      <c r="O1460" s="103">
        <f t="shared" si="516"/>
        <v>180074.04999999981</v>
      </c>
      <c r="P1460" s="103">
        <f t="shared" si="516"/>
        <v>0</v>
      </c>
      <c r="Q1460" s="103">
        <f t="shared" si="517"/>
        <v>180074.04999999981</v>
      </c>
      <c r="S1460" s="730" t="str">
        <f t="shared" si="532"/>
        <v/>
      </c>
      <c r="T1460" s="730">
        <f t="shared" si="532"/>
        <v>0.96287132989690727</v>
      </c>
      <c r="U1460" s="730" t="str">
        <f t="shared" si="532"/>
        <v/>
      </c>
      <c r="V1460" s="730">
        <f t="shared" si="532"/>
        <v>0.96287132989690727</v>
      </c>
      <c r="W1460" s="531"/>
      <c r="X1460" s="236"/>
      <c r="Y1460" s="236" t="s">
        <v>598</v>
      </c>
      <c r="Z1460" s="236"/>
    </row>
    <row r="1461" spans="1:26" s="259" customFormat="1" ht="11.25" customHeight="1">
      <c r="A1461" s="246" t="s">
        <v>69</v>
      </c>
      <c r="B1461" s="235" t="s">
        <v>237</v>
      </c>
      <c r="C1461" s="656"/>
      <c r="D1461" s="656"/>
      <c r="E1461" s="657" t="s">
        <v>4</v>
      </c>
      <c r="F1461" s="652">
        <f>+F1451+F1453+F1455</f>
        <v>210950256</v>
      </c>
      <c r="G1461" s="652">
        <f t="shared" ref="G1461:M1461" si="540">+G1451+G1453+G1455</f>
        <v>164855000</v>
      </c>
      <c r="H1461" s="652">
        <f t="shared" si="540"/>
        <v>55000000</v>
      </c>
      <c r="I1461" s="652">
        <f t="shared" si="540"/>
        <v>430805256</v>
      </c>
      <c r="J1461" s="652">
        <f t="shared" si="540"/>
        <v>199405211.48999998</v>
      </c>
      <c r="K1461" s="652">
        <f t="shared" si="540"/>
        <v>156325622.89999998</v>
      </c>
      <c r="L1461" s="652">
        <f t="shared" si="540"/>
        <v>50548924.090000004</v>
      </c>
      <c r="M1461" s="652">
        <f t="shared" si="540"/>
        <v>406279758.47999996</v>
      </c>
      <c r="N1461" s="652">
        <f t="shared" si="516"/>
        <v>11545044.51000002</v>
      </c>
      <c r="O1461" s="652">
        <f t="shared" si="516"/>
        <v>8529377.1000000238</v>
      </c>
      <c r="P1461" s="652">
        <f t="shared" si="516"/>
        <v>4451075.9099999964</v>
      </c>
      <c r="Q1461" s="652">
        <f t="shared" si="517"/>
        <v>24525497.520000041</v>
      </c>
      <c r="R1461" s="653">
        <f>+Q1461-'[3]special hospitals2'!BS179</f>
        <v>0</v>
      </c>
      <c r="S1461" s="1008">
        <f t="shared" si="532"/>
        <v>0.94527124674359242</v>
      </c>
      <c r="T1461" s="1008">
        <f t="shared" si="532"/>
        <v>0.94826133814564295</v>
      </c>
      <c r="U1461" s="1008">
        <f t="shared" si="532"/>
        <v>0.91907134709090921</v>
      </c>
      <c r="V1461" s="1008">
        <f t="shared" si="532"/>
        <v>0.94307057033677411</v>
      </c>
      <c r="W1461" s="254"/>
      <c r="X1461" s="520"/>
      <c r="Y1461" s="610" t="s">
        <v>598</v>
      </c>
      <c r="Z1461" s="241" t="s">
        <v>598</v>
      </c>
    </row>
    <row r="1462" spans="1:26" ht="11.25" customHeight="1">
      <c r="A1462" s="246" t="s">
        <v>69</v>
      </c>
      <c r="B1462" s="235" t="s">
        <v>237</v>
      </c>
      <c r="C1462" s="410"/>
      <c r="D1462" s="386"/>
      <c r="E1462" s="461" t="s">
        <v>764</v>
      </c>
      <c r="F1462" s="103"/>
      <c r="G1462" s="103"/>
      <c r="H1462" s="103"/>
      <c r="I1462" s="103">
        <f t="shared" si="518"/>
        <v>0</v>
      </c>
      <c r="J1462" s="103"/>
      <c r="K1462" s="103"/>
      <c r="L1462" s="103"/>
      <c r="M1462" s="103">
        <f t="shared" si="519"/>
        <v>0</v>
      </c>
      <c r="N1462" s="103">
        <f t="shared" si="516"/>
        <v>0</v>
      </c>
      <c r="O1462" s="103">
        <f t="shared" si="516"/>
        <v>0</v>
      </c>
      <c r="P1462" s="103">
        <f t="shared" si="516"/>
        <v>0</v>
      </c>
      <c r="Q1462" s="103">
        <f t="shared" si="517"/>
        <v>0</v>
      </c>
      <c r="S1462" s="730" t="str">
        <f t="shared" si="532"/>
        <v/>
      </c>
      <c r="T1462" s="730" t="str">
        <f t="shared" si="532"/>
        <v/>
      </c>
      <c r="U1462" s="730" t="str">
        <f t="shared" si="532"/>
        <v/>
      </c>
      <c r="V1462" s="730" t="str">
        <f t="shared" si="532"/>
        <v/>
      </c>
      <c r="W1462" s="254"/>
      <c r="Y1462" s="610" t="s">
        <v>598</v>
      </c>
      <c r="Z1462" s="241" t="s">
        <v>598</v>
      </c>
    </row>
    <row r="1463" spans="1:26" s="675" customFormat="1" ht="11.25" customHeight="1">
      <c r="A1463" s="528" t="s">
        <v>69</v>
      </c>
      <c r="B1463" s="528" t="s">
        <v>238</v>
      </c>
      <c r="C1463" s="407" t="s">
        <v>98</v>
      </c>
      <c r="D1463" s="655" t="s">
        <v>239</v>
      </c>
      <c r="E1463" s="408" t="s">
        <v>238</v>
      </c>
      <c r="F1463" s="673"/>
      <c r="G1463" s="673"/>
      <c r="H1463" s="673"/>
      <c r="I1463" s="674">
        <f t="shared" si="518"/>
        <v>0</v>
      </c>
      <c r="J1463" s="673"/>
      <c r="K1463" s="673"/>
      <c r="L1463" s="673"/>
      <c r="M1463" s="674">
        <f t="shared" si="519"/>
        <v>0</v>
      </c>
      <c r="N1463" s="674">
        <f t="shared" si="516"/>
        <v>0</v>
      </c>
      <c r="O1463" s="674">
        <f t="shared" si="516"/>
        <v>0</v>
      </c>
      <c r="P1463" s="674">
        <f t="shared" si="516"/>
        <v>0</v>
      </c>
      <c r="Q1463" s="674">
        <f t="shared" si="517"/>
        <v>0</v>
      </c>
      <c r="R1463" s="101"/>
      <c r="S1463" s="254" t="str">
        <f t="shared" si="532"/>
        <v/>
      </c>
      <c r="T1463" s="254" t="str">
        <f t="shared" si="532"/>
        <v/>
      </c>
      <c r="U1463" s="254" t="str">
        <f t="shared" si="532"/>
        <v/>
      </c>
      <c r="V1463" s="254" t="str">
        <f t="shared" si="532"/>
        <v/>
      </c>
      <c r="W1463" s="531"/>
      <c r="Y1463" s="272" t="s">
        <v>598</v>
      </c>
      <c r="Z1463" s="260" t="s">
        <v>598</v>
      </c>
    </row>
    <row r="1464" spans="1:26" ht="11.25" customHeight="1">
      <c r="A1464" s="528" t="s">
        <v>69</v>
      </c>
      <c r="B1464" s="1013" t="s">
        <v>238</v>
      </c>
      <c r="C1464" s="461"/>
      <c r="D1464" s="645" t="s">
        <v>766</v>
      </c>
      <c r="E1464" s="447" t="s">
        <v>766</v>
      </c>
      <c r="F1464" s="104">
        <f>+'[3]special hospitals2'!B413</f>
        <v>353528000</v>
      </c>
      <c r="G1464" s="104">
        <f>+'[3]special hospitals2'!C413</f>
        <v>137890000</v>
      </c>
      <c r="H1464" s="104">
        <f>+'[3]special hospitals2'!D413</f>
        <v>0</v>
      </c>
      <c r="I1464" s="103">
        <f t="shared" si="518"/>
        <v>491418000</v>
      </c>
      <c r="J1464" s="104">
        <f>+'[3]special hospitals2'!F413</f>
        <v>343726463.06</v>
      </c>
      <c r="K1464" s="104">
        <f>+'[3]special hospitals2'!G413</f>
        <v>129557540.55</v>
      </c>
      <c r="L1464" s="104">
        <f>+'[3]special hospitals2'!H413</f>
        <v>0</v>
      </c>
      <c r="M1464" s="103">
        <f t="shared" si="519"/>
        <v>473284003.61000001</v>
      </c>
      <c r="N1464" s="103">
        <f t="shared" si="516"/>
        <v>9801536.9399999976</v>
      </c>
      <c r="O1464" s="103">
        <f t="shared" si="516"/>
        <v>8332459.450000003</v>
      </c>
      <c r="P1464" s="103">
        <f t="shared" si="516"/>
        <v>0</v>
      </c>
      <c r="Q1464" s="103">
        <f t="shared" si="517"/>
        <v>18133996.390000001</v>
      </c>
      <c r="S1464" s="730">
        <f t="shared" si="532"/>
        <v>0.97227507597700891</v>
      </c>
      <c r="T1464" s="730">
        <f t="shared" si="532"/>
        <v>0.93957169156574083</v>
      </c>
      <c r="U1464" s="730" t="str">
        <f t="shared" si="532"/>
        <v/>
      </c>
      <c r="V1464" s="730">
        <f t="shared" si="532"/>
        <v>0.9630986321420868</v>
      </c>
      <c r="W1464" s="531"/>
      <c r="X1464" s="236"/>
      <c r="Y1464" s="236" t="s">
        <v>688</v>
      </c>
      <c r="Z1464" s="236"/>
    </row>
    <row r="1465" spans="1:26" ht="11.25" customHeight="1">
      <c r="A1465" s="528" t="s">
        <v>69</v>
      </c>
      <c r="B1465" s="1013" t="s">
        <v>238</v>
      </c>
      <c r="C1465" s="728"/>
      <c r="D1465" s="649" t="s">
        <v>50</v>
      </c>
      <c r="E1465" s="447" t="s">
        <v>50</v>
      </c>
      <c r="F1465" s="104"/>
      <c r="G1465" s="104">
        <f>+'[3]special hospitals2'!C415</f>
        <v>104428458</v>
      </c>
      <c r="H1465" s="104">
        <f>+'[3]special hospitals2'!D415</f>
        <v>231448322</v>
      </c>
      <c r="I1465" s="103">
        <f>SUM(F1465:H1465)</f>
        <v>335876780</v>
      </c>
      <c r="J1465" s="104"/>
      <c r="K1465" s="104">
        <f>+'[3]special hospitals2'!G415</f>
        <v>79877802.289999992</v>
      </c>
      <c r="L1465" s="104">
        <f>+'[3]special hospitals2'!H415</f>
        <v>227749770.18000001</v>
      </c>
      <c r="M1465" s="103">
        <f>SUM(J1465:L1465)</f>
        <v>307627572.47000003</v>
      </c>
      <c r="N1465" s="103">
        <f t="shared" ref="N1465:P1534" si="541">+F1465-J1465</f>
        <v>0</v>
      </c>
      <c r="O1465" s="103">
        <f t="shared" si="541"/>
        <v>24550655.710000008</v>
      </c>
      <c r="P1465" s="103">
        <f t="shared" si="541"/>
        <v>3698551.8199999928</v>
      </c>
      <c r="Q1465" s="103">
        <f t="shared" ref="Q1465:Q1534" si="542">SUM(N1465:P1465)</f>
        <v>28249207.530000001</v>
      </c>
      <c r="S1465" s="730" t="str">
        <f t="shared" si="532"/>
        <v/>
      </c>
      <c r="T1465" s="730">
        <f t="shared" si="532"/>
        <v>0.76490454632586835</v>
      </c>
      <c r="U1465" s="730">
        <f t="shared" si="532"/>
        <v>0.98401996701449412</v>
      </c>
      <c r="V1465" s="730">
        <f t="shared" si="532"/>
        <v>0.91589413376536488</v>
      </c>
      <c r="W1465" s="531"/>
      <c r="X1465" s="236"/>
      <c r="Y1465" s="236" t="s">
        <v>688</v>
      </c>
      <c r="Z1465" s="236"/>
    </row>
    <row r="1466" spans="1:26" s="256" customFormat="1" ht="11.25" customHeight="1">
      <c r="A1466" s="528" t="s">
        <v>69</v>
      </c>
      <c r="B1466" s="528" t="s">
        <v>238</v>
      </c>
      <c r="C1466" s="389"/>
      <c r="D1466" s="650" t="s">
        <v>98</v>
      </c>
      <c r="E1466" s="390" t="s">
        <v>767</v>
      </c>
      <c r="F1466" s="391">
        <f>+F1464+F1465</f>
        <v>353528000</v>
      </c>
      <c r="G1466" s="391">
        <f t="shared" ref="G1466:M1466" si="543">+G1464+G1465</f>
        <v>242318458</v>
      </c>
      <c r="H1466" s="391">
        <f t="shared" si="543"/>
        <v>231448322</v>
      </c>
      <c r="I1466" s="391">
        <f t="shared" si="543"/>
        <v>827294780</v>
      </c>
      <c r="J1466" s="391">
        <f t="shared" si="543"/>
        <v>343726463.06</v>
      </c>
      <c r="K1466" s="391">
        <f t="shared" si="543"/>
        <v>209435342.83999997</v>
      </c>
      <c r="L1466" s="391">
        <f t="shared" si="543"/>
        <v>227749770.18000001</v>
      </c>
      <c r="M1466" s="391">
        <f t="shared" si="543"/>
        <v>780911576.08000004</v>
      </c>
      <c r="N1466" s="391">
        <f t="shared" si="541"/>
        <v>9801536.9399999976</v>
      </c>
      <c r="O1466" s="391">
        <f t="shared" si="541"/>
        <v>32883115.160000026</v>
      </c>
      <c r="P1466" s="391">
        <f t="shared" si="541"/>
        <v>3698551.8199999928</v>
      </c>
      <c r="Q1466" s="391">
        <f t="shared" si="542"/>
        <v>46383203.920000017</v>
      </c>
      <c r="R1466" s="101"/>
      <c r="S1466" s="254">
        <f t="shared" si="532"/>
        <v>0.97227507597700891</v>
      </c>
      <c r="T1466" s="254">
        <f t="shared" si="532"/>
        <v>0.86429793491010076</v>
      </c>
      <c r="U1466" s="254">
        <f t="shared" si="532"/>
        <v>0.98401996701449412</v>
      </c>
      <c r="V1466" s="254">
        <f t="shared" si="532"/>
        <v>0.94393388542835965</v>
      </c>
      <c r="W1466" s="531"/>
      <c r="Y1466" s="256" t="s">
        <v>598</v>
      </c>
      <c r="Z1466" s="256" t="s">
        <v>598</v>
      </c>
    </row>
    <row r="1467" spans="1:26" ht="11.25" hidden="1" customHeight="1">
      <c r="A1467" s="528" t="s">
        <v>69</v>
      </c>
      <c r="B1467" s="1013" t="s">
        <v>238</v>
      </c>
      <c r="C1467" s="410"/>
      <c r="D1467" s="651"/>
      <c r="E1467" s="806" t="s">
        <v>764</v>
      </c>
      <c r="F1467" s="807"/>
      <c r="G1467" s="807"/>
      <c r="H1467" s="807"/>
      <c r="I1467" s="807"/>
      <c r="J1467" s="807"/>
      <c r="K1467" s="807"/>
      <c r="L1467" s="807"/>
      <c r="M1467" s="807"/>
      <c r="N1467" s="807">
        <f t="shared" si="541"/>
        <v>0</v>
      </c>
      <c r="O1467" s="807">
        <f t="shared" si="541"/>
        <v>0</v>
      </c>
      <c r="P1467" s="807">
        <f t="shared" si="541"/>
        <v>0</v>
      </c>
      <c r="Q1467" s="807">
        <f t="shared" si="542"/>
        <v>0</v>
      </c>
      <c r="R1467" s="276"/>
      <c r="S1467" s="730" t="str">
        <f t="shared" si="532"/>
        <v/>
      </c>
      <c r="T1467" s="730" t="str">
        <f t="shared" si="532"/>
        <v/>
      </c>
      <c r="U1467" s="730" t="str">
        <f t="shared" si="532"/>
        <v/>
      </c>
      <c r="V1467" s="730" t="str">
        <f t="shared" si="532"/>
        <v/>
      </c>
      <c r="W1467" s="531"/>
      <c r="X1467" s="236"/>
      <c r="Y1467" s="236"/>
      <c r="Z1467" s="236"/>
    </row>
    <row r="1468" spans="1:26" s="256" customFormat="1" ht="11.25" customHeight="1">
      <c r="A1468" s="528" t="s">
        <v>69</v>
      </c>
      <c r="B1468" s="528" t="s">
        <v>238</v>
      </c>
      <c r="C1468" s="389"/>
      <c r="D1468" s="650" t="s">
        <v>98</v>
      </c>
      <c r="E1468" s="390" t="s">
        <v>99</v>
      </c>
      <c r="F1468" s="391">
        <f>+F1469</f>
        <v>33194000</v>
      </c>
      <c r="G1468" s="391">
        <f t="shared" ref="G1468:M1468" si="544">+G1469</f>
        <v>0</v>
      </c>
      <c r="H1468" s="391">
        <f t="shared" si="544"/>
        <v>0</v>
      </c>
      <c r="I1468" s="391">
        <f t="shared" si="544"/>
        <v>33194000</v>
      </c>
      <c r="J1468" s="391">
        <f t="shared" si="544"/>
        <v>30443687.129999999</v>
      </c>
      <c r="K1468" s="391">
        <f t="shared" si="544"/>
        <v>0</v>
      </c>
      <c r="L1468" s="391">
        <f t="shared" si="544"/>
        <v>0</v>
      </c>
      <c r="M1468" s="391">
        <f t="shared" si="544"/>
        <v>30443687.129999999</v>
      </c>
      <c r="N1468" s="391">
        <f t="shared" si="541"/>
        <v>2750312.870000001</v>
      </c>
      <c r="O1468" s="391">
        <f t="shared" si="541"/>
        <v>0</v>
      </c>
      <c r="P1468" s="391">
        <f t="shared" si="541"/>
        <v>0</v>
      </c>
      <c r="Q1468" s="391">
        <f t="shared" si="542"/>
        <v>2750312.870000001</v>
      </c>
      <c r="R1468" s="101"/>
      <c r="S1468" s="254">
        <f t="shared" si="532"/>
        <v>0.91714427697776701</v>
      </c>
      <c r="T1468" s="254" t="str">
        <f t="shared" si="532"/>
        <v/>
      </c>
      <c r="U1468" s="254" t="str">
        <f t="shared" si="532"/>
        <v/>
      </c>
      <c r="V1468" s="254">
        <f t="shared" si="532"/>
        <v>0.91714427697776701</v>
      </c>
      <c r="W1468" s="531"/>
      <c r="Y1468" s="256" t="s">
        <v>598</v>
      </c>
      <c r="Z1468" s="256" t="s">
        <v>598</v>
      </c>
    </row>
    <row r="1469" spans="1:26" ht="11.25" customHeight="1">
      <c r="A1469" s="528" t="s">
        <v>69</v>
      </c>
      <c r="B1469" s="1013" t="s">
        <v>238</v>
      </c>
      <c r="C1469" s="728"/>
      <c r="D1469" s="649" t="s">
        <v>286</v>
      </c>
      <c r="E1469" s="729" t="s">
        <v>286</v>
      </c>
      <c r="F1469" s="103">
        <f>SUM('[3]special hospitals2'!V14)</f>
        <v>33194000</v>
      </c>
      <c r="G1469" s="103">
        <f>SUM('[3]special hospitals2'!V50)</f>
        <v>0</v>
      </c>
      <c r="H1469" s="103">
        <f>SUM('[3]special hospitals2'!V142)</f>
        <v>0</v>
      </c>
      <c r="I1469" s="103">
        <f t="shared" si="518"/>
        <v>33194000</v>
      </c>
      <c r="J1469" s="103">
        <f>SUM('[3]special hospitals2'!V15)</f>
        <v>30443687.129999999</v>
      </c>
      <c r="K1469" s="103">
        <f>SUM('[3]special hospitals2'!V51)</f>
        <v>0</v>
      </c>
      <c r="L1469" s="103">
        <f>SUM('[3]special hospitals2'!V143)</f>
        <v>0</v>
      </c>
      <c r="M1469" s="103">
        <f t="shared" si="519"/>
        <v>30443687.129999999</v>
      </c>
      <c r="N1469" s="103">
        <f t="shared" si="541"/>
        <v>2750312.870000001</v>
      </c>
      <c r="O1469" s="103">
        <f t="shared" si="541"/>
        <v>0</v>
      </c>
      <c r="P1469" s="103">
        <f t="shared" si="541"/>
        <v>0</v>
      </c>
      <c r="Q1469" s="103">
        <f t="shared" si="542"/>
        <v>2750312.870000001</v>
      </c>
      <c r="S1469" s="730">
        <f t="shared" si="532"/>
        <v>0.91714427697776701</v>
      </c>
      <c r="T1469" s="730" t="str">
        <f t="shared" si="532"/>
        <v/>
      </c>
      <c r="U1469" s="730" t="str">
        <f t="shared" si="532"/>
        <v/>
      </c>
      <c r="V1469" s="730">
        <f t="shared" si="532"/>
        <v>0.91714427697776701</v>
      </c>
      <c r="W1469" s="531"/>
      <c r="X1469" s="236"/>
      <c r="Y1469" s="236" t="s">
        <v>598</v>
      </c>
      <c r="Z1469" s="236"/>
    </row>
    <row r="1470" spans="1:26" s="272" customFormat="1" ht="11.25" customHeight="1">
      <c r="A1470" s="528" t="s">
        <v>69</v>
      </c>
      <c r="B1470" s="528" t="s">
        <v>238</v>
      </c>
      <c r="C1470" s="389"/>
      <c r="D1470" s="650" t="s">
        <v>98</v>
      </c>
      <c r="E1470" s="390" t="s">
        <v>100</v>
      </c>
      <c r="F1470" s="391">
        <f t="shared" ref="F1470:M1470" si="545">SUM(F1471:F1475)</f>
        <v>16406536</v>
      </c>
      <c r="G1470" s="391">
        <f t="shared" si="545"/>
        <v>8800000</v>
      </c>
      <c r="H1470" s="391">
        <f t="shared" si="545"/>
        <v>0</v>
      </c>
      <c r="I1470" s="391">
        <f t="shared" si="545"/>
        <v>25206536</v>
      </c>
      <c r="J1470" s="391">
        <f t="shared" si="545"/>
        <v>16217719.210000001</v>
      </c>
      <c r="K1470" s="391">
        <f t="shared" si="545"/>
        <v>8788608.8300000001</v>
      </c>
      <c r="L1470" s="391">
        <f t="shared" si="545"/>
        <v>0</v>
      </c>
      <c r="M1470" s="391">
        <f t="shared" si="545"/>
        <v>25006328.039999999</v>
      </c>
      <c r="N1470" s="391">
        <f t="shared" si="541"/>
        <v>188816.78999999911</v>
      </c>
      <c r="O1470" s="391">
        <f t="shared" si="541"/>
        <v>11391.169999999925</v>
      </c>
      <c r="P1470" s="391">
        <f t="shared" si="541"/>
        <v>0</v>
      </c>
      <c r="Q1470" s="391">
        <f t="shared" si="542"/>
        <v>200207.95999999903</v>
      </c>
      <c r="R1470" s="102"/>
      <c r="S1470" s="254">
        <f t="shared" si="532"/>
        <v>0.98849136770857671</v>
      </c>
      <c r="T1470" s="254">
        <f t="shared" si="532"/>
        <v>0.99870554886363638</v>
      </c>
      <c r="U1470" s="254" t="str">
        <f t="shared" si="532"/>
        <v/>
      </c>
      <c r="V1470" s="254">
        <f t="shared" si="532"/>
        <v>0.99205729974162249</v>
      </c>
      <c r="W1470" s="531"/>
      <c r="Y1470" s="272" t="s">
        <v>598</v>
      </c>
      <c r="Z1470" s="256" t="s">
        <v>598</v>
      </c>
    </row>
    <row r="1471" spans="1:26" ht="11.25" customHeight="1">
      <c r="A1471" s="528" t="s">
        <v>69</v>
      </c>
      <c r="B1471" s="1013" t="s">
        <v>238</v>
      </c>
      <c r="C1471" s="728"/>
      <c r="D1471" s="649" t="s">
        <v>288</v>
      </c>
      <c r="E1471" s="729" t="s">
        <v>288</v>
      </c>
      <c r="F1471" s="103">
        <f>SUM('[3]special hospitals2'!AC14)</f>
        <v>0</v>
      </c>
      <c r="G1471" s="103">
        <f>SUM('[3]special hospitals2'!AC50)</f>
        <v>0</v>
      </c>
      <c r="H1471" s="103">
        <f>SUM('[3]special hospitals2'!AC142)</f>
        <v>0</v>
      </c>
      <c r="I1471" s="103">
        <f t="shared" si="518"/>
        <v>0</v>
      </c>
      <c r="J1471" s="103">
        <f>SUM('[3]special hospitals2'!AC15)</f>
        <v>0</v>
      </c>
      <c r="K1471" s="103">
        <f>SUM('[3]special hospitals2'!AC51)</f>
        <v>0</v>
      </c>
      <c r="L1471" s="103">
        <f>SUM('[3]special hospitals2'!AC143)</f>
        <v>0</v>
      </c>
      <c r="M1471" s="103">
        <f t="shared" si="519"/>
        <v>0</v>
      </c>
      <c r="N1471" s="103">
        <f t="shared" si="541"/>
        <v>0</v>
      </c>
      <c r="O1471" s="103">
        <f t="shared" si="541"/>
        <v>0</v>
      </c>
      <c r="P1471" s="103">
        <f t="shared" si="541"/>
        <v>0</v>
      </c>
      <c r="Q1471" s="103">
        <f t="shared" si="542"/>
        <v>0</v>
      </c>
      <c r="S1471" s="730" t="str">
        <f t="shared" si="532"/>
        <v/>
      </c>
      <c r="T1471" s="730" t="str">
        <f t="shared" si="532"/>
        <v/>
      </c>
      <c r="U1471" s="730" t="str">
        <f t="shared" si="532"/>
        <v/>
      </c>
      <c r="V1471" s="730" t="str">
        <f t="shared" si="532"/>
        <v/>
      </c>
      <c r="W1471" s="531"/>
      <c r="X1471" s="236"/>
      <c r="Y1471" s="236" t="s">
        <v>598</v>
      </c>
      <c r="Z1471" s="236"/>
    </row>
    <row r="1472" spans="1:26" ht="11.25" customHeight="1">
      <c r="A1472" s="528" t="s">
        <v>69</v>
      </c>
      <c r="B1472" s="1013" t="s">
        <v>238</v>
      </c>
      <c r="C1472" s="728"/>
      <c r="D1472" s="649" t="s">
        <v>761</v>
      </c>
      <c r="E1472" s="729" t="s">
        <v>761</v>
      </c>
      <c r="F1472" s="104">
        <f>+'[3]special hospitals2'!B415</f>
        <v>7275000</v>
      </c>
      <c r="G1472" s="104"/>
      <c r="H1472" s="104"/>
      <c r="I1472" s="103">
        <f>SUM(F1472:H1472)</f>
        <v>7275000</v>
      </c>
      <c r="J1472" s="104">
        <f>+'[3]special hospitals2'!O44</f>
        <v>7275000</v>
      </c>
      <c r="K1472" s="104"/>
      <c r="L1472" s="104"/>
      <c r="M1472" s="103">
        <f t="shared" si="519"/>
        <v>7275000</v>
      </c>
      <c r="N1472" s="103">
        <f t="shared" si="541"/>
        <v>0</v>
      </c>
      <c r="O1472" s="103">
        <f t="shared" si="541"/>
        <v>0</v>
      </c>
      <c r="P1472" s="103">
        <f t="shared" si="541"/>
        <v>0</v>
      </c>
      <c r="Q1472" s="103">
        <f>SUM(N1472:P1472)</f>
        <v>0</v>
      </c>
      <c r="S1472" s="730">
        <f t="shared" si="532"/>
        <v>1</v>
      </c>
      <c r="T1472" s="730" t="str">
        <f t="shared" si="532"/>
        <v/>
      </c>
      <c r="U1472" s="730" t="str">
        <f t="shared" si="532"/>
        <v/>
      </c>
      <c r="V1472" s="730">
        <f t="shared" si="532"/>
        <v>1</v>
      </c>
      <c r="W1472" s="531"/>
      <c r="X1472" s="236"/>
      <c r="Y1472" s="236" t="s">
        <v>688</v>
      </c>
      <c r="Z1472" s="236"/>
    </row>
    <row r="1473" spans="1:26" ht="11.25" customHeight="1">
      <c r="A1473" s="528" t="s">
        <v>69</v>
      </c>
      <c r="B1473" s="1013" t="s">
        <v>238</v>
      </c>
      <c r="C1473" s="410"/>
      <c r="D1473" s="647"/>
      <c r="E1473" s="461" t="s">
        <v>764</v>
      </c>
      <c r="F1473" s="104"/>
      <c r="G1473" s="104"/>
      <c r="H1473" s="104"/>
      <c r="I1473" s="103"/>
      <c r="J1473" s="104"/>
      <c r="K1473" s="104"/>
      <c r="L1473" s="104"/>
      <c r="M1473" s="103"/>
      <c r="N1473" s="103"/>
      <c r="O1473" s="103"/>
      <c r="P1473" s="103"/>
      <c r="Q1473" s="103"/>
      <c r="S1473" s="730" t="str">
        <f t="shared" si="532"/>
        <v/>
      </c>
      <c r="T1473" s="730" t="str">
        <f t="shared" si="532"/>
        <v/>
      </c>
      <c r="U1473" s="730" t="str">
        <f t="shared" si="532"/>
        <v/>
      </c>
      <c r="V1473" s="730" t="str">
        <f t="shared" si="532"/>
        <v/>
      </c>
      <c r="W1473" s="531"/>
      <c r="X1473" s="236"/>
      <c r="Y1473" s="236" t="s">
        <v>688</v>
      </c>
      <c r="Z1473" s="240"/>
    </row>
    <row r="1474" spans="1:26" ht="11.25" customHeight="1">
      <c r="A1474" s="528" t="s">
        <v>69</v>
      </c>
      <c r="B1474" s="1013" t="s">
        <v>238</v>
      </c>
      <c r="C1474" s="728"/>
      <c r="D1474" s="649" t="s">
        <v>289</v>
      </c>
      <c r="E1474" s="729" t="s">
        <v>289</v>
      </c>
      <c r="F1474" s="103">
        <f>SUM('[3]special hospitals2'!AJ14)</f>
        <v>9131536</v>
      </c>
      <c r="G1474" s="103">
        <f>SUM('[3]special hospitals2'!AJ50)</f>
        <v>0</v>
      </c>
      <c r="H1474" s="103">
        <f>SUM('[3]special hospitals2'!AJ142)</f>
        <v>0</v>
      </c>
      <c r="I1474" s="103">
        <f t="shared" si="518"/>
        <v>9131536</v>
      </c>
      <c r="J1474" s="103">
        <f>SUM('[3]special hospitals2'!AJ15)</f>
        <v>8942719.2100000009</v>
      </c>
      <c r="K1474" s="103">
        <f>SUM('[3]special hospitals2'!AJ51)</f>
        <v>0</v>
      </c>
      <c r="L1474" s="103">
        <f>SUM('[3]special hospitals2'!AJ143)</f>
        <v>0</v>
      </c>
      <c r="M1474" s="103">
        <f t="shared" si="519"/>
        <v>8942719.2100000009</v>
      </c>
      <c r="N1474" s="103">
        <f t="shared" si="541"/>
        <v>188816.78999999911</v>
      </c>
      <c r="O1474" s="103">
        <f t="shared" si="541"/>
        <v>0</v>
      </c>
      <c r="P1474" s="103">
        <f t="shared" si="541"/>
        <v>0</v>
      </c>
      <c r="Q1474" s="103">
        <f t="shared" si="542"/>
        <v>188816.78999999911</v>
      </c>
      <c r="S1474" s="730">
        <f t="shared" si="532"/>
        <v>0.97932255975336469</v>
      </c>
      <c r="T1474" s="730" t="str">
        <f t="shared" si="532"/>
        <v/>
      </c>
      <c r="U1474" s="730" t="str">
        <f t="shared" si="532"/>
        <v/>
      </c>
      <c r="V1474" s="730">
        <f t="shared" si="532"/>
        <v>0.97932255975336469</v>
      </c>
      <c r="W1474" s="531"/>
      <c r="X1474" s="236"/>
      <c r="Y1474" s="236" t="s">
        <v>598</v>
      </c>
      <c r="Z1474" s="236"/>
    </row>
    <row r="1475" spans="1:26" ht="11.25" customHeight="1">
      <c r="A1475" s="528" t="s">
        <v>69</v>
      </c>
      <c r="B1475" s="1013" t="s">
        <v>238</v>
      </c>
      <c r="C1475" s="728"/>
      <c r="D1475" s="649" t="s">
        <v>290</v>
      </c>
      <c r="E1475" s="729" t="s">
        <v>290</v>
      </c>
      <c r="F1475" s="103">
        <f>SUM('[3]special hospitals2'!AQ14)</f>
        <v>0</v>
      </c>
      <c r="G1475" s="103">
        <f>SUM('[3]special hospitals2'!AQ50)</f>
        <v>8800000</v>
      </c>
      <c r="H1475" s="103">
        <f>SUM('[3]special hospitals2'!AQ142)</f>
        <v>0</v>
      </c>
      <c r="I1475" s="103">
        <f t="shared" si="518"/>
        <v>8800000</v>
      </c>
      <c r="J1475" s="103">
        <f>SUM('[3]special hospitals2'!AQ15)</f>
        <v>0</v>
      </c>
      <c r="K1475" s="103">
        <f>SUM('[3]special hospitals2'!AQ51)</f>
        <v>8788608.8300000001</v>
      </c>
      <c r="L1475" s="103">
        <f>SUM('[3]special hospitals2'!AQ143)</f>
        <v>0</v>
      </c>
      <c r="M1475" s="103">
        <f t="shared" si="519"/>
        <v>8788608.8300000001</v>
      </c>
      <c r="N1475" s="103">
        <f t="shared" si="541"/>
        <v>0</v>
      </c>
      <c r="O1475" s="103">
        <f t="shared" si="541"/>
        <v>11391.169999999925</v>
      </c>
      <c r="P1475" s="103">
        <f t="shared" si="541"/>
        <v>0</v>
      </c>
      <c r="Q1475" s="103">
        <f t="shared" si="542"/>
        <v>11391.169999999925</v>
      </c>
      <c r="S1475" s="730" t="str">
        <f t="shared" si="532"/>
        <v/>
      </c>
      <c r="T1475" s="730">
        <f t="shared" si="532"/>
        <v>0.99870554886363638</v>
      </c>
      <c r="U1475" s="730" t="str">
        <f t="shared" si="532"/>
        <v/>
      </c>
      <c r="V1475" s="730">
        <f t="shared" si="532"/>
        <v>0.99870554886363638</v>
      </c>
      <c r="W1475" s="531"/>
      <c r="X1475" s="236"/>
      <c r="Y1475" s="236" t="s">
        <v>598</v>
      </c>
      <c r="Z1475" s="236"/>
    </row>
    <row r="1476" spans="1:26" s="259" customFormat="1" ht="11.25" customHeight="1">
      <c r="A1476" s="246" t="s">
        <v>69</v>
      </c>
      <c r="B1476" s="235" t="s">
        <v>238</v>
      </c>
      <c r="C1476" s="656"/>
      <c r="D1476" s="656"/>
      <c r="E1476" s="657" t="s">
        <v>4</v>
      </c>
      <c r="F1476" s="652">
        <f>+F1466+F1468+F1470</f>
        <v>403128536</v>
      </c>
      <c r="G1476" s="652">
        <f t="shared" ref="G1476:Q1476" si="546">+G1466+G1468+G1470</f>
        <v>251118458</v>
      </c>
      <c r="H1476" s="652">
        <f t="shared" si="546"/>
        <v>231448322</v>
      </c>
      <c r="I1476" s="652">
        <f t="shared" si="546"/>
        <v>885695316</v>
      </c>
      <c r="J1476" s="652">
        <f t="shared" si="546"/>
        <v>390387869.39999998</v>
      </c>
      <c r="K1476" s="652">
        <f t="shared" si="546"/>
        <v>218223951.66999999</v>
      </c>
      <c r="L1476" s="652">
        <f t="shared" si="546"/>
        <v>227749770.18000001</v>
      </c>
      <c r="M1476" s="652">
        <f t="shared" si="546"/>
        <v>836361591.25</v>
      </c>
      <c r="N1476" s="652">
        <f t="shared" si="546"/>
        <v>12740666.599999998</v>
      </c>
      <c r="O1476" s="652">
        <f t="shared" si="546"/>
        <v>32894506.330000028</v>
      </c>
      <c r="P1476" s="652">
        <f t="shared" si="546"/>
        <v>3698551.8199999928</v>
      </c>
      <c r="Q1476" s="652">
        <f t="shared" si="546"/>
        <v>49333724.750000022</v>
      </c>
      <c r="R1476" s="653">
        <f>+Q1476-'[3]special hospitals2'!BW179</f>
        <v>0</v>
      </c>
      <c r="S1476" s="1008">
        <f t="shared" si="532"/>
        <v>0.96839552286122454</v>
      </c>
      <c r="T1476" s="1008">
        <f t="shared" si="532"/>
        <v>0.86900801083287949</v>
      </c>
      <c r="U1476" s="1008">
        <f t="shared" si="532"/>
        <v>0.98401996701449412</v>
      </c>
      <c r="V1476" s="1008">
        <f t="shared" si="532"/>
        <v>0.94429944038453062</v>
      </c>
      <c r="W1476" s="254"/>
      <c r="X1476" s="520"/>
      <c r="Y1476" s="610" t="s">
        <v>598</v>
      </c>
      <c r="Z1476" s="241" t="s">
        <v>598</v>
      </c>
    </row>
    <row r="1477" spans="1:26" ht="11.25" customHeight="1">
      <c r="A1477" s="246" t="s">
        <v>69</v>
      </c>
      <c r="B1477" s="235" t="s">
        <v>238</v>
      </c>
      <c r="C1477" s="410"/>
      <c r="D1477" s="386"/>
      <c r="E1477" s="461" t="s">
        <v>764</v>
      </c>
      <c r="F1477" s="103"/>
      <c r="G1477" s="103"/>
      <c r="H1477" s="103"/>
      <c r="I1477" s="103">
        <f t="shared" si="518"/>
        <v>0</v>
      </c>
      <c r="J1477" s="103"/>
      <c r="K1477" s="103"/>
      <c r="L1477" s="103"/>
      <c r="M1477" s="103">
        <f t="shared" si="519"/>
        <v>0</v>
      </c>
      <c r="N1477" s="103">
        <f t="shared" si="541"/>
        <v>0</v>
      </c>
      <c r="O1477" s="103">
        <f t="shared" si="541"/>
        <v>0</v>
      </c>
      <c r="P1477" s="103">
        <f t="shared" si="541"/>
        <v>0</v>
      </c>
      <c r="Q1477" s="103">
        <f t="shared" si="542"/>
        <v>0</v>
      </c>
      <c r="S1477" s="730" t="str">
        <f t="shared" si="532"/>
        <v/>
      </c>
      <c r="T1477" s="730" t="str">
        <f t="shared" si="532"/>
        <v/>
      </c>
      <c r="U1477" s="730" t="str">
        <f t="shared" si="532"/>
        <v/>
      </c>
      <c r="V1477" s="730" t="str">
        <f t="shared" si="532"/>
        <v/>
      </c>
      <c r="W1477" s="254"/>
      <c r="Y1477" s="610" t="s">
        <v>598</v>
      </c>
      <c r="Z1477" s="241" t="s">
        <v>598</v>
      </c>
    </row>
    <row r="1478" spans="1:26" s="675" customFormat="1" ht="11.25" customHeight="1">
      <c r="A1478" s="528" t="s">
        <v>69</v>
      </c>
      <c r="B1478" s="528" t="s">
        <v>240</v>
      </c>
      <c r="C1478" s="407" t="s">
        <v>98</v>
      </c>
      <c r="D1478" s="655" t="s">
        <v>241</v>
      </c>
      <c r="E1478" s="408" t="s">
        <v>240</v>
      </c>
      <c r="F1478" s="673"/>
      <c r="G1478" s="673"/>
      <c r="H1478" s="673"/>
      <c r="I1478" s="674">
        <f t="shared" si="518"/>
        <v>0</v>
      </c>
      <c r="J1478" s="673"/>
      <c r="K1478" s="673"/>
      <c r="L1478" s="673"/>
      <c r="M1478" s="674">
        <f t="shared" si="519"/>
        <v>0</v>
      </c>
      <c r="N1478" s="674">
        <f t="shared" si="541"/>
        <v>0</v>
      </c>
      <c r="O1478" s="674">
        <f t="shared" si="541"/>
        <v>0</v>
      </c>
      <c r="P1478" s="674">
        <f t="shared" si="541"/>
        <v>0</v>
      </c>
      <c r="Q1478" s="674">
        <f t="shared" si="542"/>
        <v>0</v>
      </c>
      <c r="R1478" s="101"/>
      <c r="S1478" s="254" t="str">
        <f t="shared" si="532"/>
        <v/>
      </c>
      <c r="T1478" s="254" t="str">
        <f t="shared" si="532"/>
        <v/>
      </c>
      <c r="U1478" s="254" t="str">
        <f t="shared" si="532"/>
        <v/>
      </c>
      <c r="V1478" s="254" t="str">
        <f t="shared" si="532"/>
        <v/>
      </c>
      <c r="W1478" s="531"/>
      <c r="Y1478" s="272" t="s">
        <v>598</v>
      </c>
      <c r="Z1478" s="260" t="s">
        <v>598</v>
      </c>
    </row>
    <row r="1479" spans="1:26" ht="11.25" customHeight="1">
      <c r="A1479" s="528" t="s">
        <v>69</v>
      </c>
      <c r="B1479" s="1013" t="s">
        <v>240</v>
      </c>
      <c r="C1479" s="461"/>
      <c r="D1479" s="645" t="s">
        <v>766</v>
      </c>
      <c r="E1479" s="447" t="s">
        <v>766</v>
      </c>
      <c r="F1479" s="104">
        <f>+'[3]special hospitals1'!B394</f>
        <v>181120000</v>
      </c>
      <c r="G1479" s="104">
        <f>+'[3]special hospitals1'!C394</f>
        <v>69544000</v>
      </c>
      <c r="H1479" s="104">
        <f>+'[3]special hospitals1'!D394</f>
        <v>0</v>
      </c>
      <c r="I1479" s="103">
        <f t="shared" si="518"/>
        <v>250664000</v>
      </c>
      <c r="J1479" s="104">
        <f>+'[3]special hospitals1'!F394</f>
        <v>168580900.63</v>
      </c>
      <c r="K1479" s="104">
        <f>+'[3]special hospitals1'!G394</f>
        <v>41887765.219999999</v>
      </c>
      <c r="L1479" s="104">
        <f>+'[3]special hospitals1'!H394</f>
        <v>0</v>
      </c>
      <c r="M1479" s="103">
        <f t="shared" si="519"/>
        <v>210468665.84999999</v>
      </c>
      <c r="N1479" s="103">
        <f t="shared" si="541"/>
        <v>12539099.370000005</v>
      </c>
      <c r="O1479" s="103">
        <f t="shared" si="541"/>
        <v>27656234.780000001</v>
      </c>
      <c r="P1479" s="103">
        <f t="shared" si="541"/>
        <v>0</v>
      </c>
      <c r="Q1479" s="103">
        <f t="shared" si="542"/>
        <v>40195334.150000006</v>
      </c>
      <c r="S1479" s="730">
        <f t="shared" si="532"/>
        <v>0.93076910683524727</v>
      </c>
      <c r="T1479" s="730">
        <f t="shared" si="532"/>
        <v>0.60232033273898533</v>
      </c>
      <c r="U1479" s="730" t="str">
        <f t="shared" si="532"/>
        <v/>
      </c>
      <c r="V1479" s="730">
        <f t="shared" si="532"/>
        <v>0.83964456742890881</v>
      </c>
      <c r="W1479" s="531"/>
      <c r="X1479" s="236"/>
      <c r="Y1479" s="236" t="s">
        <v>688</v>
      </c>
      <c r="Z1479" s="236"/>
    </row>
    <row r="1480" spans="1:26" ht="11.25" customHeight="1">
      <c r="A1480" s="528" t="s">
        <v>69</v>
      </c>
      <c r="B1480" s="1013" t="s">
        <v>240</v>
      </c>
      <c r="C1480" s="728"/>
      <c r="D1480" s="649" t="s">
        <v>50</v>
      </c>
      <c r="E1480" s="447" t="s">
        <v>50</v>
      </c>
      <c r="F1480" s="104"/>
      <c r="G1480" s="104">
        <f>+'[3]special hospitals1'!C396</f>
        <v>26836000</v>
      </c>
      <c r="H1480" s="104">
        <f>+'[3]special hospitals1'!D396</f>
        <v>140000000</v>
      </c>
      <c r="I1480" s="103">
        <f>SUM(F1480:H1480)</f>
        <v>166836000</v>
      </c>
      <c r="J1480" s="104"/>
      <c r="K1480" s="104">
        <f>+'[3]special hospitals1'!G396</f>
        <v>20098682.649999999</v>
      </c>
      <c r="L1480" s="104">
        <f>+'[3]special hospitals1'!H396</f>
        <v>110724212.73999999</v>
      </c>
      <c r="M1480" s="103">
        <f>SUM(J1480:L1480)</f>
        <v>130822895.38999999</v>
      </c>
      <c r="N1480" s="103">
        <f t="shared" si="541"/>
        <v>0</v>
      </c>
      <c r="O1480" s="103">
        <f t="shared" si="541"/>
        <v>6737317.3500000015</v>
      </c>
      <c r="P1480" s="103">
        <f t="shared" si="541"/>
        <v>29275787.260000005</v>
      </c>
      <c r="Q1480" s="103">
        <f t="shared" si="542"/>
        <v>36013104.610000007</v>
      </c>
      <c r="S1480" s="730" t="str">
        <f t="shared" si="532"/>
        <v/>
      </c>
      <c r="T1480" s="730">
        <f t="shared" si="532"/>
        <v>0.74894479989566254</v>
      </c>
      <c r="U1480" s="730">
        <f t="shared" si="532"/>
        <v>0.79088723385714277</v>
      </c>
      <c r="V1480" s="730">
        <f t="shared" si="532"/>
        <v>0.7841406854036298</v>
      </c>
      <c r="W1480" s="531"/>
      <c r="X1480" s="236"/>
      <c r="Y1480" s="236" t="s">
        <v>688</v>
      </c>
      <c r="Z1480" s="236"/>
    </row>
    <row r="1481" spans="1:26" s="256" customFormat="1" ht="11.25" customHeight="1">
      <c r="A1481" s="528" t="s">
        <v>69</v>
      </c>
      <c r="B1481" s="528" t="s">
        <v>240</v>
      </c>
      <c r="C1481" s="389"/>
      <c r="D1481" s="650" t="s">
        <v>98</v>
      </c>
      <c r="E1481" s="390" t="s">
        <v>767</v>
      </c>
      <c r="F1481" s="391">
        <f>+F1479+F1480</f>
        <v>181120000</v>
      </c>
      <c r="G1481" s="391">
        <f t="shared" ref="G1481:M1481" si="547">+G1479+G1480</f>
        <v>96380000</v>
      </c>
      <c r="H1481" s="391">
        <f t="shared" si="547"/>
        <v>140000000</v>
      </c>
      <c r="I1481" s="391">
        <f t="shared" si="547"/>
        <v>417500000</v>
      </c>
      <c r="J1481" s="391">
        <f t="shared" si="547"/>
        <v>168580900.63</v>
      </c>
      <c r="K1481" s="391">
        <f t="shared" si="547"/>
        <v>61986447.869999997</v>
      </c>
      <c r="L1481" s="391">
        <f t="shared" si="547"/>
        <v>110724212.73999999</v>
      </c>
      <c r="M1481" s="391">
        <f t="shared" si="547"/>
        <v>341291561.24000001</v>
      </c>
      <c r="N1481" s="391">
        <f t="shared" si="541"/>
        <v>12539099.370000005</v>
      </c>
      <c r="O1481" s="391">
        <f t="shared" si="541"/>
        <v>34393552.130000003</v>
      </c>
      <c r="P1481" s="391">
        <f t="shared" si="541"/>
        <v>29275787.260000005</v>
      </c>
      <c r="Q1481" s="391">
        <f t="shared" si="542"/>
        <v>76208438.76000002</v>
      </c>
      <c r="R1481" s="101"/>
      <c r="S1481" s="254">
        <f t="shared" si="532"/>
        <v>0.93076910683524727</v>
      </c>
      <c r="T1481" s="254">
        <f t="shared" si="532"/>
        <v>0.64314637756796011</v>
      </c>
      <c r="U1481" s="254">
        <f t="shared" si="532"/>
        <v>0.79088723385714277</v>
      </c>
      <c r="V1481" s="254">
        <f t="shared" si="532"/>
        <v>0.81746481734131737</v>
      </c>
      <c r="W1481" s="531"/>
      <c r="Y1481" s="256" t="s">
        <v>598</v>
      </c>
      <c r="Z1481" s="256" t="s">
        <v>598</v>
      </c>
    </row>
    <row r="1482" spans="1:26" ht="11.25" hidden="1" customHeight="1">
      <c r="A1482" s="528" t="s">
        <v>69</v>
      </c>
      <c r="B1482" s="1013" t="s">
        <v>240</v>
      </c>
      <c r="C1482" s="410"/>
      <c r="D1482" s="651"/>
      <c r="E1482" s="806" t="s">
        <v>764</v>
      </c>
      <c r="F1482" s="807"/>
      <c r="G1482" s="807"/>
      <c r="H1482" s="807"/>
      <c r="I1482" s="807"/>
      <c r="J1482" s="807"/>
      <c r="K1482" s="807"/>
      <c r="L1482" s="807"/>
      <c r="M1482" s="807"/>
      <c r="N1482" s="807">
        <f t="shared" si="541"/>
        <v>0</v>
      </c>
      <c r="O1482" s="807">
        <f t="shared" si="541"/>
        <v>0</v>
      </c>
      <c r="P1482" s="807">
        <f t="shared" si="541"/>
        <v>0</v>
      </c>
      <c r="Q1482" s="807">
        <f t="shared" si="542"/>
        <v>0</v>
      </c>
      <c r="R1482" s="276"/>
      <c r="S1482" s="730" t="str">
        <f t="shared" si="532"/>
        <v/>
      </c>
      <c r="T1482" s="730" t="str">
        <f t="shared" si="532"/>
        <v/>
      </c>
      <c r="U1482" s="730" t="str">
        <f t="shared" si="532"/>
        <v/>
      </c>
      <c r="V1482" s="730" t="str">
        <f t="shared" si="532"/>
        <v/>
      </c>
      <c r="W1482" s="531"/>
      <c r="X1482" s="236"/>
      <c r="Y1482" s="236"/>
      <c r="Z1482" s="236"/>
    </row>
    <row r="1483" spans="1:26" s="256" customFormat="1" ht="11.25" customHeight="1">
      <c r="A1483" s="528" t="s">
        <v>69</v>
      </c>
      <c r="B1483" s="528" t="s">
        <v>240</v>
      </c>
      <c r="C1483" s="389"/>
      <c r="D1483" s="650" t="s">
        <v>98</v>
      </c>
      <c r="E1483" s="390" t="s">
        <v>99</v>
      </c>
      <c r="F1483" s="391">
        <f>+F1484</f>
        <v>16765000</v>
      </c>
      <c r="G1483" s="391">
        <f t="shared" ref="G1483:M1483" si="548">+G1484</f>
        <v>0</v>
      </c>
      <c r="H1483" s="391">
        <f t="shared" si="548"/>
        <v>0</v>
      </c>
      <c r="I1483" s="391">
        <f t="shared" si="548"/>
        <v>16765000</v>
      </c>
      <c r="J1483" s="391">
        <f t="shared" si="548"/>
        <v>14560535.609999999</v>
      </c>
      <c r="K1483" s="391">
        <f t="shared" si="548"/>
        <v>0</v>
      </c>
      <c r="L1483" s="391">
        <f t="shared" si="548"/>
        <v>0</v>
      </c>
      <c r="M1483" s="391">
        <f t="shared" si="548"/>
        <v>14560535.609999999</v>
      </c>
      <c r="N1483" s="391">
        <f t="shared" si="541"/>
        <v>2204464.3900000006</v>
      </c>
      <c r="O1483" s="391">
        <f t="shared" si="541"/>
        <v>0</v>
      </c>
      <c r="P1483" s="391">
        <f t="shared" si="541"/>
        <v>0</v>
      </c>
      <c r="Q1483" s="391">
        <f t="shared" si="542"/>
        <v>2204464.3900000006</v>
      </c>
      <c r="R1483" s="101"/>
      <c r="S1483" s="254">
        <f t="shared" si="532"/>
        <v>0.86850793975544283</v>
      </c>
      <c r="T1483" s="254" t="str">
        <f t="shared" si="532"/>
        <v/>
      </c>
      <c r="U1483" s="254" t="str">
        <f t="shared" si="532"/>
        <v/>
      </c>
      <c r="V1483" s="254">
        <f t="shared" si="532"/>
        <v>0.86850793975544283</v>
      </c>
      <c r="W1483" s="531"/>
      <c r="Y1483" s="256" t="s">
        <v>598</v>
      </c>
      <c r="Z1483" s="256" t="s">
        <v>598</v>
      </c>
    </row>
    <row r="1484" spans="1:26" ht="11.25" customHeight="1">
      <c r="A1484" s="528" t="s">
        <v>69</v>
      </c>
      <c r="B1484" s="1013" t="s">
        <v>240</v>
      </c>
      <c r="C1484" s="728"/>
      <c r="D1484" s="649" t="s">
        <v>286</v>
      </c>
      <c r="E1484" s="729" t="s">
        <v>286</v>
      </c>
      <c r="F1484" s="103">
        <f>SUM('[3]special hospitals1'!S14)</f>
        <v>16765000</v>
      </c>
      <c r="G1484" s="103">
        <f>SUM('[3]special hospitals1'!S50)</f>
        <v>0</v>
      </c>
      <c r="H1484" s="103">
        <f>SUM('[3]special hospitals1'!S142)</f>
        <v>0</v>
      </c>
      <c r="I1484" s="103">
        <f>SUM(F1484:H1484)</f>
        <v>16765000</v>
      </c>
      <c r="J1484" s="103">
        <f>SUM('[3]special hospitals1'!S15)</f>
        <v>14560535.609999999</v>
      </c>
      <c r="K1484" s="103">
        <f>SUM('[3]special hospitals1'!S51)</f>
        <v>0</v>
      </c>
      <c r="L1484" s="103">
        <f>SUM('[3]special hospitals1'!S143)</f>
        <v>0</v>
      </c>
      <c r="M1484" s="103">
        <f t="shared" ref="M1484:M1568" si="549">SUM(J1484:L1484)</f>
        <v>14560535.609999999</v>
      </c>
      <c r="N1484" s="103">
        <f t="shared" si="541"/>
        <v>2204464.3900000006</v>
      </c>
      <c r="O1484" s="103">
        <f t="shared" si="541"/>
        <v>0</v>
      </c>
      <c r="P1484" s="103">
        <f t="shared" si="541"/>
        <v>0</v>
      </c>
      <c r="Q1484" s="103">
        <f t="shared" si="542"/>
        <v>2204464.3900000006</v>
      </c>
      <c r="S1484" s="730">
        <f t="shared" si="532"/>
        <v>0.86850793975544283</v>
      </c>
      <c r="T1484" s="730" t="str">
        <f t="shared" si="532"/>
        <v/>
      </c>
      <c r="U1484" s="730" t="str">
        <f t="shared" si="532"/>
        <v/>
      </c>
      <c r="V1484" s="730">
        <f t="shared" si="532"/>
        <v>0.86850793975544283</v>
      </c>
      <c r="W1484" s="531"/>
      <c r="X1484" s="236"/>
      <c r="Y1484" s="236" t="s">
        <v>598</v>
      </c>
      <c r="Z1484" s="236"/>
    </row>
    <row r="1485" spans="1:26" s="272" customFormat="1" ht="11.25" customHeight="1">
      <c r="A1485" s="528" t="s">
        <v>69</v>
      </c>
      <c r="B1485" s="528" t="s">
        <v>240</v>
      </c>
      <c r="C1485" s="389"/>
      <c r="D1485" s="650" t="s">
        <v>98</v>
      </c>
      <c r="E1485" s="390" t="s">
        <v>100</v>
      </c>
      <c r="F1485" s="391">
        <f t="shared" ref="F1485:M1485" si="550">SUM(F1486:F1490)</f>
        <v>8363757</v>
      </c>
      <c r="G1485" s="391">
        <f t="shared" si="550"/>
        <v>12358685</v>
      </c>
      <c r="H1485" s="391">
        <f t="shared" si="550"/>
        <v>0</v>
      </c>
      <c r="I1485" s="391">
        <f t="shared" si="550"/>
        <v>20722442</v>
      </c>
      <c r="J1485" s="391">
        <f t="shared" si="550"/>
        <v>8363755.0700000003</v>
      </c>
      <c r="K1485" s="391">
        <f t="shared" si="550"/>
        <v>12212969.359999999</v>
      </c>
      <c r="L1485" s="391">
        <f t="shared" si="550"/>
        <v>0</v>
      </c>
      <c r="M1485" s="391">
        <f t="shared" si="550"/>
        <v>20576724.43</v>
      </c>
      <c r="N1485" s="391">
        <f t="shared" si="541"/>
        <v>1.9299999997019768</v>
      </c>
      <c r="O1485" s="391">
        <f t="shared" si="541"/>
        <v>145715.6400000006</v>
      </c>
      <c r="P1485" s="391">
        <f t="shared" si="541"/>
        <v>0</v>
      </c>
      <c r="Q1485" s="391">
        <f t="shared" si="542"/>
        <v>145717.5700000003</v>
      </c>
      <c r="R1485" s="102"/>
      <c r="S1485" s="254">
        <f t="shared" si="532"/>
        <v>0.99999976924245892</v>
      </c>
      <c r="T1485" s="254">
        <f t="shared" si="532"/>
        <v>0.98820945432301244</v>
      </c>
      <c r="U1485" s="254" t="str">
        <f t="shared" si="532"/>
        <v/>
      </c>
      <c r="V1485" s="254">
        <f t="shared" si="532"/>
        <v>0.99296812750157537</v>
      </c>
      <c r="W1485" s="531"/>
      <c r="Y1485" s="272" t="s">
        <v>598</v>
      </c>
      <c r="Z1485" s="256" t="s">
        <v>598</v>
      </c>
    </row>
    <row r="1486" spans="1:26" ht="11.25" customHeight="1">
      <c r="A1486" s="528" t="s">
        <v>69</v>
      </c>
      <c r="B1486" s="1013" t="s">
        <v>240</v>
      </c>
      <c r="C1486" s="728"/>
      <c r="D1486" s="649" t="s">
        <v>288</v>
      </c>
      <c r="E1486" s="729" t="s">
        <v>288</v>
      </c>
      <c r="F1486" s="103">
        <f>SUM('[3]special hospitals1'!Z14)</f>
        <v>0</v>
      </c>
      <c r="G1486" s="103">
        <f>SUM('[3]special hospitals1'!Z50)</f>
        <v>0</v>
      </c>
      <c r="H1486" s="103">
        <f>SUM('[3]special hospitals1'!Z142)</f>
        <v>0</v>
      </c>
      <c r="I1486" s="103">
        <f>SUM(F1486:H1486)</f>
        <v>0</v>
      </c>
      <c r="J1486" s="103">
        <f>SUM('[3]special hospitals1'!Z15)</f>
        <v>0</v>
      </c>
      <c r="K1486" s="103">
        <f>SUM('[3]special hospitals1'!Z51)</f>
        <v>0</v>
      </c>
      <c r="L1486" s="103">
        <f>SUM('[3]special hospitals1'!Z143)</f>
        <v>0</v>
      </c>
      <c r="M1486" s="103">
        <f t="shared" si="549"/>
        <v>0</v>
      </c>
      <c r="N1486" s="103">
        <f t="shared" si="541"/>
        <v>0</v>
      </c>
      <c r="O1486" s="103">
        <f t="shared" si="541"/>
        <v>0</v>
      </c>
      <c r="P1486" s="103">
        <f t="shared" si="541"/>
        <v>0</v>
      </c>
      <c r="Q1486" s="103">
        <f t="shared" si="542"/>
        <v>0</v>
      </c>
      <c r="S1486" s="730" t="str">
        <f t="shared" si="532"/>
        <v/>
      </c>
      <c r="T1486" s="730" t="str">
        <f t="shared" si="532"/>
        <v/>
      </c>
      <c r="U1486" s="730" t="str">
        <f t="shared" si="532"/>
        <v/>
      </c>
      <c r="V1486" s="730" t="str">
        <f t="shared" si="532"/>
        <v/>
      </c>
      <c r="W1486" s="531"/>
      <c r="X1486" s="236"/>
      <c r="Y1486" s="236" t="s">
        <v>598</v>
      </c>
      <c r="Z1486" s="236"/>
    </row>
    <row r="1487" spans="1:26" ht="11.25" customHeight="1">
      <c r="A1487" s="528" t="s">
        <v>69</v>
      </c>
      <c r="B1487" s="1013" t="s">
        <v>240</v>
      </c>
      <c r="C1487" s="728"/>
      <c r="D1487" s="649" t="s">
        <v>761</v>
      </c>
      <c r="E1487" s="729" t="s">
        <v>761</v>
      </c>
      <c r="F1487" s="104">
        <f>+'[3]special hospitals1'!B396</f>
        <v>5018750</v>
      </c>
      <c r="G1487" s="104"/>
      <c r="H1487" s="104"/>
      <c r="I1487" s="103">
        <f>SUM(F1487:H1487)</f>
        <v>5018750</v>
      </c>
      <c r="J1487" s="104">
        <f>+'[3]special hospitals1'!F396</f>
        <v>5018750</v>
      </c>
      <c r="K1487" s="104"/>
      <c r="L1487" s="104"/>
      <c r="M1487" s="103">
        <f t="shared" si="549"/>
        <v>5018750</v>
      </c>
      <c r="N1487" s="103">
        <f>+F1487-J1487</f>
        <v>0</v>
      </c>
      <c r="O1487" s="103">
        <f>+G1487-K1487</f>
        <v>0</v>
      </c>
      <c r="P1487" s="103">
        <f>+H1487-L1487</f>
        <v>0</v>
      </c>
      <c r="Q1487" s="103">
        <f>SUM(N1487:P1487)</f>
        <v>0</v>
      </c>
      <c r="S1487" s="730">
        <f t="shared" si="532"/>
        <v>1</v>
      </c>
      <c r="T1487" s="730" t="str">
        <f t="shared" si="532"/>
        <v/>
      </c>
      <c r="U1487" s="730" t="str">
        <f t="shared" si="532"/>
        <v/>
      </c>
      <c r="V1487" s="730">
        <f t="shared" si="532"/>
        <v>1</v>
      </c>
      <c r="W1487" s="531"/>
      <c r="X1487" s="236"/>
      <c r="Y1487" s="236" t="s">
        <v>688</v>
      </c>
      <c r="Z1487" s="236"/>
    </row>
    <row r="1488" spans="1:26" ht="11.25" customHeight="1">
      <c r="A1488" s="528" t="s">
        <v>69</v>
      </c>
      <c r="B1488" s="1013" t="s">
        <v>240</v>
      </c>
      <c r="C1488" s="410"/>
      <c r="D1488" s="647"/>
      <c r="E1488" s="461" t="s">
        <v>764</v>
      </c>
      <c r="F1488" s="104"/>
      <c r="G1488" s="104"/>
      <c r="H1488" s="104"/>
      <c r="I1488" s="103"/>
      <c r="J1488" s="104"/>
      <c r="K1488" s="104"/>
      <c r="L1488" s="104"/>
      <c r="M1488" s="103"/>
      <c r="N1488" s="103"/>
      <c r="O1488" s="103"/>
      <c r="P1488" s="103"/>
      <c r="Q1488" s="103"/>
      <c r="S1488" s="730" t="str">
        <f t="shared" si="532"/>
        <v/>
      </c>
      <c r="T1488" s="730" t="str">
        <f t="shared" si="532"/>
        <v/>
      </c>
      <c r="U1488" s="730" t="str">
        <f t="shared" si="532"/>
        <v/>
      </c>
      <c r="V1488" s="730" t="str">
        <f t="shared" si="532"/>
        <v/>
      </c>
      <c r="W1488" s="531"/>
      <c r="X1488" s="236"/>
      <c r="Y1488" s="236" t="s">
        <v>688</v>
      </c>
      <c r="Z1488" s="240"/>
    </row>
    <row r="1489" spans="1:26" ht="11.25" customHeight="1">
      <c r="A1489" s="528" t="s">
        <v>69</v>
      </c>
      <c r="B1489" s="1013" t="s">
        <v>240</v>
      </c>
      <c r="C1489" s="728"/>
      <c r="D1489" s="649" t="s">
        <v>289</v>
      </c>
      <c r="E1489" s="729" t="s">
        <v>289</v>
      </c>
      <c r="F1489" s="103">
        <f>SUM('[3]special hospitals1'!AG14)</f>
        <v>3345007</v>
      </c>
      <c r="G1489" s="103">
        <f>SUM('[3]special hospitals1'!AG50)</f>
        <v>0</v>
      </c>
      <c r="H1489" s="103">
        <f>SUM('[3]special hospitals1'!AG142)</f>
        <v>0</v>
      </c>
      <c r="I1489" s="103">
        <f>SUM(F1489:H1489)</f>
        <v>3345007</v>
      </c>
      <c r="J1489" s="103">
        <f>SUM('[3]special hospitals1'!AG15)</f>
        <v>3345005.07</v>
      </c>
      <c r="K1489" s="103">
        <f>SUM('[3]special hospitals1'!AG51)</f>
        <v>0</v>
      </c>
      <c r="L1489" s="103">
        <f>SUM('[3]special hospitals1'!AG143)</f>
        <v>0</v>
      </c>
      <c r="M1489" s="103">
        <f t="shared" si="549"/>
        <v>3345005.07</v>
      </c>
      <c r="N1489" s="103">
        <f t="shared" si="541"/>
        <v>1.9300000001676381</v>
      </c>
      <c r="O1489" s="103">
        <f t="shared" si="541"/>
        <v>0</v>
      </c>
      <c r="P1489" s="103">
        <f t="shared" si="541"/>
        <v>0</v>
      </c>
      <c r="Q1489" s="103">
        <f t="shared" si="542"/>
        <v>1.9300000001676381</v>
      </c>
      <c r="S1489" s="730">
        <f t="shared" si="532"/>
        <v>0.99999942302063938</v>
      </c>
      <c r="T1489" s="730" t="str">
        <f t="shared" si="532"/>
        <v/>
      </c>
      <c r="U1489" s="730" t="str">
        <f t="shared" si="532"/>
        <v/>
      </c>
      <c r="V1489" s="730">
        <f t="shared" si="532"/>
        <v>0.99999942302063938</v>
      </c>
      <c r="W1489" s="531"/>
      <c r="X1489" s="236"/>
      <c r="Y1489" s="236" t="s">
        <v>598</v>
      </c>
      <c r="Z1489" s="236"/>
    </row>
    <row r="1490" spans="1:26" ht="11.25" customHeight="1">
      <c r="A1490" s="528" t="s">
        <v>69</v>
      </c>
      <c r="B1490" s="1013" t="s">
        <v>240</v>
      </c>
      <c r="C1490" s="728"/>
      <c r="D1490" s="649" t="s">
        <v>290</v>
      </c>
      <c r="E1490" s="729" t="s">
        <v>290</v>
      </c>
      <c r="F1490" s="103">
        <f>SUM('[3]special hospitals1'!AN14)</f>
        <v>0</v>
      </c>
      <c r="G1490" s="103">
        <f>SUM('[3]special hospitals1'!AN50)</f>
        <v>12358685</v>
      </c>
      <c r="H1490" s="103">
        <f>SUM('[3]special hospitals1'!AN142)</f>
        <v>0</v>
      </c>
      <c r="I1490" s="103">
        <f>SUM(F1490:H1490)</f>
        <v>12358685</v>
      </c>
      <c r="J1490" s="103">
        <f>SUM('[3]special hospitals1'!AN15)</f>
        <v>0</v>
      </c>
      <c r="K1490" s="103">
        <f>SUM('[3]special hospitals1'!AN51)</f>
        <v>12212969.359999999</v>
      </c>
      <c r="L1490" s="103">
        <f>SUM('[3]special hospitals1'!AN143)</f>
        <v>0</v>
      </c>
      <c r="M1490" s="103">
        <f t="shared" si="549"/>
        <v>12212969.359999999</v>
      </c>
      <c r="N1490" s="103">
        <f t="shared" si="541"/>
        <v>0</v>
      </c>
      <c r="O1490" s="103">
        <f t="shared" si="541"/>
        <v>145715.6400000006</v>
      </c>
      <c r="P1490" s="103">
        <f t="shared" si="541"/>
        <v>0</v>
      </c>
      <c r="Q1490" s="103">
        <f t="shared" si="542"/>
        <v>145715.6400000006</v>
      </c>
      <c r="S1490" s="730" t="str">
        <f t="shared" si="532"/>
        <v/>
      </c>
      <c r="T1490" s="730">
        <f t="shared" si="532"/>
        <v>0.98820945432301244</v>
      </c>
      <c r="U1490" s="730" t="str">
        <f t="shared" si="532"/>
        <v/>
      </c>
      <c r="V1490" s="730">
        <f t="shared" si="532"/>
        <v>0.98820945432301244</v>
      </c>
      <c r="W1490" s="531"/>
      <c r="X1490" s="236"/>
      <c r="Y1490" s="236" t="s">
        <v>598</v>
      </c>
      <c r="Z1490" s="236"/>
    </row>
    <row r="1491" spans="1:26" s="259" customFormat="1" ht="11.25" customHeight="1">
      <c r="A1491" s="246" t="s">
        <v>69</v>
      </c>
      <c r="B1491" s="235" t="s">
        <v>240</v>
      </c>
      <c r="C1491" s="656"/>
      <c r="D1491" s="656"/>
      <c r="E1491" s="657" t="s">
        <v>4</v>
      </c>
      <c r="F1491" s="652">
        <f>+F1481+F1483+F1485</f>
        <v>206248757</v>
      </c>
      <c r="G1491" s="652">
        <f t="shared" ref="G1491:M1491" si="551">+G1481+G1483+G1485</f>
        <v>108738685</v>
      </c>
      <c r="H1491" s="652">
        <f t="shared" si="551"/>
        <v>140000000</v>
      </c>
      <c r="I1491" s="652">
        <f t="shared" si="551"/>
        <v>454987442</v>
      </c>
      <c r="J1491" s="652">
        <f t="shared" si="551"/>
        <v>191505191.31</v>
      </c>
      <c r="K1491" s="652">
        <f t="shared" si="551"/>
        <v>74199417.229999989</v>
      </c>
      <c r="L1491" s="652">
        <f t="shared" si="551"/>
        <v>110724212.73999999</v>
      </c>
      <c r="M1491" s="652">
        <f t="shared" si="551"/>
        <v>376428821.28000003</v>
      </c>
      <c r="N1491" s="652">
        <f t="shared" si="541"/>
        <v>14743565.689999998</v>
      </c>
      <c r="O1491" s="652">
        <f t="shared" si="541"/>
        <v>34539267.770000011</v>
      </c>
      <c r="P1491" s="652">
        <f t="shared" si="541"/>
        <v>29275787.260000005</v>
      </c>
      <c r="Q1491" s="652">
        <f t="shared" si="542"/>
        <v>78558620.720000014</v>
      </c>
      <c r="R1491" s="653">
        <f>+Q1491-'[3]special hospitals1'!CP179</f>
        <v>0</v>
      </c>
      <c r="S1491" s="1008">
        <f t="shared" si="532"/>
        <v>0.92851561432682961</v>
      </c>
      <c r="T1491" s="1008">
        <f t="shared" si="532"/>
        <v>0.68236448905005598</v>
      </c>
      <c r="U1491" s="1008">
        <f t="shared" si="532"/>
        <v>0.79088723385714277</v>
      </c>
      <c r="V1491" s="1008">
        <f t="shared" si="532"/>
        <v>0.8273389252796125</v>
      </c>
      <c r="W1491" s="254"/>
      <c r="X1491" s="520"/>
      <c r="Y1491" s="610" t="s">
        <v>598</v>
      </c>
      <c r="Z1491" s="241" t="s">
        <v>598</v>
      </c>
    </row>
    <row r="1492" spans="1:26" ht="11.25" customHeight="1">
      <c r="A1492" s="246" t="s">
        <v>69</v>
      </c>
      <c r="B1492" s="235" t="s">
        <v>240</v>
      </c>
      <c r="C1492" s="410"/>
      <c r="D1492" s="386"/>
      <c r="E1492" s="461" t="s">
        <v>764</v>
      </c>
      <c r="F1492" s="103"/>
      <c r="G1492" s="103"/>
      <c r="H1492" s="103"/>
      <c r="I1492" s="103">
        <f>SUM(F1492:H1492)</f>
        <v>0</v>
      </c>
      <c r="J1492" s="103"/>
      <c r="K1492" s="103"/>
      <c r="L1492" s="103"/>
      <c r="M1492" s="103">
        <f t="shared" si="549"/>
        <v>0</v>
      </c>
      <c r="N1492" s="103">
        <f t="shared" si="541"/>
        <v>0</v>
      </c>
      <c r="O1492" s="103">
        <f t="shared" si="541"/>
        <v>0</v>
      </c>
      <c r="P1492" s="103">
        <f t="shared" si="541"/>
        <v>0</v>
      </c>
      <c r="Q1492" s="103">
        <f t="shared" si="542"/>
        <v>0</v>
      </c>
      <c r="S1492" s="730" t="str">
        <f t="shared" si="532"/>
        <v/>
      </c>
      <c r="T1492" s="730" t="str">
        <f t="shared" si="532"/>
        <v/>
      </c>
      <c r="U1492" s="730" t="str">
        <f t="shared" si="532"/>
        <v/>
      </c>
      <c r="V1492" s="730" t="str">
        <f t="shared" si="532"/>
        <v/>
      </c>
      <c r="W1492" s="254"/>
      <c r="Y1492" s="610" t="s">
        <v>598</v>
      </c>
      <c r="Z1492" s="241" t="s">
        <v>598</v>
      </c>
    </row>
    <row r="1493" spans="1:26" s="675" customFormat="1" ht="11.25" customHeight="1">
      <c r="A1493" s="528" t="s">
        <v>69</v>
      </c>
      <c r="B1493" s="528" t="s">
        <v>242</v>
      </c>
      <c r="C1493" s="407" t="s">
        <v>98</v>
      </c>
      <c r="D1493" s="655" t="s">
        <v>243</v>
      </c>
      <c r="E1493" s="408" t="s">
        <v>242</v>
      </c>
      <c r="F1493" s="673"/>
      <c r="G1493" s="673"/>
      <c r="H1493" s="673"/>
      <c r="I1493" s="674">
        <f>SUM(F1493:H1493)</f>
        <v>0</v>
      </c>
      <c r="J1493" s="673"/>
      <c r="K1493" s="673"/>
      <c r="L1493" s="673"/>
      <c r="M1493" s="674">
        <f t="shared" si="549"/>
        <v>0</v>
      </c>
      <c r="N1493" s="674">
        <f t="shared" si="541"/>
        <v>0</v>
      </c>
      <c r="O1493" s="674">
        <f t="shared" si="541"/>
        <v>0</v>
      </c>
      <c r="P1493" s="674">
        <f t="shared" si="541"/>
        <v>0</v>
      </c>
      <c r="Q1493" s="674">
        <f t="shared" si="542"/>
        <v>0</v>
      </c>
      <c r="R1493" s="101"/>
      <c r="S1493" s="254" t="str">
        <f t="shared" si="532"/>
        <v/>
      </c>
      <c r="T1493" s="254" t="str">
        <f t="shared" si="532"/>
        <v/>
      </c>
      <c r="U1493" s="254" t="str">
        <f t="shared" si="532"/>
        <v/>
      </c>
      <c r="V1493" s="254" t="str">
        <f t="shared" si="532"/>
        <v/>
      </c>
      <c r="W1493" s="531"/>
      <c r="Y1493" s="272" t="s">
        <v>598</v>
      </c>
      <c r="Z1493" s="260" t="s">
        <v>598</v>
      </c>
    </row>
    <row r="1494" spans="1:26" ht="11.25" customHeight="1">
      <c r="A1494" s="528" t="s">
        <v>69</v>
      </c>
      <c r="B1494" s="1013" t="s">
        <v>242</v>
      </c>
      <c r="C1494" s="461"/>
      <c r="D1494" s="645" t="s">
        <v>766</v>
      </c>
      <c r="E1494" s="447" t="s">
        <v>766</v>
      </c>
      <c r="F1494" s="104">
        <f>+'[3]special hospitals1'!B401</f>
        <v>130115000</v>
      </c>
      <c r="G1494" s="104">
        <f>+'[3]special hospitals1'!C401</f>
        <v>46966000</v>
      </c>
      <c r="H1494" s="104">
        <f>+'[3]special hospitals1'!D401</f>
        <v>0</v>
      </c>
      <c r="I1494" s="103">
        <f>SUM(F1494:H1494)</f>
        <v>177081000</v>
      </c>
      <c r="J1494" s="104">
        <f>+'[3]special hospitals1'!F401</f>
        <v>124033581.09999998</v>
      </c>
      <c r="K1494" s="104">
        <f>+'[3]special hospitals1'!G401</f>
        <v>45755858.340000004</v>
      </c>
      <c r="L1494" s="104">
        <f>+'[3]special hospitals1'!H401</f>
        <v>0</v>
      </c>
      <c r="M1494" s="103">
        <f t="shared" si="549"/>
        <v>169789439.44</v>
      </c>
      <c r="N1494" s="103">
        <f t="shared" si="541"/>
        <v>6081418.9000000209</v>
      </c>
      <c r="O1494" s="103">
        <f t="shared" si="541"/>
        <v>1210141.6599999964</v>
      </c>
      <c r="P1494" s="103">
        <f t="shared" si="541"/>
        <v>0</v>
      </c>
      <c r="Q1494" s="103">
        <f t="shared" si="542"/>
        <v>7291560.5600000173</v>
      </c>
      <c r="S1494" s="730">
        <f t="shared" si="532"/>
        <v>0.95326120047650142</v>
      </c>
      <c r="T1494" s="730">
        <f t="shared" si="532"/>
        <v>0.9742336656304561</v>
      </c>
      <c r="U1494" s="730" t="str">
        <f t="shared" si="532"/>
        <v/>
      </c>
      <c r="V1494" s="730">
        <f t="shared" si="532"/>
        <v>0.95882358604254547</v>
      </c>
      <c r="W1494" s="531"/>
      <c r="X1494" s="236"/>
      <c r="Y1494" s="236" t="s">
        <v>688</v>
      </c>
      <c r="Z1494" s="236"/>
    </row>
    <row r="1495" spans="1:26" ht="11.25" customHeight="1">
      <c r="A1495" s="528" t="s">
        <v>69</v>
      </c>
      <c r="B1495" s="1013" t="s">
        <v>242</v>
      </c>
      <c r="C1495" s="728"/>
      <c r="D1495" s="649" t="s">
        <v>50</v>
      </c>
      <c r="E1495" s="447" t="s">
        <v>50</v>
      </c>
      <c r="F1495" s="104"/>
      <c r="G1495" s="104">
        <f>+'[3]special hospitals1'!M50</f>
        <v>20040000</v>
      </c>
      <c r="H1495" s="104">
        <f>+'[3]special hospitals1'!M142</f>
        <v>26170000</v>
      </c>
      <c r="I1495" s="103">
        <f>SUM(F1495:H1495)</f>
        <v>46210000</v>
      </c>
      <c r="J1495" s="104"/>
      <c r="K1495" s="104">
        <f>+'[3]special hospitals1'!M51</f>
        <v>14897194.180000002</v>
      </c>
      <c r="L1495" s="104">
        <f>+'[3]special hospitals1'!M143</f>
        <v>12951802.83</v>
      </c>
      <c r="M1495" s="103">
        <f>SUM(J1495:L1495)</f>
        <v>27848997.010000002</v>
      </c>
      <c r="N1495" s="103">
        <f t="shared" si="541"/>
        <v>0</v>
      </c>
      <c r="O1495" s="103">
        <f t="shared" si="541"/>
        <v>5142805.8199999984</v>
      </c>
      <c r="P1495" s="103">
        <f t="shared" si="541"/>
        <v>13218197.17</v>
      </c>
      <c r="Q1495" s="103">
        <f t="shared" si="542"/>
        <v>18361002.989999998</v>
      </c>
      <c r="S1495" s="730" t="str">
        <f t="shared" si="532"/>
        <v/>
      </c>
      <c r="T1495" s="730">
        <f t="shared" si="532"/>
        <v>0.74337296307385237</v>
      </c>
      <c r="U1495" s="730">
        <f t="shared" si="532"/>
        <v>0.49491031066106228</v>
      </c>
      <c r="V1495" s="730">
        <f t="shared" ref="V1495:V1558" si="552">IF(I1495=0,"",M1495/I1495)</f>
        <v>0.60266169681887038</v>
      </c>
      <c r="W1495" s="531"/>
      <c r="X1495" s="236"/>
      <c r="Y1495" s="236" t="s">
        <v>688</v>
      </c>
      <c r="Z1495" s="236"/>
    </row>
    <row r="1496" spans="1:26" s="256" customFormat="1" ht="11.25" customHeight="1">
      <c r="A1496" s="528" t="s">
        <v>69</v>
      </c>
      <c r="B1496" s="528" t="s">
        <v>242</v>
      </c>
      <c r="C1496" s="389"/>
      <c r="D1496" s="650" t="s">
        <v>98</v>
      </c>
      <c r="E1496" s="390" t="s">
        <v>767</v>
      </c>
      <c r="F1496" s="391">
        <f>+F1494+F1495</f>
        <v>130115000</v>
      </c>
      <c r="G1496" s="391">
        <f t="shared" ref="G1496:M1496" si="553">+G1494+G1495</f>
        <v>67006000</v>
      </c>
      <c r="H1496" s="391">
        <f t="shared" si="553"/>
        <v>26170000</v>
      </c>
      <c r="I1496" s="391">
        <f t="shared" si="553"/>
        <v>223291000</v>
      </c>
      <c r="J1496" s="391">
        <f t="shared" si="553"/>
        <v>124033581.09999998</v>
      </c>
      <c r="K1496" s="391">
        <f t="shared" si="553"/>
        <v>60653052.520000003</v>
      </c>
      <c r="L1496" s="391">
        <f t="shared" si="553"/>
        <v>12951802.83</v>
      </c>
      <c r="M1496" s="391">
        <f t="shared" si="553"/>
        <v>197638436.44999999</v>
      </c>
      <c r="N1496" s="391">
        <f t="shared" si="541"/>
        <v>6081418.9000000209</v>
      </c>
      <c r="O1496" s="391">
        <f t="shared" si="541"/>
        <v>6352947.4799999967</v>
      </c>
      <c r="P1496" s="391">
        <f t="shared" si="541"/>
        <v>13218197.17</v>
      </c>
      <c r="Q1496" s="391">
        <f t="shared" si="542"/>
        <v>25652563.550000019</v>
      </c>
      <c r="R1496" s="101"/>
      <c r="S1496" s="254">
        <f t="shared" ref="S1496:V1559" si="554">IF(F1496=0,"",J1496/F1496)</f>
        <v>0.95326120047650142</v>
      </c>
      <c r="T1496" s="254">
        <f t="shared" si="554"/>
        <v>0.90518837895113879</v>
      </c>
      <c r="U1496" s="254">
        <f t="shared" si="554"/>
        <v>0.49491031066106228</v>
      </c>
      <c r="V1496" s="254">
        <f t="shared" si="552"/>
        <v>0.88511599862959089</v>
      </c>
      <c r="W1496" s="531"/>
      <c r="Y1496" s="256" t="s">
        <v>598</v>
      </c>
      <c r="Z1496" s="256" t="s">
        <v>598</v>
      </c>
    </row>
    <row r="1497" spans="1:26" ht="11.25" hidden="1" customHeight="1">
      <c r="A1497" s="528" t="s">
        <v>69</v>
      </c>
      <c r="B1497" s="1013" t="s">
        <v>242</v>
      </c>
      <c r="C1497" s="410"/>
      <c r="D1497" s="651"/>
      <c r="E1497" s="806" t="s">
        <v>764</v>
      </c>
      <c r="F1497" s="807"/>
      <c r="G1497" s="807"/>
      <c r="H1497" s="807"/>
      <c r="I1497" s="807"/>
      <c r="J1497" s="807"/>
      <c r="K1497" s="807"/>
      <c r="L1497" s="807"/>
      <c r="M1497" s="807"/>
      <c r="N1497" s="807">
        <f t="shared" si="541"/>
        <v>0</v>
      </c>
      <c r="O1497" s="807">
        <f t="shared" si="541"/>
        <v>0</v>
      </c>
      <c r="P1497" s="807">
        <f t="shared" si="541"/>
        <v>0</v>
      </c>
      <c r="Q1497" s="807">
        <f t="shared" si="542"/>
        <v>0</v>
      </c>
      <c r="R1497" s="276"/>
      <c r="S1497" s="730" t="str">
        <f t="shared" si="554"/>
        <v/>
      </c>
      <c r="T1497" s="730" t="str">
        <f t="shared" si="554"/>
        <v/>
      </c>
      <c r="U1497" s="730" t="str">
        <f t="shared" si="554"/>
        <v/>
      </c>
      <c r="V1497" s="730" t="str">
        <f t="shared" si="552"/>
        <v/>
      </c>
      <c r="W1497" s="531"/>
      <c r="X1497" s="236"/>
      <c r="Y1497" s="236"/>
      <c r="Z1497" s="236"/>
    </row>
    <row r="1498" spans="1:26" s="256" customFormat="1" ht="11.25" customHeight="1">
      <c r="A1498" s="528" t="s">
        <v>69</v>
      </c>
      <c r="B1498" s="528" t="s">
        <v>242</v>
      </c>
      <c r="C1498" s="389"/>
      <c r="D1498" s="650" t="s">
        <v>98</v>
      </c>
      <c r="E1498" s="390" t="s">
        <v>99</v>
      </c>
      <c r="F1498" s="391">
        <f>+F1499</f>
        <v>12114000</v>
      </c>
      <c r="G1498" s="391">
        <f t="shared" ref="G1498:M1498" si="555">+G1499</f>
        <v>0</v>
      </c>
      <c r="H1498" s="391">
        <f t="shared" si="555"/>
        <v>0</v>
      </c>
      <c r="I1498" s="391">
        <f t="shared" si="555"/>
        <v>12114000</v>
      </c>
      <c r="J1498" s="391">
        <f t="shared" si="555"/>
        <v>10697427.16</v>
      </c>
      <c r="K1498" s="391">
        <f t="shared" si="555"/>
        <v>0</v>
      </c>
      <c r="L1498" s="391">
        <f t="shared" si="555"/>
        <v>0</v>
      </c>
      <c r="M1498" s="391">
        <f t="shared" si="555"/>
        <v>10697427.16</v>
      </c>
      <c r="N1498" s="391">
        <f t="shared" si="541"/>
        <v>1416572.8399999999</v>
      </c>
      <c r="O1498" s="391">
        <f t="shared" si="541"/>
        <v>0</v>
      </c>
      <c r="P1498" s="391">
        <f t="shared" si="541"/>
        <v>0</v>
      </c>
      <c r="Q1498" s="391">
        <f t="shared" si="542"/>
        <v>1416572.8399999999</v>
      </c>
      <c r="R1498" s="101"/>
      <c r="S1498" s="254">
        <f t="shared" si="554"/>
        <v>0.88306316328215284</v>
      </c>
      <c r="T1498" s="254" t="str">
        <f t="shared" si="554"/>
        <v/>
      </c>
      <c r="U1498" s="254" t="str">
        <f t="shared" si="554"/>
        <v/>
      </c>
      <c r="V1498" s="254">
        <f t="shared" si="552"/>
        <v>0.88306316328215284</v>
      </c>
      <c r="W1498" s="531"/>
      <c r="Y1498" s="256" t="s">
        <v>598</v>
      </c>
      <c r="Z1498" s="256" t="s">
        <v>598</v>
      </c>
    </row>
    <row r="1499" spans="1:26" ht="11.25" customHeight="1">
      <c r="A1499" s="528" t="s">
        <v>69</v>
      </c>
      <c r="B1499" s="1013" t="s">
        <v>242</v>
      </c>
      <c r="C1499" s="728"/>
      <c r="D1499" s="649" t="s">
        <v>286</v>
      </c>
      <c r="E1499" s="729" t="s">
        <v>286</v>
      </c>
      <c r="F1499" s="103">
        <f>SUM('[3]special hospitals1'!T14)</f>
        <v>12114000</v>
      </c>
      <c r="G1499" s="103">
        <f>SUM('[3]special hospitals1'!T50)</f>
        <v>0</v>
      </c>
      <c r="H1499" s="103">
        <f>SUM('[3]special hospitals1'!T142)</f>
        <v>0</v>
      </c>
      <c r="I1499" s="103">
        <f>SUM(F1499:H1499)</f>
        <v>12114000</v>
      </c>
      <c r="J1499" s="103">
        <f>SUM('[3]special hospitals1'!T15)</f>
        <v>10697427.16</v>
      </c>
      <c r="K1499" s="103">
        <f>SUM('[3]special hospitals1'!T51)</f>
        <v>0</v>
      </c>
      <c r="L1499" s="103">
        <f>SUM('[3]special hospitals1'!T143)</f>
        <v>0</v>
      </c>
      <c r="M1499" s="103">
        <f t="shared" si="549"/>
        <v>10697427.16</v>
      </c>
      <c r="N1499" s="103">
        <f t="shared" si="541"/>
        <v>1416572.8399999999</v>
      </c>
      <c r="O1499" s="103">
        <f t="shared" si="541"/>
        <v>0</v>
      </c>
      <c r="P1499" s="103">
        <f t="shared" si="541"/>
        <v>0</v>
      </c>
      <c r="Q1499" s="103">
        <f t="shared" si="542"/>
        <v>1416572.8399999999</v>
      </c>
      <c r="S1499" s="730">
        <f t="shared" si="554"/>
        <v>0.88306316328215284</v>
      </c>
      <c r="T1499" s="730" t="str">
        <f t="shared" si="554"/>
        <v/>
      </c>
      <c r="U1499" s="730" t="str">
        <f t="shared" si="554"/>
        <v/>
      </c>
      <c r="V1499" s="730">
        <f t="shared" si="552"/>
        <v>0.88306316328215284</v>
      </c>
      <c r="W1499" s="531"/>
      <c r="X1499" s="236"/>
      <c r="Y1499" s="236" t="s">
        <v>598</v>
      </c>
      <c r="Z1499" s="236"/>
    </row>
    <row r="1500" spans="1:26" s="272" customFormat="1" ht="11.25" customHeight="1">
      <c r="A1500" s="528" t="s">
        <v>69</v>
      </c>
      <c r="B1500" s="528" t="s">
        <v>242</v>
      </c>
      <c r="C1500" s="389"/>
      <c r="D1500" s="650" t="s">
        <v>98</v>
      </c>
      <c r="E1500" s="390" t="s">
        <v>100</v>
      </c>
      <c r="F1500" s="391">
        <f t="shared" ref="F1500:M1500" si="556">SUM(F1501:F1505)</f>
        <v>5688394</v>
      </c>
      <c r="G1500" s="391">
        <f t="shared" si="556"/>
        <v>2500000</v>
      </c>
      <c r="H1500" s="391">
        <f t="shared" si="556"/>
        <v>0</v>
      </c>
      <c r="I1500" s="391">
        <f t="shared" si="556"/>
        <v>8188394</v>
      </c>
      <c r="J1500" s="391">
        <f t="shared" si="556"/>
        <v>5403390.25</v>
      </c>
      <c r="K1500" s="391">
        <f t="shared" si="556"/>
        <v>121707.65</v>
      </c>
      <c r="L1500" s="391">
        <f t="shared" si="556"/>
        <v>0</v>
      </c>
      <c r="M1500" s="391">
        <f t="shared" si="556"/>
        <v>5525097.9000000004</v>
      </c>
      <c r="N1500" s="391">
        <f t="shared" si="541"/>
        <v>285003.75</v>
      </c>
      <c r="O1500" s="391">
        <f t="shared" si="541"/>
        <v>2378292.35</v>
      </c>
      <c r="P1500" s="391">
        <f t="shared" si="541"/>
        <v>0</v>
      </c>
      <c r="Q1500" s="391">
        <f t="shared" si="542"/>
        <v>2663296.1</v>
      </c>
      <c r="R1500" s="102"/>
      <c r="S1500" s="254">
        <f t="shared" si="554"/>
        <v>0.94989732602910415</v>
      </c>
      <c r="T1500" s="254">
        <f t="shared" si="554"/>
        <v>4.868306E-2</v>
      </c>
      <c r="U1500" s="254" t="str">
        <f t="shared" si="554"/>
        <v/>
      </c>
      <c r="V1500" s="254">
        <f t="shared" si="552"/>
        <v>0.67474744131755271</v>
      </c>
      <c r="W1500" s="531"/>
      <c r="Y1500" s="272" t="s">
        <v>598</v>
      </c>
      <c r="Z1500" s="256" t="s">
        <v>598</v>
      </c>
    </row>
    <row r="1501" spans="1:26" ht="11.25" customHeight="1">
      <c r="A1501" s="528" t="s">
        <v>69</v>
      </c>
      <c r="B1501" s="1013" t="s">
        <v>242</v>
      </c>
      <c r="C1501" s="728"/>
      <c r="D1501" s="649" t="s">
        <v>288</v>
      </c>
      <c r="E1501" s="729" t="s">
        <v>288</v>
      </c>
      <c r="F1501" s="103">
        <f>SUM('[3]special hospitals1'!AA14)</f>
        <v>0</v>
      </c>
      <c r="G1501" s="103">
        <f>SUM('[3]special hospitals1'!AA50)</f>
        <v>0</v>
      </c>
      <c r="H1501" s="103">
        <f>SUM('[3]special hospitals1'!AA142)</f>
        <v>0</v>
      </c>
      <c r="I1501" s="103">
        <f>SUM(F1501:H1501)</f>
        <v>0</v>
      </c>
      <c r="J1501" s="103">
        <f>SUM('[3]special hospitals1'!AA15)</f>
        <v>0</v>
      </c>
      <c r="K1501" s="103">
        <f>SUM('[3]special hospitals1'!AA51)</f>
        <v>0</v>
      </c>
      <c r="L1501" s="103">
        <f>SUM('[3]special hospitals1'!AA143)</f>
        <v>0</v>
      </c>
      <c r="M1501" s="103">
        <f t="shared" si="549"/>
        <v>0</v>
      </c>
      <c r="N1501" s="103">
        <f t="shared" si="541"/>
        <v>0</v>
      </c>
      <c r="O1501" s="103">
        <f t="shared" si="541"/>
        <v>0</v>
      </c>
      <c r="P1501" s="103">
        <f t="shared" si="541"/>
        <v>0</v>
      </c>
      <c r="Q1501" s="103">
        <f t="shared" si="542"/>
        <v>0</v>
      </c>
      <c r="S1501" s="730" t="str">
        <f t="shared" si="554"/>
        <v/>
      </c>
      <c r="T1501" s="730" t="str">
        <f t="shared" si="554"/>
        <v/>
      </c>
      <c r="U1501" s="730" t="str">
        <f t="shared" si="554"/>
        <v/>
      </c>
      <c r="V1501" s="730" t="str">
        <f t="shared" si="552"/>
        <v/>
      </c>
      <c r="W1501" s="531"/>
      <c r="X1501" s="236"/>
      <c r="Y1501" s="236" t="s">
        <v>598</v>
      </c>
      <c r="Z1501" s="236"/>
    </row>
    <row r="1502" spans="1:26" ht="11.25" customHeight="1">
      <c r="A1502" s="528" t="s">
        <v>69</v>
      </c>
      <c r="B1502" s="1013" t="s">
        <v>242</v>
      </c>
      <c r="C1502" s="728"/>
      <c r="D1502" s="649" t="s">
        <v>761</v>
      </c>
      <c r="E1502" s="729" t="s">
        <v>761</v>
      </c>
      <c r="F1502" s="104">
        <f>+'[3]special hospitals1'!M14</f>
        <v>2750000</v>
      </c>
      <c r="G1502" s="104"/>
      <c r="H1502" s="104"/>
      <c r="I1502" s="103">
        <f>SUM(F1502:H1502)</f>
        <v>2750000</v>
      </c>
      <c r="J1502" s="104">
        <f>+'[3]special hospitals1'!M15</f>
        <v>2465000</v>
      </c>
      <c r="K1502" s="104"/>
      <c r="L1502" s="104"/>
      <c r="M1502" s="103">
        <f>SUM(J1502:L1502)</f>
        <v>2465000</v>
      </c>
      <c r="N1502" s="103">
        <f t="shared" si="541"/>
        <v>285000</v>
      </c>
      <c r="O1502" s="103">
        <f t="shared" si="541"/>
        <v>0</v>
      </c>
      <c r="P1502" s="103">
        <f t="shared" si="541"/>
        <v>0</v>
      </c>
      <c r="Q1502" s="103">
        <f>SUM(N1502:P1502)</f>
        <v>285000</v>
      </c>
      <c r="S1502" s="730">
        <f t="shared" si="554"/>
        <v>0.89636363636363636</v>
      </c>
      <c r="T1502" s="730" t="str">
        <f t="shared" si="554"/>
        <v/>
      </c>
      <c r="U1502" s="730" t="str">
        <f t="shared" si="554"/>
        <v/>
      </c>
      <c r="V1502" s="730">
        <f t="shared" si="552"/>
        <v>0.89636363636363636</v>
      </c>
      <c r="W1502" s="531"/>
      <c r="X1502" s="236"/>
      <c r="Y1502" s="236" t="s">
        <v>688</v>
      </c>
      <c r="Z1502" s="236"/>
    </row>
    <row r="1503" spans="1:26" ht="11.25" customHeight="1">
      <c r="A1503" s="528" t="s">
        <v>69</v>
      </c>
      <c r="B1503" s="1013" t="s">
        <v>242</v>
      </c>
      <c r="C1503" s="410"/>
      <c r="D1503" s="647"/>
      <c r="E1503" s="461" t="s">
        <v>764</v>
      </c>
      <c r="F1503" s="104"/>
      <c r="G1503" s="104"/>
      <c r="H1503" s="104"/>
      <c r="I1503" s="103"/>
      <c r="J1503" s="104"/>
      <c r="K1503" s="104"/>
      <c r="L1503" s="104"/>
      <c r="M1503" s="103"/>
      <c r="N1503" s="103"/>
      <c r="O1503" s="103"/>
      <c r="P1503" s="103"/>
      <c r="Q1503" s="103"/>
      <c r="S1503" s="730" t="str">
        <f t="shared" si="554"/>
        <v/>
      </c>
      <c r="T1503" s="730" t="str">
        <f t="shared" si="554"/>
        <v/>
      </c>
      <c r="U1503" s="730" t="str">
        <f t="shared" si="554"/>
        <v/>
      </c>
      <c r="V1503" s="730" t="str">
        <f t="shared" si="552"/>
        <v/>
      </c>
      <c r="W1503" s="531"/>
      <c r="X1503" s="236"/>
      <c r="Y1503" s="236" t="s">
        <v>688</v>
      </c>
      <c r="Z1503" s="240"/>
    </row>
    <row r="1504" spans="1:26" ht="11.25" customHeight="1">
      <c r="A1504" s="528" t="s">
        <v>69</v>
      </c>
      <c r="B1504" s="1013" t="s">
        <v>242</v>
      </c>
      <c r="C1504" s="728"/>
      <c r="D1504" s="649" t="s">
        <v>289</v>
      </c>
      <c r="E1504" s="729" t="s">
        <v>289</v>
      </c>
      <c r="F1504" s="103">
        <f>SUM('[3]special hospitals1'!AH14)</f>
        <v>2938394</v>
      </c>
      <c r="G1504" s="103">
        <f>SUM('[3]special hospitals1'!AH50)</f>
        <v>0</v>
      </c>
      <c r="H1504" s="103">
        <f>SUM('[3]special hospitals1'!AH142)</f>
        <v>0</v>
      </c>
      <c r="I1504" s="103">
        <f>SUM(F1504:H1504)</f>
        <v>2938394</v>
      </c>
      <c r="J1504" s="103">
        <f>SUM('[3]special hospitals1'!AH15)</f>
        <v>2938390.25</v>
      </c>
      <c r="K1504" s="103">
        <f>SUM('[3]special hospitals1'!AH51)</f>
        <v>0</v>
      </c>
      <c r="L1504" s="103">
        <f>SUM('[3]special hospitals1'!AH143)</f>
        <v>0</v>
      </c>
      <c r="M1504" s="103">
        <f t="shared" si="549"/>
        <v>2938390.25</v>
      </c>
      <c r="N1504" s="103">
        <f t="shared" si="541"/>
        <v>3.75</v>
      </c>
      <c r="O1504" s="103">
        <f t="shared" si="541"/>
        <v>0</v>
      </c>
      <c r="P1504" s="103">
        <f t="shared" si="541"/>
        <v>0</v>
      </c>
      <c r="Q1504" s="103">
        <f t="shared" si="542"/>
        <v>3.75</v>
      </c>
      <c r="S1504" s="730">
        <f t="shared" si="554"/>
        <v>0.99999872379265675</v>
      </c>
      <c r="T1504" s="730" t="str">
        <f t="shared" si="554"/>
        <v/>
      </c>
      <c r="U1504" s="730" t="str">
        <f t="shared" si="554"/>
        <v/>
      </c>
      <c r="V1504" s="730">
        <f t="shared" si="552"/>
        <v>0.99999872379265675</v>
      </c>
      <c r="W1504" s="531"/>
      <c r="X1504" s="236"/>
      <c r="Y1504" s="236" t="s">
        <v>598</v>
      </c>
      <c r="Z1504" s="236"/>
    </row>
    <row r="1505" spans="1:26" ht="11.25" customHeight="1">
      <c r="A1505" s="528" t="s">
        <v>69</v>
      </c>
      <c r="B1505" s="1013" t="s">
        <v>242</v>
      </c>
      <c r="C1505" s="728"/>
      <c r="D1505" s="649" t="s">
        <v>290</v>
      </c>
      <c r="E1505" s="729" t="s">
        <v>290</v>
      </c>
      <c r="F1505" s="103">
        <f>SUM('[3]special hospitals1'!AO14)</f>
        <v>0</v>
      </c>
      <c r="G1505" s="103">
        <f>SUM('[3]special hospitals1'!AO50)</f>
        <v>2500000</v>
      </c>
      <c r="H1505" s="103">
        <f>SUM('[3]special hospitals1'!AO142)</f>
        <v>0</v>
      </c>
      <c r="I1505" s="103">
        <f>SUM(F1505:H1505)</f>
        <v>2500000</v>
      </c>
      <c r="J1505" s="103">
        <f>SUM('[3]special hospitals1'!AO15)</f>
        <v>0</v>
      </c>
      <c r="K1505" s="103">
        <f>SUM('[3]special hospitals1'!AO51)</f>
        <v>121707.65</v>
      </c>
      <c r="L1505" s="103">
        <f>SUM('[3]special hospitals1'!AO143)</f>
        <v>0</v>
      </c>
      <c r="M1505" s="103">
        <f t="shared" si="549"/>
        <v>121707.65</v>
      </c>
      <c r="N1505" s="103">
        <f t="shared" si="541"/>
        <v>0</v>
      </c>
      <c r="O1505" s="103">
        <f t="shared" si="541"/>
        <v>2378292.35</v>
      </c>
      <c r="P1505" s="103">
        <f t="shared" si="541"/>
        <v>0</v>
      </c>
      <c r="Q1505" s="103">
        <f t="shared" si="542"/>
        <v>2378292.35</v>
      </c>
      <c r="S1505" s="730" t="str">
        <f t="shared" si="554"/>
        <v/>
      </c>
      <c r="T1505" s="730">
        <f t="shared" si="554"/>
        <v>4.868306E-2</v>
      </c>
      <c r="U1505" s="730" t="str">
        <f t="shared" si="554"/>
        <v/>
      </c>
      <c r="V1505" s="730">
        <f t="shared" si="552"/>
        <v>4.868306E-2</v>
      </c>
      <c r="W1505" s="531"/>
      <c r="X1505" s="236"/>
      <c r="Y1505" s="236" t="s">
        <v>598</v>
      </c>
      <c r="Z1505" s="236"/>
    </row>
    <row r="1506" spans="1:26" s="259" customFormat="1" ht="11.25" customHeight="1">
      <c r="A1506" s="246" t="s">
        <v>69</v>
      </c>
      <c r="B1506" s="235" t="s">
        <v>242</v>
      </c>
      <c r="C1506" s="656"/>
      <c r="D1506" s="656"/>
      <c r="E1506" s="657" t="s">
        <v>4</v>
      </c>
      <c r="F1506" s="652">
        <f>+F1496+F1498+F1500</f>
        <v>147917394</v>
      </c>
      <c r="G1506" s="652">
        <f t="shared" ref="G1506:M1506" si="557">+G1496+G1498+G1500</f>
        <v>69506000</v>
      </c>
      <c r="H1506" s="652">
        <f t="shared" si="557"/>
        <v>26170000</v>
      </c>
      <c r="I1506" s="652">
        <f t="shared" si="557"/>
        <v>243593394</v>
      </c>
      <c r="J1506" s="652">
        <f t="shared" si="557"/>
        <v>140134398.50999999</v>
      </c>
      <c r="K1506" s="652">
        <f t="shared" si="557"/>
        <v>60774760.170000002</v>
      </c>
      <c r="L1506" s="652">
        <f t="shared" si="557"/>
        <v>12951802.83</v>
      </c>
      <c r="M1506" s="652">
        <f t="shared" si="557"/>
        <v>213860961.50999999</v>
      </c>
      <c r="N1506" s="652">
        <f t="shared" si="541"/>
        <v>7782995.4900000095</v>
      </c>
      <c r="O1506" s="652">
        <f t="shared" si="541"/>
        <v>8731239.8299999982</v>
      </c>
      <c r="P1506" s="652">
        <f t="shared" si="541"/>
        <v>13218197.17</v>
      </c>
      <c r="Q1506" s="652">
        <f t="shared" si="542"/>
        <v>29732432.49000001</v>
      </c>
      <c r="R1506" s="653">
        <f>+Q1506-'[3]special hospitals1'!CQ179</f>
        <v>0</v>
      </c>
      <c r="S1506" s="1008">
        <f t="shared" si="554"/>
        <v>0.94738282442969479</v>
      </c>
      <c r="T1506" s="1008">
        <f t="shared" si="554"/>
        <v>0.87438149469110582</v>
      </c>
      <c r="U1506" s="1008">
        <f t="shared" si="554"/>
        <v>0.49491031066106228</v>
      </c>
      <c r="V1506" s="1008">
        <f t="shared" si="552"/>
        <v>0.87794236944701376</v>
      </c>
      <c r="W1506" s="254"/>
      <c r="X1506" s="520"/>
      <c r="Y1506" s="610" t="s">
        <v>598</v>
      </c>
      <c r="Z1506" s="241" t="s">
        <v>598</v>
      </c>
    </row>
    <row r="1507" spans="1:26" ht="11.25" customHeight="1">
      <c r="A1507" s="246" t="s">
        <v>69</v>
      </c>
      <c r="B1507" s="235" t="s">
        <v>242</v>
      </c>
      <c r="C1507" s="410"/>
      <c r="D1507" s="386"/>
      <c r="E1507" s="461" t="s">
        <v>764</v>
      </c>
      <c r="F1507" s="103"/>
      <c r="G1507" s="103"/>
      <c r="H1507" s="103"/>
      <c r="I1507" s="103">
        <f>+I1506-'[3]special hospitals1'!CQ175</f>
        <v>0</v>
      </c>
      <c r="J1507" s="103"/>
      <c r="K1507" s="103"/>
      <c r="L1507" s="103"/>
      <c r="M1507" s="103"/>
      <c r="N1507" s="103">
        <f t="shared" si="541"/>
        <v>0</v>
      </c>
      <c r="O1507" s="103">
        <f t="shared" si="541"/>
        <v>0</v>
      </c>
      <c r="P1507" s="103">
        <f t="shared" si="541"/>
        <v>0</v>
      </c>
      <c r="Q1507" s="103">
        <f t="shared" si="542"/>
        <v>0</v>
      </c>
      <c r="S1507" s="730" t="str">
        <f t="shared" si="554"/>
        <v/>
      </c>
      <c r="T1507" s="730" t="str">
        <f t="shared" si="554"/>
        <v/>
      </c>
      <c r="U1507" s="730" t="str">
        <f t="shared" si="554"/>
        <v/>
      </c>
      <c r="V1507" s="730" t="str">
        <f t="shared" si="552"/>
        <v/>
      </c>
      <c r="W1507" s="254"/>
      <c r="Y1507" s="610" t="s">
        <v>598</v>
      </c>
      <c r="Z1507" s="241" t="s">
        <v>598</v>
      </c>
    </row>
    <row r="1508" spans="1:26" s="675" customFormat="1" ht="11.25" customHeight="1">
      <c r="A1508" s="528" t="s">
        <v>258</v>
      </c>
      <c r="B1508" s="528" t="s">
        <v>244</v>
      </c>
      <c r="C1508" s="407" t="s">
        <v>98</v>
      </c>
      <c r="D1508" s="655" t="s">
        <v>245</v>
      </c>
      <c r="E1508" s="408" t="s">
        <v>852</v>
      </c>
      <c r="F1508" s="673"/>
      <c r="G1508" s="673"/>
      <c r="H1508" s="673"/>
      <c r="I1508" s="674">
        <f>SUM(F1508:H1508)</f>
        <v>0</v>
      </c>
      <c r="J1508" s="673"/>
      <c r="K1508" s="673"/>
      <c r="L1508" s="673"/>
      <c r="M1508" s="674">
        <f t="shared" si="549"/>
        <v>0</v>
      </c>
      <c r="N1508" s="674">
        <f t="shared" si="541"/>
        <v>0</v>
      </c>
      <c r="O1508" s="674">
        <f t="shared" si="541"/>
        <v>0</v>
      </c>
      <c r="P1508" s="674">
        <f t="shared" si="541"/>
        <v>0</v>
      </c>
      <c r="Q1508" s="674">
        <f t="shared" si="542"/>
        <v>0</v>
      </c>
      <c r="R1508" s="101"/>
      <c r="S1508" s="254" t="str">
        <f t="shared" si="554"/>
        <v/>
      </c>
      <c r="T1508" s="254" t="str">
        <f t="shared" si="554"/>
        <v/>
      </c>
      <c r="U1508" s="254" t="str">
        <f t="shared" si="554"/>
        <v/>
      </c>
      <c r="V1508" s="254" t="str">
        <f t="shared" si="552"/>
        <v/>
      </c>
      <c r="W1508" s="531"/>
      <c r="Y1508" s="272" t="s">
        <v>598</v>
      </c>
      <c r="Z1508" s="260" t="s">
        <v>598</v>
      </c>
    </row>
    <row r="1509" spans="1:26" ht="11.25" customHeight="1">
      <c r="A1509" s="528" t="s">
        <v>258</v>
      </c>
      <c r="B1509" s="1013" t="s">
        <v>244</v>
      </c>
      <c r="C1509" s="461"/>
      <c r="D1509" s="645" t="s">
        <v>766</v>
      </c>
      <c r="E1509" s="447" t="s">
        <v>766</v>
      </c>
      <c r="F1509" s="104">
        <f>+'[3]special hospitals1'!B413</f>
        <v>337240753</v>
      </c>
      <c r="G1509" s="104">
        <f>+'[3]special hospitals1'!C413</f>
        <v>52939247</v>
      </c>
      <c r="H1509" s="104">
        <f>+'[3]special hospitals1'!D413</f>
        <v>0</v>
      </c>
      <c r="I1509" s="103">
        <f>SUM(F1509:H1509)</f>
        <v>390180000</v>
      </c>
      <c r="J1509" s="104">
        <f>+'[3]special hospitals1'!F413</f>
        <v>320185684.16999996</v>
      </c>
      <c r="K1509" s="104">
        <f>+'[3]special hospitals1'!G413</f>
        <v>44774450.359999999</v>
      </c>
      <c r="L1509" s="104">
        <f>+'[3]special hospitals1'!H413</f>
        <v>0</v>
      </c>
      <c r="M1509" s="103">
        <f t="shared" si="549"/>
        <v>364960134.52999997</v>
      </c>
      <c r="N1509" s="103">
        <f t="shared" si="541"/>
        <v>17055068.830000043</v>
      </c>
      <c r="O1509" s="103">
        <f t="shared" si="541"/>
        <v>8164796.6400000006</v>
      </c>
      <c r="P1509" s="103">
        <f t="shared" si="541"/>
        <v>0</v>
      </c>
      <c r="Q1509" s="103">
        <f t="shared" si="542"/>
        <v>25219865.470000044</v>
      </c>
      <c r="S1509" s="730">
        <f t="shared" si="554"/>
        <v>0.949427616092412</v>
      </c>
      <c r="T1509" s="730">
        <f t="shared" si="554"/>
        <v>0.84577044248475997</v>
      </c>
      <c r="U1509" s="730" t="str">
        <f t="shared" si="554"/>
        <v/>
      </c>
      <c r="V1509" s="730">
        <f t="shared" si="552"/>
        <v>0.93536351050797062</v>
      </c>
      <c r="W1509" s="531"/>
      <c r="X1509" s="236"/>
      <c r="Y1509" s="236" t="s">
        <v>688</v>
      </c>
      <c r="Z1509" s="236"/>
    </row>
    <row r="1510" spans="1:26" ht="11.25" customHeight="1">
      <c r="A1510" s="528" t="s">
        <v>258</v>
      </c>
      <c r="B1510" s="1013" t="s">
        <v>244</v>
      </c>
      <c r="C1510" s="728"/>
      <c r="D1510" s="649" t="s">
        <v>50</v>
      </c>
      <c r="E1510" s="447" t="s">
        <v>50</v>
      </c>
      <c r="F1510" s="104"/>
      <c r="G1510" s="104">
        <f>+'[3]special hospitals1'!C415</f>
        <v>42912000</v>
      </c>
      <c r="H1510" s="104">
        <f>+'[3]special hospitals1'!D415</f>
        <v>750000000</v>
      </c>
      <c r="I1510" s="103">
        <f>SUM(F1510:H1510)</f>
        <v>792912000</v>
      </c>
      <c r="J1510" s="104"/>
      <c r="K1510" s="104">
        <f>+'[3]special hospitals1'!G415</f>
        <v>40624267.020000003</v>
      </c>
      <c r="L1510" s="104">
        <f>+'[3]special hospitals1'!H415</f>
        <v>0</v>
      </c>
      <c r="M1510" s="103">
        <f>SUM(J1510:L1510)</f>
        <v>40624267.020000003</v>
      </c>
      <c r="N1510" s="103">
        <f t="shared" si="541"/>
        <v>0</v>
      </c>
      <c r="O1510" s="103">
        <f t="shared" si="541"/>
        <v>2287732.9799999967</v>
      </c>
      <c r="P1510" s="103">
        <f t="shared" si="541"/>
        <v>750000000</v>
      </c>
      <c r="Q1510" s="103">
        <f t="shared" si="542"/>
        <v>752287732.98000002</v>
      </c>
      <c r="S1510" s="730" t="str">
        <f t="shared" si="554"/>
        <v/>
      </c>
      <c r="T1510" s="730">
        <f t="shared" si="554"/>
        <v>0.94668780341163317</v>
      </c>
      <c r="U1510" s="730">
        <f t="shared" si="554"/>
        <v>0</v>
      </c>
      <c r="V1510" s="730">
        <f t="shared" si="552"/>
        <v>5.1234269401900845E-2</v>
      </c>
      <c r="W1510" s="531"/>
      <c r="X1510" s="236"/>
      <c r="Y1510" s="236" t="s">
        <v>688</v>
      </c>
      <c r="Z1510" s="236"/>
    </row>
    <row r="1511" spans="1:26" s="256" customFormat="1" ht="11.25" customHeight="1">
      <c r="A1511" s="528" t="s">
        <v>258</v>
      </c>
      <c r="B1511" s="528" t="s">
        <v>244</v>
      </c>
      <c r="C1511" s="389"/>
      <c r="D1511" s="650" t="s">
        <v>98</v>
      </c>
      <c r="E1511" s="390" t="s">
        <v>767</v>
      </c>
      <c r="F1511" s="391">
        <f>+F1509+F1510</f>
        <v>337240753</v>
      </c>
      <c r="G1511" s="391">
        <f t="shared" ref="G1511:M1511" si="558">+G1509+G1510</f>
        <v>95851247</v>
      </c>
      <c r="H1511" s="391">
        <f t="shared" si="558"/>
        <v>750000000</v>
      </c>
      <c r="I1511" s="391">
        <f t="shared" si="558"/>
        <v>1183092000</v>
      </c>
      <c r="J1511" s="391">
        <f t="shared" si="558"/>
        <v>320185684.16999996</v>
      </c>
      <c r="K1511" s="391">
        <f t="shared" si="558"/>
        <v>85398717.379999995</v>
      </c>
      <c r="L1511" s="391">
        <f t="shared" si="558"/>
        <v>0</v>
      </c>
      <c r="M1511" s="391">
        <f t="shared" si="558"/>
        <v>405584401.54999995</v>
      </c>
      <c r="N1511" s="391">
        <f t="shared" si="541"/>
        <v>17055068.830000043</v>
      </c>
      <c r="O1511" s="391">
        <f t="shared" si="541"/>
        <v>10452529.620000005</v>
      </c>
      <c r="P1511" s="391">
        <f t="shared" si="541"/>
        <v>750000000</v>
      </c>
      <c r="Q1511" s="391">
        <f t="shared" si="542"/>
        <v>777507598.45000005</v>
      </c>
      <c r="R1511" s="101"/>
      <c r="S1511" s="254">
        <f t="shared" si="554"/>
        <v>0.949427616092412</v>
      </c>
      <c r="T1511" s="254">
        <f t="shared" si="554"/>
        <v>0.89095050980400903</v>
      </c>
      <c r="U1511" s="254">
        <f t="shared" si="554"/>
        <v>0</v>
      </c>
      <c r="V1511" s="254">
        <f t="shared" si="552"/>
        <v>0.34281729700648805</v>
      </c>
      <c r="W1511" s="531"/>
      <c r="Y1511" s="256" t="s">
        <v>598</v>
      </c>
      <c r="Z1511" s="256" t="s">
        <v>598</v>
      </c>
    </row>
    <row r="1512" spans="1:26" ht="11.25" hidden="1" customHeight="1">
      <c r="A1512" s="528" t="s">
        <v>258</v>
      </c>
      <c r="B1512" s="1013" t="s">
        <v>244</v>
      </c>
      <c r="C1512" s="410"/>
      <c r="D1512" s="651"/>
      <c r="E1512" s="806" t="s">
        <v>764</v>
      </c>
      <c r="F1512" s="807"/>
      <c r="G1512" s="807"/>
      <c r="H1512" s="807"/>
      <c r="I1512" s="807"/>
      <c r="J1512" s="807"/>
      <c r="K1512" s="807"/>
      <c r="L1512" s="807"/>
      <c r="M1512" s="807"/>
      <c r="N1512" s="807">
        <f t="shared" si="541"/>
        <v>0</v>
      </c>
      <c r="O1512" s="807">
        <f t="shared" si="541"/>
        <v>0</v>
      </c>
      <c r="P1512" s="807">
        <f t="shared" si="541"/>
        <v>0</v>
      </c>
      <c r="Q1512" s="807">
        <f t="shared" si="542"/>
        <v>0</v>
      </c>
      <c r="R1512" s="276"/>
      <c r="S1512" s="730" t="str">
        <f t="shared" si="554"/>
        <v/>
      </c>
      <c r="T1512" s="730" t="str">
        <f t="shared" si="554"/>
        <v/>
      </c>
      <c r="U1512" s="730" t="str">
        <f t="shared" si="554"/>
        <v/>
      </c>
      <c r="V1512" s="730" t="str">
        <f t="shared" si="552"/>
        <v/>
      </c>
      <c r="W1512" s="531"/>
      <c r="X1512" s="236"/>
      <c r="Y1512" s="236"/>
      <c r="Z1512" s="236"/>
    </row>
    <row r="1513" spans="1:26" s="256" customFormat="1" ht="11.25" customHeight="1">
      <c r="A1513" s="528" t="s">
        <v>258</v>
      </c>
      <c r="B1513" s="528" t="s">
        <v>244</v>
      </c>
      <c r="C1513" s="389"/>
      <c r="D1513" s="650" t="s">
        <v>98</v>
      </c>
      <c r="E1513" s="390" t="s">
        <v>99</v>
      </c>
      <c r="F1513" s="391">
        <f>+F1514</f>
        <v>28999000</v>
      </c>
      <c r="G1513" s="391">
        <f t="shared" ref="G1513:M1513" si="559">+G1514</f>
        <v>0</v>
      </c>
      <c r="H1513" s="391">
        <f t="shared" si="559"/>
        <v>0</v>
      </c>
      <c r="I1513" s="391">
        <f t="shared" si="559"/>
        <v>28999000</v>
      </c>
      <c r="J1513" s="391">
        <f t="shared" si="559"/>
        <v>26813726.41</v>
      </c>
      <c r="K1513" s="391">
        <f t="shared" si="559"/>
        <v>0</v>
      </c>
      <c r="L1513" s="391">
        <f t="shared" si="559"/>
        <v>0</v>
      </c>
      <c r="M1513" s="391">
        <f t="shared" si="559"/>
        <v>26813726.41</v>
      </c>
      <c r="N1513" s="391">
        <f t="shared" si="541"/>
        <v>2185273.59</v>
      </c>
      <c r="O1513" s="391">
        <f t="shared" si="541"/>
        <v>0</v>
      </c>
      <c r="P1513" s="391">
        <f t="shared" si="541"/>
        <v>0</v>
      </c>
      <c r="Q1513" s="391">
        <f t="shared" si="542"/>
        <v>2185273.59</v>
      </c>
      <c r="R1513" s="101"/>
      <c r="S1513" s="254">
        <f t="shared" si="554"/>
        <v>0.92464313976344015</v>
      </c>
      <c r="T1513" s="254" t="str">
        <f t="shared" si="554"/>
        <v/>
      </c>
      <c r="U1513" s="254" t="str">
        <f t="shared" si="554"/>
        <v/>
      </c>
      <c r="V1513" s="254">
        <f t="shared" si="552"/>
        <v>0.92464313976344015</v>
      </c>
      <c r="W1513" s="531"/>
      <c r="Y1513" s="256" t="s">
        <v>598</v>
      </c>
      <c r="Z1513" s="256" t="s">
        <v>598</v>
      </c>
    </row>
    <row r="1514" spans="1:26" ht="11.25" customHeight="1">
      <c r="A1514" s="528" t="s">
        <v>258</v>
      </c>
      <c r="B1514" s="1013" t="s">
        <v>244</v>
      </c>
      <c r="C1514" s="728"/>
      <c r="D1514" s="649" t="s">
        <v>286</v>
      </c>
      <c r="E1514" s="729" t="s">
        <v>286</v>
      </c>
      <c r="F1514" s="103">
        <f>SUM('[3]special hospitals1'!V14)</f>
        <v>28999000</v>
      </c>
      <c r="G1514" s="103">
        <f>SUM('[3]special hospitals1'!V50)</f>
        <v>0</v>
      </c>
      <c r="H1514" s="103">
        <f>SUM('[3]special hospitals1'!V142)</f>
        <v>0</v>
      </c>
      <c r="I1514" s="103">
        <f>SUM(F1514:H1514)</f>
        <v>28999000</v>
      </c>
      <c r="J1514" s="103">
        <f>SUM('[3]special hospitals1'!V15)</f>
        <v>26813726.41</v>
      </c>
      <c r="K1514" s="103">
        <f>SUM('[3]special hospitals1'!V51)</f>
        <v>0</v>
      </c>
      <c r="L1514" s="103">
        <f>SUM('[3]special hospitals1'!V143)</f>
        <v>0</v>
      </c>
      <c r="M1514" s="103">
        <f t="shared" si="549"/>
        <v>26813726.41</v>
      </c>
      <c r="N1514" s="103">
        <f t="shared" si="541"/>
        <v>2185273.59</v>
      </c>
      <c r="O1514" s="103">
        <f t="shared" si="541"/>
        <v>0</v>
      </c>
      <c r="P1514" s="103">
        <f t="shared" si="541"/>
        <v>0</v>
      </c>
      <c r="Q1514" s="103">
        <f t="shared" si="542"/>
        <v>2185273.59</v>
      </c>
      <c r="S1514" s="730">
        <f t="shared" si="554"/>
        <v>0.92464313976344015</v>
      </c>
      <c r="T1514" s="730" t="str">
        <f t="shared" si="554"/>
        <v/>
      </c>
      <c r="U1514" s="730" t="str">
        <f t="shared" si="554"/>
        <v/>
      </c>
      <c r="V1514" s="730">
        <f t="shared" si="552"/>
        <v>0.92464313976344015</v>
      </c>
      <c r="W1514" s="531"/>
      <c r="X1514" s="236"/>
      <c r="Y1514" s="236" t="s">
        <v>598</v>
      </c>
      <c r="Z1514" s="236"/>
    </row>
    <row r="1515" spans="1:26" s="272" customFormat="1" ht="11.25" customHeight="1">
      <c r="A1515" s="528" t="s">
        <v>258</v>
      </c>
      <c r="B1515" s="528" t="s">
        <v>244</v>
      </c>
      <c r="C1515" s="389"/>
      <c r="D1515" s="650" t="s">
        <v>98</v>
      </c>
      <c r="E1515" s="390" t="s">
        <v>100</v>
      </c>
      <c r="F1515" s="391">
        <f t="shared" ref="F1515:M1515" si="560">SUM(F1516:F1520)</f>
        <v>11879371</v>
      </c>
      <c r="G1515" s="391">
        <f t="shared" si="560"/>
        <v>1250000</v>
      </c>
      <c r="H1515" s="391">
        <f t="shared" si="560"/>
        <v>0</v>
      </c>
      <c r="I1515" s="391">
        <f t="shared" si="560"/>
        <v>13129371</v>
      </c>
      <c r="J1515" s="391">
        <f t="shared" si="560"/>
        <v>11577116.300000001</v>
      </c>
      <c r="K1515" s="391">
        <f t="shared" si="560"/>
        <v>726016.57</v>
      </c>
      <c r="L1515" s="391">
        <f t="shared" si="560"/>
        <v>0</v>
      </c>
      <c r="M1515" s="391">
        <f t="shared" si="560"/>
        <v>12303132.870000001</v>
      </c>
      <c r="N1515" s="391">
        <f t="shared" si="541"/>
        <v>302254.69999999925</v>
      </c>
      <c r="O1515" s="391">
        <f t="shared" si="541"/>
        <v>523983.43000000005</v>
      </c>
      <c r="P1515" s="391">
        <f t="shared" si="541"/>
        <v>0</v>
      </c>
      <c r="Q1515" s="391">
        <f t="shared" si="542"/>
        <v>826238.12999999931</v>
      </c>
      <c r="R1515" s="102"/>
      <c r="S1515" s="254">
        <f t="shared" si="554"/>
        <v>0.97455633804180375</v>
      </c>
      <c r="T1515" s="254">
        <f t="shared" si="554"/>
        <v>0.580813256</v>
      </c>
      <c r="U1515" s="254" t="str">
        <f t="shared" si="554"/>
        <v/>
      </c>
      <c r="V1515" s="254">
        <f t="shared" si="552"/>
        <v>0.93706948108938359</v>
      </c>
      <c r="W1515" s="531"/>
      <c r="Y1515" s="272" t="s">
        <v>598</v>
      </c>
      <c r="Z1515" s="256" t="s">
        <v>598</v>
      </c>
    </row>
    <row r="1516" spans="1:26" ht="11.25" customHeight="1">
      <c r="A1516" s="528" t="s">
        <v>258</v>
      </c>
      <c r="B1516" s="1013" t="s">
        <v>244</v>
      </c>
      <c r="C1516" s="728"/>
      <c r="D1516" s="649" t="s">
        <v>288</v>
      </c>
      <c r="E1516" s="729" t="s">
        <v>288</v>
      </c>
      <c r="F1516" s="103">
        <f>SUM('[3]special hospitals1'!AC14)</f>
        <v>0</v>
      </c>
      <c r="G1516" s="103">
        <f>SUM('[3]special hospitals1'!AC50)</f>
        <v>0</v>
      </c>
      <c r="H1516" s="103">
        <f>SUM('[3]special hospitals1'!AC142)</f>
        <v>0</v>
      </c>
      <c r="I1516" s="103">
        <f>SUM(F1516:H1516)</f>
        <v>0</v>
      </c>
      <c r="J1516" s="103">
        <f>SUM('[3]special hospitals1'!AC15)</f>
        <v>0</v>
      </c>
      <c r="K1516" s="103">
        <f>SUM('[3]special hospitals1'!AC51)</f>
        <v>0</v>
      </c>
      <c r="L1516" s="103">
        <f>SUM('[3]special hospitals1'!AC143)</f>
        <v>0</v>
      </c>
      <c r="M1516" s="103">
        <f t="shared" si="549"/>
        <v>0</v>
      </c>
      <c r="N1516" s="103">
        <f t="shared" si="541"/>
        <v>0</v>
      </c>
      <c r="O1516" s="103">
        <f t="shared" si="541"/>
        <v>0</v>
      </c>
      <c r="P1516" s="103">
        <f t="shared" si="541"/>
        <v>0</v>
      </c>
      <c r="Q1516" s="103">
        <f t="shared" si="542"/>
        <v>0</v>
      </c>
      <c r="S1516" s="730" t="str">
        <f t="shared" si="554"/>
        <v/>
      </c>
      <c r="T1516" s="730" t="str">
        <f t="shared" si="554"/>
        <v/>
      </c>
      <c r="U1516" s="730" t="str">
        <f t="shared" si="554"/>
        <v/>
      </c>
      <c r="V1516" s="730" t="str">
        <f t="shared" si="552"/>
        <v/>
      </c>
      <c r="W1516" s="531"/>
      <c r="X1516" s="236"/>
      <c r="Y1516" s="236" t="s">
        <v>598</v>
      </c>
      <c r="Z1516" s="236"/>
    </row>
    <row r="1517" spans="1:26" ht="11.25" customHeight="1">
      <c r="A1517" s="528" t="s">
        <v>258</v>
      </c>
      <c r="B1517" s="1013" t="s">
        <v>244</v>
      </c>
      <c r="C1517" s="728"/>
      <c r="D1517" s="649" t="s">
        <v>761</v>
      </c>
      <c r="E1517" s="729" t="s">
        <v>761</v>
      </c>
      <c r="F1517" s="104">
        <f>+'[3]special hospitals1'!B415</f>
        <v>9316000</v>
      </c>
      <c r="G1517" s="104"/>
      <c r="H1517" s="104"/>
      <c r="I1517" s="103">
        <f>SUM(F1517:H1517)</f>
        <v>9316000</v>
      </c>
      <c r="J1517" s="104">
        <f>+'[3]special hospitals1'!O44</f>
        <v>9013750</v>
      </c>
      <c r="K1517" s="104"/>
      <c r="L1517" s="104"/>
      <c r="M1517" s="103">
        <f t="shared" si="549"/>
        <v>9013750</v>
      </c>
      <c r="N1517" s="103">
        <f>+F1517-J1517</f>
        <v>302250</v>
      </c>
      <c r="O1517" s="103">
        <f>+G1517-K1517</f>
        <v>0</v>
      </c>
      <c r="P1517" s="103">
        <f>+H1517-L1517</f>
        <v>0</v>
      </c>
      <c r="Q1517" s="103">
        <f>SUM(N1517:P1517)</f>
        <v>302250</v>
      </c>
      <c r="S1517" s="730">
        <f t="shared" si="554"/>
        <v>0.96755581794761703</v>
      </c>
      <c r="T1517" s="730" t="str">
        <f t="shared" si="554"/>
        <v/>
      </c>
      <c r="U1517" s="730" t="str">
        <f t="shared" si="554"/>
        <v/>
      </c>
      <c r="V1517" s="730">
        <f t="shared" si="552"/>
        <v>0.96755581794761703</v>
      </c>
      <c r="W1517" s="531"/>
      <c r="X1517" s="236"/>
      <c r="Y1517" s="236" t="s">
        <v>688</v>
      </c>
      <c r="Z1517" s="236"/>
    </row>
    <row r="1518" spans="1:26" ht="11.25" customHeight="1">
      <c r="A1518" s="528" t="s">
        <v>258</v>
      </c>
      <c r="B1518" s="1013" t="s">
        <v>244</v>
      </c>
      <c r="C1518" s="410"/>
      <c r="D1518" s="647"/>
      <c r="E1518" s="461" t="s">
        <v>764</v>
      </c>
      <c r="F1518" s="104"/>
      <c r="G1518" s="104"/>
      <c r="H1518" s="104"/>
      <c r="I1518" s="103"/>
      <c r="J1518" s="104"/>
      <c r="K1518" s="104"/>
      <c r="L1518" s="104"/>
      <c r="M1518" s="103"/>
      <c r="N1518" s="103"/>
      <c r="O1518" s="103"/>
      <c r="P1518" s="103"/>
      <c r="Q1518" s="103"/>
      <c r="S1518" s="730" t="str">
        <f t="shared" si="554"/>
        <v/>
      </c>
      <c r="T1518" s="730" t="str">
        <f t="shared" si="554"/>
        <v/>
      </c>
      <c r="U1518" s="730" t="str">
        <f t="shared" si="554"/>
        <v/>
      </c>
      <c r="V1518" s="730" t="str">
        <f t="shared" si="552"/>
        <v/>
      </c>
      <c r="W1518" s="531"/>
      <c r="X1518" s="236"/>
      <c r="Y1518" s="236" t="s">
        <v>688</v>
      </c>
      <c r="Z1518" s="240"/>
    </row>
    <row r="1519" spans="1:26" ht="11.25" customHeight="1">
      <c r="A1519" s="528" t="s">
        <v>258</v>
      </c>
      <c r="B1519" s="1013" t="s">
        <v>244</v>
      </c>
      <c r="C1519" s="728"/>
      <c r="D1519" s="649" t="s">
        <v>289</v>
      </c>
      <c r="E1519" s="729" t="s">
        <v>289</v>
      </c>
      <c r="F1519" s="103">
        <f>SUM('[3]special hospitals1'!AJ14)</f>
        <v>2563371</v>
      </c>
      <c r="G1519" s="103">
        <f>SUM('[3]special hospitals1'!AJ50)</f>
        <v>0</v>
      </c>
      <c r="H1519" s="103">
        <f>SUM('[3]special hospitals1'!AJ142)</f>
        <v>0</v>
      </c>
      <c r="I1519" s="103">
        <f>SUM(F1519:H1519)</f>
        <v>2563371</v>
      </c>
      <c r="J1519" s="103">
        <f>SUM('[3]special hospitals1'!AJ15)</f>
        <v>2563366.2999999998</v>
      </c>
      <c r="K1519" s="103">
        <f>SUM('[3]special hospitals1'!AJ51)</f>
        <v>0</v>
      </c>
      <c r="L1519" s="103">
        <f>SUM('[3]special hospitals1'!AJ143)</f>
        <v>0</v>
      </c>
      <c r="M1519" s="103">
        <f t="shared" si="549"/>
        <v>2563366.2999999998</v>
      </c>
      <c r="N1519" s="103">
        <f t="shared" si="541"/>
        <v>4.7000000001862645</v>
      </c>
      <c r="O1519" s="103">
        <f t="shared" si="541"/>
        <v>0</v>
      </c>
      <c r="P1519" s="103">
        <f t="shared" si="541"/>
        <v>0</v>
      </c>
      <c r="Q1519" s="103">
        <f t="shared" si="542"/>
        <v>4.7000000001862645</v>
      </c>
      <c r="S1519" s="730">
        <f t="shared" si="554"/>
        <v>0.99999816647687745</v>
      </c>
      <c r="T1519" s="730" t="str">
        <f t="shared" si="554"/>
        <v/>
      </c>
      <c r="U1519" s="730" t="str">
        <f t="shared" si="554"/>
        <v/>
      </c>
      <c r="V1519" s="730">
        <f t="shared" si="552"/>
        <v>0.99999816647687745</v>
      </c>
      <c r="W1519" s="531"/>
      <c r="X1519" s="236"/>
      <c r="Y1519" s="236" t="s">
        <v>598</v>
      </c>
      <c r="Z1519" s="236"/>
    </row>
    <row r="1520" spans="1:26" ht="11.25" customHeight="1">
      <c r="A1520" s="528" t="s">
        <v>258</v>
      </c>
      <c r="B1520" s="1013" t="s">
        <v>244</v>
      </c>
      <c r="C1520" s="728"/>
      <c r="D1520" s="649" t="s">
        <v>290</v>
      </c>
      <c r="E1520" s="729" t="s">
        <v>290</v>
      </c>
      <c r="F1520" s="103">
        <f>SUM('[3]special hospitals1'!AQ14)</f>
        <v>0</v>
      </c>
      <c r="G1520" s="103">
        <f>SUM('[3]special hospitals1'!AQ50)</f>
        <v>1250000</v>
      </c>
      <c r="H1520" s="103">
        <f>SUM('[3]special hospitals1'!AQ142)</f>
        <v>0</v>
      </c>
      <c r="I1520" s="103">
        <f>SUM(F1520:H1520)</f>
        <v>1250000</v>
      </c>
      <c r="J1520" s="103">
        <f>SUM('[3]special hospitals1'!AQ15)</f>
        <v>0</v>
      </c>
      <c r="K1520" s="103">
        <f>SUM('[3]special hospitals1'!AQ51)</f>
        <v>726016.57</v>
      </c>
      <c r="L1520" s="103">
        <f>SUM('[3]special hospitals1'!AQ143)</f>
        <v>0</v>
      </c>
      <c r="M1520" s="103">
        <f t="shared" si="549"/>
        <v>726016.57</v>
      </c>
      <c r="N1520" s="103">
        <f t="shared" si="541"/>
        <v>0</v>
      </c>
      <c r="O1520" s="103">
        <f t="shared" si="541"/>
        <v>523983.43000000005</v>
      </c>
      <c r="P1520" s="103">
        <f t="shared" si="541"/>
        <v>0</v>
      </c>
      <c r="Q1520" s="103">
        <f t="shared" si="542"/>
        <v>523983.43000000005</v>
      </c>
      <c r="S1520" s="730" t="str">
        <f t="shared" si="554"/>
        <v/>
      </c>
      <c r="T1520" s="730">
        <f t="shared" si="554"/>
        <v>0.580813256</v>
      </c>
      <c r="U1520" s="730" t="str">
        <f t="shared" si="554"/>
        <v/>
      </c>
      <c r="V1520" s="730">
        <f t="shared" si="552"/>
        <v>0.580813256</v>
      </c>
      <c r="W1520" s="531"/>
      <c r="X1520" s="236"/>
      <c r="Y1520" s="236" t="s">
        <v>598</v>
      </c>
      <c r="Z1520" s="236"/>
    </row>
    <row r="1521" spans="1:26" s="259" customFormat="1" ht="11.25" customHeight="1">
      <c r="A1521" s="246" t="s">
        <v>258</v>
      </c>
      <c r="B1521" s="235" t="s">
        <v>244</v>
      </c>
      <c r="C1521" s="656"/>
      <c r="D1521" s="656"/>
      <c r="E1521" s="657" t="s">
        <v>4</v>
      </c>
      <c r="F1521" s="652">
        <f>+F1511+F1513+F1515</f>
        <v>378119124</v>
      </c>
      <c r="G1521" s="652">
        <f t="shared" ref="G1521:M1521" si="561">+G1511+G1513+G1515</f>
        <v>97101247</v>
      </c>
      <c r="H1521" s="652">
        <f t="shared" si="561"/>
        <v>750000000</v>
      </c>
      <c r="I1521" s="652">
        <f t="shared" si="561"/>
        <v>1225220371</v>
      </c>
      <c r="J1521" s="652">
        <f t="shared" si="561"/>
        <v>358576526.88</v>
      </c>
      <c r="K1521" s="652">
        <f t="shared" si="561"/>
        <v>86124733.949999988</v>
      </c>
      <c r="L1521" s="652">
        <f t="shared" si="561"/>
        <v>0</v>
      </c>
      <c r="M1521" s="652">
        <f t="shared" si="561"/>
        <v>444701260.82999998</v>
      </c>
      <c r="N1521" s="652">
        <f t="shared" si="541"/>
        <v>19542597.120000005</v>
      </c>
      <c r="O1521" s="652">
        <f t="shared" si="541"/>
        <v>10976513.050000012</v>
      </c>
      <c r="P1521" s="652">
        <f t="shared" si="541"/>
        <v>750000000</v>
      </c>
      <c r="Q1521" s="652">
        <f t="shared" si="542"/>
        <v>780519110.17000008</v>
      </c>
      <c r="R1521" s="653">
        <f>+Q1521-'[3]special hospitals1'!CS179</f>
        <v>0</v>
      </c>
      <c r="S1521" s="1008">
        <f t="shared" si="554"/>
        <v>0.94831629536939266</v>
      </c>
      <c r="T1521" s="1008">
        <f t="shared" si="554"/>
        <v>0.88695806295875879</v>
      </c>
      <c r="U1521" s="1008">
        <f t="shared" si="554"/>
        <v>0</v>
      </c>
      <c r="V1521" s="1008">
        <f t="shared" si="552"/>
        <v>0.36295614352791394</v>
      </c>
      <c r="W1521" s="254"/>
      <c r="X1521" s="520"/>
      <c r="Y1521" s="610" t="s">
        <v>598</v>
      </c>
      <c r="Z1521" s="241" t="s">
        <v>598</v>
      </c>
    </row>
    <row r="1522" spans="1:26" ht="11.25" customHeight="1">
      <c r="A1522" s="246" t="s">
        <v>258</v>
      </c>
      <c r="B1522" s="235" t="s">
        <v>244</v>
      </c>
      <c r="C1522" s="410"/>
      <c r="D1522" s="386"/>
      <c r="E1522" s="461" t="s">
        <v>764</v>
      </c>
      <c r="F1522" s="103"/>
      <c r="G1522" s="103"/>
      <c r="H1522" s="103"/>
      <c r="I1522" s="103">
        <f>SUM(F1522:H1522)</f>
        <v>0</v>
      </c>
      <c r="J1522" s="103"/>
      <c r="K1522" s="103"/>
      <c r="L1522" s="103"/>
      <c r="M1522" s="103">
        <f t="shared" si="549"/>
        <v>0</v>
      </c>
      <c r="N1522" s="103">
        <f t="shared" si="541"/>
        <v>0</v>
      </c>
      <c r="O1522" s="103">
        <f t="shared" si="541"/>
        <v>0</v>
      </c>
      <c r="P1522" s="103">
        <f t="shared" si="541"/>
        <v>0</v>
      </c>
      <c r="Q1522" s="103">
        <f t="shared" si="542"/>
        <v>0</v>
      </c>
      <c r="S1522" s="730" t="str">
        <f t="shared" si="554"/>
        <v/>
      </c>
      <c r="T1522" s="730" t="str">
        <f t="shared" si="554"/>
        <v/>
      </c>
      <c r="U1522" s="730" t="str">
        <f t="shared" si="554"/>
        <v/>
      </c>
      <c r="V1522" s="730" t="str">
        <f t="shared" si="552"/>
        <v/>
      </c>
      <c r="W1522" s="254"/>
      <c r="Y1522" s="610" t="s">
        <v>598</v>
      </c>
      <c r="Z1522" s="241" t="s">
        <v>598</v>
      </c>
    </row>
    <row r="1523" spans="1:26" s="675" customFormat="1" ht="11.25" customHeight="1">
      <c r="A1523" s="528" t="s">
        <v>258</v>
      </c>
      <c r="B1523" s="528" t="s">
        <v>246</v>
      </c>
      <c r="C1523" s="407" t="s">
        <v>98</v>
      </c>
      <c r="D1523" s="655" t="s">
        <v>247</v>
      </c>
      <c r="E1523" s="408" t="s">
        <v>853</v>
      </c>
      <c r="F1523" s="673"/>
      <c r="G1523" s="673"/>
      <c r="H1523" s="673"/>
      <c r="I1523" s="674">
        <f>SUM(F1523:H1523)</f>
        <v>0</v>
      </c>
      <c r="J1523" s="673"/>
      <c r="K1523" s="673"/>
      <c r="L1523" s="673"/>
      <c r="M1523" s="674">
        <f t="shared" si="549"/>
        <v>0</v>
      </c>
      <c r="N1523" s="674">
        <f t="shared" si="541"/>
        <v>0</v>
      </c>
      <c r="O1523" s="674">
        <f t="shared" si="541"/>
        <v>0</v>
      </c>
      <c r="P1523" s="674">
        <f t="shared" si="541"/>
        <v>0</v>
      </c>
      <c r="Q1523" s="674">
        <f t="shared" si="542"/>
        <v>0</v>
      </c>
      <c r="R1523" s="101"/>
      <c r="S1523" s="254" t="str">
        <f t="shared" si="554"/>
        <v/>
      </c>
      <c r="T1523" s="254" t="str">
        <f t="shared" si="554"/>
        <v/>
      </c>
      <c r="U1523" s="254" t="str">
        <f t="shared" si="554"/>
        <v/>
      </c>
      <c r="V1523" s="254" t="str">
        <f t="shared" si="552"/>
        <v/>
      </c>
      <c r="W1523" s="531"/>
      <c r="Y1523" s="272" t="s">
        <v>598</v>
      </c>
      <c r="Z1523" s="260" t="s">
        <v>598</v>
      </c>
    </row>
    <row r="1524" spans="1:26" ht="11.25" customHeight="1">
      <c r="A1524" s="528" t="s">
        <v>258</v>
      </c>
      <c r="B1524" s="1013" t="s">
        <v>246</v>
      </c>
      <c r="C1524" s="461"/>
      <c r="D1524" s="645" t="s">
        <v>766</v>
      </c>
      <c r="E1524" s="447" t="s">
        <v>766</v>
      </c>
      <c r="F1524" s="104">
        <f>+'[3]special hospitals1'!B407</f>
        <v>143649000</v>
      </c>
      <c r="G1524" s="104">
        <f>+'[3]special hospitals1'!C407</f>
        <v>59733000</v>
      </c>
      <c r="H1524" s="104">
        <f>+'[3]special hospitals1'!D407</f>
        <v>0</v>
      </c>
      <c r="I1524" s="103">
        <f>SUM(F1524:H1524)</f>
        <v>203382000</v>
      </c>
      <c r="J1524" s="104">
        <f>+'[3]special hospitals1'!F407</f>
        <v>132623644.61999999</v>
      </c>
      <c r="K1524" s="104">
        <f>+'[3]special hospitals1'!G407</f>
        <v>56585842.620000005</v>
      </c>
      <c r="L1524" s="104">
        <f>+'[3]special hospitals1'!H407</f>
        <v>0</v>
      </c>
      <c r="M1524" s="103">
        <f t="shared" si="549"/>
        <v>189209487.24000001</v>
      </c>
      <c r="N1524" s="103">
        <f t="shared" si="541"/>
        <v>11025355.38000001</v>
      </c>
      <c r="O1524" s="103">
        <f t="shared" si="541"/>
        <v>3147157.3799999952</v>
      </c>
      <c r="P1524" s="103">
        <f t="shared" si="541"/>
        <v>0</v>
      </c>
      <c r="Q1524" s="103">
        <f t="shared" si="542"/>
        <v>14172512.760000005</v>
      </c>
      <c r="S1524" s="730">
        <f t="shared" si="554"/>
        <v>0.92324794895892059</v>
      </c>
      <c r="T1524" s="730">
        <f t="shared" si="554"/>
        <v>0.94731291949173835</v>
      </c>
      <c r="U1524" s="730" t="str">
        <f t="shared" si="554"/>
        <v/>
      </c>
      <c r="V1524" s="730">
        <f t="shared" si="552"/>
        <v>0.9303157960881494</v>
      </c>
      <c r="W1524" s="531"/>
      <c r="X1524" s="236"/>
      <c r="Y1524" s="236" t="s">
        <v>688</v>
      </c>
      <c r="Z1524" s="236"/>
    </row>
    <row r="1525" spans="1:26" ht="11.25" customHeight="1">
      <c r="A1525" s="528" t="s">
        <v>258</v>
      </c>
      <c r="B1525" s="1013" t="s">
        <v>246</v>
      </c>
      <c r="C1525" s="728"/>
      <c r="D1525" s="649" t="s">
        <v>50</v>
      </c>
      <c r="E1525" s="447" t="s">
        <v>50</v>
      </c>
      <c r="F1525" s="104"/>
      <c r="G1525" s="104">
        <f>+'[3]special hospitals1'!C409</f>
        <v>20312000</v>
      </c>
      <c r="H1525" s="104">
        <f>+'[3]special hospitals1'!D409</f>
        <v>82000000</v>
      </c>
      <c r="I1525" s="103">
        <f>SUM(F1525:H1525)</f>
        <v>102312000</v>
      </c>
      <c r="J1525" s="104"/>
      <c r="K1525" s="104">
        <f>+'[3]special hospitals1'!G409</f>
        <v>20312000</v>
      </c>
      <c r="L1525" s="104">
        <f>+'[3]special hospitals1'!H409</f>
        <v>81972586.260000005</v>
      </c>
      <c r="M1525" s="103">
        <f>SUM(J1525:L1525)</f>
        <v>102284586.26000001</v>
      </c>
      <c r="N1525" s="103">
        <f t="shared" si="541"/>
        <v>0</v>
      </c>
      <c r="O1525" s="103">
        <f t="shared" si="541"/>
        <v>0</v>
      </c>
      <c r="P1525" s="103">
        <f t="shared" si="541"/>
        <v>27413.739999994636</v>
      </c>
      <c r="Q1525" s="103">
        <f t="shared" si="542"/>
        <v>27413.739999994636</v>
      </c>
      <c r="S1525" s="730" t="str">
        <f t="shared" si="554"/>
        <v/>
      </c>
      <c r="T1525" s="730">
        <f t="shared" si="554"/>
        <v>1</v>
      </c>
      <c r="U1525" s="730">
        <f t="shared" si="554"/>
        <v>0.99966568609756101</v>
      </c>
      <c r="V1525" s="730">
        <f t="shared" si="552"/>
        <v>0.99973205743216831</v>
      </c>
      <c r="W1525" s="531"/>
      <c r="X1525" s="236"/>
      <c r="Y1525" s="236" t="s">
        <v>688</v>
      </c>
      <c r="Z1525" s="236"/>
    </row>
    <row r="1526" spans="1:26" s="256" customFormat="1" ht="11.25" customHeight="1">
      <c r="A1526" s="528" t="s">
        <v>258</v>
      </c>
      <c r="B1526" s="528" t="s">
        <v>246</v>
      </c>
      <c r="C1526" s="389"/>
      <c r="D1526" s="650" t="s">
        <v>98</v>
      </c>
      <c r="E1526" s="390" t="s">
        <v>767</v>
      </c>
      <c r="F1526" s="391">
        <f>+F1524+F1525</f>
        <v>143649000</v>
      </c>
      <c r="G1526" s="391">
        <f t="shared" ref="G1526:M1526" si="562">+G1524+G1525</f>
        <v>80045000</v>
      </c>
      <c r="H1526" s="391">
        <f t="shared" si="562"/>
        <v>82000000</v>
      </c>
      <c r="I1526" s="391">
        <f t="shared" si="562"/>
        <v>305694000</v>
      </c>
      <c r="J1526" s="391">
        <f t="shared" si="562"/>
        <v>132623644.61999999</v>
      </c>
      <c r="K1526" s="391">
        <f t="shared" si="562"/>
        <v>76897842.620000005</v>
      </c>
      <c r="L1526" s="391">
        <f t="shared" si="562"/>
        <v>81972586.260000005</v>
      </c>
      <c r="M1526" s="391">
        <f t="shared" si="562"/>
        <v>291494073.5</v>
      </c>
      <c r="N1526" s="391">
        <f t="shared" si="541"/>
        <v>11025355.38000001</v>
      </c>
      <c r="O1526" s="391">
        <f t="shared" si="541"/>
        <v>3147157.3799999952</v>
      </c>
      <c r="P1526" s="391">
        <f t="shared" si="541"/>
        <v>27413.739999994636</v>
      </c>
      <c r="Q1526" s="391">
        <f t="shared" si="542"/>
        <v>14199926.5</v>
      </c>
      <c r="R1526" s="101"/>
      <c r="S1526" s="254">
        <f t="shared" si="554"/>
        <v>0.92324794895892059</v>
      </c>
      <c r="T1526" s="254">
        <f t="shared" si="554"/>
        <v>0.96068264876007248</v>
      </c>
      <c r="U1526" s="254">
        <f t="shared" si="554"/>
        <v>0.99966568609756101</v>
      </c>
      <c r="V1526" s="254">
        <f t="shared" si="552"/>
        <v>0.95354855999790644</v>
      </c>
      <c r="W1526" s="531"/>
      <c r="Y1526" s="256" t="s">
        <v>598</v>
      </c>
      <c r="Z1526" s="256" t="s">
        <v>598</v>
      </c>
    </row>
    <row r="1527" spans="1:26" ht="11.25" hidden="1" customHeight="1">
      <c r="A1527" s="528" t="s">
        <v>258</v>
      </c>
      <c r="B1527" s="1013" t="s">
        <v>246</v>
      </c>
      <c r="C1527" s="410"/>
      <c r="D1527" s="651"/>
      <c r="E1527" s="806" t="s">
        <v>764</v>
      </c>
      <c r="F1527" s="807"/>
      <c r="G1527" s="807"/>
      <c r="H1527" s="807"/>
      <c r="I1527" s="807"/>
      <c r="J1527" s="807"/>
      <c r="K1527" s="807"/>
      <c r="L1527" s="807"/>
      <c r="M1527" s="807"/>
      <c r="N1527" s="807">
        <f t="shared" si="541"/>
        <v>0</v>
      </c>
      <c r="O1527" s="807">
        <f t="shared" si="541"/>
        <v>0</v>
      </c>
      <c r="P1527" s="807">
        <f t="shared" si="541"/>
        <v>0</v>
      </c>
      <c r="Q1527" s="807">
        <f t="shared" si="542"/>
        <v>0</v>
      </c>
      <c r="R1527" s="276"/>
      <c r="S1527" s="730" t="str">
        <f t="shared" si="554"/>
        <v/>
      </c>
      <c r="T1527" s="730" t="str">
        <f t="shared" si="554"/>
        <v/>
      </c>
      <c r="U1527" s="730" t="str">
        <f t="shared" si="554"/>
        <v/>
      </c>
      <c r="V1527" s="730" t="str">
        <f t="shared" si="552"/>
        <v/>
      </c>
      <c r="W1527" s="531"/>
      <c r="X1527" s="236"/>
      <c r="Y1527" s="236"/>
      <c r="Z1527" s="236"/>
    </row>
    <row r="1528" spans="1:26" s="256" customFormat="1" ht="11.25" customHeight="1">
      <c r="A1528" s="528" t="s">
        <v>258</v>
      </c>
      <c r="B1528" s="528" t="s">
        <v>246</v>
      </c>
      <c r="C1528" s="389"/>
      <c r="D1528" s="650" t="s">
        <v>98</v>
      </c>
      <c r="E1528" s="390" t="s">
        <v>99</v>
      </c>
      <c r="F1528" s="391">
        <f>+F1529</f>
        <v>13385000</v>
      </c>
      <c r="G1528" s="391">
        <f t="shared" ref="G1528:M1528" si="563">+G1529</f>
        <v>0</v>
      </c>
      <c r="H1528" s="391">
        <f t="shared" si="563"/>
        <v>0</v>
      </c>
      <c r="I1528" s="391">
        <f t="shared" si="563"/>
        <v>13385000</v>
      </c>
      <c r="J1528" s="391">
        <f t="shared" si="563"/>
        <v>11490554.710000001</v>
      </c>
      <c r="K1528" s="391">
        <f t="shared" si="563"/>
        <v>0</v>
      </c>
      <c r="L1528" s="391">
        <f t="shared" si="563"/>
        <v>0</v>
      </c>
      <c r="M1528" s="391">
        <f t="shared" si="563"/>
        <v>11490554.710000001</v>
      </c>
      <c r="N1528" s="391">
        <f t="shared" si="541"/>
        <v>1894445.2899999991</v>
      </c>
      <c r="O1528" s="391">
        <f t="shared" si="541"/>
        <v>0</v>
      </c>
      <c r="P1528" s="391">
        <f t="shared" si="541"/>
        <v>0</v>
      </c>
      <c r="Q1528" s="391">
        <f t="shared" si="542"/>
        <v>1894445.2899999991</v>
      </c>
      <c r="R1528" s="101"/>
      <c r="S1528" s="254">
        <f t="shared" si="554"/>
        <v>0.85846505117669036</v>
      </c>
      <c r="T1528" s="254" t="str">
        <f t="shared" si="554"/>
        <v/>
      </c>
      <c r="U1528" s="254" t="str">
        <f t="shared" si="554"/>
        <v/>
      </c>
      <c r="V1528" s="254">
        <f t="shared" si="552"/>
        <v>0.85846505117669036</v>
      </c>
      <c r="W1528" s="531"/>
      <c r="Y1528" s="256" t="s">
        <v>598</v>
      </c>
      <c r="Z1528" s="256" t="s">
        <v>598</v>
      </c>
    </row>
    <row r="1529" spans="1:26" ht="11.25" customHeight="1">
      <c r="A1529" s="528" t="s">
        <v>258</v>
      </c>
      <c r="B1529" s="1013" t="s">
        <v>246</v>
      </c>
      <c r="C1529" s="728"/>
      <c r="D1529" s="649" t="s">
        <v>286</v>
      </c>
      <c r="E1529" s="729" t="s">
        <v>286</v>
      </c>
      <c r="F1529" s="103">
        <f>SUM('[3]special hospitals1'!U14)</f>
        <v>13385000</v>
      </c>
      <c r="G1529" s="103">
        <f>SUM('[3]special hospitals1'!U50)</f>
        <v>0</v>
      </c>
      <c r="H1529" s="103">
        <f>SUM('[3]special hospitals1'!U142)</f>
        <v>0</v>
      </c>
      <c r="I1529" s="103">
        <f>SUM(F1529:H1529)</f>
        <v>13385000</v>
      </c>
      <c r="J1529" s="103">
        <f>SUM('[3]special hospitals1'!U15)</f>
        <v>11490554.710000001</v>
      </c>
      <c r="K1529" s="103">
        <f>SUM('[3]special hospitals1'!U51)</f>
        <v>0</v>
      </c>
      <c r="L1529" s="103">
        <f>SUM('[3]special hospitals1'!U143)</f>
        <v>0</v>
      </c>
      <c r="M1529" s="103">
        <f t="shared" si="549"/>
        <v>11490554.710000001</v>
      </c>
      <c r="N1529" s="103">
        <f t="shared" si="541"/>
        <v>1894445.2899999991</v>
      </c>
      <c r="O1529" s="103">
        <f t="shared" si="541"/>
        <v>0</v>
      </c>
      <c r="P1529" s="103">
        <f t="shared" si="541"/>
        <v>0</v>
      </c>
      <c r="Q1529" s="103">
        <f t="shared" si="542"/>
        <v>1894445.2899999991</v>
      </c>
      <c r="S1529" s="730">
        <f t="shared" si="554"/>
        <v>0.85846505117669036</v>
      </c>
      <c r="T1529" s="730" t="str">
        <f t="shared" si="554"/>
        <v/>
      </c>
      <c r="U1529" s="730" t="str">
        <f t="shared" si="554"/>
        <v/>
      </c>
      <c r="V1529" s="730">
        <f t="shared" si="552"/>
        <v>0.85846505117669036</v>
      </c>
      <c r="W1529" s="531"/>
      <c r="X1529" s="236"/>
      <c r="Y1529" s="236" t="s">
        <v>598</v>
      </c>
      <c r="Z1529" s="236"/>
    </row>
    <row r="1530" spans="1:26" s="272" customFormat="1" ht="11.25" customHeight="1">
      <c r="A1530" s="528" t="s">
        <v>258</v>
      </c>
      <c r="B1530" s="528" t="s">
        <v>246</v>
      </c>
      <c r="C1530" s="389"/>
      <c r="D1530" s="650" t="s">
        <v>98</v>
      </c>
      <c r="E1530" s="390" t="s">
        <v>100</v>
      </c>
      <c r="F1530" s="391">
        <f t="shared" ref="F1530:M1530" si="564">SUM(F1531:F1535)</f>
        <v>5078916</v>
      </c>
      <c r="G1530" s="391">
        <f t="shared" si="564"/>
        <v>4600000</v>
      </c>
      <c r="H1530" s="391">
        <f t="shared" si="564"/>
        <v>0</v>
      </c>
      <c r="I1530" s="391">
        <f t="shared" si="564"/>
        <v>9678916</v>
      </c>
      <c r="J1530" s="391">
        <f t="shared" si="564"/>
        <v>5078282.71</v>
      </c>
      <c r="K1530" s="391">
        <f t="shared" si="564"/>
        <v>4589620</v>
      </c>
      <c r="L1530" s="391">
        <f t="shared" si="564"/>
        <v>0</v>
      </c>
      <c r="M1530" s="391">
        <f t="shared" si="564"/>
        <v>9667902.7100000009</v>
      </c>
      <c r="N1530" s="391">
        <f t="shared" si="541"/>
        <v>633.29000000003725</v>
      </c>
      <c r="O1530" s="391">
        <f t="shared" si="541"/>
        <v>10380</v>
      </c>
      <c r="P1530" s="391">
        <f t="shared" si="541"/>
        <v>0</v>
      </c>
      <c r="Q1530" s="391">
        <f t="shared" si="542"/>
        <v>11013.290000000037</v>
      </c>
      <c r="R1530" s="102"/>
      <c r="S1530" s="254">
        <f t="shared" si="554"/>
        <v>0.99987531000709595</v>
      </c>
      <c r="T1530" s="254">
        <f t="shared" si="554"/>
        <v>0.99774347826086962</v>
      </c>
      <c r="U1530" s="254" t="str">
        <f t="shared" si="554"/>
        <v/>
      </c>
      <c r="V1530" s="254">
        <f t="shared" si="552"/>
        <v>0.99886213600779272</v>
      </c>
      <c r="W1530" s="531"/>
      <c r="Y1530" s="272" t="s">
        <v>598</v>
      </c>
      <c r="Z1530" s="256" t="s">
        <v>598</v>
      </c>
    </row>
    <row r="1531" spans="1:26" ht="11.25" customHeight="1">
      <c r="A1531" s="528" t="s">
        <v>258</v>
      </c>
      <c r="B1531" s="1013" t="s">
        <v>246</v>
      </c>
      <c r="C1531" s="728"/>
      <c r="D1531" s="649" t="s">
        <v>288</v>
      </c>
      <c r="E1531" s="729" t="s">
        <v>288</v>
      </c>
      <c r="F1531" s="103">
        <f>SUM('[3]special hospitals1'!AB14)</f>
        <v>0</v>
      </c>
      <c r="G1531" s="103">
        <f>SUM('[3]special hospitals1'!AB50)</f>
        <v>0</v>
      </c>
      <c r="H1531" s="103">
        <f>SUM('[3]special hospitals1'!AB142)</f>
        <v>0</v>
      </c>
      <c r="I1531" s="103">
        <f>SUM(F1531:H1531)</f>
        <v>0</v>
      </c>
      <c r="J1531" s="103">
        <f>SUM('[3]special hospitals1'!AB15)</f>
        <v>0</v>
      </c>
      <c r="K1531" s="103">
        <f>SUM('[3]special hospitals1'!AB51)</f>
        <v>0</v>
      </c>
      <c r="L1531" s="103">
        <f>SUM('[3]special hospitals1'!AB143)</f>
        <v>0</v>
      </c>
      <c r="M1531" s="103">
        <f t="shared" si="549"/>
        <v>0</v>
      </c>
      <c r="N1531" s="103">
        <f t="shared" si="541"/>
        <v>0</v>
      </c>
      <c r="O1531" s="103">
        <f t="shared" si="541"/>
        <v>0</v>
      </c>
      <c r="P1531" s="103">
        <f t="shared" si="541"/>
        <v>0</v>
      </c>
      <c r="Q1531" s="103">
        <f t="shared" si="542"/>
        <v>0</v>
      </c>
      <c r="S1531" s="730" t="str">
        <f t="shared" si="554"/>
        <v/>
      </c>
      <c r="T1531" s="730" t="str">
        <f t="shared" si="554"/>
        <v/>
      </c>
      <c r="U1531" s="730" t="str">
        <f t="shared" si="554"/>
        <v/>
      </c>
      <c r="V1531" s="730" t="str">
        <f t="shared" si="552"/>
        <v/>
      </c>
      <c r="W1531" s="531"/>
      <c r="X1531" s="236"/>
      <c r="Y1531" s="236" t="s">
        <v>598</v>
      </c>
      <c r="Z1531" s="236"/>
    </row>
    <row r="1532" spans="1:26" ht="11.25" customHeight="1">
      <c r="A1532" s="528" t="s">
        <v>258</v>
      </c>
      <c r="B1532" s="1013" t="s">
        <v>246</v>
      </c>
      <c r="C1532" s="728"/>
      <c r="D1532" s="649" t="s">
        <v>761</v>
      </c>
      <c r="E1532" s="729" t="s">
        <v>761</v>
      </c>
      <c r="F1532" s="104">
        <f>+'[3]special hospitals1'!B409</f>
        <v>2835000</v>
      </c>
      <c r="G1532" s="104"/>
      <c r="H1532" s="104"/>
      <c r="I1532" s="103">
        <f>SUM(F1532:H1532)</f>
        <v>2835000</v>
      </c>
      <c r="J1532" s="104">
        <f>+'[3]special hospitals1'!F409</f>
        <v>2835000</v>
      </c>
      <c r="K1532" s="104"/>
      <c r="L1532" s="104"/>
      <c r="M1532" s="103">
        <f>SUM(J1532:L1532)</f>
        <v>2835000</v>
      </c>
      <c r="N1532" s="103">
        <f t="shared" si="541"/>
        <v>0</v>
      </c>
      <c r="O1532" s="103">
        <f t="shared" si="541"/>
        <v>0</v>
      </c>
      <c r="P1532" s="103">
        <f t="shared" si="541"/>
        <v>0</v>
      </c>
      <c r="Q1532" s="103">
        <f>SUM(N1532:P1532)</f>
        <v>0</v>
      </c>
      <c r="S1532" s="730">
        <f t="shared" si="554"/>
        <v>1</v>
      </c>
      <c r="T1532" s="730" t="str">
        <f t="shared" si="554"/>
        <v/>
      </c>
      <c r="U1532" s="730" t="str">
        <f t="shared" si="554"/>
        <v/>
      </c>
      <c r="V1532" s="730">
        <f t="shared" si="552"/>
        <v>1</v>
      </c>
      <c r="W1532" s="531"/>
      <c r="X1532" s="236"/>
      <c r="Y1532" s="236" t="s">
        <v>688</v>
      </c>
      <c r="Z1532" s="236"/>
    </row>
    <row r="1533" spans="1:26" ht="11.25" customHeight="1">
      <c r="A1533" s="528" t="s">
        <v>258</v>
      </c>
      <c r="B1533" s="1013" t="s">
        <v>246</v>
      </c>
      <c r="C1533" s="410"/>
      <c r="D1533" s="647"/>
      <c r="E1533" s="461" t="s">
        <v>764</v>
      </c>
      <c r="F1533" s="104"/>
      <c r="G1533" s="104"/>
      <c r="H1533" s="104"/>
      <c r="I1533" s="103"/>
      <c r="J1533" s="104"/>
      <c r="K1533" s="104"/>
      <c r="L1533" s="104"/>
      <c r="M1533" s="103"/>
      <c r="N1533" s="103"/>
      <c r="O1533" s="103"/>
      <c r="P1533" s="103"/>
      <c r="Q1533" s="103"/>
      <c r="S1533" s="730" t="str">
        <f t="shared" si="554"/>
        <v/>
      </c>
      <c r="T1533" s="730" t="str">
        <f t="shared" si="554"/>
        <v/>
      </c>
      <c r="U1533" s="730" t="str">
        <f t="shared" si="554"/>
        <v/>
      </c>
      <c r="V1533" s="730" t="str">
        <f t="shared" si="552"/>
        <v/>
      </c>
      <c r="W1533" s="531"/>
      <c r="X1533" s="236"/>
      <c r="Y1533" s="236" t="s">
        <v>688</v>
      </c>
      <c r="Z1533" s="240"/>
    </row>
    <row r="1534" spans="1:26" ht="11.25" customHeight="1">
      <c r="A1534" s="528" t="s">
        <v>258</v>
      </c>
      <c r="B1534" s="1013" t="s">
        <v>246</v>
      </c>
      <c r="C1534" s="728"/>
      <c r="D1534" s="649" t="s">
        <v>289</v>
      </c>
      <c r="E1534" s="729" t="s">
        <v>289</v>
      </c>
      <c r="F1534" s="103">
        <f>SUM('[3]special hospitals1'!AI14)</f>
        <v>2243916</v>
      </c>
      <c r="G1534" s="103">
        <f>SUM('[3]special hospitals1'!AI50)</f>
        <v>0</v>
      </c>
      <c r="H1534" s="103">
        <f>SUM('[3]special hospitals1'!AI142)</f>
        <v>0</v>
      </c>
      <c r="I1534" s="103">
        <f>SUM(F1534:H1534)</f>
        <v>2243916</v>
      </c>
      <c r="J1534" s="103">
        <f>SUM('[3]special hospitals1'!AI15)</f>
        <v>2243282.71</v>
      </c>
      <c r="K1534" s="103">
        <f>SUM('[3]special hospitals1'!AI51)</f>
        <v>0</v>
      </c>
      <c r="L1534" s="103">
        <f>SUM('[3]special hospitals1'!AI143)</f>
        <v>0</v>
      </c>
      <c r="M1534" s="103">
        <f t="shared" si="549"/>
        <v>2243282.71</v>
      </c>
      <c r="N1534" s="103">
        <f t="shared" si="541"/>
        <v>633.29000000003725</v>
      </c>
      <c r="O1534" s="103">
        <f t="shared" si="541"/>
        <v>0</v>
      </c>
      <c r="P1534" s="103">
        <f t="shared" si="541"/>
        <v>0</v>
      </c>
      <c r="Q1534" s="103">
        <f t="shared" si="542"/>
        <v>633.29000000003725</v>
      </c>
      <c r="S1534" s="730">
        <f t="shared" si="554"/>
        <v>0.99971777464040545</v>
      </c>
      <c r="T1534" s="730" t="str">
        <f t="shared" si="554"/>
        <v/>
      </c>
      <c r="U1534" s="730" t="str">
        <f t="shared" si="554"/>
        <v/>
      </c>
      <c r="V1534" s="730">
        <f t="shared" si="552"/>
        <v>0.99971777464040545</v>
      </c>
      <c r="W1534" s="531"/>
      <c r="X1534" s="236"/>
      <c r="Y1534" s="236" t="s">
        <v>598</v>
      </c>
      <c r="Z1534" s="236"/>
    </row>
    <row r="1535" spans="1:26" ht="11.25" customHeight="1">
      <c r="A1535" s="528" t="s">
        <v>258</v>
      </c>
      <c r="B1535" s="1013" t="s">
        <v>246</v>
      </c>
      <c r="C1535" s="728"/>
      <c r="D1535" s="649" t="s">
        <v>290</v>
      </c>
      <c r="E1535" s="729" t="s">
        <v>290</v>
      </c>
      <c r="F1535" s="103">
        <f>SUM('[3]special hospitals1'!AP14)</f>
        <v>0</v>
      </c>
      <c r="G1535" s="103">
        <f>SUM('[3]special hospitals1'!AP50)</f>
        <v>4600000</v>
      </c>
      <c r="H1535" s="103">
        <f>SUM('[3]special hospitals1'!AP142)</f>
        <v>0</v>
      </c>
      <c r="I1535" s="103">
        <f>SUM(F1535:H1535)</f>
        <v>4600000</v>
      </c>
      <c r="J1535" s="103">
        <f>SUM('[3]special hospitals1'!AP15)</f>
        <v>0</v>
      </c>
      <c r="K1535" s="103">
        <f>SUM('[3]special hospitals1'!AP51)</f>
        <v>4589620</v>
      </c>
      <c r="L1535" s="103">
        <f>SUM('[3]special hospitals1'!AP143)</f>
        <v>0</v>
      </c>
      <c r="M1535" s="103">
        <f t="shared" si="549"/>
        <v>4589620</v>
      </c>
      <c r="N1535" s="103">
        <f t="shared" ref="N1535:P1601" si="565">+F1535-J1535</f>
        <v>0</v>
      </c>
      <c r="O1535" s="103">
        <f t="shared" si="565"/>
        <v>10380</v>
      </c>
      <c r="P1535" s="103">
        <f t="shared" si="565"/>
        <v>0</v>
      </c>
      <c r="Q1535" s="103">
        <f t="shared" ref="Q1535:Q1601" si="566">SUM(N1535:P1535)</f>
        <v>10380</v>
      </c>
      <c r="S1535" s="730" t="str">
        <f t="shared" si="554"/>
        <v/>
      </c>
      <c r="T1535" s="730">
        <f t="shared" si="554"/>
        <v>0.99774347826086962</v>
      </c>
      <c r="U1535" s="730" t="str">
        <f t="shared" si="554"/>
        <v/>
      </c>
      <c r="V1535" s="730">
        <f t="shared" si="552"/>
        <v>0.99774347826086962</v>
      </c>
      <c r="W1535" s="531"/>
      <c r="X1535" s="236"/>
      <c r="Y1535" s="236" t="s">
        <v>598</v>
      </c>
      <c r="Z1535" s="236"/>
    </row>
    <row r="1536" spans="1:26" s="259" customFormat="1" ht="11.25" customHeight="1">
      <c r="A1536" s="246" t="s">
        <v>258</v>
      </c>
      <c r="B1536" s="235" t="s">
        <v>246</v>
      </c>
      <c r="C1536" s="656"/>
      <c r="D1536" s="656"/>
      <c r="E1536" s="657" t="s">
        <v>4</v>
      </c>
      <c r="F1536" s="652">
        <f>+F1526+F1528+F1530</f>
        <v>162112916</v>
      </c>
      <c r="G1536" s="652">
        <f t="shared" ref="G1536:M1536" si="567">+G1526+G1528+G1530</f>
        <v>84645000</v>
      </c>
      <c r="H1536" s="652">
        <f t="shared" si="567"/>
        <v>82000000</v>
      </c>
      <c r="I1536" s="652">
        <f t="shared" si="567"/>
        <v>328757916</v>
      </c>
      <c r="J1536" s="652">
        <f t="shared" si="567"/>
        <v>149192482.03999999</v>
      </c>
      <c r="K1536" s="652">
        <f t="shared" si="567"/>
        <v>81487462.620000005</v>
      </c>
      <c r="L1536" s="652">
        <f t="shared" si="567"/>
        <v>81972586.260000005</v>
      </c>
      <c r="M1536" s="652">
        <f t="shared" si="567"/>
        <v>312652530.91999996</v>
      </c>
      <c r="N1536" s="652">
        <f t="shared" si="565"/>
        <v>12920433.960000008</v>
      </c>
      <c r="O1536" s="652">
        <f t="shared" si="565"/>
        <v>3157537.3799999952</v>
      </c>
      <c r="P1536" s="652">
        <f t="shared" si="565"/>
        <v>27413.739999994636</v>
      </c>
      <c r="Q1536" s="652">
        <f t="shared" si="566"/>
        <v>16105385.079999998</v>
      </c>
      <c r="R1536" s="653">
        <f>+Q1536-'[3]special hospitals1'!CR179</f>
        <v>0</v>
      </c>
      <c r="S1536" s="1008">
        <f t="shared" si="554"/>
        <v>0.92029978684733538</v>
      </c>
      <c r="T1536" s="1008">
        <f t="shared" si="554"/>
        <v>0.96269670529860008</v>
      </c>
      <c r="U1536" s="1008">
        <f t="shared" si="554"/>
        <v>0.99966568609756101</v>
      </c>
      <c r="V1536" s="1008">
        <f t="shared" si="552"/>
        <v>0.95101141509851872</v>
      </c>
      <c r="W1536" s="254"/>
      <c r="X1536" s="520"/>
      <c r="Y1536" s="610" t="s">
        <v>598</v>
      </c>
      <c r="Z1536" s="241" t="s">
        <v>598</v>
      </c>
    </row>
    <row r="1537" spans="1:26" ht="11.25" customHeight="1">
      <c r="A1537" s="246" t="s">
        <v>258</v>
      </c>
      <c r="B1537" s="235" t="s">
        <v>246</v>
      </c>
      <c r="C1537" s="410"/>
      <c r="D1537" s="386"/>
      <c r="E1537" s="461" t="s">
        <v>764</v>
      </c>
      <c r="F1537" s="103"/>
      <c r="G1537" s="103"/>
      <c r="H1537" s="103"/>
      <c r="I1537" s="103">
        <f>SUM(F1537:H1537)</f>
        <v>0</v>
      </c>
      <c r="J1537" s="103"/>
      <c r="K1537" s="103"/>
      <c r="L1537" s="103"/>
      <c r="M1537" s="103">
        <f t="shared" si="549"/>
        <v>0</v>
      </c>
      <c r="N1537" s="103">
        <f t="shared" si="565"/>
        <v>0</v>
      </c>
      <c r="O1537" s="103">
        <f t="shared" si="565"/>
        <v>0</v>
      </c>
      <c r="P1537" s="103">
        <f t="shared" si="565"/>
        <v>0</v>
      </c>
      <c r="Q1537" s="103">
        <f t="shared" si="566"/>
        <v>0</v>
      </c>
      <c r="S1537" s="730" t="str">
        <f t="shared" si="554"/>
        <v/>
      </c>
      <c r="T1537" s="730" t="str">
        <f t="shared" si="554"/>
        <v/>
      </c>
      <c r="U1537" s="730" t="str">
        <f t="shared" si="554"/>
        <v/>
      </c>
      <c r="V1537" s="730" t="str">
        <f t="shared" si="552"/>
        <v/>
      </c>
      <c r="W1537" s="254"/>
      <c r="Y1537" s="610" t="s">
        <v>598</v>
      </c>
      <c r="Z1537" s="241" t="s">
        <v>598</v>
      </c>
    </row>
    <row r="1538" spans="1:26" s="675" customFormat="1" ht="11.25" customHeight="1">
      <c r="A1538" s="528" t="s">
        <v>258</v>
      </c>
      <c r="B1538" s="528" t="s">
        <v>248</v>
      </c>
      <c r="C1538" s="407" t="s">
        <v>98</v>
      </c>
      <c r="D1538" s="655" t="s">
        <v>249</v>
      </c>
      <c r="E1538" s="408" t="s">
        <v>854</v>
      </c>
      <c r="F1538" s="673"/>
      <c r="G1538" s="673"/>
      <c r="H1538" s="673"/>
      <c r="I1538" s="674">
        <f>SUM(F1538:H1538)</f>
        <v>0</v>
      </c>
      <c r="J1538" s="673"/>
      <c r="K1538" s="673"/>
      <c r="L1538" s="673"/>
      <c r="M1538" s="674">
        <f t="shared" si="549"/>
        <v>0</v>
      </c>
      <c r="N1538" s="674">
        <f t="shared" si="565"/>
        <v>0</v>
      </c>
      <c r="O1538" s="674">
        <f t="shared" si="565"/>
        <v>0</v>
      </c>
      <c r="P1538" s="674">
        <f t="shared" si="565"/>
        <v>0</v>
      </c>
      <c r="Q1538" s="674">
        <f t="shared" si="566"/>
        <v>0</v>
      </c>
      <c r="R1538" s="101"/>
      <c r="S1538" s="254" t="str">
        <f t="shared" si="554"/>
        <v/>
      </c>
      <c r="T1538" s="254" t="str">
        <f t="shared" si="554"/>
        <v/>
      </c>
      <c r="U1538" s="254" t="str">
        <f t="shared" si="554"/>
        <v/>
      </c>
      <c r="V1538" s="254" t="str">
        <f t="shared" si="552"/>
        <v/>
      </c>
      <c r="W1538" s="531"/>
      <c r="Y1538" s="272" t="s">
        <v>598</v>
      </c>
      <c r="Z1538" s="260" t="s">
        <v>598</v>
      </c>
    </row>
    <row r="1539" spans="1:26" ht="11.25" customHeight="1">
      <c r="A1539" s="528" t="s">
        <v>258</v>
      </c>
      <c r="B1539" s="1013" t="s">
        <v>248</v>
      </c>
      <c r="C1539" s="461"/>
      <c r="D1539" s="645" t="s">
        <v>766</v>
      </c>
      <c r="E1539" s="447" t="s">
        <v>766</v>
      </c>
      <c r="F1539" s="404">
        <f>+'[3]special hospitals2'!B380</f>
        <v>441778363</v>
      </c>
      <c r="G1539" s="404">
        <f>+'[3]special hospitals2'!C380</f>
        <v>207418637</v>
      </c>
      <c r="H1539" s="404">
        <f>+'[3]special hospitals2'!D380</f>
        <v>0</v>
      </c>
      <c r="I1539" s="103">
        <f>SUM(F1539:H1539)</f>
        <v>649197000</v>
      </c>
      <c r="J1539" s="404">
        <f>+'[3]special hospitals2'!F380</f>
        <v>414116356.85999995</v>
      </c>
      <c r="K1539" s="404">
        <f>+'[3]special hospitals2'!G380</f>
        <v>197757300.81999999</v>
      </c>
      <c r="L1539" s="404">
        <f>+'[3]special hospitals2'!H380</f>
        <v>0</v>
      </c>
      <c r="M1539" s="103">
        <f t="shared" si="549"/>
        <v>611873657.67999995</v>
      </c>
      <c r="N1539" s="103">
        <f t="shared" si="565"/>
        <v>27662006.140000045</v>
      </c>
      <c r="O1539" s="103">
        <f t="shared" si="565"/>
        <v>9661336.1800000072</v>
      </c>
      <c r="P1539" s="103">
        <f t="shared" si="565"/>
        <v>0</v>
      </c>
      <c r="Q1539" s="103">
        <f t="shared" si="566"/>
        <v>37323342.320000052</v>
      </c>
      <c r="S1539" s="730">
        <f t="shared" si="554"/>
        <v>0.93738487790086711</v>
      </c>
      <c r="T1539" s="730">
        <f t="shared" si="554"/>
        <v>0.95342107961108624</v>
      </c>
      <c r="U1539" s="730" t="str">
        <f t="shared" si="554"/>
        <v/>
      </c>
      <c r="V1539" s="730">
        <f t="shared" si="552"/>
        <v>0.94250844917644405</v>
      </c>
      <c r="W1539" s="531"/>
      <c r="X1539" s="236"/>
      <c r="Y1539" s="236" t="s">
        <v>688</v>
      </c>
      <c r="Z1539" s="236"/>
    </row>
    <row r="1540" spans="1:26" ht="11.25" customHeight="1">
      <c r="A1540" s="528" t="s">
        <v>258</v>
      </c>
      <c r="B1540" s="1013" t="s">
        <v>248</v>
      </c>
      <c r="C1540" s="728"/>
      <c r="D1540" s="649" t="s">
        <v>50</v>
      </c>
      <c r="E1540" s="447" t="s">
        <v>50</v>
      </c>
      <c r="F1540" s="404"/>
      <c r="G1540" s="404">
        <f>+'[3]special hospitals2'!C382</f>
        <v>49358660</v>
      </c>
      <c r="H1540" s="404">
        <f>+'[3]special hospitals2'!D382</f>
        <v>30750000</v>
      </c>
      <c r="I1540" s="103">
        <f>SUM(F1540:H1540)</f>
        <v>80108660</v>
      </c>
      <c r="J1540" s="404"/>
      <c r="K1540" s="404">
        <f>+'[3]special hospitals2'!G382</f>
        <v>42580770.739999995</v>
      </c>
      <c r="L1540" s="404">
        <f>+'[3]special hospitals2'!H382</f>
        <v>28518602.640000001</v>
      </c>
      <c r="M1540" s="103">
        <f>SUM(J1540:L1540)</f>
        <v>71099373.379999995</v>
      </c>
      <c r="N1540" s="103">
        <f t="shared" si="565"/>
        <v>0</v>
      </c>
      <c r="O1540" s="103">
        <f t="shared" si="565"/>
        <v>6777889.2600000054</v>
      </c>
      <c r="P1540" s="103">
        <f t="shared" si="565"/>
        <v>2231397.3599999994</v>
      </c>
      <c r="Q1540" s="103">
        <f t="shared" si="566"/>
        <v>9009286.6200000048</v>
      </c>
      <c r="S1540" s="730" t="str">
        <f t="shared" si="554"/>
        <v/>
      </c>
      <c r="T1540" s="730">
        <f t="shared" si="554"/>
        <v>0.86268084952063118</v>
      </c>
      <c r="U1540" s="730">
        <f t="shared" si="554"/>
        <v>0.927434232195122</v>
      </c>
      <c r="V1540" s="730">
        <f t="shared" si="552"/>
        <v>0.88753667056720209</v>
      </c>
      <c r="W1540" s="531"/>
      <c r="X1540" s="236"/>
      <c r="Y1540" s="236" t="s">
        <v>688</v>
      </c>
      <c r="Z1540" s="236"/>
    </row>
    <row r="1541" spans="1:26" s="256" customFormat="1" ht="11.25" customHeight="1">
      <c r="A1541" s="528" t="s">
        <v>258</v>
      </c>
      <c r="B1541" s="528" t="s">
        <v>248</v>
      </c>
      <c r="C1541" s="389"/>
      <c r="D1541" s="650" t="s">
        <v>98</v>
      </c>
      <c r="E1541" s="390" t="s">
        <v>767</v>
      </c>
      <c r="F1541" s="391">
        <f>+F1539+F1540</f>
        <v>441778363</v>
      </c>
      <c r="G1541" s="391">
        <f t="shared" ref="G1541:M1541" si="568">+G1539+G1540</f>
        <v>256777297</v>
      </c>
      <c r="H1541" s="391">
        <f t="shared" si="568"/>
        <v>30750000</v>
      </c>
      <c r="I1541" s="391">
        <f t="shared" si="568"/>
        <v>729305660</v>
      </c>
      <c r="J1541" s="391">
        <f t="shared" si="568"/>
        <v>414116356.85999995</v>
      </c>
      <c r="K1541" s="391">
        <f t="shared" si="568"/>
        <v>240338071.56</v>
      </c>
      <c r="L1541" s="391">
        <f t="shared" si="568"/>
        <v>28518602.640000001</v>
      </c>
      <c r="M1541" s="391">
        <f t="shared" si="568"/>
        <v>682973031.05999994</v>
      </c>
      <c r="N1541" s="391">
        <f t="shared" si="565"/>
        <v>27662006.140000045</v>
      </c>
      <c r="O1541" s="391">
        <f t="shared" si="565"/>
        <v>16439225.439999998</v>
      </c>
      <c r="P1541" s="391">
        <f t="shared" si="565"/>
        <v>2231397.3599999994</v>
      </c>
      <c r="Q1541" s="391">
        <f t="shared" si="566"/>
        <v>46332628.940000042</v>
      </c>
      <c r="R1541" s="101"/>
      <c r="S1541" s="254">
        <f t="shared" si="554"/>
        <v>0.93738487790086711</v>
      </c>
      <c r="T1541" s="254">
        <f t="shared" si="554"/>
        <v>0.93597866465585544</v>
      </c>
      <c r="U1541" s="254">
        <f t="shared" si="554"/>
        <v>0.927434232195122</v>
      </c>
      <c r="V1541" s="254">
        <f t="shared" si="552"/>
        <v>0.93647021889285753</v>
      </c>
      <c r="W1541" s="531"/>
      <c r="Y1541" s="256" t="s">
        <v>598</v>
      </c>
      <c r="Z1541" s="256" t="s">
        <v>598</v>
      </c>
    </row>
    <row r="1542" spans="1:26" ht="11.25" hidden="1" customHeight="1">
      <c r="A1542" s="528" t="s">
        <v>258</v>
      </c>
      <c r="B1542" s="1013" t="s">
        <v>248</v>
      </c>
      <c r="C1542" s="410"/>
      <c r="D1542" s="651"/>
      <c r="E1542" s="806" t="s">
        <v>764</v>
      </c>
      <c r="F1542" s="807"/>
      <c r="G1542" s="807"/>
      <c r="H1542" s="807"/>
      <c r="I1542" s="807"/>
      <c r="J1542" s="807"/>
      <c r="K1542" s="807"/>
      <c r="L1542" s="807"/>
      <c r="M1542" s="807"/>
      <c r="N1542" s="807">
        <f t="shared" si="565"/>
        <v>0</v>
      </c>
      <c r="O1542" s="807">
        <f t="shared" si="565"/>
        <v>0</v>
      </c>
      <c r="P1542" s="807">
        <f t="shared" si="565"/>
        <v>0</v>
      </c>
      <c r="Q1542" s="807">
        <f t="shared" si="566"/>
        <v>0</v>
      </c>
      <c r="R1542" s="276"/>
      <c r="S1542" s="730" t="str">
        <f t="shared" si="554"/>
        <v/>
      </c>
      <c r="T1542" s="730" t="str">
        <f t="shared" si="554"/>
        <v/>
      </c>
      <c r="U1542" s="730" t="str">
        <f t="shared" si="554"/>
        <v/>
      </c>
      <c r="V1542" s="730" t="str">
        <f t="shared" si="552"/>
        <v/>
      </c>
      <c r="W1542" s="531"/>
      <c r="X1542" s="236"/>
      <c r="Y1542" s="236"/>
      <c r="Z1542" s="236"/>
    </row>
    <row r="1543" spans="1:26" s="256" customFormat="1" ht="11.25" customHeight="1">
      <c r="A1543" s="528" t="s">
        <v>258</v>
      </c>
      <c r="B1543" s="528" t="s">
        <v>248</v>
      </c>
      <c r="C1543" s="389"/>
      <c r="D1543" s="650" t="s">
        <v>98</v>
      </c>
      <c r="E1543" s="390" t="s">
        <v>99</v>
      </c>
      <c r="F1543" s="391">
        <f>+F1544</f>
        <v>37640000</v>
      </c>
      <c r="G1543" s="391">
        <f t="shared" ref="G1543:M1543" si="569">+G1544</f>
        <v>0</v>
      </c>
      <c r="H1543" s="391">
        <f t="shared" si="569"/>
        <v>0</v>
      </c>
      <c r="I1543" s="391">
        <f t="shared" si="569"/>
        <v>37640000</v>
      </c>
      <c r="J1543" s="391">
        <f t="shared" si="569"/>
        <v>34378379.079999998</v>
      </c>
      <c r="K1543" s="391">
        <f t="shared" si="569"/>
        <v>0</v>
      </c>
      <c r="L1543" s="391">
        <f t="shared" si="569"/>
        <v>0</v>
      </c>
      <c r="M1543" s="391">
        <f t="shared" si="569"/>
        <v>34378379.079999998</v>
      </c>
      <c r="N1543" s="391">
        <f t="shared" si="565"/>
        <v>3261620.9200000018</v>
      </c>
      <c r="O1543" s="391">
        <f t="shared" si="565"/>
        <v>0</v>
      </c>
      <c r="P1543" s="391">
        <f t="shared" si="565"/>
        <v>0</v>
      </c>
      <c r="Q1543" s="391">
        <f t="shared" si="566"/>
        <v>3261620.9200000018</v>
      </c>
      <c r="R1543" s="101"/>
      <c r="S1543" s="254">
        <f t="shared" si="554"/>
        <v>0.91334694686503715</v>
      </c>
      <c r="T1543" s="254" t="str">
        <f t="shared" si="554"/>
        <v/>
      </c>
      <c r="U1543" s="254" t="str">
        <f t="shared" si="554"/>
        <v/>
      </c>
      <c r="V1543" s="254">
        <f t="shared" si="552"/>
        <v>0.91334694686503715</v>
      </c>
      <c r="W1543" s="531"/>
      <c r="Y1543" s="256" t="s">
        <v>598</v>
      </c>
      <c r="Z1543" s="256" t="s">
        <v>598</v>
      </c>
    </row>
    <row r="1544" spans="1:26" ht="11.25" customHeight="1">
      <c r="A1544" s="528" t="s">
        <v>258</v>
      </c>
      <c r="B1544" s="1013" t="s">
        <v>248</v>
      </c>
      <c r="C1544" s="728"/>
      <c r="D1544" s="649" t="s">
        <v>286</v>
      </c>
      <c r="E1544" s="729" t="s">
        <v>286</v>
      </c>
      <c r="F1544" s="103">
        <f>SUM('[3]special hospitals2'!Q14)</f>
        <v>37640000</v>
      </c>
      <c r="G1544" s="103">
        <f>SUM('[3]special hospitals2'!Q50)</f>
        <v>0</v>
      </c>
      <c r="H1544" s="103">
        <f>SUM('[3]special hospitals2'!Q142)</f>
        <v>0</v>
      </c>
      <c r="I1544" s="103">
        <f>SUM(F1544:H1544)</f>
        <v>37640000</v>
      </c>
      <c r="J1544" s="103">
        <f>SUM('[3]special hospitals2'!Q15)</f>
        <v>34378379.079999998</v>
      </c>
      <c r="K1544" s="103">
        <f>SUM('[3]special hospitals2'!Q51)</f>
        <v>0</v>
      </c>
      <c r="L1544" s="103">
        <f>SUM('[3]special hospitals2'!Q143)</f>
        <v>0</v>
      </c>
      <c r="M1544" s="103">
        <f t="shared" si="549"/>
        <v>34378379.079999998</v>
      </c>
      <c r="N1544" s="103">
        <f t="shared" si="565"/>
        <v>3261620.9200000018</v>
      </c>
      <c r="O1544" s="103">
        <f t="shared" si="565"/>
        <v>0</v>
      </c>
      <c r="P1544" s="103">
        <f t="shared" si="565"/>
        <v>0</v>
      </c>
      <c r="Q1544" s="103">
        <f t="shared" si="566"/>
        <v>3261620.9200000018</v>
      </c>
      <c r="S1544" s="730">
        <f t="shared" si="554"/>
        <v>0.91334694686503715</v>
      </c>
      <c r="T1544" s="730" t="str">
        <f t="shared" si="554"/>
        <v/>
      </c>
      <c r="U1544" s="730" t="str">
        <f t="shared" si="554"/>
        <v/>
      </c>
      <c r="V1544" s="730">
        <f t="shared" si="552"/>
        <v>0.91334694686503715</v>
      </c>
      <c r="W1544" s="531"/>
      <c r="X1544" s="236"/>
      <c r="Y1544" s="236" t="s">
        <v>598</v>
      </c>
      <c r="Z1544" s="236"/>
    </row>
    <row r="1545" spans="1:26" s="272" customFormat="1" ht="11.25" customHeight="1">
      <c r="A1545" s="528" t="s">
        <v>258</v>
      </c>
      <c r="B1545" s="528" t="s">
        <v>248</v>
      </c>
      <c r="C1545" s="389"/>
      <c r="D1545" s="650" t="s">
        <v>98</v>
      </c>
      <c r="E1545" s="390" t="s">
        <v>100</v>
      </c>
      <c r="F1545" s="391">
        <f t="shared" ref="F1545:M1545" si="570">SUM(F1546:F1550)</f>
        <v>33719426</v>
      </c>
      <c r="G1545" s="391">
        <f t="shared" si="570"/>
        <v>200000</v>
      </c>
      <c r="H1545" s="391">
        <f t="shared" si="570"/>
        <v>0</v>
      </c>
      <c r="I1545" s="391">
        <f t="shared" si="570"/>
        <v>33919426</v>
      </c>
      <c r="J1545" s="391">
        <f t="shared" si="570"/>
        <v>31611537.949999999</v>
      </c>
      <c r="K1545" s="391">
        <f t="shared" si="570"/>
        <v>200000</v>
      </c>
      <c r="L1545" s="391">
        <f t="shared" si="570"/>
        <v>0</v>
      </c>
      <c r="M1545" s="391">
        <f t="shared" si="570"/>
        <v>31811537.949999999</v>
      </c>
      <c r="N1545" s="391">
        <f t="shared" si="565"/>
        <v>2107888.0500000007</v>
      </c>
      <c r="O1545" s="391">
        <f t="shared" si="565"/>
        <v>0</v>
      </c>
      <c r="P1545" s="391">
        <f t="shared" si="565"/>
        <v>0</v>
      </c>
      <c r="Q1545" s="391">
        <f t="shared" si="566"/>
        <v>2107888.0500000007</v>
      </c>
      <c r="R1545" s="102"/>
      <c r="S1545" s="254">
        <f t="shared" si="554"/>
        <v>0.93748742787021344</v>
      </c>
      <c r="T1545" s="254">
        <f t="shared" si="554"/>
        <v>1</v>
      </c>
      <c r="U1545" s="254" t="str">
        <f t="shared" si="554"/>
        <v/>
      </c>
      <c r="V1545" s="254">
        <f t="shared" si="552"/>
        <v>0.93785602238669952</v>
      </c>
      <c r="W1545" s="531"/>
      <c r="Y1545" s="272" t="s">
        <v>598</v>
      </c>
      <c r="Z1545" s="256" t="s">
        <v>598</v>
      </c>
    </row>
    <row r="1546" spans="1:26" ht="11.25" customHeight="1">
      <c r="A1546" s="528" t="s">
        <v>258</v>
      </c>
      <c r="B1546" s="1013" t="s">
        <v>248</v>
      </c>
      <c r="C1546" s="728"/>
      <c r="D1546" s="649" t="s">
        <v>288</v>
      </c>
      <c r="E1546" s="729" t="s">
        <v>288</v>
      </c>
      <c r="F1546" s="103">
        <f>SUM('[3]special hospitals2'!X14)</f>
        <v>0</v>
      </c>
      <c r="G1546" s="103">
        <f>SUM('[3]special hospitals2'!X50)</f>
        <v>0</v>
      </c>
      <c r="H1546" s="103">
        <f>SUM('[3]special hospitals2'!X142)</f>
        <v>0</v>
      </c>
      <c r="I1546" s="103">
        <f>SUM(F1546:H1546)</f>
        <v>0</v>
      </c>
      <c r="J1546" s="103">
        <f>SUM('[3]special hospitals2'!X15)</f>
        <v>0</v>
      </c>
      <c r="K1546" s="103">
        <f>SUM('[3]special hospitals2'!X51)</f>
        <v>0</v>
      </c>
      <c r="L1546" s="103">
        <f>SUM('[3]special hospitals2'!X143)</f>
        <v>0</v>
      </c>
      <c r="M1546" s="103">
        <f t="shared" si="549"/>
        <v>0</v>
      </c>
      <c r="N1546" s="103">
        <f t="shared" si="565"/>
        <v>0</v>
      </c>
      <c r="O1546" s="103">
        <f t="shared" si="565"/>
        <v>0</v>
      </c>
      <c r="P1546" s="103">
        <f t="shared" si="565"/>
        <v>0</v>
      </c>
      <c r="Q1546" s="103">
        <f t="shared" si="566"/>
        <v>0</v>
      </c>
      <c r="S1546" s="730" t="str">
        <f t="shared" si="554"/>
        <v/>
      </c>
      <c r="T1546" s="730" t="str">
        <f t="shared" si="554"/>
        <v/>
      </c>
      <c r="U1546" s="730" t="str">
        <f t="shared" si="554"/>
        <v/>
      </c>
      <c r="V1546" s="730" t="str">
        <f t="shared" si="552"/>
        <v/>
      </c>
      <c r="W1546" s="531"/>
      <c r="X1546" s="236"/>
      <c r="Y1546" s="236" t="s">
        <v>598</v>
      </c>
      <c r="Z1546" s="236"/>
    </row>
    <row r="1547" spans="1:26" ht="11.25" customHeight="1">
      <c r="A1547" s="528" t="s">
        <v>258</v>
      </c>
      <c r="B1547" s="1013" t="s">
        <v>248</v>
      </c>
      <c r="C1547" s="728"/>
      <c r="D1547" s="649" t="s">
        <v>761</v>
      </c>
      <c r="E1547" s="729" t="s">
        <v>761</v>
      </c>
      <c r="F1547" s="404">
        <f>+'[3]special hospitals2'!B382</f>
        <v>23990000</v>
      </c>
      <c r="G1547" s="404"/>
      <c r="H1547" s="404"/>
      <c r="I1547" s="103">
        <f>SUM(F1547:H1547)</f>
        <v>23990000</v>
      </c>
      <c r="J1547" s="404">
        <f>+'[3]special hospitals2'!F382</f>
        <v>22590000</v>
      </c>
      <c r="K1547" s="104"/>
      <c r="L1547" s="104"/>
      <c r="M1547" s="103">
        <f t="shared" si="549"/>
        <v>22590000</v>
      </c>
      <c r="N1547" s="103">
        <f t="shared" si="565"/>
        <v>1400000</v>
      </c>
      <c r="O1547" s="103">
        <f t="shared" si="565"/>
        <v>0</v>
      </c>
      <c r="P1547" s="103">
        <f t="shared" si="565"/>
        <v>0</v>
      </c>
      <c r="Q1547" s="103">
        <f>SUM(N1547:P1547)</f>
        <v>1400000</v>
      </c>
      <c r="S1547" s="730">
        <f t="shared" si="554"/>
        <v>0.94164235097957483</v>
      </c>
      <c r="T1547" s="730" t="str">
        <f t="shared" si="554"/>
        <v/>
      </c>
      <c r="U1547" s="730" t="str">
        <f t="shared" si="554"/>
        <v/>
      </c>
      <c r="V1547" s="730">
        <f t="shared" si="552"/>
        <v>0.94164235097957483</v>
      </c>
      <c r="W1547" s="531"/>
      <c r="X1547" s="236"/>
      <c r="Y1547" s="236" t="s">
        <v>688</v>
      </c>
      <c r="Z1547" s="236"/>
    </row>
    <row r="1548" spans="1:26" ht="11.25" customHeight="1">
      <c r="A1548" s="528" t="s">
        <v>258</v>
      </c>
      <c r="B1548" s="1013" t="s">
        <v>248</v>
      </c>
      <c r="C1548" s="410"/>
      <c r="D1548" s="647"/>
      <c r="E1548" s="461" t="s">
        <v>764</v>
      </c>
      <c r="F1548" s="104"/>
      <c r="G1548" s="104"/>
      <c r="H1548" s="104"/>
      <c r="I1548" s="103"/>
      <c r="J1548" s="104"/>
      <c r="K1548" s="104"/>
      <c r="L1548" s="104"/>
      <c r="M1548" s="103"/>
      <c r="N1548" s="103"/>
      <c r="O1548" s="103"/>
      <c r="P1548" s="103"/>
      <c r="Q1548" s="103"/>
      <c r="S1548" s="730" t="str">
        <f t="shared" si="554"/>
        <v/>
      </c>
      <c r="T1548" s="730" t="str">
        <f t="shared" si="554"/>
        <v/>
      </c>
      <c r="U1548" s="730" t="str">
        <f t="shared" si="554"/>
        <v/>
      </c>
      <c r="V1548" s="730" t="str">
        <f t="shared" si="552"/>
        <v/>
      </c>
      <c r="W1548" s="531"/>
      <c r="X1548" s="236"/>
      <c r="Y1548" s="236" t="s">
        <v>688</v>
      </c>
      <c r="Z1548" s="240"/>
    </row>
    <row r="1549" spans="1:26" ht="11.25" customHeight="1">
      <c r="A1549" s="528" t="s">
        <v>258</v>
      </c>
      <c r="B1549" s="1013" t="s">
        <v>248</v>
      </c>
      <c r="C1549" s="728"/>
      <c r="D1549" s="649" t="s">
        <v>289</v>
      </c>
      <c r="E1549" s="729" t="s">
        <v>289</v>
      </c>
      <c r="F1549" s="103">
        <f>SUM('[3]special hospitals2'!AE14)</f>
        <v>9729426</v>
      </c>
      <c r="G1549" s="103">
        <f>SUM('[3]special hospitals2'!AE50)</f>
        <v>0</v>
      </c>
      <c r="H1549" s="103">
        <f>SUM('[3]special hospitals2'!AE142)</f>
        <v>0</v>
      </c>
      <c r="I1549" s="103">
        <f>SUM(F1549:H1549)</f>
        <v>9729426</v>
      </c>
      <c r="J1549" s="103">
        <f>SUM('[3]special hospitals2'!AE15)</f>
        <v>9021537.9499999993</v>
      </c>
      <c r="K1549" s="103">
        <f>SUM('[3]special hospitals2'!AE51)</f>
        <v>0</v>
      </c>
      <c r="L1549" s="103">
        <f>SUM('[3]special hospitals2'!AE143)</f>
        <v>0</v>
      </c>
      <c r="M1549" s="103">
        <f t="shared" si="549"/>
        <v>9021537.9499999993</v>
      </c>
      <c r="N1549" s="103">
        <f t="shared" si="565"/>
        <v>707888.05000000075</v>
      </c>
      <c r="O1549" s="103">
        <f t="shared" si="565"/>
        <v>0</v>
      </c>
      <c r="P1549" s="103">
        <f t="shared" si="565"/>
        <v>0</v>
      </c>
      <c r="Q1549" s="103">
        <f t="shared" si="566"/>
        <v>707888.05000000075</v>
      </c>
      <c r="S1549" s="730">
        <f t="shared" si="554"/>
        <v>0.92724256806105509</v>
      </c>
      <c r="T1549" s="730" t="str">
        <f t="shared" si="554"/>
        <v/>
      </c>
      <c r="U1549" s="730" t="str">
        <f t="shared" si="554"/>
        <v/>
      </c>
      <c r="V1549" s="730">
        <f t="shared" si="552"/>
        <v>0.92724256806105509</v>
      </c>
      <c r="W1549" s="531"/>
      <c r="X1549" s="236"/>
      <c r="Y1549" s="236" t="s">
        <v>598</v>
      </c>
      <c r="Z1549" s="236"/>
    </row>
    <row r="1550" spans="1:26" ht="11.25" customHeight="1">
      <c r="A1550" s="528" t="s">
        <v>258</v>
      </c>
      <c r="B1550" s="1013" t="s">
        <v>248</v>
      </c>
      <c r="C1550" s="728"/>
      <c r="D1550" s="649" t="s">
        <v>290</v>
      </c>
      <c r="E1550" s="729" t="s">
        <v>290</v>
      </c>
      <c r="F1550" s="103">
        <f>SUM('[3]special hospitals2'!AL14)</f>
        <v>0</v>
      </c>
      <c r="G1550" s="103">
        <f>SUM('[3]special hospitals2'!AL50)</f>
        <v>200000</v>
      </c>
      <c r="H1550" s="103">
        <f>SUM('[3]special hospitals2'!AL142)</f>
        <v>0</v>
      </c>
      <c r="I1550" s="103">
        <f>SUM(F1550:H1550)</f>
        <v>200000</v>
      </c>
      <c r="J1550" s="103">
        <f>SUM('[3]special hospitals2'!AL15)</f>
        <v>0</v>
      </c>
      <c r="K1550" s="103">
        <f>SUM('[3]special hospitals2'!AL51)</f>
        <v>200000</v>
      </c>
      <c r="L1550" s="103">
        <f>SUM('[3]special hospitals2'!AL143)</f>
        <v>0</v>
      </c>
      <c r="M1550" s="103">
        <f t="shared" si="549"/>
        <v>200000</v>
      </c>
      <c r="N1550" s="103">
        <f t="shared" si="565"/>
        <v>0</v>
      </c>
      <c r="O1550" s="103">
        <f t="shared" si="565"/>
        <v>0</v>
      </c>
      <c r="P1550" s="103">
        <f t="shared" si="565"/>
        <v>0</v>
      </c>
      <c r="Q1550" s="103">
        <f t="shared" si="566"/>
        <v>0</v>
      </c>
      <c r="S1550" s="730" t="str">
        <f t="shared" si="554"/>
        <v/>
      </c>
      <c r="T1550" s="730">
        <f t="shared" si="554"/>
        <v>1</v>
      </c>
      <c r="U1550" s="730" t="str">
        <f t="shared" si="554"/>
        <v/>
      </c>
      <c r="V1550" s="730">
        <f t="shared" si="552"/>
        <v>1</v>
      </c>
      <c r="W1550" s="531"/>
      <c r="X1550" s="236"/>
      <c r="Y1550" s="236" t="s">
        <v>598</v>
      </c>
      <c r="Z1550" s="236"/>
    </row>
    <row r="1551" spans="1:26" s="259" customFormat="1" ht="11.25" customHeight="1">
      <c r="A1551" s="246" t="s">
        <v>258</v>
      </c>
      <c r="B1551" s="235" t="s">
        <v>248</v>
      </c>
      <c r="C1551" s="656"/>
      <c r="D1551" s="656"/>
      <c r="E1551" s="657" t="s">
        <v>4</v>
      </c>
      <c r="F1551" s="652">
        <f>+F1541+F1543+F1545</f>
        <v>513137789</v>
      </c>
      <c r="G1551" s="652">
        <f t="shared" ref="G1551:M1551" si="571">+G1541+G1543+G1545</f>
        <v>256977297</v>
      </c>
      <c r="H1551" s="652">
        <f t="shared" si="571"/>
        <v>30750000</v>
      </c>
      <c r="I1551" s="652">
        <f t="shared" si="571"/>
        <v>800865086</v>
      </c>
      <c r="J1551" s="652">
        <f t="shared" si="571"/>
        <v>480106273.88999993</v>
      </c>
      <c r="K1551" s="652">
        <f t="shared" si="571"/>
        <v>240538071.56</v>
      </c>
      <c r="L1551" s="652">
        <f t="shared" si="571"/>
        <v>28518602.640000001</v>
      </c>
      <c r="M1551" s="652">
        <f t="shared" si="571"/>
        <v>749162948.09000003</v>
      </c>
      <c r="N1551" s="652">
        <f t="shared" si="565"/>
        <v>33031515.110000074</v>
      </c>
      <c r="O1551" s="652">
        <f t="shared" si="565"/>
        <v>16439225.439999998</v>
      </c>
      <c r="P1551" s="652">
        <f t="shared" si="565"/>
        <v>2231397.3599999994</v>
      </c>
      <c r="Q1551" s="652">
        <f t="shared" si="566"/>
        <v>51702137.910000071</v>
      </c>
      <c r="R1551" s="653">
        <f>+Q1551-'[3]special hospitals2'!BR179</f>
        <v>0</v>
      </c>
      <c r="S1551" s="1008">
        <f t="shared" si="554"/>
        <v>0.93562837152498224</v>
      </c>
      <c r="T1551" s="1008">
        <f t="shared" si="554"/>
        <v>0.93602849110830211</v>
      </c>
      <c r="U1551" s="1008">
        <f t="shared" si="554"/>
        <v>0.927434232195122</v>
      </c>
      <c r="V1551" s="1008">
        <f t="shared" si="552"/>
        <v>0.93544213774103768</v>
      </c>
      <c r="W1551" s="254"/>
      <c r="X1551" s="520"/>
      <c r="Y1551" s="610" t="s">
        <v>598</v>
      </c>
      <c r="Z1551" s="241" t="s">
        <v>598</v>
      </c>
    </row>
    <row r="1552" spans="1:26" ht="11.25" customHeight="1">
      <c r="A1552" s="246" t="s">
        <v>258</v>
      </c>
      <c r="B1552" s="235" t="s">
        <v>248</v>
      </c>
      <c r="C1552" s="410"/>
      <c r="D1552" s="386"/>
      <c r="E1552" s="461" t="s">
        <v>764</v>
      </c>
      <c r="F1552" s="103"/>
      <c r="G1552" s="103"/>
      <c r="H1552" s="103"/>
      <c r="I1552" s="103">
        <f>SUM(F1552:H1552)</f>
        <v>0</v>
      </c>
      <c r="J1552" s="103"/>
      <c r="K1552" s="103"/>
      <c r="L1552" s="103"/>
      <c r="M1552" s="103">
        <f t="shared" si="549"/>
        <v>0</v>
      </c>
      <c r="N1552" s="103">
        <f t="shared" si="565"/>
        <v>0</v>
      </c>
      <c r="O1552" s="103">
        <f t="shared" si="565"/>
        <v>0</v>
      </c>
      <c r="P1552" s="103">
        <f t="shared" si="565"/>
        <v>0</v>
      </c>
      <c r="Q1552" s="103">
        <f t="shared" si="566"/>
        <v>0</v>
      </c>
      <c r="S1552" s="730" t="str">
        <f t="shared" si="554"/>
        <v/>
      </c>
      <c r="T1552" s="730" t="str">
        <f t="shared" si="554"/>
        <v/>
      </c>
      <c r="U1552" s="730" t="str">
        <f t="shared" si="554"/>
        <v/>
      </c>
      <c r="V1552" s="730" t="str">
        <f t="shared" si="552"/>
        <v/>
      </c>
      <c r="W1552" s="254"/>
      <c r="Y1552" s="610" t="s">
        <v>598</v>
      </c>
      <c r="Z1552" s="241" t="s">
        <v>598</v>
      </c>
    </row>
    <row r="1553" spans="1:26" s="675" customFormat="1" ht="11.25" customHeight="1">
      <c r="A1553" s="528" t="s">
        <v>258</v>
      </c>
      <c r="B1553" s="528" t="s">
        <v>250</v>
      </c>
      <c r="C1553" s="407" t="s">
        <v>98</v>
      </c>
      <c r="D1553" s="655" t="s">
        <v>251</v>
      </c>
      <c r="E1553" s="408" t="s">
        <v>855</v>
      </c>
      <c r="F1553" s="673"/>
      <c r="G1553" s="673"/>
      <c r="H1553" s="673"/>
      <c r="I1553" s="674">
        <f>SUM(F1553:H1553)</f>
        <v>0</v>
      </c>
      <c r="J1553" s="673"/>
      <c r="K1553" s="673"/>
      <c r="L1553" s="673"/>
      <c r="M1553" s="674">
        <f t="shared" si="549"/>
        <v>0</v>
      </c>
      <c r="N1553" s="674">
        <f t="shared" si="565"/>
        <v>0</v>
      </c>
      <c r="O1553" s="674">
        <f t="shared" si="565"/>
        <v>0</v>
      </c>
      <c r="P1553" s="674">
        <f t="shared" si="565"/>
        <v>0</v>
      </c>
      <c r="Q1553" s="674">
        <f t="shared" si="566"/>
        <v>0</v>
      </c>
      <c r="R1553" s="101"/>
      <c r="S1553" s="254" t="str">
        <f t="shared" si="554"/>
        <v/>
      </c>
      <c r="T1553" s="254" t="str">
        <f t="shared" si="554"/>
        <v/>
      </c>
      <c r="U1553" s="254" t="str">
        <f t="shared" si="554"/>
        <v/>
      </c>
      <c r="V1553" s="254" t="str">
        <f t="shared" si="552"/>
        <v/>
      </c>
      <c r="W1553" s="531"/>
      <c r="Y1553" s="272" t="s">
        <v>598</v>
      </c>
      <c r="Z1553" s="260" t="s">
        <v>598</v>
      </c>
    </row>
    <row r="1554" spans="1:26" ht="11.25" customHeight="1">
      <c r="A1554" s="528" t="s">
        <v>258</v>
      </c>
      <c r="B1554" s="1013" t="s">
        <v>250</v>
      </c>
      <c r="C1554" s="461"/>
      <c r="D1554" s="645" t="s">
        <v>766</v>
      </c>
      <c r="E1554" s="447" t="s">
        <v>766</v>
      </c>
      <c r="F1554" s="104">
        <f>+'[3]special hospitals1'!B380</f>
        <v>302047000</v>
      </c>
      <c r="G1554" s="104">
        <f>+'[3]special hospitals1'!C380</f>
        <v>111603000</v>
      </c>
      <c r="H1554" s="104">
        <f>+'[3]special hospitals1'!D380</f>
        <v>0</v>
      </c>
      <c r="I1554" s="103">
        <f>SUM(F1554:H1554)</f>
        <v>413650000</v>
      </c>
      <c r="J1554" s="104">
        <f>+'[3]special hospitals1'!F380</f>
        <v>278013800.74000001</v>
      </c>
      <c r="K1554" s="104">
        <f>+'[3]special hospitals1'!G380</f>
        <v>99599547.560000002</v>
      </c>
      <c r="L1554" s="104">
        <f>+'[3]special hospitals1'!H380</f>
        <v>0</v>
      </c>
      <c r="M1554" s="103">
        <f t="shared" si="549"/>
        <v>377613348.30000001</v>
      </c>
      <c r="N1554" s="103">
        <f t="shared" si="565"/>
        <v>24033199.25999999</v>
      </c>
      <c r="O1554" s="103">
        <f t="shared" si="565"/>
        <v>12003452.439999998</v>
      </c>
      <c r="P1554" s="103">
        <f t="shared" si="565"/>
        <v>0</v>
      </c>
      <c r="Q1554" s="103">
        <f t="shared" si="566"/>
        <v>36036651.699999988</v>
      </c>
      <c r="S1554" s="730">
        <f t="shared" si="554"/>
        <v>0.92043225305995424</v>
      </c>
      <c r="T1554" s="730">
        <f t="shared" si="554"/>
        <v>0.89244507369873571</v>
      </c>
      <c r="U1554" s="730" t="str">
        <f t="shared" si="554"/>
        <v/>
      </c>
      <c r="V1554" s="730">
        <f t="shared" si="552"/>
        <v>0.91288129650670857</v>
      </c>
      <c r="W1554" s="531"/>
      <c r="X1554" s="236"/>
      <c r="Y1554" s="236" t="s">
        <v>688</v>
      </c>
      <c r="Z1554" s="236"/>
    </row>
    <row r="1555" spans="1:26" ht="11.25" customHeight="1">
      <c r="A1555" s="528" t="s">
        <v>258</v>
      </c>
      <c r="B1555" s="1013" t="s">
        <v>250</v>
      </c>
      <c r="C1555" s="728"/>
      <c r="D1555" s="649" t="s">
        <v>50</v>
      </c>
      <c r="E1555" s="447" t="s">
        <v>50</v>
      </c>
      <c r="F1555" s="104"/>
      <c r="G1555" s="104">
        <f>+'[3]special hospitals1'!C382</f>
        <v>29700000</v>
      </c>
      <c r="H1555" s="104">
        <f>+'[3]special hospitals1'!D382</f>
        <v>18000000</v>
      </c>
      <c r="I1555" s="103">
        <f>SUM(F1555:H1555)</f>
        <v>47700000</v>
      </c>
      <c r="J1555" s="104"/>
      <c r="K1555" s="104">
        <f>+'[3]special hospitals1'!G382</f>
        <v>20018789.68</v>
      </c>
      <c r="L1555" s="104">
        <f>+'[3]special hospitals1'!H382</f>
        <v>13000000</v>
      </c>
      <c r="M1555" s="103">
        <f>SUM(J1555:L1555)</f>
        <v>33018789.68</v>
      </c>
      <c r="N1555" s="103">
        <f t="shared" si="565"/>
        <v>0</v>
      </c>
      <c r="O1555" s="103">
        <f t="shared" si="565"/>
        <v>9681210.3200000003</v>
      </c>
      <c r="P1555" s="103">
        <f t="shared" si="565"/>
        <v>5000000</v>
      </c>
      <c r="Q1555" s="103">
        <f t="shared" si="566"/>
        <v>14681210.32</v>
      </c>
      <c r="S1555" s="730" t="str">
        <f t="shared" si="554"/>
        <v/>
      </c>
      <c r="T1555" s="730">
        <f t="shared" si="554"/>
        <v>0.67403332255892257</v>
      </c>
      <c r="U1555" s="730">
        <f t="shared" si="554"/>
        <v>0.72222222222222221</v>
      </c>
      <c r="V1555" s="730">
        <f t="shared" si="552"/>
        <v>0.69221781299790353</v>
      </c>
      <c r="W1555" s="531"/>
      <c r="X1555" s="236"/>
      <c r="Y1555" s="236" t="s">
        <v>688</v>
      </c>
      <c r="Z1555" s="236"/>
    </row>
    <row r="1556" spans="1:26" s="256" customFormat="1" ht="11.25" customHeight="1">
      <c r="A1556" s="528" t="s">
        <v>258</v>
      </c>
      <c r="B1556" s="528" t="s">
        <v>250</v>
      </c>
      <c r="C1556" s="389"/>
      <c r="D1556" s="650" t="s">
        <v>98</v>
      </c>
      <c r="E1556" s="390" t="s">
        <v>767</v>
      </c>
      <c r="F1556" s="391">
        <f>+F1554+F1555</f>
        <v>302047000</v>
      </c>
      <c r="G1556" s="391">
        <f t="shared" ref="G1556:M1556" si="572">+G1554+G1555</f>
        <v>141303000</v>
      </c>
      <c r="H1556" s="391">
        <f t="shared" si="572"/>
        <v>18000000</v>
      </c>
      <c r="I1556" s="391">
        <f t="shared" si="572"/>
        <v>461350000</v>
      </c>
      <c r="J1556" s="391">
        <f t="shared" si="572"/>
        <v>278013800.74000001</v>
      </c>
      <c r="K1556" s="391">
        <f t="shared" si="572"/>
        <v>119618337.24000001</v>
      </c>
      <c r="L1556" s="391">
        <f t="shared" si="572"/>
        <v>13000000</v>
      </c>
      <c r="M1556" s="391">
        <f t="shared" si="572"/>
        <v>410632137.98000002</v>
      </c>
      <c r="N1556" s="391">
        <f t="shared" si="565"/>
        <v>24033199.25999999</v>
      </c>
      <c r="O1556" s="391">
        <f t="shared" si="565"/>
        <v>21684662.75999999</v>
      </c>
      <c r="P1556" s="391">
        <f t="shared" si="565"/>
        <v>5000000</v>
      </c>
      <c r="Q1556" s="391">
        <f t="shared" si="566"/>
        <v>50717862.019999981</v>
      </c>
      <c r="R1556" s="101"/>
      <c r="S1556" s="254">
        <f t="shared" si="554"/>
        <v>0.92043225305995424</v>
      </c>
      <c r="T1556" s="254">
        <f t="shared" si="554"/>
        <v>0.84653784590560721</v>
      </c>
      <c r="U1556" s="254">
        <f t="shared" si="554"/>
        <v>0.72222222222222221</v>
      </c>
      <c r="V1556" s="254">
        <f t="shared" si="552"/>
        <v>0.89006640940717463</v>
      </c>
      <c r="W1556" s="531"/>
      <c r="Y1556" s="256" t="s">
        <v>598</v>
      </c>
      <c r="Z1556" s="256" t="s">
        <v>598</v>
      </c>
    </row>
    <row r="1557" spans="1:26" ht="11.25" hidden="1" customHeight="1">
      <c r="A1557" s="528" t="s">
        <v>258</v>
      </c>
      <c r="B1557" s="1013" t="s">
        <v>250</v>
      </c>
      <c r="C1557" s="410"/>
      <c r="D1557" s="651"/>
      <c r="E1557" s="806" t="s">
        <v>764</v>
      </c>
      <c r="F1557" s="807"/>
      <c r="G1557" s="807"/>
      <c r="H1557" s="807"/>
      <c r="I1557" s="807"/>
      <c r="J1557" s="807"/>
      <c r="K1557" s="807"/>
      <c r="L1557" s="807"/>
      <c r="M1557" s="807"/>
      <c r="N1557" s="807">
        <f t="shared" si="565"/>
        <v>0</v>
      </c>
      <c r="O1557" s="807">
        <f t="shared" si="565"/>
        <v>0</v>
      </c>
      <c r="P1557" s="807">
        <f t="shared" si="565"/>
        <v>0</v>
      </c>
      <c r="Q1557" s="807">
        <f t="shared" si="566"/>
        <v>0</v>
      </c>
      <c r="R1557" s="276"/>
      <c r="S1557" s="730" t="str">
        <f t="shared" si="554"/>
        <v/>
      </c>
      <c r="T1557" s="730" t="str">
        <f t="shared" si="554"/>
        <v/>
      </c>
      <c r="U1557" s="730" t="str">
        <f t="shared" si="554"/>
        <v/>
      </c>
      <c r="V1557" s="730" t="str">
        <f t="shared" si="552"/>
        <v/>
      </c>
      <c r="W1557" s="531"/>
      <c r="X1557" s="236"/>
      <c r="Y1557" s="236"/>
      <c r="Z1557" s="236"/>
    </row>
    <row r="1558" spans="1:26" s="256" customFormat="1" ht="11.25" customHeight="1">
      <c r="A1558" s="528" t="s">
        <v>258</v>
      </c>
      <c r="B1558" s="528" t="s">
        <v>250</v>
      </c>
      <c r="C1558" s="389"/>
      <c r="D1558" s="650" t="s">
        <v>98</v>
      </c>
      <c r="E1558" s="390" t="s">
        <v>99</v>
      </c>
      <c r="F1558" s="391">
        <f>+F1559</f>
        <v>27652000</v>
      </c>
      <c r="G1558" s="391">
        <f t="shared" ref="G1558:M1558" si="573">+G1559</f>
        <v>0</v>
      </c>
      <c r="H1558" s="391">
        <f t="shared" si="573"/>
        <v>0</v>
      </c>
      <c r="I1558" s="391">
        <f t="shared" si="573"/>
        <v>27652000</v>
      </c>
      <c r="J1558" s="391">
        <f t="shared" si="573"/>
        <v>24740152.530000001</v>
      </c>
      <c r="K1558" s="391">
        <f t="shared" si="573"/>
        <v>0</v>
      </c>
      <c r="L1558" s="391">
        <f t="shared" si="573"/>
        <v>0</v>
      </c>
      <c r="M1558" s="391">
        <f t="shared" si="573"/>
        <v>24740152.530000001</v>
      </c>
      <c r="N1558" s="391">
        <f t="shared" si="565"/>
        <v>2911847.4699999988</v>
      </c>
      <c r="O1558" s="391">
        <f t="shared" si="565"/>
        <v>0</v>
      </c>
      <c r="P1558" s="391">
        <f t="shared" si="565"/>
        <v>0</v>
      </c>
      <c r="Q1558" s="391">
        <f t="shared" si="566"/>
        <v>2911847.4699999988</v>
      </c>
      <c r="R1558" s="101"/>
      <c r="S1558" s="254">
        <f t="shared" si="554"/>
        <v>0.89469667763633742</v>
      </c>
      <c r="T1558" s="254" t="str">
        <f t="shared" si="554"/>
        <v/>
      </c>
      <c r="U1558" s="254" t="str">
        <f t="shared" si="554"/>
        <v/>
      </c>
      <c r="V1558" s="254">
        <f t="shared" si="552"/>
        <v>0.89469667763633742</v>
      </c>
      <c r="W1558" s="531"/>
      <c r="Y1558" s="256" t="s">
        <v>598</v>
      </c>
      <c r="Z1558" s="256" t="s">
        <v>598</v>
      </c>
    </row>
    <row r="1559" spans="1:26" ht="11.25" customHeight="1">
      <c r="A1559" s="528" t="s">
        <v>258</v>
      </c>
      <c r="B1559" s="1013" t="s">
        <v>250</v>
      </c>
      <c r="C1559" s="728"/>
      <c r="D1559" s="649" t="s">
        <v>286</v>
      </c>
      <c r="E1559" s="729" t="s">
        <v>286</v>
      </c>
      <c r="F1559" s="103">
        <f>SUM('[3]special hospitals1'!Q14)</f>
        <v>27652000</v>
      </c>
      <c r="G1559" s="103">
        <f>SUM('[3]special hospitals1'!Q50)</f>
        <v>0</v>
      </c>
      <c r="H1559" s="103">
        <f>SUM('[3]special hospitals1'!Q142)</f>
        <v>0</v>
      </c>
      <c r="I1559" s="103">
        <f>SUM(F1559:H1559)</f>
        <v>27652000</v>
      </c>
      <c r="J1559" s="103">
        <f>SUM('[3]special hospitals1'!Q15)</f>
        <v>24740152.530000001</v>
      </c>
      <c r="K1559" s="103">
        <f>SUM('[3]special hospitals1'!Q51)</f>
        <v>0</v>
      </c>
      <c r="L1559" s="103">
        <f>SUM('[3]special hospitals1'!Q143)</f>
        <v>0</v>
      </c>
      <c r="M1559" s="103">
        <f t="shared" si="549"/>
        <v>24740152.530000001</v>
      </c>
      <c r="N1559" s="103">
        <f t="shared" si="565"/>
        <v>2911847.4699999988</v>
      </c>
      <c r="O1559" s="103">
        <f t="shared" si="565"/>
        <v>0</v>
      </c>
      <c r="P1559" s="103">
        <f t="shared" si="565"/>
        <v>0</v>
      </c>
      <c r="Q1559" s="103">
        <f t="shared" si="566"/>
        <v>2911847.4699999988</v>
      </c>
      <c r="S1559" s="730">
        <f t="shared" si="554"/>
        <v>0.89469667763633742</v>
      </c>
      <c r="T1559" s="730" t="str">
        <f t="shared" si="554"/>
        <v/>
      </c>
      <c r="U1559" s="730" t="str">
        <f t="shared" si="554"/>
        <v/>
      </c>
      <c r="V1559" s="730">
        <f t="shared" si="554"/>
        <v>0.89469667763633742</v>
      </c>
      <c r="W1559" s="531"/>
      <c r="X1559" s="236"/>
      <c r="Y1559" s="236" t="s">
        <v>598</v>
      </c>
      <c r="Z1559" s="236"/>
    </row>
    <row r="1560" spans="1:26" s="272" customFormat="1" ht="11.25" customHeight="1">
      <c r="A1560" s="528" t="s">
        <v>258</v>
      </c>
      <c r="B1560" s="528" t="s">
        <v>250</v>
      </c>
      <c r="C1560" s="389"/>
      <c r="D1560" s="650" t="s">
        <v>98</v>
      </c>
      <c r="E1560" s="390" t="s">
        <v>100</v>
      </c>
      <c r="F1560" s="391">
        <f t="shared" ref="F1560:M1560" si="574">SUM(F1561:F1565)</f>
        <v>20222510</v>
      </c>
      <c r="G1560" s="391">
        <f t="shared" si="574"/>
        <v>4365000</v>
      </c>
      <c r="H1560" s="391">
        <f t="shared" si="574"/>
        <v>0</v>
      </c>
      <c r="I1560" s="391">
        <f t="shared" si="574"/>
        <v>24587510</v>
      </c>
      <c r="J1560" s="391">
        <f t="shared" si="574"/>
        <v>19717000.649999999</v>
      </c>
      <c r="K1560" s="391">
        <f t="shared" si="574"/>
        <v>4093139.99</v>
      </c>
      <c r="L1560" s="391">
        <f t="shared" si="574"/>
        <v>0</v>
      </c>
      <c r="M1560" s="391">
        <f t="shared" si="574"/>
        <v>23810140.640000001</v>
      </c>
      <c r="N1560" s="391">
        <f t="shared" si="565"/>
        <v>505509.35000000149</v>
      </c>
      <c r="O1560" s="391">
        <f t="shared" si="565"/>
        <v>271860.00999999978</v>
      </c>
      <c r="P1560" s="391">
        <f t="shared" si="565"/>
        <v>0</v>
      </c>
      <c r="Q1560" s="391">
        <f t="shared" si="566"/>
        <v>777369.36000000127</v>
      </c>
      <c r="R1560" s="102"/>
      <c r="S1560" s="254">
        <f t="shared" ref="S1560:V1623" si="575">IF(F1560=0,"",J1560/F1560)</f>
        <v>0.97500264062176256</v>
      </c>
      <c r="T1560" s="254">
        <f t="shared" si="575"/>
        <v>0.93771821076746853</v>
      </c>
      <c r="U1560" s="254" t="str">
        <f t="shared" si="575"/>
        <v/>
      </c>
      <c r="V1560" s="254">
        <f t="shared" si="575"/>
        <v>0.96838356710378559</v>
      </c>
      <c r="W1560" s="531"/>
      <c r="Y1560" s="272" t="s">
        <v>598</v>
      </c>
      <c r="Z1560" s="256" t="s">
        <v>598</v>
      </c>
    </row>
    <row r="1561" spans="1:26" ht="11.25" customHeight="1">
      <c r="A1561" s="528" t="s">
        <v>258</v>
      </c>
      <c r="B1561" s="1013" t="s">
        <v>250</v>
      </c>
      <c r="C1561" s="728"/>
      <c r="D1561" s="649" t="s">
        <v>288</v>
      </c>
      <c r="E1561" s="729" t="s">
        <v>288</v>
      </c>
      <c r="F1561" s="103">
        <f>SUM('[3]special hospitals1'!X14)</f>
        <v>0</v>
      </c>
      <c r="G1561" s="103">
        <f>SUM('[3]special hospitals1'!X50)</f>
        <v>0</v>
      </c>
      <c r="H1561" s="103">
        <f>SUM('[3]special hospitals1'!X142)</f>
        <v>0</v>
      </c>
      <c r="I1561" s="103">
        <f>SUM(F1561:H1561)</f>
        <v>0</v>
      </c>
      <c r="J1561" s="103">
        <f>SUM('[3]special hospitals1'!X15)</f>
        <v>0</v>
      </c>
      <c r="K1561" s="103">
        <f>SUM('[3]special hospitals1'!X51)</f>
        <v>0</v>
      </c>
      <c r="L1561" s="103">
        <f>SUM('[3]special hospitals1'!X143)</f>
        <v>0</v>
      </c>
      <c r="M1561" s="103">
        <f t="shared" si="549"/>
        <v>0</v>
      </c>
      <c r="N1561" s="103">
        <f t="shared" si="565"/>
        <v>0</v>
      </c>
      <c r="O1561" s="103">
        <f t="shared" si="565"/>
        <v>0</v>
      </c>
      <c r="P1561" s="103">
        <f t="shared" si="565"/>
        <v>0</v>
      </c>
      <c r="Q1561" s="103">
        <f t="shared" si="566"/>
        <v>0</v>
      </c>
      <c r="S1561" s="730" t="str">
        <f t="shared" si="575"/>
        <v/>
      </c>
      <c r="T1561" s="730" t="str">
        <f t="shared" si="575"/>
        <v/>
      </c>
      <c r="U1561" s="730" t="str">
        <f t="shared" si="575"/>
        <v/>
      </c>
      <c r="V1561" s="730" t="str">
        <f t="shared" si="575"/>
        <v/>
      </c>
      <c r="W1561" s="531"/>
      <c r="X1561" s="236"/>
      <c r="Y1561" s="236" t="s">
        <v>598</v>
      </c>
      <c r="Z1561" s="236"/>
    </row>
    <row r="1562" spans="1:26" ht="11.25" customHeight="1">
      <c r="A1562" s="528" t="s">
        <v>258</v>
      </c>
      <c r="B1562" s="1013" t="s">
        <v>250</v>
      </c>
      <c r="C1562" s="728"/>
      <c r="D1562" s="649" t="s">
        <v>761</v>
      </c>
      <c r="E1562" s="729" t="s">
        <v>761</v>
      </c>
      <c r="F1562" s="104">
        <f>+'[3]special hospitals1'!B382</f>
        <v>9799500</v>
      </c>
      <c r="G1562" s="104"/>
      <c r="H1562" s="104"/>
      <c r="I1562" s="103">
        <f>SUM(F1562:H1562)</f>
        <v>9799500</v>
      </c>
      <c r="J1562" s="104">
        <f>+'[3]special hospitals1'!F382</f>
        <v>9294000</v>
      </c>
      <c r="K1562" s="104"/>
      <c r="L1562" s="104"/>
      <c r="M1562" s="103">
        <f t="shared" si="549"/>
        <v>9294000</v>
      </c>
      <c r="N1562" s="103">
        <f t="shared" si="565"/>
        <v>505500</v>
      </c>
      <c r="O1562" s="103">
        <f t="shared" si="565"/>
        <v>0</v>
      </c>
      <c r="P1562" s="103">
        <f t="shared" si="565"/>
        <v>0</v>
      </c>
      <c r="Q1562" s="103">
        <f>SUM(N1562:P1562)</f>
        <v>505500</v>
      </c>
      <c r="S1562" s="730">
        <f t="shared" si="575"/>
        <v>0.94841573549670899</v>
      </c>
      <c r="T1562" s="730" t="str">
        <f t="shared" si="575"/>
        <v/>
      </c>
      <c r="U1562" s="730" t="str">
        <f t="shared" si="575"/>
        <v/>
      </c>
      <c r="V1562" s="730">
        <f t="shared" si="575"/>
        <v>0.94841573549670899</v>
      </c>
      <c r="W1562" s="531"/>
      <c r="X1562" s="236"/>
      <c r="Y1562" s="236" t="s">
        <v>688</v>
      </c>
      <c r="Z1562" s="236"/>
    </row>
    <row r="1563" spans="1:26" ht="11.25" customHeight="1">
      <c r="A1563" s="528" t="s">
        <v>258</v>
      </c>
      <c r="B1563" s="1013" t="s">
        <v>250</v>
      </c>
      <c r="C1563" s="410"/>
      <c r="D1563" s="647"/>
      <c r="E1563" s="461" t="s">
        <v>764</v>
      </c>
      <c r="F1563" s="104"/>
      <c r="G1563" s="104"/>
      <c r="H1563" s="104"/>
      <c r="I1563" s="103"/>
      <c r="J1563" s="104"/>
      <c r="K1563" s="104"/>
      <c r="L1563" s="104"/>
      <c r="M1563" s="103"/>
      <c r="N1563" s="103"/>
      <c r="O1563" s="103"/>
      <c r="P1563" s="103"/>
      <c r="Q1563" s="103"/>
      <c r="S1563" s="730" t="str">
        <f t="shared" si="575"/>
        <v/>
      </c>
      <c r="T1563" s="730" t="str">
        <f t="shared" si="575"/>
        <v/>
      </c>
      <c r="U1563" s="730" t="str">
        <f t="shared" si="575"/>
        <v/>
      </c>
      <c r="V1563" s="730" t="str">
        <f t="shared" si="575"/>
        <v/>
      </c>
      <c r="W1563" s="531"/>
      <c r="X1563" s="236"/>
      <c r="Y1563" s="236" t="s">
        <v>688</v>
      </c>
      <c r="Z1563" s="240"/>
    </row>
    <row r="1564" spans="1:26" ht="11.25" customHeight="1">
      <c r="A1564" s="528" t="s">
        <v>258</v>
      </c>
      <c r="B1564" s="1013" t="s">
        <v>250</v>
      </c>
      <c r="C1564" s="728"/>
      <c r="D1564" s="649" t="s">
        <v>289</v>
      </c>
      <c r="E1564" s="729" t="s">
        <v>289</v>
      </c>
      <c r="F1564" s="103">
        <f>SUM('[3]special hospitals1'!AE14)</f>
        <v>10423010</v>
      </c>
      <c r="G1564" s="103">
        <f>SUM('[3]special hospitals1'!AE50)</f>
        <v>0</v>
      </c>
      <c r="H1564" s="103">
        <f>SUM('[3]special hospitals1'!AE142)</f>
        <v>0</v>
      </c>
      <c r="I1564" s="103">
        <f>SUM(F1564:H1564)</f>
        <v>10423010</v>
      </c>
      <c r="J1564" s="103">
        <f>SUM('[3]special hospitals1'!AE15)</f>
        <v>10423000.65</v>
      </c>
      <c r="K1564" s="103">
        <f>SUM('[3]special hospitals1'!AE51)</f>
        <v>0</v>
      </c>
      <c r="L1564" s="103">
        <f>SUM('[3]special hospitals1'!AE143)</f>
        <v>0</v>
      </c>
      <c r="M1564" s="103">
        <f t="shared" si="549"/>
        <v>10423000.65</v>
      </c>
      <c r="N1564" s="103">
        <f t="shared" si="565"/>
        <v>9.349999999627471</v>
      </c>
      <c r="O1564" s="103">
        <f t="shared" si="565"/>
        <v>0</v>
      </c>
      <c r="P1564" s="103">
        <f t="shared" si="565"/>
        <v>0</v>
      </c>
      <c r="Q1564" s="103">
        <f t="shared" si="566"/>
        <v>9.349999999627471</v>
      </c>
      <c r="S1564" s="730">
        <f t="shared" si="575"/>
        <v>0.99999910294626992</v>
      </c>
      <c r="T1564" s="730" t="str">
        <f t="shared" si="575"/>
        <v/>
      </c>
      <c r="U1564" s="730" t="str">
        <f t="shared" si="575"/>
        <v/>
      </c>
      <c r="V1564" s="730">
        <f t="shared" si="575"/>
        <v>0.99999910294626992</v>
      </c>
      <c r="W1564" s="531"/>
      <c r="X1564" s="236"/>
      <c r="Y1564" s="236" t="s">
        <v>598</v>
      </c>
      <c r="Z1564" s="236"/>
    </row>
    <row r="1565" spans="1:26" ht="11.25" customHeight="1">
      <c r="A1565" s="528" t="s">
        <v>258</v>
      </c>
      <c r="B1565" s="1013" t="s">
        <v>250</v>
      </c>
      <c r="C1565" s="728"/>
      <c r="D1565" s="649" t="s">
        <v>290</v>
      </c>
      <c r="E1565" s="729" t="s">
        <v>290</v>
      </c>
      <c r="F1565" s="103">
        <f>SUM('[3]special hospitals1'!AL14)</f>
        <v>0</v>
      </c>
      <c r="G1565" s="103">
        <f>SUM('[3]special hospitals1'!AL50)</f>
        <v>4365000</v>
      </c>
      <c r="H1565" s="103">
        <f>SUM('[3]special hospitals1'!AL142)</f>
        <v>0</v>
      </c>
      <c r="I1565" s="103">
        <f>SUM(F1565:H1565)</f>
        <v>4365000</v>
      </c>
      <c r="J1565" s="103">
        <f>SUM('[3]special hospitals1'!AL15)</f>
        <v>0</v>
      </c>
      <c r="K1565" s="103">
        <f>SUM('[3]special hospitals1'!AL51)</f>
        <v>4093139.99</v>
      </c>
      <c r="L1565" s="103">
        <f>SUM('[3]special hospitals1'!AL143)</f>
        <v>0</v>
      </c>
      <c r="M1565" s="103">
        <f t="shared" si="549"/>
        <v>4093139.99</v>
      </c>
      <c r="N1565" s="103">
        <f t="shared" si="565"/>
        <v>0</v>
      </c>
      <c r="O1565" s="103">
        <f t="shared" si="565"/>
        <v>271860.00999999978</v>
      </c>
      <c r="P1565" s="103">
        <f t="shared" si="565"/>
        <v>0</v>
      </c>
      <c r="Q1565" s="103">
        <f t="shared" si="566"/>
        <v>271860.00999999978</v>
      </c>
      <c r="S1565" s="730" t="str">
        <f t="shared" si="575"/>
        <v/>
      </c>
      <c r="T1565" s="730">
        <f t="shared" si="575"/>
        <v>0.93771821076746853</v>
      </c>
      <c r="U1565" s="730" t="str">
        <f t="shared" si="575"/>
        <v/>
      </c>
      <c r="V1565" s="730">
        <f t="shared" si="575"/>
        <v>0.93771821076746853</v>
      </c>
      <c r="W1565" s="531"/>
      <c r="X1565" s="236"/>
      <c r="Y1565" s="236" t="s">
        <v>598</v>
      </c>
      <c r="Z1565" s="236"/>
    </row>
    <row r="1566" spans="1:26" s="259" customFormat="1" ht="11.25" customHeight="1">
      <c r="A1566" s="246" t="s">
        <v>258</v>
      </c>
      <c r="B1566" s="235" t="s">
        <v>250</v>
      </c>
      <c r="C1566" s="656"/>
      <c r="D1566" s="656"/>
      <c r="E1566" s="657" t="s">
        <v>4</v>
      </c>
      <c r="F1566" s="652">
        <f>+F1556+F1558+F1560</f>
        <v>349921510</v>
      </c>
      <c r="G1566" s="652">
        <f t="shared" ref="G1566:M1566" si="576">+G1556+G1558+G1560</f>
        <v>145668000</v>
      </c>
      <c r="H1566" s="652">
        <f t="shared" si="576"/>
        <v>18000000</v>
      </c>
      <c r="I1566" s="652">
        <f t="shared" si="576"/>
        <v>513589510</v>
      </c>
      <c r="J1566" s="652">
        <f t="shared" si="576"/>
        <v>322470953.91999996</v>
      </c>
      <c r="K1566" s="652">
        <f t="shared" si="576"/>
        <v>123711477.23</v>
      </c>
      <c r="L1566" s="652">
        <f t="shared" si="576"/>
        <v>13000000</v>
      </c>
      <c r="M1566" s="652">
        <f t="shared" si="576"/>
        <v>459182431.14999998</v>
      </c>
      <c r="N1566" s="652">
        <f t="shared" si="565"/>
        <v>27450556.080000043</v>
      </c>
      <c r="O1566" s="652">
        <f t="shared" si="565"/>
        <v>21956522.769999996</v>
      </c>
      <c r="P1566" s="652">
        <f t="shared" si="565"/>
        <v>5000000</v>
      </c>
      <c r="Q1566" s="652">
        <f t="shared" si="566"/>
        <v>54407078.850000039</v>
      </c>
      <c r="R1566" s="653">
        <f>+Q1566-'[3]special hospitals1'!CN179</f>
        <v>0</v>
      </c>
      <c r="S1566" s="1008">
        <f t="shared" si="575"/>
        <v>0.92155224730254492</v>
      </c>
      <c r="T1566" s="1008">
        <f t="shared" si="575"/>
        <v>0.84927010208144549</v>
      </c>
      <c r="U1566" s="1008">
        <f t="shared" si="575"/>
        <v>0.72222222222222221</v>
      </c>
      <c r="V1566" s="1008">
        <f t="shared" si="575"/>
        <v>0.89406505041351014</v>
      </c>
      <c r="W1566" s="254"/>
      <c r="X1566" s="520"/>
      <c r="Y1566" s="610" t="s">
        <v>598</v>
      </c>
      <c r="Z1566" s="241" t="s">
        <v>598</v>
      </c>
    </row>
    <row r="1567" spans="1:26" ht="11.25" customHeight="1">
      <c r="A1567" s="246" t="s">
        <v>258</v>
      </c>
      <c r="B1567" s="235" t="s">
        <v>250</v>
      </c>
      <c r="C1567" s="410"/>
      <c r="D1567" s="386"/>
      <c r="E1567" s="461" t="s">
        <v>764</v>
      </c>
      <c r="F1567" s="103"/>
      <c r="G1567" s="103"/>
      <c r="H1567" s="103"/>
      <c r="I1567" s="103">
        <f>SUM(F1567:H1567)</f>
        <v>0</v>
      </c>
      <c r="J1567" s="103"/>
      <c r="K1567" s="103"/>
      <c r="L1567" s="103"/>
      <c r="M1567" s="103">
        <f t="shared" si="549"/>
        <v>0</v>
      </c>
      <c r="N1567" s="103">
        <f t="shared" si="565"/>
        <v>0</v>
      </c>
      <c r="O1567" s="103">
        <f t="shared" si="565"/>
        <v>0</v>
      </c>
      <c r="P1567" s="103">
        <f t="shared" si="565"/>
        <v>0</v>
      </c>
      <c r="Q1567" s="103">
        <f t="shared" si="566"/>
        <v>0</v>
      </c>
      <c r="S1567" s="730" t="str">
        <f t="shared" si="575"/>
        <v/>
      </c>
      <c r="T1567" s="730" t="str">
        <f t="shared" si="575"/>
        <v/>
      </c>
      <c r="U1567" s="730" t="str">
        <f t="shared" si="575"/>
        <v/>
      </c>
      <c r="V1567" s="730" t="str">
        <f t="shared" si="575"/>
        <v/>
      </c>
      <c r="W1567" s="254"/>
      <c r="Y1567" s="610" t="s">
        <v>598</v>
      </c>
      <c r="Z1567" s="241" t="s">
        <v>598</v>
      </c>
    </row>
    <row r="1568" spans="1:26" s="675" customFormat="1" ht="11.25" customHeight="1">
      <c r="A1568" s="246" t="s">
        <v>258</v>
      </c>
      <c r="B1568" s="246" t="s">
        <v>252</v>
      </c>
      <c r="C1568" s="407" t="s">
        <v>98</v>
      </c>
      <c r="D1568" s="672" t="s">
        <v>253</v>
      </c>
      <c r="E1568" s="408" t="s">
        <v>856</v>
      </c>
      <c r="F1568" s="673"/>
      <c r="G1568" s="673"/>
      <c r="H1568" s="673"/>
      <c r="I1568" s="674">
        <f>SUM(F1568:H1568)</f>
        <v>0</v>
      </c>
      <c r="J1568" s="673"/>
      <c r="K1568" s="673"/>
      <c r="L1568" s="673"/>
      <c r="M1568" s="674">
        <f t="shared" si="549"/>
        <v>0</v>
      </c>
      <c r="N1568" s="674">
        <f t="shared" si="565"/>
        <v>0</v>
      </c>
      <c r="O1568" s="674">
        <f t="shared" si="565"/>
        <v>0</v>
      </c>
      <c r="P1568" s="674">
        <f t="shared" si="565"/>
        <v>0</v>
      </c>
      <c r="Q1568" s="674">
        <f t="shared" si="566"/>
        <v>0</v>
      </c>
      <c r="R1568" s="101"/>
      <c r="S1568" s="254" t="str">
        <f t="shared" si="575"/>
        <v/>
      </c>
      <c r="T1568" s="254" t="str">
        <f t="shared" si="575"/>
        <v/>
      </c>
      <c r="U1568" s="254" t="str">
        <f t="shared" si="575"/>
        <v/>
      </c>
      <c r="V1568" s="254" t="str">
        <f t="shared" si="575"/>
        <v/>
      </c>
      <c r="W1568" s="254"/>
      <c r="Y1568" s="272" t="s">
        <v>598</v>
      </c>
      <c r="Z1568" s="260" t="s">
        <v>598</v>
      </c>
    </row>
    <row r="1569" spans="1:26" ht="11.25" customHeight="1">
      <c r="A1569" s="246" t="s">
        <v>258</v>
      </c>
      <c r="B1569" s="235" t="s">
        <v>252</v>
      </c>
      <c r="C1569" s="461"/>
      <c r="D1569" s="664" t="s">
        <v>766</v>
      </c>
      <c r="E1569" s="447" t="s">
        <v>766</v>
      </c>
      <c r="F1569" s="104">
        <f>+'[3]special hospitals2'!B401</f>
        <v>233701000</v>
      </c>
      <c r="G1569" s="104">
        <f>+'[3]special hospitals2'!C401</f>
        <v>165112000</v>
      </c>
      <c r="H1569" s="104">
        <f>+'[3]special hospitals2'!D401</f>
        <v>0</v>
      </c>
      <c r="I1569" s="103">
        <f>SUM(F1569:H1569)</f>
        <v>398813000</v>
      </c>
      <c r="J1569" s="104">
        <f>+'[3]special hospitals2'!F401</f>
        <v>217281268.67000002</v>
      </c>
      <c r="K1569" s="104">
        <f>+'[3]special hospitals2'!G401</f>
        <v>117388907.45</v>
      </c>
      <c r="L1569" s="104">
        <f>+'[3]special hospitals2'!H401</f>
        <v>0</v>
      </c>
      <c r="M1569" s="103">
        <f t="shared" ref="M1569:M1655" si="577">SUM(J1569:L1569)</f>
        <v>334670176.12</v>
      </c>
      <c r="N1569" s="103">
        <f t="shared" si="565"/>
        <v>16419731.329999983</v>
      </c>
      <c r="O1569" s="103">
        <f t="shared" si="565"/>
        <v>47723092.549999997</v>
      </c>
      <c r="P1569" s="103">
        <f t="shared" si="565"/>
        <v>0</v>
      </c>
      <c r="Q1569" s="103">
        <f t="shared" si="566"/>
        <v>64142823.87999998</v>
      </c>
      <c r="S1569" s="730">
        <f t="shared" si="575"/>
        <v>0.9297404318766288</v>
      </c>
      <c r="T1569" s="730">
        <f t="shared" si="575"/>
        <v>0.71096532929163236</v>
      </c>
      <c r="U1569" s="730" t="str">
        <f t="shared" si="575"/>
        <v/>
      </c>
      <c r="V1569" s="730">
        <f t="shared" si="575"/>
        <v>0.83916566440913409</v>
      </c>
      <c r="W1569" s="254"/>
      <c r="X1569" s="236"/>
      <c r="Y1569" s="236" t="s">
        <v>688</v>
      </c>
      <c r="Z1569" s="236"/>
    </row>
    <row r="1570" spans="1:26" ht="11.25" customHeight="1">
      <c r="A1570" s="246" t="s">
        <v>258</v>
      </c>
      <c r="B1570" s="235" t="s">
        <v>252</v>
      </c>
      <c r="C1570" s="728"/>
      <c r="D1570" s="394" t="s">
        <v>50</v>
      </c>
      <c r="E1570" s="447" t="s">
        <v>50</v>
      </c>
      <c r="F1570" s="104"/>
      <c r="G1570" s="104">
        <f>+'[3]special hospitals2'!C403</f>
        <v>59020000</v>
      </c>
      <c r="H1570" s="104">
        <f>+'[3]special hospitals2'!D403</f>
        <v>54326113.100000001</v>
      </c>
      <c r="I1570" s="103">
        <f>SUM(F1570:H1570)</f>
        <v>113346113.09999999</v>
      </c>
      <c r="J1570" s="104"/>
      <c r="K1570" s="104">
        <f>+'[3]special hospitals2'!G403</f>
        <v>48208446.509999998</v>
      </c>
      <c r="L1570" s="104">
        <f>+'[3]special hospitals2'!H403</f>
        <v>46068070.750000007</v>
      </c>
      <c r="M1570" s="103">
        <f>SUM(J1570:L1570)</f>
        <v>94276517.260000005</v>
      </c>
      <c r="N1570" s="103">
        <f t="shared" si="565"/>
        <v>0</v>
      </c>
      <c r="O1570" s="103">
        <f t="shared" si="565"/>
        <v>10811553.490000002</v>
      </c>
      <c r="P1570" s="103">
        <f t="shared" si="565"/>
        <v>8258042.349999994</v>
      </c>
      <c r="Q1570" s="103">
        <f t="shared" si="566"/>
        <v>19069595.839999996</v>
      </c>
      <c r="S1570" s="730" t="str">
        <f t="shared" si="575"/>
        <v/>
      </c>
      <c r="T1570" s="730">
        <f t="shared" si="575"/>
        <v>0.81681542714334121</v>
      </c>
      <c r="U1570" s="730">
        <f t="shared" si="575"/>
        <v>0.84799129039842913</v>
      </c>
      <c r="V1570" s="730">
        <f t="shared" si="575"/>
        <v>0.83175783166754225</v>
      </c>
      <c r="W1570" s="254"/>
      <c r="X1570" s="236"/>
      <c r="Y1570" s="236" t="s">
        <v>688</v>
      </c>
      <c r="Z1570" s="236"/>
    </row>
    <row r="1571" spans="1:26" s="256" customFormat="1" ht="11.25" customHeight="1">
      <c r="A1571" s="246" t="s">
        <v>258</v>
      </c>
      <c r="B1571" s="246" t="s">
        <v>252</v>
      </c>
      <c r="C1571" s="389"/>
      <c r="D1571" s="389" t="s">
        <v>98</v>
      </c>
      <c r="E1571" s="390" t="s">
        <v>767</v>
      </c>
      <c r="F1571" s="391">
        <f>+F1569+F1570</f>
        <v>233701000</v>
      </c>
      <c r="G1571" s="391">
        <f t="shared" ref="G1571:M1571" si="578">+G1569+G1570</f>
        <v>224132000</v>
      </c>
      <c r="H1571" s="391">
        <f t="shared" si="578"/>
        <v>54326113.100000001</v>
      </c>
      <c r="I1571" s="391">
        <f t="shared" si="578"/>
        <v>512159113.10000002</v>
      </c>
      <c r="J1571" s="391">
        <f t="shared" si="578"/>
        <v>217281268.67000002</v>
      </c>
      <c r="K1571" s="391">
        <f t="shared" si="578"/>
        <v>165597353.96000001</v>
      </c>
      <c r="L1571" s="391">
        <f t="shared" si="578"/>
        <v>46068070.750000007</v>
      </c>
      <c r="M1571" s="391">
        <f t="shared" si="578"/>
        <v>428946693.38</v>
      </c>
      <c r="N1571" s="391">
        <f t="shared" si="565"/>
        <v>16419731.329999983</v>
      </c>
      <c r="O1571" s="391">
        <f t="shared" si="565"/>
        <v>58534646.039999992</v>
      </c>
      <c r="P1571" s="391">
        <f t="shared" si="565"/>
        <v>8258042.349999994</v>
      </c>
      <c r="Q1571" s="391">
        <f t="shared" si="566"/>
        <v>83212419.719999969</v>
      </c>
      <c r="R1571" s="101"/>
      <c r="S1571" s="254">
        <f t="shared" si="575"/>
        <v>0.9297404318766288</v>
      </c>
      <c r="T1571" s="254">
        <f t="shared" si="575"/>
        <v>0.73883851462531014</v>
      </c>
      <c r="U1571" s="254">
        <f t="shared" si="575"/>
        <v>0.84799129039842913</v>
      </c>
      <c r="V1571" s="254">
        <f t="shared" si="575"/>
        <v>0.83752623434476958</v>
      </c>
      <c r="W1571" s="254"/>
      <c r="Y1571" s="256" t="s">
        <v>598</v>
      </c>
      <c r="Z1571" s="256" t="s">
        <v>598</v>
      </c>
    </row>
    <row r="1572" spans="1:26" ht="11.25" hidden="1" customHeight="1">
      <c r="A1572" s="246" t="s">
        <v>258</v>
      </c>
      <c r="B1572" s="235" t="s">
        <v>252</v>
      </c>
      <c r="C1572" s="410"/>
      <c r="D1572" s="396"/>
      <c r="E1572" s="806" t="s">
        <v>764</v>
      </c>
      <c r="F1572" s="807"/>
      <c r="G1572" s="807"/>
      <c r="H1572" s="807"/>
      <c r="I1572" s="807"/>
      <c r="J1572" s="807"/>
      <c r="K1572" s="807"/>
      <c r="L1572" s="807"/>
      <c r="M1572" s="807"/>
      <c r="N1572" s="807">
        <f t="shared" si="565"/>
        <v>0</v>
      </c>
      <c r="O1572" s="807">
        <f t="shared" si="565"/>
        <v>0</v>
      </c>
      <c r="P1572" s="807">
        <f t="shared" si="565"/>
        <v>0</v>
      </c>
      <c r="Q1572" s="807">
        <f t="shared" si="566"/>
        <v>0</v>
      </c>
      <c r="R1572" s="276"/>
      <c r="S1572" s="730" t="str">
        <f t="shared" si="575"/>
        <v/>
      </c>
      <c r="T1572" s="730" t="str">
        <f t="shared" si="575"/>
        <v/>
      </c>
      <c r="U1572" s="730" t="str">
        <f t="shared" si="575"/>
        <v/>
      </c>
      <c r="V1572" s="730" t="str">
        <f t="shared" si="575"/>
        <v/>
      </c>
      <c r="W1572" s="254"/>
      <c r="X1572" s="236"/>
      <c r="Y1572" s="236"/>
      <c r="Z1572" s="236"/>
    </row>
    <row r="1573" spans="1:26" s="256" customFormat="1" ht="11.25" customHeight="1">
      <c r="A1573" s="246" t="s">
        <v>258</v>
      </c>
      <c r="B1573" s="246" t="s">
        <v>252</v>
      </c>
      <c r="C1573" s="389"/>
      <c r="D1573" s="389" t="s">
        <v>98</v>
      </c>
      <c r="E1573" s="390" t="s">
        <v>99</v>
      </c>
      <c r="F1573" s="391">
        <f>+F1574</f>
        <v>21119000</v>
      </c>
      <c r="G1573" s="391">
        <f t="shared" ref="G1573:M1573" si="579">+G1574</f>
        <v>0</v>
      </c>
      <c r="H1573" s="391">
        <f t="shared" si="579"/>
        <v>0</v>
      </c>
      <c r="I1573" s="391">
        <f t="shared" si="579"/>
        <v>21119000</v>
      </c>
      <c r="J1573" s="391">
        <f t="shared" si="579"/>
        <v>19384075.960000001</v>
      </c>
      <c r="K1573" s="391">
        <f t="shared" si="579"/>
        <v>0</v>
      </c>
      <c r="L1573" s="391">
        <f t="shared" si="579"/>
        <v>0</v>
      </c>
      <c r="M1573" s="391">
        <f t="shared" si="579"/>
        <v>19384075.960000001</v>
      </c>
      <c r="N1573" s="391">
        <f t="shared" si="565"/>
        <v>1734924.0399999991</v>
      </c>
      <c r="O1573" s="391">
        <f t="shared" si="565"/>
        <v>0</v>
      </c>
      <c r="P1573" s="391">
        <f t="shared" si="565"/>
        <v>0</v>
      </c>
      <c r="Q1573" s="391">
        <f t="shared" si="566"/>
        <v>1734924.0399999991</v>
      </c>
      <c r="R1573" s="101"/>
      <c r="S1573" s="254">
        <f t="shared" si="575"/>
        <v>0.91785008570481563</v>
      </c>
      <c r="T1573" s="254" t="str">
        <f t="shared" si="575"/>
        <v/>
      </c>
      <c r="U1573" s="254" t="str">
        <f t="shared" si="575"/>
        <v/>
      </c>
      <c r="V1573" s="254">
        <f t="shared" si="575"/>
        <v>0.91785008570481563</v>
      </c>
      <c r="W1573" s="254"/>
      <c r="Y1573" s="256" t="s">
        <v>598</v>
      </c>
      <c r="Z1573" s="256" t="s">
        <v>598</v>
      </c>
    </row>
    <row r="1574" spans="1:26" ht="11.25" customHeight="1">
      <c r="A1574" s="246" t="s">
        <v>258</v>
      </c>
      <c r="B1574" s="235" t="s">
        <v>252</v>
      </c>
      <c r="C1574" s="728"/>
      <c r="D1574" s="394" t="s">
        <v>286</v>
      </c>
      <c r="E1574" s="729" t="s">
        <v>286</v>
      </c>
      <c r="F1574" s="103">
        <f>SUM('[3]special hospitals2'!T14)</f>
        <v>21119000</v>
      </c>
      <c r="G1574" s="103">
        <f>SUM('[3]special hospitals2'!T50)</f>
        <v>0</v>
      </c>
      <c r="H1574" s="103">
        <f>SUM('[3]special hospitals2'!T142)</f>
        <v>0</v>
      </c>
      <c r="I1574" s="103">
        <f>SUM(F1574:H1574)</f>
        <v>21119000</v>
      </c>
      <c r="J1574" s="103">
        <f>SUM('[3]special hospitals2'!T15)</f>
        <v>19384075.960000001</v>
      </c>
      <c r="K1574" s="103">
        <f>SUM('[3]special hospitals2'!T51)</f>
        <v>0</v>
      </c>
      <c r="L1574" s="103">
        <f>SUM('[3]special hospitals2'!T143)</f>
        <v>0</v>
      </c>
      <c r="M1574" s="103">
        <f t="shared" si="577"/>
        <v>19384075.960000001</v>
      </c>
      <c r="N1574" s="103">
        <f t="shared" si="565"/>
        <v>1734924.0399999991</v>
      </c>
      <c r="O1574" s="103">
        <f t="shared" si="565"/>
        <v>0</v>
      </c>
      <c r="P1574" s="103">
        <f t="shared" si="565"/>
        <v>0</v>
      </c>
      <c r="Q1574" s="103">
        <f t="shared" si="566"/>
        <v>1734924.0399999991</v>
      </c>
      <c r="S1574" s="730">
        <f t="shared" si="575"/>
        <v>0.91785008570481563</v>
      </c>
      <c r="T1574" s="730" t="str">
        <f t="shared" si="575"/>
        <v/>
      </c>
      <c r="U1574" s="730" t="str">
        <f t="shared" si="575"/>
        <v/>
      </c>
      <c r="V1574" s="730">
        <f t="shared" si="575"/>
        <v>0.91785008570481563</v>
      </c>
      <c r="W1574" s="254"/>
      <c r="X1574" s="236"/>
      <c r="Y1574" s="236" t="s">
        <v>598</v>
      </c>
      <c r="Z1574" s="236"/>
    </row>
    <row r="1575" spans="1:26" s="272" customFormat="1" ht="11.25" customHeight="1">
      <c r="A1575" s="246" t="s">
        <v>258</v>
      </c>
      <c r="B1575" s="246" t="s">
        <v>252</v>
      </c>
      <c r="C1575" s="389"/>
      <c r="D1575" s="389" t="s">
        <v>98</v>
      </c>
      <c r="E1575" s="390" t="s">
        <v>100</v>
      </c>
      <c r="F1575" s="391">
        <f t="shared" ref="F1575:M1575" si="580">SUM(F1576:F1580)</f>
        <v>14448591</v>
      </c>
      <c r="G1575" s="391">
        <f t="shared" si="580"/>
        <v>5430000</v>
      </c>
      <c r="H1575" s="391">
        <f t="shared" si="580"/>
        <v>0</v>
      </c>
      <c r="I1575" s="391">
        <f t="shared" si="580"/>
        <v>19878591</v>
      </c>
      <c r="J1575" s="391">
        <f t="shared" si="580"/>
        <v>13508591</v>
      </c>
      <c r="K1575" s="391">
        <f t="shared" si="580"/>
        <v>2648810.34</v>
      </c>
      <c r="L1575" s="391">
        <f t="shared" si="580"/>
        <v>0</v>
      </c>
      <c r="M1575" s="391">
        <f t="shared" si="580"/>
        <v>16157401.34</v>
      </c>
      <c r="N1575" s="391">
        <f t="shared" si="565"/>
        <v>940000</v>
      </c>
      <c r="O1575" s="391">
        <f t="shared" si="565"/>
        <v>2781189.66</v>
      </c>
      <c r="P1575" s="391">
        <f t="shared" si="565"/>
        <v>0</v>
      </c>
      <c r="Q1575" s="391">
        <f t="shared" si="566"/>
        <v>3721189.66</v>
      </c>
      <c r="R1575" s="102"/>
      <c r="S1575" s="254">
        <f t="shared" si="575"/>
        <v>0.93494175314395711</v>
      </c>
      <c r="T1575" s="254">
        <f t="shared" si="575"/>
        <v>0.4878103756906077</v>
      </c>
      <c r="U1575" s="254" t="str">
        <f t="shared" si="575"/>
        <v/>
      </c>
      <c r="V1575" s="254">
        <f t="shared" si="575"/>
        <v>0.81280415397650663</v>
      </c>
      <c r="W1575" s="254"/>
      <c r="Y1575" s="272" t="s">
        <v>598</v>
      </c>
      <c r="Z1575" s="256" t="s">
        <v>598</v>
      </c>
    </row>
    <row r="1576" spans="1:26" ht="11.25" customHeight="1">
      <c r="A1576" s="246" t="s">
        <v>258</v>
      </c>
      <c r="B1576" s="235" t="s">
        <v>252</v>
      </c>
      <c r="C1576" s="728"/>
      <c r="D1576" s="394" t="s">
        <v>288</v>
      </c>
      <c r="E1576" s="729" t="s">
        <v>288</v>
      </c>
      <c r="F1576" s="103">
        <f>SUM('[3]special hospitals2'!AA14)</f>
        <v>0</v>
      </c>
      <c r="G1576" s="103">
        <f>SUM('[3]special hospitals2'!AA50)</f>
        <v>0</v>
      </c>
      <c r="H1576" s="103">
        <f>SUM('[3]special hospitals2'!AA142)</f>
        <v>0</v>
      </c>
      <c r="I1576" s="103">
        <f>SUM(F1576:H1576)</f>
        <v>0</v>
      </c>
      <c r="J1576" s="103">
        <f>SUM('[3]special hospitals2'!AA15)</f>
        <v>0</v>
      </c>
      <c r="K1576" s="103">
        <f>SUM('[3]special hospitals2'!AA51)</f>
        <v>0</v>
      </c>
      <c r="L1576" s="103">
        <f>SUM('[3]special hospitals2'!AA143)</f>
        <v>0</v>
      </c>
      <c r="M1576" s="103">
        <f t="shared" si="577"/>
        <v>0</v>
      </c>
      <c r="N1576" s="103">
        <f t="shared" si="565"/>
        <v>0</v>
      </c>
      <c r="O1576" s="103">
        <f t="shared" si="565"/>
        <v>0</v>
      </c>
      <c r="P1576" s="103">
        <f t="shared" si="565"/>
        <v>0</v>
      </c>
      <c r="Q1576" s="103">
        <f t="shared" si="566"/>
        <v>0</v>
      </c>
      <c r="S1576" s="730" t="str">
        <f t="shared" si="575"/>
        <v/>
      </c>
      <c r="T1576" s="730" t="str">
        <f t="shared" si="575"/>
        <v/>
      </c>
      <c r="U1576" s="730" t="str">
        <f t="shared" si="575"/>
        <v/>
      </c>
      <c r="V1576" s="730" t="str">
        <f t="shared" si="575"/>
        <v/>
      </c>
      <c r="W1576" s="254"/>
      <c r="X1576" s="236"/>
      <c r="Y1576" s="236" t="s">
        <v>598</v>
      </c>
      <c r="Z1576" s="236"/>
    </row>
    <row r="1577" spans="1:26" ht="11.25" customHeight="1">
      <c r="A1577" s="246" t="s">
        <v>258</v>
      </c>
      <c r="B1577" s="235" t="s">
        <v>252</v>
      </c>
      <c r="C1577" s="728"/>
      <c r="D1577" s="394" t="s">
        <v>761</v>
      </c>
      <c r="E1577" s="729" t="s">
        <v>761</v>
      </c>
      <c r="F1577" s="404">
        <f>+'[3]special hospitals2'!B403</f>
        <v>5685000</v>
      </c>
      <c r="G1577" s="404"/>
      <c r="H1577" s="404"/>
      <c r="I1577" s="103">
        <f>SUM(F1577:H1577)</f>
        <v>5685000</v>
      </c>
      <c r="J1577" s="404">
        <f>+'[3]special hospitals2'!F403</f>
        <v>4745000</v>
      </c>
      <c r="K1577" s="104"/>
      <c r="L1577" s="104"/>
      <c r="M1577" s="103">
        <f t="shared" si="577"/>
        <v>4745000</v>
      </c>
      <c r="N1577" s="103">
        <f>+F1577-J1577</f>
        <v>940000</v>
      </c>
      <c r="O1577" s="103">
        <f>+G1577-K1577</f>
        <v>0</v>
      </c>
      <c r="P1577" s="103">
        <f>+H1577-L1577</f>
        <v>0</v>
      </c>
      <c r="Q1577" s="103">
        <f>SUM(N1577:P1577)</f>
        <v>940000</v>
      </c>
      <c r="S1577" s="730">
        <f t="shared" si="575"/>
        <v>0.83465259454705365</v>
      </c>
      <c r="T1577" s="730" t="str">
        <f t="shared" si="575"/>
        <v/>
      </c>
      <c r="U1577" s="730" t="str">
        <f t="shared" si="575"/>
        <v/>
      </c>
      <c r="V1577" s="730">
        <f t="shared" si="575"/>
        <v>0.83465259454705365</v>
      </c>
      <c r="W1577" s="254"/>
      <c r="X1577" s="236"/>
      <c r="Y1577" s="236" t="s">
        <v>688</v>
      </c>
      <c r="Z1577" s="236"/>
    </row>
    <row r="1578" spans="1:26" ht="11.25" customHeight="1">
      <c r="A1578" s="246" t="s">
        <v>258</v>
      </c>
      <c r="B1578" s="235" t="s">
        <v>252</v>
      </c>
      <c r="C1578" s="410"/>
      <c r="D1578" s="386"/>
      <c r="E1578" s="461" t="s">
        <v>764</v>
      </c>
      <c r="F1578" s="104"/>
      <c r="G1578" s="104"/>
      <c r="H1578" s="104"/>
      <c r="I1578" s="103"/>
      <c r="J1578" s="104"/>
      <c r="K1578" s="104"/>
      <c r="L1578" s="104"/>
      <c r="M1578" s="103"/>
      <c r="N1578" s="103"/>
      <c r="O1578" s="103"/>
      <c r="P1578" s="103"/>
      <c r="Q1578" s="103"/>
      <c r="S1578" s="730" t="str">
        <f t="shared" si="575"/>
        <v/>
      </c>
      <c r="T1578" s="730" t="str">
        <f t="shared" si="575"/>
        <v/>
      </c>
      <c r="U1578" s="730" t="str">
        <f t="shared" si="575"/>
        <v/>
      </c>
      <c r="V1578" s="730" t="str">
        <f t="shared" si="575"/>
        <v/>
      </c>
      <c r="W1578" s="254"/>
      <c r="X1578" s="236"/>
      <c r="Y1578" s="236" t="s">
        <v>688</v>
      </c>
      <c r="Z1578" s="240"/>
    </row>
    <row r="1579" spans="1:26" ht="11.25" customHeight="1">
      <c r="A1579" s="246" t="s">
        <v>258</v>
      </c>
      <c r="B1579" s="235" t="s">
        <v>252</v>
      </c>
      <c r="C1579" s="728"/>
      <c r="D1579" s="394" t="s">
        <v>289</v>
      </c>
      <c r="E1579" s="729" t="s">
        <v>289</v>
      </c>
      <c r="F1579" s="103">
        <f>SUM('[3]special hospitals2'!AH14)</f>
        <v>8763591</v>
      </c>
      <c r="G1579" s="103">
        <f>SUM('[3]special hospitals2'!AH50)</f>
        <v>0</v>
      </c>
      <c r="H1579" s="103">
        <f>SUM('[3]special hospitals2'!AH142)</f>
        <v>0</v>
      </c>
      <c r="I1579" s="103">
        <f>SUM(F1579:H1579)</f>
        <v>8763591</v>
      </c>
      <c r="J1579" s="103">
        <f>SUM('[3]special hospitals2'!AH15)</f>
        <v>8763591</v>
      </c>
      <c r="K1579" s="103">
        <f>SUM('[3]special hospitals2'!AH51)</f>
        <v>0</v>
      </c>
      <c r="L1579" s="103">
        <f>SUM('[3]special hospitals2'!AH143)</f>
        <v>0</v>
      </c>
      <c r="M1579" s="103">
        <f t="shared" si="577"/>
        <v>8763591</v>
      </c>
      <c r="N1579" s="103">
        <f t="shared" si="565"/>
        <v>0</v>
      </c>
      <c r="O1579" s="103">
        <f t="shared" si="565"/>
        <v>0</v>
      </c>
      <c r="P1579" s="103">
        <f t="shared" si="565"/>
        <v>0</v>
      </c>
      <c r="Q1579" s="103">
        <f t="shared" si="566"/>
        <v>0</v>
      </c>
      <c r="S1579" s="730">
        <f t="shared" si="575"/>
        <v>1</v>
      </c>
      <c r="T1579" s="730" t="str">
        <f t="shared" si="575"/>
        <v/>
      </c>
      <c r="U1579" s="730" t="str">
        <f t="shared" si="575"/>
        <v/>
      </c>
      <c r="V1579" s="730">
        <f t="shared" si="575"/>
        <v>1</v>
      </c>
      <c r="W1579" s="254"/>
      <c r="X1579" s="236"/>
      <c r="Y1579" s="236" t="s">
        <v>598</v>
      </c>
      <c r="Z1579" s="236"/>
    </row>
    <row r="1580" spans="1:26" ht="11.25" customHeight="1">
      <c r="A1580" s="246" t="s">
        <v>258</v>
      </c>
      <c r="B1580" s="235" t="s">
        <v>252</v>
      </c>
      <c r="C1580" s="728"/>
      <c r="D1580" s="394" t="s">
        <v>290</v>
      </c>
      <c r="E1580" s="729" t="s">
        <v>290</v>
      </c>
      <c r="F1580" s="103">
        <f>SUM('[3]special hospitals2'!AO14)</f>
        <v>0</v>
      </c>
      <c r="G1580" s="103">
        <f>SUM('[3]special hospitals2'!AO50)</f>
        <v>5430000</v>
      </c>
      <c r="H1580" s="103">
        <f>SUM('[3]special hospitals2'!AO142)</f>
        <v>0</v>
      </c>
      <c r="I1580" s="103">
        <f>SUM(F1580:H1580)</f>
        <v>5430000</v>
      </c>
      <c r="J1580" s="103">
        <f>SUM('[3]special hospitals2'!AO15)</f>
        <v>0</v>
      </c>
      <c r="K1580" s="103">
        <f>SUM('[3]special hospitals2'!AO51)</f>
        <v>2648810.34</v>
      </c>
      <c r="L1580" s="103">
        <f>SUM('[3]special hospitals2'!AO143)</f>
        <v>0</v>
      </c>
      <c r="M1580" s="103">
        <f t="shared" si="577"/>
        <v>2648810.34</v>
      </c>
      <c r="N1580" s="103">
        <f t="shared" si="565"/>
        <v>0</v>
      </c>
      <c r="O1580" s="103">
        <f t="shared" si="565"/>
        <v>2781189.66</v>
      </c>
      <c r="P1580" s="103">
        <f t="shared" si="565"/>
        <v>0</v>
      </c>
      <c r="Q1580" s="103">
        <f t="shared" si="566"/>
        <v>2781189.66</v>
      </c>
      <c r="S1580" s="730" t="str">
        <f t="shared" si="575"/>
        <v/>
      </c>
      <c r="T1580" s="730">
        <f t="shared" si="575"/>
        <v>0.4878103756906077</v>
      </c>
      <c r="U1580" s="730" t="str">
        <f t="shared" si="575"/>
        <v/>
      </c>
      <c r="V1580" s="730">
        <f t="shared" si="575"/>
        <v>0.4878103756906077</v>
      </c>
      <c r="W1580" s="254"/>
      <c r="X1580" s="236"/>
      <c r="Y1580" s="236" t="s">
        <v>598</v>
      </c>
      <c r="Z1580" s="236"/>
    </row>
    <row r="1581" spans="1:26" s="259" customFormat="1" ht="11.25" customHeight="1">
      <c r="A1581" s="246" t="s">
        <v>258</v>
      </c>
      <c r="B1581" s="235" t="s">
        <v>252</v>
      </c>
      <c r="C1581" s="656"/>
      <c r="D1581" s="656"/>
      <c r="E1581" s="657" t="s">
        <v>4</v>
      </c>
      <c r="F1581" s="652">
        <f>+F1571+F1573+F1575</f>
        <v>269268591</v>
      </c>
      <c r="G1581" s="652">
        <f t="shared" ref="G1581:M1581" si="581">+G1571+G1573+G1575</f>
        <v>229562000</v>
      </c>
      <c r="H1581" s="652">
        <f t="shared" si="581"/>
        <v>54326113.100000001</v>
      </c>
      <c r="I1581" s="652">
        <f t="shared" si="581"/>
        <v>553156704.10000002</v>
      </c>
      <c r="J1581" s="652">
        <f t="shared" si="581"/>
        <v>250173935.63000003</v>
      </c>
      <c r="K1581" s="652">
        <f t="shared" si="581"/>
        <v>168246164.30000001</v>
      </c>
      <c r="L1581" s="652">
        <f t="shared" si="581"/>
        <v>46068070.750000007</v>
      </c>
      <c r="M1581" s="652">
        <f t="shared" si="581"/>
        <v>464488170.67999995</v>
      </c>
      <c r="N1581" s="652">
        <f t="shared" si="565"/>
        <v>19094655.369999975</v>
      </c>
      <c r="O1581" s="652">
        <f t="shared" si="565"/>
        <v>61315835.699999988</v>
      </c>
      <c r="P1581" s="652">
        <f t="shared" si="565"/>
        <v>8258042.349999994</v>
      </c>
      <c r="Q1581" s="652">
        <f t="shared" si="566"/>
        <v>88668533.419999957</v>
      </c>
      <c r="R1581" s="653">
        <f>+Q1581-'[3]special hospitals2'!BU179</f>
        <v>0</v>
      </c>
      <c r="S1581" s="1008">
        <f t="shared" si="575"/>
        <v>0.92908695626516657</v>
      </c>
      <c r="T1581" s="1008">
        <f t="shared" si="575"/>
        <v>0.73290076014322936</v>
      </c>
      <c r="U1581" s="1008">
        <f t="shared" si="575"/>
        <v>0.84799129039842913</v>
      </c>
      <c r="V1581" s="1008">
        <f t="shared" si="575"/>
        <v>0.83970449465262109</v>
      </c>
      <c r="W1581" s="254"/>
      <c r="X1581" s="520"/>
      <c r="Y1581" s="610" t="s">
        <v>598</v>
      </c>
      <c r="Z1581" s="241" t="s">
        <v>598</v>
      </c>
    </row>
    <row r="1582" spans="1:26" ht="11.25" customHeight="1">
      <c r="A1582" s="246" t="s">
        <v>258</v>
      </c>
      <c r="B1582" s="235" t="s">
        <v>252</v>
      </c>
      <c r="C1582" s="410"/>
      <c r="D1582" s="386"/>
      <c r="E1582" s="461" t="s">
        <v>764</v>
      </c>
      <c r="F1582" s="103"/>
      <c r="G1582" s="103"/>
      <c r="H1582" s="103"/>
      <c r="I1582" s="103">
        <f>SUM(F1582:H1582)</f>
        <v>0</v>
      </c>
      <c r="J1582" s="103"/>
      <c r="K1582" s="103"/>
      <c r="L1582" s="103"/>
      <c r="M1582" s="103">
        <f t="shared" si="577"/>
        <v>0</v>
      </c>
      <c r="N1582" s="103">
        <f t="shared" si="565"/>
        <v>0</v>
      </c>
      <c r="O1582" s="103">
        <f t="shared" si="565"/>
        <v>0</v>
      </c>
      <c r="P1582" s="103">
        <f t="shared" si="565"/>
        <v>0</v>
      </c>
      <c r="Q1582" s="103">
        <f t="shared" si="566"/>
        <v>0</v>
      </c>
      <c r="S1582" s="730" t="str">
        <f t="shared" si="575"/>
        <v/>
      </c>
      <c r="T1582" s="730" t="str">
        <f t="shared" si="575"/>
        <v/>
      </c>
      <c r="U1582" s="730" t="str">
        <f t="shared" si="575"/>
        <v/>
      </c>
      <c r="V1582" s="730" t="str">
        <f t="shared" si="575"/>
        <v/>
      </c>
      <c r="W1582" s="254"/>
      <c r="Y1582" s="610" t="s">
        <v>598</v>
      </c>
      <c r="Z1582" s="241" t="s">
        <v>598</v>
      </c>
    </row>
    <row r="1583" spans="1:26" s="675" customFormat="1" ht="11.25" customHeight="1">
      <c r="A1583" s="528" t="s">
        <v>258</v>
      </c>
      <c r="B1583" s="528" t="s">
        <v>254</v>
      </c>
      <c r="C1583" s="407" t="s">
        <v>98</v>
      </c>
      <c r="D1583" s="655" t="s">
        <v>255</v>
      </c>
      <c r="E1583" s="408" t="s">
        <v>857</v>
      </c>
      <c r="F1583" s="673"/>
      <c r="G1583" s="673"/>
      <c r="H1583" s="673"/>
      <c r="I1583" s="674">
        <f>SUM(F1583:H1583)</f>
        <v>0</v>
      </c>
      <c r="J1583" s="673"/>
      <c r="K1583" s="673"/>
      <c r="L1583" s="673"/>
      <c r="M1583" s="674">
        <f t="shared" si="577"/>
        <v>0</v>
      </c>
      <c r="N1583" s="674">
        <f t="shared" si="565"/>
        <v>0</v>
      </c>
      <c r="O1583" s="674">
        <f t="shared" si="565"/>
        <v>0</v>
      </c>
      <c r="P1583" s="674">
        <f t="shared" si="565"/>
        <v>0</v>
      </c>
      <c r="Q1583" s="674">
        <f t="shared" si="566"/>
        <v>0</v>
      </c>
      <c r="R1583" s="101"/>
      <c r="S1583" s="254" t="str">
        <f t="shared" si="575"/>
        <v/>
      </c>
      <c r="T1583" s="254" t="str">
        <f t="shared" si="575"/>
        <v/>
      </c>
      <c r="U1583" s="254" t="str">
        <f t="shared" si="575"/>
        <v/>
      </c>
      <c r="V1583" s="254" t="str">
        <f t="shared" si="575"/>
        <v/>
      </c>
      <c r="W1583" s="531"/>
      <c r="Y1583" s="272" t="s">
        <v>598</v>
      </c>
      <c r="Z1583" s="260" t="s">
        <v>598</v>
      </c>
    </row>
    <row r="1584" spans="1:26" ht="11.25" customHeight="1">
      <c r="A1584" s="528" t="s">
        <v>258</v>
      </c>
      <c r="B1584" s="1013" t="s">
        <v>254</v>
      </c>
      <c r="C1584" s="461"/>
      <c r="D1584" s="645" t="s">
        <v>766</v>
      </c>
      <c r="E1584" s="447" t="s">
        <v>766</v>
      </c>
      <c r="F1584" s="104">
        <f>+'[3]special hospitals2'!B407</f>
        <v>143539000</v>
      </c>
      <c r="G1584" s="104">
        <f>+'[3]special hospitals2'!C407</f>
        <v>97120000</v>
      </c>
      <c r="H1584" s="104">
        <f>+'[3]special hospitals2'!D407</f>
        <v>0</v>
      </c>
      <c r="I1584" s="103">
        <f>SUM(F1584:H1584)</f>
        <v>240659000</v>
      </c>
      <c r="J1584" s="104">
        <f>+'[3]special hospitals2'!F407</f>
        <v>132906356.50999999</v>
      </c>
      <c r="K1584" s="104">
        <f>+'[3]special hospitals2'!G407</f>
        <v>91446356.310000002</v>
      </c>
      <c r="L1584" s="104">
        <f>+'[3]special hospitals2'!H407</f>
        <v>0</v>
      </c>
      <c r="M1584" s="103">
        <f t="shared" si="577"/>
        <v>224352712.81999999</v>
      </c>
      <c r="N1584" s="103">
        <f t="shared" si="565"/>
        <v>10632643.49000001</v>
      </c>
      <c r="O1584" s="103">
        <f t="shared" si="565"/>
        <v>5673643.6899999976</v>
      </c>
      <c r="P1584" s="103">
        <f t="shared" si="565"/>
        <v>0</v>
      </c>
      <c r="Q1584" s="103">
        <f t="shared" si="566"/>
        <v>16306287.180000007</v>
      </c>
      <c r="S1584" s="730">
        <f t="shared" si="575"/>
        <v>0.92592505528114299</v>
      </c>
      <c r="T1584" s="730">
        <f t="shared" si="575"/>
        <v>0.94158109874382212</v>
      </c>
      <c r="U1584" s="730" t="str">
        <f t="shared" si="575"/>
        <v/>
      </c>
      <c r="V1584" s="730">
        <f t="shared" si="575"/>
        <v>0.93224318566934949</v>
      </c>
      <c r="W1584" s="531"/>
      <c r="X1584" s="236"/>
      <c r="Y1584" s="236" t="s">
        <v>688</v>
      </c>
      <c r="Z1584" s="236"/>
    </row>
    <row r="1585" spans="1:26" ht="11.25" customHeight="1">
      <c r="A1585" s="528" t="s">
        <v>258</v>
      </c>
      <c r="B1585" s="1013" t="s">
        <v>254</v>
      </c>
      <c r="C1585" s="728"/>
      <c r="D1585" s="649" t="s">
        <v>50</v>
      </c>
      <c r="E1585" s="447" t="s">
        <v>50</v>
      </c>
      <c r="F1585" s="104"/>
      <c r="G1585" s="104">
        <f>+'[3]special hospitals2'!C409</f>
        <v>153982750</v>
      </c>
      <c r="H1585" s="104">
        <f>+'[3]special hospitals2'!D409</f>
        <v>470975000</v>
      </c>
      <c r="I1585" s="103">
        <f>SUM(F1585:H1585)</f>
        <v>624957750</v>
      </c>
      <c r="J1585" s="104"/>
      <c r="K1585" s="104">
        <f>+'[3]special hospitals2'!G409</f>
        <v>93990625.400000021</v>
      </c>
      <c r="L1585" s="104">
        <f>+'[3]special hospitals2'!H409</f>
        <v>3842397.88</v>
      </c>
      <c r="M1585" s="103">
        <f>SUM(J1585:L1585)</f>
        <v>97833023.280000016</v>
      </c>
      <c r="N1585" s="103">
        <f t="shared" si="565"/>
        <v>0</v>
      </c>
      <c r="O1585" s="103">
        <f t="shared" si="565"/>
        <v>59992124.599999979</v>
      </c>
      <c r="P1585" s="103">
        <f t="shared" si="565"/>
        <v>467132602.12</v>
      </c>
      <c r="Q1585" s="103">
        <f t="shared" si="566"/>
        <v>527124726.71999997</v>
      </c>
      <c r="S1585" s="730" t="str">
        <f t="shared" si="575"/>
        <v/>
      </c>
      <c r="T1585" s="730">
        <f t="shared" si="575"/>
        <v>0.61039710876705355</v>
      </c>
      <c r="U1585" s="730">
        <f t="shared" si="575"/>
        <v>8.1583903179574292E-3</v>
      </c>
      <c r="V1585" s="730">
        <f t="shared" si="575"/>
        <v>0.15654341958316384</v>
      </c>
      <c r="W1585" s="531"/>
      <c r="X1585" s="236"/>
      <c r="Y1585" s="236" t="s">
        <v>688</v>
      </c>
      <c r="Z1585" s="236"/>
    </row>
    <row r="1586" spans="1:26" s="256" customFormat="1" ht="11.25" customHeight="1">
      <c r="A1586" s="528" t="s">
        <v>258</v>
      </c>
      <c r="B1586" s="528" t="s">
        <v>254</v>
      </c>
      <c r="C1586" s="389"/>
      <c r="D1586" s="650" t="s">
        <v>98</v>
      </c>
      <c r="E1586" s="390" t="s">
        <v>767</v>
      </c>
      <c r="F1586" s="391">
        <f>+F1584+F1585</f>
        <v>143539000</v>
      </c>
      <c r="G1586" s="391">
        <f t="shared" ref="G1586:M1586" si="582">+G1584+G1585</f>
        <v>251102750</v>
      </c>
      <c r="H1586" s="391">
        <f t="shared" si="582"/>
        <v>470975000</v>
      </c>
      <c r="I1586" s="391">
        <f t="shared" si="582"/>
        <v>865616750</v>
      </c>
      <c r="J1586" s="391">
        <f t="shared" si="582"/>
        <v>132906356.50999999</v>
      </c>
      <c r="K1586" s="391">
        <f t="shared" si="582"/>
        <v>185436981.71000004</v>
      </c>
      <c r="L1586" s="391">
        <f t="shared" si="582"/>
        <v>3842397.88</v>
      </c>
      <c r="M1586" s="391">
        <f t="shared" si="582"/>
        <v>322185736.10000002</v>
      </c>
      <c r="N1586" s="391">
        <f t="shared" si="565"/>
        <v>10632643.49000001</v>
      </c>
      <c r="O1586" s="391">
        <f t="shared" si="565"/>
        <v>65665768.289999962</v>
      </c>
      <c r="P1586" s="391">
        <f t="shared" si="565"/>
        <v>467132602.12</v>
      </c>
      <c r="Q1586" s="391">
        <f t="shared" si="566"/>
        <v>543431013.89999998</v>
      </c>
      <c r="R1586" s="101"/>
      <c r="S1586" s="254">
        <f t="shared" si="575"/>
        <v>0.92592505528114299</v>
      </c>
      <c r="T1586" s="254">
        <f t="shared" si="575"/>
        <v>0.73849044548496601</v>
      </c>
      <c r="U1586" s="254">
        <f t="shared" si="575"/>
        <v>8.1583903179574292E-3</v>
      </c>
      <c r="V1586" s="254">
        <f t="shared" si="575"/>
        <v>0.37220367570290203</v>
      </c>
      <c r="W1586" s="531"/>
      <c r="Y1586" s="256" t="s">
        <v>598</v>
      </c>
      <c r="Z1586" s="256" t="s">
        <v>598</v>
      </c>
    </row>
    <row r="1587" spans="1:26" ht="11.25" hidden="1" customHeight="1">
      <c r="A1587" s="528" t="s">
        <v>258</v>
      </c>
      <c r="B1587" s="1013" t="s">
        <v>254</v>
      </c>
      <c r="C1587" s="410"/>
      <c r="D1587" s="651"/>
      <c r="E1587" s="806" t="s">
        <v>764</v>
      </c>
      <c r="F1587" s="807"/>
      <c r="G1587" s="807"/>
      <c r="H1587" s="807"/>
      <c r="I1587" s="807"/>
      <c r="J1587" s="807"/>
      <c r="K1587" s="807"/>
      <c r="L1587" s="807"/>
      <c r="M1587" s="807"/>
      <c r="N1587" s="807">
        <f t="shared" si="565"/>
        <v>0</v>
      </c>
      <c r="O1587" s="807">
        <f t="shared" si="565"/>
        <v>0</v>
      </c>
      <c r="P1587" s="807">
        <f t="shared" si="565"/>
        <v>0</v>
      </c>
      <c r="Q1587" s="807">
        <f t="shared" si="566"/>
        <v>0</v>
      </c>
      <c r="R1587" s="276"/>
      <c r="S1587" s="730" t="str">
        <f t="shared" si="575"/>
        <v/>
      </c>
      <c r="T1587" s="730" t="str">
        <f t="shared" si="575"/>
        <v/>
      </c>
      <c r="U1587" s="730" t="str">
        <f t="shared" si="575"/>
        <v/>
      </c>
      <c r="V1587" s="730" t="str">
        <f t="shared" si="575"/>
        <v/>
      </c>
      <c r="W1587" s="531"/>
      <c r="X1587" s="236"/>
      <c r="Y1587" s="236"/>
      <c r="Z1587" s="236"/>
    </row>
    <row r="1588" spans="1:26" s="256" customFormat="1" ht="11.25" customHeight="1">
      <c r="A1588" s="528" t="s">
        <v>258</v>
      </c>
      <c r="B1588" s="528" t="s">
        <v>254</v>
      </c>
      <c r="C1588" s="389"/>
      <c r="D1588" s="650" t="s">
        <v>98</v>
      </c>
      <c r="E1588" s="390" t="s">
        <v>99</v>
      </c>
      <c r="F1588" s="391">
        <f>+F1589</f>
        <v>13244000</v>
      </c>
      <c r="G1588" s="391">
        <f t="shared" ref="G1588:M1588" si="583">+G1589</f>
        <v>0</v>
      </c>
      <c r="H1588" s="391">
        <f t="shared" si="583"/>
        <v>0</v>
      </c>
      <c r="I1588" s="391">
        <f t="shared" si="583"/>
        <v>13244000</v>
      </c>
      <c r="J1588" s="391">
        <f t="shared" si="583"/>
        <v>11705948.119999999</v>
      </c>
      <c r="K1588" s="391">
        <f t="shared" si="583"/>
        <v>0</v>
      </c>
      <c r="L1588" s="391">
        <f t="shared" si="583"/>
        <v>0</v>
      </c>
      <c r="M1588" s="391">
        <f t="shared" si="583"/>
        <v>11705948.119999999</v>
      </c>
      <c r="N1588" s="391">
        <f t="shared" si="565"/>
        <v>1538051.8800000008</v>
      </c>
      <c r="O1588" s="391">
        <f t="shared" si="565"/>
        <v>0</v>
      </c>
      <c r="P1588" s="391">
        <f t="shared" si="565"/>
        <v>0</v>
      </c>
      <c r="Q1588" s="391">
        <f t="shared" si="566"/>
        <v>1538051.8800000008</v>
      </c>
      <c r="R1588" s="101"/>
      <c r="S1588" s="254">
        <f t="shared" si="575"/>
        <v>0.88386802476593163</v>
      </c>
      <c r="T1588" s="254" t="str">
        <f t="shared" si="575"/>
        <v/>
      </c>
      <c r="U1588" s="254" t="str">
        <f t="shared" si="575"/>
        <v/>
      </c>
      <c r="V1588" s="254">
        <f t="shared" si="575"/>
        <v>0.88386802476593163</v>
      </c>
      <c r="W1588" s="531"/>
      <c r="Y1588" s="256" t="s">
        <v>598</v>
      </c>
      <c r="Z1588" s="256" t="s">
        <v>598</v>
      </c>
    </row>
    <row r="1589" spans="1:26" ht="11.25" customHeight="1">
      <c r="A1589" s="528" t="s">
        <v>258</v>
      </c>
      <c r="B1589" s="1013" t="s">
        <v>254</v>
      </c>
      <c r="C1589" s="728"/>
      <c r="D1589" s="649" t="s">
        <v>286</v>
      </c>
      <c r="E1589" s="729" t="s">
        <v>286</v>
      </c>
      <c r="F1589" s="103">
        <f>SUM('[3]special hospitals2'!U14)</f>
        <v>13244000</v>
      </c>
      <c r="G1589" s="103">
        <f>SUM('[3]special hospitals2'!U50)</f>
        <v>0</v>
      </c>
      <c r="H1589" s="103">
        <f>SUM('[3]special hospitals2'!U142)</f>
        <v>0</v>
      </c>
      <c r="I1589" s="103">
        <f>SUM(F1589:H1589)</f>
        <v>13244000</v>
      </c>
      <c r="J1589" s="103">
        <f>SUM('[3]special hospitals2'!U15)</f>
        <v>11705948.119999999</v>
      </c>
      <c r="K1589" s="103">
        <f>SUM('[3]special hospitals2'!U51)</f>
        <v>0</v>
      </c>
      <c r="L1589" s="103">
        <f>SUM('[3]special hospitals2'!U143)</f>
        <v>0</v>
      </c>
      <c r="M1589" s="103">
        <f t="shared" si="577"/>
        <v>11705948.119999999</v>
      </c>
      <c r="N1589" s="103">
        <f t="shared" si="565"/>
        <v>1538051.8800000008</v>
      </c>
      <c r="O1589" s="103">
        <f t="shared" si="565"/>
        <v>0</v>
      </c>
      <c r="P1589" s="103">
        <f t="shared" si="565"/>
        <v>0</v>
      </c>
      <c r="Q1589" s="103">
        <f t="shared" si="566"/>
        <v>1538051.8800000008</v>
      </c>
      <c r="S1589" s="730">
        <f t="shared" si="575"/>
        <v>0.88386802476593163</v>
      </c>
      <c r="T1589" s="730" t="str">
        <f t="shared" si="575"/>
        <v/>
      </c>
      <c r="U1589" s="730" t="str">
        <f t="shared" si="575"/>
        <v/>
      </c>
      <c r="V1589" s="730">
        <f t="shared" si="575"/>
        <v>0.88386802476593163</v>
      </c>
      <c r="W1589" s="531"/>
      <c r="X1589" s="236"/>
      <c r="Y1589" s="236" t="s">
        <v>598</v>
      </c>
      <c r="Z1589" s="236"/>
    </row>
    <row r="1590" spans="1:26" s="272" customFormat="1" ht="11.25" customHeight="1">
      <c r="A1590" s="528" t="s">
        <v>258</v>
      </c>
      <c r="B1590" s="528" t="s">
        <v>254</v>
      </c>
      <c r="C1590" s="389"/>
      <c r="D1590" s="650" t="s">
        <v>98</v>
      </c>
      <c r="E1590" s="390" t="s">
        <v>100</v>
      </c>
      <c r="F1590" s="391">
        <f t="shared" ref="F1590:M1590" si="584">SUM(F1591:F1595)</f>
        <v>7033085</v>
      </c>
      <c r="G1590" s="391">
        <f t="shared" si="584"/>
        <v>2400000</v>
      </c>
      <c r="H1590" s="391">
        <f t="shared" si="584"/>
        <v>0</v>
      </c>
      <c r="I1590" s="391">
        <f t="shared" si="584"/>
        <v>9433085</v>
      </c>
      <c r="J1590" s="391">
        <f t="shared" si="584"/>
        <v>7033011.3799999999</v>
      </c>
      <c r="K1590" s="391">
        <f t="shared" si="584"/>
        <v>2196465.6</v>
      </c>
      <c r="L1590" s="391">
        <f t="shared" si="584"/>
        <v>0</v>
      </c>
      <c r="M1590" s="391">
        <f t="shared" si="584"/>
        <v>9229476.9800000004</v>
      </c>
      <c r="N1590" s="391">
        <f t="shared" si="565"/>
        <v>73.620000000111759</v>
      </c>
      <c r="O1590" s="391">
        <f t="shared" si="565"/>
        <v>203534.39999999991</v>
      </c>
      <c r="P1590" s="391">
        <f t="shared" si="565"/>
        <v>0</v>
      </c>
      <c r="Q1590" s="391">
        <f t="shared" si="566"/>
        <v>203608.02000000002</v>
      </c>
      <c r="R1590" s="102"/>
      <c r="S1590" s="254">
        <f t="shared" si="575"/>
        <v>0.99998953233182875</v>
      </c>
      <c r="T1590" s="254">
        <f t="shared" si="575"/>
        <v>0.91519400000000006</v>
      </c>
      <c r="U1590" s="254" t="str">
        <f t="shared" si="575"/>
        <v/>
      </c>
      <c r="V1590" s="254">
        <f t="shared" si="575"/>
        <v>0.97841554274131959</v>
      </c>
      <c r="W1590" s="531"/>
      <c r="Y1590" s="272" t="s">
        <v>598</v>
      </c>
      <c r="Z1590" s="256" t="s">
        <v>598</v>
      </c>
    </row>
    <row r="1591" spans="1:26" ht="11.25" customHeight="1">
      <c r="A1591" s="528" t="s">
        <v>258</v>
      </c>
      <c r="B1591" s="1013" t="s">
        <v>254</v>
      </c>
      <c r="C1591" s="728"/>
      <c r="D1591" s="649" t="s">
        <v>288</v>
      </c>
      <c r="E1591" s="729" t="s">
        <v>288</v>
      </c>
      <c r="F1591" s="103">
        <f>SUM('[3]special hospitals2'!AB14)</f>
        <v>0</v>
      </c>
      <c r="G1591" s="103">
        <f>SUM('[3]special hospitals2'!AB50)</f>
        <v>0</v>
      </c>
      <c r="H1591" s="103">
        <f>SUM('[3]special hospitals2'!AB142)</f>
        <v>0</v>
      </c>
      <c r="I1591" s="103">
        <f>SUM(F1591:H1591)</f>
        <v>0</v>
      </c>
      <c r="J1591" s="103">
        <f>SUM('[3]special hospitals2'!AB15)</f>
        <v>0</v>
      </c>
      <c r="K1591" s="103">
        <f>SUM('[3]special hospitals2'!AB51)</f>
        <v>0</v>
      </c>
      <c r="L1591" s="103">
        <f>SUM('[3]special hospitals2'!AB143)</f>
        <v>0</v>
      </c>
      <c r="M1591" s="103">
        <f t="shared" si="577"/>
        <v>0</v>
      </c>
      <c r="N1591" s="103">
        <f t="shared" si="565"/>
        <v>0</v>
      </c>
      <c r="O1591" s="103">
        <f t="shared" si="565"/>
        <v>0</v>
      </c>
      <c r="P1591" s="103">
        <f t="shared" si="565"/>
        <v>0</v>
      </c>
      <c r="Q1591" s="103">
        <f t="shared" si="566"/>
        <v>0</v>
      </c>
      <c r="S1591" s="730" t="str">
        <f t="shared" si="575"/>
        <v/>
      </c>
      <c r="T1591" s="730" t="str">
        <f t="shared" si="575"/>
        <v/>
      </c>
      <c r="U1591" s="730" t="str">
        <f t="shared" si="575"/>
        <v/>
      </c>
      <c r="V1591" s="730" t="str">
        <f t="shared" si="575"/>
        <v/>
      </c>
      <c r="W1591" s="531"/>
      <c r="X1591" s="236"/>
      <c r="Y1591" s="236" t="s">
        <v>598</v>
      </c>
      <c r="Z1591" s="236"/>
    </row>
    <row r="1592" spans="1:26" ht="11.25" customHeight="1">
      <c r="A1592" s="528" t="s">
        <v>258</v>
      </c>
      <c r="B1592" s="1013" t="s">
        <v>254</v>
      </c>
      <c r="C1592" s="728"/>
      <c r="D1592" s="649" t="s">
        <v>761</v>
      </c>
      <c r="E1592" s="729" t="s">
        <v>761</v>
      </c>
      <c r="F1592" s="404">
        <f>+'[3]special hospitals2'!B409</f>
        <v>2990000</v>
      </c>
      <c r="G1592" s="404"/>
      <c r="H1592" s="404"/>
      <c r="I1592" s="103">
        <f>SUM(F1592:H1592)</f>
        <v>2990000</v>
      </c>
      <c r="J1592" s="404">
        <f>+'[3]special hospitals2'!F409</f>
        <v>2989928</v>
      </c>
      <c r="K1592" s="104"/>
      <c r="L1592" s="104"/>
      <c r="M1592" s="103">
        <f>SUM(J1592:L1592)</f>
        <v>2989928</v>
      </c>
      <c r="N1592" s="103">
        <f t="shared" si="565"/>
        <v>72</v>
      </c>
      <c r="O1592" s="103">
        <f t="shared" si="565"/>
        <v>0</v>
      </c>
      <c r="P1592" s="103">
        <f t="shared" si="565"/>
        <v>0</v>
      </c>
      <c r="Q1592" s="103">
        <f>SUM(N1592:P1592)</f>
        <v>72</v>
      </c>
      <c r="S1592" s="730">
        <f t="shared" si="575"/>
        <v>0.99997591973244149</v>
      </c>
      <c r="T1592" s="730" t="str">
        <f t="shared" si="575"/>
        <v/>
      </c>
      <c r="U1592" s="730" t="str">
        <f t="shared" si="575"/>
        <v/>
      </c>
      <c r="V1592" s="730">
        <f t="shared" si="575"/>
        <v>0.99997591973244149</v>
      </c>
      <c r="W1592" s="531"/>
      <c r="X1592" s="236"/>
      <c r="Y1592" s="236" t="s">
        <v>688</v>
      </c>
      <c r="Z1592" s="236"/>
    </row>
    <row r="1593" spans="1:26" ht="11.25" customHeight="1">
      <c r="A1593" s="528" t="s">
        <v>258</v>
      </c>
      <c r="B1593" s="1013" t="s">
        <v>254</v>
      </c>
      <c r="C1593" s="410"/>
      <c r="D1593" s="647"/>
      <c r="E1593" s="461" t="s">
        <v>764</v>
      </c>
      <c r="F1593" s="104"/>
      <c r="G1593" s="104"/>
      <c r="H1593" s="104"/>
      <c r="I1593" s="103"/>
      <c r="J1593" s="104"/>
      <c r="K1593" s="104"/>
      <c r="L1593" s="104"/>
      <c r="M1593" s="103"/>
      <c r="N1593" s="103"/>
      <c r="O1593" s="103"/>
      <c r="P1593" s="103"/>
      <c r="Q1593" s="103"/>
      <c r="S1593" s="730" t="str">
        <f t="shared" si="575"/>
        <v/>
      </c>
      <c r="T1593" s="730" t="str">
        <f t="shared" si="575"/>
        <v/>
      </c>
      <c r="U1593" s="730" t="str">
        <f t="shared" si="575"/>
        <v/>
      </c>
      <c r="V1593" s="730" t="str">
        <f t="shared" si="575"/>
        <v/>
      </c>
      <c r="W1593" s="531"/>
      <c r="X1593" s="236"/>
      <c r="Y1593" s="236" t="s">
        <v>688</v>
      </c>
      <c r="Z1593" s="240"/>
    </row>
    <row r="1594" spans="1:26" ht="11.25" customHeight="1">
      <c r="A1594" s="528" t="s">
        <v>258</v>
      </c>
      <c r="B1594" s="1013" t="s">
        <v>254</v>
      </c>
      <c r="C1594" s="728"/>
      <c r="D1594" s="649" t="s">
        <v>289</v>
      </c>
      <c r="E1594" s="729" t="s">
        <v>289</v>
      </c>
      <c r="F1594" s="103">
        <f>SUM('[3]special hospitals2'!AI14)</f>
        <v>4043085</v>
      </c>
      <c r="G1594" s="103">
        <f>SUM('[3]special hospitals2'!AI50)</f>
        <v>0</v>
      </c>
      <c r="H1594" s="103">
        <f>SUM('[3]special hospitals2'!AI142)</f>
        <v>0</v>
      </c>
      <c r="I1594" s="103">
        <f>SUM(F1594:H1594)</f>
        <v>4043085</v>
      </c>
      <c r="J1594" s="103">
        <f>SUM('[3]special hospitals2'!AI15)</f>
        <v>4043083.38</v>
      </c>
      <c r="K1594" s="103">
        <f>SUM('[3]special hospitals2'!AI51)</f>
        <v>0</v>
      </c>
      <c r="L1594" s="103">
        <f>SUM('[3]special hospitals2'!AI143)</f>
        <v>0</v>
      </c>
      <c r="M1594" s="103">
        <f t="shared" si="577"/>
        <v>4043083.38</v>
      </c>
      <c r="N1594" s="103">
        <f t="shared" si="565"/>
        <v>1.6200000001117587</v>
      </c>
      <c r="O1594" s="103">
        <f t="shared" si="565"/>
        <v>0</v>
      </c>
      <c r="P1594" s="103">
        <f t="shared" si="565"/>
        <v>0</v>
      </c>
      <c r="Q1594" s="103">
        <f t="shared" si="566"/>
        <v>1.6200000001117587</v>
      </c>
      <c r="S1594" s="730">
        <f t="shared" si="575"/>
        <v>0.9999995993158689</v>
      </c>
      <c r="T1594" s="730" t="str">
        <f t="shared" si="575"/>
        <v/>
      </c>
      <c r="U1594" s="730" t="str">
        <f t="shared" si="575"/>
        <v/>
      </c>
      <c r="V1594" s="730">
        <f t="shared" si="575"/>
        <v>0.9999995993158689</v>
      </c>
      <c r="W1594" s="531"/>
      <c r="X1594" s="236"/>
      <c r="Y1594" s="236" t="s">
        <v>598</v>
      </c>
      <c r="Z1594" s="236"/>
    </row>
    <row r="1595" spans="1:26" ht="11.25" customHeight="1">
      <c r="A1595" s="528" t="s">
        <v>258</v>
      </c>
      <c r="B1595" s="1013" t="s">
        <v>254</v>
      </c>
      <c r="C1595" s="728"/>
      <c r="D1595" s="649" t="s">
        <v>290</v>
      </c>
      <c r="E1595" s="729" t="s">
        <v>290</v>
      </c>
      <c r="F1595" s="103">
        <f>SUM('[3]special hospitals2'!AP14)</f>
        <v>0</v>
      </c>
      <c r="G1595" s="103">
        <f>SUM('[3]special hospitals2'!AP50)</f>
        <v>2400000</v>
      </c>
      <c r="H1595" s="103">
        <f>SUM('[3]special hospitals2'!AP142)</f>
        <v>0</v>
      </c>
      <c r="I1595" s="103">
        <f>SUM(F1595:H1595)</f>
        <v>2400000</v>
      </c>
      <c r="J1595" s="103">
        <f>SUM('[3]special hospitals2'!AP15)</f>
        <v>0</v>
      </c>
      <c r="K1595" s="103">
        <f>SUM('[3]special hospitals2'!AP51)</f>
        <v>2196465.6</v>
      </c>
      <c r="L1595" s="103">
        <f>SUM('[3]special hospitals2'!AP143)</f>
        <v>0</v>
      </c>
      <c r="M1595" s="103">
        <f t="shared" si="577"/>
        <v>2196465.6</v>
      </c>
      <c r="N1595" s="103">
        <f t="shared" si="565"/>
        <v>0</v>
      </c>
      <c r="O1595" s="103">
        <f t="shared" si="565"/>
        <v>203534.39999999991</v>
      </c>
      <c r="P1595" s="103">
        <f t="shared" si="565"/>
        <v>0</v>
      </c>
      <c r="Q1595" s="103">
        <f t="shared" si="566"/>
        <v>203534.39999999991</v>
      </c>
      <c r="S1595" s="730" t="str">
        <f t="shared" si="575"/>
        <v/>
      </c>
      <c r="T1595" s="730">
        <f t="shared" si="575"/>
        <v>0.91519400000000006</v>
      </c>
      <c r="U1595" s="730" t="str">
        <f t="shared" si="575"/>
        <v/>
      </c>
      <c r="V1595" s="730">
        <f t="shared" si="575"/>
        <v>0.91519400000000006</v>
      </c>
      <c r="W1595" s="531"/>
      <c r="X1595" s="236"/>
      <c r="Y1595" s="236" t="s">
        <v>598</v>
      </c>
      <c r="Z1595" s="236"/>
    </row>
    <row r="1596" spans="1:26" s="259" customFormat="1" ht="11.25" customHeight="1">
      <c r="A1596" s="246" t="s">
        <v>258</v>
      </c>
      <c r="B1596" s="235" t="s">
        <v>254</v>
      </c>
      <c r="C1596" s="656"/>
      <c r="D1596" s="656"/>
      <c r="E1596" s="657" t="s">
        <v>4</v>
      </c>
      <c r="F1596" s="652">
        <f>+F1586+F1588+F1590</f>
        <v>163816085</v>
      </c>
      <c r="G1596" s="652">
        <f t="shared" ref="G1596:M1596" si="585">+G1586+G1588+G1590</f>
        <v>253502750</v>
      </c>
      <c r="H1596" s="652">
        <f t="shared" si="585"/>
        <v>470975000</v>
      </c>
      <c r="I1596" s="652">
        <f t="shared" si="585"/>
        <v>888293835</v>
      </c>
      <c r="J1596" s="652">
        <f t="shared" si="585"/>
        <v>151645316.00999999</v>
      </c>
      <c r="K1596" s="652">
        <f t="shared" si="585"/>
        <v>187633447.31000003</v>
      </c>
      <c r="L1596" s="652">
        <f t="shared" si="585"/>
        <v>3842397.88</v>
      </c>
      <c r="M1596" s="652">
        <f t="shared" si="585"/>
        <v>343121161.20000005</v>
      </c>
      <c r="N1596" s="652">
        <f t="shared" si="565"/>
        <v>12170768.99000001</v>
      </c>
      <c r="O1596" s="652">
        <f t="shared" si="565"/>
        <v>65869302.689999968</v>
      </c>
      <c r="P1596" s="652">
        <f t="shared" si="565"/>
        <v>467132602.12</v>
      </c>
      <c r="Q1596" s="652">
        <f t="shared" si="566"/>
        <v>545172673.79999995</v>
      </c>
      <c r="R1596" s="653">
        <f>+Q1596-'[3]special hospitals2'!BV179</f>
        <v>0</v>
      </c>
      <c r="S1596" s="1008">
        <f t="shared" si="575"/>
        <v>0.92570467674160317</v>
      </c>
      <c r="T1596" s="1008">
        <f t="shared" si="575"/>
        <v>0.74016336039747122</v>
      </c>
      <c r="U1596" s="1008">
        <f t="shared" si="575"/>
        <v>8.1583903179574292E-3</v>
      </c>
      <c r="V1596" s="1008">
        <f t="shared" si="575"/>
        <v>0.38626988917467836</v>
      </c>
      <c r="W1596" s="254"/>
      <c r="X1596" s="520"/>
      <c r="Y1596" s="610" t="s">
        <v>598</v>
      </c>
      <c r="Z1596" s="241" t="s">
        <v>598</v>
      </c>
    </row>
    <row r="1597" spans="1:26" ht="11.25" customHeight="1">
      <c r="A1597" s="246" t="s">
        <v>258</v>
      </c>
      <c r="B1597" s="235" t="s">
        <v>254</v>
      </c>
      <c r="C1597" s="410"/>
      <c r="D1597" s="386"/>
      <c r="E1597" s="461" t="s">
        <v>764</v>
      </c>
      <c r="F1597" s="103"/>
      <c r="G1597" s="103"/>
      <c r="H1597" s="103"/>
      <c r="I1597" s="103">
        <f>SUM(F1597:H1597)</f>
        <v>0</v>
      </c>
      <c r="J1597" s="103"/>
      <c r="K1597" s="103"/>
      <c r="L1597" s="103"/>
      <c r="M1597" s="103">
        <f t="shared" si="577"/>
        <v>0</v>
      </c>
      <c r="N1597" s="103">
        <f t="shared" si="565"/>
        <v>0</v>
      </c>
      <c r="O1597" s="103">
        <f t="shared" si="565"/>
        <v>0</v>
      </c>
      <c r="P1597" s="103">
        <f t="shared" si="565"/>
        <v>0</v>
      </c>
      <c r="Q1597" s="103">
        <f t="shared" si="566"/>
        <v>0</v>
      </c>
      <c r="S1597" s="730" t="str">
        <f t="shared" si="575"/>
        <v/>
      </c>
      <c r="T1597" s="730" t="str">
        <f t="shared" si="575"/>
        <v/>
      </c>
      <c r="U1597" s="730" t="str">
        <f t="shared" si="575"/>
        <v/>
      </c>
      <c r="V1597" s="730" t="str">
        <f t="shared" si="575"/>
        <v/>
      </c>
      <c r="W1597" s="254"/>
      <c r="Y1597" s="610" t="s">
        <v>598</v>
      </c>
      <c r="Z1597" s="241" t="s">
        <v>598</v>
      </c>
    </row>
    <row r="1598" spans="1:26" s="675" customFormat="1" ht="11.25" customHeight="1">
      <c r="A1598" s="528" t="s">
        <v>258</v>
      </c>
      <c r="B1598" s="528" t="s">
        <v>256</v>
      </c>
      <c r="C1598" s="407" t="s">
        <v>98</v>
      </c>
      <c r="D1598" s="655" t="s">
        <v>257</v>
      </c>
      <c r="E1598" s="408" t="s">
        <v>858</v>
      </c>
      <c r="F1598" s="673"/>
      <c r="G1598" s="673"/>
      <c r="H1598" s="673"/>
      <c r="I1598" s="674">
        <f>SUM(F1598:H1598)</f>
        <v>0</v>
      </c>
      <c r="J1598" s="673"/>
      <c r="K1598" s="673"/>
      <c r="L1598" s="673"/>
      <c r="M1598" s="674">
        <f t="shared" si="577"/>
        <v>0</v>
      </c>
      <c r="N1598" s="674">
        <f t="shared" si="565"/>
        <v>0</v>
      </c>
      <c r="O1598" s="674">
        <f t="shared" si="565"/>
        <v>0</v>
      </c>
      <c r="P1598" s="674">
        <f t="shared" si="565"/>
        <v>0</v>
      </c>
      <c r="Q1598" s="674">
        <f t="shared" si="566"/>
        <v>0</v>
      </c>
      <c r="R1598" s="101"/>
      <c r="S1598" s="254" t="str">
        <f t="shared" si="575"/>
        <v/>
      </c>
      <c r="T1598" s="254" t="str">
        <f t="shared" si="575"/>
        <v/>
      </c>
      <c r="U1598" s="254" t="str">
        <f t="shared" si="575"/>
        <v/>
      </c>
      <c r="V1598" s="254" t="str">
        <f t="shared" si="575"/>
        <v/>
      </c>
      <c r="W1598" s="531"/>
      <c r="Y1598" s="272" t="s">
        <v>598</v>
      </c>
      <c r="Z1598" s="260" t="s">
        <v>598</v>
      </c>
    </row>
    <row r="1599" spans="1:26" ht="11.25" customHeight="1">
      <c r="A1599" s="528" t="s">
        <v>258</v>
      </c>
      <c r="B1599" s="1013" t="s">
        <v>256</v>
      </c>
      <c r="C1599" s="461"/>
      <c r="D1599" s="645" t="s">
        <v>766</v>
      </c>
      <c r="E1599" s="447" t="s">
        <v>766</v>
      </c>
      <c r="F1599" s="104">
        <f>+'[3]special hospitals2'!B394</f>
        <v>109683000</v>
      </c>
      <c r="G1599" s="104">
        <f>+'[3]special hospitals2'!C394</f>
        <v>38781000</v>
      </c>
      <c r="H1599" s="104">
        <f>+'[3]special hospitals2'!D394</f>
        <v>0</v>
      </c>
      <c r="I1599" s="103">
        <f>SUM(F1599:H1599)</f>
        <v>148464000</v>
      </c>
      <c r="J1599" s="104">
        <f>+'[3]special hospitals2'!F394</f>
        <v>101335636</v>
      </c>
      <c r="K1599" s="104">
        <f>+'[3]special hospitals2'!G394</f>
        <v>29267091.990000002</v>
      </c>
      <c r="L1599" s="104">
        <f>+'[3]special hospitals2'!H394</f>
        <v>0</v>
      </c>
      <c r="M1599" s="103">
        <f t="shared" si="577"/>
        <v>130602727.99000001</v>
      </c>
      <c r="N1599" s="103">
        <f t="shared" si="565"/>
        <v>8347364</v>
      </c>
      <c r="O1599" s="103">
        <f t="shared" si="565"/>
        <v>9513908.0099999979</v>
      </c>
      <c r="P1599" s="103">
        <f t="shared" si="565"/>
        <v>0</v>
      </c>
      <c r="Q1599" s="103">
        <f t="shared" si="566"/>
        <v>17861272.009999998</v>
      </c>
      <c r="S1599" s="730">
        <f t="shared" si="575"/>
        <v>0.92389555354977526</v>
      </c>
      <c r="T1599" s="730">
        <f t="shared" si="575"/>
        <v>0.754676052448364</v>
      </c>
      <c r="U1599" s="730" t="str">
        <f t="shared" si="575"/>
        <v/>
      </c>
      <c r="V1599" s="730">
        <f t="shared" si="575"/>
        <v>0.8796929086512556</v>
      </c>
      <c r="W1599" s="531"/>
      <c r="X1599" s="236"/>
      <c r="Y1599" s="236" t="s">
        <v>688</v>
      </c>
      <c r="Z1599" s="236"/>
    </row>
    <row r="1600" spans="1:26" ht="11.25" customHeight="1">
      <c r="A1600" s="528" t="s">
        <v>258</v>
      </c>
      <c r="B1600" s="1013" t="s">
        <v>256</v>
      </c>
      <c r="C1600" s="728"/>
      <c r="D1600" s="649" t="s">
        <v>50</v>
      </c>
      <c r="E1600" s="447" t="s">
        <v>50</v>
      </c>
      <c r="F1600" s="104"/>
      <c r="G1600" s="104">
        <f>+'[3]special hospitals2'!C396</f>
        <v>15848000</v>
      </c>
      <c r="H1600" s="104">
        <f>+'[3]special hospitals2'!D396</f>
        <v>18000000</v>
      </c>
      <c r="I1600" s="103">
        <f>SUM(F1600:H1600)</f>
        <v>33848000</v>
      </c>
      <c r="J1600" s="104"/>
      <c r="K1600" s="104">
        <f>+'[3]special hospitals2'!G396</f>
        <v>10972608.619999999</v>
      </c>
      <c r="L1600" s="104">
        <f>+'[3]special hospitals2'!H396</f>
        <v>17999252.949999999</v>
      </c>
      <c r="M1600" s="103">
        <f>SUM(J1600:L1600)</f>
        <v>28971861.57</v>
      </c>
      <c r="N1600" s="103">
        <f t="shared" si="565"/>
        <v>0</v>
      </c>
      <c r="O1600" s="103">
        <f t="shared" si="565"/>
        <v>4875391.3800000008</v>
      </c>
      <c r="P1600" s="103">
        <f t="shared" si="565"/>
        <v>747.05000000074506</v>
      </c>
      <c r="Q1600" s="103">
        <f t="shared" si="566"/>
        <v>4876138.4300000016</v>
      </c>
      <c r="S1600" s="730" t="str">
        <f t="shared" si="575"/>
        <v/>
      </c>
      <c r="T1600" s="730">
        <f t="shared" si="575"/>
        <v>0.69236551110550226</v>
      </c>
      <c r="U1600" s="730">
        <f t="shared" si="575"/>
        <v>0.99995849722222219</v>
      </c>
      <c r="V1600" s="730">
        <f t="shared" si="575"/>
        <v>0.85594013147010162</v>
      </c>
      <c r="W1600" s="531"/>
      <c r="X1600" s="236"/>
      <c r="Y1600" s="236" t="s">
        <v>688</v>
      </c>
      <c r="Z1600" s="236"/>
    </row>
    <row r="1601" spans="1:26" s="256" customFormat="1" ht="11.25" customHeight="1">
      <c r="A1601" s="528" t="s">
        <v>258</v>
      </c>
      <c r="B1601" s="528" t="s">
        <v>256</v>
      </c>
      <c r="C1601" s="389"/>
      <c r="D1601" s="650" t="s">
        <v>98</v>
      </c>
      <c r="E1601" s="390" t="s">
        <v>767</v>
      </c>
      <c r="F1601" s="391">
        <f>+F1599+F1600</f>
        <v>109683000</v>
      </c>
      <c r="G1601" s="391">
        <f t="shared" ref="G1601:M1601" si="586">+G1599+G1600</f>
        <v>54629000</v>
      </c>
      <c r="H1601" s="391">
        <f t="shared" si="586"/>
        <v>18000000</v>
      </c>
      <c r="I1601" s="391">
        <f t="shared" si="586"/>
        <v>182312000</v>
      </c>
      <c r="J1601" s="391">
        <f t="shared" si="586"/>
        <v>101335636</v>
      </c>
      <c r="K1601" s="391">
        <f t="shared" si="586"/>
        <v>40239700.609999999</v>
      </c>
      <c r="L1601" s="391">
        <f t="shared" si="586"/>
        <v>17999252.949999999</v>
      </c>
      <c r="M1601" s="391">
        <f t="shared" si="586"/>
        <v>159574589.56</v>
      </c>
      <c r="N1601" s="391">
        <f t="shared" si="565"/>
        <v>8347364</v>
      </c>
      <c r="O1601" s="391">
        <f t="shared" si="565"/>
        <v>14389299.390000001</v>
      </c>
      <c r="P1601" s="391">
        <f t="shared" si="565"/>
        <v>747.05000000074506</v>
      </c>
      <c r="Q1601" s="391">
        <f t="shared" si="566"/>
        <v>22737410.440000001</v>
      </c>
      <c r="R1601" s="101"/>
      <c r="S1601" s="254">
        <f t="shared" si="575"/>
        <v>0.92389555354977526</v>
      </c>
      <c r="T1601" s="254">
        <f t="shared" si="575"/>
        <v>0.73659961943290198</v>
      </c>
      <c r="U1601" s="254">
        <f t="shared" si="575"/>
        <v>0.99995849722222219</v>
      </c>
      <c r="V1601" s="254">
        <f t="shared" si="575"/>
        <v>0.87528297402255473</v>
      </c>
      <c r="W1601" s="531"/>
      <c r="Y1601" s="256" t="s">
        <v>598</v>
      </c>
      <c r="Z1601" s="256" t="s">
        <v>598</v>
      </c>
    </row>
    <row r="1602" spans="1:26" ht="11.25" hidden="1" customHeight="1">
      <c r="A1602" s="528" t="s">
        <v>258</v>
      </c>
      <c r="B1602" s="1013" t="s">
        <v>256</v>
      </c>
      <c r="C1602" s="410"/>
      <c r="D1602" s="651"/>
      <c r="E1602" s="806" t="s">
        <v>764</v>
      </c>
      <c r="F1602" s="807"/>
      <c r="G1602" s="807"/>
      <c r="H1602" s="807"/>
      <c r="I1602" s="807"/>
      <c r="J1602" s="807"/>
      <c r="K1602" s="807"/>
      <c r="L1602" s="807"/>
      <c r="M1602" s="807"/>
      <c r="N1602" s="807">
        <f t="shared" ref="N1602:P1668" si="587">+F1602-J1602</f>
        <v>0</v>
      </c>
      <c r="O1602" s="807">
        <f t="shared" si="587"/>
        <v>0</v>
      </c>
      <c r="P1602" s="807">
        <f t="shared" si="587"/>
        <v>0</v>
      </c>
      <c r="Q1602" s="807">
        <f t="shared" ref="Q1602:Q1668" si="588">SUM(N1602:P1602)</f>
        <v>0</v>
      </c>
      <c r="R1602" s="276"/>
      <c r="S1602" s="730" t="str">
        <f t="shared" si="575"/>
        <v/>
      </c>
      <c r="T1602" s="730" t="str">
        <f t="shared" si="575"/>
        <v/>
      </c>
      <c r="U1602" s="730" t="str">
        <f t="shared" si="575"/>
        <v/>
      </c>
      <c r="V1602" s="730" t="str">
        <f t="shared" si="575"/>
        <v/>
      </c>
      <c r="W1602" s="531"/>
      <c r="X1602" s="236"/>
      <c r="Y1602" s="236"/>
      <c r="Z1602" s="236"/>
    </row>
    <row r="1603" spans="1:26" s="256" customFormat="1" ht="11.25" customHeight="1">
      <c r="A1603" s="528" t="s">
        <v>258</v>
      </c>
      <c r="B1603" s="528" t="s">
        <v>256</v>
      </c>
      <c r="C1603" s="389"/>
      <c r="D1603" s="650" t="s">
        <v>98</v>
      </c>
      <c r="E1603" s="390" t="s">
        <v>99</v>
      </c>
      <c r="F1603" s="391">
        <f>+F1604</f>
        <v>10092000</v>
      </c>
      <c r="G1603" s="391">
        <f t="shared" ref="G1603:M1603" si="589">+G1604</f>
        <v>0</v>
      </c>
      <c r="H1603" s="391">
        <f t="shared" si="589"/>
        <v>0</v>
      </c>
      <c r="I1603" s="391">
        <f t="shared" si="589"/>
        <v>10092000</v>
      </c>
      <c r="J1603" s="391">
        <f t="shared" si="589"/>
        <v>8818526.5</v>
      </c>
      <c r="K1603" s="391">
        <f t="shared" si="589"/>
        <v>0</v>
      </c>
      <c r="L1603" s="391">
        <f t="shared" si="589"/>
        <v>0</v>
      </c>
      <c r="M1603" s="391">
        <f t="shared" si="589"/>
        <v>8818526.5</v>
      </c>
      <c r="N1603" s="391">
        <f t="shared" si="587"/>
        <v>1273473.5</v>
      </c>
      <c r="O1603" s="391">
        <f t="shared" si="587"/>
        <v>0</v>
      </c>
      <c r="P1603" s="391">
        <f t="shared" si="587"/>
        <v>0</v>
      </c>
      <c r="Q1603" s="391">
        <f t="shared" si="588"/>
        <v>1273473.5</v>
      </c>
      <c r="R1603" s="101"/>
      <c r="S1603" s="254">
        <f t="shared" si="575"/>
        <v>0.87381356520015852</v>
      </c>
      <c r="T1603" s="254" t="str">
        <f t="shared" si="575"/>
        <v/>
      </c>
      <c r="U1603" s="254" t="str">
        <f t="shared" si="575"/>
        <v/>
      </c>
      <c r="V1603" s="254">
        <f t="shared" si="575"/>
        <v>0.87381356520015852</v>
      </c>
      <c r="W1603" s="531"/>
      <c r="Y1603" s="256" t="s">
        <v>598</v>
      </c>
      <c r="Z1603" s="256" t="s">
        <v>598</v>
      </c>
    </row>
    <row r="1604" spans="1:26" ht="11.25" customHeight="1">
      <c r="A1604" s="528" t="s">
        <v>258</v>
      </c>
      <c r="B1604" s="1013" t="s">
        <v>256</v>
      </c>
      <c r="C1604" s="728"/>
      <c r="D1604" s="649" t="s">
        <v>286</v>
      </c>
      <c r="E1604" s="729" t="s">
        <v>286</v>
      </c>
      <c r="F1604" s="103">
        <f>SUM('[3]special hospitals2'!S14)</f>
        <v>10092000</v>
      </c>
      <c r="G1604" s="103">
        <f>SUM('[3]special hospitals2'!S50)</f>
        <v>0</v>
      </c>
      <c r="H1604" s="103">
        <f>SUM('[3]special hospitals2'!S142)</f>
        <v>0</v>
      </c>
      <c r="I1604" s="103">
        <f>SUM(F1604:H1604)</f>
        <v>10092000</v>
      </c>
      <c r="J1604" s="103">
        <f>SUM('[3]special hospitals2'!S15)</f>
        <v>8818526.5</v>
      </c>
      <c r="K1604" s="103">
        <f>SUM('[3]special hospitals2'!S51)</f>
        <v>0</v>
      </c>
      <c r="L1604" s="103">
        <f>SUM('[3]special hospitals2'!S143)</f>
        <v>0</v>
      </c>
      <c r="M1604" s="103">
        <f t="shared" si="577"/>
        <v>8818526.5</v>
      </c>
      <c r="N1604" s="103">
        <f t="shared" si="587"/>
        <v>1273473.5</v>
      </c>
      <c r="O1604" s="103">
        <f t="shared" si="587"/>
        <v>0</v>
      </c>
      <c r="P1604" s="103">
        <f t="shared" si="587"/>
        <v>0</v>
      </c>
      <c r="Q1604" s="103">
        <f t="shared" si="588"/>
        <v>1273473.5</v>
      </c>
      <c r="S1604" s="730">
        <f t="shared" si="575"/>
        <v>0.87381356520015852</v>
      </c>
      <c r="T1604" s="730" t="str">
        <f t="shared" si="575"/>
        <v/>
      </c>
      <c r="U1604" s="730" t="str">
        <f t="shared" si="575"/>
        <v/>
      </c>
      <c r="V1604" s="730">
        <f t="shared" si="575"/>
        <v>0.87381356520015852</v>
      </c>
      <c r="W1604" s="531"/>
      <c r="X1604" s="236"/>
      <c r="Y1604" s="236" t="s">
        <v>598</v>
      </c>
      <c r="Z1604" s="236"/>
    </row>
    <row r="1605" spans="1:26" s="272" customFormat="1" ht="11.25" customHeight="1">
      <c r="A1605" s="528" t="s">
        <v>258</v>
      </c>
      <c r="B1605" s="528" t="s">
        <v>256</v>
      </c>
      <c r="C1605" s="389"/>
      <c r="D1605" s="650" t="s">
        <v>98</v>
      </c>
      <c r="E1605" s="390" t="s">
        <v>100</v>
      </c>
      <c r="F1605" s="391">
        <f t="shared" ref="F1605:M1605" si="590">SUM(F1606:F1610)</f>
        <v>5156886</v>
      </c>
      <c r="G1605" s="391">
        <f t="shared" si="590"/>
        <v>13958215</v>
      </c>
      <c r="H1605" s="391">
        <f t="shared" si="590"/>
        <v>0</v>
      </c>
      <c r="I1605" s="391">
        <f t="shared" si="590"/>
        <v>19115101</v>
      </c>
      <c r="J1605" s="391">
        <f t="shared" si="590"/>
        <v>4809086.79</v>
      </c>
      <c r="K1605" s="391">
        <f t="shared" si="590"/>
        <v>0</v>
      </c>
      <c r="L1605" s="391">
        <f t="shared" si="590"/>
        <v>0</v>
      </c>
      <c r="M1605" s="391">
        <f t="shared" si="590"/>
        <v>4809086.79</v>
      </c>
      <c r="N1605" s="391">
        <f t="shared" si="587"/>
        <v>347799.20999999996</v>
      </c>
      <c r="O1605" s="391">
        <f t="shared" si="587"/>
        <v>13958215</v>
      </c>
      <c r="P1605" s="391">
        <f t="shared" si="587"/>
        <v>0</v>
      </c>
      <c r="Q1605" s="391">
        <f t="shared" si="588"/>
        <v>14306014.210000001</v>
      </c>
      <c r="R1605" s="102"/>
      <c r="S1605" s="254">
        <f t="shared" si="575"/>
        <v>0.9325563508675585</v>
      </c>
      <c r="T1605" s="254">
        <f t="shared" si="575"/>
        <v>0</v>
      </c>
      <c r="U1605" s="254" t="str">
        <f t="shared" si="575"/>
        <v/>
      </c>
      <c r="V1605" s="254">
        <f t="shared" si="575"/>
        <v>0.25158573789382543</v>
      </c>
      <c r="W1605" s="531"/>
      <c r="Y1605" s="272" t="s">
        <v>598</v>
      </c>
      <c r="Z1605" s="256" t="s">
        <v>598</v>
      </c>
    </row>
    <row r="1606" spans="1:26" ht="11.25" customHeight="1">
      <c r="A1606" s="528" t="s">
        <v>258</v>
      </c>
      <c r="B1606" s="1013" t="s">
        <v>256</v>
      </c>
      <c r="C1606" s="728"/>
      <c r="D1606" s="649" t="s">
        <v>288</v>
      </c>
      <c r="E1606" s="729" t="s">
        <v>288</v>
      </c>
      <c r="F1606" s="103">
        <f>SUM('[3]special hospitals2'!Z14)</f>
        <v>0</v>
      </c>
      <c r="G1606" s="103">
        <f>SUM('[3]special hospitals2'!Z50)</f>
        <v>0</v>
      </c>
      <c r="H1606" s="103">
        <f>SUM('[3]special hospitals2'!Z142)</f>
        <v>0</v>
      </c>
      <c r="I1606" s="103">
        <f>SUM(F1606:H1606)</f>
        <v>0</v>
      </c>
      <c r="J1606" s="103">
        <f>SUM('[3]special hospitals2'!Z15)</f>
        <v>0</v>
      </c>
      <c r="K1606" s="103">
        <f>SUM('[3]special hospitals2'!Z51)</f>
        <v>0</v>
      </c>
      <c r="L1606" s="103">
        <f>SUM('[3]special hospitals2'!Z143)</f>
        <v>0</v>
      </c>
      <c r="M1606" s="103">
        <f t="shared" si="577"/>
        <v>0</v>
      </c>
      <c r="N1606" s="103">
        <f t="shared" si="587"/>
        <v>0</v>
      </c>
      <c r="O1606" s="103">
        <f t="shared" si="587"/>
        <v>0</v>
      </c>
      <c r="P1606" s="103">
        <f t="shared" si="587"/>
        <v>0</v>
      </c>
      <c r="Q1606" s="103">
        <f t="shared" si="588"/>
        <v>0</v>
      </c>
      <c r="S1606" s="730" t="str">
        <f t="shared" si="575"/>
        <v/>
      </c>
      <c r="T1606" s="730" t="str">
        <f t="shared" si="575"/>
        <v/>
      </c>
      <c r="U1606" s="730" t="str">
        <f t="shared" si="575"/>
        <v/>
      </c>
      <c r="V1606" s="730" t="str">
        <f t="shared" si="575"/>
        <v/>
      </c>
      <c r="W1606" s="531"/>
      <c r="X1606" s="236"/>
      <c r="Y1606" s="236" t="s">
        <v>598</v>
      </c>
      <c r="Z1606" s="236"/>
    </row>
    <row r="1607" spans="1:26" ht="11.25" customHeight="1">
      <c r="A1607" s="528" t="s">
        <v>258</v>
      </c>
      <c r="B1607" s="1013" t="s">
        <v>256</v>
      </c>
      <c r="C1607" s="728"/>
      <c r="D1607" s="649" t="s">
        <v>761</v>
      </c>
      <c r="E1607" s="729" t="s">
        <v>761</v>
      </c>
      <c r="F1607" s="404">
        <f>+'[3]special hospitals2'!B396</f>
        <v>2240000</v>
      </c>
      <c r="G1607" s="404"/>
      <c r="H1607" s="404"/>
      <c r="I1607" s="103">
        <f>SUM(F1607:H1607)</f>
        <v>2240000</v>
      </c>
      <c r="J1607" s="404">
        <f>+'[3]special hospitals2'!F396</f>
        <v>2047500</v>
      </c>
      <c r="K1607" s="104"/>
      <c r="L1607" s="104"/>
      <c r="M1607" s="103">
        <f t="shared" si="577"/>
        <v>2047500</v>
      </c>
      <c r="N1607" s="103">
        <f t="shared" si="587"/>
        <v>192500</v>
      </c>
      <c r="O1607" s="103">
        <f t="shared" si="587"/>
        <v>0</v>
      </c>
      <c r="P1607" s="103">
        <f t="shared" si="587"/>
        <v>0</v>
      </c>
      <c r="Q1607" s="103">
        <f>SUM(N1607:P1607)</f>
        <v>192500</v>
      </c>
      <c r="S1607" s="730">
        <f t="shared" si="575"/>
        <v>0.9140625</v>
      </c>
      <c r="T1607" s="730" t="str">
        <f t="shared" si="575"/>
        <v/>
      </c>
      <c r="U1607" s="730" t="str">
        <f t="shared" si="575"/>
        <v/>
      </c>
      <c r="V1607" s="730">
        <f t="shared" si="575"/>
        <v>0.9140625</v>
      </c>
      <c r="W1607" s="531"/>
      <c r="X1607" s="236"/>
      <c r="Y1607" s="236" t="s">
        <v>688</v>
      </c>
      <c r="Z1607" s="236"/>
    </row>
    <row r="1608" spans="1:26" ht="11.25" customHeight="1">
      <c r="A1608" s="528" t="s">
        <v>258</v>
      </c>
      <c r="B1608" s="1013" t="s">
        <v>256</v>
      </c>
      <c r="C1608" s="410"/>
      <c r="D1608" s="647"/>
      <c r="E1608" s="461" t="s">
        <v>764</v>
      </c>
      <c r="F1608" s="104"/>
      <c r="G1608" s="104"/>
      <c r="H1608" s="104"/>
      <c r="I1608" s="103"/>
      <c r="J1608" s="104"/>
      <c r="K1608" s="104"/>
      <c r="L1608" s="104"/>
      <c r="M1608" s="103"/>
      <c r="N1608" s="103"/>
      <c r="O1608" s="103"/>
      <c r="P1608" s="103"/>
      <c r="Q1608" s="103"/>
      <c r="S1608" s="730" t="str">
        <f t="shared" si="575"/>
        <v/>
      </c>
      <c r="T1608" s="730" t="str">
        <f t="shared" si="575"/>
        <v/>
      </c>
      <c r="U1608" s="730" t="str">
        <f t="shared" si="575"/>
        <v/>
      </c>
      <c r="V1608" s="730" t="str">
        <f t="shared" si="575"/>
        <v/>
      </c>
      <c r="W1608" s="531"/>
      <c r="X1608" s="236"/>
      <c r="Y1608" s="236" t="s">
        <v>688</v>
      </c>
      <c r="Z1608" s="240"/>
    </row>
    <row r="1609" spans="1:26" ht="11.25" customHeight="1">
      <c r="A1609" s="528" t="s">
        <v>258</v>
      </c>
      <c r="B1609" s="1013" t="s">
        <v>256</v>
      </c>
      <c r="C1609" s="728"/>
      <c r="D1609" s="649" t="s">
        <v>289</v>
      </c>
      <c r="E1609" s="729" t="s">
        <v>289</v>
      </c>
      <c r="F1609" s="103">
        <f>SUM('[3]special hospitals2'!AG14)</f>
        <v>2916886</v>
      </c>
      <c r="G1609" s="103">
        <f>SUM('[3]special hospitals2'!AG50)</f>
        <v>0</v>
      </c>
      <c r="H1609" s="103">
        <f>SUM('[3]special hospitals2'!AG142)</f>
        <v>0</v>
      </c>
      <c r="I1609" s="103">
        <f>SUM(F1609:H1609)</f>
        <v>2916886</v>
      </c>
      <c r="J1609" s="103">
        <f>SUM('[3]special hospitals2'!AG15)</f>
        <v>2761586.79</v>
      </c>
      <c r="K1609" s="103">
        <f>SUM('[3]special hospitals2'!AG51)</f>
        <v>0</v>
      </c>
      <c r="L1609" s="103">
        <f>SUM('[3]special hospitals2'!AG143)</f>
        <v>0</v>
      </c>
      <c r="M1609" s="103">
        <f t="shared" si="577"/>
        <v>2761586.79</v>
      </c>
      <c r="N1609" s="103">
        <f t="shared" si="587"/>
        <v>155299.20999999996</v>
      </c>
      <c r="O1609" s="103">
        <f t="shared" si="587"/>
        <v>0</v>
      </c>
      <c r="P1609" s="103">
        <f t="shared" si="587"/>
        <v>0</v>
      </c>
      <c r="Q1609" s="103">
        <f t="shared" si="588"/>
        <v>155299.20999999996</v>
      </c>
      <c r="S1609" s="730">
        <f t="shared" si="575"/>
        <v>0.9467585603276919</v>
      </c>
      <c r="T1609" s="730" t="str">
        <f t="shared" si="575"/>
        <v/>
      </c>
      <c r="U1609" s="730" t="str">
        <f t="shared" si="575"/>
        <v/>
      </c>
      <c r="V1609" s="730">
        <f t="shared" si="575"/>
        <v>0.9467585603276919</v>
      </c>
      <c r="W1609" s="531"/>
      <c r="X1609" s="236"/>
      <c r="Y1609" s="236" t="s">
        <v>598</v>
      </c>
      <c r="Z1609" s="236"/>
    </row>
    <row r="1610" spans="1:26" ht="11.25" customHeight="1">
      <c r="A1610" s="528" t="s">
        <v>258</v>
      </c>
      <c r="B1610" s="1013" t="s">
        <v>256</v>
      </c>
      <c r="C1610" s="728"/>
      <c r="D1610" s="649" t="s">
        <v>290</v>
      </c>
      <c r="E1610" s="729" t="s">
        <v>290</v>
      </c>
      <c r="F1610" s="103">
        <f>SUM('[3]special hospitals2'!AN14)</f>
        <v>0</v>
      </c>
      <c r="G1610" s="103">
        <f>SUM('[3]special hospitals2'!AN50)</f>
        <v>13958215</v>
      </c>
      <c r="H1610" s="103">
        <f>SUM('[3]special hospitals2'!AN142)</f>
        <v>0</v>
      </c>
      <c r="I1610" s="103">
        <f>SUM(F1610:H1610)</f>
        <v>13958215</v>
      </c>
      <c r="J1610" s="103">
        <f>SUM('[3]special hospitals2'!AN15)</f>
        <v>0</v>
      </c>
      <c r="K1610" s="103">
        <f>SUM('[3]special hospitals2'!AN51)</f>
        <v>0</v>
      </c>
      <c r="L1610" s="103">
        <f>SUM('[3]special hospitals2'!AN143)</f>
        <v>0</v>
      </c>
      <c r="M1610" s="103">
        <f t="shared" si="577"/>
        <v>0</v>
      </c>
      <c r="N1610" s="103">
        <f t="shared" si="587"/>
        <v>0</v>
      </c>
      <c r="O1610" s="103">
        <f t="shared" si="587"/>
        <v>13958215</v>
      </c>
      <c r="P1610" s="103">
        <f t="shared" si="587"/>
        <v>0</v>
      </c>
      <c r="Q1610" s="103">
        <f t="shared" si="588"/>
        <v>13958215</v>
      </c>
      <c r="S1610" s="730" t="str">
        <f t="shared" si="575"/>
        <v/>
      </c>
      <c r="T1610" s="730">
        <f t="shared" si="575"/>
        <v>0</v>
      </c>
      <c r="U1610" s="730" t="str">
        <f t="shared" si="575"/>
        <v/>
      </c>
      <c r="V1610" s="730">
        <f t="shared" si="575"/>
        <v>0</v>
      </c>
      <c r="W1610" s="531"/>
      <c r="X1610" s="236"/>
      <c r="Y1610" s="236" t="s">
        <v>598</v>
      </c>
      <c r="Z1610" s="236"/>
    </row>
    <row r="1611" spans="1:26" s="259" customFormat="1" ht="11.25" customHeight="1">
      <c r="A1611" s="246" t="s">
        <v>258</v>
      </c>
      <c r="B1611" s="235" t="s">
        <v>256</v>
      </c>
      <c r="C1611" s="656"/>
      <c r="D1611" s="656"/>
      <c r="E1611" s="657" t="s">
        <v>4</v>
      </c>
      <c r="F1611" s="652">
        <f>+F1601+F1603+F1605</f>
        <v>124931886</v>
      </c>
      <c r="G1611" s="652">
        <f t="shared" ref="G1611:M1611" si="591">+G1601+G1603+G1605</f>
        <v>68587215</v>
      </c>
      <c r="H1611" s="652">
        <f t="shared" si="591"/>
        <v>18000000</v>
      </c>
      <c r="I1611" s="652">
        <f t="shared" si="591"/>
        <v>211519101</v>
      </c>
      <c r="J1611" s="652">
        <f t="shared" si="591"/>
        <v>114963249.29000001</v>
      </c>
      <c r="K1611" s="652">
        <f t="shared" si="591"/>
        <v>40239700.609999999</v>
      </c>
      <c r="L1611" s="652">
        <f t="shared" si="591"/>
        <v>17999252.949999999</v>
      </c>
      <c r="M1611" s="652">
        <f t="shared" si="591"/>
        <v>173202202.84999999</v>
      </c>
      <c r="N1611" s="652">
        <f t="shared" si="587"/>
        <v>9968636.7099999934</v>
      </c>
      <c r="O1611" s="652">
        <f t="shared" si="587"/>
        <v>28347514.390000001</v>
      </c>
      <c r="P1611" s="652">
        <f t="shared" si="587"/>
        <v>747.05000000074506</v>
      </c>
      <c r="Q1611" s="652">
        <f t="shared" si="588"/>
        <v>38316898.149999991</v>
      </c>
      <c r="R1611" s="653">
        <f>+Q1611-'[3]special hospitals2'!BT179</f>
        <v>0</v>
      </c>
      <c r="S1611" s="1008">
        <f t="shared" si="575"/>
        <v>0.92020742638912856</v>
      </c>
      <c r="T1611" s="1008">
        <f t="shared" si="575"/>
        <v>0.58669389929303883</v>
      </c>
      <c r="U1611" s="1008">
        <f t="shared" si="575"/>
        <v>0.99995849722222219</v>
      </c>
      <c r="V1611" s="1008">
        <f t="shared" si="575"/>
        <v>0.81884899298054403</v>
      </c>
      <c r="W1611" s="254"/>
      <c r="X1611" s="520"/>
      <c r="Y1611" s="610" t="s">
        <v>598</v>
      </c>
      <c r="Z1611" s="241" t="s">
        <v>598</v>
      </c>
    </row>
    <row r="1612" spans="1:26" ht="11.25" hidden="1" customHeight="1">
      <c r="A1612" s="246" t="s">
        <v>258</v>
      </c>
      <c r="B1612" s="235" t="s">
        <v>256</v>
      </c>
      <c r="C1612" s="410"/>
      <c r="D1612" s="386"/>
      <c r="E1612" s="461"/>
      <c r="F1612" s="103"/>
      <c r="G1612" s="103"/>
      <c r="H1612" s="103"/>
      <c r="I1612" s="103">
        <f>SUM(F1612:H1612)</f>
        <v>0</v>
      </c>
      <c r="J1612" s="103"/>
      <c r="K1612" s="103"/>
      <c r="L1612" s="103"/>
      <c r="M1612" s="103">
        <f t="shared" si="577"/>
        <v>0</v>
      </c>
      <c r="N1612" s="103">
        <f t="shared" si="587"/>
        <v>0</v>
      </c>
      <c r="O1612" s="103">
        <f t="shared" si="587"/>
        <v>0</v>
      </c>
      <c r="P1612" s="103">
        <f t="shared" si="587"/>
        <v>0</v>
      </c>
      <c r="Q1612" s="103">
        <f t="shared" si="588"/>
        <v>0</v>
      </c>
      <c r="R1612" s="236"/>
      <c r="S1612" s="730" t="str">
        <f t="shared" si="575"/>
        <v/>
      </c>
      <c r="T1612" s="730" t="str">
        <f t="shared" si="575"/>
        <v/>
      </c>
      <c r="U1612" s="730" t="str">
        <f t="shared" si="575"/>
        <v/>
      </c>
      <c r="V1612" s="730" t="str">
        <f t="shared" si="575"/>
        <v/>
      </c>
      <c r="W1612" s="254"/>
      <c r="X1612" s="237" t="s">
        <v>598</v>
      </c>
      <c r="Z1612" s="241" t="s">
        <v>598</v>
      </c>
    </row>
    <row r="1613" spans="1:26" s="275" customFormat="1" ht="11.25" hidden="1" customHeight="1">
      <c r="A1613" s="246" t="s">
        <v>258</v>
      </c>
      <c r="B1613" s="246" t="s">
        <v>259</v>
      </c>
      <c r="C1613" s="407" t="s">
        <v>859</v>
      </c>
      <c r="D1613" s="407"/>
      <c r="E1613" s="408"/>
      <c r="F1613" s="409"/>
      <c r="G1613" s="409"/>
      <c r="H1613" s="409"/>
      <c r="I1613" s="409">
        <f>SUM(F1613:H1613)</f>
        <v>0</v>
      </c>
      <c r="J1613" s="409"/>
      <c r="K1613" s="409"/>
      <c r="L1613" s="409"/>
      <c r="M1613" s="409">
        <f t="shared" si="577"/>
        <v>0</v>
      </c>
      <c r="N1613" s="409">
        <f t="shared" si="587"/>
        <v>0</v>
      </c>
      <c r="O1613" s="409">
        <f t="shared" si="587"/>
        <v>0</v>
      </c>
      <c r="P1613" s="409">
        <f t="shared" si="587"/>
        <v>0</v>
      </c>
      <c r="Q1613" s="409">
        <f t="shared" si="588"/>
        <v>0</v>
      </c>
      <c r="R1613" s="522"/>
      <c r="S1613" s="254" t="str">
        <f t="shared" si="575"/>
        <v/>
      </c>
      <c r="T1613" s="254" t="str">
        <f t="shared" si="575"/>
        <v/>
      </c>
      <c r="U1613" s="254" t="str">
        <f t="shared" si="575"/>
        <v/>
      </c>
      <c r="V1613" s="1002" t="str">
        <f t="shared" si="575"/>
        <v/>
      </c>
      <c r="W1613" s="254"/>
      <c r="X1613" s="274" t="s">
        <v>598</v>
      </c>
      <c r="Y1613" s="663"/>
      <c r="Z1613" s="253"/>
    </row>
    <row r="1614" spans="1:26" ht="11.25" hidden="1" customHeight="1">
      <c r="A1614" s="246" t="s">
        <v>258</v>
      </c>
      <c r="B1614" s="235" t="s">
        <v>259</v>
      </c>
      <c r="C1614" s="461"/>
      <c r="D1614" s="664" t="s">
        <v>766</v>
      </c>
      <c r="E1614" s="447" t="s">
        <v>766</v>
      </c>
      <c r="F1614" s="103">
        <f t="shared" ref="F1614:H1615" si="592">+F1433+F1449+F1464+F1479+F1494+F1509+F1524+F1539+F1554+F1569+F1584+F1599</f>
        <v>2930586671</v>
      </c>
      <c r="G1614" s="103">
        <f t="shared" si="592"/>
        <v>1149089329</v>
      </c>
      <c r="H1614" s="103">
        <f t="shared" si="592"/>
        <v>0</v>
      </c>
      <c r="I1614" s="103">
        <f>SUM(F1614:H1614)</f>
        <v>4079676000</v>
      </c>
      <c r="J1614" s="103">
        <f t="shared" ref="J1614:L1615" si="593">+J1433+J1449+J1464+J1479+J1494+J1509+J1524+J1539+J1554+J1569+J1584+J1599</f>
        <v>2743308772.8400002</v>
      </c>
      <c r="K1614" s="103">
        <f t="shared" si="593"/>
        <v>990988297.47000003</v>
      </c>
      <c r="L1614" s="103">
        <f t="shared" si="593"/>
        <v>0</v>
      </c>
      <c r="M1614" s="103">
        <f t="shared" si="577"/>
        <v>3734297070.3100004</v>
      </c>
      <c r="N1614" s="103">
        <f t="shared" si="587"/>
        <v>187277898.15999985</v>
      </c>
      <c r="O1614" s="103">
        <f t="shared" si="587"/>
        <v>158101031.52999997</v>
      </c>
      <c r="P1614" s="103">
        <f t="shared" si="587"/>
        <v>0</v>
      </c>
      <c r="Q1614" s="103">
        <f t="shared" si="588"/>
        <v>345378929.68999982</v>
      </c>
      <c r="R1614" s="236"/>
      <c r="S1614" s="730">
        <f t="shared" si="575"/>
        <v>0.9360954241643038</v>
      </c>
      <c r="T1614" s="730">
        <f t="shared" si="575"/>
        <v>0.86241188779675804</v>
      </c>
      <c r="U1614" s="730" t="str">
        <f t="shared" si="575"/>
        <v/>
      </c>
      <c r="V1614" s="730">
        <f t="shared" si="575"/>
        <v>0.91534157867193389</v>
      </c>
      <c r="W1614" s="254"/>
      <c r="X1614" s="237" t="s">
        <v>598</v>
      </c>
    </row>
    <row r="1615" spans="1:26" ht="11.25" hidden="1" customHeight="1">
      <c r="A1615" s="246" t="s">
        <v>258</v>
      </c>
      <c r="B1615" s="235" t="s">
        <v>259</v>
      </c>
      <c r="C1615" s="728"/>
      <c r="D1615" s="394" t="s">
        <v>50</v>
      </c>
      <c r="E1615" s="447" t="s">
        <v>50</v>
      </c>
      <c r="F1615" s="103">
        <f t="shared" si="592"/>
        <v>0</v>
      </c>
      <c r="G1615" s="103">
        <f t="shared" si="592"/>
        <v>656279868</v>
      </c>
      <c r="H1615" s="103">
        <f t="shared" si="592"/>
        <v>1991669435.0999999</v>
      </c>
      <c r="I1615" s="103">
        <f>SUM(F1615:H1615)</f>
        <v>2647949303.0999999</v>
      </c>
      <c r="J1615" s="103">
        <f t="shared" si="593"/>
        <v>0</v>
      </c>
      <c r="K1615" s="103">
        <f t="shared" si="593"/>
        <v>501760548.38000005</v>
      </c>
      <c r="L1615" s="103">
        <f t="shared" si="593"/>
        <v>668343608.60000002</v>
      </c>
      <c r="M1615" s="103">
        <f>SUM(J1615:L1615)</f>
        <v>1170104156.98</v>
      </c>
      <c r="N1615" s="103">
        <f t="shared" si="587"/>
        <v>0</v>
      </c>
      <c r="O1615" s="103">
        <f t="shared" si="587"/>
        <v>154519319.61999995</v>
      </c>
      <c r="P1615" s="103">
        <f t="shared" si="587"/>
        <v>1323325826.5</v>
      </c>
      <c r="Q1615" s="103">
        <f t="shared" si="588"/>
        <v>1477845146.1199999</v>
      </c>
      <c r="R1615" s="236"/>
      <c r="S1615" s="730" t="str">
        <f t="shared" si="575"/>
        <v/>
      </c>
      <c r="T1615" s="730">
        <f t="shared" si="575"/>
        <v>0.76455270509684448</v>
      </c>
      <c r="U1615" s="730">
        <f t="shared" si="575"/>
        <v>0.33556954624171509</v>
      </c>
      <c r="V1615" s="730">
        <f t="shared" si="575"/>
        <v>0.44189069466327729</v>
      </c>
      <c r="W1615" s="254"/>
      <c r="X1615" s="237" t="s">
        <v>598</v>
      </c>
    </row>
    <row r="1616" spans="1:26" s="256" customFormat="1" ht="11.25" hidden="1" customHeight="1">
      <c r="A1616" s="246" t="s">
        <v>258</v>
      </c>
      <c r="B1616" s="246" t="s">
        <v>259</v>
      </c>
      <c r="C1616" s="389"/>
      <c r="D1616" s="389" t="s">
        <v>98</v>
      </c>
      <c r="E1616" s="390" t="s">
        <v>767</v>
      </c>
      <c r="F1616" s="391">
        <f>+F1614+F1615</f>
        <v>2930586671</v>
      </c>
      <c r="G1616" s="391">
        <f t="shared" ref="G1616:M1616" si="594">+G1614+G1615</f>
        <v>1805369197</v>
      </c>
      <c r="H1616" s="391">
        <f t="shared" si="594"/>
        <v>1991669435.0999999</v>
      </c>
      <c r="I1616" s="391">
        <f t="shared" si="594"/>
        <v>6727625303.1000004</v>
      </c>
      <c r="J1616" s="391">
        <f t="shared" si="594"/>
        <v>2743308772.8400002</v>
      </c>
      <c r="K1616" s="391">
        <f t="shared" si="594"/>
        <v>1492748845.8500001</v>
      </c>
      <c r="L1616" s="391">
        <f t="shared" si="594"/>
        <v>668343608.60000002</v>
      </c>
      <c r="M1616" s="391">
        <f t="shared" si="594"/>
        <v>4904401227.2900009</v>
      </c>
      <c r="N1616" s="391">
        <f t="shared" si="587"/>
        <v>187277898.15999985</v>
      </c>
      <c r="O1616" s="391">
        <f t="shared" si="587"/>
        <v>312620351.14999986</v>
      </c>
      <c r="P1616" s="391">
        <f t="shared" si="587"/>
        <v>1323325826.5</v>
      </c>
      <c r="Q1616" s="391">
        <f t="shared" si="588"/>
        <v>1823224075.8099997</v>
      </c>
      <c r="R1616" s="665"/>
      <c r="S1616" s="254">
        <f t="shared" si="575"/>
        <v>0.9360954241643038</v>
      </c>
      <c r="T1616" s="254">
        <f t="shared" si="575"/>
        <v>0.82683854822078262</v>
      </c>
      <c r="U1616" s="254">
        <f t="shared" si="575"/>
        <v>0.33556954624171509</v>
      </c>
      <c r="V1616" s="297">
        <f t="shared" si="575"/>
        <v>0.72899440832861451</v>
      </c>
      <c r="W1616" s="254"/>
      <c r="X1616" s="271" t="s">
        <v>598</v>
      </c>
      <c r="Y1616" s="628"/>
      <c r="Z1616" s="255"/>
    </row>
    <row r="1617" spans="1:26" ht="11.25" hidden="1" customHeight="1">
      <c r="A1617" s="246" t="s">
        <v>258</v>
      </c>
      <c r="B1617" s="235" t="s">
        <v>259</v>
      </c>
      <c r="C1617" s="410"/>
      <c r="D1617" s="396"/>
      <c r="E1617" s="806"/>
      <c r="F1617" s="807"/>
      <c r="G1617" s="807"/>
      <c r="H1617" s="807"/>
      <c r="I1617" s="807"/>
      <c r="J1617" s="807"/>
      <c r="K1617" s="807"/>
      <c r="L1617" s="807"/>
      <c r="M1617" s="807"/>
      <c r="N1617" s="807">
        <f t="shared" si="587"/>
        <v>0</v>
      </c>
      <c r="O1617" s="807">
        <f t="shared" si="587"/>
        <v>0</v>
      </c>
      <c r="P1617" s="807">
        <f t="shared" si="587"/>
        <v>0</v>
      </c>
      <c r="Q1617" s="807">
        <f t="shared" si="588"/>
        <v>0</v>
      </c>
      <c r="R1617" s="276"/>
      <c r="S1617" s="730" t="str">
        <f t="shared" si="575"/>
        <v/>
      </c>
      <c r="T1617" s="730" t="str">
        <f t="shared" si="575"/>
        <v/>
      </c>
      <c r="U1617" s="730" t="str">
        <f t="shared" si="575"/>
        <v/>
      </c>
      <c r="V1617" s="730" t="str">
        <f t="shared" si="575"/>
        <v/>
      </c>
      <c r="W1617" s="254"/>
      <c r="X1617" s="237" t="s">
        <v>598</v>
      </c>
    </row>
    <row r="1618" spans="1:26" s="256" customFormat="1" ht="11.25" hidden="1" customHeight="1">
      <c r="A1618" s="246" t="s">
        <v>258</v>
      </c>
      <c r="B1618" s="246" t="s">
        <v>259</v>
      </c>
      <c r="C1618" s="389"/>
      <c r="D1618" s="389" t="s">
        <v>98</v>
      </c>
      <c r="E1618" s="390" t="s">
        <v>99</v>
      </c>
      <c r="F1618" s="391">
        <f>+F1619</f>
        <v>264365000</v>
      </c>
      <c r="G1618" s="391">
        <f t="shared" ref="G1618:M1618" si="595">+G1619</f>
        <v>0</v>
      </c>
      <c r="H1618" s="391">
        <f t="shared" si="595"/>
        <v>0</v>
      </c>
      <c r="I1618" s="391">
        <f t="shared" si="595"/>
        <v>264365000</v>
      </c>
      <c r="J1618" s="391">
        <f t="shared" si="595"/>
        <v>237871165.55000001</v>
      </c>
      <c r="K1618" s="391">
        <f t="shared" si="595"/>
        <v>0</v>
      </c>
      <c r="L1618" s="391">
        <f t="shared" si="595"/>
        <v>0</v>
      </c>
      <c r="M1618" s="391">
        <f t="shared" si="595"/>
        <v>237871165.55000001</v>
      </c>
      <c r="N1618" s="391">
        <f t="shared" si="587"/>
        <v>26493834.449999988</v>
      </c>
      <c r="O1618" s="391">
        <f t="shared" si="587"/>
        <v>0</v>
      </c>
      <c r="P1618" s="391">
        <f t="shared" si="587"/>
        <v>0</v>
      </c>
      <c r="Q1618" s="391">
        <f t="shared" si="588"/>
        <v>26493834.449999988</v>
      </c>
      <c r="R1618" s="522"/>
      <c r="S1618" s="254">
        <f t="shared" si="575"/>
        <v>0.89978312390066773</v>
      </c>
      <c r="T1618" s="254" t="str">
        <f t="shared" si="575"/>
        <v/>
      </c>
      <c r="U1618" s="254" t="str">
        <f t="shared" si="575"/>
        <v/>
      </c>
      <c r="V1618" s="297">
        <f t="shared" si="575"/>
        <v>0.89978312390066773</v>
      </c>
      <c r="W1618" s="254"/>
      <c r="X1618" s="271" t="s">
        <v>598</v>
      </c>
      <c r="Y1618" s="628"/>
      <c r="Z1618" s="255"/>
    </row>
    <row r="1619" spans="1:26" ht="11.25" hidden="1" customHeight="1">
      <c r="A1619" s="246" t="s">
        <v>258</v>
      </c>
      <c r="B1619" s="235" t="s">
        <v>259</v>
      </c>
      <c r="C1619" s="728"/>
      <c r="D1619" s="394" t="s">
        <v>286</v>
      </c>
      <c r="E1619" s="729" t="s">
        <v>286</v>
      </c>
      <c r="F1619" s="103">
        <f>+F1438+F1454+F1469+F1484+F1499+F1514+F1529+F1544+F1559+F1574+F1589+F1604</f>
        <v>264365000</v>
      </c>
      <c r="G1619" s="103">
        <f>+G1438+G1454+G1469+G1484+G1499+G1514+G1529+G1544+G1559+G1574+G1589+G1604</f>
        <v>0</v>
      </c>
      <c r="H1619" s="103">
        <f>+H1438+H1454+H1469+H1484+H1499+H1514+H1529+H1544+H1559+H1574+H1589+H1604</f>
        <v>0</v>
      </c>
      <c r="I1619" s="103">
        <f>SUM(F1619:H1619)</f>
        <v>264365000</v>
      </c>
      <c r="J1619" s="103">
        <f>+J1438+J1454+J1469+J1484+J1499+J1514+J1529+J1544+J1559+J1574+J1589+J1604</f>
        <v>237871165.55000001</v>
      </c>
      <c r="K1619" s="103">
        <f>+K1438+K1454+K1469+K1484+K1499+K1514+K1529+K1544+K1559+K1574+K1589+K1604</f>
        <v>0</v>
      </c>
      <c r="L1619" s="103">
        <f>+L1438+L1454+L1469+L1484+L1499+L1514+L1529+L1544+L1559+L1574+L1589+L1604</f>
        <v>0</v>
      </c>
      <c r="M1619" s="103">
        <f t="shared" si="577"/>
        <v>237871165.55000001</v>
      </c>
      <c r="N1619" s="103">
        <f t="shared" si="587"/>
        <v>26493834.449999988</v>
      </c>
      <c r="O1619" s="103">
        <f t="shared" si="587"/>
        <v>0</v>
      </c>
      <c r="P1619" s="103">
        <f t="shared" si="587"/>
        <v>0</v>
      </c>
      <c r="Q1619" s="103">
        <f t="shared" si="588"/>
        <v>26493834.449999988</v>
      </c>
      <c r="R1619" s="236"/>
      <c r="S1619" s="730">
        <f t="shared" si="575"/>
        <v>0.89978312390066773</v>
      </c>
      <c r="T1619" s="730" t="str">
        <f t="shared" si="575"/>
        <v/>
      </c>
      <c r="U1619" s="730" t="str">
        <f t="shared" si="575"/>
        <v/>
      </c>
      <c r="V1619" s="730">
        <f t="shared" si="575"/>
        <v>0.89978312390066773</v>
      </c>
      <c r="W1619" s="254"/>
      <c r="X1619" s="237" t="s">
        <v>598</v>
      </c>
    </row>
    <row r="1620" spans="1:26" s="272" customFormat="1" ht="11.25" hidden="1" customHeight="1">
      <c r="A1620" s="246" t="s">
        <v>258</v>
      </c>
      <c r="B1620" s="246" t="s">
        <v>259</v>
      </c>
      <c r="C1620" s="389"/>
      <c r="D1620" s="389" t="s">
        <v>98</v>
      </c>
      <c r="E1620" s="390" t="s">
        <v>100</v>
      </c>
      <c r="F1620" s="391">
        <f>SUM(F1621:F1626)</f>
        <v>154128085</v>
      </c>
      <c r="G1620" s="391">
        <f t="shared" ref="G1620:M1620" si="596">SUM(G1621:G1626)</f>
        <v>67561900</v>
      </c>
      <c r="H1620" s="391">
        <f t="shared" si="596"/>
        <v>0</v>
      </c>
      <c r="I1620" s="391">
        <f t="shared" si="596"/>
        <v>221689985</v>
      </c>
      <c r="J1620" s="391">
        <f t="shared" si="596"/>
        <v>148712492.83000001</v>
      </c>
      <c r="K1620" s="391">
        <f t="shared" si="596"/>
        <v>47091165.100000001</v>
      </c>
      <c r="L1620" s="391">
        <f t="shared" si="596"/>
        <v>0</v>
      </c>
      <c r="M1620" s="391">
        <f t="shared" si="596"/>
        <v>195803657.93000001</v>
      </c>
      <c r="N1620" s="391">
        <f t="shared" si="587"/>
        <v>5415592.1699999869</v>
      </c>
      <c r="O1620" s="391">
        <f t="shared" si="587"/>
        <v>20470734.899999999</v>
      </c>
      <c r="P1620" s="391">
        <f t="shared" si="587"/>
        <v>0</v>
      </c>
      <c r="Q1620" s="391">
        <f t="shared" si="588"/>
        <v>25886327.069999985</v>
      </c>
      <c r="R1620" s="94"/>
      <c r="S1620" s="254">
        <f t="shared" si="575"/>
        <v>0.96486304121666089</v>
      </c>
      <c r="T1620" s="254">
        <f t="shared" si="575"/>
        <v>0.69700770848658788</v>
      </c>
      <c r="U1620" s="254" t="str">
        <f t="shared" si="575"/>
        <v/>
      </c>
      <c r="V1620" s="297">
        <f t="shared" si="575"/>
        <v>0.88323186060930992</v>
      </c>
      <c r="W1620" s="254"/>
      <c r="X1620" s="527" t="s">
        <v>598</v>
      </c>
      <c r="Y1620" s="629"/>
      <c r="Z1620" s="277"/>
    </row>
    <row r="1621" spans="1:26" ht="11.25" hidden="1" customHeight="1">
      <c r="A1621" s="246" t="s">
        <v>258</v>
      </c>
      <c r="B1621" s="235" t="s">
        <v>259</v>
      </c>
      <c r="C1621" s="728"/>
      <c r="D1621" s="394" t="s">
        <v>288</v>
      </c>
      <c r="E1621" s="729" t="s">
        <v>288</v>
      </c>
      <c r="F1621" s="103">
        <f t="shared" ref="F1621:H1622" si="597">+F1440+F1456+F1471+F1486+F1501+F1516+F1531+F1546+F1561+F1576+F1591+F1606</f>
        <v>0</v>
      </c>
      <c r="G1621" s="103">
        <f t="shared" si="597"/>
        <v>0</v>
      </c>
      <c r="H1621" s="103">
        <f t="shared" si="597"/>
        <v>0</v>
      </c>
      <c r="I1621" s="103">
        <f>SUM(F1621:H1621)</f>
        <v>0</v>
      </c>
      <c r="J1621" s="103">
        <f t="shared" ref="J1621:L1622" si="598">+J1440+J1456+J1471+J1486+J1501+J1516+J1531+J1546+J1561+J1576+J1591+J1606</f>
        <v>0</v>
      </c>
      <c r="K1621" s="103">
        <f t="shared" si="598"/>
        <v>0</v>
      </c>
      <c r="L1621" s="103">
        <f t="shared" si="598"/>
        <v>0</v>
      </c>
      <c r="M1621" s="103">
        <f t="shared" si="577"/>
        <v>0</v>
      </c>
      <c r="N1621" s="103">
        <f t="shared" si="587"/>
        <v>0</v>
      </c>
      <c r="O1621" s="103">
        <f t="shared" si="587"/>
        <v>0</v>
      </c>
      <c r="P1621" s="103">
        <f t="shared" si="587"/>
        <v>0</v>
      </c>
      <c r="Q1621" s="103">
        <f t="shared" si="588"/>
        <v>0</v>
      </c>
      <c r="R1621" s="236"/>
      <c r="S1621" s="730" t="str">
        <f t="shared" si="575"/>
        <v/>
      </c>
      <c r="T1621" s="730" t="str">
        <f t="shared" si="575"/>
        <v/>
      </c>
      <c r="U1621" s="730" t="str">
        <f t="shared" si="575"/>
        <v/>
      </c>
      <c r="V1621" s="730" t="str">
        <f t="shared" si="575"/>
        <v/>
      </c>
      <c r="W1621" s="254"/>
      <c r="X1621" s="237" t="s">
        <v>598</v>
      </c>
    </row>
    <row r="1622" spans="1:26" ht="11.25" hidden="1" customHeight="1">
      <c r="A1622" s="246" t="s">
        <v>258</v>
      </c>
      <c r="B1622" s="235" t="s">
        <v>259</v>
      </c>
      <c r="C1622" s="728"/>
      <c r="D1622" s="394" t="s">
        <v>761</v>
      </c>
      <c r="E1622" s="729" t="s">
        <v>761</v>
      </c>
      <c r="F1622" s="103">
        <f t="shared" si="597"/>
        <v>83289250</v>
      </c>
      <c r="G1622" s="103">
        <f t="shared" si="597"/>
        <v>0</v>
      </c>
      <c r="H1622" s="103">
        <f t="shared" si="597"/>
        <v>0</v>
      </c>
      <c r="I1622" s="103">
        <f>SUM(F1622:H1622)</f>
        <v>83289250</v>
      </c>
      <c r="J1622" s="103">
        <f t="shared" si="598"/>
        <v>78926428</v>
      </c>
      <c r="K1622" s="103">
        <f t="shared" si="598"/>
        <v>0</v>
      </c>
      <c r="L1622" s="103">
        <f t="shared" si="598"/>
        <v>0</v>
      </c>
      <c r="M1622" s="103">
        <f>SUM(J1622:L1622)</f>
        <v>78926428</v>
      </c>
      <c r="N1622" s="103">
        <f>+F1622-J1622</f>
        <v>4362822</v>
      </c>
      <c r="O1622" s="103">
        <f>+G1622-K1622</f>
        <v>0</v>
      </c>
      <c r="P1622" s="103">
        <f>+H1622-L1622</f>
        <v>0</v>
      </c>
      <c r="Q1622" s="103">
        <f>SUM(N1622:P1622)</f>
        <v>4362822</v>
      </c>
      <c r="R1622" s="236"/>
      <c r="S1622" s="730">
        <f t="shared" si="575"/>
        <v>0.94761842614743197</v>
      </c>
      <c r="T1622" s="730" t="str">
        <f t="shared" si="575"/>
        <v/>
      </c>
      <c r="U1622" s="730" t="str">
        <f t="shared" si="575"/>
        <v/>
      </c>
      <c r="V1622" s="730">
        <f t="shared" si="575"/>
        <v>0.94761842614743197</v>
      </c>
      <c r="W1622" s="254"/>
      <c r="X1622" s="237" t="s">
        <v>598</v>
      </c>
    </row>
    <row r="1623" spans="1:26" ht="11.25" hidden="1" customHeight="1">
      <c r="A1623" s="246" t="s">
        <v>258</v>
      </c>
      <c r="B1623" s="235" t="s">
        <v>259</v>
      </c>
      <c r="C1623" s="410"/>
      <c r="D1623" s="386"/>
      <c r="E1623" s="461"/>
      <c r="F1623" s="104"/>
      <c r="G1623" s="104"/>
      <c r="H1623" s="104"/>
      <c r="I1623" s="103"/>
      <c r="J1623" s="104"/>
      <c r="K1623" s="104"/>
      <c r="L1623" s="104"/>
      <c r="M1623" s="103"/>
      <c r="N1623" s="103"/>
      <c r="O1623" s="103"/>
      <c r="P1623" s="103"/>
      <c r="Q1623" s="103"/>
      <c r="R1623" s="236"/>
      <c r="S1623" s="730" t="str">
        <f t="shared" si="575"/>
        <v/>
      </c>
      <c r="T1623" s="730" t="str">
        <f t="shared" si="575"/>
        <v/>
      </c>
      <c r="U1623" s="730" t="str">
        <f t="shared" si="575"/>
        <v/>
      </c>
      <c r="V1623" s="730" t="str">
        <f t="shared" ref="V1623:V1686" si="599">IF(I1623=0,"",M1623/I1623)</f>
        <v/>
      </c>
      <c r="W1623" s="254"/>
      <c r="X1623" s="237" t="s">
        <v>598</v>
      </c>
    </row>
    <row r="1624" spans="1:26" ht="11.25" hidden="1" customHeight="1">
      <c r="A1624" s="246" t="s">
        <v>258</v>
      </c>
      <c r="B1624" s="235" t="s">
        <v>259</v>
      </c>
      <c r="C1624" s="728"/>
      <c r="D1624" s="394" t="s">
        <v>289</v>
      </c>
      <c r="E1624" s="729" t="s">
        <v>289</v>
      </c>
      <c r="F1624" s="103">
        <f t="shared" ref="F1624:H1625" si="600">+F1443+F1459+F1474+F1489+F1504+F1519+F1534+F1549+F1564+F1579+F1594+F1609</f>
        <v>70838835</v>
      </c>
      <c r="G1624" s="103">
        <f t="shared" si="600"/>
        <v>0</v>
      </c>
      <c r="H1624" s="103">
        <f t="shared" si="600"/>
        <v>0</v>
      </c>
      <c r="I1624" s="103">
        <f>SUM(F1624:H1624)</f>
        <v>70838835</v>
      </c>
      <c r="J1624" s="103">
        <f t="shared" ref="J1624:L1625" si="601">+J1443+J1459+J1474+J1489+J1504+J1519+J1534+J1549+J1564+J1579+J1594+J1609</f>
        <v>69786064.830000013</v>
      </c>
      <c r="K1624" s="103">
        <f t="shared" si="601"/>
        <v>0</v>
      </c>
      <c r="L1624" s="103">
        <f t="shared" si="601"/>
        <v>0</v>
      </c>
      <c r="M1624" s="103">
        <f t="shared" si="577"/>
        <v>69786064.830000013</v>
      </c>
      <c r="N1624" s="103">
        <f t="shared" si="587"/>
        <v>1052770.1699999869</v>
      </c>
      <c r="O1624" s="103">
        <f t="shared" si="587"/>
        <v>0</v>
      </c>
      <c r="P1624" s="103">
        <f t="shared" si="587"/>
        <v>0</v>
      </c>
      <c r="Q1624" s="103">
        <f t="shared" si="588"/>
        <v>1052770.1699999869</v>
      </c>
      <c r="R1624" s="236"/>
      <c r="S1624" s="730">
        <f t="shared" ref="S1624:V1687" si="602">IF(F1624=0,"",J1624/F1624)</f>
        <v>0.98513851660603979</v>
      </c>
      <c r="T1624" s="730" t="str">
        <f t="shared" si="602"/>
        <v/>
      </c>
      <c r="U1624" s="730" t="str">
        <f t="shared" si="602"/>
        <v/>
      </c>
      <c r="V1624" s="730">
        <f t="shared" si="599"/>
        <v>0.98513851660603979</v>
      </c>
      <c r="W1624" s="254"/>
      <c r="X1624" s="237" t="s">
        <v>598</v>
      </c>
    </row>
    <row r="1625" spans="1:26" ht="11.25" hidden="1" customHeight="1">
      <c r="A1625" s="246" t="s">
        <v>258</v>
      </c>
      <c r="B1625" s="235" t="s">
        <v>259</v>
      </c>
      <c r="C1625" s="728"/>
      <c r="D1625" s="394" t="s">
        <v>290</v>
      </c>
      <c r="E1625" s="729" t="s">
        <v>290</v>
      </c>
      <c r="F1625" s="103">
        <f t="shared" si="600"/>
        <v>0</v>
      </c>
      <c r="G1625" s="103">
        <f t="shared" si="600"/>
        <v>67561900</v>
      </c>
      <c r="H1625" s="103">
        <f t="shared" si="600"/>
        <v>0</v>
      </c>
      <c r="I1625" s="103">
        <f>SUM(F1625:H1625)</f>
        <v>67561900</v>
      </c>
      <c r="J1625" s="103">
        <f t="shared" si="601"/>
        <v>0</v>
      </c>
      <c r="K1625" s="103">
        <f t="shared" si="601"/>
        <v>47091165.100000001</v>
      </c>
      <c r="L1625" s="103">
        <f t="shared" si="601"/>
        <v>0</v>
      </c>
      <c r="M1625" s="103">
        <f t="shared" si="577"/>
        <v>47091165.100000001</v>
      </c>
      <c r="N1625" s="103">
        <f t="shared" si="587"/>
        <v>0</v>
      </c>
      <c r="O1625" s="103">
        <f t="shared" si="587"/>
        <v>20470734.899999999</v>
      </c>
      <c r="P1625" s="103">
        <f t="shared" si="587"/>
        <v>0</v>
      </c>
      <c r="Q1625" s="103">
        <f t="shared" si="588"/>
        <v>20470734.899999999</v>
      </c>
      <c r="R1625" s="236"/>
      <c r="S1625" s="730" t="str">
        <f t="shared" si="602"/>
        <v/>
      </c>
      <c r="T1625" s="730">
        <f t="shared" si="602"/>
        <v>0.69700770848658788</v>
      </c>
      <c r="U1625" s="730" t="str">
        <f t="shared" si="602"/>
        <v/>
      </c>
      <c r="V1625" s="730">
        <f t="shared" si="599"/>
        <v>0.69700770848658788</v>
      </c>
      <c r="W1625" s="254"/>
      <c r="X1625" s="237" t="s">
        <v>598</v>
      </c>
    </row>
    <row r="1626" spans="1:26" ht="11.25" hidden="1" customHeight="1">
      <c r="A1626" s="246" t="s">
        <v>258</v>
      </c>
      <c r="B1626" s="235" t="s">
        <v>259</v>
      </c>
      <c r="C1626" s="410"/>
      <c r="D1626" s="396"/>
      <c r="E1626" s="729" t="s">
        <v>851</v>
      </c>
      <c r="F1626" s="103">
        <f>+F1445</f>
        <v>0</v>
      </c>
      <c r="G1626" s="103">
        <f t="shared" ref="G1626:Q1626" si="603">+G1445</f>
        <v>0</v>
      </c>
      <c r="H1626" s="103">
        <f t="shared" si="603"/>
        <v>0</v>
      </c>
      <c r="I1626" s="103">
        <f t="shared" si="603"/>
        <v>0</v>
      </c>
      <c r="J1626" s="103">
        <f t="shared" si="603"/>
        <v>0</v>
      </c>
      <c r="K1626" s="103">
        <f t="shared" si="603"/>
        <v>0</v>
      </c>
      <c r="L1626" s="103">
        <f t="shared" si="603"/>
        <v>0</v>
      </c>
      <c r="M1626" s="103">
        <f t="shared" si="603"/>
        <v>0</v>
      </c>
      <c r="N1626" s="103">
        <f t="shared" si="603"/>
        <v>0</v>
      </c>
      <c r="O1626" s="103">
        <f t="shared" si="603"/>
        <v>0</v>
      </c>
      <c r="P1626" s="103">
        <f t="shared" si="603"/>
        <v>0</v>
      </c>
      <c r="Q1626" s="103">
        <f t="shared" si="603"/>
        <v>0</v>
      </c>
      <c r="R1626" s="236"/>
      <c r="S1626" s="730" t="str">
        <f t="shared" si="602"/>
        <v/>
      </c>
      <c r="T1626" s="730" t="str">
        <f t="shared" si="602"/>
        <v/>
      </c>
      <c r="U1626" s="730" t="str">
        <f t="shared" si="602"/>
        <v/>
      </c>
      <c r="V1626" s="730" t="str">
        <f t="shared" si="599"/>
        <v/>
      </c>
      <c r="W1626" s="254"/>
      <c r="X1626" s="237" t="s">
        <v>598</v>
      </c>
    </row>
    <row r="1627" spans="1:26" s="266" customFormat="1" ht="17.25" customHeight="1">
      <c r="A1627" s="264" t="s">
        <v>258</v>
      </c>
      <c r="B1627" s="1009" t="s">
        <v>259</v>
      </c>
      <c r="C1627" s="1431" t="s">
        <v>659</v>
      </c>
      <c r="D1627" s="1432"/>
      <c r="E1627" s="1433"/>
      <c r="F1627" s="666">
        <f t="shared" ref="F1627:M1627" si="604">+F1615+F1620+F1618+F1614</f>
        <v>3349079756</v>
      </c>
      <c r="G1627" s="666">
        <f t="shared" si="604"/>
        <v>1872931097</v>
      </c>
      <c r="H1627" s="666">
        <f t="shared" si="604"/>
        <v>1991669435.0999999</v>
      </c>
      <c r="I1627" s="666">
        <f t="shared" si="604"/>
        <v>7213680288.1000004</v>
      </c>
      <c r="J1627" s="666">
        <f t="shared" si="604"/>
        <v>3129892431.2200003</v>
      </c>
      <c r="K1627" s="666">
        <f t="shared" si="604"/>
        <v>1539840010.95</v>
      </c>
      <c r="L1627" s="666">
        <f t="shared" si="604"/>
        <v>668343608.60000002</v>
      </c>
      <c r="M1627" s="666">
        <f t="shared" si="604"/>
        <v>5338076050.7700005</v>
      </c>
      <c r="N1627" s="666">
        <f t="shared" si="587"/>
        <v>219187324.77999973</v>
      </c>
      <c r="O1627" s="666">
        <f t="shared" si="587"/>
        <v>333091086.04999995</v>
      </c>
      <c r="P1627" s="666">
        <f t="shared" si="587"/>
        <v>1323325826.5</v>
      </c>
      <c r="Q1627" s="666">
        <f t="shared" si="588"/>
        <v>1875604237.3299997</v>
      </c>
      <c r="R1627" s="667">
        <f>+Q1627-'[3]special hospitals1'!CT179-'[3]special hospitals2'!BX179</f>
        <v>0</v>
      </c>
      <c r="S1627" s="1010">
        <f t="shared" si="602"/>
        <v>0.93455296954713674</v>
      </c>
      <c r="T1627" s="1010">
        <f t="shared" si="602"/>
        <v>0.82215518414770605</v>
      </c>
      <c r="U1627" s="1010">
        <f t="shared" si="602"/>
        <v>0.33556954624171509</v>
      </c>
      <c r="V1627" s="1010">
        <f t="shared" si="599"/>
        <v>0.73999343436053333</v>
      </c>
      <c r="W1627" s="690"/>
      <c r="X1627" s="237" t="s">
        <v>598</v>
      </c>
      <c r="Y1627" s="610" t="s">
        <v>598</v>
      </c>
      <c r="Z1627" s="241" t="s">
        <v>598</v>
      </c>
    </row>
    <row r="1628" spans="1:26" ht="11.25" customHeight="1">
      <c r="A1628" s="246" t="s">
        <v>51</v>
      </c>
      <c r="B1628" s="235" t="s">
        <v>261</v>
      </c>
      <c r="C1628" s="410"/>
      <c r="D1628" s="681"/>
      <c r="E1628" s="461"/>
      <c r="F1628" s="104"/>
      <c r="G1628" s="104"/>
      <c r="H1628" s="104"/>
      <c r="I1628" s="103">
        <f>SUM(F1628:H1628)</f>
        <v>0</v>
      </c>
      <c r="J1628" s="104"/>
      <c r="K1628" s="104"/>
      <c r="L1628" s="104"/>
      <c r="M1628" s="103">
        <f t="shared" si="577"/>
        <v>0</v>
      </c>
      <c r="N1628" s="103">
        <f t="shared" si="587"/>
        <v>0</v>
      </c>
      <c r="O1628" s="103">
        <f t="shared" si="587"/>
        <v>0</v>
      </c>
      <c r="P1628" s="103">
        <f t="shared" si="587"/>
        <v>0</v>
      </c>
      <c r="Q1628" s="103">
        <f t="shared" si="588"/>
        <v>0</v>
      </c>
      <c r="S1628" s="730" t="str">
        <f t="shared" si="602"/>
        <v/>
      </c>
      <c r="T1628" s="730" t="str">
        <f t="shared" si="602"/>
        <v/>
      </c>
      <c r="U1628" s="730" t="str">
        <f t="shared" si="602"/>
        <v/>
      </c>
      <c r="V1628" s="730" t="str">
        <f t="shared" si="599"/>
        <v/>
      </c>
      <c r="W1628" s="254"/>
      <c r="Y1628" s="610" t="s">
        <v>598</v>
      </c>
      <c r="Z1628" s="241" t="s">
        <v>598</v>
      </c>
    </row>
    <row r="1629" spans="1:26" s="689" customFormat="1" ht="11.25" customHeight="1">
      <c r="A1629" s="246" t="s">
        <v>51</v>
      </c>
      <c r="B1629" s="246" t="s">
        <v>261</v>
      </c>
      <c r="C1629" s="684" t="s">
        <v>51</v>
      </c>
      <c r="D1629" s="685"/>
      <c r="E1629" s="686"/>
      <c r="F1629" s="687"/>
      <c r="G1629" s="687"/>
      <c r="H1629" s="687"/>
      <c r="I1629" s="687">
        <f>SUM(F1629:H1629)</f>
        <v>0</v>
      </c>
      <c r="J1629" s="687"/>
      <c r="K1629" s="687"/>
      <c r="L1629" s="687"/>
      <c r="M1629" s="687">
        <f t="shared" si="577"/>
        <v>0</v>
      </c>
      <c r="N1629" s="687">
        <f t="shared" si="587"/>
        <v>0</v>
      </c>
      <c r="O1629" s="687">
        <f t="shared" si="587"/>
        <v>0</v>
      </c>
      <c r="P1629" s="687">
        <f t="shared" si="587"/>
        <v>0</v>
      </c>
      <c r="Q1629" s="687">
        <f t="shared" si="588"/>
        <v>0</v>
      </c>
      <c r="R1629" s="102"/>
      <c r="S1629" s="254" t="str">
        <f t="shared" si="602"/>
        <v/>
      </c>
      <c r="T1629" s="254" t="str">
        <f t="shared" si="602"/>
        <v/>
      </c>
      <c r="U1629" s="254" t="str">
        <f t="shared" si="602"/>
        <v/>
      </c>
      <c r="V1629" s="254" t="str">
        <f t="shared" si="599"/>
        <v/>
      </c>
      <c r="W1629" s="688"/>
      <c r="X1629" s="1381"/>
      <c r="Y1629" s="629" t="s">
        <v>598</v>
      </c>
      <c r="Z1629" s="261" t="s">
        <v>598</v>
      </c>
    </row>
    <row r="1630" spans="1:26" s="675" customFormat="1" ht="11.25" customHeight="1">
      <c r="A1630" s="528" t="s">
        <v>51</v>
      </c>
      <c r="B1630" s="528" t="s">
        <v>261</v>
      </c>
      <c r="C1630" s="407" t="s">
        <v>98</v>
      </c>
      <c r="D1630" s="655" t="s">
        <v>105</v>
      </c>
      <c r="E1630" s="408" t="s">
        <v>262</v>
      </c>
      <c r="F1630" s="673"/>
      <c r="G1630" s="673"/>
      <c r="H1630" s="673"/>
      <c r="I1630" s="674">
        <f>SUM(F1630:H1630)</f>
        <v>0</v>
      </c>
      <c r="J1630" s="673"/>
      <c r="K1630" s="673"/>
      <c r="L1630" s="673"/>
      <c r="M1630" s="674">
        <f t="shared" si="577"/>
        <v>0</v>
      </c>
      <c r="N1630" s="674">
        <f t="shared" si="587"/>
        <v>0</v>
      </c>
      <c r="O1630" s="674">
        <f t="shared" si="587"/>
        <v>0</v>
      </c>
      <c r="P1630" s="674">
        <f t="shared" si="587"/>
        <v>0</v>
      </c>
      <c r="Q1630" s="674">
        <f t="shared" si="588"/>
        <v>0</v>
      </c>
      <c r="R1630" s="101"/>
      <c r="S1630" s="254" t="str">
        <f t="shared" si="602"/>
        <v/>
      </c>
      <c r="T1630" s="254" t="str">
        <f t="shared" si="602"/>
        <v/>
      </c>
      <c r="U1630" s="254" t="str">
        <f t="shared" si="602"/>
        <v/>
      </c>
      <c r="V1630" s="254" t="str">
        <f t="shared" si="599"/>
        <v/>
      </c>
      <c r="W1630" s="531"/>
      <c r="Y1630" s="272" t="s">
        <v>598</v>
      </c>
      <c r="Z1630" s="260" t="s">
        <v>598</v>
      </c>
    </row>
    <row r="1631" spans="1:26" ht="11.25" customHeight="1">
      <c r="A1631" s="528" t="s">
        <v>51</v>
      </c>
      <c r="B1631" s="1013" t="s">
        <v>261</v>
      </c>
      <c r="C1631" s="461"/>
      <c r="D1631" s="645" t="s">
        <v>766</v>
      </c>
      <c r="E1631" s="447" t="s">
        <v>766</v>
      </c>
      <c r="F1631" s="104">
        <f>+[3]BUREAUS!C382</f>
        <v>117488000</v>
      </c>
      <c r="G1631" s="104">
        <f>+[3]BUREAUS!D382</f>
        <v>104629000</v>
      </c>
      <c r="H1631" s="104">
        <f>+[3]BUREAUS!E382</f>
        <v>0</v>
      </c>
      <c r="I1631" s="103">
        <f>SUM(F1631:H1631)</f>
        <v>222117000</v>
      </c>
      <c r="J1631" s="104">
        <f>+[3]BUREAUS!G382</f>
        <v>117282980.09</v>
      </c>
      <c r="K1631" s="104">
        <f>+[3]BUREAUS!H382</f>
        <v>78383921.920000002</v>
      </c>
      <c r="L1631" s="104">
        <f>+[3]BUREAUS!I382</f>
        <v>0</v>
      </c>
      <c r="M1631" s="103">
        <f t="shared" si="577"/>
        <v>195666902.00999999</v>
      </c>
      <c r="N1631" s="103">
        <f t="shared" si="587"/>
        <v>205019.90999999642</v>
      </c>
      <c r="O1631" s="103">
        <f t="shared" si="587"/>
        <v>26245078.079999998</v>
      </c>
      <c r="P1631" s="103">
        <f t="shared" si="587"/>
        <v>0</v>
      </c>
      <c r="Q1631" s="103">
        <f t="shared" si="588"/>
        <v>26450097.989999995</v>
      </c>
      <c r="R1631" s="95">
        <f>Q1631-[3]BUREAUS!C179</f>
        <v>0</v>
      </c>
      <c r="S1631" s="730">
        <f t="shared" si="602"/>
        <v>0.9982549714864497</v>
      </c>
      <c r="T1631" s="730">
        <f t="shared" si="602"/>
        <v>0.74916057613090059</v>
      </c>
      <c r="U1631" s="730" t="str">
        <f t="shared" si="602"/>
        <v/>
      </c>
      <c r="V1631" s="730">
        <f t="shared" si="599"/>
        <v>0.88091817380029436</v>
      </c>
      <c r="W1631" s="531"/>
      <c r="X1631" s="236"/>
      <c r="Y1631" s="236" t="s">
        <v>688</v>
      </c>
      <c r="Z1631" s="236"/>
    </row>
    <row r="1632" spans="1:26" ht="11.25" customHeight="1">
      <c r="A1632" s="528" t="s">
        <v>51</v>
      </c>
      <c r="B1632" s="1013" t="s">
        <v>261</v>
      </c>
      <c r="C1632" s="728"/>
      <c r="D1632" s="649" t="s">
        <v>50</v>
      </c>
      <c r="E1632" s="447" t="s">
        <v>50</v>
      </c>
      <c r="F1632" s="104"/>
      <c r="G1632" s="104">
        <f>+[3]BUREAUS!D384</f>
        <v>0</v>
      </c>
      <c r="H1632" s="104">
        <f>+[3]BUREAUS!E384</f>
        <v>0</v>
      </c>
      <c r="I1632" s="103">
        <f>SUM(F1632:H1632)</f>
        <v>0</v>
      </c>
      <c r="J1632" s="104"/>
      <c r="K1632" s="104">
        <f>+[3]BUREAUS!H384</f>
        <v>0</v>
      </c>
      <c r="L1632" s="104">
        <f>+[3]BUREAUS!I384</f>
        <v>0</v>
      </c>
      <c r="M1632" s="103">
        <f>SUM(J1632:L1632)</f>
        <v>0</v>
      </c>
      <c r="N1632" s="103">
        <f t="shared" si="587"/>
        <v>0</v>
      </c>
      <c r="O1632" s="103">
        <f t="shared" si="587"/>
        <v>0</v>
      </c>
      <c r="P1632" s="103">
        <f t="shared" si="587"/>
        <v>0</v>
      </c>
      <c r="Q1632" s="103">
        <f t="shared" si="588"/>
        <v>0</v>
      </c>
      <c r="S1632" s="730" t="str">
        <f t="shared" si="602"/>
        <v/>
      </c>
      <c r="T1632" s="730" t="str">
        <f t="shared" si="602"/>
        <v/>
      </c>
      <c r="U1632" s="730" t="str">
        <f t="shared" si="602"/>
        <v/>
      </c>
      <c r="V1632" s="730" t="str">
        <f t="shared" si="599"/>
        <v/>
      </c>
      <c r="W1632" s="531"/>
      <c r="X1632" s="236"/>
      <c r="Y1632" s="236" t="s">
        <v>688</v>
      </c>
      <c r="Z1632" s="236"/>
    </row>
    <row r="1633" spans="1:26" s="256" customFormat="1" ht="11.25" customHeight="1">
      <c r="A1633" s="528" t="s">
        <v>51</v>
      </c>
      <c r="B1633" s="528" t="s">
        <v>261</v>
      </c>
      <c r="C1633" s="389"/>
      <c r="D1633" s="650" t="s">
        <v>98</v>
      </c>
      <c r="E1633" s="390" t="s">
        <v>767</v>
      </c>
      <c r="F1633" s="391">
        <f>+F1631+F1632</f>
        <v>117488000</v>
      </c>
      <c r="G1633" s="391">
        <f t="shared" ref="G1633:M1633" si="605">+G1631+G1632</f>
        <v>104629000</v>
      </c>
      <c r="H1633" s="391">
        <f t="shared" si="605"/>
        <v>0</v>
      </c>
      <c r="I1633" s="391">
        <f t="shared" si="605"/>
        <v>222117000</v>
      </c>
      <c r="J1633" s="391">
        <f t="shared" si="605"/>
        <v>117282980.09</v>
      </c>
      <c r="K1633" s="391">
        <f t="shared" si="605"/>
        <v>78383921.920000002</v>
      </c>
      <c r="L1633" s="391">
        <f t="shared" si="605"/>
        <v>0</v>
      </c>
      <c r="M1633" s="391">
        <f t="shared" si="605"/>
        <v>195666902.00999999</v>
      </c>
      <c r="N1633" s="391">
        <f t="shared" si="587"/>
        <v>205019.90999999642</v>
      </c>
      <c r="O1633" s="391">
        <f t="shared" si="587"/>
        <v>26245078.079999998</v>
      </c>
      <c r="P1633" s="391">
        <f t="shared" si="587"/>
        <v>0</v>
      </c>
      <c r="Q1633" s="391">
        <f t="shared" si="588"/>
        <v>26450097.989999995</v>
      </c>
      <c r="R1633" s="101"/>
      <c r="S1633" s="254">
        <f t="shared" si="602"/>
        <v>0.9982549714864497</v>
      </c>
      <c r="T1633" s="254">
        <f t="shared" si="602"/>
        <v>0.74916057613090059</v>
      </c>
      <c r="U1633" s="254" t="str">
        <f t="shared" si="602"/>
        <v/>
      </c>
      <c r="V1633" s="254">
        <f t="shared" si="599"/>
        <v>0.88091817380029436</v>
      </c>
      <c r="W1633" s="531"/>
      <c r="Y1633" s="256" t="s">
        <v>598</v>
      </c>
      <c r="Z1633" s="256" t="s">
        <v>598</v>
      </c>
    </row>
    <row r="1634" spans="1:26" ht="11.25" hidden="1" customHeight="1">
      <c r="A1634" s="528" t="s">
        <v>51</v>
      </c>
      <c r="B1634" s="1013" t="s">
        <v>261</v>
      </c>
      <c r="C1634" s="410"/>
      <c r="D1634" s="651"/>
      <c r="E1634" s="806"/>
      <c r="F1634" s="807"/>
      <c r="G1634" s="807"/>
      <c r="H1634" s="807"/>
      <c r="I1634" s="807"/>
      <c r="J1634" s="807"/>
      <c r="K1634" s="807"/>
      <c r="L1634" s="807"/>
      <c r="M1634" s="807"/>
      <c r="N1634" s="807">
        <f t="shared" si="587"/>
        <v>0</v>
      </c>
      <c r="O1634" s="807">
        <f t="shared" si="587"/>
        <v>0</v>
      </c>
      <c r="P1634" s="807">
        <f t="shared" si="587"/>
        <v>0</v>
      </c>
      <c r="Q1634" s="807">
        <f t="shared" si="588"/>
        <v>0</v>
      </c>
      <c r="R1634" s="276"/>
      <c r="S1634" s="730" t="str">
        <f t="shared" si="602"/>
        <v/>
      </c>
      <c r="T1634" s="730" t="str">
        <f t="shared" si="602"/>
        <v/>
      </c>
      <c r="U1634" s="730" t="str">
        <f t="shared" si="602"/>
        <v/>
      </c>
      <c r="V1634" s="730" t="str">
        <f t="shared" si="599"/>
        <v/>
      </c>
      <c r="W1634" s="531"/>
      <c r="X1634" s="236"/>
      <c r="Y1634" s="236"/>
      <c r="Z1634" s="236"/>
    </row>
    <row r="1635" spans="1:26" s="256" customFormat="1" ht="11.25" customHeight="1">
      <c r="A1635" s="528" t="s">
        <v>51</v>
      </c>
      <c r="B1635" s="528" t="s">
        <v>261</v>
      </c>
      <c r="C1635" s="389"/>
      <c r="D1635" s="650" t="s">
        <v>98</v>
      </c>
      <c r="E1635" s="390" t="s">
        <v>99</v>
      </c>
      <c r="F1635" s="391">
        <f>+F1636</f>
        <v>10864000</v>
      </c>
      <c r="G1635" s="391">
        <f t="shared" ref="G1635:M1635" si="606">+G1636</f>
        <v>0</v>
      </c>
      <c r="H1635" s="391">
        <f t="shared" si="606"/>
        <v>0</v>
      </c>
      <c r="I1635" s="391">
        <f t="shared" si="606"/>
        <v>10864000</v>
      </c>
      <c r="J1635" s="391">
        <f t="shared" si="606"/>
        <v>9845651.9800000004</v>
      </c>
      <c r="K1635" s="391">
        <f t="shared" si="606"/>
        <v>0</v>
      </c>
      <c r="L1635" s="391">
        <f t="shared" si="606"/>
        <v>0</v>
      </c>
      <c r="M1635" s="391">
        <f t="shared" si="606"/>
        <v>9845651.9800000004</v>
      </c>
      <c r="N1635" s="391">
        <f t="shared" si="587"/>
        <v>1018348.0199999996</v>
      </c>
      <c r="O1635" s="391">
        <f t="shared" si="587"/>
        <v>0</v>
      </c>
      <c r="P1635" s="391">
        <f t="shared" si="587"/>
        <v>0</v>
      </c>
      <c r="Q1635" s="391">
        <f t="shared" si="588"/>
        <v>1018348.0199999996</v>
      </c>
      <c r="R1635" s="101"/>
      <c r="S1635" s="254">
        <f t="shared" si="602"/>
        <v>0.90626398932253316</v>
      </c>
      <c r="T1635" s="254" t="str">
        <f t="shared" si="602"/>
        <v/>
      </c>
      <c r="U1635" s="254" t="str">
        <f t="shared" si="602"/>
        <v/>
      </c>
      <c r="V1635" s="254">
        <f t="shared" si="599"/>
        <v>0.90626398932253316</v>
      </c>
      <c r="W1635" s="531"/>
      <c r="Y1635" s="256" t="s">
        <v>598</v>
      </c>
      <c r="Z1635" s="256" t="s">
        <v>598</v>
      </c>
    </row>
    <row r="1636" spans="1:26" ht="11.25" customHeight="1">
      <c r="A1636" s="528" t="s">
        <v>51</v>
      </c>
      <c r="B1636" s="1013" t="s">
        <v>261</v>
      </c>
      <c r="C1636" s="728"/>
      <c r="D1636" s="649" t="s">
        <v>286</v>
      </c>
      <c r="E1636" s="729" t="s">
        <v>286</v>
      </c>
      <c r="F1636" s="103">
        <f>SUM([3]BUREAUS!M14)</f>
        <v>10864000</v>
      </c>
      <c r="G1636" s="103">
        <f>SUM([3]BUREAUS!M50)</f>
        <v>0</v>
      </c>
      <c r="H1636" s="103">
        <f>SUM([3]BUREAUS!M142)</f>
        <v>0</v>
      </c>
      <c r="I1636" s="103">
        <f>SUM(F1636:H1636)</f>
        <v>10864000</v>
      </c>
      <c r="J1636" s="103">
        <f>SUM([3]BUREAUS!M15)</f>
        <v>9845651.9800000004</v>
      </c>
      <c r="K1636" s="103">
        <f>SUM([3]BUREAUS!M51)</f>
        <v>0</v>
      </c>
      <c r="L1636" s="103">
        <f>SUM([3]BUREAUS!M143)</f>
        <v>0</v>
      </c>
      <c r="M1636" s="103">
        <f t="shared" si="577"/>
        <v>9845651.9800000004</v>
      </c>
      <c r="N1636" s="103">
        <f t="shared" si="587"/>
        <v>1018348.0199999996</v>
      </c>
      <c r="O1636" s="103">
        <f t="shared" si="587"/>
        <v>0</v>
      </c>
      <c r="P1636" s="103">
        <f t="shared" si="587"/>
        <v>0</v>
      </c>
      <c r="Q1636" s="103">
        <f t="shared" si="588"/>
        <v>1018348.0199999996</v>
      </c>
      <c r="S1636" s="730">
        <f t="shared" si="602"/>
        <v>0.90626398932253316</v>
      </c>
      <c r="T1636" s="730" t="str">
        <f t="shared" si="602"/>
        <v/>
      </c>
      <c r="U1636" s="730" t="str">
        <f t="shared" si="602"/>
        <v/>
      </c>
      <c r="V1636" s="730">
        <f t="shared" si="599"/>
        <v>0.90626398932253316</v>
      </c>
      <c r="W1636" s="531"/>
      <c r="X1636" s="236"/>
      <c r="Y1636" s="236" t="s">
        <v>598</v>
      </c>
      <c r="Z1636" s="236"/>
    </row>
    <row r="1637" spans="1:26" s="272" customFormat="1" ht="11.25" customHeight="1">
      <c r="A1637" s="528" t="s">
        <v>51</v>
      </c>
      <c r="B1637" s="528" t="s">
        <v>261</v>
      </c>
      <c r="C1637" s="389"/>
      <c r="D1637" s="650" t="s">
        <v>98</v>
      </c>
      <c r="E1637" s="390" t="s">
        <v>100</v>
      </c>
      <c r="F1637" s="391">
        <f t="shared" ref="F1637:Q1637" si="607">SUM(F1638:F1642)</f>
        <v>7330677</v>
      </c>
      <c r="G1637" s="391">
        <f t="shared" si="607"/>
        <v>0</v>
      </c>
      <c r="H1637" s="391">
        <f t="shared" si="607"/>
        <v>0</v>
      </c>
      <c r="I1637" s="391">
        <f t="shared" si="607"/>
        <v>7330677</v>
      </c>
      <c r="J1637" s="391">
        <f t="shared" si="607"/>
        <v>6874733.75</v>
      </c>
      <c r="K1637" s="391">
        <f t="shared" si="607"/>
        <v>0</v>
      </c>
      <c r="L1637" s="391">
        <f t="shared" si="607"/>
        <v>0</v>
      </c>
      <c r="M1637" s="391">
        <f t="shared" si="607"/>
        <v>6874733.75</v>
      </c>
      <c r="N1637" s="391">
        <f t="shared" si="607"/>
        <v>455943.25</v>
      </c>
      <c r="O1637" s="391">
        <f t="shared" si="607"/>
        <v>0</v>
      </c>
      <c r="P1637" s="391">
        <f t="shared" si="607"/>
        <v>0</v>
      </c>
      <c r="Q1637" s="391">
        <f t="shared" si="607"/>
        <v>455943.25</v>
      </c>
      <c r="R1637" s="102"/>
      <c r="S1637" s="254">
        <f t="shared" si="602"/>
        <v>0.93780339114654754</v>
      </c>
      <c r="T1637" s="254" t="str">
        <f t="shared" si="602"/>
        <v/>
      </c>
      <c r="U1637" s="254" t="str">
        <f t="shared" si="602"/>
        <v/>
      </c>
      <c r="V1637" s="254">
        <f t="shared" si="599"/>
        <v>0.93780339114654754</v>
      </c>
      <c r="W1637" s="531"/>
      <c r="Y1637" s="272" t="s">
        <v>598</v>
      </c>
      <c r="Z1637" s="256" t="s">
        <v>598</v>
      </c>
    </row>
    <row r="1638" spans="1:26" ht="11.25" customHeight="1">
      <c r="A1638" s="528" t="s">
        <v>51</v>
      </c>
      <c r="B1638" s="1013" t="s">
        <v>261</v>
      </c>
      <c r="C1638" s="728"/>
      <c r="D1638" s="649" t="s">
        <v>288</v>
      </c>
      <c r="E1638" s="729" t="s">
        <v>288</v>
      </c>
      <c r="F1638" s="103">
        <f>SUM([3]BUREAUS!R14)</f>
        <v>0</v>
      </c>
      <c r="G1638" s="103">
        <f>SUM([3]BUREAUS!R50)</f>
        <v>0</v>
      </c>
      <c r="H1638" s="103">
        <f>SUM([3]BUREAUS!R142)</f>
        <v>0</v>
      </c>
      <c r="I1638" s="103">
        <f>SUM(F1638:H1638)</f>
        <v>0</v>
      </c>
      <c r="J1638" s="103">
        <f>SUM([3]BUREAUS!R15)</f>
        <v>0</v>
      </c>
      <c r="K1638" s="103">
        <f>SUM([3]BUREAUS!R51)</f>
        <v>0</v>
      </c>
      <c r="L1638" s="103">
        <f>SUM([3]BUREAUS!R143)</f>
        <v>0</v>
      </c>
      <c r="M1638" s="103">
        <f t="shared" si="577"/>
        <v>0</v>
      </c>
      <c r="N1638" s="103">
        <f t="shared" si="587"/>
        <v>0</v>
      </c>
      <c r="O1638" s="103">
        <f t="shared" si="587"/>
        <v>0</v>
      </c>
      <c r="P1638" s="103">
        <f t="shared" si="587"/>
        <v>0</v>
      </c>
      <c r="Q1638" s="103">
        <f t="shared" si="588"/>
        <v>0</v>
      </c>
      <c r="R1638" s="95">
        <f>Q1638-[3]BUREAUS!R179</f>
        <v>0</v>
      </c>
      <c r="S1638" s="730" t="str">
        <f t="shared" si="602"/>
        <v/>
      </c>
      <c r="T1638" s="730" t="str">
        <f t="shared" si="602"/>
        <v/>
      </c>
      <c r="U1638" s="730" t="str">
        <f t="shared" si="602"/>
        <v/>
      </c>
      <c r="V1638" s="730" t="str">
        <f t="shared" si="599"/>
        <v/>
      </c>
      <c r="W1638" s="531"/>
      <c r="X1638" s="236"/>
      <c r="Y1638" s="236" t="s">
        <v>598</v>
      </c>
      <c r="Z1638" s="236"/>
    </row>
    <row r="1639" spans="1:26" ht="11.25" customHeight="1">
      <c r="A1639" s="528" t="s">
        <v>51</v>
      </c>
      <c r="B1639" s="1013" t="s">
        <v>261</v>
      </c>
      <c r="C1639" s="728"/>
      <c r="D1639" s="649" t="s">
        <v>761</v>
      </c>
      <c r="E1639" s="729" t="s">
        <v>761</v>
      </c>
      <c r="F1639" s="104">
        <f>+[3]BUREAUS!C384</f>
        <v>3517000</v>
      </c>
      <c r="G1639" s="104"/>
      <c r="H1639" s="104"/>
      <c r="I1639" s="103">
        <f>SUM(F1639:H1639)</f>
        <v>3517000</v>
      </c>
      <c r="J1639" s="104">
        <f>+[3]BUREAUS!G384</f>
        <v>3415842</v>
      </c>
      <c r="K1639" s="104"/>
      <c r="L1639" s="104"/>
      <c r="M1639" s="103">
        <f>SUM(J1639:L1639)</f>
        <v>3415842</v>
      </c>
      <c r="N1639" s="103">
        <f t="shared" si="587"/>
        <v>101158</v>
      </c>
      <c r="O1639" s="103">
        <f t="shared" si="587"/>
        <v>0</v>
      </c>
      <c r="P1639" s="103">
        <f t="shared" si="587"/>
        <v>0</v>
      </c>
      <c r="Q1639" s="103">
        <f t="shared" si="588"/>
        <v>101158</v>
      </c>
      <c r="S1639" s="730">
        <f t="shared" si="602"/>
        <v>0.97123741825419396</v>
      </c>
      <c r="T1639" s="730" t="str">
        <f t="shared" si="602"/>
        <v/>
      </c>
      <c r="U1639" s="730" t="str">
        <f t="shared" si="602"/>
        <v/>
      </c>
      <c r="V1639" s="730">
        <f t="shared" si="599"/>
        <v>0.97123741825419396</v>
      </c>
      <c r="W1639" s="531"/>
      <c r="X1639" s="236"/>
      <c r="Y1639" s="236" t="s">
        <v>688</v>
      </c>
      <c r="Z1639" s="236"/>
    </row>
    <row r="1640" spans="1:26" ht="11.25" customHeight="1">
      <c r="A1640" s="528" t="s">
        <v>51</v>
      </c>
      <c r="B1640" s="1013" t="s">
        <v>261</v>
      </c>
      <c r="C1640" s="410"/>
      <c r="D1640" s="651"/>
      <c r="E1640" s="728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S1640" s="730" t="str">
        <f t="shared" si="602"/>
        <v/>
      </c>
      <c r="T1640" s="730" t="str">
        <f t="shared" si="602"/>
        <v/>
      </c>
      <c r="U1640" s="730" t="str">
        <f t="shared" si="602"/>
        <v/>
      </c>
      <c r="V1640" s="730" t="str">
        <f t="shared" si="599"/>
        <v/>
      </c>
      <c r="W1640" s="531"/>
      <c r="X1640" s="236"/>
      <c r="Y1640" s="236" t="s">
        <v>688</v>
      </c>
      <c r="Z1640" s="240"/>
    </row>
    <row r="1641" spans="1:26" ht="11.25" customHeight="1">
      <c r="A1641" s="528" t="s">
        <v>51</v>
      </c>
      <c r="B1641" s="1013" t="s">
        <v>261</v>
      </c>
      <c r="C1641" s="728"/>
      <c r="D1641" s="649" t="s">
        <v>289</v>
      </c>
      <c r="E1641" s="729" t="s">
        <v>289</v>
      </c>
      <c r="F1641" s="103">
        <f>SUM([3]BUREAUS!W14)</f>
        <v>3813677</v>
      </c>
      <c r="G1641" s="103">
        <f>SUM([3]BUREAUS!W50)</f>
        <v>0</v>
      </c>
      <c r="H1641" s="103">
        <f>SUM([3]BUREAUS!W142)</f>
        <v>0</v>
      </c>
      <c r="I1641" s="103">
        <f>SUM(F1641:H1641)</f>
        <v>3813677</v>
      </c>
      <c r="J1641" s="103">
        <f>SUM([3]BUREAUS!W15)</f>
        <v>3458891.75</v>
      </c>
      <c r="K1641" s="103">
        <f>SUM([3]BUREAUS!W51)</f>
        <v>0</v>
      </c>
      <c r="L1641" s="103">
        <f>SUM([3]BUREAUS!W143)</f>
        <v>0</v>
      </c>
      <c r="M1641" s="103">
        <f t="shared" si="577"/>
        <v>3458891.75</v>
      </c>
      <c r="N1641" s="103">
        <f t="shared" si="587"/>
        <v>354785.25</v>
      </c>
      <c r="O1641" s="103">
        <f t="shared" si="587"/>
        <v>0</v>
      </c>
      <c r="P1641" s="103">
        <f t="shared" si="587"/>
        <v>0</v>
      </c>
      <c r="Q1641" s="103">
        <f t="shared" si="588"/>
        <v>354785.25</v>
      </c>
      <c r="R1641" s="95">
        <f>Q1641-[3]BUREAUS!W179</f>
        <v>0</v>
      </c>
      <c r="S1641" s="730">
        <f t="shared" si="602"/>
        <v>0.90697029402332707</v>
      </c>
      <c r="T1641" s="730" t="str">
        <f t="shared" si="602"/>
        <v/>
      </c>
      <c r="U1641" s="730" t="str">
        <f t="shared" si="602"/>
        <v/>
      </c>
      <c r="V1641" s="730">
        <f t="shared" si="599"/>
        <v>0.90697029402332707</v>
      </c>
      <c r="W1641" s="531"/>
      <c r="X1641" s="236"/>
      <c r="Y1641" s="236" t="s">
        <v>598</v>
      </c>
      <c r="Z1641" s="236"/>
    </row>
    <row r="1642" spans="1:26" ht="11.25" customHeight="1">
      <c r="A1642" s="528" t="s">
        <v>51</v>
      </c>
      <c r="B1642" s="1013" t="s">
        <v>261</v>
      </c>
      <c r="C1642" s="728"/>
      <c r="D1642" s="649" t="s">
        <v>290</v>
      </c>
      <c r="E1642" s="729" t="s">
        <v>290</v>
      </c>
      <c r="F1642" s="103">
        <f>SUM([3]BUREAUS!AB14)</f>
        <v>0</v>
      </c>
      <c r="G1642" s="103">
        <f>SUM([3]BUREAUS!AB50)</f>
        <v>0</v>
      </c>
      <c r="H1642" s="103">
        <f>SUM([3]BUREAUS!AB142)</f>
        <v>0</v>
      </c>
      <c r="I1642" s="103">
        <f>SUM(F1642:H1642)</f>
        <v>0</v>
      </c>
      <c r="J1642" s="103">
        <f>SUM([3]BUREAUS!AB15)</f>
        <v>0</v>
      </c>
      <c r="K1642" s="103">
        <f>SUM([3]BUREAUS!AB51)</f>
        <v>0</v>
      </c>
      <c r="L1642" s="103">
        <f>SUM([3]BUREAUS!AB143)</f>
        <v>0</v>
      </c>
      <c r="M1642" s="103">
        <f t="shared" si="577"/>
        <v>0</v>
      </c>
      <c r="N1642" s="103">
        <f t="shared" si="587"/>
        <v>0</v>
      </c>
      <c r="O1642" s="103">
        <f t="shared" si="587"/>
        <v>0</v>
      </c>
      <c r="P1642" s="103">
        <f t="shared" si="587"/>
        <v>0</v>
      </c>
      <c r="Q1642" s="103">
        <f t="shared" si="588"/>
        <v>0</v>
      </c>
      <c r="R1642" s="95">
        <f>Q1642-[3]BUREAUS!AB179</f>
        <v>0</v>
      </c>
      <c r="S1642" s="730" t="str">
        <f t="shared" si="602"/>
        <v/>
      </c>
      <c r="T1642" s="730" t="str">
        <f t="shared" si="602"/>
        <v/>
      </c>
      <c r="U1642" s="730" t="str">
        <f t="shared" si="602"/>
        <v/>
      </c>
      <c r="V1642" s="730" t="str">
        <f t="shared" si="599"/>
        <v/>
      </c>
      <c r="W1642" s="531"/>
      <c r="X1642" s="236"/>
      <c r="Y1642" s="236" t="s">
        <v>598</v>
      </c>
      <c r="Z1642" s="236"/>
    </row>
    <row r="1643" spans="1:26" s="259" customFormat="1" ht="11.25" customHeight="1">
      <c r="A1643" s="246" t="s">
        <v>51</v>
      </c>
      <c r="B1643" s="235" t="s">
        <v>261</v>
      </c>
      <c r="C1643" s="656"/>
      <c r="D1643" s="656"/>
      <c r="E1643" s="657" t="s">
        <v>4</v>
      </c>
      <c r="F1643" s="652">
        <f>+F1633+F1635+F1637</f>
        <v>135682677</v>
      </c>
      <c r="G1643" s="652">
        <f t="shared" ref="G1643:M1643" si="608">+G1633+G1635+G1637</f>
        <v>104629000</v>
      </c>
      <c r="H1643" s="652">
        <f t="shared" si="608"/>
        <v>0</v>
      </c>
      <c r="I1643" s="652">
        <f t="shared" si="608"/>
        <v>240311677</v>
      </c>
      <c r="J1643" s="652">
        <f t="shared" si="608"/>
        <v>134003365.82000001</v>
      </c>
      <c r="K1643" s="652">
        <f t="shared" si="608"/>
        <v>78383921.920000002</v>
      </c>
      <c r="L1643" s="652">
        <f t="shared" si="608"/>
        <v>0</v>
      </c>
      <c r="M1643" s="652">
        <f t="shared" si="608"/>
        <v>212387287.73999998</v>
      </c>
      <c r="N1643" s="652">
        <f t="shared" si="587"/>
        <v>1679311.1799999923</v>
      </c>
      <c r="O1643" s="652">
        <f t="shared" si="587"/>
        <v>26245078.079999998</v>
      </c>
      <c r="P1643" s="652">
        <f t="shared" si="587"/>
        <v>0</v>
      </c>
      <c r="Q1643" s="652">
        <f t="shared" si="588"/>
        <v>27924389.25999999</v>
      </c>
      <c r="R1643" s="653">
        <f>+Q1643-[3]BUREAUS!AZ179</f>
        <v>0</v>
      </c>
      <c r="S1643" s="1008">
        <f t="shared" si="602"/>
        <v>0.98762324552308178</v>
      </c>
      <c r="T1643" s="1008">
        <f t="shared" si="602"/>
        <v>0.74916057613090059</v>
      </c>
      <c r="U1643" s="1008" t="str">
        <f t="shared" si="602"/>
        <v/>
      </c>
      <c r="V1643" s="1008">
        <f t="shared" si="599"/>
        <v>0.88379928262911656</v>
      </c>
      <c r="W1643" s="254"/>
      <c r="X1643" s="520"/>
      <c r="Y1643" s="610" t="s">
        <v>598</v>
      </c>
      <c r="Z1643" s="241" t="s">
        <v>598</v>
      </c>
    </row>
    <row r="1644" spans="1:26" ht="11.25" customHeight="1">
      <c r="A1644" s="246" t="s">
        <v>51</v>
      </c>
      <c r="B1644" s="235" t="s">
        <v>261</v>
      </c>
      <c r="C1644" s="410"/>
      <c r="D1644" s="386"/>
      <c r="E1644" s="461"/>
      <c r="F1644" s="103"/>
      <c r="G1644" s="103"/>
      <c r="H1644" s="103"/>
      <c r="I1644" s="103">
        <f>SUM(F1644:H1644)</f>
        <v>0</v>
      </c>
      <c r="J1644" s="103"/>
      <c r="K1644" s="103"/>
      <c r="L1644" s="103"/>
      <c r="M1644" s="103">
        <f t="shared" si="577"/>
        <v>0</v>
      </c>
      <c r="N1644" s="103">
        <f t="shared" si="587"/>
        <v>0</v>
      </c>
      <c r="O1644" s="103">
        <f t="shared" si="587"/>
        <v>0</v>
      </c>
      <c r="P1644" s="103">
        <f t="shared" si="587"/>
        <v>0</v>
      </c>
      <c r="Q1644" s="103">
        <f t="shared" si="588"/>
        <v>0</v>
      </c>
      <c r="S1644" s="730" t="str">
        <f t="shared" si="602"/>
        <v/>
      </c>
      <c r="T1644" s="730" t="str">
        <f t="shared" si="602"/>
        <v/>
      </c>
      <c r="U1644" s="730" t="str">
        <f t="shared" si="602"/>
        <v/>
      </c>
      <c r="V1644" s="730" t="str">
        <f t="shared" si="599"/>
        <v/>
      </c>
      <c r="W1644" s="254"/>
      <c r="X1644" s="236"/>
      <c r="Y1644" s="236" t="s">
        <v>598</v>
      </c>
      <c r="Z1644" s="240" t="s">
        <v>598</v>
      </c>
    </row>
    <row r="1645" spans="1:26" s="675" customFormat="1" ht="11.25" customHeight="1">
      <c r="A1645" s="528" t="s">
        <v>51</v>
      </c>
      <c r="B1645" s="528" t="s">
        <v>263</v>
      </c>
      <c r="C1645" s="407" t="s">
        <v>98</v>
      </c>
      <c r="D1645" s="655" t="s">
        <v>107</v>
      </c>
      <c r="E1645" s="408" t="s">
        <v>264</v>
      </c>
      <c r="F1645" s="673"/>
      <c r="G1645" s="673"/>
      <c r="H1645" s="673"/>
      <c r="I1645" s="674">
        <f>SUM(F1645:H1645)</f>
        <v>0</v>
      </c>
      <c r="J1645" s="673"/>
      <c r="K1645" s="673"/>
      <c r="L1645" s="673"/>
      <c r="M1645" s="674">
        <f t="shared" si="577"/>
        <v>0</v>
      </c>
      <c r="N1645" s="674">
        <f t="shared" si="587"/>
        <v>0</v>
      </c>
      <c r="O1645" s="674">
        <f t="shared" si="587"/>
        <v>0</v>
      </c>
      <c r="P1645" s="674">
        <f t="shared" si="587"/>
        <v>0</v>
      </c>
      <c r="Q1645" s="674">
        <f t="shared" si="588"/>
        <v>0</v>
      </c>
      <c r="R1645" s="101"/>
      <c r="S1645" s="254" t="str">
        <f t="shared" si="602"/>
        <v/>
      </c>
      <c r="T1645" s="254" t="str">
        <f t="shared" si="602"/>
        <v/>
      </c>
      <c r="U1645" s="254" t="str">
        <f t="shared" si="602"/>
        <v/>
      </c>
      <c r="V1645" s="254" t="str">
        <f t="shared" si="599"/>
        <v/>
      </c>
      <c r="W1645" s="531"/>
      <c r="Y1645" s="272" t="s">
        <v>598</v>
      </c>
      <c r="Z1645" s="260" t="s">
        <v>598</v>
      </c>
    </row>
    <row r="1646" spans="1:26" ht="11.25" customHeight="1">
      <c r="A1646" s="528" t="s">
        <v>51</v>
      </c>
      <c r="B1646" s="1013" t="s">
        <v>263</v>
      </c>
      <c r="C1646" s="461"/>
      <c r="D1646" s="645" t="s">
        <v>766</v>
      </c>
      <c r="E1646" s="447" t="s">
        <v>766</v>
      </c>
      <c r="F1646" s="104">
        <f>+[3]BUREAUS!C389</f>
        <v>6619000</v>
      </c>
      <c r="G1646" s="104">
        <f>+[3]BUREAUS!D389</f>
        <v>8415000</v>
      </c>
      <c r="H1646" s="104">
        <f>+[3]BUREAUS!E389</f>
        <v>0</v>
      </c>
      <c r="I1646" s="103">
        <f>SUM(F1646:H1646)</f>
        <v>15034000</v>
      </c>
      <c r="J1646" s="104">
        <f>+[3]BUREAUS!G389</f>
        <v>5651582.1199999992</v>
      </c>
      <c r="K1646" s="104">
        <f>+[3]BUREAUS!H389</f>
        <v>5303760.1999999993</v>
      </c>
      <c r="L1646" s="104">
        <f>+[3]BUREAUS!I389</f>
        <v>0</v>
      </c>
      <c r="M1646" s="103">
        <f t="shared" si="577"/>
        <v>10955342.319999998</v>
      </c>
      <c r="N1646" s="103">
        <f t="shared" si="587"/>
        <v>967417.88000000082</v>
      </c>
      <c r="O1646" s="103">
        <f t="shared" si="587"/>
        <v>3111239.8000000007</v>
      </c>
      <c r="P1646" s="103">
        <f t="shared" si="587"/>
        <v>0</v>
      </c>
      <c r="Q1646" s="103">
        <f t="shared" si="588"/>
        <v>4078657.6800000016</v>
      </c>
      <c r="R1646" s="95">
        <f>Q1646-[3]BUREAUS!D179</f>
        <v>0</v>
      </c>
      <c r="S1646" s="730">
        <f t="shared" si="602"/>
        <v>0.85384229037618964</v>
      </c>
      <c r="T1646" s="730">
        <f t="shared" si="602"/>
        <v>0.63027453357100405</v>
      </c>
      <c r="U1646" s="730" t="str">
        <f t="shared" si="602"/>
        <v/>
      </c>
      <c r="V1646" s="730">
        <f t="shared" si="599"/>
        <v>0.7287044246374883</v>
      </c>
      <c r="W1646" s="531"/>
      <c r="X1646" s="236"/>
      <c r="Y1646" s="236" t="s">
        <v>688</v>
      </c>
      <c r="Z1646" s="236"/>
    </row>
    <row r="1647" spans="1:26" ht="11.25" customHeight="1">
      <c r="A1647" s="528" t="s">
        <v>51</v>
      </c>
      <c r="B1647" s="1013" t="s">
        <v>263</v>
      </c>
      <c r="C1647" s="728"/>
      <c r="D1647" s="649" t="s">
        <v>50</v>
      </c>
      <c r="E1647" s="447" t="s">
        <v>50</v>
      </c>
      <c r="F1647" s="104">
        <f>+[3]BUREAUS!C391</f>
        <v>0</v>
      </c>
      <c r="G1647" s="104">
        <f>+[3]BUREAUS!D391</f>
        <v>0</v>
      </c>
      <c r="H1647" s="104">
        <f>+[3]BUREAUS!E391</f>
        <v>0</v>
      </c>
      <c r="I1647" s="103">
        <f>SUM(F1647:H1647)</f>
        <v>0</v>
      </c>
      <c r="J1647" s="104">
        <f>+[3]BUREAUS!G391</f>
        <v>0</v>
      </c>
      <c r="K1647" s="104">
        <f>+[3]BUREAUS!H391</f>
        <v>0</v>
      </c>
      <c r="L1647" s="104">
        <f>+[3]BUREAUS!I391</f>
        <v>0</v>
      </c>
      <c r="M1647" s="103">
        <f>SUM(J1647:L1647)</f>
        <v>0</v>
      </c>
      <c r="N1647" s="103">
        <f t="shared" si="587"/>
        <v>0</v>
      </c>
      <c r="O1647" s="103">
        <f t="shared" si="587"/>
        <v>0</v>
      </c>
      <c r="P1647" s="103">
        <f t="shared" si="587"/>
        <v>0</v>
      </c>
      <c r="Q1647" s="103">
        <f t="shared" si="588"/>
        <v>0</v>
      </c>
      <c r="R1647" s="95">
        <f>Q1647-[3]BUREAUS!I179</f>
        <v>0</v>
      </c>
      <c r="S1647" s="730" t="str">
        <f t="shared" si="602"/>
        <v/>
      </c>
      <c r="T1647" s="730" t="str">
        <f t="shared" si="602"/>
        <v/>
      </c>
      <c r="U1647" s="730" t="str">
        <f t="shared" si="602"/>
        <v/>
      </c>
      <c r="V1647" s="730" t="str">
        <f t="shared" si="599"/>
        <v/>
      </c>
      <c r="W1647" s="531"/>
      <c r="X1647" s="236"/>
      <c r="Y1647" s="236" t="s">
        <v>688</v>
      </c>
      <c r="Z1647" s="236"/>
    </row>
    <row r="1648" spans="1:26" s="256" customFormat="1" ht="11.25" customHeight="1">
      <c r="A1648" s="528" t="s">
        <v>51</v>
      </c>
      <c r="B1648" s="528" t="s">
        <v>263</v>
      </c>
      <c r="C1648" s="389"/>
      <c r="D1648" s="650" t="s">
        <v>98</v>
      </c>
      <c r="E1648" s="390" t="s">
        <v>767</v>
      </c>
      <c r="F1648" s="391">
        <f>+F1646+F1647</f>
        <v>6619000</v>
      </c>
      <c r="G1648" s="391">
        <f t="shared" ref="G1648:M1648" si="609">+G1646+G1647</f>
        <v>8415000</v>
      </c>
      <c r="H1648" s="391">
        <f t="shared" si="609"/>
        <v>0</v>
      </c>
      <c r="I1648" s="391">
        <f t="shared" si="609"/>
        <v>15034000</v>
      </c>
      <c r="J1648" s="391">
        <f t="shared" si="609"/>
        <v>5651582.1199999992</v>
      </c>
      <c r="K1648" s="391">
        <f t="shared" si="609"/>
        <v>5303760.1999999993</v>
      </c>
      <c r="L1648" s="391">
        <f t="shared" si="609"/>
        <v>0</v>
      </c>
      <c r="M1648" s="391">
        <f t="shared" si="609"/>
        <v>10955342.319999998</v>
      </c>
      <c r="N1648" s="391">
        <f t="shared" si="587"/>
        <v>967417.88000000082</v>
      </c>
      <c r="O1648" s="391">
        <f t="shared" si="587"/>
        <v>3111239.8000000007</v>
      </c>
      <c r="P1648" s="391">
        <f t="shared" si="587"/>
        <v>0</v>
      </c>
      <c r="Q1648" s="391">
        <f t="shared" si="588"/>
        <v>4078657.6800000016</v>
      </c>
      <c r="R1648" s="101"/>
      <c r="S1648" s="254">
        <f t="shared" si="602"/>
        <v>0.85384229037618964</v>
      </c>
      <c r="T1648" s="254">
        <f t="shared" si="602"/>
        <v>0.63027453357100405</v>
      </c>
      <c r="U1648" s="254" t="str">
        <f t="shared" si="602"/>
        <v/>
      </c>
      <c r="V1648" s="254">
        <f t="shared" si="599"/>
        <v>0.7287044246374883</v>
      </c>
      <c r="W1648" s="531"/>
      <c r="Y1648" s="256" t="s">
        <v>598</v>
      </c>
      <c r="Z1648" s="256" t="s">
        <v>598</v>
      </c>
    </row>
    <row r="1649" spans="1:26" ht="11.25" hidden="1" customHeight="1">
      <c r="A1649" s="528" t="s">
        <v>51</v>
      </c>
      <c r="B1649" s="1013" t="s">
        <v>263</v>
      </c>
      <c r="C1649" s="410"/>
      <c r="D1649" s="651"/>
      <c r="E1649" s="806"/>
      <c r="F1649" s="807"/>
      <c r="G1649" s="807"/>
      <c r="H1649" s="807"/>
      <c r="I1649" s="807"/>
      <c r="J1649" s="807"/>
      <c r="K1649" s="807"/>
      <c r="L1649" s="807"/>
      <c r="M1649" s="807"/>
      <c r="N1649" s="807">
        <f t="shared" si="587"/>
        <v>0</v>
      </c>
      <c r="O1649" s="807">
        <f t="shared" si="587"/>
        <v>0</v>
      </c>
      <c r="P1649" s="807">
        <f t="shared" si="587"/>
        <v>0</v>
      </c>
      <c r="Q1649" s="807">
        <f t="shared" si="588"/>
        <v>0</v>
      </c>
      <c r="R1649" s="276"/>
      <c r="S1649" s="730" t="str">
        <f t="shared" si="602"/>
        <v/>
      </c>
      <c r="T1649" s="730" t="str">
        <f t="shared" si="602"/>
        <v/>
      </c>
      <c r="U1649" s="730" t="str">
        <f t="shared" si="602"/>
        <v/>
      </c>
      <c r="V1649" s="730" t="str">
        <f t="shared" si="599"/>
        <v/>
      </c>
      <c r="W1649" s="531"/>
      <c r="X1649" s="236"/>
      <c r="Y1649" s="236"/>
      <c r="Z1649" s="236"/>
    </row>
    <row r="1650" spans="1:26" s="256" customFormat="1" ht="11.25" customHeight="1">
      <c r="A1650" s="528" t="s">
        <v>51</v>
      </c>
      <c r="B1650" s="528" t="s">
        <v>263</v>
      </c>
      <c r="C1650" s="389"/>
      <c r="D1650" s="650" t="s">
        <v>98</v>
      </c>
      <c r="E1650" s="390" t="s">
        <v>99</v>
      </c>
      <c r="F1650" s="391">
        <f>+F1651</f>
        <v>577000</v>
      </c>
      <c r="G1650" s="391">
        <f t="shared" ref="G1650:M1650" si="610">+G1651</f>
        <v>0</v>
      </c>
      <c r="H1650" s="391">
        <f t="shared" si="610"/>
        <v>0</v>
      </c>
      <c r="I1650" s="391">
        <f t="shared" si="610"/>
        <v>577000</v>
      </c>
      <c r="J1650" s="391">
        <f t="shared" si="610"/>
        <v>495981.36</v>
      </c>
      <c r="K1650" s="391">
        <f t="shared" si="610"/>
        <v>0</v>
      </c>
      <c r="L1650" s="391">
        <f t="shared" si="610"/>
        <v>0</v>
      </c>
      <c r="M1650" s="391">
        <f t="shared" si="610"/>
        <v>495981.36</v>
      </c>
      <c r="N1650" s="391">
        <f t="shared" si="587"/>
        <v>81018.640000000014</v>
      </c>
      <c r="O1650" s="391">
        <f t="shared" si="587"/>
        <v>0</v>
      </c>
      <c r="P1650" s="391">
        <f t="shared" si="587"/>
        <v>0</v>
      </c>
      <c r="Q1650" s="391">
        <f t="shared" si="588"/>
        <v>81018.640000000014</v>
      </c>
      <c r="R1650" s="101"/>
      <c r="S1650" s="254">
        <f t="shared" si="602"/>
        <v>0.85958641247833623</v>
      </c>
      <c r="T1650" s="254" t="str">
        <f t="shared" si="602"/>
        <v/>
      </c>
      <c r="U1650" s="254" t="str">
        <f t="shared" si="602"/>
        <v/>
      </c>
      <c r="V1650" s="254">
        <f t="shared" si="599"/>
        <v>0.85958641247833623</v>
      </c>
      <c r="W1650" s="531"/>
      <c r="Y1650" s="256" t="s">
        <v>598</v>
      </c>
      <c r="Z1650" s="256" t="s">
        <v>598</v>
      </c>
    </row>
    <row r="1651" spans="1:26" ht="11.25" customHeight="1">
      <c r="A1651" s="528" t="s">
        <v>51</v>
      </c>
      <c r="B1651" s="1013" t="s">
        <v>263</v>
      </c>
      <c r="C1651" s="728"/>
      <c r="D1651" s="649" t="s">
        <v>286</v>
      </c>
      <c r="E1651" s="729" t="s">
        <v>286</v>
      </c>
      <c r="F1651" s="103">
        <f>SUM([3]BUREAUS!N14)</f>
        <v>577000</v>
      </c>
      <c r="G1651" s="103">
        <f>SUM([3]BUREAUS!N50)</f>
        <v>0</v>
      </c>
      <c r="H1651" s="103">
        <f>SUM([3]BUREAUS!N142)</f>
        <v>0</v>
      </c>
      <c r="I1651" s="103">
        <f>SUM(F1651:H1651)</f>
        <v>577000</v>
      </c>
      <c r="J1651" s="103">
        <f>SUM([3]BUREAUS!N15)</f>
        <v>495981.36</v>
      </c>
      <c r="K1651" s="103">
        <f>SUM([3]BUREAUS!N51)</f>
        <v>0</v>
      </c>
      <c r="L1651" s="103">
        <f>SUM([3]BUREAUS!N143)</f>
        <v>0</v>
      </c>
      <c r="M1651" s="103">
        <f t="shared" si="577"/>
        <v>495981.36</v>
      </c>
      <c r="N1651" s="103">
        <f t="shared" si="587"/>
        <v>81018.640000000014</v>
      </c>
      <c r="O1651" s="103">
        <f t="shared" si="587"/>
        <v>0</v>
      </c>
      <c r="P1651" s="103">
        <f t="shared" si="587"/>
        <v>0</v>
      </c>
      <c r="Q1651" s="103">
        <f t="shared" si="588"/>
        <v>81018.640000000014</v>
      </c>
      <c r="R1651" s="95">
        <f>Q1651-[3]BUREAUS!N179</f>
        <v>0</v>
      </c>
      <c r="S1651" s="730">
        <f t="shared" si="602"/>
        <v>0.85958641247833623</v>
      </c>
      <c r="T1651" s="730" t="str">
        <f t="shared" si="602"/>
        <v/>
      </c>
      <c r="U1651" s="730" t="str">
        <f t="shared" si="602"/>
        <v/>
      </c>
      <c r="V1651" s="730">
        <f t="shared" si="599"/>
        <v>0.85958641247833623</v>
      </c>
      <c r="W1651" s="531"/>
      <c r="X1651" s="236"/>
      <c r="Y1651" s="236" t="s">
        <v>598</v>
      </c>
      <c r="Z1651" s="236"/>
    </row>
    <row r="1652" spans="1:26" s="272" customFormat="1" ht="11.25" customHeight="1">
      <c r="A1652" s="528" t="s">
        <v>51</v>
      </c>
      <c r="B1652" s="528" t="s">
        <v>263</v>
      </c>
      <c r="C1652" s="389"/>
      <c r="D1652" s="650" t="s">
        <v>98</v>
      </c>
      <c r="E1652" s="390" t="s">
        <v>100</v>
      </c>
      <c r="F1652" s="391">
        <f t="shared" ref="F1652:M1652" si="611">SUM(F1653:F1655)</f>
        <v>0</v>
      </c>
      <c r="G1652" s="391">
        <f t="shared" si="611"/>
        <v>0</v>
      </c>
      <c r="H1652" s="391">
        <f t="shared" si="611"/>
        <v>0</v>
      </c>
      <c r="I1652" s="391">
        <f t="shared" si="611"/>
        <v>0</v>
      </c>
      <c r="J1652" s="391">
        <f t="shared" si="611"/>
        <v>0</v>
      </c>
      <c r="K1652" s="391">
        <f t="shared" si="611"/>
        <v>0</v>
      </c>
      <c r="L1652" s="391">
        <f t="shared" si="611"/>
        <v>0</v>
      </c>
      <c r="M1652" s="391">
        <f t="shared" si="611"/>
        <v>0</v>
      </c>
      <c r="N1652" s="391">
        <f t="shared" si="587"/>
        <v>0</v>
      </c>
      <c r="O1652" s="391">
        <f t="shared" si="587"/>
        <v>0</v>
      </c>
      <c r="P1652" s="391">
        <f t="shared" si="587"/>
        <v>0</v>
      </c>
      <c r="Q1652" s="391">
        <f t="shared" si="588"/>
        <v>0</v>
      </c>
      <c r="R1652" s="102"/>
      <c r="S1652" s="254" t="str">
        <f t="shared" si="602"/>
        <v/>
      </c>
      <c r="T1652" s="254" t="str">
        <f t="shared" si="602"/>
        <v/>
      </c>
      <c r="U1652" s="254" t="str">
        <f t="shared" si="602"/>
        <v/>
      </c>
      <c r="V1652" s="254" t="str">
        <f t="shared" si="599"/>
        <v/>
      </c>
      <c r="W1652" s="531"/>
      <c r="Y1652" s="272" t="s">
        <v>598</v>
      </c>
      <c r="Z1652" s="256" t="s">
        <v>598</v>
      </c>
    </row>
    <row r="1653" spans="1:26" ht="11.25" customHeight="1">
      <c r="A1653" s="528" t="s">
        <v>51</v>
      </c>
      <c r="B1653" s="1013" t="s">
        <v>263</v>
      </c>
      <c r="C1653" s="728"/>
      <c r="D1653" s="649" t="s">
        <v>288</v>
      </c>
      <c r="E1653" s="729" t="s">
        <v>288</v>
      </c>
      <c r="F1653" s="103">
        <f>SUM([3]BUREAUS!S14)</f>
        <v>0</v>
      </c>
      <c r="G1653" s="103">
        <f>SUM([3]BUREAUS!S50)</f>
        <v>0</v>
      </c>
      <c r="H1653" s="103">
        <f>SUM([3]BUREAUS!S142)</f>
        <v>0</v>
      </c>
      <c r="I1653" s="103">
        <f>SUM(F1653:H1653)</f>
        <v>0</v>
      </c>
      <c r="J1653" s="103">
        <f>SUM([3]BUREAUS!S15)</f>
        <v>0</v>
      </c>
      <c r="K1653" s="103">
        <f>SUM([3]BUREAUS!S51)</f>
        <v>0</v>
      </c>
      <c r="L1653" s="103">
        <f>SUM([3]BUREAUS!S143)</f>
        <v>0</v>
      </c>
      <c r="M1653" s="103">
        <f t="shared" si="577"/>
        <v>0</v>
      </c>
      <c r="N1653" s="103">
        <f t="shared" si="587"/>
        <v>0</v>
      </c>
      <c r="O1653" s="103">
        <f t="shared" si="587"/>
        <v>0</v>
      </c>
      <c r="P1653" s="103">
        <f t="shared" si="587"/>
        <v>0</v>
      </c>
      <c r="Q1653" s="103">
        <f t="shared" si="588"/>
        <v>0</v>
      </c>
      <c r="R1653" s="95">
        <f>Q1653-[3]BUREAUS!S179</f>
        <v>0</v>
      </c>
      <c r="S1653" s="730" t="str">
        <f t="shared" si="602"/>
        <v/>
      </c>
      <c r="T1653" s="730" t="str">
        <f t="shared" si="602"/>
        <v/>
      </c>
      <c r="U1653" s="730" t="str">
        <f t="shared" si="602"/>
        <v/>
      </c>
      <c r="V1653" s="730" t="str">
        <f t="shared" si="599"/>
        <v/>
      </c>
      <c r="W1653" s="531"/>
      <c r="X1653" s="236"/>
      <c r="Y1653" s="236" t="s">
        <v>598</v>
      </c>
      <c r="Z1653" s="236"/>
    </row>
    <row r="1654" spans="1:26" ht="11.25" customHeight="1">
      <c r="A1654" s="528" t="s">
        <v>51</v>
      </c>
      <c r="B1654" s="1013" t="s">
        <v>263</v>
      </c>
      <c r="C1654" s="728"/>
      <c r="D1654" s="649" t="s">
        <v>289</v>
      </c>
      <c r="E1654" s="729" t="s">
        <v>289</v>
      </c>
      <c r="F1654" s="103">
        <f>SUM([3]BUREAUS!X14)</f>
        <v>0</v>
      </c>
      <c r="G1654" s="103">
        <f>SUM([3]BUREAUS!X50)</f>
        <v>0</v>
      </c>
      <c r="H1654" s="103">
        <f>SUM([3]BUREAUS!X142)</f>
        <v>0</v>
      </c>
      <c r="I1654" s="103">
        <f>SUM(F1654:H1654)</f>
        <v>0</v>
      </c>
      <c r="J1654" s="103">
        <f>SUM([3]BUREAUS!X15)</f>
        <v>0</v>
      </c>
      <c r="K1654" s="103">
        <f>SUM([3]BUREAUS!X51)</f>
        <v>0</v>
      </c>
      <c r="L1654" s="103">
        <f>SUM([3]BUREAUS!X143)</f>
        <v>0</v>
      </c>
      <c r="M1654" s="103">
        <f t="shared" si="577"/>
        <v>0</v>
      </c>
      <c r="N1654" s="103">
        <f t="shared" si="587"/>
        <v>0</v>
      </c>
      <c r="O1654" s="103">
        <f t="shared" si="587"/>
        <v>0</v>
      </c>
      <c r="P1654" s="103">
        <f t="shared" si="587"/>
        <v>0</v>
      </c>
      <c r="Q1654" s="103">
        <f t="shared" si="588"/>
        <v>0</v>
      </c>
      <c r="R1654" s="95">
        <f>Q1654-[3]BUREAUS!X179</f>
        <v>0</v>
      </c>
      <c r="S1654" s="730" t="str">
        <f t="shared" si="602"/>
        <v/>
      </c>
      <c r="T1654" s="730" t="str">
        <f t="shared" si="602"/>
        <v/>
      </c>
      <c r="U1654" s="730" t="str">
        <f t="shared" si="602"/>
        <v/>
      </c>
      <c r="V1654" s="730" t="str">
        <f t="shared" si="599"/>
        <v/>
      </c>
      <c r="W1654" s="531"/>
      <c r="X1654" s="236"/>
      <c r="Y1654" s="236" t="s">
        <v>598</v>
      </c>
      <c r="Z1654" s="236"/>
    </row>
    <row r="1655" spans="1:26" ht="11.25" customHeight="1">
      <c r="A1655" s="528" t="s">
        <v>51</v>
      </c>
      <c r="B1655" s="1013" t="s">
        <v>263</v>
      </c>
      <c r="C1655" s="728"/>
      <c r="D1655" s="649" t="s">
        <v>290</v>
      </c>
      <c r="E1655" s="729" t="s">
        <v>290</v>
      </c>
      <c r="F1655" s="103">
        <f>SUM([3]BUREAUS!AC14)</f>
        <v>0</v>
      </c>
      <c r="G1655" s="103">
        <f>SUM([3]BUREAUS!AC50)</f>
        <v>0</v>
      </c>
      <c r="H1655" s="103">
        <f>SUM([3]BUREAUS!AC142)</f>
        <v>0</v>
      </c>
      <c r="I1655" s="103">
        <f>SUM(F1655:H1655)</f>
        <v>0</v>
      </c>
      <c r="J1655" s="103">
        <f>SUM([3]BUREAUS!AC15)</f>
        <v>0</v>
      </c>
      <c r="K1655" s="103">
        <f>SUM([3]BUREAUS!AC51)</f>
        <v>0</v>
      </c>
      <c r="L1655" s="103">
        <f>SUM([3]BUREAUS!AC143)</f>
        <v>0</v>
      </c>
      <c r="M1655" s="103">
        <f t="shared" si="577"/>
        <v>0</v>
      </c>
      <c r="N1655" s="103">
        <f t="shared" si="587"/>
        <v>0</v>
      </c>
      <c r="O1655" s="103">
        <f t="shared" si="587"/>
        <v>0</v>
      </c>
      <c r="P1655" s="103">
        <f t="shared" si="587"/>
        <v>0</v>
      </c>
      <c r="Q1655" s="103">
        <f t="shared" si="588"/>
        <v>0</v>
      </c>
      <c r="R1655" s="95">
        <f>Q1655-[3]BUREAUS!AC179</f>
        <v>0</v>
      </c>
      <c r="S1655" s="730" t="str">
        <f t="shared" si="602"/>
        <v/>
      </c>
      <c r="T1655" s="730" t="str">
        <f t="shared" si="602"/>
        <v/>
      </c>
      <c r="U1655" s="730" t="str">
        <f t="shared" si="602"/>
        <v/>
      </c>
      <c r="V1655" s="730" t="str">
        <f t="shared" si="599"/>
        <v/>
      </c>
      <c r="W1655" s="531"/>
      <c r="X1655" s="236"/>
      <c r="Y1655" s="236" t="s">
        <v>598</v>
      </c>
      <c r="Z1655" s="236"/>
    </row>
    <row r="1656" spans="1:26" s="259" customFormat="1" ht="11.25" customHeight="1">
      <c r="A1656" s="246" t="s">
        <v>51</v>
      </c>
      <c r="B1656" s="235" t="s">
        <v>263</v>
      </c>
      <c r="C1656" s="656"/>
      <c r="D1656" s="656"/>
      <c r="E1656" s="657" t="s">
        <v>4</v>
      </c>
      <c r="F1656" s="652">
        <f>+F1648+F1650+F1652</f>
        <v>7196000</v>
      </c>
      <c r="G1656" s="652">
        <f t="shared" ref="G1656:M1656" si="612">+G1648+G1650+G1652</f>
        <v>8415000</v>
      </c>
      <c r="H1656" s="652">
        <f t="shared" si="612"/>
        <v>0</v>
      </c>
      <c r="I1656" s="652">
        <f t="shared" si="612"/>
        <v>15611000</v>
      </c>
      <c r="J1656" s="652">
        <f t="shared" si="612"/>
        <v>6147563.4799999995</v>
      </c>
      <c r="K1656" s="652">
        <f t="shared" si="612"/>
        <v>5303760.1999999993</v>
      </c>
      <c r="L1656" s="652">
        <f t="shared" si="612"/>
        <v>0</v>
      </c>
      <c r="M1656" s="652">
        <f t="shared" si="612"/>
        <v>11451323.679999998</v>
      </c>
      <c r="N1656" s="652">
        <f t="shared" si="587"/>
        <v>1048436.5200000005</v>
      </c>
      <c r="O1656" s="652">
        <f t="shared" si="587"/>
        <v>3111239.8000000007</v>
      </c>
      <c r="P1656" s="652">
        <f t="shared" si="587"/>
        <v>0</v>
      </c>
      <c r="Q1656" s="652">
        <f t="shared" si="588"/>
        <v>4159676.3200000012</v>
      </c>
      <c r="R1656" s="653">
        <f>+Q1656-[3]BUREAUS!BA179</f>
        <v>0</v>
      </c>
      <c r="S1656" s="1008">
        <f t="shared" si="602"/>
        <v>0.85430287381878811</v>
      </c>
      <c r="T1656" s="1008">
        <f t="shared" si="602"/>
        <v>0.63027453357100405</v>
      </c>
      <c r="U1656" s="1008" t="str">
        <f t="shared" si="602"/>
        <v/>
      </c>
      <c r="V1656" s="1008">
        <f t="shared" si="599"/>
        <v>0.73354196912433522</v>
      </c>
      <c r="W1656" s="254"/>
      <c r="X1656" s="520"/>
      <c r="Y1656" s="610" t="s">
        <v>598</v>
      </c>
      <c r="Z1656" s="241" t="s">
        <v>598</v>
      </c>
    </row>
    <row r="1657" spans="1:26" ht="11.25" customHeight="1">
      <c r="A1657" s="246" t="s">
        <v>51</v>
      </c>
      <c r="B1657" s="235" t="s">
        <v>263</v>
      </c>
      <c r="C1657" s="410"/>
      <c r="D1657" s="386"/>
      <c r="E1657" s="461"/>
      <c r="F1657" s="103"/>
      <c r="G1657" s="103"/>
      <c r="H1657" s="103"/>
      <c r="I1657" s="103">
        <f>SUM(F1657:H1657)</f>
        <v>0</v>
      </c>
      <c r="J1657" s="103"/>
      <c r="K1657" s="103"/>
      <c r="L1657" s="103"/>
      <c r="M1657" s="103">
        <f>SUM(J1657:L1657)</f>
        <v>0</v>
      </c>
      <c r="N1657" s="103">
        <f t="shared" si="587"/>
        <v>0</v>
      </c>
      <c r="O1657" s="103">
        <f t="shared" si="587"/>
        <v>0</v>
      </c>
      <c r="P1657" s="103">
        <f t="shared" si="587"/>
        <v>0</v>
      </c>
      <c r="Q1657" s="103">
        <f t="shared" si="588"/>
        <v>0</v>
      </c>
      <c r="S1657" s="730" t="str">
        <f t="shared" si="602"/>
        <v/>
      </c>
      <c r="T1657" s="730" t="str">
        <f t="shared" si="602"/>
        <v/>
      </c>
      <c r="U1657" s="730" t="str">
        <f t="shared" si="602"/>
        <v/>
      </c>
      <c r="V1657" s="730" t="str">
        <f t="shared" si="599"/>
        <v/>
      </c>
      <c r="W1657" s="254"/>
      <c r="Y1657" s="610" t="s">
        <v>598</v>
      </c>
      <c r="Z1657" s="241" t="s">
        <v>598</v>
      </c>
    </row>
    <row r="1658" spans="1:26" s="675" customFormat="1" ht="11.25" customHeight="1">
      <c r="A1658" s="528" t="s">
        <v>51</v>
      </c>
      <c r="B1658" s="528" t="s">
        <v>265</v>
      </c>
      <c r="C1658" s="407" t="s">
        <v>98</v>
      </c>
      <c r="D1658" s="655" t="s">
        <v>109</v>
      </c>
      <c r="E1658" s="408" t="s">
        <v>266</v>
      </c>
      <c r="F1658" s="673"/>
      <c r="G1658" s="673"/>
      <c r="H1658" s="673"/>
      <c r="I1658" s="674">
        <f>SUM(F1658:H1658)</f>
        <v>0</v>
      </c>
      <c r="J1658" s="673"/>
      <c r="K1658" s="673"/>
      <c r="L1658" s="673"/>
      <c r="M1658" s="674">
        <f>SUM(J1658:L1658)</f>
        <v>0</v>
      </c>
      <c r="N1658" s="674">
        <f t="shared" si="587"/>
        <v>0</v>
      </c>
      <c r="O1658" s="674">
        <f t="shared" si="587"/>
        <v>0</v>
      </c>
      <c r="P1658" s="674">
        <f t="shared" si="587"/>
        <v>0</v>
      </c>
      <c r="Q1658" s="674">
        <f t="shared" si="588"/>
        <v>0</v>
      </c>
      <c r="R1658" s="101"/>
      <c r="S1658" s="254" t="str">
        <f t="shared" si="602"/>
        <v/>
      </c>
      <c r="T1658" s="254" t="str">
        <f t="shared" si="602"/>
        <v/>
      </c>
      <c r="U1658" s="254" t="str">
        <f t="shared" si="602"/>
        <v/>
      </c>
      <c r="V1658" s="254" t="str">
        <f t="shared" si="599"/>
        <v/>
      </c>
      <c r="W1658" s="531"/>
      <c r="Y1658" s="272" t="s">
        <v>598</v>
      </c>
      <c r="Z1658" s="260" t="s">
        <v>598</v>
      </c>
    </row>
    <row r="1659" spans="1:26" ht="11.25" customHeight="1">
      <c r="A1659" s="528" t="s">
        <v>51</v>
      </c>
      <c r="B1659" s="1013" t="s">
        <v>265</v>
      </c>
      <c r="C1659" s="461"/>
      <c r="D1659" s="645" t="s">
        <v>766</v>
      </c>
      <c r="E1659" s="447" t="s">
        <v>766</v>
      </c>
      <c r="F1659" s="104">
        <f>+[3]BUREAUS!C396</f>
        <v>5603000</v>
      </c>
      <c r="G1659" s="104">
        <f>+[3]BUREAUS!D396</f>
        <v>8868000</v>
      </c>
      <c r="H1659" s="104">
        <f>+[3]BUREAUS!E396</f>
        <v>0</v>
      </c>
      <c r="I1659" s="103">
        <f>SUM(F1659:H1659)</f>
        <v>14471000</v>
      </c>
      <c r="J1659" s="104">
        <f>+[3]BUREAUS!G396</f>
        <v>5401225.2199999997</v>
      </c>
      <c r="K1659" s="104">
        <f>+[3]BUREAUS!H396</f>
        <v>8154534.4900000002</v>
      </c>
      <c r="L1659" s="104">
        <f>+[3]BUREAUS!I396</f>
        <v>0</v>
      </c>
      <c r="M1659" s="103">
        <f>SUM(J1659:L1659)</f>
        <v>13555759.710000001</v>
      </c>
      <c r="N1659" s="103">
        <f t="shared" si="587"/>
        <v>201774.78000000026</v>
      </c>
      <c r="O1659" s="103">
        <f t="shared" si="587"/>
        <v>713465.50999999978</v>
      </c>
      <c r="P1659" s="103">
        <f t="shared" si="587"/>
        <v>0</v>
      </c>
      <c r="Q1659" s="103">
        <f t="shared" si="588"/>
        <v>915240.29</v>
      </c>
      <c r="R1659" s="95">
        <f>Q1659-[3]BUREAUS!E179</f>
        <v>0</v>
      </c>
      <c r="S1659" s="730">
        <f t="shared" si="602"/>
        <v>0.96398808138497227</v>
      </c>
      <c r="T1659" s="730">
        <f t="shared" si="602"/>
        <v>0.91954606337392875</v>
      </c>
      <c r="U1659" s="730" t="str">
        <f t="shared" si="602"/>
        <v/>
      </c>
      <c r="V1659" s="730">
        <f t="shared" si="599"/>
        <v>0.936753486973948</v>
      </c>
      <c r="W1659" s="531"/>
      <c r="X1659" s="236"/>
      <c r="Y1659" s="236" t="s">
        <v>688</v>
      </c>
      <c r="Z1659" s="236"/>
    </row>
    <row r="1660" spans="1:26" ht="11.25" customHeight="1">
      <c r="A1660" s="528" t="s">
        <v>51</v>
      </c>
      <c r="B1660" s="1013" t="s">
        <v>265</v>
      </c>
      <c r="C1660" s="728"/>
      <c r="D1660" s="649" t="s">
        <v>50</v>
      </c>
      <c r="E1660" s="447" t="s">
        <v>50</v>
      </c>
      <c r="F1660" s="104">
        <f>+[3]BUREAUS!C398</f>
        <v>0</v>
      </c>
      <c r="G1660" s="104">
        <f>+[3]BUREAUS!D398</f>
        <v>0</v>
      </c>
      <c r="H1660" s="104">
        <f>+[3]BUREAUS!E398</f>
        <v>0</v>
      </c>
      <c r="I1660" s="103">
        <f>SUM(F1660:H1660)</f>
        <v>0</v>
      </c>
      <c r="J1660" s="104">
        <f>+[3]BUREAUS!G398</f>
        <v>0</v>
      </c>
      <c r="K1660" s="104">
        <f>+[3]BUREAUS!H398</f>
        <v>0</v>
      </c>
      <c r="L1660" s="104">
        <f>+[3]BUREAUS!I398</f>
        <v>0</v>
      </c>
      <c r="M1660" s="103">
        <f>SUM(J1660:L1660)</f>
        <v>0</v>
      </c>
      <c r="N1660" s="103">
        <f t="shared" si="587"/>
        <v>0</v>
      </c>
      <c r="O1660" s="103">
        <f t="shared" si="587"/>
        <v>0</v>
      </c>
      <c r="P1660" s="103">
        <f t="shared" si="587"/>
        <v>0</v>
      </c>
      <c r="Q1660" s="103">
        <f t="shared" si="588"/>
        <v>0</v>
      </c>
      <c r="R1660" s="95">
        <f>Q1660-[3]BUREAUS!J179</f>
        <v>0</v>
      </c>
      <c r="S1660" s="730" t="str">
        <f t="shared" si="602"/>
        <v/>
      </c>
      <c r="T1660" s="730" t="str">
        <f t="shared" si="602"/>
        <v/>
      </c>
      <c r="U1660" s="730" t="str">
        <f t="shared" si="602"/>
        <v/>
      </c>
      <c r="V1660" s="730" t="str">
        <f t="shared" si="599"/>
        <v/>
      </c>
      <c r="W1660" s="531"/>
      <c r="X1660" s="236"/>
      <c r="Y1660" s="236" t="s">
        <v>688</v>
      </c>
      <c r="Z1660" s="236"/>
    </row>
    <row r="1661" spans="1:26" s="256" customFormat="1" ht="11.25" customHeight="1">
      <c r="A1661" s="528" t="s">
        <v>51</v>
      </c>
      <c r="B1661" s="528" t="s">
        <v>265</v>
      </c>
      <c r="C1661" s="389"/>
      <c r="D1661" s="650" t="s">
        <v>98</v>
      </c>
      <c r="E1661" s="390" t="s">
        <v>767</v>
      </c>
      <c r="F1661" s="391">
        <f>+F1659+F1660</f>
        <v>5603000</v>
      </c>
      <c r="G1661" s="391">
        <f t="shared" ref="G1661:M1661" si="613">+G1659+G1660</f>
        <v>8868000</v>
      </c>
      <c r="H1661" s="391">
        <f t="shared" si="613"/>
        <v>0</v>
      </c>
      <c r="I1661" s="391">
        <f t="shared" si="613"/>
        <v>14471000</v>
      </c>
      <c r="J1661" s="391">
        <f t="shared" si="613"/>
        <v>5401225.2199999997</v>
      </c>
      <c r="K1661" s="391">
        <f t="shared" si="613"/>
        <v>8154534.4900000002</v>
      </c>
      <c r="L1661" s="391">
        <f t="shared" si="613"/>
        <v>0</v>
      </c>
      <c r="M1661" s="391">
        <f t="shared" si="613"/>
        <v>13555759.710000001</v>
      </c>
      <c r="N1661" s="391">
        <f t="shared" si="587"/>
        <v>201774.78000000026</v>
      </c>
      <c r="O1661" s="391">
        <f t="shared" si="587"/>
        <v>713465.50999999978</v>
      </c>
      <c r="P1661" s="391">
        <f t="shared" si="587"/>
        <v>0</v>
      </c>
      <c r="Q1661" s="391">
        <f t="shared" si="588"/>
        <v>915240.29</v>
      </c>
      <c r="R1661" s="101"/>
      <c r="S1661" s="254">
        <f t="shared" si="602"/>
        <v>0.96398808138497227</v>
      </c>
      <c r="T1661" s="254">
        <f t="shared" si="602"/>
        <v>0.91954606337392875</v>
      </c>
      <c r="U1661" s="254" t="str">
        <f t="shared" si="602"/>
        <v/>
      </c>
      <c r="V1661" s="254">
        <f t="shared" si="599"/>
        <v>0.936753486973948</v>
      </c>
      <c r="W1661" s="531"/>
      <c r="Y1661" s="256" t="s">
        <v>598</v>
      </c>
      <c r="Z1661" s="256" t="s">
        <v>598</v>
      </c>
    </row>
    <row r="1662" spans="1:26" ht="11.25" hidden="1" customHeight="1">
      <c r="A1662" s="528" t="s">
        <v>51</v>
      </c>
      <c r="B1662" s="1013" t="s">
        <v>265</v>
      </c>
      <c r="C1662" s="410"/>
      <c r="D1662" s="651"/>
      <c r="E1662" s="806"/>
      <c r="F1662" s="807"/>
      <c r="G1662" s="807"/>
      <c r="H1662" s="807"/>
      <c r="I1662" s="807"/>
      <c r="J1662" s="807"/>
      <c r="K1662" s="807"/>
      <c r="L1662" s="807"/>
      <c r="M1662" s="807"/>
      <c r="N1662" s="807">
        <f t="shared" si="587"/>
        <v>0</v>
      </c>
      <c r="O1662" s="807">
        <f t="shared" si="587"/>
        <v>0</v>
      </c>
      <c r="P1662" s="807">
        <f t="shared" si="587"/>
        <v>0</v>
      </c>
      <c r="Q1662" s="807">
        <f t="shared" si="588"/>
        <v>0</v>
      </c>
      <c r="R1662" s="276"/>
      <c r="S1662" s="730" t="str">
        <f t="shared" si="602"/>
        <v/>
      </c>
      <c r="T1662" s="730" t="str">
        <f t="shared" si="602"/>
        <v/>
      </c>
      <c r="U1662" s="730" t="str">
        <f t="shared" si="602"/>
        <v/>
      </c>
      <c r="V1662" s="730" t="str">
        <f t="shared" si="599"/>
        <v/>
      </c>
      <c r="W1662" s="531"/>
      <c r="X1662" s="236"/>
      <c r="Y1662" s="236"/>
      <c r="Z1662" s="236"/>
    </row>
    <row r="1663" spans="1:26" s="256" customFormat="1" ht="11.25" customHeight="1">
      <c r="A1663" s="528" t="s">
        <v>51</v>
      </c>
      <c r="B1663" s="528" t="s">
        <v>265</v>
      </c>
      <c r="C1663" s="389"/>
      <c r="D1663" s="650" t="s">
        <v>98</v>
      </c>
      <c r="E1663" s="390" t="s">
        <v>99</v>
      </c>
      <c r="F1663" s="391">
        <f>+F1664</f>
        <v>0</v>
      </c>
      <c r="G1663" s="391">
        <f t="shared" ref="G1663:M1663" si="614">+G1664</f>
        <v>0</v>
      </c>
      <c r="H1663" s="391">
        <f t="shared" si="614"/>
        <v>0</v>
      </c>
      <c r="I1663" s="391">
        <f t="shared" si="614"/>
        <v>0</v>
      </c>
      <c r="J1663" s="391">
        <f t="shared" si="614"/>
        <v>0</v>
      </c>
      <c r="K1663" s="391">
        <f t="shared" si="614"/>
        <v>0</v>
      </c>
      <c r="L1663" s="391">
        <f t="shared" si="614"/>
        <v>0</v>
      </c>
      <c r="M1663" s="391">
        <f t="shared" si="614"/>
        <v>0</v>
      </c>
      <c r="N1663" s="391">
        <f t="shared" si="587"/>
        <v>0</v>
      </c>
      <c r="O1663" s="391">
        <f t="shared" si="587"/>
        <v>0</v>
      </c>
      <c r="P1663" s="391">
        <f t="shared" si="587"/>
        <v>0</v>
      </c>
      <c r="Q1663" s="391">
        <f t="shared" si="588"/>
        <v>0</v>
      </c>
      <c r="R1663" s="101"/>
      <c r="S1663" s="254" t="str">
        <f t="shared" si="602"/>
        <v/>
      </c>
      <c r="T1663" s="254" t="str">
        <f t="shared" si="602"/>
        <v/>
      </c>
      <c r="U1663" s="254" t="str">
        <f t="shared" si="602"/>
        <v/>
      </c>
      <c r="V1663" s="254" t="str">
        <f t="shared" si="599"/>
        <v/>
      </c>
      <c r="W1663" s="531"/>
      <c r="Y1663" s="256" t="s">
        <v>598</v>
      </c>
      <c r="Z1663" s="256" t="s">
        <v>598</v>
      </c>
    </row>
    <row r="1664" spans="1:26" ht="11.25" customHeight="1">
      <c r="A1664" s="528" t="s">
        <v>51</v>
      </c>
      <c r="B1664" s="1013" t="s">
        <v>265</v>
      </c>
      <c r="C1664" s="728"/>
      <c r="D1664" s="649" t="s">
        <v>286</v>
      </c>
      <c r="E1664" s="729" t="s">
        <v>286</v>
      </c>
      <c r="F1664" s="103">
        <f>SUM([3]BUREAUS!O14)</f>
        <v>0</v>
      </c>
      <c r="G1664" s="103">
        <f>SUM([3]BUREAUS!O50)</f>
        <v>0</v>
      </c>
      <c r="H1664" s="103">
        <f>SUM([3]BUREAUS!O142)</f>
        <v>0</v>
      </c>
      <c r="I1664" s="103">
        <f>SUM(F1664:H1664)</f>
        <v>0</v>
      </c>
      <c r="J1664" s="103">
        <f>SUM([3]BUREAUS!O15)</f>
        <v>0</v>
      </c>
      <c r="K1664" s="103">
        <f>SUM([3]BUREAUS!O51)</f>
        <v>0</v>
      </c>
      <c r="L1664" s="103">
        <f>SUM([3]BUREAUS!O143)</f>
        <v>0</v>
      </c>
      <c r="M1664" s="103">
        <f>SUM(J1664:L1664)</f>
        <v>0</v>
      </c>
      <c r="N1664" s="103">
        <f t="shared" si="587"/>
        <v>0</v>
      </c>
      <c r="O1664" s="103">
        <f t="shared" si="587"/>
        <v>0</v>
      </c>
      <c r="P1664" s="103">
        <f t="shared" si="587"/>
        <v>0</v>
      </c>
      <c r="Q1664" s="103">
        <f t="shared" si="588"/>
        <v>0</v>
      </c>
      <c r="R1664" s="95">
        <f>Q1664-[3]BUREAUS!O179</f>
        <v>0</v>
      </c>
      <c r="S1664" s="730" t="str">
        <f t="shared" si="602"/>
        <v/>
      </c>
      <c r="T1664" s="730" t="str">
        <f t="shared" si="602"/>
        <v/>
      </c>
      <c r="U1664" s="730" t="str">
        <f t="shared" si="602"/>
        <v/>
      </c>
      <c r="V1664" s="730" t="str">
        <f t="shared" si="599"/>
        <v/>
      </c>
      <c r="W1664" s="531"/>
      <c r="X1664" s="236"/>
      <c r="Y1664" s="236" t="s">
        <v>598</v>
      </c>
      <c r="Z1664" s="236"/>
    </row>
    <row r="1665" spans="1:26" s="272" customFormat="1" ht="11.25" customHeight="1">
      <c r="A1665" s="528" t="s">
        <v>51</v>
      </c>
      <c r="B1665" s="528" t="s">
        <v>265</v>
      </c>
      <c r="C1665" s="389"/>
      <c r="D1665" s="650" t="s">
        <v>98</v>
      </c>
      <c r="E1665" s="390" t="s">
        <v>100</v>
      </c>
      <c r="F1665" s="391">
        <f t="shared" ref="F1665:M1665" si="615">SUM(F1666:F1668)</f>
        <v>0</v>
      </c>
      <c r="G1665" s="391">
        <f t="shared" si="615"/>
        <v>0</v>
      </c>
      <c r="H1665" s="391">
        <f t="shared" si="615"/>
        <v>0</v>
      </c>
      <c r="I1665" s="391">
        <f t="shared" si="615"/>
        <v>0</v>
      </c>
      <c r="J1665" s="391">
        <f t="shared" si="615"/>
        <v>0</v>
      </c>
      <c r="K1665" s="391">
        <f t="shared" si="615"/>
        <v>0</v>
      </c>
      <c r="L1665" s="391">
        <f t="shared" si="615"/>
        <v>0</v>
      </c>
      <c r="M1665" s="391">
        <f t="shared" si="615"/>
        <v>0</v>
      </c>
      <c r="N1665" s="391">
        <f t="shared" si="587"/>
        <v>0</v>
      </c>
      <c r="O1665" s="391">
        <f t="shared" si="587"/>
        <v>0</v>
      </c>
      <c r="P1665" s="391">
        <f t="shared" si="587"/>
        <v>0</v>
      </c>
      <c r="Q1665" s="391">
        <f t="shared" si="588"/>
        <v>0</v>
      </c>
      <c r="R1665" s="102"/>
      <c r="S1665" s="254" t="str">
        <f t="shared" si="602"/>
        <v/>
      </c>
      <c r="T1665" s="254" t="str">
        <f t="shared" si="602"/>
        <v/>
      </c>
      <c r="U1665" s="254" t="str">
        <f t="shared" si="602"/>
        <v/>
      </c>
      <c r="V1665" s="254" t="str">
        <f t="shared" si="599"/>
        <v/>
      </c>
      <c r="W1665" s="531"/>
      <c r="Y1665" s="272" t="s">
        <v>598</v>
      </c>
      <c r="Z1665" s="256" t="s">
        <v>598</v>
      </c>
    </row>
    <row r="1666" spans="1:26" ht="11.25" customHeight="1">
      <c r="A1666" s="528" t="s">
        <v>51</v>
      </c>
      <c r="B1666" s="1013" t="s">
        <v>265</v>
      </c>
      <c r="C1666" s="728"/>
      <c r="D1666" s="649" t="s">
        <v>288</v>
      </c>
      <c r="E1666" s="729" t="s">
        <v>288</v>
      </c>
      <c r="F1666" s="103">
        <f>SUM([3]BUREAUS!T14)</f>
        <v>0</v>
      </c>
      <c r="G1666" s="103">
        <f>SUM([3]BUREAUS!T50)</f>
        <v>0</v>
      </c>
      <c r="H1666" s="103">
        <f>SUM([3]BUREAUS!T142)</f>
        <v>0</v>
      </c>
      <c r="I1666" s="103">
        <f>SUM(F1666:H1666)</f>
        <v>0</v>
      </c>
      <c r="J1666" s="103">
        <f>SUM([3]BUREAUS!T15)</f>
        <v>0</v>
      </c>
      <c r="K1666" s="103">
        <f>SUM([3]BUREAUS!T51)</f>
        <v>0</v>
      </c>
      <c r="L1666" s="103">
        <f>SUM([3]BUREAUS!T143)</f>
        <v>0</v>
      </c>
      <c r="M1666" s="103">
        <f>SUM(J1666:L1666)</f>
        <v>0</v>
      </c>
      <c r="N1666" s="103">
        <f t="shared" si="587"/>
        <v>0</v>
      </c>
      <c r="O1666" s="103">
        <f t="shared" si="587"/>
        <v>0</v>
      </c>
      <c r="P1666" s="103">
        <f t="shared" si="587"/>
        <v>0</v>
      </c>
      <c r="Q1666" s="103">
        <f t="shared" si="588"/>
        <v>0</v>
      </c>
      <c r="R1666" s="95">
        <f>Q1666-[3]BUREAUS!T179</f>
        <v>0</v>
      </c>
      <c r="S1666" s="730" t="str">
        <f t="shared" si="602"/>
        <v/>
      </c>
      <c r="T1666" s="730" t="str">
        <f t="shared" si="602"/>
        <v/>
      </c>
      <c r="U1666" s="730" t="str">
        <f t="shared" si="602"/>
        <v/>
      </c>
      <c r="V1666" s="730" t="str">
        <f t="shared" si="599"/>
        <v/>
      </c>
      <c r="W1666" s="531"/>
      <c r="X1666" s="236"/>
      <c r="Y1666" s="236" t="s">
        <v>598</v>
      </c>
      <c r="Z1666" s="236"/>
    </row>
    <row r="1667" spans="1:26" ht="11.25" customHeight="1">
      <c r="A1667" s="528" t="s">
        <v>51</v>
      </c>
      <c r="B1667" s="1013" t="s">
        <v>265</v>
      </c>
      <c r="C1667" s="728"/>
      <c r="D1667" s="649" t="s">
        <v>289</v>
      </c>
      <c r="E1667" s="729" t="s">
        <v>289</v>
      </c>
      <c r="F1667" s="103">
        <f>SUM([3]BUREAUS!Y14)</f>
        <v>0</v>
      </c>
      <c r="G1667" s="103">
        <f>SUM([3]BUREAUS!Y50)</f>
        <v>0</v>
      </c>
      <c r="H1667" s="103">
        <f>SUM([3]BUREAUS!Y142)</f>
        <v>0</v>
      </c>
      <c r="I1667" s="103">
        <f>SUM(F1667:H1667)</f>
        <v>0</v>
      </c>
      <c r="J1667" s="103">
        <f>SUM([3]BUREAUS!Y15)</f>
        <v>0</v>
      </c>
      <c r="K1667" s="103">
        <f>SUM([3]BUREAUS!Y51)</f>
        <v>0</v>
      </c>
      <c r="L1667" s="103">
        <f>SUM([3]BUREAUS!Y143)</f>
        <v>0</v>
      </c>
      <c r="M1667" s="103">
        <f>SUM(J1667:L1667)</f>
        <v>0</v>
      </c>
      <c r="N1667" s="103">
        <f t="shared" si="587"/>
        <v>0</v>
      </c>
      <c r="O1667" s="103">
        <f t="shared" si="587"/>
        <v>0</v>
      </c>
      <c r="P1667" s="103">
        <f t="shared" si="587"/>
        <v>0</v>
      </c>
      <c r="Q1667" s="103">
        <f t="shared" si="588"/>
        <v>0</v>
      </c>
      <c r="R1667" s="95">
        <f>Q1667-[3]BUREAUS!Y179</f>
        <v>0</v>
      </c>
      <c r="S1667" s="730" t="str">
        <f t="shared" si="602"/>
        <v/>
      </c>
      <c r="T1667" s="730" t="str">
        <f t="shared" si="602"/>
        <v/>
      </c>
      <c r="U1667" s="730" t="str">
        <f t="shared" si="602"/>
        <v/>
      </c>
      <c r="V1667" s="730" t="str">
        <f t="shared" si="599"/>
        <v/>
      </c>
      <c r="W1667" s="531"/>
      <c r="X1667" s="236"/>
      <c r="Y1667" s="236" t="s">
        <v>598</v>
      </c>
      <c r="Z1667" s="236"/>
    </row>
    <row r="1668" spans="1:26" ht="11.25" customHeight="1">
      <c r="A1668" s="528" t="s">
        <v>51</v>
      </c>
      <c r="B1668" s="1013" t="s">
        <v>265</v>
      </c>
      <c r="C1668" s="728"/>
      <c r="D1668" s="649" t="s">
        <v>290</v>
      </c>
      <c r="E1668" s="729" t="s">
        <v>290</v>
      </c>
      <c r="F1668" s="103">
        <f>SUM([3]BUREAUS!AD14)</f>
        <v>0</v>
      </c>
      <c r="G1668" s="103">
        <f>SUM([3]BUREAUS!AD50)</f>
        <v>0</v>
      </c>
      <c r="H1668" s="103">
        <f>SUM([3]BUREAUS!AD142)</f>
        <v>0</v>
      </c>
      <c r="I1668" s="103">
        <f>SUM(F1668:H1668)</f>
        <v>0</v>
      </c>
      <c r="J1668" s="103">
        <f>SUM([3]BUREAUS!AD15)</f>
        <v>0</v>
      </c>
      <c r="K1668" s="103">
        <f>SUM([3]BUREAUS!AD51)</f>
        <v>0</v>
      </c>
      <c r="L1668" s="103">
        <f>SUM([3]BUREAUS!AD143)</f>
        <v>0</v>
      </c>
      <c r="M1668" s="103">
        <f>SUM(J1668:L1668)</f>
        <v>0</v>
      </c>
      <c r="N1668" s="103">
        <f t="shared" si="587"/>
        <v>0</v>
      </c>
      <c r="O1668" s="103">
        <f t="shared" si="587"/>
        <v>0</v>
      </c>
      <c r="P1668" s="103">
        <f t="shared" si="587"/>
        <v>0</v>
      </c>
      <c r="Q1668" s="103">
        <f t="shared" si="588"/>
        <v>0</v>
      </c>
      <c r="R1668" s="95">
        <f>Q1668-[3]BUREAUS!AD179</f>
        <v>0</v>
      </c>
      <c r="S1668" s="730" t="str">
        <f t="shared" si="602"/>
        <v/>
      </c>
      <c r="T1668" s="730" t="str">
        <f t="shared" si="602"/>
        <v/>
      </c>
      <c r="U1668" s="730" t="str">
        <f t="shared" si="602"/>
        <v/>
      </c>
      <c r="V1668" s="730" t="str">
        <f t="shared" si="599"/>
        <v/>
      </c>
      <c r="W1668" s="531"/>
      <c r="X1668" s="236"/>
      <c r="Y1668" s="236" t="s">
        <v>598</v>
      </c>
      <c r="Z1668" s="236"/>
    </row>
    <row r="1669" spans="1:26" s="259" customFormat="1" ht="11.25" customHeight="1">
      <c r="A1669" s="246" t="s">
        <v>51</v>
      </c>
      <c r="B1669" s="235" t="s">
        <v>265</v>
      </c>
      <c r="C1669" s="656"/>
      <c r="D1669" s="656"/>
      <c r="E1669" s="657" t="s">
        <v>4</v>
      </c>
      <c r="F1669" s="652">
        <f>+F1661+F1663+F1665</f>
        <v>5603000</v>
      </c>
      <c r="G1669" s="652">
        <f t="shared" ref="G1669:M1669" si="616">+G1661+G1663+G1665</f>
        <v>8868000</v>
      </c>
      <c r="H1669" s="652">
        <f t="shared" si="616"/>
        <v>0</v>
      </c>
      <c r="I1669" s="652">
        <f t="shared" si="616"/>
        <v>14471000</v>
      </c>
      <c r="J1669" s="652">
        <f t="shared" si="616"/>
        <v>5401225.2199999997</v>
      </c>
      <c r="K1669" s="652">
        <f t="shared" si="616"/>
        <v>8154534.4900000002</v>
      </c>
      <c r="L1669" s="652">
        <f t="shared" si="616"/>
        <v>0</v>
      </c>
      <c r="M1669" s="652">
        <f t="shared" si="616"/>
        <v>13555759.710000001</v>
      </c>
      <c r="N1669" s="652">
        <f t="shared" ref="N1669:P1725" si="617">+F1669-J1669</f>
        <v>201774.78000000026</v>
      </c>
      <c r="O1669" s="652">
        <f t="shared" si="617"/>
        <v>713465.50999999978</v>
      </c>
      <c r="P1669" s="652">
        <f t="shared" si="617"/>
        <v>0</v>
      </c>
      <c r="Q1669" s="652">
        <f t="shared" ref="Q1669:Q1725" si="618">SUM(N1669:P1669)</f>
        <v>915240.29</v>
      </c>
      <c r="R1669" s="653">
        <f>+Q1669-[3]BUREAUS!BB179</f>
        <v>0</v>
      </c>
      <c r="S1669" s="1008">
        <f t="shared" si="602"/>
        <v>0.96398808138497227</v>
      </c>
      <c r="T1669" s="1008">
        <f t="shared" si="602"/>
        <v>0.91954606337392875</v>
      </c>
      <c r="U1669" s="1008" t="str">
        <f t="shared" si="602"/>
        <v/>
      </c>
      <c r="V1669" s="1008">
        <f t="shared" si="599"/>
        <v>0.936753486973948</v>
      </c>
      <c r="W1669" s="254"/>
      <c r="X1669" s="520"/>
      <c r="Y1669" s="610" t="s">
        <v>598</v>
      </c>
      <c r="Z1669" s="241" t="s">
        <v>598</v>
      </c>
    </row>
    <row r="1670" spans="1:26" ht="11.25" hidden="1" customHeight="1">
      <c r="A1670" s="246" t="s">
        <v>51</v>
      </c>
      <c r="B1670" s="235" t="s">
        <v>265</v>
      </c>
      <c r="C1670" s="410"/>
      <c r="D1670" s="386"/>
      <c r="E1670" s="461"/>
      <c r="F1670" s="103"/>
      <c r="G1670" s="103"/>
      <c r="H1670" s="103"/>
      <c r="I1670" s="103">
        <f>SUM(F1670:H1670)</f>
        <v>0</v>
      </c>
      <c r="J1670" s="103"/>
      <c r="K1670" s="103"/>
      <c r="L1670" s="103"/>
      <c r="M1670" s="103">
        <f>SUM(J1670:L1670)</f>
        <v>0</v>
      </c>
      <c r="N1670" s="103">
        <f t="shared" si="617"/>
        <v>0</v>
      </c>
      <c r="O1670" s="103">
        <f t="shared" si="617"/>
        <v>0</v>
      </c>
      <c r="P1670" s="103">
        <f t="shared" si="617"/>
        <v>0</v>
      </c>
      <c r="Q1670" s="103">
        <f t="shared" si="618"/>
        <v>0</v>
      </c>
      <c r="R1670" s="236"/>
      <c r="S1670" s="730" t="str">
        <f t="shared" si="602"/>
        <v/>
      </c>
      <c r="T1670" s="730" t="str">
        <f t="shared" si="602"/>
        <v/>
      </c>
      <c r="U1670" s="730" t="str">
        <f t="shared" si="602"/>
        <v/>
      </c>
      <c r="V1670" s="730" t="str">
        <f t="shared" si="599"/>
        <v/>
      </c>
      <c r="W1670" s="254"/>
      <c r="X1670" s="520" t="s">
        <v>598</v>
      </c>
      <c r="Z1670" s="241" t="s">
        <v>598</v>
      </c>
    </row>
    <row r="1671" spans="1:26" s="275" customFormat="1" ht="11.25" hidden="1" customHeight="1">
      <c r="A1671" s="246" t="s">
        <v>267</v>
      </c>
      <c r="B1671" s="246" t="s">
        <v>268</v>
      </c>
      <c r="C1671" s="407" t="s">
        <v>860</v>
      </c>
      <c r="D1671" s="407"/>
      <c r="E1671" s="408"/>
      <c r="F1671" s="409"/>
      <c r="G1671" s="409"/>
      <c r="H1671" s="409"/>
      <c r="I1671" s="409">
        <f>SUM(F1671:H1671)</f>
        <v>0</v>
      </c>
      <c r="J1671" s="409"/>
      <c r="K1671" s="409"/>
      <c r="L1671" s="409"/>
      <c r="M1671" s="409">
        <f>SUM(J1671:L1671)</f>
        <v>0</v>
      </c>
      <c r="N1671" s="409">
        <f t="shared" si="617"/>
        <v>0</v>
      </c>
      <c r="O1671" s="409">
        <f t="shared" si="617"/>
        <v>0</v>
      </c>
      <c r="P1671" s="409">
        <f t="shared" si="617"/>
        <v>0</v>
      </c>
      <c r="Q1671" s="409">
        <f t="shared" si="618"/>
        <v>0</v>
      </c>
      <c r="R1671" s="522"/>
      <c r="S1671" s="254" t="str">
        <f t="shared" si="602"/>
        <v/>
      </c>
      <c r="T1671" s="254" t="str">
        <f t="shared" si="602"/>
        <v/>
      </c>
      <c r="U1671" s="254" t="str">
        <f t="shared" si="602"/>
        <v/>
      </c>
      <c r="V1671" s="1002" t="str">
        <f t="shared" si="599"/>
        <v/>
      </c>
      <c r="W1671" s="254"/>
      <c r="X1671" s="274" t="s">
        <v>598</v>
      </c>
      <c r="Y1671" s="663"/>
      <c r="Z1671" s="253"/>
    </row>
    <row r="1672" spans="1:26" ht="11.25" hidden="1" customHeight="1">
      <c r="A1672" s="246" t="s">
        <v>267</v>
      </c>
      <c r="B1672" s="235" t="s">
        <v>268</v>
      </c>
      <c r="C1672" s="461"/>
      <c r="D1672" s="664" t="s">
        <v>766</v>
      </c>
      <c r="E1672" s="447" t="s">
        <v>766</v>
      </c>
      <c r="F1672" s="103">
        <f t="shared" ref="F1672:H1673" si="619">+F1631+F1646+F1659</f>
        <v>129710000</v>
      </c>
      <c r="G1672" s="103">
        <f t="shared" si="619"/>
        <v>121912000</v>
      </c>
      <c r="H1672" s="103">
        <f t="shared" si="619"/>
        <v>0</v>
      </c>
      <c r="I1672" s="103">
        <f>SUM(F1672:H1672)</f>
        <v>251622000</v>
      </c>
      <c r="J1672" s="103">
        <f t="shared" ref="J1672:L1673" si="620">+J1631+J1646+J1659</f>
        <v>128335787.43000001</v>
      </c>
      <c r="K1672" s="103">
        <f t="shared" si="620"/>
        <v>91842216.609999999</v>
      </c>
      <c r="L1672" s="103">
        <f t="shared" si="620"/>
        <v>0</v>
      </c>
      <c r="M1672" s="103">
        <f>SUM(J1672:L1672)</f>
        <v>220178004.04000002</v>
      </c>
      <c r="N1672" s="103">
        <f t="shared" si="617"/>
        <v>1374212.5699999928</v>
      </c>
      <c r="O1672" s="103">
        <f t="shared" si="617"/>
        <v>30069783.390000001</v>
      </c>
      <c r="P1672" s="103">
        <f t="shared" si="617"/>
        <v>0</v>
      </c>
      <c r="Q1672" s="103">
        <f t="shared" si="618"/>
        <v>31443995.959999993</v>
      </c>
      <c r="R1672" s="236"/>
      <c r="S1672" s="730">
        <f t="shared" si="602"/>
        <v>0.98940550019273765</v>
      </c>
      <c r="T1672" s="730">
        <f t="shared" si="602"/>
        <v>0.75334845306450549</v>
      </c>
      <c r="U1672" s="730" t="str">
        <f t="shared" si="602"/>
        <v/>
      </c>
      <c r="V1672" s="730">
        <f t="shared" si="599"/>
        <v>0.87503479043962773</v>
      </c>
      <c r="W1672" s="254"/>
      <c r="X1672" s="237" t="s">
        <v>598</v>
      </c>
    </row>
    <row r="1673" spans="1:26" ht="11.25" hidden="1" customHeight="1">
      <c r="A1673" s="246" t="s">
        <v>267</v>
      </c>
      <c r="B1673" s="235" t="s">
        <v>268</v>
      </c>
      <c r="C1673" s="728"/>
      <c r="D1673" s="394" t="s">
        <v>50</v>
      </c>
      <c r="E1673" s="447" t="s">
        <v>50</v>
      </c>
      <c r="F1673" s="103">
        <f t="shared" si="619"/>
        <v>0</v>
      </c>
      <c r="G1673" s="103">
        <f t="shared" si="619"/>
        <v>0</v>
      </c>
      <c r="H1673" s="103">
        <f t="shared" si="619"/>
        <v>0</v>
      </c>
      <c r="I1673" s="103">
        <f>SUM(F1673:H1673)</f>
        <v>0</v>
      </c>
      <c r="J1673" s="103">
        <f t="shared" si="620"/>
        <v>0</v>
      </c>
      <c r="K1673" s="103">
        <f t="shared" si="620"/>
        <v>0</v>
      </c>
      <c r="L1673" s="103">
        <f t="shared" si="620"/>
        <v>0</v>
      </c>
      <c r="M1673" s="103">
        <f>SUM(J1673:L1673)</f>
        <v>0</v>
      </c>
      <c r="N1673" s="103">
        <f t="shared" si="617"/>
        <v>0</v>
      </c>
      <c r="O1673" s="103">
        <f t="shared" si="617"/>
        <v>0</v>
      </c>
      <c r="P1673" s="103">
        <f t="shared" si="617"/>
        <v>0</v>
      </c>
      <c r="Q1673" s="103">
        <f t="shared" si="618"/>
        <v>0</v>
      </c>
      <c r="R1673" s="236"/>
      <c r="S1673" s="730" t="str">
        <f t="shared" si="602"/>
        <v/>
      </c>
      <c r="T1673" s="730" t="str">
        <f t="shared" si="602"/>
        <v/>
      </c>
      <c r="U1673" s="730" t="str">
        <f t="shared" si="602"/>
        <v/>
      </c>
      <c r="V1673" s="730" t="str">
        <f t="shared" si="599"/>
        <v/>
      </c>
      <c r="W1673" s="254"/>
      <c r="X1673" s="237" t="s">
        <v>598</v>
      </c>
    </row>
    <row r="1674" spans="1:26" s="256" customFormat="1" ht="11.25" hidden="1" customHeight="1">
      <c r="A1674" s="246" t="s">
        <v>267</v>
      </c>
      <c r="B1674" s="246" t="s">
        <v>268</v>
      </c>
      <c r="C1674" s="389"/>
      <c r="D1674" s="389" t="s">
        <v>98</v>
      </c>
      <c r="E1674" s="390" t="s">
        <v>767</v>
      </c>
      <c r="F1674" s="391">
        <f>+F1672+F1673</f>
        <v>129710000</v>
      </c>
      <c r="G1674" s="391">
        <f t="shared" ref="G1674:M1674" si="621">+G1672+G1673</f>
        <v>121912000</v>
      </c>
      <c r="H1674" s="391">
        <f t="shared" si="621"/>
        <v>0</v>
      </c>
      <c r="I1674" s="391">
        <f t="shared" si="621"/>
        <v>251622000</v>
      </c>
      <c r="J1674" s="391">
        <f t="shared" si="621"/>
        <v>128335787.43000001</v>
      </c>
      <c r="K1674" s="391">
        <f t="shared" si="621"/>
        <v>91842216.609999999</v>
      </c>
      <c r="L1674" s="391">
        <f t="shared" si="621"/>
        <v>0</v>
      </c>
      <c r="M1674" s="391">
        <f t="shared" si="621"/>
        <v>220178004.04000002</v>
      </c>
      <c r="N1674" s="391">
        <f t="shared" si="617"/>
        <v>1374212.5699999928</v>
      </c>
      <c r="O1674" s="391">
        <f t="shared" si="617"/>
        <v>30069783.390000001</v>
      </c>
      <c r="P1674" s="391">
        <f t="shared" si="617"/>
        <v>0</v>
      </c>
      <c r="Q1674" s="391">
        <f t="shared" si="618"/>
        <v>31443995.959999993</v>
      </c>
      <c r="R1674" s="665"/>
      <c r="S1674" s="254">
        <f t="shared" si="602"/>
        <v>0.98940550019273765</v>
      </c>
      <c r="T1674" s="254">
        <f t="shared" si="602"/>
        <v>0.75334845306450549</v>
      </c>
      <c r="U1674" s="254" t="str">
        <f t="shared" si="602"/>
        <v/>
      </c>
      <c r="V1674" s="297">
        <f t="shared" si="599"/>
        <v>0.87503479043962773</v>
      </c>
      <c r="W1674" s="254"/>
      <c r="X1674" s="271" t="s">
        <v>598</v>
      </c>
      <c r="Y1674" s="628"/>
      <c r="Z1674" s="255"/>
    </row>
    <row r="1675" spans="1:26" ht="11.25" hidden="1" customHeight="1">
      <c r="A1675" s="246" t="s">
        <v>267</v>
      </c>
      <c r="B1675" s="235" t="s">
        <v>268</v>
      </c>
      <c r="C1675" s="410"/>
      <c r="D1675" s="396"/>
      <c r="E1675" s="806"/>
      <c r="F1675" s="807"/>
      <c r="G1675" s="807"/>
      <c r="H1675" s="807"/>
      <c r="I1675" s="807"/>
      <c r="J1675" s="807"/>
      <c r="K1675" s="807"/>
      <c r="L1675" s="807"/>
      <c r="M1675" s="807"/>
      <c r="N1675" s="807">
        <f t="shared" si="617"/>
        <v>0</v>
      </c>
      <c r="O1675" s="807">
        <f t="shared" si="617"/>
        <v>0</v>
      </c>
      <c r="P1675" s="807">
        <f t="shared" si="617"/>
        <v>0</v>
      </c>
      <c r="Q1675" s="807">
        <f t="shared" si="618"/>
        <v>0</v>
      </c>
      <c r="R1675" s="276"/>
      <c r="S1675" s="730" t="str">
        <f t="shared" si="602"/>
        <v/>
      </c>
      <c r="T1675" s="730" t="str">
        <f t="shared" si="602"/>
        <v/>
      </c>
      <c r="U1675" s="730" t="str">
        <f t="shared" si="602"/>
        <v/>
      </c>
      <c r="V1675" s="730" t="str">
        <f t="shared" si="599"/>
        <v/>
      </c>
      <c r="W1675" s="254"/>
      <c r="X1675" s="237" t="s">
        <v>598</v>
      </c>
    </row>
    <row r="1676" spans="1:26" s="256" customFormat="1" ht="11.25" hidden="1" customHeight="1">
      <c r="A1676" s="246" t="s">
        <v>267</v>
      </c>
      <c r="B1676" s="246" t="s">
        <v>268</v>
      </c>
      <c r="C1676" s="389"/>
      <c r="D1676" s="389" t="s">
        <v>98</v>
      </c>
      <c r="E1676" s="390" t="s">
        <v>99</v>
      </c>
      <c r="F1676" s="391">
        <f>+F1677</f>
        <v>11441000</v>
      </c>
      <c r="G1676" s="391">
        <f t="shared" ref="G1676:M1676" si="622">+G1677</f>
        <v>0</v>
      </c>
      <c r="H1676" s="391">
        <f t="shared" si="622"/>
        <v>0</v>
      </c>
      <c r="I1676" s="391">
        <f t="shared" si="622"/>
        <v>11441000</v>
      </c>
      <c r="J1676" s="391">
        <f t="shared" si="622"/>
        <v>10341633.34</v>
      </c>
      <c r="K1676" s="391">
        <f t="shared" si="622"/>
        <v>0</v>
      </c>
      <c r="L1676" s="391">
        <f t="shared" si="622"/>
        <v>0</v>
      </c>
      <c r="M1676" s="391">
        <f t="shared" si="622"/>
        <v>10341633.34</v>
      </c>
      <c r="N1676" s="391">
        <f t="shared" si="617"/>
        <v>1099366.6600000001</v>
      </c>
      <c r="O1676" s="391">
        <f t="shared" si="617"/>
        <v>0</v>
      </c>
      <c r="P1676" s="391">
        <f t="shared" si="617"/>
        <v>0</v>
      </c>
      <c r="Q1676" s="391">
        <f t="shared" si="618"/>
        <v>1099366.6600000001</v>
      </c>
      <c r="R1676" s="522"/>
      <c r="S1676" s="254">
        <f t="shared" si="602"/>
        <v>0.90390991521720132</v>
      </c>
      <c r="T1676" s="254" t="str">
        <f t="shared" si="602"/>
        <v/>
      </c>
      <c r="U1676" s="254" t="str">
        <f t="shared" si="602"/>
        <v/>
      </c>
      <c r="V1676" s="297">
        <f t="shared" si="599"/>
        <v>0.90390991521720132</v>
      </c>
      <c r="W1676" s="254"/>
      <c r="X1676" s="271" t="s">
        <v>598</v>
      </c>
      <c r="Y1676" s="628"/>
      <c r="Z1676" s="255"/>
    </row>
    <row r="1677" spans="1:26" ht="11.25" hidden="1" customHeight="1">
      <c r="A1677" s="246" t="s">
        <v>267</v>
      </c>
      <c r="B1677" s="235" t="s">
        <v>268</v>
      </c>
      <c r="C1677" s="728"/>
      <c r="D1677" s="394" t="s">
        <v>286</v>
      </c>
      <c r="E1677" s="729" t="s">
        <v>286</v>
      </c>
      <c r="F1677" s="103">
        <f>+F1636+F1651+F1664</f>
        <v>11441000</v>
      </c>
      <c r="G1677" s="103">
        <f>+G1636+G1651+G1664</f>
        <v>0</v>
      </c>
      <c r="H1677" s="103">
        <f>+H1636+H1651+H1664</f>
        <v>0</v>
      </c>
      <c r="I1677" s="103">
        <f>SUM(F1677:H1677)</f>
        <v>11441000</v>
      </c>
      <c r="J1677" s="103">
        <f>+J1636+J1651+J1664</f>
        <v>10341633.34</v>
      </c>
      <c r="K1677" s="103">
        <f>+K1636+K1651+K1664</f>
        <v>0</v>
      </c>
      <c r="L1677" s="103">
        <f>+L1636+L1651+L1664</f>
        <v>0</v>
      </c>
      <c r="M1677" s="103">
        <f>SUM(J1677:L1677)</f>
        <v>10341633.34</v>
      </c>
      <c r="N1677" s="103">
        <f t="shared" si="617"/>
        <v>1099366.6600000001</v>
      </c>
      <c r="O1677" s="103">
        <f t="shared" si="617"/>
        <v>0</v>
      </c>
      <c r="P1677" s="103">
        <f t="shared" si="617"/>
        <v>0</v>
      </c>
      <c r="Q1677" s="103">
        <f t="shared" si="618"/>
        <v>1099366.6600000001</v>
      </c>
      <c r="R1677" s="236"/>
      <c r="S1677" s="730">
        <f t="shared" si="602"/>
        <v>0.90390991521720132</v>
      </c>
      <c r="T1677" s="730" t="str">
        <f t="shared" si="602"/>
        <v/>
      </c>
      <c r="U1677" s="730" t="str">
        <f t="shared" si="602"/>
        <v/>
      </c>
      <c r="V1677" s="730">
        <f t="shared" si="599"/>
        <v>0.90390991521720132</v>
      </c>
      <c r="W1677" s="254"/>
      <c r="X1677" s="237" t="s">
        <v>598</v>
      </c>
    </row>
    <row r="1678" spans="1:26" s="272" customFormat="1" ht="11.25" hidden="1" customHeight="1">
      <c r="A1678" s="246" t="s">
        <v>267</v>
      </c>
      <c r="B1678" s="246" t="s">
        <v>268</v>
      </c>
      <c r="C1678" s="389"/>
      <c r="D1678" s="389" t="s">
        <v>98</v>
      </c>
      <c r="E1678" s="390" t="s">
        <v>100</v>
      </c>
      <c r="F1678" s="391">
        <f t="shared" ref="F1678:M1678" si="623">SUM(F1679:F1683)</f>
        <v>7330677</v>
      </c>
      <c r="G1678" s="391">
        <f t="shared" si="623"/>
        <v>0</v>
      </c>
      <c r="H1678" s="391">
        <f t="shared" si="623"/>
        <v>0</v>
      </c>
      <c r="I1678" s="391">
        <f t="shared" si="623"/>
        <v>7330677</v>
      </c>
      <c r="J1678" s="391">
        <f t="shared" si="623"/>
        <v>6874733.75</v>
      </c>
      <c r="K1678" s="391">
        <f t="shared" si="623"/>
        <v>0</v>
      </c>
      <c r="L1678" s="391">
        <f t="shared" si="623"/>
        <v>0</v>
      </c>
      <c r="M1678" s="391">
        <f t="shared" si="623"/>
        <v>6874733.75</v>
      </c>
      <c r="N1678" s="391">
        <f t="shared" si="617"/>
        <v>455943.25</v>
      </c>
      <c r="O1678" s="391">
        <f t="shared" si="617"/>
        <v>0</v>
      </c>
      <c r="P1678" s="391">
        <f t="shared" si="617"/>
        <v>0</v>
      </c>
      <c r="Q1678" s="391">
        <f t="shared" si="618"/>
        <v>455943.25</v>
      </c>
      <c r="R1678" s="94"/>
      <c r="S1678" s="254">
        <f t="shared" si="602"/>
        <v>0.93780339114654754</v>
      </c>
      <c r="T1678" s="254" t="str">
        <f t="shared" si="602"/>
        <v/>
      </c>
      <c r="U1678" s="254" t="str">
        <f t="shared" si="602"/>
        <v/>
      </c>
      <c r="V1678" s="297">
        <f t="shared" si="599"/>
        <v>0.93780339114654754</v>
      </c>
      <c r="W1678" s="254"/>
      <c r="X1678" s="527" t="s">
        <v>598</v>
      </c>
      <c r="Y1678" s="629"/>
      <c r="Z1678" s="277"/>
    </row>
    <row r="1679" spans="1:26" ht="11.25" hidden="1" customHeight="1">
      <c r="A1679" s="246" t="s">
        <v>267</v>
      </c>
      <c r="B1679" s="235" t="s">
        <v>268</v>
      </c>
      <c r="C1679" s="728"/>
      <c r="D1679" s="394" t="s">
        <v>288</v>
      </c>
      <c r="E1679" s="729" t="s">
        <v>288</v>
      </c>
      <c r="F1679" s="103">
        <f>+F1638+F1653+F1666</f>
        <v>0</v>
      </c>
      <c r="G1679" s="103">
        <f>+G1638+G1653+G1666</f>
        <v>0</v>
      </c>
      <c r="H1679" s="103">
        <f>+H1638+H1653+H1666</f>
        <v>0</v>
      </c>
      <c r="I1679" s="103">
        <f>SUM(F1679:H1679)</f>
        <v>0</v>
      </c>
      <c r="J1679" s="103">
        <f>+J1638+J1653+J1666</f>
        <v>0</v>
      </c>
      <c r="K1679" s="103">
        <f>+K1638+K1653+K1666</f>
        <v>0</v>
      </c>
      <c r="L1679" s="103">
        <f>+L1638+L1653+L1666</f>
        <v>0</v>
      </c>
      <c r="M1679" s="103">
        <f>SUM(J1679:L1679)</f>
        <v>0</v>
      </c>
      <c r="N1679" s="103">
        <f t="shared" si="617"/>
        <v>0</v>
      </c>
      <c r="O1679" s="103">
        <f t="shared" si="617"/>
        <v>0</v>
      </c>
      <c r="P1679" s="103">
        <f t="shared" si="617"/>
        <v>0</v>
      </c>
      <c r="Q1679" s="103">
        <f t="shared" si="618"/>
        <v>0</v>
      </c>
      <c r="R1679" s="236"/>
      <c r="S1679" s="730" t="str">
        <f t="shared" si="602"/>
        <v/>
      </c>
      <c r="T1679" s="730" t="str">
        <f t="shared" si="602"/>
        <v/>
      </c>
      <c r="U1679" s="730" t="str">
        <f t="shared" si="602"/>
        <v/>
      </c>
      <c r="V1679" s="730" t="str">
        <f t="shared" si="599"/>
        <v/>
      </c>
      <c r="W1679" s="254"/>
      <c r="X1679" s="237" t="s">
        <v>598</v>
      </c>
    </row>
    <row r="1680" spans="1:26" ht="11.25" hidden="1" customHeight="1">
      <c r="A1680" s="246" t="s">
        <v>267</v>
      </c>
      <c r="B1680" s="235" t="s">
        <v>268</v>
      </c>
      <c r="C1680" s="728"/>
      <c r="D1680" s="394" t="s">
        <v>761</v>
      </c>
      <c r="E1680" s="729" t="s">
        <v>761</v>
      </c>
      <c r="F1680" s="103">
        <f>+F1639</f>
        <v>3517000</v>
      </c>
      <c r="G1680" s="103">
        <f>+G1639</f>
        <v>0</v>
      </c>
      <c r="H1680" s="103">
        <f>+H1639</f>
        <v>0</v>
      </c>
      <c r="I1680" s="103">
        <f>SUM(F1680:H1680)</f>
        <v>3517000</v>
      </c>
      <c r="J1680" s="103">
        <f>+J1639</f>
        <v>3415842</v>
      </c>
      <c r="K1680" s="103">
        <f>+K1639</f>
        <v>0</v>
      </c>
      <c r="L1680" s="103">
        <f>+L1639</f>
        <v>0</v>
      </c>
      <c r="M1680" s="103">
        <f>SUM(J1680:L1680)</f>
        <v>3415842</v>
      </c>
      <c r="N1680" s="103">
        <f>+F1680-J1680</f>
        <v>101158</v>
      </c>
      <c r="O1680" s="103">
        <f>+G1680-K1680</f>
        <v>0</v>
      </c>
      <c r="P1680" s="103">
        <f>+H1680-L1680</f>
        <v>0</v>
      </c>
      <c r="Q1680" s="103">
        <f t="shared" si="618"/>
        <v>101158</v>
      </c>
      <c r="R1680" s="236"/>
      <c r="S1680" s="730">
        <f t="shared" si="602"/>
        <v>0.97123741825419396</v>
      </c>
      <c r="T1680" s="730" t="str">
        <f t="shared" si="602"/>
        <v/>
      </c>
      <c r="U1680" s="730" t="str">
        <f t="shared" si="602"/>
        <v/>
      </c>
      <c r="V1680" s="730">
        <f t="shared" si="599"/>
        <v>0.97123741825419396</v>
      </c>
      <c r="W1680" s="254"/>
      <c r="X1680" s="237" t="s">
        <v>598</v>
      </c>
    </row>
    <row r="1681" spans="1:26" ht="11.25" hidden="1" customHeight="1">
      <c r="A1681" s="246" t="s">
        <v>267</v>
      </c>
      <c r="B1681" s="235" t="s">
        <v>268</v>
      </c>
      <c r="C1681" s="410"/>
      <c r="D1681" s="396"/>
      <c r="E1681" s="728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276"/>
      <c r="S1681" s="730" t="str">
        <f t="shared" si="602"/>
        <v/>
      </c>
      <c r="T1681" s="730" t="str">
        <f t="shared" si="602"/>
        <v/>
      </c>
      <c r="U1681" s="730" t="str">
        <f t="shared" si="602"/>
        <v/>
      </c>
      <c r="V1681" s="730" t="str">
        <f t="shared" si="599"/>
        <v/>
      </c>
      <c r="W1681" s="254"/>
      <c r="X1681" s="237" t="s">
        <v>598</v>
      </c>
    </row>
    <row r="1682" spans="1:26" ht="11.25" hidden="1" customHeight="1">
      <c r="A1682" s="246" t="s">
        <v>267</v>
      </c>
      <c r="B1682" s="235" t="s">
        <v>268</v>
      </c>
      <c r="C1682" s="728"/>
      <c r="D1682" s="394" t="s">
        <v>289</v>
      </c>
      <c r="E1682" s="729" t="s">
        <v>289</v>
      </c>
      <c r="F1682" s="103">
        <f t="shared" ref="F1682:H1683" si="624">+F1641+F1654+F1667</f>
        <v>3813677</v>
      </c>
      <c r="G1682" s="103">
        <f t="shared" si="624"/>
        <v>0</v>
      </c>
      <c r="H1682" s="103">
        <f t="shared" si="624"/>
        <v>0</v>
      </c>
      <c r="I1682" s="103">
        <f>SUM(F1682:H1682)</f>
        <v>3813677</v>
      </c>
      <c r="J1682" s="103">
        <f t="shared" ref="J1682:L1683" si="625">+J1641+J1654+J1667</f>
        <v>3458891.75</v>
      </c>
      <c r="K1682" s="103">
        <f t="shared" si="625"/>
        <v>0</v>
      </c>
      <c r="L1682" s="103">
        <f t="shared" si="625"/>
        <v>0</v>
      </c>
      <c r="M1682" s="103">
        <f>SUM(J1682:L1682)</f>
        <v>3458891.75</v>
      </c>
      <c r="N1682" s="103">
        <f t="shared" si="617"/>
        <v>354785.25</v>
      </c>
      <c r="O1682" s="103">
        <f t="shared" si="617"/>
        <v>0</v>
      </c>
      <c r="P1682" s="103">
        <f t="shared" si="617"/>
        <v>0</v>
      </c>
      <c r="Q1682" s="103">
        <f t="shared" si="618"/>
        <v>354785.25</v>
      </c>
      <c r="R1682" s="236"/>
      <c r="S1682" s="730">
        <f t="shared" si="602"/>
        <v>0.90697029402332707</v>
      </c>
      <c r="T1682" s="730" t="str">
        <f t="shared" si="602"/>
        <v/>
      </c>
      <c r="U1682" s="730" t="str">
        <f t="shared" si="602"/>
        <v/>
      </c>
      <c r="V1682" s="730">
        <f t="shared" si="599"/>
        <v>0.90697029402332707</v>
      </c>
      <c r="W1682" s="254"/>
      <c r="X1682" s="237" t="s">
        <v>598</v>
      </c>
    </row>
    <row r="1683" spans="1:26" ht="11.25" hidden="1" customHeight="1">
      <c r="A1683" s="246" t="s">
        <v>267</v>
      </c>
      <c r="B1683" s="235" t="s">
        <v>268</v>
      </c>
      <c r="C1683" s="728"/>
      <c r="D1683" s="394" t="s">
        <v>290</v>
      </c>
      <c r="E1683" s="729" t="s">
        <v>290</v>
      </c>
      <c r="F1683" s="103">
        <f t="shared" si="624"/>
        <v>0</v>
      </c>
      <c r="G1683" s="103">
        <f t="shared" si="624"/>
        <v>0</v>
      </c>
      <c r="H1683" s="103">
        <f t="shared" si="624"/>
        <v>0</v>
      </c>
      <c r="I1683" s="103">
        <f>SUM(F1683:H1683)</f>
        <v>0</v>
      </c>
      <c r="J1683" s="103">
        <f t="shared" si="625"/>
        <v>0</v>
      </c>
      <c r="K1683" s="103">
        <f t="shared" si="625"/>
        <v>0</v>
      </c>
      <c r="L1683" s="103">
        <f t="shared" si="625"/>
        <v>0</v>
      </c>
      <c r="M1683" s="103">
        <f>SUM(J1683:L1683)</f>
        <v>0</v>
      </c>
      <c r="N1683" s="103">
        <f t="shared" si="617"/>
        <v>0</v>
      </c>
      <c r="O1683" s="103">
        <f t="shared" si="617"/>
        <v>0</v>
      </c>
      <c r="P1683" s="103">
        <f t="shared" si="617"/>
        <v>0</v>
      </c>
      <c r="Q1683" s="103">
        <f t="shared" si="618"/>
        <v>0</v>
      </c>
      <c r="R1683" s="236"/>
      <c r="S1683" s="730" t="str">
        <f t="shared" si="602"/>
        <v/>
      </c>
      <c r="T1683" s="730" t="str">
        <f t="shared" si="602"/>
        <v/>
      </c>
      <c r="U1683" s="730" t="str">
        <f t="shared" si="602"/>
        <v/>
      </c>
      <c r="V1683" s="730" t="str">
        <f t="shared" si="599"/>
        <v/>
      </c>
      <c r="W1683" s="254"/>
      <c r="X1683" s="237" t="s">
        <v>598</v>
      </c>
    </row>
    <row r="1684" spans="1:26" s="266" customFormat="1" ht="17.25" customHeight="1">
      <c r="A1684" s="264" t="s">
        <v>267</v>
      </c>
      <c r="B1684" s="1009" t="s">
        <v>268</v>
      </c>
      <c r="C1684" s="1431" t="s">
        <v>660</v>
      </c>
      <c r="D1684" s="1432"/>
      <c r="E1684" s="1433"/>
      <c r="F1684" s="666">
        <f>+F1678+F1676+F1674</f>
        <v>148481677</v>
      </c>
      <c r="G1684" s="666">
        <f t="shared" ref="G1684:M1684" si="626">+G1678+G1676+G1674</f>
        <v>121912000</v>
      </c>
      <c r="H1684" s="666">
        <f t="shared" si="626"/>
        <v>0</v>
      </c>
      <c r="I1684" s="666">
        <f t="shared" si="626"/>
        <v>270393677</v>
      </c>
      <c r="J1684" s="666">
        <f t="shared" si="626"/>
        <v>145552154.52000001</v>
      </c>
      <c r="K1684" s="666">
        <f t="shared" si="626"/>
        <v>91842216.609999999</v>
      </c>
      <c r="L1684" s="666">
        <f t="shared" si="626"/>
        <v>0</v>
      </c>
      <c r="M1684" s="666">
        <f t="shared" si="626"/>
        <v>237394371.13000003</v>
      </c>
      <c r="N1684" s="666">
        <f t="shared" si="617"/>
        <v>2929522.4799999893</v>
      </c>
      <c r="O1684" s="666">
        <f t="shared" si="617"/>
        <v>30069783.390000001</v>
      </c>
      <c r="P1684" s="666">
        <f t="shared" si="617"/>
        <v>0</v>
      </c>
      <c r="Q1684" s="666">
        <f t="shared" si="618"/>
        <v>32999305.86999999</v>
      </c>
      <c r="R1684" s="667">
        <f>+Q1684-[3]BUREAUS!AZ179-[3]BUREAUS!BA179-[3]BUREAUS!BB179</f>
        <v>-6.0535967350006104E-9</v>
      </c>
      <c r="S1684" s="1010">
        <f t="shared" si="602"/>
        <v>0.98027014148015057</v>
      </c>
      <c r="T1684" s="1010">
        <f t="shared" si="602"/>
        <v>0.75334845306450549</v>
      </c>
      <c r="U1684" s="1010" t="str">
        <f t="shared" si="602"/>
        <v/>
      </c>
      <c r="V1684" s="1010">
        <f t="shared" si="599"/>
        <v>0.87795829312236473</v>
      </c>
      <c r="W1684" s="690"/>
      <c r="X1684" s="237" t="s">
        <v>598</v>
      </c>
      <c r="Y1684" s="610" t="s">
        <v>598</v>
      </c>
      <c r="Z1684" s="241" t="s">
        <v>598</v>
      </c>
    </row>
    <row r="1685" spans="1:26" ht="11.25" customHeight="1">
      <c r="A1685" s="246" t="s">
        <v>267</v>
      </c>
      <c r="B1685" s="235" t="s">
        <v>268</v>
      </c>
      <c r="C1685" s="1016"/>
      <c r="D1685" s="691"/>
      <c r="E1685" s="806"/>
      <c r="F1685" s="103"/>
      <c r="G1685" s="103"/>
      <c r="H1685" s="103"/>
      <c r="I1685" s="103">
        <f t="shared" ref="I1685:I1690" si="627">SUM(F1685:H1685)</f>
        <v>0</v>
      </c>
      <c r="J1685" s="103"/>
      <c r="K1685" s="103"/>
      <c r="L1685" s="103"/>
      <c r="M1685" s="103">
        <f t="shared" ref="M1685:M1690" si="628">SUM(J1685:L1685)</f>
        <v>0</v>
      </c>
      <c r="N1685" s="103">
        <f t="shared" si="617"/>
        <v>0</v>
      </c>
      <c r="O1685" s="103">
        <f t="shared" si="617"/>
        <v>0</v>
      </c>
      <c r="P1685" s="103">
        <f t="shared" si="617"/>
        <v>0</v>
      </c>
      <c r="Q1685" s="103">
        <f t="shared" si="618"/>
        <v>0</v>
      </c>
      <c r="R1685" s="236"/>
      <c r="S1685" s="730" t="str">
        <f t="shared" si="602"/>
        <v/>
      </c>
      <c r="T1685" s="730" t="str">
        <f t="shared" si="602"/>
        <v/>
      </c>
      <c r="U1685" s="730" t="str">
        <f t="shared" si="602"/>
        <v/>
      </c>
      <c r="V1685" s="730" t="str">
        <f t="shared" si="599"/>
        <v/>
      </c>
      <c r="W1685" s="254"/>
      <c r="X1685" s="237" t="s">
        <v>598</v>
      </c>
      <c r="Y1685" s="610" t="s">
        <v>598</v>
      </c>
    </row>
    <row r="1686" spans="1:26" ht="11.25" customHeight="1">
      <c r="A1686" s="528" t="s">
        <v>270</v>
      </c>
      <c r="B1686" s="1013" t="s">
        <v>271</v>
      </c>
      <c r="C1686" s="1447" t="s">
        <v>271</v>
      </c>
      <c r="D1686" s="1448"/>
      <c r="E1686" s="1449"/>
      <c r="F1686" s="103"/>
      <c r="G1686" s="103"/>
      <c r="H1686" s="103"/>
      <c r="I1686" s="103">
        <f t="shared" si="627"/>
        <v>0</v>
      </c>
      <c r="J1686" s="103"/>
      <c r="K1686" s="103"/>
      <c r="L1686" s="103"/>
      <c r="M1686" s="103">
        <f t="shared" si="628"/>
        <v>0</v>
      </c>
      <c r="N1686" s="103">
        <f t="shared" si="617"/>
        <v>0</v>
      </c>
      <c r="O1686" s="103">
        <f t="shared" si="617"/>
        <v>0</v>
      </c>
      <c r="P1686" s="103">
        <f t="shared" si="617"/>
        <v>0</v>
      </c>
      <c r="Q1686" s="103">
        <f t="shared" si="618"/>
        <v>0</v>
      </c>
      <c r="S1686" s="730" t="str">
        <f t="shared" si="602"/>
        <v/>
      </c>
      <c r="T1686" s="730" t="str">
        <f t="shared" si="602"/>
        <v/>
      </c>
      <c r="U1686" s="730" t="str">
        <f t="shared" si="602"/>
        <v/>
      </c>
      <c r="V1686" s="730" t="str">
        <f t="shared" si="599"/>
        <v/>
      </c>
      <c r="W1686" s="850"/>
      <c r="X1686" s="236" t="s">
        <v>598</v>
      </c>
      <c r="Y1686" s="236" t="s">
        <v>598</v>
      </c>
      <c r="Z1686" s="240" t="s">
        <v>598</v>
      </c>
    </row>
    <row r="1687" spans="1:26" s="675" customFormat="1" ht="11.25" customHeight="1">
      <c r="A1687" s="528" t="s">
        <v>270</v>
      </c>
      <c r="B1687" s="528" t="s">
        <v>271</v>
      </c>
      <c r="C1687" s="407" t="s">
        <v>98</v>
      </c>
      <c r="D1687" s="655">
        <v>1</v>
      </c>
      <c r="E1687" s="408" t="s">
        <v>271</v>
      </c>
      <c r="F1687" s="673"/>
      <c r="G1687" s="673"/>
      <c r="H1687" s="673"/>
      <c r="I1687" s="674">
        <f t="shared" si="627"/>
        <v>0</v>
      </c>
      <c r="J1687" s="673"/>
      <c r="K1687" s="673"/>
      <c r="L1687" s="673"/>
      <c r="M1687" s="674">
        <f t="shared" si="628"/>
        <v>0</v>
      </c>
      <c r="N1687" s="674">
        <f t="shared" si="617"/>
        <v>0</v>
      </c>
      <c r="O1687" s="674">
        <f t="shared" si="617"/>
        <v>0</v>
      </c>
      <c r="P1687" s="674">
        <f t="shared" si="617"/>
        <v>0</v>
      </c>
      <c r="Q1687" s="674">
        <f t="shared" si="618"/>
        <v>0</v>
      </c>
      <c r="R1687" s="101"/>
      <c r="S1687" s="254" t="str">
        <f t="shared" si="602"/>
        <v/>
      </c>
      <c r="T1687" s="254" t="str">
        <f t="shared" si="602"/>
        <v/>
      </c>
      <c r="U1687" s="254" t="str">
        <f t="shared" si="602"/>
        <v/>
      </c>
      <c r="V1687" s="254" t="str">
        <f t="shared" si="602"/>
        <v/>
      </c>
      <c r="W1687" s="531"/>
      <c r="X1687" s="93" t="s">
        <v>598</v>
      </c>
      <c r="Y1687" s="272" t="s">
        <v>598</v>
      </c>
      <c r="Z1687" s="260" t="s">
        <v>598</v>
      </c>
    </row>
    <row r="1688" spans="1:26" ht="11.25" customHeight="1">
      <c r="A1688" s="528" t="s">
        <v>270</v>
      </c>
      <c r="B1688" s="1013" t="s">
        <v>271</v>
      </c>
      <c r="C1688" s="461"/>
      <c r="D1688" s="645" t="s">
        <v>766</v>
      </c>
      <c r="E1688" s="447" t="s">
        <v>766</v>
      </c>
      <c r="F1688" s="104">
        <f>+[3]BUREAUS!C402</f>
        <v>71193000</v>
      </c>
      <c r="G1688" s="104"/>
      <c r="H1688" s="104">
        <f>+[3]BUREAUS!E402</f>
        <v>22000000</v>
      </c>
      <c r="I1688" s="103">
        <f t="shared" si="627"/>
        <v>93193000</v>
      </c>
      <c r="J1688" s="104">
        <f>+[3]BUREAUS!G402</f>
        <v>67758248.069999993</v>
      </c>
      <c r="K1688" s="104"/>
      <c r="L1688" s="104">
        <f>+[3]BUREAUS!I402</f>
        <v>8121591.8600000003</v>
      </c>
      <c r="M1688" s="103">
        <f t="shared" si="628"/>
        <v>75879839.929999992</v>
      </c>
      <c r="N1688" s="103">
        <f t="shared" si="617"/>
        <v>3434751.9300000072</v>
      </c>
      <c r="O1688" s="103">
        <f t="shared" si="617"/>
        <v>0</v>
      </c>
      <c r="P1688" s="103">
        <f t="shared" si="617"/>
        <v>13878408.140000001</v>
      </c>
      <c r="Q1688" s="103">
        <f t="shared" si="618"/>
        <v>17313160.070000008</v>
      </c>
      <c r="S1688" s="730">
        <f t="shared" ref="S1688:V1751" si="629">IF(F1688=0,"",J1688/F1688)</f>
        <v>0.95175435885550541</v>
      </c>
      <c r="T1688" s="730" t="str">
        <f t="shared" si="629"/>
        <v/>
      </c>
      <c r="U1688" s="730">
        <f t="shared" si="629"/>
        <v>0.36916326636363639</v>
      </c>
      <c r="V1688" s="730">
        <f t="shared" si="629"/>
        <v>0.81422252669191886</v>
      </c>
      <c r="W1688" s="531"/>
      <c r="X1688" s="236" t="s">
        <v>598</v>
      </c>
      <c r="Y1688" s="236" t="s">
        <v>688</v>
      </c>
      <c r="Z1688" s="236"/>
    </row>
    <row r="1689" spans="1:26" ht="11.25" customHeight="1">
      <c r="A1689" s="528" t="s">
        <v>270</v>
      </c>
      <c r="B1689" s="1013" t="s">
        <v>271</v>
      </c>
      <c r="C1689" s="728"/>
      <c r="D1689" s="649" t="s">
        <v>50</v>
      </c>
      <c r="E1689" s="447" t="s">
        <v>50</v>
      </c>
      <c r="F1689" s="104"/>
      <c r="G1689" s="104">
        <f>+[3]BUREAUS!D404</f>
        <v>0</v>
      </c>
      <c r="H1689" s="104">
        <f>+[3]BUREAUS!E404</f>
        <v>0</v>
      </c>
      <c r="I1689" s="103">
        <f t="shared" si="627"/>
        <v>0</v>
      </c>
      <c r="J1689" s="104"/>
      <c r="K1689" s="104">
        <f>+[3]BUREAUS!H404</f>
        <v>0</v>
      </c>
      <c r="L1689" s="104">
        <f>+[3]BUREAUS!I404</f>
        <v>0</v>
      </c>
      <c r="M1689" s="103">
        <f t="shared" si="628"/>
        <v>0</v>
      </c>
      <c r="N1689" s="103">
        <f t="shared" si="617"/>
        <v>0</v>
      </c>
      <c r="O1689" s="103">
        <f t="shared" si="617"/>
        <v>0</v>
      </c>
      <c r="P1689" s="103">
        <f t="shared" si="617"/>
        <v>0</v>
      </c>
      <c r="Q1689" s="103">
        <f t="shared" si="618"/>
        <v>0</v>
      </c>
      <c r="R1689" s="276"/>
      <c r="S1689" s="730" t="str">
        <f t="shared" si="629"/>
        <v/>
      </c>
      <c r="T1689" s="730" t="str">
        <f t="shared" si="629"/>
        <v/>
      </c>
      <c r="U1689" s="730" t="str">
        <f t="shared" si="629"/>
        <v/>
      </c>
      <c r="V1689" s="730" t="str">
        <f t="shared" si="629"/>
        <v/>
      </c>
      <c r="W1689" s="531"/>
      <c r="X1689" s="236" t="s">
        <v>598</v>
      </c>
      <c r="Y1689" s="236" t="s">
        <v>688</v>
      </c>
      <c r="Z1689" s="236"/>
    </row>
    <row r="1690" spans="1:26" ht="11.25" customHeight="1">
      <c r="A1690" s="528" t="s">
        <v>270</v>
      </c>
      <c r="B1690" s="1013" t="s">
        <v>271</v>
      </c>
      <c r="C1690" s="410"/>
      <c r="D1690" s="651"/>
      <c r="E1690" s="729" t="s">
        <v>661</v>
      </c>
      <c r="F1690" s="103"/>
      <c r="G1690" s="103">
        <f>+[3]BUREAUS!F50</f>
        <v>42500000</v>
      </c>
      <c r="H1690" s="103"/>
      <c r="I1690" s="103">
        <f t="shared" si="627"/>
        <v>42500000</v>
      </c>
      <c r="J1690" s="103"/>
      <c r="K1690" s="103">
        <f>+[3]BUREAUS!F51</f>
        <v>35715646.200000003</v>
      </c>
      <c r="L1690" s="103"/>
      <c r="M1690" s="103">
        <f t="shared" si="628"/>
        <v>35715646.200000003</v>
      </c>
      <c r="N1690" s="103">
        <f>+F1690-J1690</f>
        <v>0</v>
      </c>
      <c r="O1690" s="103">
        <f>+G1690-K1690</f>
        <v>6784353.799999997</v>
      </c>
      <c r="P1690" s="103">
        <f>+H1690-L1690</f>
        <v>0</v>
      </c>
      <c r="Q1690" s="103">
        <f>SUM(N1690:P1690)</f>
        <v>6784353.799999997</v>
      </c>
      <c r="S1690" s="730" t="str">
        <f t="shared" si="629"/>
        <v/>
      </c>
      <c r="T1690" s="730">
        <f t="shared" si="629"/>
        <v>0.84036814588235298</v>
      </c>
      <c r="U1690" s="730" t="str">
        <f t="shared" si="629"/>
        <v/>
      </c>
      <c r="V1690" s="730">
        <f t="shared" si="629"/>
        <v>0.84036814588235298</v>
      </c>
      <c r="W1690" s="531"/>
      <c r="X1690" s="236" t="s">
        <v>598</v>
      </c>
      <c r="Y1690" s="236" t="s">
        <v>598</v>
      </c>
      <c r="Z1690" s="236"/>
    </row>
    <row r="1691" spans="1:26" s="256" customFormat="1" ht="11.25" customHeight="1">
      <c r="A1691" s="528" t="s">
        <v>270</v>
      </c>
      <c r="B1691" s="528" t="s">
        <v>271</v>
      </c>
      <c r="C1691" s="389"/>
      <c r="D1691" s="650" t="s">
        <v>98</v>
      </c>
      <c r="E1691" s="390" t="s">
        <v>767</v>
      </c>
      <c r="F1691" s="391">
        <f>SUM(F1688:F1690)</f>
        <v>71193000</v>
      </c>
      <c r="G1691" s="391">
        <f t="shared" ref="G1691:Q1691" si="630">SUM(G1688:G1690)</f>
        <v>42500000</v>
      </c>
      <c r="H1691" s="391">
        <f t="shared" si="630"/>
        <v>22000000</v>
      </c>
      <c r="I1691" s="391">
        <f t="shared" si="630"/>
        <v>135693000</v>
      </c>
      <c r="J1691" s="391">
        <f t="shared" si="630"/>
        <v>67758248.069999993</v>
      </c>
      <c r="K1691" s="391">
        <f t="shared" si="630"/>
        <v>35715646.200000003</v>
      </c>
      <c r="L1691" s="391">
        <f t="shared" si="630"/>
        <v>8121591.8600000003</v>
      </c>
      <c r="M1691" s="391">
        <f t="shared" si="630"/>
        <v>111595486.13</v>
      </c>
      <c r="N1691" s="391">
        <f t="shared" si="630"/>
        <v>3434751.9300000072</v>
      </c>
      <c r="O1691" s="391">
        <f t="shared" si="630"/>
        <v>6784353.799999997</v>
      </c>
      <c r="P1691" s="391">
        <f t="shared" si="630"/>
        <v>13878408.140000001</v>
      </c>
      <c r="Q1691" s="391">
        <f t="shared" si="630"/>
        <v>24097513.870000005</v>
      </c>
      <c r="R1691" s="665"/>
      <c r="S1691" s="254">
        <f t="shared" si="629"/>
        <v>0.95175435885550541</v>
      </c>
      <c r="T1691" s="254">
        <f t="shared" si="629"/>
        <v>0.84036814588235298</v>
      </c>
      <c r="U1691" s="254">
        <f t="shared" si="629"/>
        <v>0.36916326636363639</v>
      </c>
      <c r="V1691" s="254">
        <f t="shared" si="629"/>
        <v>0.82241151813284397</v>
      </c>
      <c r="W1691" s="531"/>
      <c r="X1691" s="93" t="s">
        <v>598</v>
      </c>
      <c r="Y1691" s="270" t="s">
        <v>688</v>
      </c>
    </row>
    <row r="1692" spans="1:26" s="272" customFormat="1" ht="11.25" hidden="1" customHeight="1">
      <c r="A1692" s="528" t="s">
        <v>270</v>
      </c>
      <c r="B1692" s="528" t="s">
        <v>271</v>
      </c>
      <c r="C1692" s="389"/>
      <c r="D1692" s="650"/>
      <c r="E1692" s="390"/>
      <c r="F1692" s="391"/>
      <c r="G1692" s="391"/>
      <c r="H1692" s="391"/>
      <c r="I1692" s="391"/>
      <c r="J1692" s="391"/>
      <c r="K1692" s="391"/>
      <c r="L1692" s="391"/>
      <c r="M1692" s="391"/>
      <c r="N1692" s="391">
        <f t="shared" si="617"/>
        <v>0</v>
      </c>
      <c r="O1692" s="391">
        <f t="shared" si="617"/>
        <v>0</v>
      </c>
      <c r="P1692" s="391">
        <f t="shared" si="617"/>
        <v>0</v>
      </c>
      <c r="Q1692" s="391">
        <f t="shared" si="618"/>
        <v>0</v>
      </c>
      <c r="R1692" s="94"/>
      <c r="S1692" s="254" t="str">
        <f t="shared" si="629"/>
        <v/>
      </c>
      <c r="T1692" s="254" t="str">
        <f t="shared" si="629"/>
        <v/>
      </c>
      <c r="U1692" s="254" t="str">
        <f t="shared" si="629"/>
        <v/>
      </c>
      <c r="V1692" s="254" t="str">
        <f t="shared" si="629"/>
        <v/>
      </c>
      <c r="W1692" s="531"/>
      <c r="X1692" s="93" t="s">
        <v>598</v>
      </c>
    </row>
    <row r="1693" spans="1:26" s="256" customFormat="1" ht="11.25" customHeight="1">
      <c r="A1693" s="528" t="s">
        <v>270</v>
      </c>
      <c r="B1693" s="528" t="s">
        <v>271</v>
      </c>
      <c r="C1693" s="389"/>
      <c r="D1693" s="650" t="s">
        <v>98</v>
      </c>
      <c r="E1693" s="390" t="s">
        <v>99</v>
      </c>
      <c r="F1693" s="391">
        <f t="shared" ref="F1693:M1693" si="631">SUM(F1694:F1694)</f>
        <v>7309961</v>
      </c>
      <c r="G1693" s="391">
        <f t="shared" si="631"/>
        <v>0</v>
      </c>
      <c r="H1693" s="391">
        <f t="shared" si="631"/>
        <v>0</v>
      </c>
      <c r="I1693" s="391">
        <f t="shared" si="631"/>
        <v>7309961</v>
      </c>
      <c r="J1693" s="391">
        <f t="shared" si="631"/>
        <v>6302937.4100000001</v>
      </c>
      <c r="K1693" s="391">
        <f t="shared" si="631"/>
        <v>0</v>
      </c>
      <c r="L1693" s="391">
        <f t="shared" si="631"/>
        <v>0</v>
      </c>
      <c r="M1693" s="391">
        <f t="shared" si="631"/>
        <v>6302937.4100000001</v>
      </c>
      <c r="N1693" s="391">
        <f t="shared" si="617"/>
        <v>1007023.5899999999</v>
      </c>
      <c r="O1693" s="391">
        <f t="shared" si="617"/>
        <v>0</v>
      </c>
      <c r="P1693" s="391">
        <f t="shared" si="617"/>
        <v>0</v>
      </c>
      <c r="Q1693" s="391">
        <f t="shared" si="618"/>
        <v>1007023.5899999999</v>
      </c>
      <c r="R1693" s="101"/>
      <c r="S1693" s="254">
        <f t="shared" si="629"/>
        <v>0.86223953999207381</v>
      </c>
      <c r="T1693" s="254" t="str">
        <f t="shared" si="629"/>
        <v/>
      </c>
      <c r="U1693" s="254" t="str">
        <f t="shared" si="629"/>
        <v/>
      </c>
      <c r="V1693" s="254">
        <f t="shared" si="629"/>
        <v>0.86223953999207381</v>
      </c>
      <c r="W1693" s="531"/>
      <c r="X1693" s="93" t="s">
        <v>598</v>
      </c>
      <c r="Y1693" s="256" t="s">
        <v>598</v>
      </c>
      <c r="Z1693" s="256" t="s">
        <v>598</v>
      </c>
    </row>
    <row r="1694" spans="1:26" ht="11.25" customHeight="1">
      <c r="A1694" s="528" t="s">
        <v>270</v>
      </c>
      <c r="B1694" s="1013" t="s">
        <v>271</v>
      </c>
      <c r="C1694" s="728"/>
      <c r="D1694" s="649" t="s">
        <v>286</v>
      </c>
      <c r="E1694" s="729" t="s">
        <v>286</v>
      </c>
      <c r="F1694" s="103">
        <f>SUM([3]BUREAUS!P14)</f>
        <v>7309961</v>
      </c>
      <c r="G1694" s="103"/>
      <c r="H1694" s="103">
        <f>SUM([3]BUREAUS!P142)</f>
        <v>0</v>
      </c>
      <c r="I1694" s="103">
        <f>SUM(F1694:H1694)</f>
        <v>7309961</v>
      </c>
      <c r="J1694" s="103">
        <f>SUM([3]BUREAUS!P15)</f>
        <v>6302937.4100000001</v>
      </c>
      <c r="K1694" s="103"/>
      <c r="L1694" s="103">
        <f>SUM([3]BUREAUS!P143)</f>
        <v>0</v>
      </c>
      <c r="M1694" s="103">
        <f>SUM(J1694:L1694)</f>
        <v>6302937.4100000001</v>
      </c>
      <c r="N1694" s="103">
        <f t="shared" si="617"/>
        <v>1007023.5899999999</v>
      </c>
      <c r="O1694" s="103">
        <f t="shared" si="617"/>
        <v>0</v>
      </c>
      <c r="P1694" s="103">
        <f t="shared" si="617"/>
        <v>0</v>
      </c>
      <c r="Q1694" s="103">
        <f t="shared" si="618"/>
        <v>1007023.5899999999</v>
      </c>
      <c r="R1694" s="95">
        <f>+Q1694-[3]BUREAUS!P16</f>
        <v>0</v>
      </c>
      <c r="S1694" s="730">
        <f t="shared" si="629"/>
        <v>0.86223953999207381</v>
      </c>
      <c r="T1694" s="730" t="str">
        <f t="shared" si="629"/>
        <v/>
      </c>
      <c r="U1694" s="730" t="str">
        <f t="shared" si="629"/>
        <v/>
      </c>
      <c r="V1694" s="730">
        <f t="shared" si="629"/>
        <v>0.86223953999207381</v>
      </c>
      <c r="W1694" s="531"/>
      <c r="X1694" s="236" t="s">
        <v>598</v>
      </c>
      <c r="Y1694" s="236" t="s">
        <v>598</v>
      </c>
      <c r="Z1694" s="236"/>
    </row>
    <row r="1695" spans="1:26" s="272" customFormat="1" ht="11.25" customHeight="1">
      <c r="A1695" s="528" t="s">
        <v>270</v>
      </c>
      <c r="B1695" s="528" t="s">
        <v>271</v>
      </c>
      <c r="C1695" s="389"/>
      <c r="D1695" s="650" t="s">
        <v>98</v>
      </c>
      <c r="E1695" s="390" t="s">
        <v>100</v>
      </c>
      <c r="F1695" s="391">
        <f t="shared" ref="F1695:M1695" si="632">SUM(F1696:F1700)</f>
        <v>22513261</v>
      </c>
      <c r="G1695" s="391">
        <f t="shared" si="632"/>
        <v>0</v>
      </c>
      <c r="H1695" s="391">
        <f t="shared" si="632"/>
        <v>0</v>
      </c>
      <c r="I1695" s="391">
        <f t="shared" si="632"/>
        <v>22513261</v>
      </c>
      <c r="J1695" s="391">
        <f t="shared" si="632"/>
        <v>13448764.73</v>
      </c>
      <c r="K1695" s="391">
        <f t="shared" si="632"/>
        <v>0</v>
      </c>
      <c r="L1695" s="391">
        <f t="shared" si="632"/>
        <v>0</v>
      </c>
      <c r="M1695" s="391">
        <f t="shared" si="632"/>
        <v>13448764.73</v>
      </c>
      <c r="N1695" s="391">
        <f t="shared" si="617"/>
        <v>9064496.2699999996</v>
      </c>
      <c r="O1695" s="391">
        <f t="shared" si="617"/>
        <v>0</v>
      </c>
      <c r="P1695" s="391">
        <f t="shared" si="617"/>
        <v>0</v>
      </c>
      <c r="Q1695" s="391">
        <f t="shared" si="618"/>
        <v>9064496.2699999996</v>
      </c>
      <c r="R1695" s="102"/>
      <c r="S1695" s="254">
        <f t="shared" si="629"/>
        <v>0.59737079981438501</v>
      </c>
      <c r="T1695" s="254" t="str">
        <f t="shared" si="629"/>
        <v/>
      </c>
      <c r="U1695" s="254" t="str">
        <f t="shared" si="629"/>
        <v/>
      </c>
      <c r="V1695" s="254">
        <f t="shared" si="629"/>
        <v>0.59737079981438501</v>
      </c>
      <c r="W1695" s="531"/>
      <c r="X1695" s="93" t="s">
        <v>598</v>
      </c>
      <c r="Y1695" s="272" t="s">
        <v>598</v>
      </c>
      <c r="Z1695" s="256" t="s">
        <v>598</v>
      </c>
    </row>
    <row r="1696" spans="1:26" ht="11.25" customHeight="1">
      <c r="A1696" s="528" t="s">
        <v>270</v>
      </c>
      <c r="B1696" s="1013" t="s">
        <v>271</v>
      </c>
      <c r="C1696" s="728"/>
      <c r="D1696" s="649" t="s">
        <v>288</v>
      </c>
      <c r="E1696" s="729" t="s">
        <v>288</v>
      </c>
      <c r="F1696" s="103">
        <f>SUM([3]BUREAUS!U14)</f>
        <v>8632598</v>
      </c>
      <c r="G1696" s="103">
        <f>SUM([3]BUREAUS!U50)</f>
        <v>0</v>
      </c>
      <c r="H1696" s="103">
        <f>SUM([3]BUREAUS!U142)</f>
        <v>0</v>
      </c>
      <c r="I1696" s="103">
        <f>SUM(F1696:H1696)</f>
        <v>8632598</v>
      </c>
      <c r="J1696" s="103">
        <f>SUM([3]BUREAUS!U15)</f>
        <v>8632598</v>
      </c>
      <c r="K1696" s="103">
        <f>SUM([3]BUREAUS!U51)</f>
        <v>0</v>
      </c>
      <c r="L1696" s="103">
        <f>SUM([3]BUREAUS!U143)</f>
        <v>0</v>
      </c>
      <c r="M1696" s="103">
        <f>SUM(J1696:L1696)</f>
        <v>8632598</v>
      </c>
      <c r="N1696" s="103">
        <f t="shared" si="617"/>
        <v>0</v>
      </c>
      <c r="O1696" s="103">
        <f t="shared" si="617"/>
        <v>0</v>
      </c>
      <c r="P1696" s="103">
        <f t="shared" si="617"/>
        <v>0</v>
      </c>
      <c r="Q1696" s="103">
        <f t="shared" si="618"/>
        <v>0</v>
      </c>
      <c r="R1696" s="95">
        <f>Q1696-[3]BUREAUS!U179</f>
        <v>0</v>
      </c>
      <c r="S1696" s="730">
        <f t="shared" si="629"/>
        <v>1</v>
      </c>
      <c r="T1696" s="730" t="str">
        <f t="shared" si="629"/>
        <v/>
      </c>
      <c r="U1696" s="730" t="str">
        <f t="shared" si="629"/>
        <v/>
      </c>
      <c r="V1696" s="730">
        <f t="shared" si="629"/>
        <v>1</v>
      </c>
      <c r="W1696" s="531"/>
      <c r="X1696" s="236" t="s">
        <v>598</v>
      </c>
      <c r="Y1696" s="236" t="s">
        <v>598</v>
      </c>
      <c r="Z1696" s="236"/>
    </row>
    <row r="1697" spans="1:30" ht="11.25" customHeight="1">
      <c r="A1697" s="528" t="s">
        <v>270</v>
      </c>
      <c r="B1697" s="1013" t="s">
        <v>271</v>
      </c>
      <c r="C1697" s="728"/>
      <c r="D1697" s="649" t="s">
        <v>761</v>
      </c>
      <c r="E1697" s="729" t="s">
        <v>761</v>
      </c>
      <c r="F1697" s="104">
        <f>+[3]BUREAUS!C404</f>
        <v>1655000</v>
      </c>
      <c r="G1697" s="104"/>
      <c r="H1697" s="104"/>
      <c r="I1697" s="103">
        <f>SUM(F1697:H1697)</f>
        <v>1655000</v>
      </c>
      <c r="J1697" s="104">
        <f>+[3]BUREAUS!G404</f>
        <v>1647707.24</v>
      </c>
      <c r="K1697" s="104"/>
      <c r="L1697" s="104"/>
      <c r="M1697" s="103">
        <f>SUM(J1697:L1697)</f>
        <v>1647707.24</v>
      </c>
      <c r="N1697" s="103">
        <f t="shared" si="617"/>
        <v>7292.7600000000093</v>
      </c>
      <c r="O1697" s="103">
        <f t="shared" si="617"/>
        <v>0</v>
      </c>
      <c r="P1697" s="103">
        <f t="shared" si="617"/>
        <v>0</v>
      </c>
      <c r="Q1697" s="103">
        <f>SUM(N1697:P1697)</f>
        <v>7292.7600000000093</v>
      </c>
      <c r="S1697" s="730">
        <f t="shared" si="629"/>
        <v>0.99559349848942602</v>
      </c>
      <c r="T1697" s="730" t="str">
        <f t="shared" si="629"/>
        <v/>
      </c>
      <c r="U1697" s="730" t="str">
        <f t="shared" si="629"/>
        <v/>
      </c>
      <c r="V1697" s="730">
        <f t="shared" si="629"/>
        <v>0.99559349848942602</v>
      </c>
      <c r="W1697" s="531"/>
      <c r="X1697" s="236" t="s">
        <v>598</v>
      </c>
      <c r="Y1697" s="236" t="s">
        <v>688</v>
      </c>
      <c r="Z1697" s="236"/>
    </row>
    <row r="1698" spans="1:30" ht="11.25" customHeight="1">
      <c r="A1698" s="528" t="s">
        <v>270</v>
      </c>
      <c r="B1698" s="1013" t="s">
        <v>271</v>
      </c>
      <c r="C1698" s="410"/>
      <c r="D1698" s="651"/>
      <c r="E1698" s="728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S1698" s="730" t="str">
        <f t="shared" si="629"/>
        <v/>
      </c>
      <c r="T1698" s="730" t="str">
        <f t="shared" si="629"/>
        <v/>
      </c>
      <c r="U1698" s="730" t="str">
        <f t="shared" si="629"/>
        <v/>
      </c>
      <c r="V1698" s="730" t="str">
        <f t="shared" si="629"/>
        <v/>
      </c>
      <c r="W1698" s="531"/>
      <c r="X1698" s="236" t="s">
        <v>598</v>
      </c>
      <c r="Y1698" s="236" t="s">
        <v>688</v>
      </c>
      <c r="Z1698" s="240"/>
    </row>
    <row r="1699" spans="1:30" ht="11.25" customHeight="1">
      <c r="A1699" s="528" t="s">
        <v>270</v>
      </c>
      <c r="B1699" s="1013" t="s">
        <v>271</v>
      </c>
      <c r="C1699" s="728"/>
      <c r="D1699" s="649" t="s">
        <v>289</v>
      </c>
      <c r="E1699" s="729" t="s">
        <v>289</v>
      </c>
      <c r="F1699" s="103">
        <f>SUM([3]BUREAUS!Z14)</f>
        <v>12225663</v>
      </c>
      <c r="G1699" s="103">
        <f>SUM([3]BUREAUS!Z50)</f>
        <v>0</v>
      </c>
      <c r="H1699" s="103">
        <f>SUM([3]BUREAUS!Z142)</f>
        <v>0</v>
      </c>
      <c r="I1699" s="103">
        <f>SUM(F1699:H1699)</f>
        <v>12225663</v>
      </c>
      <c r="J1699" s="103">
        <f>SUM([3]BUREAUS!Z15)</f>
        <v>3168459.49</v>
      </c>
      <c r="K1699" s="103">
        <f>SUM([3]BUREAUS!Z51)</f>
        <v>0</v>
      </c>
      <c r="L1699" s="103">
        <f>SUM([3]BUREAUS!Z143)</f>
        <v>0</v>
      </c>
      <c r="M1699" s="103">
        <f>SUM(J1699:L1699)</f>
        <v>3168459.49</v>
      </c>
      <c r="N1699" s="103">
        <f t="shared" si="617"/>
        <v>9057203.5099999998</v>
      </c>
      <c r="O1699" s="103">
        <f t="shared" si="617"/>
        <v>0</v>
      </c>
      <c r="P1699" s="103">
        <f t="shared" si="617"/>
        <v>0</v>
      </c>
      <c r="Q1699" s="103">
        <f t="shared" si="618"/>
        <v>9057203.5099999998</v>
      </c>
      <c r="R1699" s="95">
        <f>Q1699-[3]BUREAUS!Z179</f>
        <v>0</v>
      </c>
      <c r="S1699" s="730">
        <f t="shared" si="629"/>
        <v>0.25916463507950449</v>
      </c>
      <c r="T1699" s="730" t="str">
        <f t="shared" si="629"/>
        <v/>
      </c>
      <c r="U1699" s="730" t="str">
        <f t="shared" si="629"/>
        <v/>
      </c>
      <c r="V1699" s="730">
        <f t="shared" si="629"/>
        <v>0.25916463507950449</v>
      </c>
      <c r="W1699" s="531"/>
      <c r="X1699" s="236" t="s">
        <v>598</v>
      </c>
      <c r="Y1699" s="236" t="s">
        <v>598</v>
      </c>
      <c r="Z1699" s="236"/>
    </row>
    <row r="1700" spans="1:30" ht="11.25" customHeight="1">
      <c r="A1700" s="528" t="s">
        <v>270</v>
      </c>
      <c r="B1700" s="1013" t="s">
        <v>271</v>
      </c>
      <c r="C1700" s="728"/>
      <c r="D1700" s="649" t="s">
        <v>290</v>
      </c>
      <c r="E1700" s="729" t="s">
        <v>290</v>
      </c>
      <c r="F1700" s="103">
        <f>SUM([3]BUREAUS!AE14)</f>
        <v>0</v>
      </c>
      <c r="G1700" s="103">
        <f>SUM([3]BUREAUS!AE50)</f>
        <v>0</v>
      </c>
      <c r="H1700" s="103">
        <f>SUM([3]BUREAUS!AE142)</f>
        <v>0</v>
      </c>
      <c r="I1700" s="103">
        <f>SUM(F1700:H1700)</f>
        <v>0</v>
      </c>
      <c r="J1700" s="103">
        <f>SUM([3]BUREAUS!AE15)</f>
        <v>0</v>
      </c>
      <c r="K1700" s="103">
        <f>SUM([3]BUREAUS!AE51)</f>
        <v>0</v>
      </c>
      <c r="L1700" s="103">
        <f>SUM([3]BUREAUS!AE143)</f>
        <v>0</v>
      </c>
      <c r="M1700" s="103">
        <f>SUM(J1700:L1700)</f>
        <v>0</v>
      </c>
      <c r="N1700" s="103">
        <f t="shared" si="617"/>
        <v>0</v>
      </c>
      <c r="O1700" s="103">
        <f t="shared" si="617"/>
        <v>0</v>
      </c>
      <c r="P1700" s="103">
        <f t="shared" si="617"/>
        <v>0</v>
      </c>
      <c r="Q1700" s="103">
        <f t="shared" si="618"/>
        <v>0</v>
      </c>
      <c r="R1700" s="95">
        <f>Q1700-[3]BUREAUS!AE179</f>
        <v>0</v>
      </c>
      <c r="S1700" s="730" t="str">
        <f t="shared" si="629"/>
        <v/>
      </c>
      <c r="T1700" s="730" t="str">
        <f t="shared" si="629"/>
        <v/>
      </c>
      <c r="U1700" s="730" t="str">
        <f t="shared" si="629"/>
        <v/>
      </c>
      <c r="V1700" s="730" t="str">
        <f t="shared" si="629"/>
        <v/>
      </c>
      <c r="W1700" s="531"/>
      <c r="X1700" s="236" t="s">
        <v>598</v>
      </c>
      <c r="Y1700" s="236" t="s">
        <v>598</v>
      </c>
      <c r="Z1700" s="236"/>
    </row>
    <row r="1701" spans="1:30" s="266" customFormat="1" ht="11.25" customHeight="1">
      <c r="A1701" s="264" t="s">
        <v>270</v>
      </c>
      <c r="B1701" s="1009" t="s">
        <v>271</v>
      </c>
      <c r="C1701" s="1431" t="s">
        <v>662</v>
      </c>
      <c r="D1701" s="1432"/>
      <c r="E1701" s="1433"/>
      <c r="F1701" s="666">
        <f>+F1695+F1693+F1691</f>
        <v>101016222</v>
      </c>
      <c r="G1701" s="666">
        <f t="shared" ref="G1701:Q1701" si="633">+G1695+G1693+G1691</f>
        <v>42500000</v>
      </c>
      <c r="H1701" s="666">
        <f t="shared" si="633"/>
        <v>22000000</v>
      </c>
      <c r="I1701" s="666">
        <f t="shared" si="633"/>
        <v>165516222</v>
      </c>
      <c r="J1701" s="666">
        <f t="shared" si="633"/>
        <v>87509950.209999993</v>
      </c>
      <c r="K1701" s="666">
        <f t="shared" si="633"/>
        <v>35715646.200000003</v>
      </c>
      <c r="L1701" s="666">
        <f t="shared" si="633"/>
        <v>8121591.8600000003</v>
      </c>
      <c r="M1701" s="666">
        <f t="shared" si="633"/>
        <v>131347188.27</v>
      </c>
      <c r="N1701" s="666">
        <f t="shared" si="633"/>
        <v>13506271.790000007</v>
      </c>
      <c r="O1701" s="666">
        <f t="shared" si="633"/>
        <v>6784353.799999997</v>
      </c>
      <c r="P1701" s="666">
        <f t="shared" si="633"/>
        <v>13878408.140000001</v>
      </c>
      <c r="Q1701" s="666">
        <f t="shared" si="633"/>
        <v>34169033.730000004</v>
      </c>
      <c r="R1701" s="667">
        <f>+Q1701-[3]BUREAUS!BC179</f>
        <v>0</v>
      </c>
      <c r="S1701" s="1010">
        <f t="shared" si="629"/>
        <v>0.86629601144655755</v>
      </c>
      <c r="T1701" s="1010">
        <f t="shared" si="629"/>
        <v>0.84036814588235298</v>
      </c>
      <c r="U1701" s="1010">
        <f t="shared" si="629"/>
        <v>0.36916326636363639</v>
      </c>
      <c r="V1701" s="1010">
        <f t="shared" si="629"/>
        <v>0.7935608164739284</v>
      </c>
      <c r="W1701" s="690"/>
      <c r="X1701" s="237" t="s">
        <v>598</v>
      </c>
      <c r="Y1701" s="610" t="s">
        <v>598</v>
      </c>
      <c r="Z1701" s="241" t="s">
        <v>598</v>
      </c>
    </row>
    <row r="1702" spans="1:30" ht="11.25" customHeight="1">
      <c r="A1702" s="246" t="s">
        <v>270</v>
      </c>
      <c r="B1702" s="235" t="s">
        <v>271</v>
      </c>
      <c r="C1702" s="411"/>
      <c r="D1702" s="386"/>
      <c r="E1702" s="461"/>
      <c r="F1702" s="404"/>
      <c r="G1702" s="404"/>
      <c r="H1702" s="404"/>
      <c r="I1702" s="103">
        <f>SUM(F1702:H1702)</f>
        <v>0</v>
      </c>
      <c r="J1702" s="404"/>
      <c r="K1702" s="404"/>
      <c r="L1702" s="404"/>
      <c r="M1702" s="103">
        <f>SUM(J1702:L1702)</f>
        <v>0</v>
      </c>
      <c r="N1702" s="103">
        <f t="shared" si="617"/>
        <v>0</v>
      </c>
      <c r="O1702" s="103">
        <f t="shared" si="617"/>
        <v>0</v>
      </c>
      <c r="P1702" s="103">
        <f t="shared" si="617"/>
        <v>0</v>
      </c>
      <c r="Q1702" s="103">
        <f t="shared" si="618"/>
        <v>0</v>
      </c>
      <c r="S1702" s="730" t="str">
        <f t="shared" si="629"/>
        <v/>
      </c>
      <c r="T1702" s="730" t="str">
        <f t="shared" si="629"/>
        <v/>
      </c>
      <c r="U1702" s="730" t="str">
        <f t="shared" si="629"/>
        <v/>
      </c>
      <c r="V1702" s="730" t="str">
        <f t="shared" si="629"/>
        <v/>
      </c>
      <c r="W1702" s="254"/>
      <c r="X1702" s="237" t="s">
        <v>598</v>
      </c>
      <c r="Y1702" s="610" t="s">
        <v>598</v>
      </c>
      <c r="Z1702" s="241" t="s">
        <v>598</v>
      </c>
    </row>
    <row r="1703" spans="1:30" s="1038" customFormat="1" ht="11.25" customHeight="1">
      <c r="A1703" s="279"/>
      <c r="B1703" s="1021"/>
      <c r="C1703" s="1022"/>
      <c r="D1703" s="412"/>
      <c r="E1703" s="1023"/>
      <c r="F1703" s="1024"/>
      <c r="G1703" s="1024"/>
      <c r="H1703" s="1024"/>
      <c r="I1703" s="1025"/>
      <c r="J1703" s="1024"/>
      <c r="K1703" s="1024"/>
      <c r="L1703" s="1024"/>
      <c r="M1703" s="1025"/>
      <c r="N1703" s="1025">
        <f t="shared" si="617"/>
        <v>0</v>
      </c>
      <c r="O1703" s="1025">
        <f t="shared" si="617"/>
        <v>0</v>
      </c>
      <c r="P1703" s="1025">
        <f t="shared" si="617"/>
        <v>0</v>
      </c>
      <c r="Q1703" s="1025">
        <f t="shared" si="618"/>
        <v>0</v>
      </c>
      <c r="R1703" s="1026"/>
      <c r="S1703" s="1027" t="str">
        <f t="shared" si="629"/>
        <v/>
      </c>
      <c r="T1703" s="1027" t="str">
        <f t="shared" si="629"/>
        <v/>
      </c>
      <c r="U1703" s="1027" t="str">
        <f t="shared" si="629"/>
        <v/>
      </c>
      <c r="V1703" s="1027" t="str">
        <f t="shared" si="629"/>
        <v/>
      </c>
      <c r="W1703" s="281"/>
      <c r="X1703" s="237" t="s">
        <v>598</v>
      </c>
      <c r="Y1703" s="610" t="s">
        <v>598</v>
      </c>
      <c r="Z1703" s="241" t="s">
        <v>598</v>
      </c>
    </row>
    <row r="1704" spans="1:30" s="285" customFormat="1" ht="24.75" customHeight="1">
      <c r="A1704" s="282" t="s">
        <v>273</v>
      </c>
      <c r="B1704" s="282" t="s">
        <v>457</v>
      </c>
      <c r="C1704" s="1444" t="s">
        <v>273</v>
      </c>
      <c r="D1704" s="1445"/>
      <c r="E1704" s="1446"/>
      <c r="F1704" s="413"/>
      <c r="G1704" s="413"/>
      <c r="H1704" s="413"/>
      <c r="I1704" s="413">
        <f>SUM(F1704:H1704)</f>
        <v>0</v>
      </c>
      <c r="J1704" s="413"/>
      <c r="K1704" s="413"/>
      <c r="L1704" s="413"/>
      <c r="M1704" s="413">
        <f>SUM(J1704:L1704)</f>
        <v>0</v>
      </c>
      <c r="N1704" s="413">
        <f t="shared" si="617"/>
        <v>0</v>
      </c>
      <c r="O1704" s="413">
        <f t="shared" si="617"/>
        <v>0</v>
      </c>
      <c r="P1704" s="413">
        <f t="shared" si="617"/>
        <v>0</v>
      </c>
      <c r="Q1704" s="413">
        <f t="shared" si="618"/>
        <v>0</v>
      </c>
      <c r="R1704" s="692"/>
      <c r="S1704" s="1028" t="str">
        <f t="shared" si="629"/>
        <v/>
      </c>
      <c r="T1704" s="1028" t="str">
        <f t="shared" si="629"/>
        <v/>
      </c>
      <c r="U1704" s="1028" t="str">
        <f t="shared" si="629"/>
        <v/>
      </c>
      <c r="V1704" s="1028" t="str">
        <f t="shared" si="629"/>
        <v/>
      </c>
      <c r="W1704" s="283"/>
      <c r="X1704" s="1382"/>
      <c r="Y1704" s="1383" t="s">
        <v>598</v>
      </c>
      <c r="Z1704" s="1384" t="s">
        <v>598</v>
      </c>
      <c r="AA1704" s="284"/>
      <c r="AB1704" s="284"/>
      <c r="AC1704" s="284"/>
      <c r="AD1704" s="284"/>
    </row>
    <row r="1705" spans="1:30" s="284" customFormat="1" ht="21.75" customHeight="1">
      <c r="A1705" s="282" t="s">
        <v>273</v>
      </c>
      <c r="B1705" s="1029" t="s">
        <v>457</v>
      </c>
      <c r="C1705" s="1030" t="s">
        <v>766</v>
      </c>
      <c r="D1705" s="415"/>
      <c r="E1705" s="416"/>
      <c r="F1705" s="413"/>
      <c r="G1705" s="413"/>
      <c r="H1705" s="413"/>
      <c r="I1705" s="413"/>
      <c r="J1705" s="413"/>
      <c r="K1705" s="413"/>
      <c r="L1705" s="413"/>
      <c r="M1705" s="413"/>
      <c r="N1705" s="413">
        <f t="shared" si="617"/>
        <v>0</v>
      </c>
      <c r="O1705" s="413">
        <f t="shared" si="617"/>
        <v>0</v>
      </c>
      <c r="P1705" s="413">
        <f t="shared" si="617"/>
        <v>0</v>
      </c>
      <c r="Q1705" s="413">
        <f t="shared" si="618"/>
        <v>0</v>
      </c>
      <c r="R1705" s="692"/>
      <c r="S1705" s="1028" t="str">
        <f t="shared" si="629"/>
        <v/>
      </c>
      <c r="T1705" s="1028" t="str">
        <f t="shared" si="629"/>
        <v/>
      </c>
      <c r="U1705" s="1028" t="str">
        <f t="shared" si="629"/>
        <v/>
      </c>
      <c r="V1705" s="1028" t="str">
        <f t="shared" si="629"/>
        <v/>
      </c>
      <c r="W1705" s="693"/>
      <c r="X1705" s="1382"/>
      <c r="Y1705" s="1383" t="s">
        <v>598</v>
      </c>
      <c r="Z1705" s="1385" t="s">
        <v>598</v>
      </c>
    </row>
    <row r="1706" spans="1:30" s="287" customFormat="1" ht="12.75" customHeight="1">
      <c r="A1706" s="246" t="s">
        <v>273</v>
      </c>
      <c r="B1706" s="246" t="s">
        <v>457</v>
      </c>
      <c r="C1706" s="1419" t="s">
        <v>1120</v>
      </c>
      <c r="D1706" s="1420"/>
      <c r="E1706" s="1421"/>
      <c r="F1706" s="417">
        <f>SUM(F1707:F1708)</f>
        <v>538464365</v>
      </c>
      <c r="G1706" s="417">
        <f t="shared" ref="G1706:Q1706" si="634">SUM(G1707:G1708)</f>
        <v>7861934274.54</v>
      </c>
      <c r="H1706" s="417">
        <f t="shared" si="634"/>
        <v>5272285413.8999996</v>
      </c>
      <c r="I1706" s="417">
        <f t="shared" si="634"/>
        <v>13672684053.439999</v>
      </c>
      <c r="J1706" s="417">
        <f t="shared" si="634"/>
        <v>444139018.09000003</v>
      </c>
      <c r="K1706" s="417">
        <f t="shared" si="634"/>
        <v>5604845475.2300005</v>
      </c>
      <c r="L1706" s="417">
        <f t="shared" si="634"/>
        <v>1210608291.3899992</v>
      </c>
      <c r="M1706" s="417">
        <f t="shared" si="634"/>
        <v>7259592784.71</v>
      </c>
      <c r="N1706" s="417">
        <f t="shared" si="634"/>
        <v>94325346.909999967</v>
      </c>
      <c r="O1706" s="417">
        <f t="shared" si="634"/>
        <v>2257088799.3099995</v>
      </c>
      <c r="P1706" s="417">
        <f t="shared" si="634"/>
        <v>4061677122.5100002</v>
      </c>
      <c r="Q1706" s="417">
        <f t="shared" si="634"/>
        <v>6413091268.7299995</v>
      </c>
      <c r="R1706" s="157"/>
      <c r="S1706" s="1020">
        <f t="shared" si="629"/>
        <v>0.82482527528075145</v>
      </c>
      <c r="T1706" s="1020">
        <f t="shared" si="629"/>
        <v>0.71290922558086878</v>
      </c>
      <c r="U1706" s="1020">
        <f t="shared" si="629"/>
        <v>0.22961736635090313</v>
      </c>
      <c r="V1706" s="1020">
        <f t="shared" si="629"/>
        <v>0.53095593786382511</v>
      </c>
      <c r="W1706" s="268"/>
      <c r="X1706" s="520"/>
      <c r="Y1706" s="612" t="s">
        <v>598</v>
      </c>
      <c r="Z1706" s="261" t="s">
        <v>598</v>
      </c>
      <c r="AA1706" s="286"/>
      <c r="AB1706" s="286"/>
      <c r="AC1706" s="286"/>
      <c r="AD1706" s="286"/>
    </row>
    <row r="1707" spans="1:30" ht="12.75" hidden="1" customHeight="1">
      <c r="A1707" s="246" t="s">
        <v>273</v>
      </c>
      <c r="B1707" s="235" t="s">
        <v>457</v>
      </c>
      <c r="C1707" s="461"/>
      <c r="D1707" s="664" t="s">
        <v>766</v>
      </c>
      <c r="E1707" s="447" t="s">
        <v>766</v>
      </c>
      <c r="F1707" s="404">
        <f t="shared" ref="F1707:H1708" si="635">+F10</f>
        <v>539291371</v>
      </c>
      <c r="G1707" s="404">
        <f t="shared" si="635"/>
        <v>11821875629</v>
      </c>
      <c r="H1707" s="404">
        <f t="shared" si="635"/>
        <v>11017892000</v>
      </c>
      <c r="I1707" s="103">
        <f>SUM(F1707:H1707)</f>
        <v>23379059000</v>
      </c>
      <c r="J1707" s="404">
        <f t="shared" ref="J1707:L1708" si="636">+J10</f>
        <v>444139018.09000003</v>
      </c>
      <c r="K1707" s="404">
        <f t="shared" si="636"/>
        <v>5604845475.2300005</v>
      </c>
      <c r="L1707" s="404">
        <f t="shared" si="636"/>
        <v>1210608291.3899992</v>
      </c>
      <c r="M1707" s="103">
        <f>SUM(J1707:L1707)</f>
        <v>7259592784.71</v>
      </c>
      <c r="N1707" s="103">
        <f t="shared" ref="N1707:P1708" si="637">+F1707-J1707</f>
        <v>95152352.909999967</v>
      </c>
      <c r="O1707" s="103">
        <f t="shared" si="637"/>
        <v>6217030153.7699995</v>
      </c>
      <c r="P1707" s="103">
        <f t="shared" si="637"/>
        <v>9807283708.6100006</v>
      </c>
      <c r="Q1707" s="103">
        <f>SUM(N1707:P1707)</f>
        <v>16119466215.290001</v>
      </c>
      <c r="R1707" s="236"/>
      <c r="S1707" s="730">
        <f t="shared" si="629"/>
        <v>0.8235604016182192</v>
      </c>
      <c r="T1707" s="730">
        <f t="shared" si="629"/>
        <v>0.47410797162176782</v>
      </c>
      <c r="U1707" s="730">
        <f t="shared" si="629"/>
        <v>0.10987657996556865</v>
      </c>
      <c r="V1707" s="730">
        <f t="shared" si="629"/>
        <v>0.31051689397379084</v>
      </c>
      <c r="W1707" s="522"/>
    </row>
    <row r="1708" spans="1:30" ht="12.75" hidden="1" customHeight="1">
      <c r="A1708" s="246" t="s">
        <v>273</v>
      </c>
      <c r="B1708" s="235" t="s">
        <v>457</v>
      </c>
      <c r="C1708" s="728"/>
      <c r="D1708" s="394" t="s">
        <v>50</v>
      </c>
      <c r="E1708" s="447" t="s">
        <v>50</v>
      </c>
      <c r="F1708" s="404">
        <f t="shared" si="635"/>
        <v>-827006</v>
      </c>
      <c r="G1708" s="404">
        <f t="shared" si="635"/>
        <v>-3959941354.46</v>
      </c>
      <c r="H1708" s="404">
        <f t="shared" si="635"/>
        <v>-5745606586.1000004</v>
      </c>
      <c r="I1708" s="103">
        <f>SUM(F1708:H1708)</f>
        <v>-9706374946.5600014</v>
      </c>
      <c r="J1708" s="404">
        <f t="shared" si="636"/>
        <v>0</v>
      </c>
      <c r="K1708" s="404">
        <f t="shared" si="636"/>
        <v>0</v>
      </c>
      <c r="L1708" s="404">
        <f t="shared" si="636"/>
        <v>0</v>
      </c>
      <c r="M1708" s="103">
        <f>SUM(J1708:L1708)</f>
        <v>0</v>
      </c>
      <c r="N1708" s="103">
        <f t="shared" si="637"/>
        <v>-827006</v>
      </c>
      <c r="O1708" s="103">
        <f t="shared" si="637"/>
        <v>-3959941354.46</v>
      </c>
      <c r="P1708" s="103">
        <f t="shared" si="637"/>
        <v>-5745606586.1000004</v>
      </c>
      <c r="Q1708" s="103">
        <f>SUM(N1708:P1708)</f>
        <v>-9706374946.5600014</v>
      </c>
      <c r="R1708" s="276"/>
      <c r="S1708" s="730">
        <f t="shared" si="629"/>
        <v>0</v>
      </c>
      <c r="T1708" s="730">
        <f t="shared" si="629"/>
        <v>0</v>
      </c>
      <c r="U1708" s="730">
        <f t="shared" si="629"/>
        <v>0</v>
      </c>
      <c r="V1708" s="730">
        <f t="shared" si="629"/>
        <v>0</v>
      </c>
      <c r="W1708" s="254"/>
    </row>
    <row r="1709" spans="1:30" s="272" customFormat="1" ht="12.75" customHeight="1">
      <c r="A1709" s="246" t="s">
        <v>273</v>
      </c>
      <c r="B1709" s="246" t="s">
        <v>457</v>
      </c>
      <c r="C1709" s="694"/>
      <c r="D1709" s="694"/>
      <c r="E1709" s="694"/>
      <c r="F1709" s="391"/>
      <c r="G1709" s="391"/>
      <c r="H1709" s="391"/>
      <c r="I1709" s="391"/>
      <c r="J1709" s="391"/>
      <c r="K1709" s="391"/>
      <c r="L1709" s="391"/>
      <c r="M1709" s="391"/>
      <c r="N1709" s="391">
        <f t="shared" si="617"/>
        <v>0</v>
      </c>
      <c r="O1709" s="391">
        <f t="shared" si="617"/>
        <v>0</v>
      </c>
      <c r="P1709" s="391">
        <f t="shared" si="617"/>
        <v>0</v>
      </c>
      <c r="Q1709" s="391">
        <f t="shared" si="618"/>
        <v>0</v>
      </c>
      <c r="R1709" s="102"/>
      <c r="S1709" s="254" t="str">
        <f t="shared" si="629"/>
        <v/>
      </c>
      <c r="T1709" s="254" t="str">
        <f t="shared" si="629"/>
        <v/>
      </c>
      <c r="U1709" s="254" t="str">
        <f t="shared" si="629"/>
        <v/>
      </c>
      <c r="V1709" s="254" t="str">
        <f t="shared" si="629"/>
        <v/>
      </c>
      <c r="W1709" s="695"/>
      <c r="X1709" s="527"/>
      <c r="Y1709" s="629" t="s">
        <v>598</v>
      </c>
      <c r="Z1709" s="261"/>
    </row>
    <row r="1710" spans="1:30" s="287" customFormat="1" ht="12.75" customHeight="1">
      <c r="A1710" s="246" t="s">
        <v>273</v>
      </c>
      <c r="B1710" s="246" t="s">
        <v>457</v>
      </c>
      <c r="C1710" s="1419" t="s">
        <v>861</v>
      </c>
      <c r="D1710" s="1420"/>
      <c r="E1710" s="1421"/>
      <c r="F1710" s="417">
        <f t="shared" ref="F1710:Q1710" si="638">SUM(F1711:F1712)</f>
        <v>0</v>
      </c>
      <c r="G1710" s="417">
        <f t="shared" si="638"/>
        <v>223684000</v>
      </c>
      <c r="H1710" s="417">
        <f t="shared" si="638"/>
        <v>46176000</v>
      </c>
      <c r="I1710" s="417">
        <f t="shared" si="638"/>
        <v>269860000</v>
      </c>
      <c r="J1710" s="417">
        <f t="shared" si="638"/>
        <v>0</v>
      </c>
      <c r="K1710" s="417">
        <f t="shared" si="638"/>
        <v>32337772.780000001</v>
      </c>
      <c r="L1710" s="417">
        <f t="shared" si="638"/>
        <v>0</v>
      </c>
      <c r="M1710" s="417">
        <f t="shared" si="638"/>
        <v>32337772.780000001</v>
      </c>
      <c r="N1710" s="417">
        <f t="shared" si="638"/>
        <v>0</v>
      </c>
      <c r="O1710" s="417">
        <f t="shared" si="638"/>
        <v>191346227.22</v>
      </c>
      <c r="P1710" s="417">
        <f t="shared" si="638"/>
        <v>46176000</v>
      </c>
      <c r="Q1710" s="417">
        <f t="shared" si="638"/>
        <v>237522227.22</v>
      </c>
      <c r="R1710" s="157"/>
      <c r="S1710" s="1020" t="str">
        <f t="shared" si="629"/>
        <v/>
      </c>
      <c r="T1710" s="1020">
        <f t="shared" si="629"/>
        <v>0.144569002610826</v>
      </c>
      <c r="U1710" s="1020">
        <f t="shared" si="629"/>
        <v>0</v>
      </c>
      <c r="V1710" s="1020">
        <f t="shared" si="629"/>
        <v>0.11983166375157489</v>
      </c>
      <c r="W1710" s="268"/>
      <c r="X1710" s="520"/>
      <c r="Y1710" s="612" t="s">
        <v>598</v>
      </c>
      <c r="Z1710" s="261" t="s">
        <v>598</v>
      </c>
      <c r="AA1710" s="286"/>
      <c r="AB1710" s="286"/>
      <c r="AC1710" s="286"/>
      <c r="AD1710" s="286"/>
    </row>
    <row r="1711" spans="1:30" ht="12.75" customHeight="1">
      <c r="A1711" s="246" t="s">
        <v>273</v>
      </c>
      <c r="B1711" s="235" t="s">
        <v>457</v>
      </c>
      <c r="C1711" s="411"/>
      <c r="D1711" s="386"/>
      <c r="E1711" s="729" t="s">
        <v>421</v>
      </c>
      <c r="F1711" s="404">
        <f t="shared" ref="F1711:H1712" si="639">+F36</f>
        <v>0</v>
      </c>
      <c r="G1711" s="404">
        <f t="shared" si="639"/>
        <v>37553000</v>
      </c>
      <c r="H1711" s="404">
        <f t="shared" si="639"/>
        <v>6887000</v>
      </c>
      <c r="I1711" s="103">
        <f>SUM(F1711:H1711)</f>
        <v>44440000</v>
      </c>
      <c r="J1711" s="404">
        <f t="shared" ref="J1711:L1712" si="640">+J36</f>
        <v>0</v>
      </c>
      <c r="K1711" s="404">
        <f t="shared" si="640"/>
        <v>15285290.899999999</v>
      </c>
      <c r="L1711" s="404">
        <f t="shared" si="640"/>
        <v>0</v>
      </c>
      <c r="M1711" s="103">
        <f>SUM(J1711:L1711)</f>
        <v>15285290.899999999</v>
      </c>
      <c r="N1711" s="103">
        <f t="shared" si="617"/>
        <v>0</v>
      </c>
      <c r="O1711" s="103">
        <f t="shared" si="617"/>
        <v>22267709.100000001</v>
      </c>
      <c r="P1711" s="103">
        <f t="shared" si="617"/>
        <v>6887000</v>
      </c>
      <c r="Q1711" s="103">
        <f t="shared" si="618"/>
        <v>29154709.100000001</v>
      </c>
      <c r="S1711" s="730" t="str">
        <f t="shared" si="629"/>
        <v/>
      </c>
      <c r="T1711" s="730">
        <f t="shared" si="629"/>
        <v>0.40703248475487974</v>
      </c>
      <c r="U1711" s="730">
        <f t="shared" si="629"/>
        <v>0</v>
      </c>
      <c r="V1711" s="730">
        <f t="shared" si="629"/>
        <v>0.34395344059405936</v>
      </c>
      <c r="Y1711" s="610" t="s">
        <v>598</v>
      </c>
    </row>
    <row r="1712" spans="1:30" ht="12.75" customHeight="1">
      <c r="A1712" s="246" t="s">
        <v>273</v>
      </c>
      <c r="B1712" s="235" t="s">
        <v>457</v>
      </c>
      <c r="C1712" s="411"/>
      <c r="D1712" s="386"/>
      <c r="E1712" s="729" t="s">
        <v>422</v>
      </c>
      <c r="F1712" s="404">
        <f t="shared" si="639"/>
        <v>0</v>
      </c>
      <c r="G1712" s="404">
        <f t="shared" si="639"/>
        <v>186131000</v>
      </c>
      <c r="H1712" s="404">
        <f t="shared" si="639"/>
        <v>39289000</v>
      </c>
      <c r="I1712" s="103">
        <f>SUM(F1712:H1712)</f>
        <v>225420000</v>
      </c>
      <c r="J1712" s="404">
        <f t="shared" si="640"/>
        <v>0</v>
      </c>
      <c r="K1712" s="404">
        <f t="shared" si="640"/>
        <v>17052481.880000003</v>
      </c>
      <c r="L1712" s="404">
        <f t="shared" si="640"/>
        <v>0</v>
      </c>
      <c r="M1712" s="103">
        <f>SUM(J1712:L1712)</f>
        <v>17052481.880000003</v>
      </c>
      <c r="N1712" s="103">
        <f t="shared" si="617"/>
        <v>0</v>
      </c>
      <c r="O1712" s="103">
        <f t="shared" si="617"/>
        <v>169078518.12</v>
      </c>
      <c r="P1712" s="103">
        <f t="shared" si="617"/>
        <v>39289000</v>
      </c>
      <c r="Q1712" s="103">
        <f t="shared" si="618"/>
        <v>208367518.12</v>
      </c>
      <c r="S1712" s="730" t="str">
        <f t="shared" si="629"/>
        <v/>
      </c>
      <c r="T1712" s="730">
        <f t="shared" si="629"/>
        <v>9.1615485222773227E-2</v>
      </c>
      <c r="U1712" s="730">
        <f t="shared" si="629"/>
        <v>0</v>
      </c>
      <c r="V1712" s="730">
        <f t="shared" si="629"/>
        <v>7.5647599503149685E-2</v>
      </c>
      <c r="Y1712" s="610" t="s">
        <v>598</v>
      </c>
    </row>
    <row r="1713" spans="1:30" s="260" customFormat="1" ht="12.75" customHeight="1">
      <c r="A1713" s="246" t="s">
        <v>273</v>
      </c>
      <c r="B1713" s="246" t="s">
        <v>457</v>
      </c>
      <c r="C1713" s="696"/>
      <c r="D1713" s="696"/>
      <c r="E1713" s="696"/>
      <c r="F1713" s="418"/>
      <c r="G1713" s="418"/>
      <c r="H1713" s="418"/>
      <c r="I1713" s="419"/>
      <c r="J1713" s="418"/>
      <c r="K1713" s="418"/>
      <c r="L1713" s="418"/>
      <c r="M1713" s="419"/>
      <c r="N1713" s="419">
        <f t="shared" si="617"/>
        <v>0</v>
      </c>
      <c r="O1713" s="419">
        <f t="shared" si="617"/>
        <v>0</v>
      </c>
      <c r="P1713" s="419">
        <f t="shared" si="617"/>
        <v>0</v>
      </c>
      <c r="Q1713" s="419">
        <f t="shared" si="618"/>
        <v>0</v>
      </c>
      <c r="R1713" s="101"/>
      <c r="S1713" s="254" t="str">
        <f t="shared" si="629"/>
        <v/>
      </c>
      <c r="T1713" s="254" t="str">
        <f t="shared" si="629"/>
        <v/>
      </c>
      <c r="U1713" s="254" t="str">
        <f t="shared" si="629"/>
        <v/>
      </c>
      <c r="V1713" s="254" t="str">
        <f t="shared" si="629"/>
        <v/>
      </c>
      <c r="X1713" s="1386"/>
      <c r="Y1713" s="629" t="s">
        <v>598</v>
      </c>
      <c r="Z1713" s="261"/>
    </row>
    <row r="1714" spans="1:30" s="290" customFormat="1" ht="12.75" customHeight="1">
      <c r="A1714" s="246" t="s">
        <v>273</v>
      </c>
      <c r="B1714" s="246" t="s">
        <v>457</v>
      </c>
      <c r="C1714" s="1419" t="s">
        <v>862</v>
      </c>
      <c r="D1714" s="1420"/>
      <c r="E1714" s="1421"/>
      <c r="F1714" s="417">
        <f>SUM(F1715:F1716)</f>
        <v>129710000</v>
      </c>
      <c r="G1714" s="417">
        <f t="shared" ref="G1714:Q1714" si="641">SUM(G1715:G1716)</f>
        <v>121912000</v>
      </c>
      <c r="H1714" s="417">
        <f t="shared" si="641"/>
        <v>0</v>
      </c>
      <c r="I1714" s="417">
        <f t="shared" si="641"/>
        <v>251622000</v>
      </c>
      <c r="J1714" s="417">
        <f t="shared" si="641"/>
        <v>128335787.43000001</v>
      </c>
      <c r="K1714" s="417">
        <f t="shared" si="641"/>
        <v>91842216.609999999</v>
      </c>
      <c r="L1714" s="417">
        <f t="shared" si="641"/>
        <v>0</v>
      </c>
      <c r="M1714" s="417">
        <f t="shared" si="641"/>
        <v>220178004.04000002</v>
      </c>
      <c r="N1714" s="417">
        <f t="shared" si="641"/>
        <v>1374212.5699999928</v>
      </c>
      <c r="O1714" s="417">
        <f t="shared" si="641"/>
        <v>30069783.390000001</v>
      </c>
      <c r="P1714" s="417">
        <f t="shared" si="641"/>
        <v>0</v>
      </c>
      <c r="Q1714" s="417">
        <f t="shared" si="641"/>
        <v>31443995.959999993</v>
      </c>
      <c r="R1714" s="156"/>
      <c r="S1714" s="1020">
        <f t="shared" si="629"/>
        <v>0.98940550019273765</v>
      </c>
      <c r="T1714" s="1020">
        <f t="shared" si="629"/>
        <v>0.75334845306450549</v>
      </c>
      <c r="U1714" s="1020" t="str">
        <f t="shared" si="629"/>
        <v/>
      </c>
      <c r="V1714" s="1020">
        <f t="shared" si="629"/>
        <v>0.87503479043962773</v>
      </c>
      <c r="W1714" s="288"/>
      <c r="X1714" s="237"/>
      <c r="Y1714" s="610" t="s">
        <v>598</v>
      </c>
      <c r="Z1714" s="261" t="s">
        <v>598</v>
      </c>
      <c r="AA1714" s="289"/>
      <c r="AB1714" s="289"/>
      <c r="AC1714" s="289"/>
      <c r="AD1714" s="289"/>
    </row>
    <row r="1715" spans="1:30" ht="12.75" customHeight="1">
      <c r="A1715" s="246" t="s">
        <v>273</v>
      </c>
      <c r="B1715" s="235" t="s">
        <v>457</v>
      </c>
      <c r="C1715" s="461"/>
      <c r="D1715" s="664" t="s">
        <v>766</v>
      </c>
      <c r="E1715" s="447" t="s">
        <v>766</v>
      </c>
      <c r="F1715" s="104">
        <f t="shared" ref="F1715:H1716" si="642">+F1631+F1646+F1659</f>
        <v>129710000</v>
      </c>
      <c r="G1715" s="104">
        <f t="shared" si="642"/>
        <v>121912000</v>
      </c>
      <c r="H1715" s="104">
        <f t="shared" si="642"/>
        <v>0</v>
      </c>
      <c r="I1715" s="103">
        <f>SUM(F1715:H1715)</f>
        <v>251622000</v>
      </c>
      <c r="J1715" s="104">
        <f t="shared" ref="J1715:L1716" si="643">+J1631+J1646+J1659</f>
        <v>128335787.43000001</v>
      </c>
      <c r="K1715" s="104">
        <f t="shared" si="643"/>
        <v>91842216.609999999</v>
      </c>
      <c r="L1715" s="104">
        <f t="shared" si="643"/>
        <v>0</v>
      </c>
      <c r="M1715" s="103">
        <f>SUM(J1715:L1715)</f>
        <v>220178004.04000002</v>
      </c>
      <c r="N1715" s="103">
        <f t="shared" si="617"/>
        <v>1374212.5699999928</v>
      </c>
      <c r="O1715" s="103">
        <f t="shared" si="617"/>
        <v>30069783.390000001</v>
      </c>
      <c r="P1715" s="103">
        <f t="shared" si="617"/>
        <v>0</v>
      </c>
      <c r="Q1715" s="103">
        <f t="shared" si="618"/>
        <v>31443995.959999993</v>
      </c>
      <c r="S1715" s="730">
        <f t="shared" si="629"/>
        <v>0.98940550019273765</v>
      </c>
      <c r="T1715" s="730">
        <f t="shared" si="629"/>
        <v>0.75334845306450549</v>
      </c>
      <c r="U1715" s="730" t="str">
        <f t="shared" si="629"/>
        <v/>
      </c>
      <c r="V1715" s="730">
        <f t="shared" si="629"/>
        <v>0.87503479043962773</v>
      </c>
      <c r="W1715" s="254"/>
      <c r="Y1715" s="610" t="s">
        <v>688</v>
      </c>
    </row>
    <row r="1716" spans="1:30" ht="12.75" customHeight="1">
      <c r="A1716" s="246" t="s">
        <v>273</v>
      </c>
      <c r="B1716" s="235" t="s">
        <v>457</v>
      </c>
      <c r="C1716" s="728"/>
      <c r="D1716" s="394" t="s">
        <v>50</v>
      </c>
      <c r="E1716" s="447" t="s">
        <v>50</v>
      </c>
      <c r="F1716" s="104">
        <f t="shared" si="642"/>
        <v>0</v>
      </c>
      <c r="G1716" s="104">
        <f t="shared" si="642"/>
        <v>0</v>
      </c>
      <c r="H1716" s="104">
        <f t="shared" si="642"/>
        <v>0</v>
      </c>
      <c r="I1716" s="103">
        <f>SUM(F1716:H1716)</f>
        <v>0</v>
      </c>
      <c r="J1716" s="104">
        <f t="shared" si="643"/>
        <v>0</v>
      </c>
      <c r="K1716" s="104">
        <f t="shared" si="643"/>
        <v>0</v>
      </c>
      <c r="L1716" s="104">
        <f t="shared" si="643"/>
        <v>0</v>
      </c>
      <c r="M1716" s="103">
        <f>SUM(J1716:L1716)</f>
        <v>0</v>
      </c>
      <c r="N1716" s="103">
        <f t="shared" si="617"/>
        <v>0</v>
      </c>
      <c r="O1716" s="103">
        <f t="shared" si="617"/>
        <v>0</v>
      </c>
      <c r="P1716" s="103">
        <f t="shared" si="617"/>
        <v>0</v>
      </c>
      <c r="Q1716" s="103">
        <f t="shared" si="618"/>
        <v>0</v>
      </c>
      <c r="S1716" s="730" t="str">
        <f t="shared" si="629"/>
        <v/>
      </c>
      <c r="T1716" s="730" t="str">
        <f t="shared" si="629"/>
        <v/>
      </c>
      <c r="U1716" s="730" t="str">
        <f t="shared" si="629"/>
        <v/>
      </c>
      <c r="V1716" s="730" t="str">
        <f t="shared" si="629"/>
        <v/>
      </c>
      <c r="W1716" s="254"/>
      <c r="Y1716" s="610" t="s">
        <v>688</v>
      </c>
    </row>
    <row r="1717" spans="1:30" s="272" customFormat="1" ht="12.75" customHeight="1">
      <c r="A1717" s="246" t="s">
        <v>273</v>
      </c>
      <c r="B1717" s="246" t="s">
        <v>457</v>
      </c>
      <c r="C1717" s="694"/>
      <c r="D1717" s="694"/>
      <c r="E1717" s="694"/>
      <c r="F1717" s="391"/>
      <c r="G1717" s="391"/>
      <c r="H1717" s="391"/>
      <c r="I1717" s="391"/>
      <c r="J1717" s="391"/>
      <c r="K1717" s="391"/>
      <c r="L1717" s="391"/>
      <c r="M1717" s="391"/>
      <c r="N1717" s="391">
        <f t="shared" si="617"/>
        <v>0</v>
      </c>
      <c r="O1717" s="391">
        <f t="shared" si="617"/>
        <v>0</v>
      </c>
      <c r="P1717" s="391">
        <f t="shared" si="617"/>
        <v>0</v>
      </c>
      <c r="Q1717" s="391">
        <f t="shared" si="618"/>
        <v>0</v>
      </c>
      <c r="R1717" s="102"/>
      <c r="S1717" s="254" t="str">
        <f t="shared" si="629"/>
        <v/>
      </c>
      <c r="T1717" s="254" t="str">
        <f t="shared" si="629"/>
        <v/>
      </c>
      <c r="U1717" s="254" t="str">
        <f t="shared" si="629"/>
        <v/>
      </c>
      <c r="V1717" s="254" t="str">
        <f t="shared" si="629"/>
        <v/>
      </c>
      <c r="W1717" s="254"/>
      <c r="X1717" s="527"/>
      <c r="Y1717" s="629" t="s">
        <v>598</v>
      </c>
      <c r="Z1717" s="261"/>
    </row>
    <row r="1718" spans="1:30" s="290" customFormat="1" ht="12.75" customHeight="1">
      <c r="A1718" s="246" t="s">
        <v>273</v>
      </c>
      <c r="B1718" s="246" t="s">
        <v>457</v>
      </c>
      <c r="C1718" s="1419" t="s">
        <v>271</v>
      </c>
      <c r="D1718" s="1420"/>
      <c r="E1718" s="1421"/>
      <c r="F1718" s="417">
        <f>SUM(F1719:F1721)</f>
        <v>71193000</v>
      </c>
      <c r="G1718" s="417">
        <f t="shared" ref="G1718:Q1718" si="644">SUM(G1719:G1721)</f>
        <v>42500000</v>
      </c>
      <c r="H1718" s="417">
        <f t="shared" si="644"/>
        <v>22000000</v>
      </c>
      <c r="I1718" s="417">
        <f t="shared" si="644"/>
        <v>135693000</v>
      </c>
      <c r="J1718" s="417">
        <f t="shared" si="644"/>
        <v>67758248.069999993</v>
      </c>
      <c r="K1718" s="417">
        <f t="shared" si="644"/>
        <v>35715646.200000003</v>
      </c>
      <c r="L1718" s="417">
        <f t="shared" si="644"/>
        <v>8121591.8600000003</v>
      </c>
      <c r="M1718" s="417">
        <f t="shared" si="644"/>
        <v>111595486.13</v>
      </c>
      <c r="N1718" s="417">
        <f t="shared" si="644"/>
        <v>3434751.9300000072</v>
      </c>
      <c r="O1718" s="417">
        <f t="shared" si="644"/>
        <v>6784353.799999997</v>
      </c>
      <c r="P1718" s="417">
        <f t="shared" si="644"/>
        <v>13878408.140000001</v>
      </c>
      <c r="Q1718" s="417">
        <f t="shared" si="644"/>
        <v>24097513.870000005</v>
      </c>
      <c r="R1718" s="156"/>
      <c r="S1718" s="1020">
        <f t="shared" si="629"/>
        <v>0.95175435885550541</v>
      </c>
      <c r="T1718" s="1020">
        <f t="shared" si="629"/>
        <v>0.84036814588235298</v>
      </c>
      <c r="U1718" s="1020">
        <f t="shared" si="629"/>
        <v>0.36916326636363639</v>
      </c>
      <c r="V1718" s="1020">
        <f t="shared" si="629"/>
        <v>0.82241151813284397</v>
      </c>
      <c r="W1718" s="288"/>
      <c r="X1718" s="237"/>
      <c r="Y1718" s="610" t="s">
        <v>598</v>
      </c>
      <c r="Z1718" s="261" t="s">
        <v>598</v>
      </c>
      <c r="AA1718" s="289"/>
      <c r="AB1718" s="289"/>
      <c r="AC1718" s="289"/>
      <c r="AD1718" s="289"/>
    </row>
    <row r="1719" spans="1:30" ht="12.75" customHeight="1">
      <c r="A1719" s="246" t="s">
        <v>273</v>
      </c>
      <c r="B1719" s="235" t="s">
        <v>457</v>
      </c>
      <c r="C1719" s="461"/>
      <c r="D1719" s="664" t="s">
        <v>766</v>
      </c>
      <c r="E1719" s="447" t="s">
        <v>766</v>
      </c>
      <c r="F1719" s="104">
        <f t="shared" ref="F1719:H1720" si="645">+F1688</f>
        <v>71193000</v>
      </c>
      <c r="G1719" s="104">
        <f t="shared" si="645"/>
        <v>0</v>
      </c>
      <c r="H1719" s="104">
        <f t="shared" si="645"/>
        <v>22000000</v>
      </c>
      <c r="I1719" s="103">
        <f>SUM(F1719:H1719)</f>
        <v>93193000</v>
      </c>
      <c r="J1719" s="104">
        <f t="shared" ref="J1719:L1720" si="646">+J1688</f>
        <v>67758248.069999993</v>
      </c>
      <c r="K1719" s="104">
        <f t="shared" si="646"/>
        <v>0</v>
      </c>
      <c r="L1719" s="104">
        <f t="shared" si="646"/>
        <v>8121591.8600000003</v>
      </c>
      <c r="M1719" s="103">
        <f>SUM(J1719:L1719)</f>
        <v>75879839.929999992</v>
      </c>
      <c r="N1719" s="103">
        <f t="shared" si="617"/>
        <v>3434751.9300000072</v>
      </c>
      <c r="O1719" s="103">
        <f t="shared" si="617"/>
        <v>0</v>
      </c>
      <c r="P1719" s="103">
        <f t="shared" si="617"/>
        <v>13878408.140000001</v>
      </c>
      <c r="Q1719" s="103">
        <f t="shared" si="618"/>
        <v>17313160.070000008</v>
      </c>
      <c r="S1719" s="730">
        <f t="shared" si="629"/>
        <v>0.95175435885550541</v>
      </c>
      <c r="T1719" s="730" t="str">
        <f t="shared" si="629"/>
        <v/>
      </c>
      <c r="U1719" s="730">
        <f t="shared" si="629"/>
        <v>0.36916326636363639</v>
      </c>
      <c r="V1719" s="730">
        <f t="shared" si="629"/>
        <v>0.81422252669191886</v>
      </c>
      <c r="W1719" s="254"/>
      <c r="Y1719" s="610" t="s">
        <v>688</v>
      </c>
    </row>
    <row r="1720" spans="1:30" ht="12.75" customHeight="1">
      <c r="A1720" s="246" t="s">
        <v>273</v>
      </c>
      <c r="B1720" s="235" t="s">
        <v>457</v>
      </c>
      <c r="C1720" s="728"/>
      <c r="D1720" s="394" t="s">
        <v>50</v>
      </c>
      <c r="E1720" s="447" t="s">
        <v>50</v>
      </c>
      <c r="F1720" s="104">
        <f t="shared" si="645"/>
        <v>0</v>
      </c>
      <c r="G1720" s="104">
        <f t="shared" si="645"/>
        <v>0</v>
      </c>
      <c r="H1720" s="104">
        <f t="shared" si="645"/>
        <v>0</v>
      </c>
      <c r="I1720" s="103">
        <f>SUM(F1720:H1720)</f>
        <v>0</v>
      </c>
      <c r="J1720" s="104">
        <f t="shared" si="646"/>
        <v>0</v>
      </c>
      <c r="K1720" s="104">
        <f t="shared" si="646"/>
        <v>0</v>
      </c>
      <c r="L1720" s="104">
        <f t="shared" si="646"/>
        <v>0</v>
      </c>
      <c r="M1720" s="103">
        <f>SUM(J1720:L1720)</f>
        <v>0</v>
      </c>
      <c r="N1720" s="103">
        <f t="shared" si="617"/>
        <v>0</v>
      </c>
      <c r="O1720" s="103">
        <f t="shared" si="617"/>
        <v>0</v>
      </c>
      <c r="P1720" s="103">
        <f t="shared" si="617"/>
        <v>0</v>
      </c>
      <c r="Q1720" s="103">
        <f t="shared" si="618"/>
        <v>0</v>
      </c>
      <c r="S1720" s="730" t="str">
        <f t="shared" si="629"/>
        <v/>
      </c>
      <c r="T1720" s="730" t="str">
        <f t="shared" si="629"/>
        <v/>
      </c>
      <c r="U1720" s="730" t="str">
        <f t="shared" si="629"/>
        <v/>
      </c>
      <c r="V1720" s="730" t="str">
        <f t="shared" si="629"/>
        <v/>
      </c>
      <c r="W1720" s="254"/>
      <c r="Y1720" s="610" t="s">
        <v>598</v>
      </c>
    </row>
    <row r="1721" spans="1:30" ht="12.75" customHeight="1">
      <c r="A1721" s="246" t="s">
        <v>273</v>
      </c>
      <c r="B1721" s="235" t="s">
        <v>457</v>
      </c>
      <c r="C1721" s="410"/>
      <c r="D1721" s="396"/>
      <c r="E1721" s="729" t="s">
        <v>661</v>
      </c>
      <c r="F1721" s="104">
        <f>+F1690</f>
        <v>0</v>
      </c>
      <c r="G1721" s="104">
        <f>+G1690</f>
        <v>42500000</v>
      </c>
      <c r="H1721" s="104">
        <f>+H1690</f>
        <v>0</v>
      </c>
      <c r="I1721" s="103">
        <f>SUM(F1721:H1721)</f>
        <v>42500000</v>
      </c>
      <c r="J1721" s="104">
        <f>+J1690</f>
        <v>0</v>
      </c>
      <c r="K1721" s="104">
        <f>+K1690</f>
        <v>35715646.200000003</v>
      </c>
      <c r="L1721" s="104">
        <f>+L1690</f>
        <v>0</v>
      </c>
      <c r="M1721" s="103">
        <f>SUM(J1721:L1721)</f>
        <v>35715646.200000003</v>
      </c>
      <c r="N1721" s="103">
        <f t="shared" si="617"/>
        <v>0</v>
      </c>
      <c r="O1721" s="103">
        <f t="shared" si="617"/>
        <v>6784353.799999997</v>
      </c>
      <c r="P1721" s="103">
        <f t="shared" si="617"/>
        <v>0</v>
      </c>
      <c r="Q1721" s="103">
        <f t="shared" si="618"/>
        <v>6784353.799999997</v>
      </c>
      <c r="S1721" s="730" t="str">
        <f t="shared" si="629"/>
        <v/>
      </c>
      <c r="T1721" s="730">
        <f t="shared" si="629"/>
        <v>0.84036814588235298</v>
      </c>
      <c r="U1721" s="730" t="str">
        <f t="shared" si="629"/>
        <v/>
      </c>
      <c r="V1721" s="730">
        <f t="shared" si="629"/>
        <v>0.84036814588235298</v>
      </c>
      <c r="W1721" s="254"/>
      <c r="Y1721" s="610" t="s">
        <v>598</v>
      </c>
    </row>
    <row r="1722" spans="1:30" s="272" customFormat="1" ht="12.75" customHeight="1">
      <c r="A1722" s="246" t="s">
        <v>273</v>
      </c>
      <c r="B1722" s="246" t="s">
        <v>457</v>
      </c>
      <c r="C1722" s="694"/>
      <c r="D1722" s="694"/>
      <c r="E1722" s="694"/>
      <c r="F1722" s="391"/>
      <c r="G1722" s="391"/>
      <c r="H1722" s="391"/>
      <c r="I1722" s="391"/>
      <c r="J1722" s="391"/>
      <c r="K1722" s="391"/>
      <c r="L1722" s="391"/>
      <c r="M1722" s="391"/>
      <c r="N1722" s="391">
        <f t="shared" si="617"/>
        <v>0</v>
      </c>
      <c r="O1722" s="391">
        <f t="shared" si="617"/>
        <v>0</v>
      </c>
      <c r="P1722" s="391">
        <f t="shared" si="617"/>
        <v>0</v>
      </c>
      <c r="Q1722" s="391">
        <f t="shared" si="618"/>
        <v>0</v>
      </c>
      <c r="R1722" s="102"/>
      <c r="S1722" s="254" t="str">
        <f t="shared" si="629"/>
        <v/>
      </c>
      <c r="T1722" s="254" t="str">
        <f t="shared" si="629"/>
        <v/>
      </c>
      <c r="U1722" s="254" t="str">
        <f t="shared" si="629"/>
        <v/>
      </c>
      <c r="V1722" s="254" t="str">
        <f t="shared" si="629"/>
        <v/>
      </c>
      <c r="W1722" s="254"/>
      <c r="X1722" s="527"/>
      <c r="Y1722" s="629" t="s">
        <v>598</v>
      </c>
      <c r="Z1722" s="261"/>
    </row>
    <row r="1723" spans="1:30" s="290" customFormat="1" ht="12.75" customHeight="1">
      <c r="A1723" s="246" t="s">
        <v>273</v>
      </c>
      <c r="B1723" s="246" t="s">
        <v>457</v>
      </c>
      <c r="C1723" s="1419" t="s">
        <v>69</v>
      </c>
      <c r="D1723" s="1420"/>
      <c r="E1723" s="1421"/>
      <c r="F1723" s="417">
        <f t="shared" ref="F1723:Q1723" si="647">SUM(F1724:F1725)</f>
        <v>2930586671</v>
      </c>
      <c r="G1723" s="417">
        <f t="shared" si="647"/>
        <v>1805369197</v>
      </c>
      <c r="H1723" s="417">
        <f t="shared" si="647"/>
        <v>1991669435.0999999</v>
      </c>
      <c r="I1723" s="417">
        <f t="shared" si="647"/>
        <v>6727625303.1000004</v>
      </c>
      <c r="J1723" s="417">
        <f t="shared" si="647"/>
        <v>2743308772.8400002</v>
      </c>
      <c r="K1723" s="417">
        <f t="shared" si="647"/>
        <v>1492748845.8500001</v>
      </c>
      <c r="L1723" s="417">
        <f t="shared" si="647"/>
        <v>668343608.60000002</v>
      </c>
      <c r="M1723" s="417">
        <f t="shared" si="647"/>
        <v>4904401227.2900009</v>
      </c>
      <c r="N1723" s="417">
        <f t="shared" si="647"/>
        <v>187277898.15999985</v>
      </c>
      <c r="O1723" s="417">
        <f t="shared" si="647"/>
        <v>312620351.14999992</v>
      </c>
      <c r="P1723" s="417">
        <f t="shared" si="647"/>
        <v>1323325826.5</v>
      </c>
      <c r="Q1723" s="417">
        <f t="shared" si="647"/>
        <v>1823224075.8099997</v>
      </c>
      <c r="R1723" s="156"/>
      <c r="S1723" s="1020">
        <f t="shared" si="629"/>
        <v>0.9360954241643038</v>
      </c>
      <c r="T1723" s="1020">
        <f t="shared" si="629"/>
        <v>0.82683854822078262</v>
      </c>
      <c r="U1723" s="1020">
        <f t="shared" si="629"/>
        <v>0.33556954624171509</v>
      </c>
      <c r="V1723" s="1020">
        <f t="shared" si="629"/>
        <v>0.72899440832861451</v>
      </c>
      <c r="W1723" s="288"/>
      <c r="X1723" s="237"/>
      <c r="Y1723" s="610" t="s">
        <v>598</v>
      </c>
      <c r="Z1723" s="261" t="s">
        <v>598</v>
      </c>
      <c r="AA1723" s="289"/>
      <c r="AB1723" s="289"/>
      <c r="AC1723" s="289"/>
      <c r="AD1723" s="289"/>
    </row>
    <row r="1724" spans="1:30" ht="12.75" customHeight="1">
      <c r="A1724" s="246" t="s">
        <v>273</v>
      </c>
      <c r="B1724" s="235" t="s">
        <v>457</v>
      </c>
      <c r="C1724" s="461"/>
      <c r="D1724" s="664" t="s">
        <v>766</v>
      </c>
      <c r="E1724" s="447" t="s">
        <v>766</v>
      </c>
      <c r="F1724" s="104">
        <f t="shared" ref="F1724:H1725" si="648">+F1433+F1449+F1464+F1479+F1494+F1509+F1524+F1539+F1554+F1569+F1584+F1599</f>
        <v>2930586671</v>
      </c>
      <c r="G1724" s="104">
        <f t="shared" si="648"/>
        <v>1149089329</v>
      </c>
      <c r="H1724" s="104">
        <f t="shared" si="648"/>
        <v>0</v>
      </c>
      <c r="I1724" s="103">
        <f>SUM(F1724:H1724)</f>
        <v>4079676000</v>
      </c>
      <c r="J1724" s="104">
        <f t="shared" ref="J1724:L1725" si="649">+J1433+J1449+J1464+J1479+J1494+J1509+J1524+J1539+J1554+J1569+J1584+J1599</f>
        <v>2743308772.8400002</v>
      </c>
      <c r="K1724" s="104">
        <f t="shared" si="649"/>
        <v>990988297.47000003</v>
      </c>
      <c r="L1724" s="104">
        <f t="shared" si="649"/>
        <v>0</v>
      </c>
      <c r="M1724" s="103">
        <f>SUM(J1724:L1724)</f>
        <v>3734297070.3100004</v>
      </c>
      <c r="N1724" s="103">
        <f t="shared" si="617"/>
        <v>187277898.15999985</v>
      </c>
      <c r="O1724" s="103">
        <f t="shared" si="617"/>
        <v>158101031.52999997</v>
      </c>
      <c r="P1724" s="103">
        <f t="shared" si="617"/>
        <v>0</v>
      </c>
      <c r="Q1724" s="103">
        <f t="shared" si="618"/>
        <v>345378929.68999982</v>
      </c>
      <c r="S1724" s="730">
        <f t="shared" si="629"/>
        <v>0.9360954241643038</v>
      </c>
      <c r="T1724" s="730">
        <f t="shared" si="629"/>
        <v>0.86241188779675804</v>
      </c>
      <c r="U1724" s="730" t="str">
        <f t="shared" si="629"/>
        <v/>
      </c>
      <c r="V1724" s="730">
        <f t="shared" si="629"/>
        <v>0.91534157867193389</v>
      </c>
      <c r="W1724" s="254"/>
      <c r="Y1724" s="610" t="s">
        <v>688</v>
      </c>
    </row>
    <row r="1725" spans="1:30" ht="12.75" customHeight="1">
      <c r="A1725" s="246" t="s">
        <v>273</v>
      </c>
      <c r="B1725" s="235" t="s">
        <v>457</v>
      </c>
      <c r="C1725" s="728"/>
      <c r="D1725" s="394" t="s">
        <v>50</v>
      </c>
      <c r="E1725" s="447" t="s">
        <v>50</v>
      </c>
      <c r="F1725" s="104">
        <f t="shared" si="648"/>
        <v>0</v>
      </c>
      <c r="G1725" s="104">
        <f t="shared" si="648"/>
        <v>656279868</v>
      </c>
      <c r="H1725" s="104">
        <f t="shared" si="648"/>
        <v>1991669435.0999999</v>
      </c>
      <c r="I1725" s="103">
        <f>SUM(F1725:H1725)</f>
        <v>2647949303.0999999</v>
      </c>
      <c r="J1725" s="104">
        <f t="shared" si="649"/>
        <v>0</v>
      </c>
      <c r="K1725" s="104">
        <f t="shared" si="649"/>
        <v>501760548.38000005</v>
      </c>
      <c r="L1725" s="104">
        <f t="shared" si="649"/>
        <v>668343608.60000002</v>
      </c>
      <c r="M1725" s="103">
        <f>SUM(J1725:L1725)</f>
        <v>1170104156.98</v>
      </c>
      <c r="N1725" s="103">
        <f t="shared" si="617"/>
        <v>0</v>
      </c>
      <c r="O1725" s="103">
        <f t="shared" si="617"/>
        <v>154519319.61999995</v>
      </c>
      <c r="P1725" s="103">
        <f t="shared" si="617"/>
        <v>1323325826.5</v>
      </c>
      <c r="Q1725" s="103">
        <f t="shared" si="618"/>
        <v>1477845146.1199999</v>
      </c>
      <c r="S1725" s="730" t="str">
        <f t="shared" si="629"/>
        <v/>
      </c>
      <c r="T1725" s="730">
        <f t="shared" si="629"/>
        <v>0.76455270509684448</v>
      </c>
      <c r="U1725" s="730">
        <f t="shared" si="629"/>
        <v>0.33556954624171509</v>
      </c>
      <c r="V1725" s="730">
        <f t="shared" si="629"/>
        <v>0.44189069466327729</v>
      </c>
      <c r="W1725" s="254"/>
      <c r="Y1725" s="610" t="s">
        <v>688</v>
      </c>
    </row>
    <row r="1726" spans="1:30" s="272" customFormat="1" ht="12.75" customHeight="1">
      <c r="A1726" s="246" t="s">
        <v>273</v>
      </c>
      <c r="B1726" s="246" t="s">
        <v>457</v>
      </c>
      <c r="C1726" s="694"/>
      <c r="D1726" s="694"/>
      <c r="E1726" s="694"/>
      <c r="F1726" s="391"/>
      <c r="G1726" s="391"/>
      <c r="H1726" s="391"/>
      <c r="I1726" s="391"/>
      <c r="J1726" s="391"/>
      <c r="K1726" s="391"/>
      <c r="L1726" s="391"/>
      <c r="M1726" s="391"/>
      <c r="N1726" s="391">
        <f t="shared" ref="N1726:P1798" si="650">+F1726-J1726</f>
        <v>0</v>
      </c>
      <c r="O1726" s="391">
        <f t="shared" si="650"/>
        <v>0</v>
      </c>
      <c r="P1726" s="391">
        <f t="shared" si="650"/>
        <v>0</v>
      </c>
      <c r="Q1726" s="391">
        <f t="shared" ref="Q1726:Q1798" si="651">SUM(N1726:P1726)</f>
        <v>0</v>
      </c>
      <c r="R1726" s="102"/>
      <c r="S1726" s="254" t="str">
        <f t="shared" si="629"/>
        <v/>
      </c>
      <c r="T1726" s="254" t="str">
        <f t="shared" si="629"/>
        <v/>
      </c>
      <c r="U1726" s="254" t="str">
        <f t="shared" si="629"/>
        <v/>
      </c>
      <c r="V1726" s="254" t="str">
        <f t="shared" si="629"/>
        <v/>
      </c>
      <c r="W1726" s="254"/>
      <c r="X1726" s="527"/>
      <c r="Y1726" s="629" t="s">
        <v>598</v>
      </c>
      <c r="Z1726" s="261"/>
    </row>
    <row r="1727" spans="1:30" s="290" customFormat="1" ht="12.75" customHeight="1">
      <c r="A1727" s="246" t="s">
        <v>273</v>
      </c>
      <c r="B1727" s="246" t="s">
        <v>457</v>
      </c>
      <c r="C1727" s="1419" t="s">
        <v>60</v>
      </c>
      <c r="D1727" s="1420"/>
      <c r="E1727" s="1421"/>
      <c r="F1727" s="420">
        <f>+F1728+F1732</f>
        <v>1283858542</v>
      </c>
      <c r="G1727" s="420">
        <f t="shared" ref="G1727:Q1727" si="652">+G1728+G1732</f>
        <v>5164035606.3999996</v>
      </c>
      <c r="H1727" s="420">
        <f t="shared" si="652"/>
        <v>1055388091</v>
      </c>
      <c r="I1727" s="420">
        <f t="shared" si="652"/>
        <v>7503282239.3999996</v>
      </c>
      <c r="J1727" s="420">
        <f t="shared" si="652"/>
        <v>1115246655.54</v>
      </c>
      <c r="K1727" s="420">
        <f t="shared" si="652"/>
        <v>3688105207.5299997</v>
      </c>
      <c r="L1727" s="420">
        <f t="shared" si="652"/>
        <v>835664623.32999992</v>
      </c>
      <c r="M1727" s="420">
        <f t="shared" si="652"/>
        <v>5639016486.3999996</v>
      </c>
      <c r="N1727" s="420">
        <f t="shared" si="652"/>
        <v>168611886.45999989</v>
      </c>
      <c r="O1727" s="420">
        <f t="shared" si="652"/>
        <v>1475930398.8700004</v>
      </c>
      <c r="P1727" s="420">
        <f t="shared" si="652"/>
        <v>219723467.67000008</v>
      </c>
      <c r="Q1727" s="420">
        <f t="shared" si="652"/>
        <v>1864265753.0000002</v>
      </c>
      <c r="R1727" s="156"/>
      <c r="S1727" s="1020">
        <f t="shared" si="629"/>
        <v>0.86866786258450579</v>
      </c>
      <c r="T1727" s="1020">
        <f t="shared" si="629"/>
        <v>0.71419050692818242</v>
      </c>
      <c r="U1727" s="1020">
        <f t="shared" si="629"/>
        <v>0.79180789555640341</v>
      </c>
      <c r="V1727" s="1020">
        <f t="shared" si="629"/>
        <v>0.75153996697462944</v>
      </c>
      <c r="W1727" s="288"/>
      <c r="X1727" s="237"/>
      <c r="Y1727" s="610" t="s">
        <v>598</v>
      </c>
      <c r="Z1727" s="261" t="s">
        <v>598</v>
      </c>
      <c r="AA1727" s="289"/>
      <c r="AB1727" s="289"/>
      <c r="AC1727" s="289"/>
      <c r="AD1727" s="289"/>
    </row>
    <row r="1728" spans="1:30" ht="12.75" customHeight="1">
      <c r="A1728" s="697" t="s">
        <v>273</v>
      </c>
      <c r="B1728" s="235" t="s">
        <v>457</v>
      </c>
      <c r="C1728" s="461"/>
      <c r="D1728" s="664" t="s">
        <v>766</v>
      </c>
      <c r="E1728" s="447" t="s">
        <v>766</v>
      </c>
      <c r="F1728" s="103">
        <f>SUM(F1729:F1731)</f>
        <v>1283858542</v>
      </c>
      <c r="G1728" s="103">
        <f t="shared" ref="G1728:Q1728" si="653">SUM(G1729:G1731)</f>
        <v>2666911458</v>
      </c>
      <c r="H1728" s="103">
        <f t="shared" si="653"/>
        <v>1350000</v>
      </c>
      <c r="I1728" s="103">
        <f t="shared" si="653"/>
        <v>3952120000</v>
      </c>
      <c r="J1728" s="103">
        <f t="shared" si="653"/>
        <v>1115246655.54</v>
      </c>
      <c r="K1728" s="103">
        <f t="shared" si="653"/>
        <v>1896622213.78</v>
      </c>
      <c r="L1728" s="103">
        <f t="shared" si="653"/>
        <v>0</v>
      </c>
      <c r="M1728" s="103">
        <f t="shared" si="653"/>
        <v>3011868869.3200002</v>
      </c>
      <c r="N1728" s="103">
        <f t="shared" si="653"/>
        <v>168611886.45999989</v>
      </c>
      <c r="O1728" s="103">
        <f t="shared" si="653"/>
        <v>770289244.22000003</v>
      </c>
      <c r="P1728" s="103">
        <f t="shared" si="653"/>
        <v>1350000</v>
      </c>
      <c r="Q1728" s="103">
        <f t="shared" si="653"/>
        <v>940251130.67999983</v>
      </c>
      <c r="S1728" s="730">
        <f t="shared" si="629"/>
        <v>0.86866786258450579</v>
      </c>
      <c r="T1728" s="730">
        <f t="shared" si="629"/>
        <v>0.7111680472520584</v>
      </c>
      <c r="U1728" s="730">
        <f t="shared" si="629"/>
        <v>0</v>
      </c>
      <c r="V1728" s="730">
        <f t="shared" si="629"/>
        <v>0.76208942778053301</v>
      </c>
      <c r="W1728" s="698"/>
      <c r="Y1728" s="610" t="s">
        <v>688</v>
      </c>
    </row>
    <row r="1729" spans="1:30" ht="12.75" hidden="1" customHeight="1">
      <c r="A1729" s="246" t="s">
        <v>273</v>
      </c>
      <c r="B1729" s="235" t="s">
        <v>457</v>
      </c>
      <c r="C1729" s="411"/>
      <c r="D1729" s="386" t="s">
        <v>98</v>
      </c>
      <c r="E1729" s="459" t="s">
        <v>775</v>
      </c>
      <c r="F1729" s="104">
        <f t="shared" ref="F1729:L1731" si="654">+F44+F140+F235+F315+F410+F524+F573+F638+F718+F813+F938+F1003+F1158+F1238+F1303+F1368</f>
        <v>461543457</v>
      </c>
      <c r="G1729" s="104">
        <f t="shared" si="654"/>
        <v>174275000</v>
      </c>
      <c r="H1729" s="104">
        <f t="shared" si="654"/>
        <v>0</v>
      </c>
      <c r="I1729" s="104">
        <f t="shared" si="654"/>
        <v>635818457</v>
      </c>
      <c r="J1729" s="104">
        <f t="shared" si="654"/>
        <v>382345985.59000003</v>
      </c>
      <c r="K1729" s="104">
        <f t="shared" si="654"/>
        <v>145397785.63999999</v>
      </c>
      <c r="L1729" s="104">
        <f t="shared" si="654"/>
        <v>0</v>
      </c>
      <c r="M1729" s="103">
        <f>SUM(J1729:L1729)</f>
        <v>527743771.23000002</v>
      </c>
      <c r="N1729" s="103">
        <f t="shared" si="650"/>
        <v>79197471.409999967</v>
      </c>
      <c r="O1729" s="103">
        <f t="shared" si="650"/>
        <v>28877214.360000014</v>
      </c>
      <c r="P1729" s="103">
        <f t="shared" si="650"/>
        <v>0</v>
      </c>
      <c r="Q1729" s="103">
        <f t="shared" si="651"/>
        <v>108074685.76999998</v>
      </c>
      <c r="R1729" s="236"/>
      <c r="S1729" s="730">
        <f t="shared" si="629"/>
        <v>0.82840733584486725</v>
      </c>
      <c r="T1729" s="730">
        <f t="shared" si="629"/>
        <v>0.83430087872615111</v>
      </c>
      <c r="U1729" s="730" t="str">
        <f t="shared" si="629"/>
        <v/>
      </c>
      <c r="V1729" s="730">
        <f t="shared" si="629"/>
        <v>0.8300227296327134</v>
      </c>
      <c r="W1729" s="254"/>
    </row>
    <row r="1730" spans="1:30" ht="12.75" hidden="1" customHeight="1">
      <c r="A1730" s="246" t="s">
        <v>273</v>
      </c>
      <c r="B1730" s="235" t="s">
        <v>457</v>
      </c>
      <c r="C1730" s="406" t="s">
        <v>776</v>
      </c>
      <c r="D1730" s="386" t="s">
        <v>98</v>
      </c>
      <c r="E1730" s="406" t="s">
        <v>776</v>
      </c>
      <c r="F1730" s="104">
        <f t="shared" si="654"/>
        <v>22924215</v>
      </c>
      <c r="G1730" s="104">
        <f t="shared" si="654"/>
        <v>109137624</v>
      </c>
      <c r="H1730" s="104">
        <f t="shared" si="654"/>
        <v>0</v>
      </c>
      <c r="I1730" s="104">
        <f t="shared" si="654"/>
        <v>132061839</v>
      </c>
      <c r="J1730" s="104">
        <f t="shared" si="654"/>
        <v>24183232.780000001</v>
      </c>
      <c r="K1730" s="104">
        <f t="shared" si="654"/>
        <v>65086346.949999996</v>
      </c>
      <c r="L1730" s="104">
        <f t="shared" si="654"/>
        <v>0</v>
      </c>
      <c r="M1730" s="103">
        <f>SUM(J1730:L1730)</f>
        <v>89269579.729999989</v>
      </c>
      <c r="N1730" s="103">
        <f t="shared" si="650"/>
        <v>-1259017.7800000012</v>
      </c>
      <c r="O1730" s="103">
        <f t="shared" si="650"/>
        <v>44051277.050000004</v>
      </c>
      <c r="P1730" s="103">
        <f t="shared" si="650"/>
        <v>0</v>
      </c>
      <c r="Q1730" s="103">
        <f t="shared" si="651"/>
        <v>42792259.270000003</v>
      </c>
      <c r="R1730" s="236"/>
      <c r="S1730" s="730">
        <f t="shared" si="629"/>
        <v>1.0549208677374557</v>
      </c>
      <c r="T1730" s="730">
        <f t="shared" si="629"/>
        <v>0.5963694697073485</v>
      </c>
      <c r="U1730" s="730" t="str">
        <f t="shared" si="629"/>
        <v/>
      </c>
      <c r="V1730" s="730">
        <f t="shared" si="629"/>
        <v>0.67596801927012384</v>
      </c>
      <c r="W1730" s="254"/>
    </row>
    <row r="1731" spans="1:30" ht="12.75" hidden="1" customHeight="1">
      <c r="A1731" s="246" t="s">
        <v>273</v>
      </c>
      <c r="B1731" s="235" t="s">
        <v>457</v>
      </c>
      <c r="C1731" s="411"/>
      <c r="D1731" s="386" t="s">
        <v>98</v>
      </c>
      <c r="E1731" s="406" t="s">
        <v>777</v>
      </c>
      <c r="F1731" s="104">
        <f t="shared" si="654"/>
        <v>799390870</v>
      </c>
      <c r="G1731" s="104">
        <f t="shared" si="654"/>
        <v>2383498834</v>
      </c>
      <c r="H1731" s="104">
        <f t="shared" si="654"/>
        <v>1350000</v>
      </c>
      <c r="I1731" s="104">
        <f t="shared" si="654"/>
        <v>3184239704</v>
      </c>
      <c r="J1731" s="104">
        <f t="shared" si="654"/>
        <v>708717437.17000008</v>
      </c>
      <c r="K1731" s="104">
        <f t="shared" si="654"/>
        <v>1686138081.1900001</v>
      </c>
      <c r="L1731" s="104">
        <f t="shared" si="654"/>
        <v>0</v>
      </c>
      <c r="M1731" s="103">
        <f>SUM(J1731:L1731)</f>
        <v>2394855518.3600001</v>
      </c>
      <c r="N1731" s="103">
        <f t="shared" si="650"/>
        <v>90673432.829999924</v>
      </c>
      <c r="O1731" s="103">
        <f t="shared" si="650"/>
        <v>697360752.80999994</v>
      </c>
      <c r="P1731" s="103">
        <f t="shared" si="650"/>
        <v>1350000</v>
      </c>
      <c r="Q1731" s="103">
        <f t="shared" si="651"/>
        <v>789384185.63999987</v>
      </c>
      <c r="R1731" s="236"/>
      <c r="S1731" s="730">
        <f t="shared" si="629"/>
        <v>0.8865718433461719</v>
      </c>
      <c r="T1731" s="730">
        <f t="shared" si="629"/>
        <v>0.70742139964059247</v>
      </c>
      <c r="U1731" s="730">
        <f t="shared" si="629"/>
        <v>0</v>
      </c>
      <c r="V1731" s="730">
        <f t="shared" si="629"/>
        <v>0.75209649429080794</v>
      </c>
      <c r="W1731" s="254"/>
    </row>
    <row r="1732" spans="1:30" ht="12.75" customHeight="1">
      <c r="A1732" s="697" t="s">
        <v>273</v>
      </c>
      <c r="B1732" s="235" t="s">
        <v>457</v>
      </c>
      <c r="C1732" s="728"/>
      <c r="D1732" s="394" t="s">
        <v>50</v>
      </c>
      <c r="E1732" s="447" t="s">
        <v>50</v>
      </c>
      <c r="F1732" s="104">
        <f>+F47+F143+F238+F318+F413+F527+F576+F641+F721+F816+F941+F1006+F1161+F1241+F1306+F1371</f>
        <v>0</v>
      </c>
      <c r="G1732" s="104">
        <f>+G47+G143+G238+G318+G413+G527+G576+G641+G721+G816+G941+G1006+G1161+G1241+G1306+G1371</f>
        <v>2497124148.4000001</v>
      </c>
      <c r="H1732" s="104">
        <f>+H47+H143+H238+H318+H413+H527+H576+H641+H721+H816+H941+H1006+H1161+H1241+H1306+H1371</f>
        <v>1054038091</v>
      </c>
      <c r="I1732" s="103">
        <f>SUM(F1732:H1732)</f>
        <v>3551162239.4000001</v>
      </c>
      <c r="J1732" s="104">
        <f>+J47+J143+J238+J318+J413+J527+J576+J641+J721+J816+J941+J1006+J1161+J1241+J1306+J1371</f>
        <v>0</v>
      </c>
      <c r="K1732" s="104">
        <f>+K47+K143+K238+K318+K413+K527+K576+K641+K721+K816+K941+K1006+K1161+K1241+K1306+K1371</f>
        <v>1791482993.7499998</v>
      </c>
      <c r="L1732" s="104">
        <f>+L47+L143+L238+L318+L413+L527+L576+L641+L721+L816+L941+L1006+L1161+L1241+L1306+L1371</f>
        <v>835664623.32999992</v>
      </c>
      <c r="M1732" s="103">
        <f>SUM(J1732:L1732)</f>
        <v>2627147617.0799999</v>
      </c>
      <c r="N1732" s="103">
        <f t="shared" si="650"/>
        <v>0</v>
      </c>
      <c r="O1732" s="103">
        <f t="shared" si="650"/>
        <v>705641154.65000033</v>
      </c>
      <c r="P1732" s="103">
        <f t="shared" si="650"/>
        <v>218373467.67000008</v>
      </c>
      <c r="Q1732" s="103">
        <f t="shared" si="651"/>
        <v>924014622.32000041</v>
      </c>
      <c r="S1732" s="730" t="str">
        <f t="shared" si="629"/>
        <v/>
      </c>
      <c r="T1732" s="730">
        <f t="shared" si="629"/>
        <v>0.71741847312552287</v>
      </c>
      <c r="U1732" s="730">
        <f t="shared" si="629"/>
        <v>0.79282203410426833</v>
      </c>
      <c r="V1732" s="730">
        <f t="shared" si="629"/>
        <v>0.73979937833645115</v>
      </c>
      <c r="W1732" s="698"/>
      <c r="Y1732" s="610" t="s">
        <v>688</v>
      </c>
    </row>
    <row r="1733" spans="1:30" s="272" customFormat="1" ht="12.75" customHeight="1">
      <c r="A1733" s="246" t="s">
        <v>273</v>
      </c>
      <c r="B1733" s="246" t="s">
        <v>457</v>
      </c>
      <c r="C1733" s="694"/>
      <c r="D1733" s="694"/>
      <c r="E1733" s="694"/>
      <c r="F1733" s="391"/>
      <c r="G1733" s="391"/>
      <c r="H1733" s="391"/>
      <c r="I1733" s="391"/>
      <c r="J1733" s="391"/>
      <c r="K1733" s="391"/>
      <c r="L1733" s="391"/>
      <c r="M1733" s="391"/>
      <c r="N1733" s="391">
        <f t="shared" si="650"/>
        <v>0</v>
      </c>
      <c r="O1733" s="391">
        <f t="shared" si="650"/>
        <v>0</v>
      </c>
      <c r="P1733" s="391">
        <f t="shared" si="650"/>
        <v>0</v>
      </c>
      <c r="Q1733" s="391">
        <f t="shared" si="651"/>
        <v>0</v>
      </c>
      <c r="R1733" s="102"/>
      <c r="S1733" s="254" t="str">
        <f t="shared" si="629"/>
        <v/>
      </c>
      <c r="T1733" s="254" t="str">
        <f t="shared" si="629"/>
        <v/>
      </c>
      <c r="U1733" s="254" t="str">
        <f t="shared" si="629"/>
        <v/>
      </c>
      <c r="V1733" s="254" t="str">
        <f t="shared" si="629"/>
        <v/>
      </c>
      <c r="W1733" s="254"/>
      <c r="X1733" s="527"/>
      <c r="Y1733" s="629" t="s">
        <v>598</v>
      </c>
      <c r="Z1733" s="261"/>
    </row>
    <row r="1734" spans="1:30" s="287" customFormat="1" ht="12.75" customHeight="1">
      <c r="A1734" s="246" t="s">
        <v>273</v>
      </c>
      <c r="B1734" s="246" t="s">
        <v>457</v>
      </c>
      <c r="C1734" s="1419" t="s">
        <v>430</v>
      </c>
      <c r="D1734" s="1420"/>
      <c r="E1734" s="1421"/>
      <c r="F1734" s="420">
        <f>SUM(F1735:F1736)</f>
        <v>4012934696</v>
      </c>
      <c r="G1734" s="420">
        <f t="shared" ref="G1734:Q1734" si="655">SUM(G1735:G1736)</f>
        <v>2540815648.0599999</v>
      </c>
      <c r="H1734" s="420">
        <f t="shared" si="655"/>
        <v>2699899060</v>
      </c>
      <c r="I1734" s="420">
        <f t="shared" si="655"/>
        <v>9253649404.0599995</v>
      </c>
      <c r="J1734" s="420">
        <f t="shared" si="655"/>
        <v>3680388458.1200008</v>
      </c>
      <c r="K1734" s="420">
        <f t="shared" si="655"/>
        <v>2119726774.3600006</v>
      </c>
      <c r="L1734" s="420">
        <f t="shared" si="655"/>
        <v>2372993829.52</v>
      </c>
      <c r="M1734" s="420">
        <f t="shared" si="655"/>
        <v>8173109062.0000019</v>
      </c>
      <c r="N1734" s="420">
        <f t="shared" si="655"/>
        <v>332546237.87999916</v>
      </c>
      <c r="O1734" s="420">
        <f t="shared" si="655"/>
        <v>421088873.69999945</v>
      </c>
      <c r="P1734" s="420">
        <f t="shared" si="655"/>
        <v>326905230.48000002</v>
      </c>
      <c r="Q1734" s="420">
        <f t="shared" si="655"/>
        <v>1080540342.0599985</v>
      </c>
      <c r="R1734" s="157"/>
      <c r="S1734" s="1020">
        <f t="shared" si="629"/>
        <v>0.91713141053317571</v>
      </c>
      <c r="T1734" s="1020">
        <f t="shared" si="629"/>
        <v>0.83427019822492232</v>
      </c>
      <c r="U1734" s="1020">
        <f t="shared" si="629"/>
        <v>0.87891946209277916</v>
      </c>
      <c r="V1734" s="1020">
        <f t="shared" si="629"/>
        <v>0.8832308968193765</v>
      </c>
      <c r="W1734" s="288"/>
      <c r="X1734" s="520"/>
      <c r="Y1734" s="612" t="s">
        <v>598</v>
      </c>
      <c r="Z1734" s="261" t="s">
        <v>598</v>
      </c>
      <c r="AA1734" s="286"/>
      <c r="AB1734" s="286"/>
      <c r="AC1734" s="286"/>
      <c r="AD1734" s="286"/>
    </row>
    <row r="1735" spans="1:30" ht="12.75" customHeight="1">
      <c r="A1735" s="246" t="s">
        <v>273</v>
      </c>
      <c r="B1735" s="235" t="s">
        <v>457</v>
      </c>
      <c r="C1735" s="461"/>
      <c r="D1735" s="664" t="s">
        <v>766</v>
      </c>
      <c r="E1735" s="447" t="s">
        <v>766</v>
      </c>
      <c r="F1735" s="104">
        <f t="shared" ref="F1735:H1736" si="656">+F63+F78+F93+F108+F158+F173+F188+F203+F253+F268+F283+F333+F348+F363+F378+F428+F443+F458+F474+F489+F542+F591+F606+F656+F671+F686+F736+F751+F766+F781+F831+F846+F861+F876+F891+F906+F956+F971+F1021+F1066+F1036+F1081+F1096+F1111+F1126+F1176+F1191+F1206+F1256+F1271+F1321+F1336+F1386+F1401+F1051</f>
        <v>4012107690</v>
      </c>
      <c r="G1735" s="104">
        <f t="shared" si="656"/>
        <v>1734278310</v>
      </c>
      <c r="H1735" s="104">
        <f t="shared" si="656"/>
        <v>0</v>
      </c>
      <c r="I1735" s="103">
        <f>SUM(F1735:H1735)</f>
        <v>5746386000</v>
      </c>
      <c r="J1735" s="104">
        <f t="shared" ref="J1735:L1736" si="657">+J63+J78+J93+J108+J158+J173+J188+J203+J253+J268+J283+J333+J348+J363+J378+J428+J443+J458+J474+J489+J542+J591+J606+J656+J671+J686+J736+J751+J766+J781+J831+J846+J861+J876+J891+J906+J956+J971+J1021+J1066+J1036+J1081+J1096+J1111+J1126+J1176+J1191+J1206+J1256+J1271+J1321+J1336+J1386+J1401+J1051</f>
        <v>3679624569.3500009</v>
      </c>
      <c r="K1735" s="104">
        <f t="shared" si="657"/>
        <v>1463481317.4300005</v>
      </c>
      <c r="L1735" s="104">
        <f t="shared" si="657"/>
        <v>0</v>
      </c>
      <c r="M1735" s="103">
        <f>SUM(J1735:L1735)</f>
        <v>5143105886.7800016</v>
      </c>
      <c r="N1735" s="103">
        <f t="shared" si="650"/>
        <v>332483120.64999914</v>
      </c>
      <c r="O1735" s="103">
        <f t="shared" si="650"/>
        <v>270796992.56999946</v>
      </c>
      <c r="P1735" s="103">
        <f t="shared" si="650"/>
        <v>0</v>
      </c>
      <c r="Q1735" s="103">
        <f t="shared" si="651"/>
        <v>603280113.2199986</v>
      </c>
      <c r="S1735" s="730">
        <f t="shared" si="629"/>
        <v>0.91713006072127656</v>
      </c>
      <c r="T1735" s="730">
        <f t="shared" si="629"/>
        <v>0.84385609218049928</v>
      </c>
      <c r="U1735" s="730" t="str">
        <f t="shared" si="629"/>
        <v/>
      </c>
      <c r="V1735" s="730">
        <f t="shared" si="629"/>
        <v>0.89501573454689642</v>
      </c>
      <c r="W1735" s="254"/>
      <c r="Y1735" s="610" t="s">
        <v>688</v>
      </c>
    </row>
    <row r="1736" spans="1:30" ht="12.75" customHeight="1">
      <c r="A1736" s="246" t="s">
        <v>273</v>
      </c>
      <c r="B1736" s="235" t="s">
        <v>457</v>
      </c>
      <c r="C1736" s="728"/>
      <c r="D1736" s="394" t="s">
        <v>50</v>
      </c>
      <c r="E1736" s="447" t="s">
        <v>50</v>
      </c>
      <c r="F1736" s="104">
        <f t="shared" si="656"/>
        <v>827006</v>
      </c>
      <c r="G1736" s="104">
        <f t="shared" si="656"/>
        <v>806537338.05999994</v>
      </c>
      <c r="H1736" s="104">
        <f t="shared" si="656"/>
        <v>2699899060</v>
      </c>
      <c r="I1736" s="103">
        <f>SUM(F1736:H1736)</f>
        <v>3507263404.0599999</v>
      </c>
      <c r="J1736" s="104">
        <f t="shared" si="657"/>
        <v>763888.76999999979</v>
      </c>
      <c r="K1736" s="104">
        <f t="shared" si="657"/>
        <v>656245456.92999995</v>
      </c>
      <c r="L1736" s="104">
        <f t="shared" si="657"/>
        <v>2372993829.52</v>
      </c>
      <c r="M1736" s="103">
        <f>SUM(J1736:L1736)</f>
        <v>3030003175.2199998</v>
      </c>
      <c r="N1736" s="103">
        <f t="shared" si="650"/>
        <v>63117.230000000214</v>
      </c>
      <c r="O1736" s="103">
        <f t="shared" si="650"/>
        <v>150291881.13</v>
      </c>
      <c r="P1736" s="103">
        <f t="shared" si="650"/>
        <v>326905230.48000002</v>
      </c>
      <c r="Q1736" s="103">
        <f t="shared" si="651"/>
        <v>477260228.84000003</v>
      </c>
      <c r="S1736" s="730">
        <f t="shared" si="629"/>
        <v>0.92367984029136396</v>
      </c>
      <c r="T1736" s="730">
        <f t="shared" si="629"/>
        <v>0.81365787541652601</v>
      </c>
      <c r="U1736" s="730">
        <f t="shared" si="629"/>
        <v>0.87891946209277916</v>
      </c>
      <c r="V1736" s="730">
        <f t="shared" si="629"/>
        <v>0.86392233092971438</v>
      </c>
      <c r="W1736" s="254"/>
      <c r="Y1736" s="610" t="s">
        <v>688</v>
      </c>
    </row>
    <row r="1737" spans="1:30" s="266" customFormat="1" ht="17.25" customHeight="1">
      <c r="A1737" s="291" t="s">
        <v>273</v>
      </c>
      <c r="B1737" s="1031" t="s">
        <v>457</v>
      </c>
      <c r="C1737" s="1416" t="s">
        <v>707</v>
      </c>
      <c r="D1737" s="1417"/>
      <c r="E1737" s="1418"/>
      <c r="F1737" s="421">
        <f>+F1706+F1710+F1714+F1718+F1723+F1727+F1734</f>
        <v>8966747274</v>
      </c>
      <c r="G1737" s="421">
        <f t="shared" ref="G1737:Q1737" si="658">+G1706+G1710+G1714+G1718+G1723+G1727+G1734</f>
        <v>17760250726</v>
      </c>
      <c r="H1737" s="421">
        <f t="shared" si="658"/>
        <v>11087418000</v>
      </c>
      <c r="I1737" s="421">
        <f t="shared" si="658"/>
        <v>37814416000</v>
      </c>
      <c r="J1737" s="421">
        <f t="shared" si="658"/>
        <v>8179176940.0900011</v>
      </c>
      <c r="K1737" s="421">
        <f t="shared" si="658"/>
        <v>13065321938.560001</v>
      </c>
      <c r="L1737" s="421">
        <f t="shared" si="658"/>
        <v>5095731944.6999989</v>
      </c>
      <c r="M1737" s="421">
        <f t="shared" si="658"/>
        <v>26340230823.349998</v>
      </c>
      <c r="N1737" s="421">
        <f t="shared" si="658"/>
        <v>787570333.90999889</v>
      </c>
      <c r="O1737" s="421">
        <f t="shared" si="658"/>
        <v>4694928787.4399996</v>
      </c>
      <c r="P1737" s="421">
        <f t="shared" si="658"/>
        <v>5991686055.2999992</v>
      </c>
      <c r="Q1737" s="421">
        <f t="shared" si="658"/>
        <v>11474185176.649998</v>
      </c>
      <c r="R1737" s="641"/>
      <c r="S1737" s="1010">
        <f t="shared" si="629"/>
        <v>0.9121676668423967</v>
      </c>
      <c r="T1737" s="1010">
        <f t="shared" si="629"/>
        <v>0.73564963356249868</v>
      </c>
      <c r="U1737" s="1010">
        <f t="shared" si="629"/>
        <v>0.45959590814561141</v>
      </c>
      <c r="V1737" s="1010">
        <f t="shared" si="629"/>
        <v>0.6965658500014914</v>
      </c>
      <c r="W1737" s="699"/>
      <c r="X1737" s="237"/>
      <c r="Y1737" s="612" t="s">
        <v>598</v>
      </c>
      <c r="Z1737" s="241" t="s">
        <v>598</v>
      </c>
    </row>
    <row r="1738" spans="1:30" s="272" customFormat="1" ht="15" customHeight="1">
      <c r="A1738" s="246" t="s">
        <v>273</v>
      </c>
      <c r="B1738" s="246" t="s">
        <v>457</v>
      </c>
      <c r="C1738" s="422"/>
      <c r="D1738" s="422"/>
      <c r="E1738" s="422"/>
      <c r="F1738" s="391"/>
      <c r="G1738" s="391"/>
      <c r="H1738" s="391"/>
      <c r="I1738" s="391"/>
      <c r="J1738" s="391"/>
      <c r="K1738" s="391"/>
      <c r="L1738" s="391"/>
      <c r="M1738" s="391"/>
      <c r="N1738" s="391">
        <f t="shared" si="650"/>
        <v>0</v>
      </c>
      <c r="O1738" s="391">
        <f t="shared" si="650"/>
        <v>0</v>
      </c>
      <c r="P1738" s="391">
        <f t="shared" si="650"/>
        <v>0</v>
      </c>
      <c r="Q1738" s="391">
        <f t="shared" si="651"/>
        <v>0</v>
      </c>
      <c r="R1738" s="102"/>
      <c r="S1738" s="254" t="str">
        <f t="shared" si="629"/>
        <v/>
      </c>
      <c r="T1738" s="254" t="str">
        <f t="shared" si="629"/>
        <v/>
      </c>
      <c r="U1738" s="254" t="str">
        <f t="shared" si="629"/>
        <v/>
      </c>
      <c r="V1738" s="254" t="str">
        <f t="shared" si="629"/>
        <v/>
      </c>
      <c r="W1738" s="254"/>
      <c r="X1738" s="527"/>
      <c r="Y1738" s="629" t="s">
        <v>598</v>
      </c>
      <c r="Z1738" s="261" t="s">
        <v>598</v>
      </c>
    </row>
    <row r="1739" spans="1:30" s="294" customFormat="1" ht="26.25" customHeight="1">
      <c r="A1739" s="282" t="s">
        <v>273</v>
      </c>
      <c r="B1739" s="282" t="s">
        <v>863</v>
      </c>
      <c r="C1739" s="414" t="s">
        <v>708</v>
      </c>
      <c r="D1739" s="423"/>
      <c r="E1739" s="424"/>
      <c r="F1739" s="425"/>
      <c r="G1739" s="425"/>
      <c r="H1739" s="425"/>
      <c r="I1739" s="425"/>
      <c r="J1739" s="425"/>
      <c r="K1739" s="425"/>
      <c r="L1739" s="425"/>
      <c r="M1739" s="425"/>
      <c r="N1739" s="425">
        <f t="shared" si="650"/>
        <v>0</v>
      </c>
      <c r="O1739" s="425">
        <f t="shared" si="650"/>
        <v>0</v>
      </c>
      <c r="P1739" s="425">
        <f t="shared" si="650"/>
        <v>0</v>
      </c>
      <c r="Q1739" s="425">
        <f t="shared" si="651"/>
        <v>0</v>
      </c>
      <c r="R1739" s="700"/>
      <c r="S1739" s="293" t="str">
        <f t="shared" si="629"/>
        <v/>
      </c>
      <c r="T1739" s="293" t="str">
        <f t="shared" si="629"/>
        <v/>
      </c>
      <c r="U1739" s="293" t="str">
        <f t="shared" si="629"/>
        <v/>
      </c>
      <c r="V1739" s="293" t="str">
        <f t="shared" si="629"/>
        <v/>
      </c>
      <c r="W1739" s="293"/>
      <c r="X1739" s="1387"/>
      <c r="Y1739" s="1388" t="s">
        <v>598</v>
      </c>
      <c r="Z1739" s="1384" t="s">
        <v>598</v>
      </c>
    </row>
    <row r="1740" spans="1:30" s="287" customFormat="1" ht="13.5" customHeight="1">
      <c r="A1740" s="246" t="s">
        <v>273</v>
      </c>
      <c r="B1740" s="246" t="s">
        <v>457</v>
      </c>
      <c r="C1740" s="1419" t="s">
        <v>428</v>
      </c>
      <c r="D1740" s="1420"/>
      <c r="E1740" s="1421"/>
      <c r="F1740" s="417">
        <f t="shared" ref="F1740:Q1740" si="659">+F1741+F1753</f>
        <v>144354894</v>
      </c>
      <c r="G1740" s="417">
        <f t="shared" si="659"/>
        <v>399035750.34000003</v>
      </c>
      <c r="H1740" s="417">
        <f t="shared" si="659"/>
        <v>22473109</v>
      </c>
      <c r="I1740" s="417">
        <f t="shared" si="659"/>
        <v>565863753.34000003</v>
      </c>
      <c r="J1740" s="417">
        <f t="shared" si="659"/>
        <v>60528639.560000002</v>
      </c>
      <c r="K1740" s="417">
        <f t="shared" si="659"/>
        <v>179620486.58000001</v>
      </c>
      <c r="L1740" s="417">
        <f t="shared" si="659"/>
        <v>0</v>
      </c>
      <c r="M1740" s="417">
        <f t="shared" si="659"/>
        <v>240149126.14000005</v>
      </c>
      <c r="N1740" s="417">
        <f t="shared" si="659"/>
        <v>83826254.439999998</v>
      </c>
      <c r="O1740" s="417">
        <f t="shared" si="659"/>
        <v>219415263.76000002</v>
      </c>
      <c r="P1740" s="417">
        <f t="shared" si="659"/>
        <v>22473109</v>
      </c>
      <c r="Q1740" s="417">
        <f t="shared" si="659"/>
        <v>325714627.19999999</v>
      </c>
      <c r="R1740" s="157"/>
      <c r="S1740" s="1020">
        <f t="shared" si="629"/>
        <v>0.41930438160274636</v>
      </c>
      <c r="T1740" s="1020">
        <f t="shared" si="629"/>
        <v>0.45013632594812281</v>
      </c>
      <c r="U1740" s="1020">
        <f t="shared" si="629"/>
        <v>0</v>
      </c>
      <c r="V1740" s="1020">
        <f t="shared" si="629"/>
        <v>0.4243939017520108</v>
      </c>
      <c r="W1740" s="268"/>
      <c r="X1740" s="520"/>
      <c r="Y1740" s="612" t="s">
        <v>598</v>
      </c>
      <c r="Z1740" s="261" t="s">
        <v>598</v>
      </c>
      <c r="AA1740" s="286"/>
      <c r="AB1740" s="286"/>
      <c r="AC1740" s="286"/>
      <c r="AD1740" s="286"/>
    </row>
    <row r="1741" spans="1:30" s="706" customFormat="1" ht="12" customHeight="1">
      <c r="A1741" s="701" t="s">
        <v>273</v>
      </c>
      <c r="B1741" s="701" t="s">
        <v>863</v>
      </c>
      <c r="C1741" s="702"/>
      <c r="D1741" s="702"/>
      <c r="E1741" s="703" t="s">
        <v>99</v>
      </c>
      <c r="F1741" s="704">
        <f>+F1744+F1749+F1746+F1747</f>
        <v>33177922</v>
      </c>
      <c r="G1741" s="704">
        <f t="shared" ref="G1741:Q1741" si="660">+G1744+G1749+G1746+G1747</f>
        <v>391845750.34000003</v>
      </c>
      <c r="H1741" s="704">
        <f t="shared" si="660"/>
        <v>0</v>
      </c>
      <c r="I1741" s="704">
        <f t="shared" si="660"/>
        <v>425023672.34000003</v>
      </c>
      <c r="J1741" s="704">
        <f t="shared" si="660"/>
        <v>29752313.02</v>
      </c>
      <c r="K1741" s="704">
        <f t="shared" si="660"/>
        <v>179620486.58000001</v>
      </c>
      <c r="L1741" s="704">
        <f t="shared" si="660"/>
        <v>0</v>
      </c>
      <c r="M1741" s="704">
        <f t="shared" si="660"/>
        <v>209372799.60000002</v>
      </c>
      <c r="N1741" s="704">
        <f t="shared" si="660"/>
        <v>3425608.9800000004</v>
      </c>
      <c r="O1741" s="704">
        <f t="shared" si="660"/>
        <v>212225263.76000002</v>
      </c>
      <c r="P1741" s="704">
        <f t="shared" si="660"/>
        <v>0</v>
      </c>
      <c r="Q1741" s="704">
        <f t="shared" si="660"/>
        <v>215650872.74000001</v>
      </c>
      <c r="R1741" s="705"/>
      <c r="S1741" s="299">
        <f t="shared" si="629"/>
        <v>0.89675034560633426</v>
      </c>
      <c r="T1741" s="299">
        <f t="shared" si="629"/>
        <v>0.45839590304129979</v>
      </c>
      <c r="U1741" s="299" t="str">
        <f t="shared" si="629"/>
        <v/>
      </c>
      <c r="V1741" s="299">
        <f t="shared" si="629"/>
        <v>0.49261444297274598</v>
      </c>
      <c r="W1741" s="296"/>
      <c r="X1741" s="271"/>
      <c r="Y1741" s="628" t="s">
        <v>598</v>
      </c>
      <c r="Z1741" s="255" t="s">
        <v>598</v>
      </c>
    </row>
    <row r="1742" spans="1:30" ht="12" hidden="1" customHeight="1">
      <c r="A1742" s="246" t="s">
        <v>273</v>
      </c>
      <c r="B1742" s="235" t="s">
        <v>863</v>
      </c>
      <c r="C1742" s="728"/>
      <c r="D1742" s="394" t="s">
        <v>286</v>
      </c>
      <c r="E1742" s="729" t="s">
        <v>286</v>
      </c>
      <c r="F1742" s="404">
        <f t="shared" ref="F1742:H1743" si="661">+F15</f>
        <v>33263332</v>
      </c>
      <c r="G1742" s="404">
        <f t="shared" si="661"/>
        <v>0</v>
      </c>
      <c r="H1742" s="404">
        <f t="shared" si="661"/>
        <v>0</v>
      </c>
      <c r="I1742" s="103">
        <f>SUM(F1742:H1742)</f>
        <v>33263332</v>
      </c>
      <c r="J1742" s="404">
        <f t="shared" ref="J1742:L1743" si="662">+J15</f>
        <v>29752313.02</v>
      </c>
      <c r="K1742" s="404">
        <f t="shared" si="662"/>
        <v>0</v>
      </c>
      <c r="L1742" s="404">
        <f t="shared" si="662"/>
        <v>0</v>
      </c>
      <c r="M1742" s="103">
        <f>SUM(J1742:L1742)</f>
        <v>29752313.02</v>
      </c>
      <c r="N1742" s="103">
        <f t="shared" si="650"/>
        <v>3511018.9800000004</v>
      </c>
      <c r="O1742" s="103">
        <f t="shared" si="650"/>
        <v>0</v>
      </c>
      <c r="P1742" s="103">
        <f t="shared" si="650"/>
        <v>0</v>
      </c>
      <c r="Q1742" s="103">
        <f t="shared" si="651"/>
        <v>3511018.9800000004</v>
      </c>
      <c r="R1742" s="276"/>
      <c r="S1742" s="730">
        <f t="shared" si="629"/>
        <v>0.89444776668795534</v>
      </c>
      <c r="T1742" s="730" t="str">
        <f t="shared" si="629"/>
        <v/>
      </c>
      <c r="U1742" s="730" t="str">
        <f t="shared" si="629"/>
        <v/>
      </c>
      <c r="V1742" s="730">
        <f t="shared" si="629"/>
        <v>0.89444776668795534</v>
      </c>
    </row>
    <row r="1743" spans="1:30" ht="12" hidden="1" customHeight="1">
      <c r="A1743" s="246" t="s">
        <v>273</v>
      </c>
      <c r="B1743" s="235" t="s">
        <v>863</v>
      </c>
      <c r="C1743" s="411"/>
      <c r="D1743" s="386" t="s">
        <v>98</v>
      </c>
      <c r="E1743" s="447" t="s">
        <v>760</v>
      </c>
      <c r="F1743" s="404">
        <f t="shared" si="661"/>
        <v>-85410</v>
      </c>
      <c r="G1743" s="404">
        <f t="shared" si="661"/>
        <v>0</v>
      </c>
      <c r="H1743" s="404">
        <f t="shared" si="661"/>
        <v>0</v>
      </c>
      <c r="I1743" s="103">
        <f>SUM(F1743:H1743)</f>
        <v>-85410</v>
      </c>
      <c r="J1743" s="404">
        <f t="shared" si="662"/>
        <v>0</v>
      </c>
      <c r="K1743" s="404">
        <f t="shared" si="662"/>
        <v>0</v>
      </c>
      <c r="L1743" s="404">
        <f t="shared" si="662"/>
        <v>0</v>
      </c>
      <c r="M1743" s="103">
        <f>SUM(J1743:L1743)</f>
        <v>0</v>
      </c>
      <c r="N1743" s="103">
        <f t="shared" si="650"/>
        <v>-85410</v>
      </c>
      <c r="O1743" s="103">
        <f t="shared" si="650"/>
        <v>0</v>
      </c>
      <c r="P1743" s="103">
        <f t="shared" si="650"/>
        <v>0</v>
      </c>
      <c r="Q1743" s="103">
        <f t="shared" si="651"/>
        <v>-85410</v>
      </c>
      <c r="R1743" s="276"/>
      <c r="S1743" s="730">
        <f t="shared" si="629"/>
        <v>0</v>
      </c>
      <c r="T1743" s="730" t="str">
        <f t="shared" si="629"/>
        <v/>
      </c>
      <c r="U1743" s="730" t="str">
        <f t="shared" si="629"/>
        <v/>
      </c>
      <c r="V1743" s="730">
        <f t="shared" si="629"/>
        <v>0</v>
      </c>
      <c r="W1743" s="254"/>
    </row>
    <row r="1744" spans="1:30" s="272" customFormat="1" ht="12" customHeight="1">
      <c r="A1744" s="246" t="s">
        <v>273</v>
      </c>
      <c r="B1744" s="246" t="s">
        <v>863</v>
      </c>
      <c r="C1744" s="426"/>
      <c r="D1744" s="426" t="s">
        <v>98</v>
      </c>
      <c r="E1744" s="427" t="s">
        <v>768</v>
      </c>
      <c r="F1744" s="428">
        <f>SUM(F1742:F1743)</f>
        <v>33177922</v>
      </c>
      <c r="G1744" s="428">
        <f t="shared" ref="G1744:Q1744" si="663">SUM(G1742:G1743)</f>
        <v>0</v>
      </c>
      <c r="H1744" s="428">
        <f t="shared" si="663"/>
        <v>0</v>
      </c>
      <c r="I1744" s="428">
        <f t="shared" si="663"/>
        <v>33177922</v>
      </c>
      <c r="J1744" s="428">
        <f t="shared" si="663"/>
        <v>29752313.02</v>
      </c>
      <c r="K1744" s="428">
        <f t="shared" si="663"/>
        <v>0</v>
      </c>
      <c r="L1744" s="428">
        <f t="shared" si="663"/>
        <v>0</v>
      </c>
      <c r="M1744" s="428">
        <f t="shared" si="663"/>
        <v>29752313.02</v>
      </c>
      <c r="N1744" s="428">
        <f t="shared" si="663"/>
        <v>3425608.9800000004</v>
      </c>
      <c r="O1744" s="428">
        <f t="shared" si="663"/>
        <v>0</v>
      </c>
      <c r="P1744" s="428">
        <f t="shared" si="663"/>
        <v>0</v>
      </c>
      <c r="Q1744" s="428">
        <f t="shared" si="663"/>
        <v>3425608.9800000004</v>
      </c>
      <c r="R1744" s="102">
        <f>+Q1744-Q17</f>
        <v>0</v>
      </c>
      <c r="S1744" s="297">
        <f t="shared" si="629"/>
        <v>0.89675034560633426</v>
      </c>
      <c r="T1744" s="297" t="str">
        <f t="shared" si="629"/>
        <v/>
      </c>
      <c r="U1744" s="297" t="str">
        <f t="shared" si="629"/>
        <v/>
      </c>
      <c r="V1744" s="297">
        <f t="shared" si="629"/>
        <v>0.89675034560633426</v>
      </c>
      <c r="W1744" s="297"/>
      <c r="X1744" s="527"/>
      <c r="Y1744" s="629" t="s">
        <v>598</v>
      </c>
      <c r="Z1744" s="277"/>
    </row>
    <row r="1745" spans="1:26" ht="12" customHeight="1">
      <c r="A1745" s="246" t="s">
        <v>273</v>
      </c>
      <c r="B1745" s="235" t="s">
        <v>863</v>
      </c>
      <c r="C1745" s="411"/>
      <c r="D1745" s="386"/>
      <c r="E1745" s="461"/>
      <c r="F1745" s="104"/>
      <c r="G1745" s="104"/>
      <c r="H1745" s="104"/>
      <c r="I1745" s="103"/>
      <c r="J1745" s="104"/>
      <c r="K1745" s="104"/>
      <c r="L1745" s="104"/>
      <c r="M1745" s="103"/>
      <c r="N1745" s="103"/>
      <c r="O1745" s="103">
        <f>SUM(O1743:O1744)</f>
        <v>0</v>
      </c>
      <c r="P1745" s="103">
        <f>SUM(P1743:P1744)</f>
        <v>0</v>
      </c>
      <c r="Q1745" s="103"/>
      <c r="S1745" s="730" t="str">
        <f t="shared" si="629"/>
        <v/>
      </c>
      <c r="T1745" s="730" t="str">
        <f t="shared" si="629"/>
        <v/>
      </c>
      <c r="U1745" s="730" t="str">
        <f t="shared" si="629"/>
        <v/>
      </c>
      <c r="V1745" s="730" t="str">
        <f t="shared" si="629"/>
        <v/>
      </c>
      <c r="W1745" s="695"/>
      <c r="Y1745" s="612" t="s">
        <v>598</v>
      </c>
      <c r="Z1745" s="241"/>
    </row>
    <row r="1746" spans="1:26" s="310" customFormat="1" ht="12.75">
      <c r="A1746" s="340" t="s">
        <v>273</v>
      </c>
      <c r="B1746" s="340" t="s">
        <v>864</v>
      </c>
      <c r="C1746" s="441"/>
      <c r="D1746" s="441"/>
      <c r="E1746" s="818" t="s">
        <v>940</v>
      </c>
      <c r="F1746" s="819">
        <f t="shared" ref="F1746:H1747" si="664">+F19</f>
        <v>0</v>
      </c>
      <c r="G1746" s="819">
        <f t="shared" si="664"/>
        <v>95007690</v>
      </c>
      <c r="H1746" s="819">
        <f t="shared" si="664"/>
        <v>0</v>
      </c>
      <c r="I1746" s="419">
        <f>SUM(F1746:H1746)</f>
        <v>95007690</v>
      </c>
      <c r="J1746" s="819">
        <f t="shared" ref="J1746:L1747" si="665">+J19</f>
        <v>0</v>
      </c>
      <c r="K1746" s="819">
        <f t="shared" si="665"/>
        <v>95007690</v>
      </c>
      <c r="L1746" s="819">
        <f t="shared" si="665"/>
        <v>0</v>
      </c>
      <c r="M1746" s="419">
        <f>SUM(J1746:L1746)</f>
        <v>95007690</v>
      </c>
      <c r="N1746" s="819">
        <f t="shared" ref="N1746:P1747" si="666">+N19</f>
        <v>0</v>
      </c>
      <c r="O1746" s="819">
        <f t="shared" si="666"/>
        <v>0</v>
      </c>
      <c r="P1746" s="819">
        <f t="shared" si="666"/>
        <v>0</v>
      </c>
      <c r="Q1746" s="419">
        <f>SUM(N1746:P1746)</f>
        <v>0</v>
      </c>
      <c r="R1746" s="820"/>
      <c r="S1746" s="309" t="str">
        <f t="shared" si="629"/>
        <v/>
      </c>
      <c r="T1746" s="309">
        <f t="shared" si="629"/>
        <v>1</v>
      </c>
      <c r="U1746" s="309" t="str">
        <f t="shared" si="629"/>
        <v/>
      </c>
      <c r="V1746" s="309">
        <f t="shared" si="629"/>
        <v>1</v>
      </c>
      <c r="X1746" s="1389"/>
      <c r="Y1746" s="1390" t="s">
        <v>598</v>
      </c>
      <c r="Z1746" s="1391"/>
    </row>
    <row r="1747" spans="1:26" s="258" customFormat="1" ht="12.75">
      <c r="A1747" s="630" t="s">
        <v>59</v>
      </c>
      <c r="B1747" s="630" t="s">
        <v>281</v>
      </c>
      <c r="C1747" s="631"/>
      <c r="D1747" s="631"/>
      <c r="E1747" s="891" t="s">
        <v>955</v>
      </c>
      <c r="F1747" s="819">
        <f t="shared" si="664"/>
        <v>0</v>
      </c>
      <c r="G1747" s="819">
        <f t="shared" si="664"/>
        <v>12930755</v>
      </c>
      <c r="H1747" s="819">
        <f t="shared" si="664"/>
        <v>0</v>
      </c>
      <c r="I1747" s="419">
        <f t="shared" ref="I1747" si="667">SUM(F1747:H1747)</f>
        <v>12930755</v>
      </c>
      <c r="J1747" s="819">
        <f t="shared" si="665"/>
        <v>0</v>
      </c>
      <c r="K1747" s="819">
        <f t="shared" si="665"/>
        <v>12930754.550000001</v>
      </c>
      <c r="L1747" s="819">
        <f t="shared" si="665"/>
        <v>0</v>
      </c>
      <c r="M1747" s="419">
        <f t="shared" ref="M1747" si="668">SUM(J1747:L1747)</f>
        <v>12930754.550000001</v>
      </c>
      <c r="N1747" s="819">
        <f t="shared" si="666"/>
        <v>0</v>
      </c>
      <c r="O1747" s="819">
        <f t="shared" si="666"/>
        <v>0.44999999925494194</v>
      </c>
      <c r="P1747" s="819">
        <f t="shared" si="666"/>
        <v>0</v>
      </c>
      <c r="Q1747" s="419">
        <f t="shared" ref="Q1747" si="669">SUM(N1747:P1747)</f>
        <v>0.44999999925494194</v>
      </c>
      <c r="R1747" s="820"/>
      <c r="S1747" s="309" t="str">
        <f t="shared" si="629"/>
        <v/>
      </c>
      <c r="T1747" s="309">
        <f t="shared" si="629"/>
        <v>0.99999996519924794</v>
      </c>
      <c r="U1747" s="309" t="str">
        <f t="shared" si="629"/>
        <v/>
      </c>
      <c r="V1747" s="309">
        <f t="shared" si="629"/>
        <v>0.99999996519924794</v>
      </c>
      <c r="X1747" s="1392" t="s">
        <v>598</v>
      </c>
      <c r="Y1747" s="1393" t="s">
        <v>598</v>
      </c>
      <c r="Z1747" s="636"/>
    </row>
    <row r="1748" spans="1:26" ht="12.75" hidden="1" customHeight="1">
      <c r="A1748" s="246"/>
      <c r="B1748" s="235"/>
      <c r="C1748" s="411"/>
      <c r="D1748" s="386"/>
      <c r="E1748" s="1032"/>
      <c r="F1748" s="404"/>
      <c r="G1748" s="404"/>
      <c r="H1748" s="404"/>
      <c r="I1748" s="103"/>
      <c r="J1748" s="404"/>
      <c r="K1748" s="404"/>
      <c r="L1748" s="404"/>
      <c r="M1748" s="103"/>
      <c r="N1748" s="103"/>
      <c r="O1748" s="103"/>
      <c r="P1748" s="103"/>
      <c r="Q1748" s="103"/>
      <c r="R1748" s="147"/>
      <c r="S1748" s="730" t="str">
        <f t="shared" si="629"/>
        <v/>
      </c>
      <c r="T1748" s="730" t="str">
        <f t="shared" si="629"/>
        <v/>
      </c>
      <c r="U1748" s="730" t="str">
        <f t="shared" si="629"/>
        <v/>
      </c>
      <c r="V1748" s="730" t="str">
        <f t="shared" si="629"/>
        <v/>
      </c>
      <c r="Y1748" s="637"/>
    </row>
    <row r="1749" spans="1:26" s="272" customFormat="1" ht="12" customHeight="1">
      <c r="A1749" s="246" t="s">
        <v>202</v>
      </c>
      <c r="B1749" s="246" t="s">
        <v>863</v>
      </c>
      <c r="C1749" s="426"/>
      <c r="D1749" s="426" t="s">
        <v>98</v>
      </c>
      <c r="E1749" s="427" t="s">
        <v>713</v>
      </c>
      <c r="F1749" s="428">
        <f>SUM(F1750:F1751)</f>
        <v>0</v>
      </c>
      <c r="G1749" s="428">
        <f t="shared" ref="G1749:Q1749" si="670">SUM(G1750:G1751)</f>
        <v>283907305.34000003</v>
      </c>
      <c r="H1749" s="428">
        <f t="shared" si="670"/>
        <v>0</v>
      </c>
      <c r="I1749" s="428">
        <f t="shared" si="670"/>
        <v>283907305.34000003</v>
      </c>
      <c r="J1749" s="428">
        <f t="shared" si="670"/>
        <v>0</v>
      </c>
      <c r="K1749" s="428">
        <f t="shared" si="670"/>
        <v>71682042.030000001</v>
      </c>
      <c r="L1749" s="428">
        <f t="shared" si="670"/>
        <v>0</v>
      </c>
      <c r="M1749" s="428">
        <f t="shared" si="670"/>
        <v>71682042.030000001</v>
      </c>
      <c r="N1749" s="428">
        <f t="shared" si="670"/>
        <v>0</v>
      </c>
      <c r="O1749" s="428">
        <f t="shared" si="670"/>
        <v>212225263.31000003</v>
      </c>
      <c r="P1749" s="428">
        <f t="shared" si="670"/>
        <v>0</v>
      </c>
      <c r="Q1749" s="428">
        <f t="shared" si="670"/>
        <v>212225263.31000003</v>
      </c>
      <c r="R1749" s="102"/>
      <c r="S1749" s="297" t="str">
        <f t="shared" si="629"/>
        <v/>
      </c>
      <c r="T1749" s="297">
        <f t="shared" si="629"/>
        <v>0.25248396459596362</v>
      </c>
      <c r="U1749" s="297" t="str">
        <f t="shared" si="629"/>
        <v/>
      </c>
      <c r="V1749" s="297">
        <f t="shared" si="629"/>
        <v>0.25248396459596362</v>
      </c>
      <c r="W1749" s="297"/>
      <c r="X1749" s="527"/>
      <c r="Y1749" s="629" t="s">
        <v>598</v>
      </c>
      <c r="Z1749" s="277"/>
    </row>
    <row r="1750" spans="1:26" ht="24">
      <c r="A1750" s="246" t="s">
        <v>273</v>
      </c>
      <c r="B1750" s="235" t="s">
        <v>864</v>
      </c>
      <c r="C1750" s="411"/>
      <c r="D1750" s="386"/>
      <c r="E1750" s="1032" t="s">
        <v>287</v>
      </c>
      <c r="F1750" s="404">
        <f>+F21</f>
        <v>0</v>
      </c>
      <c r="G1750" s="404">
        <f>+G21</f>
        <v>6073530.1100000003</v>
      </c>
      <c r="H1750" s="404">
        <f>+H21</f>
        <v>0</v>
      </c>
      <c r="I1750" s="103">
        <f>SUM(F1750:H1750)</f>
        <v>6073530.1100000003</v>
      </c>
      <c r="J1750" s="404">
        <f>+J21</f>
        <v>0</v>
      </c>
      <c r="K1750" s="404">
        <f>+K21</f>
        <v>4038276.77</v>
      </c>
      <c r="L1750" s="404">
        <f>+L21</f>
        <v>0</v>
      </c>
      <c r="M1750" s="103">
        <f>SUM(J1750:L1750)</f>
        <v>4038276.77</v>
      </c>
      <c r="N1750" s="103">
        <f t="shared" ref="N1750:P1751" si="671">+F1750-J1750</f>
        <v>0</v>
      </c>
      <c r="O1750" s="103">
        <f t="shared" si="671"/>
        <v>2035253.3400000003</v>
      </c>
      <c r="P1750" s="103">
        <f t="shared" si="671"/>
        <v>0</v>
      </c>
      <c r="Q1750" s="103">
        <f>SUM(N1750:P1750)</f>
        <v>2035253.3400000003</v>
      </c>
      <c r="R1750" s="147"/>
      <c r="S1750" s="730" t="str">
        <f t="shared" si="629"/>
        <v/>
      </c>
      <c r="T1750" s="730">
        <f t="shared" si="629"/>
        <v>0.66489779368196789</v>
      </c>
      <c r="U1750" s="730" t="str">
        <f t="shared" si="629"/>
        <v/>
      </c>
      <c r="V1750" s="730">
        <f t="shared" si="629"/>
        <v>0.66489779368196789</v>
      </c>
      <c r="Y1750" s="637" t="s">
        <v>598</v>
      </c>
    </row>
    <row r="1751" spans="1:26" ht="24.75" customHeight="1">
      <c r="A1751" s="246" t="s">
        <v>273</v>
      </c>
      <c r="B1751" s="235" t="s">
        <v>864</v>
      </c>
      <c r="C1751" s="411"/>
      <c r="D1751" s="386"/>
      <c r="E1751" s="1032" t="s">
        <v>884</v>
      </c>
      <c r="F1751" s="404">
        <f>+F22</f>
        <v>0</v>
      </c>
      <c r="G1751" s="404">
        <f t="shared" ref="G1751:L1751" si="672">+G22</f>
        <v>277833775.23000002</v>
      </c>
      <c r="H1751" s="404">
        <f t="shared" si="672"/>
        <v>0</v>
      </c>
      <c r="I1751" s="103">
        <f>SUM(F1751:H1751)</f>
        <v>277833775.23000002</v>
      </c>
      <c r="J1751" s="404">
        <f t="shared" si="672"/>
        <v>0</v>
      </c>
      <c r="K1751" s="404">
        <f t="shared" si="672"/>
        <v>67643765.260000005</v>
      </c>
      <c r="L1751" s="404">
        <f t="shared" si="672"/>
        <v>0</v>
      </c>
      <c r="M1751" s="103">
        <f>SUM(J1751:L1751)</f>
        <v>67643765.260000005</v>
      </c>
      <c r="N1751" s="103">
        <f t="shared" si="671"/>
        <v>0</v>
      </c>
      <c r="O1751" s="103">
        <f t="shared" si="671"/>
        <v>210190009.97000003</v>
      </c>
      <c r="P1751" s="103">
        <f t="shared" si="671"/>
        <v>0</v>
      </c>
      <c r="Q1751" s="103">
        <f>SUM(N1751:P1751)</f>
        <v>210190009.97000003</v>
      </c>
      <c r="R1751" s="147"/>
      <c r="S1751" s="730" t="str">
        <f t="shared" si="629"/>
        <v/>
      </c>
      <c r="T1751" s="730">
        <f t="shared" si="629"/>
        <v>0.24346847392474963</v>
      </c>
      <c r="U1751" s="730" t="str">
        <f t="shared" si="629"/>
        <v/>
      </c>
      <c r="V1751" s="730">
        <f t="shared" ref="V1751:V1814" si="673">IF(I1751=0,"",M1751/I1751)</f>
        <v>0.24346847392474963</v>
      </c>
      <c r="Y1751" s="637" t="s">
        <v>598</v>
      </c>
    </row>
    <row r="1752" spans="1:26" ht="12" hidden="1" customHeight="1">
      <c r="A1752" s="246"/>
      <c r="B1752" s="235"/>
      <c r="C1752" s="411"/>
      <c r="D1752" s="386"/>
      <c r="E1752" s="728"/>
      <c r="F1752" s="404"/>
      <c r="G1752" s="404"/>
      <c r="H1752" s="404"/>
      <c r="I1752" s="103"/>
      <c r="J1752" s="404"/>
      <c r="K1752" s="404"/>
      <c r="L1752" s="404"/>
      <c r="M1752" s="103"/>
      <c r="N1752" s="103"/>
      <c r="O1752" s="103"/>
      <c r="P1752" s="103"/>
      <c r="Q1752" s="103"/>
      <c r="R1752" s="1007"/>
      <c r="S1752" s="730" t="str">
        <f t="shared" ref="S1752:V1815" si="674">IF(F1752=0,"",J1752/F1752)</f>
        <v/>
      </c>
      <c r="T1752" s="730" t="str">
        <f t="shared" si="674"/>
        <v/>
      </c>
      <c r="U1752" s="730" t="str">
        <f t="shared" si="674"/>
        <v/>
      </c>
      <c r="V1752" s="730" t="str">
        <f t="shared" si="673"/>
        <v/>
      </c>
      <c r="Y1752" s="637"/>
    </row>
    <row r="1753" spans="1:26" s="706" customFormat="1" ht="12" customHeight="1">
      <c r="A1753" s="701" t="s">
        <v>273</v>
      </c>
      <c r="B1753" s="701" t="s">
        <v>863</v>
      </c>
      <c r="C1753" s="702"/>
      <c r="D1753" s="702"/>
      <c r="E1753" s="703" t="s">
        <v>687</v>
      </c>
      <c r="F1753" s="704">
        <f>+F1754+F1760+F1755+F1756</f>
        <v>111176972</v>
      </c>
      <c r="G1753" s="704">
        <f t="shared" ref="G1753:Q1753" si="675">+G1754+G1760+G1755+G1756</f>
        <v>7190000</v>
      </c>
      <c r="H1753" s="704">
        <f t="shared" si="675"/>
        <v>22473109</v>
      </c>
      <c r="I1753" s="704">
        <f t="shared" si="675"/>
        <v>140840081</v>
      </c>
      <c r="J1753" s="704">
        <f t="shared" si="675"/>
        <v>30776326.540000007</v>
      </c>
      <c r="K1753" s="704">
        <f t="shared" si="675"/>
        <v>0</v>
      </c>
      <c r="L1753" s="704">
        <f t="shared" si="675"/>
        <v>0</v>
      </c>
      <c r="M1753" s="704">
        <f t="shared" si="675"/>
        <v>30776326.540000007</v>
      </c>
      <c r="N1753" s="704">
        <f t="shared" si="675"/>
        <v>80400645.459999993</v>
      </c>
      <c r="O1753" s="704">
        <f t="shared" si="675"/>
        <v>7190000</v>
      </c>
      <c r="P1753" s="704">
        <f t="shared" si="675"/>
        <v>22473109</v>
      </c>
      <c r="Q1753" s="704">
        <f t="shared" si="675"/>
        <v>110063754.45999999</v>
      </c>
      <c r="R1753" s="705"/>
      <c r="S1753" s="299">
        <f t="shared" si="674"/>
        <v>0.27682285266772699</v>
      </c>
      <c r="T1753" s="299">
        <f t="shared" si="674"/>
        <v>0</v>
      </c>
      <c r="U1753" s="299">
        <f t="shared" si="674"/>
        <v>0</v>
      </c>
      <c r="V1753" s="299">
        <f t="shared" si="673"/>
        <v>0.21851965947108484</v>
      </c>
      <c r="W1753" s="296"/>
      <c r="X1753" s="271"/>
      <c r="Y1753" s="629" t="s">
        <v>598</v>
      </c>
      <c r="Z1753" s="255" t="s">
        <v>598</v>
      </c>
    </row>
    <row r="1754" spans="1:26" ht="12" customHeight="1">
      <c r="A1754" s="246" t="s">
        <v>273</v>
      </c>
      <c r="B1754" s="235" t="s">
        <v>863</v>
      </c>
      <c r="C1754" s="728"/>
      <c r="D1754" s="394" t="s">
        <v>289</v>
      </c>
      <c r="E1754" s="729" t="s">
        <v>289</v>
      </c>
      <c r="F1754" s="404">
        <f>+F25</f>
        <v>95016097</v>
      </c>
      <c r="G1754" s="404">
        <f>+G25</f>
        <v>0</v>
      </c>
      <c r="H1754" s="404">
        <f>+H25</f>
        <v>0</v>
      </c>
      <c r="I1754" s="103">
        <f>SUM(F1754:H1754)</f>
        <v>95016097</v>
      </c>
      <c r="J1754" s="404">
        <f>+J25</f>
        <v>21652897.670000002</v>
      </c>
      <c r="K1754" s="404">
        <f>+K25</f>
        <v>0</v>
      </c>
      <c r="L1754" s="404">
        <f>+L25</f>
        <v>0</v>
      </c>
      <c r="M1754" s="103">
        <f>SUM(J1754:L1754)</f>
        <v>21652897.670000002</v>
      </c>
      <c r="N1754" s="103">
        <f t="shared" si="650"/>
        <v>73363199.329999998</v>
      </c>
      <c r="O1754" s="103">
        <f t="shared" si="650"/>
        <v>0</v>
      </c>
      <c r="P1754" s="103">
        <f t="shared" si="650"/>
        <v>0</v>
      </c>
      <c r="Q1754" s="103">
        <f t="shared" si="651"/>
        <v>73363199.329999998</v>
      </c>
      <c r="S1754" s="730">
        <f t="shared" si="674"/>
        <v>0.22788662504207052</v>
      </c>
      <c r="T1754" s="730" t="str">
        <f t="shared" si="674"/>
        <v/>
      </c>
      <c r="U1754" s="730" t="str">
        <f t="shared" si="674"/>
        <v/>
      </c>
      <c r="V1754" s="730">
        <f t="shared" si="673"/>
        <v>0.22788662504207052</v>
      </c>
      <c r="Y1754" s="610" t="s">
        <v>598</v>
      </c>
    </row>
    <row r="1755" spans="1:26" ht="12" customHeight="1">
      <c r="A1755" s="246" t="s">
        <v>59</v>
      </c>
      <c r="B1755" s="235" t="s">
        <v>281</v>
      </c>
      <c r="C1755" s="728"/>
      <c r="D1755" s="394" t="s">
        <v>289</v>
      </c>
      <c r="E1755" s="729" t="s">
        <v>1068</v>
      </c>
      <c r="F1755" s="404">
        <f>+F26</f>
        <v>0</v>
      </c>
      <c r="G1755" s="404">
        <f t="shared" ref="G1755:L1756" si="676">+G26</f>
        <v>0</v>
      </c>
      <c r="H1755" s="404">
        <f t="shared" si="676"/>
        <v>22473109</v>
      </c>
      <c r="I1755" s="103">
        <f>SUM(F1755:H1755)</f>
        <v>22473109</v>
      </c>
      <c r="J1755" s="404">
        <f t="shared" si="676"/>
        <v>0</v>
      </c>
      <c r="K1755" s="404">
        <f t="shared" si="676"/>
        <v>0</v>
      </c>
      <c r="L1755" s="404">
        <f t="shared" si="676"/>
        <v>0</v>
      </c>
      <c r="M1755" s="103">
        <f>SUM(J1755:L1755)</f>
        <v>0</v>
      </c>
      <c r="N1755" s="103">
        <f t="shared" si="650"/>
        <v>0</v>
      </c>
      <c r="O1755" s="103">
        <f t="shared" si="650"/>
        <v>0</v>
      </c>
      <c r="P1755" s="103">
        <f t="shared" si="650"/>
        <v>22473109</v>
      </c>
      <c r="Q1755" s="103">
        <f>SUM(N1755:P1755)</f>
        <v>22473109</v>
      </c>
      <c r="S1755" s="730" t="str">
        <f t="shared" si="674"/>
        <v/>
      </c>
      <c r="T1755" s="730" t="str">
        <f t="shared" si="674"/>
        <v/>
      </c>
      <c r="U1755" s="730">
        <f t="shared" si="674"/>
        <v>0</v>
      </c>
      <c r="V1755" s="730">
        <f t="shared" si="673"/>
        <v>0</v>
      </c>
      <c r="X1755" s="237" t="s">
        <v>598</v>
      </c>
      <c r="Y1755" s="610" t="s">
        <v>598</v>
      </c>
    </row>
    <row r="1756" spans="1:26" ht="12" customHeight="1">
      <c r="A1756" s="246" t="s">
        <v>59</v>
      </c>
      <c r="B1756" s="235" t="s">
        <v>281</v>
      </c>
      <c r="C1756" s="728"/>
      <c r="D1756" s="394" t="s">
        <v>289</v>
      </c>
      <c r="E1756" s="729" t="s">
        <v>1076</v>
      </c>
      <c r="F1756" s="404">
        <f t="shared" ref="F1756:H1756" si="677">+F27</f>
        <v>0</v>
      </c>
      <c r="G1756" s="404">
        <f t="shared" si="677"/>
        <v>7190000</v>
      </c>
      <c r="H1756" s="404">
        <f t="shared" si="677"/>
        <v>0</v>
      </c>
      <c r="I1756" s="103">
        <f t="shared" ref="I1756" si="678">SUM(F1756:H1756)</f>
        <v>7190000</v>
      </c>
      <c r="J1756" s="404">
        <f t="shared" si="676"/>
        <v>0</v>
      </c>
      <c r="K1756" s="404">
        <f t="shared" si="676"/>
        <v>0</v>
      </c>
      <c r="L1756" s="404">
        <f t="shared" si="676"/>
        <v>0</v>
      </c>
      <c r="M1756" s="103">
        <f t="shared" ref="M1756" si="679">SUM(J1756:L1756)</f>
        <v>0</v>
      </c>
      <c r="N1756" s="103">
        <f t="shared" si="650"/>
        <v>0</v>
      </c>
      <c r="O1756" s="103">
        <f t="shared" si="650"/>
        <v>7190000</v>
      </c>
      <c r="P1756" s="103">
        <f t="shared" si="650"/>
        <v>0</v>
      </c>
      <c r="Q1756" s="103">
        <f t="shared" ref="Q1756" si="680">SUM(N1756:P1756)</f>
        <v>7190000</v>
      </c>
      <c r="S1756" s="730" t="str">
        <f t="shared" si="674"/>
        <v/>
      </c>
      <c r="T1756" s="730">
        <f t="shared" si="674"/>
        <v>0</v>
      </c>
      <c r="U1756" s="730" t="str">
        <f t="shared" si="674"/>
        <v/>
      </c>
      <c r="V1756" s="730">
        <f t="shared" si="673"/>
        <v>0</v>
      </c>
      <c r="X1756" s="237" t="s">
        <v>598</v>
      </c>
      <c r="Y1756" s="610" t="s">
        <v>598</v>
      </c>
    </row>
    <row r="1757" spans="1:26" ht="12" hidden="1" customHeight="1">
      <c r="A1757" s="246" t="s">
        <v>273</v>
      </c>
      <c r="B1757" s="235" t="s">
        <v>863</v>
      </c>
      <c r="C1757" s="410"/>
      <c r="D1757" s="396"/>
      <c r="E1757" s="729"/>
      <c r="F1757" s="404"/>
      <c r="G1757" s="404"/>
      <c r="H1757" s="404"/>
      <c r="I1757" s="103"/>
      <c r="J1757" s="404"/>
      <c r="K1757" s="404"/>
      <c r="L1757" s="404"/>
      <c r="M1757" s="103"/>
      <c r="N1757" s="103">
        <f t="shared" si="650"/>
        <v>0</v>
      </c>
      <c r="O1757" s="103">
        <f t="shared" si="650"/>
        <v>0</v>
      </c>
      <c r="P1757" s="103">
        <f t="shared" si="650"/>
        <v>0</v>
      </c>
      <c r="Q1757" s="103">
        <f t="shared" si="651"/>
        <v>0</v>
      </c>
      <c r="R1757" s="276"/>
      <c r="S1757" s="730" t="str">
        <f t="shared" si="674"/>
        <v/>
      </c>
      <c r="T1757" s="730" t="str">
        <f t="shared" si="674"/>
        <v/>
      </c>
      <c r="U1757" s="730" t="str">
        <f t="shared" si="674"/>
        <v/>
      </c>
      <c r="V1757" s="730" t="str">
        <f t="shared" si="673"/>
        <v/>
      </c>
    </row>
    <row r="1758" spans="1:26" ht="12" hidden="1" customHeight="1">
      <c r="A1758" s="246" t="s">
        <v>273</v>
      </c>
      <c r="B1758" s="235" t="s">
        <v>863</v>
      </c>
      <c r="C1758" s="728"/>
      <c r="D1758" s="394" t="s">
        <v>288</v>
      </c>
      <c r="E1758" s="729" t="s">
        <v>288</v>
      </c>
      <c r="F1758" s="404">
        <f t="shared" ref="F1758:H1759" si="681">+F29</f>
        <v>234339625</v>
      </c>
      <c r="G1758" s="404">
        <f t="shared" si="681"/>
        <v>0</v>
      </c>
      <c r="H1758" s="404">
        <f t="shared" si="681"/>
        <v>0</v>
      </c>
      <c r="I1758" s="103">
        <f>SUM(F1758:H1758)</f>
        <v>234339625</v>
      </c>
      <c r="J1758" s="404">
        <f t="shared" ref="J1758:L1759" si="682">+J29</f>
        <v>9123428.8700000048</v>
      </c>
      <c r="K1758" s="404">
        <f t="shared" si="682"/>
        <v>0</v>
      </c>
      <c r="L1758" s="404">
        <f t="shared" si="682"/>
        <v>0</v>
      </c>
      <c r="M1758" s="103">
        <f>SUM(J1758:L1758)</f>
        <v>9123428.8700000048</v>
      </c>
      <c r="N1758" s="103">
        <f t="shared" si="650"/>
        <v>225216196.13</v>
      </c>
      <c r="O1758" s="103">
        <f t="shared" si="650"/>
        <v>0</v>
      </c>
      <c r="P1758" s="103">
        <f t="shared" si="650"/>
        <v>0</v>
      </c>
      <c r="Q1758" s="103">
        <f t="shared" si="651"/>
        <v>225216196.13</v>
      </c>
      <c r="R1758" s="276"/>
      <c r="S1758" s="730">
        <f t="shared" si="674"/>
        <v>3.8932506058247746E-2</v>
      </c>
      <c r="T1758" s="730" t="str">
        <f t="shared" si="674"/>
        <v/>
      </c>
      <c r="U1758" s="730" t="str">
        <f t="shared" si="674"/>
        <v/>
      </c>
      <c r="V1758" s="730">
        <f t="shared" si="673"/>
        <v>3.8932506058247746E-2</v>
      </c>
    </row>
    <row r="1759" spans="1:26" ht="12" hidden="1" customHeight="1">
      <c r="A1759" s="246" t="s">
        <v>273</v>
      </c>
      <c r="B1759" s="235" t="s">
        <v>863</v>
      </c>
      <c r="C1759" s="728"/>
      <c r="D1759" s="394" t="s">
        <v>761</v>
      </c>
      <c r="E1759" s="729" t="s">
        <v>761</v>
      </c>
      <c r="F1759" s="404">
        <f t="shared" si="681"/>
        <v>-218178750</v>
      </c>
      <c r="G1759" s="404">
        <f t="shared" si="681"/>
        <v>0</v>
      </c>
      <c r="H1759" s="404">
        <f t="shared" si="681"/>
        <v>0</v>
      </c>
      <c r="I1759" s="103">
        <f>SUM(F1759:H1759)</f>
        <v>-218178750</v>
      </c>
      <c r="J1759" s="404">
        <f t="shared" si="682"/>
        <v>0</v>
      </c>
      <c r="K1759" s="404">
        <f t="shared" si="682"/>
        <v>0</v>
      </c>
      <c r="L1759" s="404">
        <f t="shared" si="682"/>
        <v>0</v>
      </c>
      <c r="M1759" s="103">
        <f>SUM(J1759:L1759)</f>
        <v>0</v>
      </c>
      <c r="N1759" s="103">
        <f t="shared" si="650"/>
        <v>-218178750</v>
      </c>
      <c r="O1759" s="103">
        <f t="shared" si="650"/>
        <v>0</v>
      </c>
      <c r="P1759" s="103">
        <f t="shared" si="650"/>
        <v>0</v>
      </c>
      <c r="Q1759" s="103">
        <f t="shared" si="651"/>
        <v>-218178750</v>
      </c>
      <c r="R1759" s="276"/>
      <c r="S1759" s="730">
        <f t="shared" si="674"/>
        <v>0</v>
      </c>
      <c r="T1759" s="730" t="str">
        <f t="shared" si="674"/>
        <v/>
      </c>
      <c r="U1759" s="730" t="str">
        <f t="shared" si="674"/>
        <v/>
      </c>
      <c r="V1759" s="730">
        <f t="shared" si="673"/>
        <v>0</v>
      </c>
      <c r="W1759" s="254"/>
    </row>
    <row r="1760" spans="1:26" s="272" customFormat="1" ht="12" customHeight="1">
      <c r="A1760" s="246" t="s">
        <v>273</v>
      </c>
      <c r="B1760" s="246" t="s">
        <v>863</v>
      </c>
      <c r="C1760" s="707"/>
      <c r="D1760" s="707" t="s">
        <v>770</v>
      </c>
      <c r="E1760" s="707" t="s">
        <v>770</v>
      </c>
      <c r="F1760" s="428">
        <f>SUM(F1758:F1759)</f>
        <v>16160875</v>
      </c>
      <c r="G1760" s="428">
        <f t="shared" ref="G1760:Q1760" si="683">SUM(G1758:G1759)</f>
        <v>0</v>
      </c>
      <c r="H1760" s="428">
        <f t="shared" si="683"/>
        <v>0</v>
      </c>
      <c r="I1760" s="428">
        <f t="shared" si="683"/>
        <v>16160875</v>
      </c>
      <c r="J1760" s="428">
        <f t="shared" si="683"/>
        <v>9123428.8700000048</v>
      </c>
      <c r="K1760" s="428">
        <f t="shared" si="683"/>
        <v>0</v>
      </c>
      <c r="L1760" s="428">
        <f t="shared" si="683"/>
        <v>0</v>
      </c>
      <c r="M1760" s="428">
        <f t="shared" si="683"/>
        <v>9123428.8700000048</v>
      </c>
      <c r="N1760" s="428">
        <f t="shared" si="683"/>
        <v>7037446.1299999952</v>
      </c>
      <c r="O1760" s="428">
        <f t="shared" si="683"/>
        <v>0</v>
      </c>
      <c r="P1760" s="428">
        <f t="shared" si="683"/>
        <v>0</v>
      </c>
      <c r="Q1760" s="428">
        <f t="shared" si="683"/>
        <v>7037446.1299999952</v>
      </c>
      <c r="R1760" s="102"/>
      <c r="S1760" s="297">
        <f t="shared" si="674"/>
        <v>0.56453805069341878</v>
      </c>
      <c r="T1760" s="297" t="str">
        <f t="shared" si="674"/>
        <v/>
      </c>
      <c r="U1760" s="297" t="str">
        <f t="shared" si="674"/>
        <v/>
      </c>
      <c r="V1760" s="297">
        <f t="shared" si="673"/>
        <v>0.56453805069341878</v>
      </c>
      <c r="W1760" s="297"/>
      <c r="X1760" s="527"/>
      <c r="Y1760" s="629" t="s">
        <v>598</v>
      </c>
      <c r="Z1760" s="261"/>
    </row>
    <row r="1761" spans="1:26" ht="12" customHeight="1">
      <c r="A1761" s="246" t="s">
        <v>273</v>
      </c>
      <c r="B1761" s="235" t="s">
        <v>863</v>
      </c>
      <c r="C1761" s="709"/>
      <c r="D1761" s="708"/>
      <c r="E1761" s="709"/>
      <c r="F1761" s="404"/>
      <c r="G1761" s="404"/>
      <c r="H1761" s="404"/>
      <c r="I1761" s="103"/>
      <c r="J1761" s="404"/>
      <c r="K1761" s="404"/>
      <c r="L1761" s="404"/>
      <c r="M1761" s="103"/>
      <c r="N1761" s="103">
        <f t="shared" si="650"/>
        <v>0</v>
      </c>
      <c r="O1761" s="103">
        <f t="shared" si="650"/>
        <v>0</v>
      </c>
      <c r="P1761" s="103">
        <f t="shared" si="650"/>
        <v>0</v>
      </c>
      <c r="Q1761" s="103">
        <f t="shared" si="651"/>
        <v>0</v>
      </c>
      <c r="S1761" s="730" t="str">
        <f t="shared" si="674"/>
        <v/>
      </c>
      <c r="T1761" s="730" t="str">
        <f t="shared" si="674"/>
        <v/>
      </c>
      <c r="U1761" s="730" t="str">
        <f t="shared" si="674"/>
        <v/>
      </c>
      <c r="V1761" s="730" t="str">
        <f t="shared" si="673"/>
        <v/>
      </c>
      <c r="W1761" s="268"/>
      <c r="Y1761" s="610" t="s">
        <v>598</v>
      </c>
      <c r="Z1761" s="241" t="s">
        <v>598</v>
      </c>
    </row>
    <row r="1762" spans="1:26" s="158" customFormat="1" ht="13.5" customHeight="1">
      <c r="A1762" s="278" t="s">
        <v>273</v>
      </c>
      <c r="B1762" s="278" t="s">
        <v>863</v>
      </c>
      <c r="C1762" s="1419" t="s">
        <v>862</v>
      </c>
      <c r="D1762" s="1420"/>
      <c r="E1762" s="1421"/>
      <c r="F1762" s="710">
        <f>+F1763+F1766</f>
        <v>18771677</v>
      </c>
      <c r="G1762" s="710">
        <f t="shared" ref="G1762:Q1762" si="684">+G1763+G1766</f>
        <v>0</v>
      </c>
      <c r="H1762" s="710">
        <f t="shared" si="684"/>
        <v>0</v>
      </c>
      <c r="I1762" s="710">
        <f t="shared" si="684"/>
        <v>18771677</v>
      </c>
      <c r="J1762" s="710">
        <f t="shared" si="684"/>
        <v>17216367.09</v>
      </c>
      <c r="K1762" s="710">
        <f t="shared" si="684"/>
        <v>0</v>
      </c>
      <c r="L1762" s="710">
        <f t="shared" si="684"/>
        <v>0</v>
      </c>
      <c r="M1762" s="710">
        <f t="shared" si="684"/>
        <v>17216367.09</v>
      </c>
      <c r="N1762" s="710">
        <f t="shared" si="684"/>
        <v>1555309.9100000001</v>
      </c>
      <c r="O1762" s="710">
        <f t="shared" si="684"/>
        <v>0</v>
      </c>
      <c r="P1762" s="710">
        <f t="shared" si="684"/>
        <v>0</v>
      </c>
      <c r="Q1762" s="710">
        <f t="shared" si="684"/>
        <v>1555309.9100000001</v>
      </c>
      <c r="R1762" s="680"/>
      <c r="S1762" s="298">
        <f t="shared" si="674"/>
        <v>0.9171459262803211</v>
      </c>
      <c r="T1762" s="298" t="str">
        <f t="shared" si="674"/>
        <v/>
      </c>
      <c r="U1762" s="298" t="str">
        <f t="shared" si="674"/>
        <v/>
      </c>
      <c r="V1762" s="298">
        <f t="shared" si="673"/>
        <v>0.9171459262803211</v>
      </c>
      <c r="W1762" s="298"/>
      <c r="X1762" s="247"/>
      <c r="Y1762" s="629" t="s">
        <v>598</v>
      </c>
      <c r="Z1762" s="261" t="s">
        <v>598</v>
      </c>
    </row>
    <row r="1763" spans="1:26" s="706" customFormat="1" ht="12" customHeight="1">
      <c r="A1763" s="701" t="s">
        <v>273</v>
      </c>
      <c r="B1763" s="701" t="s">
        <v>863</v>
      </c>
      <c r="C1763" s="702"/>
      <c r="D1763" s="702" t="s">
        <v>98</v>
      </c>
      <c r="E1763" s="703" t="s">
        <v>99</v>
      </c>
      <c r="F1763" s="711">
        <f>+F1764</f>
        <v>11441000</v>
      </c>
      <c r="G1763" s="711">
        <f t="shared" ref="G1763:M1763" si="685">+G1764</f>
        <v>0</v>
      </c>
      <c r="H1763" s="711">
        <f t="shared" si="685"/>
        <v>0</v>
      </c>
      <c r="I1763" s="711">
        <f t="shared" si="685"/>
        <v>11441000</v>
      </c>
      <c r="J1763" s="711">
        <f t="shared" si="685"/>
        <v>10341633.34</v>
      </c>
      <c r="K1763" s="711">
        <f t="shared" si="685"/>
        <v>0</v>
      </c>
      <c r="L1763" s="711">
        <f t="shared" si="685"/>
        <v>0</v>
      </c>
      <c r="M1763" s="711">
        <f t="shared" si="685"/>
        <v>10341633.34</v>
      </c>
      <c r="N1763" s="711">
        <f t="shared" si="650"/>
        <v>1099366.6600000001</v>
      </c>
      <c r="O1763" s="711">
        <f t="shared" si="650"/>
        <v>0</v>
      </c>
      <c r="P1763" s="711">
        <f t="shared" si="650"/>
        <v>0</v>
      </c>
      <c r="Q1763" s="711">
        <f t="shared" si="651"/>
        <v>1099366.6600000001</v>
      </c>
      <c r="R1763" s="705"/>
      <c r="S1763" s="299">
        <f t="shared" si="674"/>
        <v>0.90390991521720132</v>
      </c>
      <c r="T1763" s="299" t="str">
        <f t="shared" si="674"/>
        <v/>
      </c>
      <c r="U1763" s="299" t="str">
        <f t="shared" si="674"/>
        <v/>
      </c>
      <c r="V1763" s="299">
        <f t="shared" si="673"/>
        <v>0.90390991521720132</v>
      </c>
      <c r="W1763" s="299"/>
      <c r="X1763" s="271"/>
      <c r="Y1763" s="628" t="s">
        <v>598</v>
      </c>
      <c r="Z1763" s="255" t="s">
        <v>598</v>
      </c>
    </row>
    <row r="1764" spans="1:26" ht="12" customHeight="1">
      <c r="A1764" s="246" t="s">
        <v>273</v>
      </c>
      <c r="B1764" s="235" t="s">
        <v>863</v>
      </c>
      <c r="C1764" s="728"/>
      <c r="D1764" s="394" t="s">
        <v>286</v>
      </c>
      <c r="E1764" s="729" t="s">
        <v>286</v>
      </c>
      <c r="F1764" s="104">
        <f>+F1636+F1651+F1664</f>
        <v>11441000</v>
      </c>
      <c r="G1764" s="104">
        <f>+G1636+G1651+G1664</f>
        <v>0</v>
      </c>
      <c r="H1764" s="104">
        <f>+H1636+H1651+H1664</f>
        <v>0</v>
      </c>
      <c r="I1764" s="103">
        <f>SUM(F1764:H1764)</f>
        <v>11441000</v>
      </c>
      <c r="J1764" s="104">
        <f>+J1636+J1651+J1664</f>
        <v>10341633.34</v>
      </c>
      <c r="K1764" s="104">
        <f>+K1636+K1651+K1664</f>
        <v>0</v>
      </c>
      <c r="L1764" s="104">
        <f>+L1636+L1651+L1664</f>
        <v>0</v>
      </c>
      <c r="M1764" s="103">
        <f>SUM(J1764:L1764)</f>
        <v>10341633.34</v>
      </c>
      <c r="N1764" s="103">
        <f t="shared" si="650"/>
        <v>1099366.6600000001</v>
      </c>
      <c r="O1764" s="103">
        <f t="shared" si="650"/>
        <v>0</v>
      </c>
      <c r="P1764" s="103">
        <f t="shared" si="650"/>
        <v>0</v>
      </c>
      <c r="Q1764" s="103">
        <f t="shared" si="651"/>
        <v>1099366.6600000001</v>
      </c>
      <c r="S1764" s="730">
        <f t="shared" si="674"/>
        <v>0.90390991521720132</v>
      </c>
      <c r="T1764" s="730" t="str">
        <f t="shared" si="674"/>
        <v/>
      </c>
      <c r="U1764" s="730" t="str">
        <f t="shared" si="674"/>
        <v/>
      </c>
      <c r="V1764" s="730">
        <f t="shared" si="673"/>
        <v>0.90390991521720132</v>
      </c>
      <c r="W1764" s="254"/>
      <c r="Y1764" s="610" t="s">
        <v>598</v>
      </c>
    </row>
    <row r="1765" spans="1:26" ht="12" hidden="1" customHeight="1">
      <c r="A1765" s="246"/>
      <c r="B1765" s="235"/>
      <c r="C1765" s="410"/>
      <c r="D1765" s="396"/>
      <c r="E1765" s="729"/>
      <c r="F1765" s="104"/>
      <c r="G1765" s="104"/>
      <c r="H1765" s="104"/>
      <c r="I1765" s="103"/>
      <c r="J1765" s="104"/>
      <c r="K1765" s="104"/>
      <c r="L1765" s="104"/>
      <c r="M1765" s="103"/>
      <c r="N1765" s="103"/>
      <c r="O1765" s="103"/>
      <c r="P1765" s="103"/>
      <c r="Q1765" s="103"/>
      <c r="R1765" s="236"/>
      <c r="S1765" s="730" t="str">
        <f t="shared" si="674"/>
        <v/>
      </c>
      <c r="T1765" s="730" t="str">
        <f t="shared" si="674"/>
        <v/>
      </c>
      <c r="U1765" s="730" t="str">
        <f t="shared" si="674"/>
        <v/>
      </c>
      <c r="V1765" s="730" t="str">
        <f t="shared" si="673"/>
        <v/>
      </c>
      <c r="W1765" s="254"/>
    </row>
    <row r="1766" spans="1:26" s="713" customFormat="1" ht="12" customHeight="1">
      <c r="A1766" s="701" t="s">
        <v>273</v>
      </c>
      <c r="B1766" s="701" t="s">
        <v>863</v>
      </c>
      <c r="C1766" s="702"/>
      <c r="D1766" s="702" t="s">
        <v>98</v>
      </c>
      <c r="E1766" s="703" t="s">
        <v>100</v>
      </c>
      <c r="F1766" s="711">
        <f>+F1769+F1771+F1772</f>
        <v>7330677</v>
      </c>
      <c r="G1766" s="711">
        <f t="shared" ref="G1766:Q1766" si="686">+G1769+G1771+G1772</f>
        <v>0</v>
      </c>
      <c r="H1766" s="711">
        <f t="shared" si="686"/>
        <v>0</v>
      </c>
      <c r="I1766" s="711">
        <f t="shared" si="686"/>
        <v>7330677</v>
      </c>
      <c r="J1766" s="711">
        <f t="shared" si="686"/>
        <v>6874733.75</v>
      </c>
      <c r="K1766" s="711">
        <f t="shared" si="686"/>
        <v>0</v>
      </c>
      <c r="L1766" s="711">
        <f t="shared" si="686"/>
        <v>0</v>
      </c>
      <c r="M1766" s="711">
        <f t="shared" si="686"/>
        <v>6874733.75</v>
      </c>
      <c r="N1766" s="711">
        <f t="shared" si="686"/>
        <v>455943.25</v>
      </c>
      <c r="O1766" s="711">
        <f t="shared" si="686"/>
        <v>0</v>
      </c>
      <c r="P1766" s="711">
        <f t="shared" si="686"/>
        <v>0</v>
      </c>
      <c r="Q1766" s="711">
        <f t="shared" si="686"/>
        <v>455943.25</v>
      </c>
      <c r="R1766" s="712"/>
      <c r="S1766" s="299">
        <f t="shared" si="674"/>
        <v>0.93780339114654754</v>
      </c>
      <c r="T1766" s="299" t="str">
        <f t="shared" si="674"/>
        <v/>
      </c>
      <c r="U1766" s="299" t="str">
        <f t="shared" si="674"/>
        <v/>
      </c>
      <c r="V1766" s="299">
        <f t="shared" si="673"/>
        <v>0.93780339114654754</v>
      </c>
      <c r="W1766" s="299"/>
      <c r="X1766" s="527"/>
      <c r="Y1766" s="629" t="s">
        <v>598</v>
      </c>
      <c r="Z1766" s="255" t="s">
        <v>598</v>
      </c>
    </row>
    <row r="1767" spans="1:26" ht="12" customHeight="1">
      <c r="A1767" s="246" t="s">
        <v>273</v>
      </c>
      <c r="B1767" s="235" t="s">
        <v>863</v>
      </c>
      <c r="C1767" s="728"/>
      <c r="D1767" s="394" t="s">
        <v>288</v>
      </c>
      <c r="E1767" s="729" t="s">
        <v>288</v>
      </c>
      <c r="F1767" s="104">
        <f>+F1638+F1653+F1666</f>
        <v>0</v>
      </c>
      <c r="G1767" s="104">
        <f>+G1638+G1653+G1666</f>
        <v>0</v>
      </c>
      <c r="H1767" s="104">
        <f>+H1638+H1653+H1666</f>
        <v>0</v>
      </c>
      <c r="I1767" s="103">
        <f>SUM(F1767:H1767)</f>
        <v>0</v>
      </c>
      <c r="J1767" s="104">
        <f>+J1638+J1653+J1666</f>
        <v>0</v>
      </c>
      <c r="K1767" s="104">
        <f>+K1638+K1653+K1666</f>
        <v>0</v>
      </c>
      <c r="L1767" s="104">
        <f>+L1638+L1653+L1666</f>
        <v>0</v>
      </c>
      <c r="M1767" s="103">
        <f>SUM(J1767:L1767)</f>
        <v>0</v>
      </c>
      <c r="N1767" s="103">
        <f t="shared" si="650"/>
        <v>0</v>
      </c>
      <c r="O1767" s="103">
        <f t="shared" si="650"/>
        <v>0</v>
      </c>
      <c r="P1767" s="103">
        <f t="shared" si="650"/>
        <v>0</v>
      </c>
      <c r="Q1767" s="103">
        <f t="shared" si="651"/>
        <v>0</v>
      </c>
      <c r="S1767" s="730" t="str">
        <f t="shared" si="674"/>
        <v/>
      </c>
      <c r="T1767" s="730" t="str">
        <f t="shared" si="674"/>
        <v/>
      </c>
      <c r="U1767" s="730" t="str">
        <f t="shared" si="674"/>
        <v/>
      </c>
      <c r="V1767" s="730" t="str">
        <f t="shared" si="673"/>
        <v/>
      </c>
      <c r="W1767" s="254"/>
      <c r="Y1767" s="610" t="s">
        <v>598</v>
      </c>
    </row>
    <row r="1768" spans="1:26" ht="12" customHeight="1">
      <c r="A1768" s="246" t="s">
        <v>273</v>
      </c>
      <c r="B1768" s="235" t="s">
        <v>863</v>
      </c>
      <c r="C1768" s="728"/>
      <c r="D1768" s="394" t="s">
        <v>761</v>
      </c>
      <c r="E1768" s="729" t="s">
        <v>761</v>
      </c>
      <c r="F1768" s="104">
        <f>+F1680</f>
        <v>3517000</v>
      </c>
      <c r="G1768" s="104">
        <f>+G1680</f>
        <v>0</v>
      </c>
      <c r="H1768" s="104">
        <f>+H1680</f>
        <v>0</v>
      </c>
      <c r="I1768" s="103">
        <f>SUM(F1768:H1768)</f>
        <v>3517000</v>
      </c>
      <c r="J1768" s="104">
        <f>+J1680</f>
        <v>3415842</v>
      </c>
      <c r="K1768" s="104">
        <f>+K1680</f>
        <v>0</v>
      </c>
      <c r="L1768" s="104">
        <f>+L1680</f>
        <v>0</v>
      </c>
      <c r="M1768" s="103">
        <f>SUM(J1768:L1768)</f>
        <v>3415842</v>
      </c>
      <c r="N1768" s="103">
        <f>+F1768-J1768</f>
        <v>101158</v>
      </c>
      <c r="O1768" s="103">
        <f>+G1768-K1768</f>
        <v>0</v>
      </c>
      <c r="P1768" s="103">
        <f>+H1768-L1768</f>
        <v>0</v>
      </c>
      <c r="Q1768" s="103">
        <f>SUM(N1768:P1768)</f>
        <v>101158</v>
      </c>
      <c r="S1768" s="730">
        <f t="shared" si="674"/>
        <v>0.97123741825419396</v>
      </c>
      <c r="T1768" s="730" t="str">
        <f t="shared" si="674"/>
        <v/>
      </c>
      <c r="U1768" s="730" t="str">
        <f t="shared" si="674"/>
        <v/>
      </c>
      <c r="V1768" s="730">
        <f t="shared" si="673"/>
        <v>0.97123741825419396</v>
      </c>
      <c r="W1768" s="254"/>
      <c r="Y1768" s="610" t="s">
        <v>598</v>
      </c>
    </row>
    <row r="1769" spans="1:26" s="272" customFormat="1" ht="12" customHeight="1">
      <c r="A1769" s="246" t="s">
        <v>273</v>
      </c>
      <c r="B1769" s="246" t="s">
        <v>863</v>
      </c>
      <c r="C1769" s="707"/>
      <c r="D1769" s="707" t="s">
        <v>770</v>
      </c>
      <c r="E1769" s="707" t="s">
        <v>770</v>
      </c>
      <c r="F1769" s="428">
        <f>SUM(F1767:F1768)</f>
        <v>3517000</v>
      </c>
      <c r="G1769" s="428">
        <f t="shared" ref="G1769:Q1769" si="687">SUM(G1767:G1768)</f>
        <v>0</v>
      </c>
      <c r="H1769" s="428">
        <f t="shared" si="687"/>
        <v>0</v>
      </c>
      <c r="I1769" s="428">
        <f t="shared" si="687"/>
        <v>3517000</v>
      </c>
      <c r="J1769" s="428">
        <f t="shared" si="687"/>
        <v>3415842</v>
      </c>
      <c r="K1769" s="428">
        <f t="shared" si="687"/>
        <v>0</v>
      </c>
      <c r="L1769" s="428">
        <f t="shared" si="687"/>
        <v>0</v>
      </c>
      <c r="M1769" s="428">
        <f t="shared" si="687"/>
        <v>3415842</v>
      </c>
      <c r="N1769" s="428">
        <f t="shared" si="687"/>
        <v>101158</v>
      </c>
      <c r="O1769" s="428">
        <f t="shared" si="687"/>
        <v>0</v>
      </c>
      <c r="P1769" s="428">
        <f t="shared" si="687"/>
        <v>0</v>
      </c>
      <c r="Q1769" s="428">
        <f t="shared" si="687"/>
        <v>101158</v>
      </c>
      <c r="R1769" s="102"/>
      <c r="S1769" s="297">
        <f t="shared" si="674"/>
        <v>0.97123741825419396</v>
      </c>
      <c r="T1769" s="297" t="str">
        <f t="shared" si="674"/>
        <v/>
      </c>
      <c r="U1769" s="297" t="str">
        <f t="shared" si="674"/>
        <v/>
      </c>
      <c r="V1769" s="297">
        <f t="shared" si="673"/>
        <v>0.97123741825419396</v>
      </c>
      <c r="W1769" s="297"/>
      <c r="X1769" s="527"/>
      <c r="Y1769" s="629" t="s">
        <v>598</v>
      </c>
      <c r="Z1769" s="261"/>
    </row>
    <row r="1770" spans="1:26" ht="12" customHeight="1">
      <c r="A1770" s="246" t="s">
        <v>273</v>
      </c>
      <c r="B1770" s="235" t="s">
        <v>863</v>
      </c>
      <c r="C1770" s="411"/>
      <c r="D1770" s="386"/>
      <c r="E1770" s="728"/>
      <c r="F1770" s="104"/>
      <c r="G1770" s="104"/>
      <c r="H1770" s="104"/>
      <c r="I1770" s="103"/>
      <c r="J1770" s="104"/>
      <c r="K1770" s="104"/>
      <c r="L1770" s="104"/>
      <c r="M1770" s="103"/>
      <c r="N1770" s="103"/>
      <c r="O1770" s="103"/>
      <c r="P1770" s="103"/>
      <c r="Q1770" s="103"/>
      <c r="S1770" s="730" t="str">
        <f t="shared" si="674"/>
        <v/>
      </c>
      <c r="T1770" s="730" t="str">
        <f t="shared" si="674"/>
        <v/>
      </c>
      <c r="U1770" s="730" t="str">
        <f t="shared" si="674"/>
        <v/>
      </c>
      <c r="V1770" s="730" t="str">
        <f t="shared" si="673"/>
        <v/>
      </c>
      <c r="W1770" s="254"/>
      <c r="Y1770" s="610" t="s">
        <v>598</v>
      </c>
      <c r="Z1770" s="241"/>
    </row>
    <row r="1771" spans="1:26" ht="12" customHeight="1">
      <c r="A1771" s="246" t="s">
        <v>273</v>
      </c>
      <c r="B1771" s="235" t="s">
        <v>863</v>
      </c>
      <c r="C1771" s="728"/>
      <c r="D1771" s="394" t="s">
        <v>289</v>
      </c>
      <c r="E1771" s="729" t="s">
        <v>289</v>
      </c>
      <c r="F1771" s="104">
        <f t="shared" ref="F1771:H1772" si="688">+F1641+F1654+F1667</f>
        <v>3813677</v>
      </c>
      <c r="G1771" s="104">
        <f t="shared" si="688"/>
        <v>0</v>
      </c>
      <c r="H1771" s="104">
        <f t="shared" si="688"/>
        <v>0</v>
      </c>
      <c r="I1771" s="103">
        <f>SUM(F1771:H1771)</f>
        <v>3813677</v>
      </c>
      <c r="J1771" s="104">
        <f t="shared" ref="J1771:L1772" si="689">+J1641+J1654+J1667</f>
        <v>3458891.75</v>
      </c>
      <c r="K1771" s="104">
        <f t="shared" si="689"/>
        <v>0</v>
      </c>
      <c r="L1771" s="104">
        <f t="shared" si="689"/>
        <v>0</v>
      </c>
      <c r="M1771" s="103">
        <f>SUM(J1771:L1771)</f>
        <v>3458891.75</v>
      </c>
      <c r="N1771" s="103">
        <f t="shared" si="650"/>
        <v>354785.25</v>
      </c>
      <c r="O1771" s="103">
        <f t="shared" si="650"/>
        <v>0</v>
      </c>
      <c r="P1771" s="103">
        <f t="shared" si="650"/>
        <v>0</v>
      </c>
      <c r="Q1771" s="103">
        <f t="shared" si="651"/>
        <v>354785.25</v>
      </c>
      <c r="S1771" s="730">
        <f t="shared" si="674"/>
        <v>0.90697029402332707</v>
      </c>
      <c r="T1771" s="730" t="str">
        <f t="shared" si="674"/>
        <v/>
      </c>
      <c r="U1771" s="730" t="str">
        <f t="shared" si="674"/>
        <v/>
      </c>
      <c r="V1771" s="730">
        <f t="shared" si="673"/>
        <v>0.90697029402332707</v>
      </c>
      <c r="W1771" s="254"/>
      <c r="Y1771" s="610" t="s">
        <v>598</v>
      </c>
    </row>
    <row r="1772" spans="1:26" ht="12" customHeight="1">
      <c r="A1772" s="246" t="s">
        <v>273</v>
      </c>
      <c r="B1772" s="235" t="s">
        <v>863</v>
      </c>
      <c r="C1772" s="728"/>
      <c r="D1772" s="394" t="s">
        <v>290</v>
      </c>
      <c r="E1772" s="729" t="s">
        <v>290</v>
      </c>
      <c r="F1772" s="104">
        <f t="shared" si="688"/>
        <v>0</v>
      </c>
      <c r="G1772" s="104">
        <f t="shared" si="688"/>
        <v>0</v>
      </c>
      <c r="H1772" s="104">
        <f t="shared" si="688"/>
        <v>0</v>
      </c>
      <c r="I1772" s="103">
        <f>SUM(F1772:H1772)</f>
        <v>0</v>
      </c>
      <c r="J1772" s="104">
        <f t="shared" si="689"/>
        <v>0</v>
      </c>
      <c r="K1772" s="104">
        <f t="shared" si="689"/>
        <v>0</v>
      </c>
      <c r="L1772" s="104">
        <f t="shared" si="689"/>
        <v>0</v>
      </c>
      <c r="M1772" s="103">
        <f>SUM(J1772:L1772)</f>
        <v>0</v>
      </c>
      <c r="N1772" s="103">
        <f t="shared" si="650"/>
        <v>0</v>
      </c>
      <c r="O1772" s="103">
        <f t="shared" si="650"/>
        <v>0</v>
      </c>
      <c r="P1772" s="103">
        <f t="shared" si="650"/>
        <v>0</v>
      </c>
      <c r="Q1772" s="103">
        <f t="shared" si="651"/>
        <v>0</v>
      </c>
      <c r="S1772" s="730" t="str">
        <f t="shared" si="674"/>
        <v/>
      </c>
      <c r="T1772" s="730" t="str">
        <f t="shared" si="674"/>
        <v/>
      </c>
      <c r="U1772" s="730" t="str">
        <f t="shared" si="674"/>
        <v/>
      </c>
      <c r="V1772" s="730" t="str">
        <f t="shared" si="673"/>
        <v/>
      </c>
      <c r="W1772" s="254"/>
      <c r="Y1772" s="610" t="s">
        <v>598</v>
      </c>
    </row>
    <row r="1773" spans="1:26" ht="12" customHeight="1">
      <c r="A1773" s="246" t="s">
        <v>273</v>
      </c>
      <c r="B1773" s="235" t="s">
        <v>863</v>
      </c>
      <c r="C1773" s="709"/>
      <c r="D1773" s="714"/>
      <c r="E1773" s="726"/>
      <c r="F1773" s="104"/>
      <c r="G1773" s="104"/>
      <c r="H1773" s="104"/>
      <c r="I1773" s="103">
        <f>SUM(F1773:H1773)</f>
        <v>0</v>
      </c>
      <c r="J1773" s="104"/>
      <c r="K1773" s="104"/>
      <c r="L1773" s="104"/>
      <c r="M1773" s="103">
        <f>SUM(J1773:L1773)</f>
        <v>0</v>
      </c>
      <c r="N1773" s="103">
        <f t="shared" si="650"/>
        <v>0</v>
      </c>
      <c r="O1773" s="103">
        <f t="shared" si="650"/>
        <v>0</v>
      </c>
      <c r="P1773" s="103">
        <f t="shared" si="650"/>
        <v>0</v>
      </c>
      <c r="Q1773" s="103">
        <f t="shared" si="651"/>
        <v>0</v>
      </c>
      <c r="S1773" s="730" t="str">
        <f t="shared" si="674"/>
        <v/>
      </c>
      <c r="T1773" s="730" t="str">
        <f t="shared" si="674"/>
        <v/>
      </c>
      <c r="U1773" s="730" t="str">
        <f t="shared" si="674"/>
        <v/>
      </c>
      <c r="V1773" s="730" t="str">
        <f t="shared" si="673"/>
        <v/>
      </c>
      <c r="W1773" s="254"/>
      <c r="Y1773" s="610" t="s">
        <v>598</v>
      </c>
      <c r="Z1773" s="241" t="s">
        <v>598</v>
      </c>
    </row>
    <row r="1774" spans="1:26" s="158" customFormat="1" ht="12" customHeight="1">
      <c r="A1774" s="278" t="s">
        <v>273</v>
      </c>
      <c r="B1774" s="278" t="s">
        <v>863</v>
      </c>
      <c r="C1774" s="1419" t="s">
        <v>271</v>
      </c>
      <c r="D1774" s="1420"/>
      <c r="E1774" s="1421"/>
      <c r="F1774" s="710">
        <f>+F1775+F1778</f>
        <v>29823222</v>
      </c>
      <c r="G1774" s="710">
        <f t="shared" ref="G1774:Q1774" si="690">+G1775+G1778</f>
        <v>0</v>
      </c>
      <c r="H1774" s="710">
        <f t="shared" si="690"/>
        <v>0</v>
      </c>
      <c r="I1774" s="710">
        <f t="shared" si="690"/>
        <v>29823222</v>
      </c>
      <c r="J1774" s="710">
        <f t="shared" si="690"/>
        <v>19751702.140000001</v>
      </c>
      <c r="K1774" s="710">
        <f t="shared" si="690"/>
        <v>0</v>
      </c>
      <c r="L1774" s="710">
        <f t="shared" si="690"/>
        <v>0</v>
      </c>
      <c r="M1774" s="710">
        <f t="shared" si="690"/>
        <v>19751702.140000001</v>
      </c>
      <c r="N1774" s="710">
        <f t="shared" si="690"/>
        <v>10071519.859999999</v>
      </c>
      <c r="O1774" s="710">
        <f t="shared" si="690"/>
        <v>0</v>
      </c>
      <c r="P1774" s="710">
        <f t="shared" si="690"/>
        <v>0</v>
      </c>
      <c r="Q1774" s="710">
        <f t="shared" si="690"/>
        <v>10071519.859999999</v>
      </c>
      <c r="R1774" s="680"/>
      <c r="S1774" s="298">
        <f t="shared" si="674"/>
        <v>0.66229269728133333</v>
      </c>
      <c r="T1774" s="298" t="str">
        <f t="shared" si="674"/>
        <v/>
      </c>
      <c r="U1774" s="298" t="str">
        <f t="shared" si="674"/>
        <v/>
      </c>
      <c r="V1774" s="298">
        <f t="shared" si="673"/>
        <v>0.66229269728133333</v>
      </c>
      <c r="W1774" s="298"/>
      <c r="X1774" s="247"/>
      <c r="Y1774" s="629" t="s">
        <v>598</v>
      </c>
      <c r="Z1774" s="261" t="s">
        <v>598</v>
      </c>
    </row>
    <row r="1775" spans="1:26" s="706" customFormat="1" ht="12" customHeight="1">
      <c r="A1775" s="701" t="s">
        <v>273</v>
      </c>
      <c r="B1775" s="701" t="s">
        <v>863</v>
      </c>
      <c r="C1775" s="702"/>
      <c r="D1775" s="702" t="s">
        <v>98</v>
      </c>
      <c r="E1775" s="703" t="s">
        <v>99</v>
      </c>
      <c r="F1775" s="711">
        <f>+F1776</f>
        <v>7309961</v>
      </c>
      <c r="G1775" s="711">
        <f t="shared" ref="G1775:M1775" si="691">+G1776</f>
        <v>0</v>
      </c>
      <c r="H1775" s="711">
        <f t="shared" si="691"/>
        <v>0</v>
      </c>
      <c r="I1775" s="711">
        <f t="shared" si="691"/>
        <v>7309961</v>
      </c>
      <c r="J1775" s="711">
        <f t="shared" si="691"/>
        <v>6302937.4100000001</v>
      </c>
      <c r="K1775" s="711">
        <f t="shared" si="691"/>
        <v>0</v>
      </c>
      <c r="L1775" s="711">
        <f t="shared" si="691"/>
        <v>0</v>
      </c>
      <c r="M1775" s="711">
        <f t="shared" si="691"/>
        <v>6302937.4100000001</v>
      </c>
      <c r="N1775" s="711">
        <f>+F1775-J1775</f>
        <v>1007023.5899999999</v>
      </c>
      <c r="O1775" s="711">
        <f>+G1775-K1775</f>
        <v>0</v>
      </c>
      <c r="P1775" s="711">
        <f>+H1775-L1775</f>
        <v>0</v>
      </c>
      <c r="Q1775" s="711">
        <f>SUM(N1775:P1775)</f>
        <v>1007023.5899999999</v>
      </c>
      <c r="R1775" s="705"/>
      <c r="S1775" s="299">
        <f t="shared" si="674"/>
        <v>0.86223953999207381</v>
      </c>
      <c r="T1775" s="299" t="str">
        <f t="shared" si="674"/>
        <v/>
      </c>
      <c r="U1775" s="299" t="str">
        <f t="shared" si="674"/>
        <v/>
      </c>
      <c r="V1775" s="299">
        <f t="shared" si="673"/>
        <v>0.86223953999207381</v>
      </c>
      <c r="W1775" s="299"/>
      <c r="X1775" s="271"/>
      <c r="Y1775" s="628" t="s">
        <v>598</v>
      </c>
      <c r="Z1775" s="255" t="s">
        <v>598</v>
      </c>
    </row>
    <row r="1776" spans="1:26" ht="12" customHeight="1">
      <c r="A1776" s="246" t="s">
        <v>273</v>
      </c>
      <c r="B1776" s="235" t="s">
        <v>863</v>
      </c>
      <c r="C1776" s="728"/>
      <c r="D1776" s="394" t="s">
        <v>286</v>
      </c>
      <c r="E1776" s="729" t="s">
        <v>286</v>
      </c>
      <c r="F1776" s="104">
        <f>+F1694</f>
        <v>7309961</v>
      </c>
      <c r="G1776" s="104">
        <f>+G1694</f>
        <v>0</v>
      </c>
      <c r="H1776" s="104">
        <f>+H1694</f>
        <v>0</v>
      </c>
      <c r="I1776" s="103">
        <f>SUM(F1776:H1776)</f>
        <v>7309961</v>
      </c>
      <c r="J1776" s="104">
        <f>+J1694</f>
        <v>6302937.4100000001</v>
      </c>
      <c r="K1776" s="104">
        <f>+K1694</f>
        <v>0</v>
      </c>
      <c r="L1776" s="104">
        <f>+L1694</f>
        <v>0</v>
      </c>
      <c r="M1776" s="103">
        <f>SUM(J1776:L1776)</f>
        <v>6302937.4100000001</v>
      </c>
      <c r="N1776" s="103">
        <f t="shared" si="650"/>
        <v>1007023.5899999999</v>
      </c>
      <c r="O1776" s="103">
        <f t="shared" si="650"/>
        <v>0</v>
      </c>
      <c r="P1776" s="103">
        <f t="shared" si="650"/>
        <v>0</v>
      </c>
      <c r="Q1776" s="103">
        <f t="shared" si="651"/>
        <v>1007023.5899999999</v>
      </c>
      <c r="S1776" s="730">
        <f t="shared" si="674"/>
        <v>0.86223953999207381</v>
      </c>
      <c r="T1776" s="730" t="str">
        <f t="shared" si="674"/>
        <v/>
      </c>
      <c r="U1776" s="730" t="str">
        <f t="shared" si="674"/>
        <v/>
      </c>
      <c r="V1776" s="730">
        <f t="shared" si="673"/>
        <v>0.86223953999207381</v>
      </c>
      <c r="W1776" s="254"/>
      <c r="Y1776" s="610" t="s">
        <v>598</v>
      </c>
    </row>
    <row r="1777" spans="1:26" ht="12" hidden="1" customHeight="1">
      <c r="A1777" s="246"/>
      <c r="B1777" s="235"/>
      <c r="C1777" s="728"/>
      <c r="D1777" s="394"/>
      <c r="E1777" s="729"/>
      <c r="F1777" s="104"/>
      <c r="G1777" s="104"/>
      <c r="H1777" s="104"/>
      <c r="I1777" s="103"/>
      <c r="J1777" s="104"/>
      <c r="K1777" s="104"/>
      <c r="L1777" s="104"/>
      <c r="M1777" s="103"/>
      <c r="N1777" s="103"/>
      <c r="O1777" s="103"/>
      <c r="P1777" s="103"/>
      <c r="Q1777" s="103"/>
      <c r="S1777" s="730" t="str">
        <f t="shared" si="674"/>
        <v/>
      </c>
      <c r="T1777" s="730" t="str">
        <f t="shared" si="674"/>
        <v/>
      </c>
      <c r="U1777" s="730" t="str">
        <f t="shared" si="674"/>
        <v/>
      </c>
      <c r="V1777" s="730" t="str">
        <f t="shared" si="673"/>
        <v/>
      </c>
      <c r="W1777" s="254"/>
    </row>
    <row r="1778" spans="1:26" s="713" customFormat="1" ht="12" customHeight="1">
      <c r="A1778" s="701" t="s">
        <v>273</v>
      </c>
      <c r="B1778" s="701" t="s">
        <v>863</v>
      </c>
      <c r="C1778" s="702"/>
      <c r="D1778" s="702" t="s">
        <v>98</v>
      </c>
      <c r="E1778" s="703" t="s">
        <v>100</v>
      </c>
      <c r="F1778" s="711">
        <f>+F1781+F1783+F1784</f>
        <v>22513261</v>
      </c>
      <c r="G1778" s="711">
        <f t="shared" ref="G1778:Q1778" si="692">+G1781+G1783+G1784</f>
        <v>0</v>
      </c>
      <c r="H1778" s="711">
        <f t="shared" si="692"/>
        <v>0</v>
      </c>
      <c r="I1778" s="711">
        <f t="shared" si="692"/>
        <v>22513261</v>
      </c>
      <c r="J1778" s="711">
        <f t="shared" si="692"/>
        <v>13448764.73</v>
      </c>
      <c r="K1778" s="711">
        <f t="shared" si="692"/>
        <v>0</v>
      </c>
      <c r="L1778" s="711">
        <f t="shared" si="692"/>
        <v>0</v>
      </c>
      <c r="M1778" s="711">
        <f t="shared" si="692"/>
        <v>13448764.73</v>
      </c>
      <c r="N1778" s="711">
        <f t="shared" si="692"/>
        <v>9064496.2699999996</v>
      </c>
      <c r="O1778" s="711">
        <f t="shared" si="692"/>
        <v>0</v>
      </c>
      <c r="P1778" s="711">
        <f t="shared" si="692"/>
        <v>0</v>
      </c>
      <c r="Q1778" s="711">
        <f t="shared" si="692"/>
        <v>9064496.2699999996</v>
      </c>
      <c r="R1778" s="712"/>
      <c r="S1778" s="299">
        <f t="shared" si="674"/>
        <v>0.59737079981438501</v>
      </c>
      <c r="T1778" s="299" t="str">
        <f t="shared" si="674"/>
        <v/>
      </c>
      <c r="U1778" s="299" t="str">
        <f t="shared" si="674"/>
        <v/>
      </c>
      <c r="V1778" s="299">
        <f t="shared" si="673"/>
        <v>0.59737079981438501</v>
      </c>
      <c r="W1778" s="299"/>
      <c r="X1778" s="527"/>
      <c r="Y1778" s="629" t="s">
        <v>598</v>
      </c>
      <c r="Z1778" s="255" t="s">
        <v>598</v>
      </c>
    </row>
    <row r="1779" spans="1:26" ht="12" customHeight="1">
      <c r="A1779" s="246" t="s">
        <v>273</v>
      </c>
      <c r="B1779" s="235" t="s">
        <v>863</v>
      </c>
      <c r="C1779" s="728"/>
      <c r="D1779" s="394" t="s">
        <v>288</v>
      </c>
      <c r="E1779" s="729" t="s">
        <v>288</v>
      </c>
      <c r="F1779" s="104">
        <f t="shared" ref="F1779:H1780" si="693">+F1696</f>
        <v>8632598</v>
      </c>
      <c r="G1779" s="104">
        <f t="shared" si="693"/>
        <v>0</v>
      </c>
      <c r="H1779" s="104">
        <f t="shared" si="693"/>
        <v>0</v>
      </c>
      <c r="I1779" s="103">
        <f>SUM(F1779:H1779)</f>
        <v>8632598</v>
      </c>
      <c r="J1779" s="104">
        <f t="shared" ref="J1779:L1780" si="694">+J1696</f>
        <v>8632598</v>
      </c>
      <c r="K1779" s="104">
        <f t="shared" si="694"/>
        <v>0</v>
      </c>
      <c r="L1779" s="104">
        <f t="shared" si="694"/>
        <v>0</v>
      </c>
      <c r="M1779" s="103">
        <f>SUM(J1779:L1779)</f>
        <v>8632598</v>
      </c>
      <c r="N1779" s="103">
        <f t="shared" si="650"/>
        <v>0</v>
      </c>
      <c r="O1779" s="103">
        <f t="shared" si="650"/>
        <v>0</v>
      </c>
      <c r="P1779" s="103">
        <f t="shared" si="650"/>
        <v>0</v>
      </c>
      <c r="Q1779" s="103">
        <f t="shared" si="651"/>
        <v>0</v>
      </c>
      <c r="S1779" s="730">
        <f t="shared" si="674"/>
        <v>1</v>
      </c>
      <c r="T1779" s="730" t="str">
        <f t="shared" si="674"/>
        <v/>
      </c>
      <c r="U1779" s="730" t="str">
        <f t="shared" si="674"/>
        <v/>
      </c>
      <c r="V1779" s="730">
        <f t="shared" si="673"/>
        <v>1</v>
      </c>
      <c r="W1779" s="254"/>
      <c r="Y1779" s="610" t="s">
        <v>598</v>
      </c>
    </row>
    <row r="1780" spans="1:26" ht="12" customHeight="1">
      <c r="A1780" s="246" t="s">
        <v>273</v>
      </c>
      <c r="B1780" s="235" t="s">
        <v>863</v>
      </c>
      <c r="C1780" s="728"/>
      <c r="D1780" s="394" t="s">
        <v>761</v>
      </c>
      <c r="E1780" s="729" t="s">
        <v>761</v>
      </c>
      <c r="F1780" s="104">
        <f t="shared" si="693"/>
        <v>1655000</v>
      </c>
      <c r="G1780" s="104">
        <f t="shared" si="693"/>
        <v>0</v>
      </c>
      <c r="H1780" s="104">
        <f t="shared" si="693"/>
        <v>0</v>
      </c>
      <c r="I1780" s="103">
        <f>SUM(F1780:H1780)</f>
        <v>1655000</v>
      </c>
      <c r="J1780" s="104">
        <f t="shared" si="694"/>
        <v>1647707.24</v>
      </c>
      <c r="K1780" s="104">
        <f t="shared" si="694"/>
        <v>0</v>
      </c>
      <c r="L1780" s="104">
        <f t="shared" si="694"/>
        <v>0</v>
      </c>
      <c r="M1780" s="103">
        <f>SUM(J1780:L1780)</f>
        <v>1647707.24</v>
      </c>
      <c r="N1780" s="103">
        <f t="shared" si="650"/>
        <v>7292.7600000000093</v>
      </c>
      <c r="O1780" s="103">
        <f t="shared" si="650"/>
        <v>0</v>
      </c>
      <c r="P1780" s="103">
        <f t="shared" si="650"/>
        <v>0</v>
      </c>
      <c r="Q1780" s="103">
        <f t="shared" si="651"/>
        <v>7292.7600000000093</v>
      </c>
      <c r="S1780" s="730">
        <f t="shared" si="674"/>
        <v>0.99559349848942602</v>
      </c>
      <c r="T1780" s="730" t="str">
        <f t="shared" si="674"/>
        <v/>
      </c>
      <c r="U1780" s="730" t="str">
        <f t="shared" si="674"/>
        <v/>
      </c>
      <c r="V1780" s="730">
        <f t="shared" si="673"/>
        <v>0.99559349848942602</v>
      </c>
      <c r="W1780" s="254"/>
      <c r="Y1780" s="610" t="s">
        <v>598</v>
      </c>
    </row>
    <row r="1781" spans="1:26" s="272" customFormat="1" ht="12" customHeight="1">
      <c r="A1781" s="246" t="s">
        <v>273</v>
      </c>
      <c r="B1781" s="246" t="s">
        <v>863</v>
      </c>
      <c r="C1781" s="707"/>
      <c r="D1781" s="707" t="s">
        <v>770</v>
      </c>
      <c r="E1781" s="707" t="s">
        <v>770</v>
      </c>
      <c r="F1781" s="428">
        <f t="shared" ref="F1781:Q1781" si="695">SUM(F1779:F1780)</f>
        <v>10287598</v>
      </c>
      <c r="G1781" s="428">
        <f t="shared" si="695"/>
        <v>0</v>
      </c>
      <c r="H1781" s="428">
        <f t="shared" si="695"/>
        <v>0</v>
      </c>
      <c r="I1781" s="428">
        <f t="shared" si="695"/>
        <v>10287598</v>
      </c>
      <c r="J1781" s="428">
        <f t="shared" si="695"/>
        <v>10280305.24</v>
      </c>
      <c r="K1781" s="428">
        <f t="shared" si="695"/>
        <v>0</v>
      </c>
      <c r="L1781" s="428">
        <f t="shared" si="695"/>
        <v>0</v>
      </c>
      <c r="M1781" s="428">
        <f t="shared" si="695"/>
        <v>10280305.24</v>
      </c>
      <c r="N1781" s="428">
        <f t="shared" si="695"/>
        <v>7292.7600000000093</v>
      </c>
      <c r="O1781" s="428">
        <f t="shared" si="695"/>
        <v>0</v>
      </c>
      <c r="P1781" s="428">
        <f t="shared" si="695"/>
        <v>0</v>
      </c>
      <c r="Q1781" s="428">
        <f t="shared" si="695"/>
        <v>7292.7600000000093</v>
      </c>
      <c r="R1781" s="102"/>
      <c r="S1781" s="297">
        <f t="shared" si="674"/>
        <v>0.99929111149172045</v>
      </c>
      <c r="T1781" s="297" t="str">
        <f t="shared" si="674"/>
        <v/>
      </c>
      <c r="U1781" s="297" t="str">
        <f t="shared" si="674"/>
        <v/>
      </c>
      <c r="V1781" s="297">
        <f t="shared" si="673"/>
        <v>0.99929111149172045</v>
      </c>
      <c r="W1781" s="297"/>
      <c r="X1781" s="527"/>
      <c r="Y1781" s="629" t="s">
        <v>598</v>
      </c>
      <c r="Z1781" s="261"/>
    </row>
    <row r="1782" spans="1:26" s="272" customFormat="1" ht="12" customHeight="1">
      <c r="A1782" s="246" t="s">
        <v>273</v>
      </c>
      <c r="B1782" s="246" t="s">
        <v>863</v>
      </c>
      <c r="C1782" s="426"/>
      <c r="D1782" s="426"/>
      <c r="E1782" s="715"/>
      <c r="F1782" s="428"/>
      <c r="G1782" s="428"/>
      <c r="H1782" s="428"/>
      <c r="I1782" s="428"/>
      <c r="J1782" s="428"/>
      <c r="K1782" s="428"/>
      <c r="L1782" s="428"/>
      <c r="M1782" s="428"/>
      <c r="N1782" s="428"/>
      <c r="O1782" s="428"/>
      <c r="P1782" s="428"/>
      <c r="Q1782" s="428"/>
      <c r="R1782" s="102"/>
      <c r="S1782" s="297" t="str">
        <f t="shared" si="674"/>
        <v/>
      </c>
      <c r="T1782" s="297" t="str">
        <f t="shared" si="674"/>
        <v/>
      </c>
      <c r="U1782" s="297" t="str">
        <f t="shared" si="674"/>
        <v/>
      </c>
      <c r="V1782" s="297" t="str">
        <f t="shared" si="673"/>
        <v/>
      </c>
      <c r="W1782" s="297"/>
      <c r="X1782" s="527"/>
      <c r="Y1782" s="629" t="s">
        <v>598</v>
      </c>
      <c r="Z1782" s="261"/>
    </row>
    <row r="1783" spans="1:26" ht="12" customHeight="1">
      <c r="A1783" s="246" t="s">
        <v>273</v>
      </c>
      <c r="B1783" s="235" t="s">
        <v>863</v>
      </c>
      <c r="C1783" s="728"/>
      <c r="D1783" s="394" t="s">
        <v>289</v>
      </c>
      <c r="E1783" s="729" t="s">
        <v>289</v>
      </c>
      <c r="F1783" s="104">
        <f t="shared" ref="F1783:H1784" si="696">+F1699</f>
        <v>12225663</v>
      </c>
      <c r="G1783" s="104">
        <f t="shared" si="696"/>
        <v>0</v>
      </c>
      <c r="H1783" s="104">
        <f t="shared" si="696"/>
        <v>0</v>
      </c>
      <c r="I1783" s="103">
        <f>SUM(F1783:H1783)</f>
        <v>12225663</v>
      </c>
      <c r="J1783" s="104">
        <f t="shared" ref="J1783:L1784" si="697">+J1699</f>
        <v>3168459.49</v>
      </c>
      <c r="K1783" s="104">
        <f t="shared" si="697"/>
        <v>0</v>
      </c>
      <c r="L1783" s="104">
        <f t="shared" si="697"/>
        <v>0</v>
      </c>
      <c r="M1783" s="103">
        <f>SUM(J1783:L1783)</f>
        <v>3168459.49</v>
      </c>
      <c r="N1783" s="103">
        <f t="shared" si="650"/>
        <v>9057203.5099999998</v>
      </c>
      <c r="O1783" s="103">
        <f t="shared" si="650"/>
        <v>0</v>
      </c>
      <c r="P1783" s="103">
        <f t="shared" si="650"/>
        <v>0</v>
      </c>
      <c r="Q1783" s="103">
        <f t="shared" si="651"/>
        <v>9057203.5099999998</v>
      </c>
      <c r="S1783" s="730">
        <f t="shared" si="674"/>
        <v>0.25916463507950449</v>
      </c>
      <c r="T1783" s="730" t="str">
        <f t="shared" si="674"/>
        <v/>
      </c>
      <c r="U1783" s="730" t="str">
        <f t="shared" si="674"/>
        <v/>
      </c>
      <c r="V1783" s="730">
        <f t="shared" si="673"/>
        <v>0.25916463507950449</v>
      </c>
      <c r="W1783" s="254"/>
      <c r="Y1783" s="610" t="s">
        <v>598</v>
      </c>
    </row>
    <row r="1784" spans="1:26" ht="12" customHeight="1">
      <c r="A1784" s="246" t="s">
        <v>273</v>
      </c>
      <c r="B1784" s="235" t="s">
        <v>863</v>
      </c>
      <c r="C1784" s="728"/>
      <c r="D1784" s="394" t="s">
        <v>290</v>
      </c>
      <c r="E1784" s="729" t="s">
        <v>290</v>
      </c>
      <c r="F1784" s="104">
        <f t="shared" si="696"/>
        <v>0</v>
      </c>
      <c r="G1784" s="104">
        <f t="shared" si="696"/>
        <v>0</v>
      </c>
      <c r="H1784" s="104">
        <f t="shared" si="696"/>
        <v>0</v>
      </c>
      <c r="I1784" s="103">
        <f>SUM(F1784:H1784)</f>
        <v>0</v>
      </c>
      <c r="J1784" s="104">
        <f t="shared" si="697"/>
        <v>0</v>
      </c>
      <c r="K1784" s="104">
        <f t="shared" si="697"/>
        <v>0</v>
      </c>
      <c r="L1784" s="104">
        <f t="shared" si="697"/>
        <v>0</v>
      </c>
      <c r="M1784" s="103">
        <f>SUM(J1784:L1784)</f>
        <v>0</v>
      </c>
      <c r="N1784" s="103">
        <f t="shared" si="650"/>
        <v>0</v>
      </c>
      <c r="O1784" s="103">
        <f t="shared" si="650"/>
        <v>0</v>
      </c>
      <c r="P1784" s="103">
        <f t="shared" si="650"/>
        <v>0</v>
      </c>
      <c r="Q1784" s="103">
        <f t="shared" si="651"/>
        <v>0</v>
      </c>
      <c r="S1784" s="730" t="str">
        <f t="shared" si="674"/>
        <v/>
      </c>
      <c r="T1784" s="730" t="str">
        <f t="shared" si="674"/>
        <v/>
      </c>
      <c r="U1784" s="730" t="str">
        <f t="shared" si="674"/>
        <v/>
      </c>
      <c r="V1784" s="730" t="str">
        <f t="shared" si="673"/>
        <v/>
      </c>
      <c r="W1784" s="254"/>
      <c r="Y1784" s="610" t="s">
        <v>598</v>
      </c>
    </row>
    <row r="1785" spans="1:26" s="260" customFormat="1" ht="12" customHeight="1">
      <c r="A1785" s="246" t="s">
        <v>273</v>
      </c>
      <c r="B1785" s="246" t="s">
        <v>863</v>
      </c>
      <c r="C1785" s="696"/>
      <c r="D1785" s="696"/>
      <c r="E1785" s="696"/>
      <c r="F1785" s="716"/>
      <c r="G1785" s="716"/>
      <c r="H1785" s="716"/>
      <c r="I1785" s="716"/>
      <c r="J1785" s="716"/>
      <c r="K1785" s="716"/>
      <c r="L1785" s="716"/>
      <c r="M1785" s="716"/>
      <c r="N1785" s="716">
        <f t="shared" si="650"/>
        <v>0</v>
      </c>
      <c r="O1785" s="716">
        <f t="shared" si="650"/>
        <v>0</v>
      </c>
      <c r="P1785" s="716">
        <f t="shared" si="650"/>
        <v>0</v>
      </c>
      <c r="Q1785" s="716">
        <f t="shared" si="651"/>
        <v>0</v>
      </c>
      <c r="R1785" s="101"/>
      <c r="S1785" s="254" t="str">
        <f t="shared" si="674"/>
        <v/>
      </c>
      <c r="T1785" s="254" t="str">
        <f t="shared" si="674"/>
        <v/>
      </c>
      <c r="U1785" s="254" t="str">
        <f t="shared" si="674"/>
        <v/>
      </c>
      <c r="V1785" s="254" t="str">
        <f t="shared" si="673"/>
        <v/>
      </c>
      <c r="W1785" s="717"/>
      <c r="X1785" s="1386"/>
      <c r="Y1785" s="629" t="s">
        <v>598</v>
      </c>
      <c r="Z1785" s="261" t="s">
        <v>598</v>
      </c>
    </row>
    <row r="1786" spans="1:26" s="158" customFormat="1" ht="12" customHeight="1">
      <c r="A1786" s="278" t="s">
        <v>273</v>
      </c>
      <c r="B1786" s="278" t="s">
        <v>863</v>
      </c>
      <c r="C1786" s="1419" t="s">
        <v>69</v>
      </c>
      <c r="D1786" s="1420"/>
      <c r="E1786" s="1421"/>
      <c r="F1786" s="710">
        <f>+F1787+F1790</f>
        <v>418493085</v>
      </c>
      <c r="G1786" s="710">
        <f t="shared" ref="G1786:Q1786" si="698">+G1787+G1790</f>
        <v>67561900</v>
      </c>
      <c r="H1786" s="710">
        <f t="shared" si="698"/>
        <v>0</v>
      </c>
      <c r="I1786" s="710">
        <f t="shared" si="698"/>
        <v>486054985</v>
      </c>
      <c r="J1786" s="710">
        <f t="shared" si="698"/>
        <v>386583658.38</v>
      </c>
      <c r="K1786" s="710">
        <f t="shared" si="698"/>
        <v>47091165.100000001</v>
      </c>
      <c r="L1786" s="710">
        <f t="shared" si="698"/>
        <v>0</v>
      </c>
      <c r="M1786" s="710">
        <f t="shared" si="698"/>
        <v>433674823.48000002</v>
      </c>
      <c r="N1786" s="710">
        <f t="shared" si="698"/>
        <v>31909426.619999975</v>
      </c>
      <c r="O1786" s="710">
        <f t="shared" si="698"/>
        <v>20470734.899999999</v>
      </c>
      <c r="P1786" s="710">
        <f t="shared" si="698"/>
        <v>0</v>
      </c>
      <c r="Q1786" s="710">
        <f t="shared" si="698"/>
        <v>52380161.519999973</v>
      </c>
      <c r="R1786" s="680"/>
      <c r="S1786" s="298">
        <f t="shared" si="674"/>
        <v>0.92375160363760844</v>
      </c>
      <c r="T1786" s="298">
        <f t="shared" si="674"/>
        <v>0.69700770848658788</v>
      </c>
      <c r="U1786" s="298" t="str">
        <f t="shared" si="674"/>
        <v/>
      </c>
      <c r="V1786" s="298">
        <f t="shared" si="673"/>
        <v>0.89223408228186374</v>
      </c>
      <c r="W1786" s="298"/>
      <c r="X1786" s="247"/>
      <c r="Y1786" s="629" t="s">
        <v>598</v>
      </c>
      <c r="Z1786" s="261" t="s">
        <v>598</v>
      </c>
    </row>
    <row r="1787" spans="1:26" s="706" customFormat="1" ht="12" customHeight="1">
      <c r="A1787" s="701" t="s">
        <v>273</v>
      </c>
      <c r="B1787" s="701" t="s">
        <v>863</v>
      </c>
      <c r="C1787" s="702"/>
      <c r="D1787" s="702" t="s">
        <v>98</v>
      </c>
      <c r="E1787" s="703" t="s">
        <v>99</v>
      </c>
      <c r="F1787" s="711">
        <f>+F1788</f>
        <v>264365000</v>
      </c>
      <c r="G1787" s="711">
        <f t="shared" ref="G1787:M1787" si="699">+G1788</f>
        <v>0</v>
      </c>
      <c r="H1787" s="711">
        <f t="shared" si="699"/>
        <v>0</v>
      </c>
      <c r="I1787" s="711">
        <f t="shared" si="699"/>
        <v>264365000</v>
      </c>
      <c r="J1787" s="711">
        <f t="shared" si="699"/>
        <v>237871165.55000001</v>
      </c>
      <c r="K1787" s="711">
        <f t="shared" si="699"/>
        <v>0</v>
      </c>
      <c r="L1787" s="711">
        <f t="shared" si="699"/>
        <v>0</v>
      </c>
      <c r="M1787" s="711">
        <f t="shared" si="699"/>
        <v>237871165.55000001</v>
      </c>
      <c r="N1787" s="711">
        <f t="shared" si="650"/>
        <v>26493834.449999988</v>
      </c>
      <c r="O1787" s="711">
        <f t="shared" si="650"/>
        <v>0</v>
      </c>
      <c r="P1787" s="711">
        <f t="shared" si="650"/>
        <v>0</v>
      </c>
      <c r="Q1787" s="711">
        <f t="shared" si="651"/>
        <v>26493834.449999988</v>
      </c>
      <c r="R1787" s="705"/>
      <c r="S1787" s="299">
        <f t="shared" si="674"/>
        <v>0.89978312390066773</v>
      </c>
      <c r="T1787" s="299" t="str">
        <f t="shared" si="674"/>
        <v/>
      </c>
      <c r="U1787" s="299" t="str">
        <f t="shared" si="674"/>
        <v/>
      </c>
      <c r="V1787" s="299">
        <f t="shared" si="673"/>
        <v>0.89978312390066773</v>
      </c>
      <c r="W1787" s="299"/>
      <c r="X1787" s="271"/>
      <c r="Y1787" s="628" t="s">
        <v>598</v>
      </c>
      <c r="Z1787" s="255" t="s">
        <v>598</v>
      </c>
    </row>
    <row r="1788" spans="1:26" ht="12" customHeight="1">
      <c r="A1788" s="246" t="s">
        <v>273</v>
      </c>
      <c r="B1788" s="235" t="s">
        <v>863</v>
      </c>
      <c r="C1788" s="728"/>
      <c r="D1788" s="394" t="s">
        <v>286</v>
      </c>
      <c r="E1788" s="729" t="s">
        <v>286</v>
      </c>
      <c r="F1788" s="104">
        <f>+F1438+F1454+F1469+F1484+F1499+F1514+F1529+F1544+F1559+F1574+F1589+F1604</f>
        <v>264365000</v>
      </c>
      <c r="G1788" s="104">
        <f>+G1438+G1454+G1469+G1484+G1499+G1514+G1529+G1544+G1559+G1574+G1589+G1604</f>
        <v>0</v>
      </c>
      <c r="H1788" s="104">
        <f>+H1438+H1454+H1469+H1484+H1499+H1514+H1529+H1544+H1559+H1574+H1589+H1604</f>
        <v>0</v>
      </c>
      <c r="I1788" s="103">
        <f>SUM(F1788:H1788)</f>
        <v>264365000</v>
      </c>
      <c r="J1788" s="104">
        <f>+J1438+J1454+J1469+J1484+J1499+J1514+J1529+J1544+J1559+J1574+J1589+J1604</f>
        <v>237871165.55000001</v>
      </c>
      <c r="K1788" s="104">
        <f>+K1438+K1454+K1469+K1484+K1499+K1514+K1529+K1544+K1559+K1574+K1589+K1604</f>
        <v>0</v>
      </c>
      <c r="L1788" s="104">
        <f>+L1438+L1454+L1469+L1484+L1499+L1514+L1529+L1544+L1559+L1574+L1589+L1604</f>
        <v>0</v>
      </c>
      <c r="M1788" s="103">
        <f>SUM(J1788:L1788)</f>
        <v>237871165.55000001</v>
      </c>
      <c r="N1788" s="103">
        <f t="shared" si="650"/>
        <v>26493834.449999988</v>
      </c>
      <c r="O1788" s="103">
        <f t="shared" si="650"/>
        <v>0</v>
      </c>
      <c r="P1788" s="103">
        <f t="shared" si="650"/>
        <v>0</v>
      </c>
      <c r="Q1788" s="103">
        <f t="shared" si="651"/>
        <v>26493834.449999988</v>
      </c>
      <c r="S1788" s="730">
        <f t="shared" si="674"/>
        <v>0.89978312390066773</v>
      </c>
      <c r="T1788" s="730" t="str">
        <f t="shared" si="674"/>
        <v/>
      </c>
      <c r="U1788" s="730" t="str">
        <f t="shared" si="674"/>
        <v/>
      </c>
      <c r="V1788" s="730">
        <f t="shared" si="673"/>
        <v>0.89978312390066773</v>
      </c>
      <c r="W1788" s="254"/>
      <c r="Y1788" s="610" t="s">
        <v>598</v>
      </c>
    </row>
    <row r="1789" spans="1:26" ht="12" hidden="1" customHeight="1">
      <c r="A1789" s="246"/>
      <c r="B1789" s="235"/>
      <c r="C1789" s="410"/>
      <c r="D1789" s="396"/>
      <c r="E1789" s="729"/>
      <c r="F1789" s="104"/>
      <c r="G1789" s="104"/>
      <c r="H1789" s="104"/>
      <c r="I1789" s="103"/>
      <c r="J1789" s="104"/>
      <c r="K1789" s="104"/>
      <c r="L1789" s="104"/>
      <c r="M1789" s="103"/>
      <c r="N1789" s="103"/>
      <c r="O1789" s="103"/>
      <c r="P1789" s="103"/>
      <c r="Q1789" s="103"/>
      <c r="R1789" s="236"/>
      <c r="S1789" s="730" t="str">
        <f t="shared" si="674"/>
        <v/>
      </c>
      <c r="T1789" s="730" t="str">
        <f t="shared" si="674"/>
        <v/>
      </c>
      <c r="U1789" s="730" t="str">
        <f t="shared" si="674"/>
        <v/>
      </c>
      <c r="V1789" s="730" t="str">
        <f t="shared" si="673"/>
        <v/>
      </c>
      <c r="W1789" s="254"/>
    </row>
    <row r="1790" spans="1:26" s="713" customFormat="1" ht="12" customHeight="1">
      <c r="A1790" s="701" t="s">
        <v>273</v>
      </c>
      <c r="B1790" s="701" t="s">
        <v>863</v>
      </c>
      <c r="C1790" s="702"/>
      <c r="D1790" s="702" t="s">
        <v>98</v>
      </c>
      <c r="E1790" s="703" t="s">
        <v>100</v>
      </c>
      <c r="F1790" s="711">
        <f>+F1793+F1795+F1796+F1797</f>
        <v>154128085</v>
      </c>
      <c r="G1790" s="711">
        <f t="shared" ref="G1790:Q1790" si="700">+G1793+G1795+G1796+G1797</f>
        <v>67561900</v>
      </c>
      <c r="H1790" s="711">
        <f t="shared" si="700"/>
        <v>0</v>
      </c>
      <c r="I1790" s="711">
        <f t="shared" si="700"/>
        <v>221689985</v>
      </c>
      <c r="J1790" s="711">
        <f t="shared" si="700"/>
        <v>148712492.83000001</v>
      </c>
      <c r="K1790" s="711">
        <f t="shared" si="700"/>
        <v>47091165.100000001</v>
      </c>
      <c r="L1790" s="711">
        <f t="shared" si="700"/>
        <v>0</v>
      </c>
      <c r="M1790" s="711">
        <f t="shared" si="700"/>
        <v>195803657.93000001</v>
      </c>
      <c r="N1790" s="711">
        <f t="shared" si="700"/>
        <v>5415592.1699999869</v>
      </c>
      <c r="O1790" s="711">
        <f t="shared" si="700"/>
        <v>20470734.899999999</v>
      </c>
      <c r="P1790" s="711">
        <f t="shared" si="700"/>
        <v>0</v>
      </c>
      <c r="Q1790" s="711">
        <f t="shared" si="700"/>
        <v>25886327.069999985</v>
      </c>
      <c r="R1790" s="712"/>
      <c r="S1790" s="299">
        <f t="shared" si="674"/>
        <v>0.96486304121666089</v>
      </c>
      <c r="T1790" s="299">
        <f t="shared" si="674"/>
        <v>0.69700770848658788</v>
      </c>
      <c r="U1790" s="299" t="str">
        <f t="shared" si="674"/>
        <v/>
      </c>
      <c r="V1790" s="299">
        <f t="shared" si="673"/>
        <v>0.88323186060930992</v>
      </c>
      <c r="W1790" s="299"/>
      <c r="X1790" s="527"/>
      <c r="Y1790" s="629" t="s">
        <v>598</v>
      </c>
      <c r="Z1790" s="255" t="s">
        <v>598</v>
      </c>
    </row>
    <row r="1791" spans="1:26" ht="12" customHeight="1">
      <c r="A1791" s="246" t="s">
        <v>273</v>
      </c>
      <c r="B1791" s="235" t="s">
        <v>863</v>
      </c>
      <c r="C1791" s="728"/>
      <c r="D1791" s="394" t="s">
        <v>288</v>
      </c>
      <c r="E1791" s="729" t="s">
        <v>288</v>
      </c>
      <c r="F1791" s="104">
        <f>+F1440+F1456+F1471+F1486+F1501+F1516+F1531+F1546+F1561+F1576+F1591+F1606</f>
        <v>0</v>
      </c>
      <c r="G1791" s="104">
        <f>+G1440+G1456+G1471+G1486+G1501+G1516+G1531+G1546+G1561+G1576+G1591+G1606</f>
        <v>0</v>
      </c>
      <c r="H1791" s="104">
        <f>+H1440+H1456+H1471+H1486+H1501+H1516+H1531+H1546+H1561+H1576+H1591+H1606</f>
        <v>0</v>
      </c>
      <c r="I1791" s="103">
        <f>SUM(F1791:H1791)</f>
        <v>0</v>
      </c>
      <c r="J1791" s="104">
        <f>+J1440+J1456+J1471+J1486+J1501+J1516+J1531+J1546+J1561+J1576+J1591+J1606</f>
        <v>0</v>
      </c>
      <c r="K1791" s="104">
        <f>+K1440+K1456+K1471+K1486+K1501+K1516+K1531+K1546+K1561+K1576+K1591+K1606</f>
        <v>0</v>
      </c>
      <c r="L1791" s="104">
        <f>+L1440+L1456+L1471+L1486+L1501+L1516+L1531+L1546+L1561+L1576+L1591+L1606</f>
        <v>0</v>
      </c>
      <c r="M1791" s="103">
        <f>SUM(J1791:L1791)</f>
        <v>0</v>
      </c>
      <c r="N1791" s="103">
        <f t="shared" si="650"/>
        <v>0</v>
      </c>
      <c r="O1791" s="103">
        <f t="shared" si="650"/>
        <v>0</v>
      </c>
      <c r="P1791" s="103">
        <f t="shared" si="650"/>
        <v>0</v>
      </c>
      <c r="Q1791" s="103">
        <f t="shared" si="651"/>
        <v>0</v>
      </c>
      <c r="S1791" s="730" t="str">
        <f t="shared" si="674"/>
        <v/>
      </c>
      <c r="T1791" s="730" t="str">
        <f t="shared" si="674"/>
        <v/>
      </c>
      <c r="U1791" s="730" t="str">
        <f t="shared" si="674"/>
        <v/>
      </c>
      <c r="V1791" s="730" t="str">
        <f t="shared" si="673"/>
        <v/>
      </c>
      <c r="W1791" s="254"/>
      <c r="Y1791" s="610" t="s">
        <v>598</v>
      </c>
      <c r="Z1791" s="241"/>
    </row>
    <row r="1792" spans="1:26" ht="12" customHeight="1">
      <c r="A1792" s="246" t="s">
        <v>273</v>
      </c>
      <c r="B1792" s="235" t="s">
        <v>863</v>
      </c>
      <c r="C1792" s="728"/>
      <c r="D1792" s="394" t="s">
        <v>761</v>
      </c>
      <c r="E1792" s="729" t="s">
        <v>761</v>
      </c>
      <c r="F1792" s="104">
        <f>+F1622</f>
        <v>83289250</v>
      </c>
      <c r="G1792" s="104">
        <f>+G1622</f>
        <v>0</v>
      </c>
      <c r="H1792" s="104">
        <f>+H1622</f>
        <v>0</v>
      </c>
      <c r="I1792" s="103">
        <f>SUM(F1792:H1792)</f>
        <v>83289250</v>
      </c>
      <c r="J1792" s="104">
        <f>+J1622</f>
        <v>78926428</v>
      </c>
      <c r="K1792" s="104">
        <f>+K1622</f>
        <v>0</v>
      </c>
      <c r="L1792" s="104">
        <f>+L1622</f>
        <v>0</v>
      </c>
      <c r="M1792" s="103">
        <f>SUM(J1792:L1792)</f>
        <v>78926428</v>
      </c>
      <c r="N1792" s="103">
        <f t="shared" si="650"/>
        <v>4362822</v>
      </c>
      <c r="O1792" s="103">
        <f t="shared" si="650"/>
        <v>0</v>
      </c>
      <c r="P1792" s="103">
        <f t="shared" si="650"/>
        <v>0</v>
      </c>
      <c r="Q1792" s="103">
        <f t="shared" si="651"/>
        <v>4362822</v>
      </c>
      <c r="S1792" s="730">
        <f t="shared" si="674"/>
        <v>0.94761842614743197</v>
      </c>
      <c r="T1792" s="730" t="str">
        <f t="shared" si="674"/>
        <v/>
      </c>
      <c r="U1792" s="730" t="str">
        <f t="shared" si="674"/>
        <v/>
      </c>
      <c r="V1792" s="730">
        <f t="shared" si="673"/>
        <v>0.94761842614743197</v>
      </c>
      <c r="W1792" s="254"/>
      <c r="Y1792" s="610" t="s">
        <v>598</v>
      </c>
      <c r="Z1792" s="241"/>
    </row>
    <row r="1793" spans="1:26" s="272" customFormat="1" ht="12" customHeight="1">
      <c r="A1793" s="246" t="s">
        <v>273</v>
      </c>
      <c r="B1793" s="246" t="s">
        <v>863</v>
      </c>
      <c r="C1793" s="707"/>
      <c r="D1793" s="707" t="s">
        <v>770</v>
      </c>
      <c r="E1793" s="707" t="s">
        <v>770</v>
      </c>
      <c r="F1793" s="428">
        <f t="shared" ref="F1793:Q1793" si="701">SUM(F1791:F1792)</f>
        <v>83289250</v>
      </c>
      <c r="G1793" s="428">
        <f t="shared" si="701"/>
        <v>0</v>
      </c>
      <c r="H1793" s="428">
        <f t="shared" si="701"/>
        <v>0</v>
      </c>
      <c r="I1793" s="428">
        <f t="shared" si="701"/>
        <v>83289250</v>
      </c>
      <c r="J1793" s="428">
        <f t="shared" si="701"/>
        <v>78926428</v>
      </c>
      <c r="K1793" s="428">
        <f t="shared" si="701"/>
        <v>0</v>
      </c>
      <c r="L1793" s="428">
        <f t="shared" si="701"/>
        <v>0</v>
      </c>
      <c r="M1793" s="428">
        <f t="shared" si="701"/>
        <v>78926428</v>
      </c>
      <c r="N1793" s="428">
        <f t="shared" si="701"/>
        <v>4362822</v>
      </c>
      <c r="O1793" s="428">
        <f t="shared" si="701"/>
        <v>0</v>
      </c>
      <c r="P1793" s="428">
        <f t="shared" si="701"/>
        <v>0</v>
      </c>
      <c r="Q1793" s="428">
        <f t="shared" si="701"/>
        <v>4362822</v>
      </c>
      <c r="R1793" s="102"/>
      <c r="S1793" s="297">
        <f t="shared" si="674"/>
        <v>0.94761842614743197</v>
      </c>
      <c r="T1793" s="297" t="str">
        <f t="shared" si="674"/>
        <v/>
      </c>
      <c r="U1793" s="297" t="str">
        <f t="shared" si="674"/>
        <v/>
      </c>
      <c r="V1793" s="297">
        <f t="shared" si="673"/>
        <v>0.94761842614743197</v>
      </c>
      <c r="W1793" s="297"/>
      <c r="X1793" s="527"/>
      <c r="Y1793" s="629" t="s">
        <v>598</v>
      </c>
      <c r="Z1793" s="255"/>
    </row>
    <row r="1794" spans="1:26" s="272" customFormat="1" ht="12" customHeight="1">
      <c r="A1794" s="246" t="s">
        <v>273</v>
      </c>
      <c r="B1794" s="246" t="s">
        <v>863</v>
      </c>
      <c r="C1794" s="426"/>
      <c r="D1794" s="426"/>
      <c r="E1794" s="715"/>
      <c r="F1794" s="428"/>
      <c r="G1794" s="428"/>
      <c r="H1794" s="428"/>
      <c r="I1794" s="428"/>
      <c r="J1794" s="428"/>
      <c r="K1794" s="428"/>
      <c r="L1794" s="428"/>
      <c r="M1794" s="428"/>
      <c r="N1794" s="428"/>
      <c r="O1794" s="428"/>
      <c r="P1794" s="428"/>
      <c r="Q1794" s="428"/>
      <c r="R1794" s="102"/>
      <c r="S1794" s="297" t="str">
        <f t="shared" si="674"/>
        <v/>
      </c>
      <c r="T1794" s="297" t="str">
        <f t="shared" si="674"/>
        <v/>
      </c>
      <c r="U1794" s="297" t="str">
        <f t="shared" si="674"/>
        <v/>
      </c>
      <c r="V1794" s="297" t="str">
        <f t="shared" si="673"/>
        <v/>
      </c>
      <c r="W1794" s="297"/>
      <c r="X1794" s="527"/>
      <c r="Y1794" s="629" t="s">
        <v>598</v>
      </c>
      <c r="Z1794" s="261"/>
    </row>
    <row r="1795" spans="1:26" ht="12" customHeight="1">
      <c r="A1795" s="246" t="s">
        <v>273</v>
      </c>
      <c r="B1795" s="235" t="s">
        <v>863</v>
      </c>
      <c r="C1795" s="728"/>
      <c r="D1795" s="394" t="s">
        <v>289</v>
      </c>
      <c r="E1795" s="729" t="s">
        <v>289</v>
      </c>
      <c r="F1795" s="104">
        <f t="shared" ref="F1795:H1796" si="702">+F1443+F1459+F1474+F1489+F1504+F1519+F1534+F1549+F1564+F1579+F1594+F1609</f>
        <v>70838835</v>
      </c>
      <c r="G1795" s="104">
        <f t="shared" si="702"/>
        <v>0</v>
      </c>
      <c r="H1795" s="104">
        <f t="shared" si="702"/>
        <v>0</v>
      </c>
      <c r="I1795" s="103">
        <f>SUM(F1795:H1795)</f>
        <v>70838835</v>
      </c>
      <c r="J1795" s="104">
        <f t="shared" ref="J1795:L1796" si="703">+J1443+J1459+J1474+J1489+J1504+J1519+J1534+J1549+J1564+J1579+J1594+J1609</f>
        <v>69786064.830000013</v>
      </c>
      <c r="K1795" s="104">
        <f t="shared" si="703"/>
        <v>0</v>
      </c>
      <c r="L1795" s="104">
        <f t="shared" si="703"/>
        <v>0</v>
      </c>
      <c r="M1795" s="103">
        <f>SUM(J1795:L1795)</f>
        <v>69786064.830000013</v>
      </c>
      <c r="N1795" s="103">
        <f t="shared" si="650"/>
        <v>1052770.1699999869</v>
      </c>
      <c r="O1795" s="103">
        <f t="shared" si="650"/>
        <v>0</v>
      </c>
      <c r="P1795" s="103">
        <f t="shared" si="650"/>
        <v>0</v>
      </c>
      <c r="Q1795" s="103">
        <f t="shared" si="651"/>
        <v>1052770.1699999869</v>
      </c>
      <c r="S1795" s="730">
        <f t="shared" si="674"/>
        <v>0.98513851660603979</v>
      </c>
      <c r="T1795" s="730" t="str">
        <f t="shared" si="674"/>
        <v/>
      </c>
      <c r="U1795" s="730" t="str">
        <f t="shared" si="674"/>
        <v/>
      </c>
      <c r="V1795" s="730">
        <f t="shared" si="673"/>
        <v>0.98513851660603979</v>
      </c>
      <c r="W1795" s="254"/>
      <c r="Y1795" s="610" t="s">
        <v>598</v>
      </c>
      <c r="Z1795" s="241"/>
    </row>
    <row r="1796" spans="1:26" ht="12" customHeight="1">
      <c r="A1796" s="246" t="s">
        <v>273</v>
      </c>
      <c r="B1796" s="235" t="s">
        <v>863</v>
      </c>
      <c r="C1796" s="728"/>
      <c r="D1796" s="394" t="s">
        <v>290</v>
      </c>
      <c r="E1796" s="729" t="s">
        <v>290</v>
      </c>
      <c r="F1796" s="104">
        <f t="shared" si="702"/>
        <v>0</v>
      </c>
      <c r="G1796" s="104">
        <f t="shared" si="702"/>
        <v>67561900</v>
      </c>
      <c r="H1796" s="104">
        <f t="shared" si="702"/>
        <v>0</v>
      </c>
      <c r="I1796" s="103">
        <f>SUM(F1796:H1796)</f>
        <v>67561900</v>
      </c>
      <c r="J1796" s="104">
        <f t="shared" si="703"/>
        <v>0</v>
      </c>
      <c r="K1796" s="104">
        <f t="shared" si="703"/>
        <v>47091165.100000001</v>
      </c>
      <c r="L1796" s="104">
        <f t="shared" si="703"/>
        <v>0</v>
      </c>
      <c r="M1796" s="103">
        <f>SUM(J1796:L1796)</f>
        <v>47091165.100000001</v>
      </c>
      <c r="N1796" s="103">
        <f t="shared" si="650"/>
        <v>0</v>
      </c>
      <c r="O1796" s="103">
        <f t="shared" si="650"/>
        <v>20470734.899999999</v>
      </c>
      <c r="P1796" s="103">
        <f t="shared" si="650"/>
        <v>0</v>
      </c>
      <c r="Q1796" s="103">
        <f t="shared" si="651"/>
        <v>20470734.899999999</v>
      </c>
      <c r="S1796" s="730" t="str">
        <f t="shared" si="674"/>
        <v/>
      </c>
      <c r="T1796" s="730">
        <f t="shared" si="674"/>
        <v>0.69700770848658788</v>
      </c>
      <c r="U1796" s="730" t="str">
        <f t="shared" si="674"/>
        <v/>
      </c>
      <c r="V1796" s="730">
        <f t="shared" si="673"/>
        <v>0.69700770848658788</v>
      </c>
      <c r="W1796" s="254"/>
      <c r="Y1796" s="610" t="s">
        <v>598</v>
      </c>
      <c r="Z1796" s="241"/>
    </row>
    <row r="1797" spans="1:26" ht="12" customHeight="1">
      <c r="A1797" s="246" t="s">
        <v>273</v>
      </c>
      <c r="B1797" s="235" t="s">
        <v>863</v>
      </c>
      <c r="C1797" s="729" t="s">
        <v>851</v>
      </c>
      <c r="D1797" s="396"/>
      <c r="E1797" s="729" t="s">
        <v>851</v>
      </c>
      <c r="F1797" s="104">
        <f>+F1626</f>
        <v>0</v>
      </c>
      <c r="G1797" s="104">
        <f t="shared" ref="G1797:Q1797" si="704">+G1626</f>
        <v>0</v>
      </c>
      <c r="H1797" s="104">
        <f t="shared" si="704"/>
        <v>0</v>
      </c>
      <c r="I1797" s="104">
        <f t="shared" si="704"/>
        <v>0</v>
      </c>
      <c r="J1797" s="104">
        <f t="shared" si="704"/>
        <v>0</v>
      </c>
      <c r="K1797" s="104">
        <f t="shared" si="704"/>
        <v>0</v>
      </c>
      <c r="L1797" s="104">
        <f t="shared" si="704"/>
        <v>0</v>
      </c>
      <c r="M1797" s="104">
        <f t="shared" si="704"/>
        <v>0</v>
      </c>
      <c r="N1797" s="104">
        <f t="shared" si="704"/>
        <v>0</v>
      </c>
      <c r="O1797" s="104">
        <f t="shared" si="704"/>
        <v>0</v>
      </c>
      <c r="P1797" s="104">
        <f t="shared" si="704"/>
        <v>0</v>
      </c>
      <c r="Q1797" s="104">
        <f t="shared" si="704"/>
        <v>0</v>
      </c>
      <c r="S1797" s="730" t="str">
        <f t="shared" si="674"/>
        <v/>
      </c>
      <c r="T1797" s="730" t="str">
        <f t="shared" si="674"/>
        <v/>
      </c>
      <c r="U1797" s="730" t="str">
        <f t="shared" si="674"/>
        <v/>
      </c>
      <c r="V1797" s="730" t="str">
        <f t="shared" si="673"/>
        <v/>
      </c>
      <c r="W1797" s="254"/>
      <c r="Y1797" s="610" t="s">
        <v>598</v>
      </c>
      <c r="Z1797" s="241"/>
    </row>
    <row r="1798" spans="1:26" ht="12" customHeight="1">
      <c r="A1798" s="246" t="s">
        <v>273</v>
      </c>
      <c r="B1798" s="235" t="s">
        <v>863</v>
      </c>
      <c r="C1798" s="709"/>
      <c r="D1798" s="714"/>
      <c r="E1798" s="726"/>
      <c r="F1798" s="104"/>
      <c r="G1798" s="104"/>
      <c r="H1798" s="104"/>
      <c r="I1798" s="103">
        <f>SUM(F1798:H1798)</f>
        <v>0</v>
      </c>
      <c r="J1798" s="104"/>
      <c r="K1798" s="104"/>
      <c r="L1798" s="104"/>
      <c r="M1798" s="103">
        <f>SUM(J1798:L1798)</f>
        <v>0</v>
      </c>
      <c r="N1798" s="103">
        <f t="shared" si="650"/>
        <v>0</v>
      </c>
      <c r="O1798" s="103">
        <f t="shared" si="650"/>
        <v>0</v>
      </c>
      <c r="P1798" s="103">
        <f t="shared" si="650"/>
        <v>0</v>
      </c>
      <c r="Q1798" s="103">
        <f t="shared" si="651"/>
        <v>0</v>
      </c>
      <c r="S1798" s="730" t="str">
        <f t="shared" si="674"/>
        <v/>
      </c>
      <c r="T1798" s="730" t="str">
        <f t="shared" si="674"/>
        <v/>
      </c>
      <c r="U1798" s="730" t="str">
        <f t="shared" si="674"/>
        <v/>
      </c>
      <c r="V1798" s="730" t="str">
        <f t="shared" si="673"/>
        <v/>
      </c>
      <c r="W1798" s="254"/>
      <c r="Y1798" s="610" t="s">
        <v>598</v>
      </c>
      <c r="Z1798" s="241" t="s">
        <v>598</v>
      </c>
    </row>
    <row r="1799" spans="1:26" s="158" customFormat="1" ht="12" customHeight="1">
      <c r="A1799" s="278" t="s">
        <v>273</v>
      </c>
      <c r="B1799" s="278" t="s">
        <v>863</v>
      </c>
      <c r="C1799" s="1419" t="s">
        <v>60</v>
      </c>
      <c r="D1799" s="1420"/>
      <c r="E1799" s="1421"/>
      <c r="F1799" s="710">
        <f>+F1800+F1803</f>
        <v>232252182</v>
      </c>
      <c r="G1799" s="710">
        <f t="shared" ref="G1799:Q1799" si="705">+G1800+G1803</f>
        <v>0</v>
      </c>
      <c r="H1799" s="710">
        <f t="shared" si="705"/>
        <v>0</v>
      </c>
      <c r="I1799" s="710">
        <f t="shared" si="705"/>
        <v>232252182</v>
      </c>
      <c r="J1799" s="710">
        <f t="shared" si="705"/>
        <v>209730688.50999999</v>
      </c>
      <c r="K1799" s="710">
        <f t="shared" si="705"/>
        <v>0</v>
      </c>
      <c r="L1799" s="710">
        <f t="shared" si="705"/>
        <v>0</v>
      </c>
      <c r="M1799" s="710">
        <f t="shared" si="705"/>
        <v>209730688.50999999</v>
      </c>
      <c r="N1799" s="710">
        <f t="shared" si="705"/>
        <v>22521493.489999995</v>
      </c>
      <c r="O1799" s="710">
        <f t="shared" si="705"/>
        <v>0</v>
      </c>
      <c r="P1799" s="710">
        <f t="shared" si="705"/>
        <v>0</v>
      </c>
      <c r="Q1799" s="710">
        <f t="shared" si="705"/>
        <v>22521493.489999995</v>
      </c>
      <c r="R1799" s="680"/>
      <c r="S1799" s="298">
        <f t="shared" si="674"/>
        <v>0.90303000257711241</v>
      </c>
      <c r="T1799" s="298" t="str">
        <f t="shared" si="674"/>
        <v/>
      </c>
      <c r="U1799" s="298" t="str">
        <f t="shared" si="674"/>
        <v/>
      </c>
      <c r="V1799" s="298">
        <f t="shared" si="673"/>
        <v>0.90303000257711241</v>
      </c>
      <c r="W1799" s="298"/>
      <c r="X1799" s="247"/>
      <c r="Y1799" s="629" t="s">
        <v>598</v>
      </c>
      <c r="Z1799" s="261" t="s">
        <v>598</v>
      </c>
    </row>
    <row r="1800" spans="1:26" s="706" customFormat="1" ht="12" customHeight="1">
      <c r="A1800" s="701" t="s">
        <v>273</v>
      </c>
      <c r="B1800" s="701" t="s">
        <v>863</v>
      </c>
      <c r="C1800" s="702"/>
      <c r="D1800" s="702" t="s">
        <v>98</v>
      </c>
      <c r="E1800" s="703" t="s">
        <v>99</v>
      </c>
      <c r="F1800" s="711">
        <f>+F1801</f>
        <v>113289411</v>
      </c>
      <c r="G1800" s="711">
        <f t="shared" ref="G1800:Q1800" si="706">+G1801</f>
        <v>0</v>
      </c>
      <c r="H1800" s="711">
        <f t="shared" si="706"/>
        <v>0</v>
      </c>
      <c r="I1800" s="711">
        <f t="shared" si="706"/>
        <v>113289411</v>
      </c>
      <c r="J1800" s="711">
        <f t="shared" si="706"/>
        <v>91326484.219999999</v>
      </c>
      <c r="K1800" s="711">
        <f t="shared" si="706"/>
        <v>0</v>
      </c>
      <c r="L1800" s="711">
        <f t="shared" si="706"/>
        <v>0</v>
      </c>
      <c r="M1800" s="711">
        <f t="shared" si="706"/>
        <v>91326484.219999999</v>
      </c>
      <c r="N1800" s="711">
        <f t="shared" si="706"/>
        <v>21962926.780000001</v>
      </c>
      <c r="O1800" s="711">
        <f t="shared" si="706"/>
        <v>0</v>
      </c>
      <c r="P1800" s="711">
        <f t="shared" si="706"/>
        <v>0</v>
      </c>
      <c r="Q1800" s="711">
        <f t="shared" si="706"/>
        <v>21962926.780000001</v>
      </c>
      <c r="R1800" s="705"/>
      <c r="S1800" s="299">
        <f t="shared" si="674"/>
        <v>0.8061343369505205</v>
      </c>
      <c r="T1800" s="299" t="str">
        <f t="shared" si="674"/>
        <v/>
      </c>
      <c r="U1800" s="299" t="str">
        <f t="shared" si="674"/>
        <v/>
      </c>
      <c r="V1800" s="299">
        <f t="shared" si="673"/>
        <v>0.8061343369505205</v>
      </c>
      <c r="W1800" s="299"/>
      <c r="X1800" s="271"/>
      <c r="Y1800" s="628" t="s">
        <v>598</v>
      </c>
      <c r="Z1800" s="255" t="s">
        <v>598</v>
      </c>
    </row>
    <row r="1801" spans="1:26" ht="12" customHeight="1">
      <c r="A1801" s="246" t="s">
        <v>273</v>
      </c>
      <c r="B1801" s="235" t="s">
        <v>863</v>
      </c>
      <c r="C1801" s="728"/>
      <c r="D1801" s="394" t="s">
        <v>286</v>
      </c>
      <c r="E1801" s="729" t="s">
        <v>286</v>
      </c>
      <c r="F1801" s="104">
        <f>+F51+F147+F242+F322+F417+F531+F580+F645+F725+F820+F945+F1010+F1165+F1245+F1310+F1375</f>
        <v>113289411</v>
      </c>
      <c r="G1801" s="104">
        <f>+G51+G147+G242+G322+G417+G531+G580+G645+G725+G820+G945+G1010+G1165+G1245+G1310+G1375</f>
        <v>0</v>
      </c>
      <c r="H1801" s="104">
        <f>+H51+H147+H242+H322+H417+H531+H580+H645+H725+H820+H945+H1010+H1165+H1245+H1310+H1375</f>
        <v>0</v>
      </c>
      <c r="I1801" s="103">
        <f>SUM(F1801:H1801)</f>
        <v>113289411</v>
      </c>
      <c r="J1801" s="104">
        <f>+J51+J147+J242+J322+J417+J531+J580+J645+J725+J820+J945+J1010+J1165+J1245+J1310+J1375</f>
        <v>91326484.219999999</v>
      </c>
      <c r="K1801" s="104">
        <f>+K51+K147+K242+K322+K417+K531+K580+K645+K725+K820+K945+K1010+K1165+K1245+K1310+K1375</f>
        <v>0</v>
      </c>
      <c r="L1801" s="104">
        <f>+L51+L147+L242+L322+L417+L531+L580+L645+L725+L820+L945+L1010+L1165+L1245+L1310+L1375</f>
        <v>0</v>
      </c>
      <c r="M1801" s="103">
        <f>SUM(J1801:L1801)</f>
        <v>91326484.219999999</v>
      </c>
      <c r="N1801" s="103">
        <f>+F1801-J1801</f>
        <v>21962926.780000001</v>
      </c>
      <c r="O1801" s="103">
        <f>+G1801-K1801</f>
        <v>0</v>
      </c>
      <c r="P1801" s="103">
        <f>+H1801-L1801</f>
        <v>0</v>
      </c>
      <c r="Q1801" s="103">
        <f>SUM(N1801:P1801)</f>
        <v>21962926.780000001</v>
      </c>
      <c r="S1801" s="730">
        <f t="shared" si="674"/>
        <v>0.8061343369505205</v>
      </c>
      <c r="T1801" s="730" t="str">
        <f t="shared" si="674"/>
        <v/>
      </c>
      <c r="U1801" s="730" t="str">
        <f t="shared" si="674"/>
        <v/>
      </c>
      <c r="V1801" s="730">
        <f t="shared" si="673"/>
        <v>0.8061343369505205</v>
      </c>
      <c r="W1801" s="254"/>
      <c r="Y1801" s="610" t="s">
        <v>598</v>
      </c>
    </row>
    <row r="1802" spans="1:26" ht="12" hidden="1" customHeight="1">
      <c r="A1802" s="246"/>
      <c r="B1802" s="235"/>
      <c r="C1802" s="410"/>
      <c r="D1802" s="396"/>
      <c r="E1802" s="729"/>
      <c r="F1802" s="104"/>
      <c r="G1802" s="104"/>
      <c r="H1802" s="104"/>
      <c r="I1802" s="103"/>
      <c r="J1802" s="104"/>
      <c r="K1802" s="104"/>
      <c r="L1802" s="104"/>
      <c r="M1802" s="103"/>
      <c r="N1802" s="103"/>
      <c r="O1802" s="103"/>
      <c r="P1802" s="103"/>
      <c r="Q1802" s="103"/>
      <c r="R1802" s="236"/>
      <c r="S1802" s="730" t="str">
        <f t="shared" si="674"/>
        <v/>
      </c>
      <c r="T1802" s="730" t="str">
        <f t="shared" si="674"/>
        <v/>
      </c>
      <c r="U1802" s="730" t="str">
        <f t="shared" si="674"/>
        <v/>
      </c>
      <c r="V1802" s="730" t="str">
        <f t="shared" si="673"/>
        <v/>
      </c>
      <c r="W1802" s="254"/>
    </row>
    <row r="1803" spans="1:26" s="713" customFormat="1" ht="12" customHeight="1">
      <c r="A1803" s="701" t="s">
        <v>273</v>
      </c>
      <c r="B1803" s="701" t="s">
        <v>863</v>
      </c>
      <c r="C1803" s="702"/>
      <c r="D1803" s="702" t="s">
        <v>98</v>
      </c>
      <c r="E1803" s="703" t="s">
        <v>100</v>
      </c>
      <c r="F1803" s="711">
        <f>+F1806+F1808+F1809</f>
        <v>118962771</v>
      </c>
      <c r="G1803" s="711">
        <f t="shared" ref="G1803:Q1803" si="707">+G1806+G1808+G1809</f>
        <v>0</v>
      </c>
      <c r="H1803" s="711">
        <f t="shared" si="707"/>
        <v>0</v>
      </c>
      <c r="I1803" s="711">
        <f t="shared" si="707"/>
        <v>118962771</v>
      </c>
      <c r="J1803" s="711">
        <f t="shared" si="707"/>
        <v>118404204.29000001</v>
      </c>
      <c r="K1803" s="711">
        <f t="shared" si="707"/>
        <v>0</v>
      </c>
      <c r="L1803" s="711">
        <f t="shared" si="707"/>
        <v>0</v>
      </c>
      <c r="M1803" s="711">
        <f t="shared" si="707"/>
        <v>118404204.29000001</v>
      </c>
      <c r="N1803" s="711">
        <f t="shared" si="707"/>
        <v>558566.70999999344</v>
      </c>
      <c r="O1803" s="711">
        <f t="shared" si="707"/>
        <v>0</v>
      </c>
      <c r="P1803" s="711">
        <f t="shared" si="707"/>
        <v>0</v>
      </c>
      <c r="Q1803" s="711">
        <f t="shared" si="707"/>
        <v>558566.70999999344</v>
      </c>
      <c r="R1803" s="712"/>
      <c r="S1803" s="299">
        <f t="shared" si="674"/>
        <v>0.99530469318002024</v>
      </c>
      <c r="T1803" s="299" t="str">
        <f t="shared" si="674"/>
        <v/>
      </c>
      <c r="U1803" s="299" t="str">
        <f t="shared" si="674"/>
        <v/>
      </c>
      <c r="V1803" s="299">
        <f t="shared" si="673"/>
        <v>0.99530469318002024</v>
      </c>
      <c r="W1803" s="299"/>
      <c r="X1803" s="527"/>
      <c r="Y1803" s="629" t="s">
        <v>598</v>
      </c>
      <c r="Z1803" s="255" t="s">
        <v>598</v>
      </c>
    </row>
    <row r="1804" spans="1:26" ht="12" customHeight="1">
      <c r="A1804" s="246" t="s">
        <v>273</v>
      </c>
      <c r="B1804" s="235" t="s">
        <v>863</v>
      </c>
      <c r="C1804" s="728"/>
      <c r="D1804" s="394" t="s">
        <v>288</v>
      </c>
      <c r="E1804" s="729" t="s">
        <v>288</v>
      </c>
      <c r="F1804" s="104">
        <f t="shared" ref="F1804:H1805" si="708">+F54+F149+F244+F324+F419+F533+F582+F647+F727+F822+F947+F1012+F1167+F1247+F1312+F1377</f>
        <v>48450069</v>
      </c>
      <c r="G1804" s="104">
        <f t="shared" si="708"/>
        <v>0</v>
      </c>
      <c r="H1804" s="104">
        <f t="shared" si="708"/>
        <v>0</v>
      </c>
      <c r="I1804" s="103">
        <f>SUM(F1804:H1804)</f>
        <v>48450069</v>
      </c>
      <c r="J1804" s="104">
        <f t="shared" ref="J1804:L1805" si="709">+J54+J149+J244+J324+J419+J533+J582+J647+J727+J822+J947+J1012+J1167+J1247+J1312+J1377</f>
        <v>48202419.509999998</v>
      </c>
      <c r="K1804" s="104">
        <f t="shared" si="709"/>
        <v>0</v>
      </c>
      <c r="L1804" s="104">
        <f t="shared" si="709"/>
        <v>0</v>
      </c>
      <c r="M1804" s="103">
        <f>SUM(J1804:L1804)</f>
        <v>48202419.509999998</v>
      </c>
      <c r="N1804" s="103">
        <f t="shared" ref="N1804:P1805" si="710">+F1804-J1804</f>
        <v>247649.49000000209</v>
      </c>
      <c r="O1804" s="103">
        <f t="shared" si="710"/>
        <v>0</v>
      </c>
      <c r="P1804" s="103">
        <f t="shared" si="710"/>
        <v>0</v>
      </c>
      <c r="Q1804" s="103">
        <f>SUM(N1804:P1804)</f>
        <v>247649.49000000209</v>
      </c>
      <c r="S1804" s="730">
        <f t="shared" si="674"/>
        <v>0.99488856269740289</v>
      </c>
      <c r="T1804" s="730" t="str">
        <f t="shared" si="674"/>
        <v/>
      </c>
      <c r="U1804" s="730" t="str">
        <f t="shared" si="674"/>
        <v/>
      </c>
      <c r="V1804" s="730">
        <f t="shared" si="673"/>
        <v>0.99488856269740289</v>
      </c>
      <c r="W1804" s="254"/>
      <c r="Y1804" s="610" t="s">
        <v>598</v>
      </c>
      <c r="Z1804" s="241"/>
    </row>
    <row r="1805" spans="1:26" ht="12" customHeight="1">
      <c r="A1805" s="246" t="s">
        <v>273</v>
      </c>
      <c r="B1805" s="235" t="s">
        <v>863</v>
      </c>
      <c r="C1805" s="728"/>
      <c r="D1805" s="394" t="s">
        <v>761</v>
      </c>
      <c r="E1805" s="729" t="s">
        <v>761</v>
      </c>
      <c r="F1805" s="104">
        <f t="shared" si="708"/>
        <v>28324500</v>
      </c>
      <c r="G1805" s="104">
        <f t="shared" si="708"/>
        <v>0</v>
      </c>
      <c r="H1805" s="104">
        <f t="shared" si="708"/>
        <v>0</v>
      </c>
      <c r="I1805" s="103">
        <f>SUM(F1805:H1805)</f>
        <v>28324500</v>
      </c>
      <c r="J1805" s="104">
        <f t="shared" si="709"/>
        <v>28023489.740000002</v>
      </c>
      <c r="K1805" s="104">
        <f t="shared" si="709"/>
        <v>0</v>
      </c>
      <c r="L1805" s="104">
        <f t="shared" si="709"/>
        <v>0</v>
      </c>
      <c r="M1805" s="103">
        <f>SUM(J1805:L1805)</f>
        <v>28023489.740000002</v>
      </c>
      <c r="N1805" s="103">
        <f t="shared" si="710"/>
        <v>301010.25999999791</v>
      </c>
      <c r="O1805" s="103">
        <f t="shared" si="710"/>
        <v>0</v>
      </c>
      <c r="P1805" s="103">
        <f t="shared" si="710"/>
        <v>0</v>
      </c>
      <c r="Q1805" s="103">
        <f>SUM(N1805:P1805)</f>
        <v>301010.25999999791</v>
      </c>
      <c r="S1805" s="730">
        <f t="shared" si="674"/>
        <v>0.98937279528323541</v>
      </c>
      <c r="T1805" s="730" t="str">
        <f t="shared" si="674"/>
        <v/>
      </c>
      <c r="U1805" s="730" t="str">
        <f t="shared" si="674"/>
        <v/>
      </c>
      <c r="V1805" s="730">
        <f t="shared" si="673"/>
        <v>0.98937279528323541</v>
      </c>
      <c r="W1805" s="254"/>
      <c r="Y1805" s="610" t="s">
        <v>598</v>
      </c>
      <c r="Z1805" s="241"/>
    </row>
    <row r="1806" spans="1:26" s="272" customFormat="1" ht="12" customHeight="1">
      <c r="A1806" s="246" t="s">
        <v>273</v>
      </c>
      <c r="B1806" s="246" t="s">
        <v>863</v>
      </c>
      <c r="C1806" s="707"/>
      <c r="D1806" s="707" t="s">
        <v>770</v>
      </c>
      <c r="E1806" s="707" t="s">
        <v>770</v>
      </c>
      <c r="F1806" s="428">
        <f t="shared" ref="F1806:Q1806" si="711">SUM(F1804:F1805)</f>
        <v>76774569</v>
      </c>
      <c r="G1806" s="428">
        <f t="shared" si="711"/>
        <v>0</v>
      </c>
      <c r="H1806" s="428">
        <f t="shared" si="711"/>
        <v>0</v>
      </c>
      <c r="I1806" s="428">
        <f t="shared" si="711"/>
        <v>76774569</v>
      </c>
      <c r="J1806" s="428">
        <f t="shared" si="711"/>
        <v>76225909.25</v>
      </c>
      <c r="K1806" s="428">
        <f t="shared" si="711"/>
        <v>0</v>
      </c>
      <c r="L1806" s="428">
        <f t="shared" si="711"/>
        <v>0</v>
      </c>
      <c r="M1806" s="428">
        <f t="shared" si="711"/>
        <v>76225909.25</v>
      </c>
      <c r="N1806" s="428">
        <f t="shared" si="711"/>
        <v>548659.75</v>
      </c>
      <c r="O1806" s="428">
        <f t="shared" si="711"/>
        <v>0</v>
      </c>
      <c r="P1806" s="428">
        <f t="shared" si="711"/>
        <v>0</v>
      </c>
      <c r="Q1806" s="428">
        <f t="shared" si="711"/>
        <v>548659.75</v>
      </c>
      <c r="R1806" s="102"/>
      <c r="S1806" s="297">
        <f t="shared" si="674"/>
        <v>0.99285362643976549</v>
      </c>
      <c r="T1806" s="297" t="str">
        <f t="shared" si="674"/>
        <v/>
      </c>
      <c r="U1806" s="297" t="str">
        <f t="shared" si="674"/>
        <v/>
      </c>
      <c r="V1806" s="297">
        <f t="shared" si="673"/>
        <v>0.99285362643976549</v>
      </c>
      <c r="W1806" s="297"/>
      <c r="X1806" s="527"/>
      <c r="Y1806" s="629" t="s">
        <v>598</v>
      </c>
      <c r="Z1806" s="255"/>
    </row>
    <row r="1807" spans="1:26" s="272" customFormat="1" ht="12" customHeight="1">
      <c r="A1807" s="246" t="s">
        <v>273</v>
      </c>
      <c r="B1807" s="246" t="s">
        <v>863</v>
      </c>
      <c r="C1807" s="426"/>
      <c r="D1807" s="426"/>
      <c r="E1807" s="715"/>
      <c r="F1807" s="428"/>
      <c r="G1807" s="428"/>
      <c r="H1807" s="428"/>
      <c r="I1807" s="428"/>
      <c r="J1807" s="428"/>
      <c r="K1807" s="428"/>
      <c r="L1807" s="428"/>
      <c r="M1807" s="428"/>
      <c r="N1807" s="428"/>
      <c r="O1807" s="428"/>
      <c r="P1807" s="428"/>
      <c r="Q1807" s="428"/>
      <c r="R1807" s="102"/>
      <c r="S1807" s="297" t="str">
        <f t="shared" si="674"/>
        <v/>
      </c>
      <c r="T1807" s="297" t="str">
        <f t="shared" si="674"/>
        <v/>
      </c>
      <c r="U1807" s="297" t="str">
        <f t="shared" si="674"/>
        <v/>
      </c>
      <c r="V1807" s="297" t="str">
        <f t="shared" si="673"/>
        <v/>
      </c>
      <c r="W1807" s="297"/>
      <c r="X1807" s="527"/>
      <c r="Y1807" s="629" t="s">
        <v>598</v>
      </c>
      <c r="Z1807" s="261"/>
    </row>
    <row r="1808" spans="1:26" ht="12" customHeight="1">
      <c r="A1808" s="246" t="s">
        <v>273</v>
      </c>
      <c r="B1808" s="235" t="s">
        <v>863</v>
      </c>
      <c r="C1808" s="728"/>
      <c r="D1808" s="394" t="s">
        <v>289</v>
      </c>
      <c r="E1808" s="729" t="s">
        <v>289</v>
      </c>
      <c r="F1808" s="104">
        <f t="shared" ref="F1808:H1809" si="712">+F57+F152+F247+F327+F422+F536+F585+F650+F730+F825+F950+F1015+F1170+F1250+F1315+F1380</f>
        <v>42188202</v>
      </c>
      <c r="G1808" s="104">
        <f t="shared" si="712"/>
        <v>0</v>
      </c>
      <c r="H1808" s="104">
        <f t="shared" si="712"/>
        <v>0</v>
      </c>
      <c r="I1808" s="103">
        <f>SUM(F1808:H1808)</f>
        <v>42188202</v>
      </c>
      <c r="J1808" s="104">
        <f t="shared" ref="J1808:L1809" si="713">+J57+J152+J247+J327+J422+J536+J585+J650+J730+J825+J950+J1015+J1170+J1250+J1315+J1380</f>
        <v>42178295.040000007</v>
      </c>
      <c r="K1808" s="104">
        <f t="shared" si="713"/>
        <v>0</v>
      </c>
      <c r="L1808" s="104">
        <f t="shared" si="713"/>
        <v>0</v>
      </c>
      <c r="M1808" s="103">
        <f>SUM(J1808:L1808)</f>
        <v>42178295.040000007</v>
      </c>
      <c r="N1808" s="103">
        <f t="shared" ref="N1808:P1810" si="714">+F1808-J1808</f>
        <v>9906.9599999934435</v>
      </c>
      <c r="O1808" s="103">
        <f t="shared" si="714"/>
        <v>0</v>
      </c>
      <c r="P1808" s="103">
        <f t="shared" si="714"/>
        <v>0</v>
      </c>
      <c r="Q1808" s="103">
        <f>SUM(N1808:P1808)</f>
        <v>9906.9599999934435</v>
      </c>
      <c r="S1808" s="730">
        <f t="shared" si="674"/>
        <v>0.99976517226308925</v>
      </c>
      <c r="T1808" s="730" t="str">
        <f t="shared" si="674"/>
        <v/>
      </c>
      <c r="U1808" s="730" t="str">
        <f t="shared" si="674"/>
        <v/>
      </c>
      <c r="V1808" s="730">
        <f t="shared" si="673"/>
        <v>0.99976517226308925</v>
      </c>
      <c r="W1808" s="254"/>
      <c r="Y1808" s="610" t="s">
        <v>598</v>
      </c>
    </row>
    <row r="1809" spans="1:26" ht="12" customHeight="1">
      <c r="A1809" s="246" t="s">
        <v>273</v>
      </c>
      <c r="B1809" s="235" t="s">
        <v>863</v>
      </c>
      <c r="C1809" s="728"/>
      <c r="D1809" s="394" t="s">
        <v>290</v>
      </c>
      <c r="E1809" s="729" t="s">
        <v>290</v>
      </c>
      <c r="F1809" s="104">
        <f t="shared" si="712"/>
        <v>0</v>
      </c>
      <c r="G1809" s="104">
        <f t="shared" si="712"/>
        <v>0</v>
      </c>
      <c r="H1809" s="104">
        <f t="shared" si="712"/>
        <v>0</v>
      </c>
      <c r="I1809" s="103">
        <f>SUM(F1809:H1809)</f>
        <v>0</v>
      </c>
      <c r="J1809" s="104">
        <f t="shared" si="713"/>
        <v>0</v>
      </c>
      <c r="K1809" s="104">
        <f t="shared" si="713"/>
        <v>0</v>
      </c>
      <c r="L1809" s="104">
        <f t="shared" si="713"/>
        <v>0</v>
      </c>
      <c r="M1809" s="103">
        <f>SUM(J1809:L1809)</f>
        <v>0</v>
      </c>
      <c r="N1809" s="103">
        <f t="shared" si="714"/>
        <v>0</v>
      </c>
      <c r="O1809" s="103">
        <f t="shared" si="714"/>
        <v>0</v>
      </c>
      <c r="P1809" s="103">
        <f t="shared" si="714"/>
        <v>0</v>
      </c>
      <c r="Q1809" s="103">
        <f>SUM(N1809:P1809)</f>
        <v>0</v>
      </c>
      <c r="S1809" s="730" t="str">
        <f t="shared" si="674"/>
        <v/>
      </c>
      <c r="T1809" s="730" t="str">
        <f t="shared" si="674"/>
        <v/>
      </c>
      <c r="U1809" s="730" t="str">
        <f t="shared" si="674"/>
        <v/>
      </c>
      <c r="V1809" s="730" t="str">
        <f t="shared" si="673"/>
        <v/>
      </c>
      <c r="W1809" s="254"/>
      <c r="Y1809" s="610" t="s">
        <v>598</v>
      </c>
    </row>
    <row r="1810" spans="1:26" ht="12" customHeight="1">
      <c r="A1810" s="246" t="s">
        <v>273</v>
      </c>
      <c r="B1810" s="235" t="s">
        <v>863</v>
      </c>
      <c r="C1810" s="709"/>
      <c r="D1810" s="714"/>
      <c r="E1810" s="726"/>
      <c r="F1810" s="104"/>
      <c r="G1810" s="104"/>
      <c r="H1810" s="104"/>
      <c r="I1810" s="103">
        <f>SUM(F1810:H1810)</f>
        <v>0</v>
      </c>
      <c r="J1810" s="104"/>
      <c r="K1810" s="104"/>
      <c r="L1810" s="104"/>
      <c r="M1810" s="103">
        <f>SUM(J1810:L1810)</f>
        <v>0</v>
      </c>
      <c r="N1810" s="103">
        <f t="shared" si="714"/>
        <v>0</v>
      </c>
      <c r="O1810" s="103">
        <f t="shared" si="714"/>
        <v>0</v>
      </c>
      <c r="P1810" s="103">
        <f t="shared" si="714"/>
        <v>0</v>
      </c>
      <c r="Q1810" s="103">
        <f>SUM(N1810:P1810)</f>
        <v>0</v>
      </c>
      <c r="S1810" s="730" t="str">
        <f t="shared" si="674"/>
        <v/>
      </c>
      <c r="T1810" s="730" t="str">
        <f t="shared" si="674"/>
        <v/>
      </c>
      <c r="U1810" s="730" t="str">
        <f t="shared" si="674"/>
        <v/>
      </c>
      <c r="V1810" s="730" t="str">
        <f t="shared" si="673"/>
        <v/>
      </c>
      <c r="W1810" s="254"/>
      <c r="Y1810" s="610" t="s">
        <v>598</v>
      </c>
      <c r="Z1810" s="241" t="s">
        <v>598</v>
      </c>
    </row>
    <row r="1811" spans="1:26" s="158" customFormat="1" ht="12" customHeight="1">
      <c r="A1811" s="278" t="s">
        <v>273</v>
      </c>
      <c r="B1811" s="278" t="s">
        <v>863</v>
      </c>
      <c r="C1811" s="1419" t="s">
        <v>430</v>
      </c>
      <c r="D1811" s="1420"/>
      <c r="E1811" s="1421"/>
      <c r="F1811" s="710">
        <f>+F1812+F1816</f>
        <v>581107650.60000002</v>
      </c>
      <c r="G1811" s="710">
        <f t="shared" ref="G1811:Q1811" si="715">+G1812+G1816</f>
        <v>209830835</v>
      </c>
      <c r="H1811" s="710">
        <f t="shared" si="715"/>
        <v>5500000</v>
      </c>
      <c r="I1811" s="710">
        <f t="shared" si="715"/>
        <v>796438485.60000002</v>
      </c>
      <c r="J1811" s="710">
        <f t="shared" si="715"/>
        <v>529142583.62</v>
      </c>
      <c r="K1811" s="710">
        <f t="shared" si="715"/>
        <v>170441543.17000002</v>
      </c>
      <c r="L1811" s="710">
        <f t="shared" si="715"/>
        <v>0</v>
      </c>
      <c r="M1811" s="710">
        <f t="shared" si="715"/>
        <v>699584126.78999996</v>
      </c>
      <c r="N1811" s="710">
        <f t="shared" si="715"/>
        <v>51965066.979999959</v>
      </c>
      <c r="O1811" s="710">
        <f t="shared" si="715"/>
        <v>39389291.829999983</v>
      </c>
      <c r="P1811" s="710">
        <f t="shared" si="715"/>
        <v>5500000</v>
      </c>
      <c r="Q1811" s="710">
        <f t="shared" si="715"/>
        <v>96854358.809999943</v>
      </c>
      <c r="R1811" s="680"/>
      <c r="S1811" s="298">
        <f t="shared" si="674"/>
        <v>0.91057583405356046</v>
      </c>
      <c r="T1811" s="298">
        <f t="shared" si="674"/>
        <v>0.81228072685313391</v>
      </c>
      <c r="U1811" s="298">
        <f t="shared" si="674"/>
        <v>0</v>
      </c>
      <c r="V1811" s="298">
        <f t="shared" si="673"/>
        <v>0.87839065971675834</v>
      </c>
      <c r="W1811" s="298"/>
      <c r="X1811" s="247"/>
      <c r="Y1811" s="629" t="s">
        <v>598</v>
      </c>
      <c r="Z1811" s="261" t="s">
        <v>598</v>
      </c>
    </row>
    <row r="1812" spans="1:26" s="706" customFormat="1" ht="12" customHeight="1">
      <c r="A1812" s="701" t="s">
        <v>273</v>
      </c>
      <c r="B1812" s="701" t="s">
        <v>863</v>
      </c>
      <c r="C1812" s="702"/>
      <c r="D1812" s="702" t="s">
        <v>98</v>
      </c>
      <c r="E1812" s="703" t="s">
        <v>99</v>
      </c>
      <c r="F1812" s="711">
        <f>+F1813+F1814</f>
        <v>371020001</v>
      </c>
      <c r="G1812" s="711">
        <f t="shared" ref="G1812:Q1812" si="716">+G1813+G1814</f>
        <v>0</v>
      </c>
      <c r="H1812" s="711">
        <f t="shared" si="716"/>
        <v>0</v>
      </c>
      <c r="I1812" s="711">
        <f t="shared" si="716"/>
        <v>371020001</v>
      </c>
      <c r="J1812" s="711">
        <f t="shared" si="716"/>
        <v>326389314.48000002</v>
      </c>
      <c r="K1812" s="711">
        <f t="shared" si="716"/>
        <v>0</v>
      </c>
      <c r="L1812" s="711">
        <f t="shared" si="716"/>
        <v>0</v>
      </c>
      <c r="M1812" s="711">
        <f t="shared" si="716"/>
        <v>326389314.48000002</v>
      </c>
      <c r="N1812" s="711">
        <f t="shared" si="716"/>
        <v>44630686.519999951</v>
      </c>
      <c r="O1812" s="711">
        <f t="shared" si="716"/>
        <v>0</v>
      </c>
      <c r="P1812" s="711">
        <f t="shared" si="716"/>
        <v>0</v>
      </c>
      <c r="Q1812" s="711">
        <f t="shared" si="716"/>
        <v>44630686.519999951</v>
      </c>
      <c r="R1812" s="705"/>
      <c r="S1812" s="299">
        <f t="shared" si="674"/>
        <v>0.87970813864560371</v>
      </c>
      <c r="T1812" s="299" t="str">
        <f t="shared" si="674"/>
        <v/>
      </c>
      <c r="U1812" s="299" t="str">
        <f t="shared" si="674"/>
        <v/>
      </c>
      <c r="V1812" s="299">
        <f t="shared" si="673"/>
        <v>0.87970813864560371</v>
      </c>
      <c r="W1812" s="299"/>
      <c r="X1812" s="271"/>
      <c r="Y1812" s="628" t="s">
        <v>598</v>
      </c>
      <c r="Z1812" s="255" t="s">
        <v>598</v>
      </c>
    </row>
    <row r="1813" spans="1:26" ht="12" customHeight="1">
      <c r="A1813" s="246" t="s">
        <v>273</v>
      </c>
      <c r="B1813" s="235" t="s">
        <v>863</v>
      </c>
      <c r="C1813" s="728"/>
      <c r="D1813" s="394" t="s">
        <v>286</v>
      </c>
      <c r="E1813" s="729" t="s">
        <v>286</v>
      </c>
      <c r="F1813" s="104">
        <f>+F68+F83+F98+F113+F163+F178+F193+F208+F258+F273+F288+F338+F353+F368+F383+F433+F448+F463+F479+F494+F547+F596+F611+F661+F676+F691+F741+F756+F771+F786+F836+F851+F866+F881+F896+F911+F961+F976+F1026+F1071+F1041+F1086+F1101+F1116+F1131+F1181+F1196+F1211+F1261+F1276+F1326+F1341+F1391+F1406+F1056</f>
        <v>370934591</v>
      </c>
      <c r="G1813" s="104">
        <f>+G68+G83+G98+G113+G163+G178+G193+G208+G258+G273+G288+G338+G353+G368+G383+G433+G448+G463+G479+G494+G547+G596+G611+G661+G676+G691+G741+G756+G771+G786+G836+G851+G866+G881+G896+G911+G961+G976+G1026+G1071+G1041+G1086+G1101+G1116+G1131+G1181+G1196+G1211+G1261+G1276+G1326+G1341+G1391+G1406+G1056</f>
        <v>0</v>
      </c>
      <c r="H1813" s="104">
        <f>+H68+H83+H98+H113+H163+H178+H193+H208+H258+H273+H288+H338+H353+H368+H383+H433+H448+H463+H479+H494+H547+H596+H611+H661+H676+H691+H741+H756+H771+H786+H836+H851+H866+H881+H896+H911+H961+H976+H1026+H1071+H1041+H1086+H1101+H1116+H1131+H1181+H1196+H1211+H1261+H1276+H1326+H1341+H1391+H1406+H1056</f>
        <v>0</v>
      </c>
      <c r="I1813" s="103">
        <f>SUM(F1813:H1813)</f>
        <v>370934591</v>
      </c>
      <c r="J1813" s="104">
        <f>+J68+J83+J98+J113+J163+J178+J193+J208+J258+J273+J288+J338+J353+J368+J383+J433+J448+J463+J479+J494+J547+J596+J611+J661+J676+J691+J741+J756+J771+J786+J836+J851+J866+J881+J896+J911+J961+J976+J1026+J1071+J1041+J1086+J1101+J1116+J1131+J1181+J1196+J1211+J1261+J1276+J1326+J1341+J1391+J1406+J1056</f>
        <v>326311022.64000005</v>
      </c>
      <c r="K1813" s="104">
        <f>+K68+K83+K98+K113+K163+K178+K193+K208+K258+K273+K288+K338+K353+K368+K383+K433+K448+K463+K479+K494+K547+K596+K611+K661+K676+K691+K741+K756+K771+K786+K836+K851+K866+K881+K896+K911+K961+K976+K1026+K1071+K1041+K1086+K1101+K1116+K1131+K1181+K1196+K1211+K1261+K1276+K1326+K1341+K1391+K1406+K1056</f>
        <v>0</v>
      </c>
      <c r="L1813" s="104">
        <f>+L68+L83+L98+L113+L163+L178+L193+L208+L258+L273+L288+L338+L353+L368+L383+L433+L448+L463+L479+L494+L547+L596+L611+L661+L676+L691+L741+L756+L771+L786+L836+L851+L866+L881+L896+L911+L961+L976+L1026+L1071+L1041+L1086+L1101+L1116+L1131+L1181+L1196+L1211+L1261+L1276+L1326+L1341+L1391+L1406+L1056</f>
        <v>0</v>
      </c>
      <c r="M1813" s="103">
        <f>SUM(J1813:L1813)</f>
        <v>326311022.64000005</v>
      </c>
      <c r="N1813" s="103">
        <f t="shared" ref="N1813:P1814" si="717">+F1813-J1813</f>
        <v>44623568.359999955</v>
      </c>
      <c r="O1813" s="103">
        <f t="shared" si="717"/>
        <v>0</v>
      </c>
      <c r="P1813" s="103">
        <f t="shared" si="717"/>
        <v>0</v>
      </c>
      <c r="Q1813" s="103">
        <f>SUM(N1813:P1813)</f>
        <v>44623568.359999955</v>
      </c>
      <c r="S1813" s="730">
        <f t="shared" si="674"/>
        <v>0.87969963049361455</v>
      </c>
      <c r="T1813" s="730" t="str">
        <f t="shared" si="674"/>
        <v/>
      </c>
      <c r="U1813" s="730" t="str">
        <f t="shared" si="674"/>
        <v/>
      </c>
      <c r="V1813" s="730">
        <f t="shared" si="673"/>
        <v>0.87969963049361455</v>
      </c>
      <c r="W1813" s="254"/>
      <c r="Y1813" s="610" t="s">
        <v>598</v>
      </c>
    </row>
    <row r="1814" spans="1:26" ht="12" customHeight="1">
      <c r="A1814" s="246" t="s">
        <v>273</v>
      </c>
      <c r="B1814" s="235" t="s">
        <v>863</v>
      </c>
      <c r="C1814" s="728"/>
      <c r="D1814" s="394" t="s">
        <v>50</v>
      </c>
      <c r="E1814" s="447" t="s">
        <v>50</v>
      </c>
      <c r="F1814" s="104">
        <f>+F495</f>
        <v>85410</v>
      </c>
      <c r="G1814" s="104">
        <f>+G495</f>
        <v>0</v>
      </c>
      <c r="H1814" s="104">
        <f>+H495</f>
        <v>0</v>
      </c>
      <c r="I1814" s="103">
        <f>SUM(F1814:H1814)</f>
        <v>85410</v>
      </c>
      <c r="J1814" s="104">
        <f>+J495</f>
        <v>78291.839999999997</v>
      </c>
      <c r="K1814" s="104">
        <f>+K495</f>
        <v>0</v>
      </c>
      <c r="L1814" s="104">
        <f>+L495</f>
        <v>0</v>
      </c>
      <c r="M1814" s="103">
        <f>SUM(J1814:L1814)</f>
        <v>78291.839999999997</v>
      </c>
      <c r="N1814" s="103">
        <f t="shared" si="717"/>
        <v>7118.1600000000035</v>
      </c>
      <c r="O1814" s="103">
        <f t="shared" si="717"/>
        <v>0</v>
      </c>
      <c r="P1814" s="103">
        <f t="shared" si="717"/>
        <v>0</v>
      </c>
      <c r="Q1814" s="103">
        <f>SUM(N1814:P1814)</f>
        <v>7118.1600000000035</v>
      </c>
      <c r="S1814" s="730">
        <f t="shared" si="674"/>
        <v>0.91665893923428166</v>
      </c>
      <c r="T1814" s="730" t="str">
        <f t="shared" si="674"/>
        <v/>
      </c>
      <c r="U1814" s="730" t="str">
        <f t="shared" si="674"/>
        <v/>
      </c>
      <c r="V1814" s="730">
        <f t="shared" si="673"/>
        <v>0.91665893923428166</v>
      </c>
      <c r="W1814" s="254"/>
      <c r="Y1814" s="610" t="s">
        <v>688</v>
      </c>
    </row>
    <row r="1815" spans="1:26" ht="12" hidden="1" customHeight="1">
      <c r="A1815" s="246"/>
      <c r="B1815" s="235"/>
      <c r="C1815" s="411"/>
      <c r="D1815" s="386"/>
      <c r="E1815" s="729"/>
      <c r="F1815" s="104"/>
      <c r="G1815" s="104"/>
      <c r="H1815" s="104"/>
      <c r="I1815" s="103"/>
      <c r="J1815" s="104"/>
      <c r="K1815" s="104"/>
      <c r="L1815" s="104"/>
      <c r="M1815" s="103"/>
      <c r="N1815" s="103"/>
      <c r="O1815" s="103"/>
      <c r="P1815" s="103"/>
      <c r="Q1815" s="103"/>
      <c r="R1815" s="236"/>
      <c r="S1815" s="730" t="str">
        <f t="shared" si="674"/>
        <v/>
      </c>
      <c r="T1815" s="730" t="str">
        <f t="shared" si="674"/>
        <v/>
      </c>
      <c r="U1815" s="730" t="str">
        <f t="shared" si="674"/>
        <v/>
      </c>
      <c r="V1815" s="730" t="str">
        <f t="shared" si="674"/>
        <v/>
      </c>
      <c r="W1815" s="254"/>
    </row>
    <row r="1816" spans="1:26" s="713" customFormat="1" ht="12" customHeight="1">
      <c r="A1816" s="701" t="s">
        <v>273</v>
      </c>
      <c r="B1816" s="701" t="s">
        <v>863</v>
      </c>
      <c r="C1816" s="702"/>
      <c r="D1816" s="702" t="s">
        <v>98</v>
      </c>
      <c r="E1816" s="703" t="s">
        <v>100</v>
      </c>
      <c r="F1816" s="711">
        <f>+F1819+F1821+F1822</f>
        <v>210087649.59999999</v>
      </c>
      <c r="G1816" s="711">
        <f t="shared" ref="G1816:Q1816" si="718">+G1819+G1821+G1822</f>
        <v>209830835</v>
      </c>
      <c r="H1816" s="711">
        <f t="shared" si="718"/>
        <v>5500000</v>
      </c>
      <c r="I1816" s="711">
        <f t="shared" si="718"/>
        <v>425418484.60000002</v>
      </c>
      <c r="J1816" s="711">
        <f t="shared" si="718"/>
        <v>202753269.13999999</v>
      </c>
      <c r="K1816" s="711">
        <f t="shared" si="718"/>
        <v>170441543.17000002</v>
      </c>
      <c r="L1816" s="711">
        <f t="shared" si="718"/>
        <v>0</v>
      </c>
      <c r="M1816" s="711">
        <f t="shared" si="718"/>
        <v>373194812.31</v>
      </c>
      <c r="N1816" s="711">
        <f t="shared" si="718"/>
        <v>7334380.4600000083</v>
      </c>
      <c r="O1816" s="711">
        <f t="shared" si="718"/>
        <v>39389291.829999983</v>
      </c>
      <c r="P1816" s="711">
        <f t="shared" si="718"/>
        <v>5500000</v>
      </c>
      <c r="Q1816" s="711">
        <f t="shared" si="718"/>
        <v>52223672.289999992</v>
      </c>
      <c r="R1816" s="712"/>
      <c r="S1816" s="299">
        <f t="shared" ref="S1816:V1850" si="719">IF(F1816=0,"",J1816/F1816)</f>
        <v>0.96508894990274574</v>
      </c>
      <c r="T1816" s="299">
        <f t="shared" si="719"/>
        <v>0.81228072685313391</v>
      </c>
      <c r="U1816" s="299">
        <f t="shared" si="719"/>
        <v>0</v>
      </c>
      <c r="V1816" s="299">
        <f t="shared" si="719"/>
        <v>0.87724164750597666</v>
      </c>
      <c r="W1816" s="299"/>
      <c r="X1816" s="527"/>
      <c r="Y1816" s="629" t="s">
        <v>598</v>
      </c>
      <c r="Z1816" s="255" t="s">
        <v>598</v>
      </c>
    </row>
    <row r="1817" spans="1:26" ht="12" customHeight="1">
      <c r="A1817" s="246" t="s">
        <v>273</v>
      </c>
      <c r="B1817" s="235" t="s">
        <v>863</v>
      </c>
      <c r="C1817" s="728"/>
      <c r="D1817" s="394" t="s">
        <v>288</v>
      </c>
      <c r="E1817" s="729" t="s">
        <v>288</v>
      </c>
      <c r="F1817" s="104">
        <f t="shared" ref="F1817:H1818" si="720">+F70+F85+F100+F115+F165+F180+F195+F210+F260+F275+F290+F340+F355+F370+F385+F435+F450+F466+F481+F498+F549+F598+F613+F663+F678+F693+F743+F758+F773+F788+F838+F853+F868+F883+F898+F913+F963+F978+F1028+F1073+F1043+F1088+F1103+F1118+F1133+F1183+F1198+F1213+F1263+F1278+F1328+F1343+F1393+F1408+F1058</f>
        <v>24321711.600000001</v>
      </c>
      <c r="G1817" s="104">
        <f t="shared" si="720"/>
        <v>0</v>
      </c>
      <c r="H1817" s="104">
        <f t="shared" si="720"/>
        <v>0</v>
      </c>
      <c r="I1817" s="103">
        <f>SUM(F1817:H1817)</f>
        <v>24321711.600000001</v>
      </c>
      <c r="J1817" s="104">
        <f t="shared" ref="J1817:L1818" si="721">+J70+J85+J100+J115+J165+J180+J195+J210+J260+J275+J290+J340+J355+J370+J385+J435+J450+J466+J481+J498+J549+J598+J613+J663+J678+J693+J743+J758+J773+J788+J838+J853+J868+J883+J898+J913+J963+J978+J1028+J1073+J1043+J1088+J1103+J1118+J1133+J1183+J1198+J1213+J1263+J1278+J1328+J1343+J1393+J1408+J1058</f>
        <v>18849013.68</v>
      </c>
      <c r="K1817" s="104">
        <f t="shared" si="721"/>
        <v>0</v>
      </c>
      <c r="L1817" s="104">
        <f t="shared" si="721"/>
        <v>0</v>
      </c>
      <c r="M1817" s="103">
        <f>SUM(J1817:L1817)</f>
        <v>18849013.68</v>
      </c>
      <c r="N1817" s="103">
        <f t="shared" ref="N1817:P1818" si="722">+F1817-J1817</f>
        <v>5472697.9200000018</v>
      </c>
      <c r="O1817" s="103">
        <f t="shared" si="722"/>
        <v>0</v>
      </c>
      <c r="P1817" s="103">
        <f t="shared" si="722"/>
        <v>0</v>
      </c>
      <c r="Q1817" s="103">
        <f>SUM(N1817:P1817)</f>
        <v>5472697.9200000018</v>
      </c>
      <c r="S1817" s="730">
        <f t="shared" si="719"/>
        <v>0.77498713865187019</v>
      </c>
      <c r="T1817" s="730" t="str">
        <f t="shared" si="719"/>
        <v/>
      </c>
      <c r="U1817" s="730" t="str">
        <f t="shared" si="719"/>
        <v/>
      </c>
      <c r="V1817" s="730">
        <f t="shared" si="719"/>
        <v>0.77498713865187019</v>
      </c>
      <c r="W1817" s="254"/>
      <c r="Y1817" s="610" t="s">
        <v>598</v>
      </c>
    </row>
    <row r="1818" spans="1:26" ht="12" customHeight="1">
      <c r="A1818" s="246" t="s">
        <v>273</v>
      </c>
      <c r="B1818" s="235" t="s">
        <v>863</v>
      </c>
      <c r="C1818" s="728"/>
      <c r="D1818" s="394" t="s">
        <v>761</v>
      </c>
      <c r="E1818" s="729" t="s">
        <v>761</v>
      </c>
      <c r="F1818" s="104">
        <f t="shared" si="720"/>
        <v>101393000</v>
      </c>
      <c r="G1818" s="104">
        <f t="shared" si="720"/>
        <v>0</v>
      </c>
      <c r="H1818" s="104">
        <f t="shared" si="720"/>
        <v>0</v>
      </c>
      <c r="I1818" s="103">
        <f>SUM(F1818:H1818)</f>
        <v>101393000</v>
      </c>
      <c r="J1818" s="104">
        <f t="shared" si="721"/>
        <v>99557099.849999994</v>
      </c>
      <c r="K1818" s="104">
        <f t="shared" si="721"/>
        <v>0</v>
      </c>
      <c r="L1818" s="104">
        <f t="shared" si="721"/>
        <v>0</v>
      </c>
      <c r="M1818" s="103">
        <f>SUM(J1818:L1818)</f>
        <v>99557099.849999994</v>
      </c>
      <c r="N1818" s="103">
        <f t="shared" si="722"/>
        <v>1835900.150000006</v>
      </c>
      <c r="O1818" s="103">
        <f t="shared" si="722"/>
        <v>0</v>
      </c>
      <c r="P1818" s="103">
        <f t="shared" si="722"/>
        <v>0</v>
      </c>
      <c r="Q1818" s="103">
        <f>SUM(N1818:P1818)</f>
        <v>1835900.150000006</v>
      </c>
      <c r="S1818" s="730">
        <f t="shared" si="719"/>
        <v>0.9818932258637183</v>
      </c>
      <c r="T1818" s="730" t="str">
        <f t="shared" si="719"/>
        <v/>
      </c>
      <c r="U1818" s="730" t="str">
        <f t="shared" si="719"/>
        <v/>
      </c>
      <c r="V1818" s="730">
        <f t="shared" si="719"/>
        <v>0.9818932258637183</v>
      </c>
      <c r="W1818" s="254"/>
      <c r="Y1818" s="610" t="s">
        <v>598</v>
      </c>
    </row>
    <row r="1819" spans="1:26" s="272" customFormat="1" ht="12" customHeight="1">
      <c r="A1819" s="246" t="s">
        <v>273</v>
      </c>
      <c r="B1819" s="246" t="s">
        <v>863</v>
      </c>
      <c r="C1819" s="707"/>
      <c r="D1819" s="707" t="s">
        <v>770</v>
      </c>
      <c r="E1819" s="707" t="s">
        <v>770</v>
      </c>
      <c r="F1819" s="428">
        <f t="shared" ref="F1819:Q1819" si="723">SUM(F1817:F1818)</f>
        <v>125714711.59999999</v>
      </c>
      <c r="G1819" s="428">
        <f t="shared" si="723"/>
        <v>0</v>
      </c>
      <c r="H1819" s="428">
        <f t="shared" si="723"/>
        <v>0</v>
      </c>
      <c r="I1819" s="428">
        <f t="shared" si="723"/>
        <v>125714711.59999999</v>
      </c>
      <c r="J1819" s="428">
        <f t="shared" si="723"/>
        <v>118406113.53</v>
      </c>
      <c r="K1819" s="428">
        <f t="shared" si="723"/>
        <v>0</v>
      </c>
      <c r="L1819" s="428">
        <f t="shared" si="723"/>
        <v>0</v>
      </c>
      <c r="M1819" s="428">
        <f t="shared" si="723"/>
        <v>118406113.53</v>
      </c>
      <c r="N1819" s="428">
        <f t="shared" si="723"/>
        <v>7308598.0700000077</v>
      </c>
      <c r="O1819" s="428">
        <f t="shared" si="723"/>
        <v>0</v>
      </c>
      <c r="P1819" s="428">
        <f t="shared" si="723"/>
        <v>0</v>
      </c>
      <c r="Q1819" s="428">
        <f t="shared" si="723"/>
        <v>7308598.0700000077</v>
      </c>
      <c r="R1819" s="102"/>
      <c r="S1819" s="297">
        <f t="shared" si="719"/>
        <v>0.9418636213933772</v>
      </c>
      <c r="T1819" s="297" t="str">
        <f t="shared" si="719"/>
        <v/>
      </c>
      <c r="U1819" s="297" t="str">
        <f t="shared" si="719"/>
        <v/>
      </c>
      <c r="V1819" s="297">
        <f t="shared" si="719"/>
        <v>0.9418636213933772</v>
      </c>
      <c r="W1819" s="297"/>
      <c r="X1819" s="527"/>
      <c r="Y1819" s="629" t="s">
        <v>598</v>
      </c>
      <c r="Z1819" s="261"/>
    </row>
    <row r="1820" spans="1:26" s="272" customFormat="1" ht="12" customHeight="1">
      <c r="A1820" s="246" t="s">
        <v>273</v>
      </c>
      <c r="B1820" s="246" t="s">
        <v>863</v>
      </c>
      <c r="C1820" s="426"/>
      <c r="D1820" s="426"/>
      <c r="E1820" s="715"/>
      <c r="F1820" s="428"/>
      <c r="G1820" s="428"/>
      <c r="H1820" s="428"/>
      <c r="I1820" s="428"/>
      <c r="J1820" s="428"/>
      <c r="K1820" s="428"/>
      <c r="L1820" s="428"/>
      <c r="M1820" s="428"/>
      <c r="N1820" s="428"/>
      <c r="O1820" s="428"/>
      <c r="P1820" s="428"/>
      <c r="Q1820" s="428"/>
      <c r="R1820" s="102"/>
      <c r="S1820" s="297" t="str">
        <f t="shared" si="719"/>
        <v/>
      </c>
      <c r="T1820" s="297" t="str">
        <f t="shared" si="719"/>
        <v/>
      </c>
      <c r="U1820" s="297" t="str">
        <f t="shared" si="719"/>
        <v/>
      </c>
      <c r="V1820" s="297" t="str">
        <f t="shared" si="719"/>
        <v/>
      </c>
      <c r="W1820" s="297"/>
      <c r="X1820" s="527"/>
      <c r="Y1820" s="629" t="s">
        <v>598</v>
      </c>
      <c r="Z1820" s="261"/>
    </row>
    <row r="1821" spans="1:26" ht="12" customHeight="1">
      <c r="A1821" s="246" t="s">
        <v>273</v>
      </c>
      <c r="B1821" s="235" t="s">
        <v>863</v>
      </c>
      <c r="C1821" s="728"/>
      <c r="D1821" s="394" t="s">
        <v>289</v>
      </c>
      <c r="E1821" s="729" t="s">
        <v>289</v>
      </c>
      <c r="F1821" s="104">
        <f t="shared" ref="F1821:H1822" si="724">+F73+F88+F103+F118+F168+F183+F198+F213+F263+F278+F293+F343+F358+F373+F388+F438+F453+F469+F484+F501+F552+F601+F616+F666+F681+F696+F746+F761+F776+F791+F841+F856+F871+F886+F901+F916+F966+F981+F1031+F1076+F1046+F1091+F1106+F1121+F1136+F1186+F1201+F1216+F1266+F1281+F1331+F1346+F1396+F1411+F1061</f>
        <v>84372938</v>
      </c>
      <c r="G1821" s="104">
        <f t="shared" si="724"/>
        <v>0</v>
      </c>
      <c r="H1821" s="104">
        <f t="shared" si="724"/>
        <v>0</v>
      </c>
      <c r="I1821" s="103">
        <f>SUM(F1821:H1821)</f>
        <v>84372938</v>
      </c>
      <c r="J1821" s="104">
        <f t="shared" ref="J1821:L1822" si="725">+J73+J88+J103+J118+J168+J183+J198+J213+J263+J278+J293+J343+J358+J373+J388+J438+J453+J469+J484+J501+J552+J601+J616+J666+J681+J696+J746+J761+J776+J791+J841+J856+J871+J886+J901+J916+J966+J981+J1031+J1076+J1046+J1091+J1106+J1121+J1136+J1186+J1201+J1216+J1266+J1281+J1331+J1346+J1396+J1411+J1061</f>
        <v>84347155.609999999</v>
      </c>
      <c r="K1821" s="104">
        <f t="shared" si="725"/>
        <v>0</v>
      </c>
      <c r="L1821" s="104">
        <f t="shared" si="725"/>
        <v>0</v>
      </c>
      <c r="M1821" s="103">
        <f>SUM(J1821:L1821)</f>
        <v>84347155.609999999</v>
      </c>
      <c r="N1821" s="103">
        <f t="shared" ref="N1821:P1822" si="726">+F1821-J1821</f>
        <v>25782.390000000596</v>
      </c>
      <c r="O1821" s="103">
        <f t="shared" si="726"/>
        <v>0</v>
      </c>
      <c r="P1821" s="103">
        <f t="shared" si="726"/>
        <v>0</v>
      </c>
      <c r="Q1821" s="103">
        <f>SUM(N1821:P1821)</f>
        <v>25782.390000000596</v>
      </c>
      <c r="S1821" s="730">
        <f t="shared" si="719"/>
        <v>0.99969442346549553</v>
      </c>
      <c r="T1821" s="730" t="str">
        <f t="shared" si="719"/>
        <v/>
      </c>
      <c r="U1821" s="730" t="str">
        <f t="shared" si="719"/>
        <v/>
      </c>
      <c r="V1821" s="730">
        <f t="shared" si="719"/>
        <v>0.99969442346549553</v>
      </c>
      <c r="W1821" s="254"/>
      <c r="Y1821" s="610" t="s">
        <v>598</v>
      </c>
    </row>
    <row r="1822" spans="1:26" ht="12" customHeight="1">
      <c r="A1822" s="246" t="s">
        <v>273</v>
      </c>
      <c r="B1822" s="235" t="s">
        <v>863</v>
      </c>
      <c r="C1822" s="728"/>
      <c r="D1822" s="394" t="s">
        <v>290</v>
      </c>
      <c r="E1822" s="729" t="s">
        <v>290</v>
      </c>
      <c r="F1822" s="104">
        <f t="shared" si="724"/>
        <v>0</v>
      </c>
      <c r="G1822" s="104">
        <f t="shared" si="724"/>
        <v>209830835</v>
      </c>
      <c r="H1822" s="104">
        <f t="shared" si="724"/>
        <v>5500000</v>
      </c>
      <c r="I1822" s="103">
        <f>SUM(F1822:H1822)</f>
        <v>215330835</v>
      </c>
      <c r="J1822" s="104">
        <f t="shared" si="725"/>
        <v>0</v>
      </c>
      <c r="K1822" s="104">
        <f t="shared" si="725"/>
        <v>170441543.17000002</v>
      </c>
      <c r="L1822" s="104">
        <f t="shared" si="725"/>
        <v>0</v>
      </c>
      <c r="M1822" s="103">
        <f>SUM(J1822:L1822)</f>
        <v>170441543.17000002</v>
      </c>
      <c r="N1822" s="103">
        <f t="shared" si="726"/>
        <v>0</v>
      </c>
      <c r="O1822" s="103">
        <f t="shared" si="726"/>
        <v>39389291.829999983</v>
      </c>
      <c r="P1822" s="103">
        <f t="shared" si="726"/>
        <v>5500000</v>
      </c>
      <c r="Q1822" s="103">
        <f>SUM(N1822:P1822)</f>
        <v>44889291.829999983</v>
      </c>
      <c r="S1822" s="730" t="str">
        <f t="shared" si="719"/>
        <v/>
      </c>
      <c r="T1822" s="730">
        <f t="shared" si="719"/>
        <v>0.81228072685313391</v>
      </c>
      <c r="U1822" s="730">
        <f t="shared" si="719"/>
        <v>0</v>
      </c>
      <c r="V1822" s="730">
        <f t="shared" si="719"/>
        <v>0.79153337779050559</v>
      </c>
      <c r="W1822" s="254"/>
      <c r="Y1822" s="610" t="s">
        <v>598</v>
      </c>
    </row>
    <row r="1823" spans="1:26" s="266" customFormat="1" ht="20.25" customHeight="1">
      <c r="A1823" s="291" t="s">
        <v>273</v>
      </c>
      <c r="B1823" s="1031" t="s">
        <v>863</v>
      </c>
      <c r="C1823" s="1422" t="s">
        <v>709</v>
      </c>
      <c r="D1823" s="1423"/>
      <c r="E1823" s="1424"/>
      <c r="F1823" s="421">
        <f t="shared" ref="F1823:Q1823" si="727">+F1740+F1762+F1774+F1786+F1799+F1811</f>
        <v>1424802710.5999999</v>
      </c>
      <c r="G1823" s="421">
        <f t="shared" si="727"/>
        <v>676428485.34000003</v>
      </c>
      <c r="H1823" s="421">
        <f t="shared" si="727"/>
        <v>27973109</v>
      </c>
      <c r="I1823" s="421">
        <f t="shared" si="727"/>
        <v>2129204304.9400001</v>
      </c>
      <c r="J1823" s="421">
        <f t="shared" si="727"/>
        <v>1222953639.3000002</v>
      </c>
      <c r="K1823" s="421">
        <f t="shared" si="727"/>
        <v>397153194.85000002</v>
      </c>
      <c r="L1823" s="421">
        <f t="shared" si="727"/>
        <v>0</v>
      </c>
      <c r="M1823" s="421">
        <f t="shared" si="727"/>
        <v>1620106834.1500001</v>
      </c>
      <c r="N1823" s="421">
        <f t="shared" si="727"/>
        <v>201849071.29999992</v>
      </c>
      <c r="O1823" s="421">
        <f t="shared" si="727"/>
        <v>279275290.49000001</v>
      </c>
      <c r="P1823" s="421">
        <f t="shared" si="727"/>
        <v>27973109</v>
      </c>
      <c r="Q1823" s="421">
        <f t="shared" si="727"/>
        <v>509097470.78999996</v>
      </c>
      <c r="R1823" s="641"/>
      <c r="S1823" s="1010">
        <f t="shared" si="719"/>
        <v>0.85833191514985341</v>
      </c>
      <c r="T1823" s="1010">
        <f t="shared" si="719"/>
        <v>0.58713256975033357</v>
      </c>
      <c r="U1823" s="1010">
        <f t="shared" si="719"/>
        <v>0</v>
      </c>
      <c r="V1823" s="1010">
        <f t="shared" si="719"/>
        <v>0.76089778251488827</v>
      </c>
      <c r="W1823" s="699"/>
      <c r="X1823" s="237"/>
      <c r="Y1823" s="610" t="s">
        <v>598</v>
      </c>
      <c r="Z1823" s="241" t="s">
        <v>598</v>
      </c>
    </row>
    <row r="1824" spans="1:26" s="301" customFormat="1" ht="22.5" customHeight="1">
      <c r="A1824" s="291" t="s">
        <v>273</v>
      </c>
      <c r="B1824" s="315" t="s">
        <v>61</v>
      </c>
      <c r="C1824" s="429" t="s">
        <v>291</v>
      </c>
      <c r="D1824" s="429"/>
      <c r="E1824" s="430"/>
      <c r="F1824" s="431">
        <f t="shared" ref="F1824:Q1824" si="728">+F1823+F1737</f>
        <v>10391549984.6</v>
      </c>
      <c r="G1824" s="431">
        <f t="shared" si="728"/>
        <v>18436679211.34</v>
      </c>
      <c r="H1824" s="431">
        <f t="shared" si="728"/>
        <v>11115391109</v>
      </c>
      <c r="I1824" s="431">
        <f t="shared" si="728"/>
        <v>39943620304.940002</v>
      </c>
      <c r="J1824" s="431">
        <f t="shared" si="728"/>
        <v>9402130579.3900013</v>
      </c>
      <c r="K1824" s="431">
        <f t="shared" si="728"/>
        <v>13462475133.410002</v>
      </c>
      <c r="L1824" s="431">
        <f t="shared" si="728"/>
        <v>5095731944.6999989</v>
      </c>
      <c r="M1824" s="431">
        <f t="shared" si="728"/>
        <v>27960337657.5</v>
      </c>
      <c r="N1824" s="431">
        <f t="shared" si="728"/>
        <v>989419405.20999885</v>
      </c>
      <c r="O1824" s="431">
        <f t="shared" si="728"/>
        <v>4974204077.9299994</v>
      </c>
      <c r="P1824" s="431">
        <f t="shared" si="728"/>
        <v>6019659164.2999992</v>
      </c>
      <c r="Q1824" s="431">
        <f t="shared" si="728"/>
        <v>11983282647.439999</v>
      </c>
      <c r="R1824" s="1033"/>
      <c r="S1824" s="300">
        <f t="shared" si="719"/>
        <v>0.90478615734165813</v>
      </c>
      <c r="T1824" s="300">
        <f t="shared" si="719"/>
        <v>0.73020064942766516</v>
      </c>
      <c r="U1824" s="300">
        <f t="shared" si="719"/>
        <v>0.45843928429779185</v>
      </c>
      <c r="V1824" s="300">
        <f t="shared" si="719"/>
        <v>0.69999507916517079</v>
      </c>
      <c r="W1824" s="300"/>
      <c r="X1824" s="520"/>
      <c r="Y1824" s="610" t="s">
        <v>598</v>
      </c>
      <c r="Z1824" s="241" t="s">
        <v>598</v>
      </c>
    </row>
    <row r="1825" spans="1:28" s="302" customFormat="1" ht="15.75" hidden="1" customHeight="1">
      <c r="A1825" s="246" t="s">
        <v>273</v>
      </c>
      <c r="B1825" s="235" t="s">
        <v>61</v>
      </c>
      <c r="C1825" s="432"/>
      <c r="D1825" s="433"/>
      <c r="E1825" s="434"/>
      <c r="F1825" s="435"/>
      <c r="G1825" s="435"/>
      <c r="H1825" s="435"/>
      <c r="I1825" s="435"/>
      <c r="J1825" s="435"/>
      <c r="K1825" s="435"/>
      <c r="L1825" s="435"/>
      <c r="M1825" s="435"/>
      <c r="N1825" s="435"/>
      <c r="O1825" s="435"/>
      <c r="P1825" s="435"/>
      <c r="Q1825" s="435"/>
      <c r="R1825" s="1034"/>
      <c r="S1825" s="718" t="str">
        <f t="shared" si="719"/>
        <v/>
      </c>
      <c r="T1825" s="718" t="str">
        <f t="shared" si="719"/>
        <v/>
      </c>
      <c r="U1825" s="718" t="str">
        <f t="shared" si="719"/>
        <v/>
      </c>
      <c r="V1825" s="718" t="str">
        <f t="shared" si="719"/>
        <v/>
      </c>
      <c r="W1825" s="718"/>
      <c r="X1825" s="538"/>
      <c r="Y1825" s="719"/>
      <c r="Z1825" s="241" t="s">
        <v>598</v>
      </c>
    </row>
    <row r="1826" spans="1:28" s="1038" customFormat="1" ht="11.25" hidden="1" customHeight="1">
      <c r="A1826" s="303"/>
      <c r="B1826" s="1035"/>
      <c r="C1826" s="1036"/>
      <c r="D1826" s="436"/>
      <c r="E1826" s="1037"/>
      <c r="F1826" s="1024"/>
      <c r="G1826" s="1024"/>
      <c r="H1826" s="1024"/>
      <c r="I1826" s="1025"/>
      <c r="J1826" s="1024"/>
      <c r="K1826" s="1024"/>
      <c r="L1826" s="1024"/>
      <c r="M1826" s="1025"/>
      <c r="N1826" s="1025"/>
      <c r="O1826" s="1025"/>
      <c r="P1826" s="1025"/>
      <c r="Q1826" s="1025"/>
      <c r="S1826" s="1027" t="str">
        <f t="shared" si="719"/>
        <v/>
      </c>
      <c r="T1826" s="1027" t="str">
        <f t="shared" si="719"/>
        <v/>
      </c>
      <c r="U1826" s="1027" t="str">
        <f t="shared" si="719"/>
        <v/>
      </c>
      <c r="V1826" s="1027" t="str">
        <f t="shared" si="719"/>
        <v/>
      </c>
      <c r="W1826" s="281"/>
      <c r="X1826" s="237"/>
      <c r="Y1826" s="610"/>
      <c r="Z1826" s="241" t="s">
        <v>598</v>
      </c>
    </row>
    <row r="1827" spans="1:28" s="306" customFormat="1" ht="24.75" customHeight="1">
      <c r="A1827" s="246" t="s">
        <v>284</v>
      </c>
      <c r="B1827" s="235" t="s">
        <v>285</v>
      </c>
      <c r="C1827" s="1039" t="s">
        <v>710</v>
      </c>
      <c r="D1827" s="437"/>
      <c r="E1827" s="416"/>
      <c r="F1827" s="438"/>
      <c r="G1827" s="438"/>
      <c r="H1827" s="438"/>
      <c r="I1827" s="439"/>
      <c r="J1827" s="438"/>
      <c r="K1827" s="438"/>
      <c r="L1827" s="438"/>
      <c r="M1827" s="439"/>
      <c r="N1827" s="439"/>
      <c r="O1827" s="439"/>
      <c r="P1827" s="439"/>
      <c r="Q1827" s="439"/>
      <c r="R1827" s="720"/>
      <c r="S1827" s="1040" t="str">
        <f t="shared" si="719"/>
        <v/>
      </c>
      <c r="T1827" s="1040" t="str">
        <f t="shared" si="719"/>
        <v/>
      </c>
      <c r="U1827" s="1040" t="str">
        <f t="shared" si="719"/>
        <v/>
      </c>
      <c r="V1827" s="1040" t="str">
        <f t="shared" si="719"/>
        <v/>
      </c>
      <c r="W1827" s="305"/>
      <c r="X1827" s="237" t="s">
        <v>598</v>
      </c>
      <c r="Y1827" s="610" t="s">
        <v>598</v>
      </c>
      <c r="Z1827" s="241" t="s">
        <v>598</v>
      </c>
    </row>
    <row r="1828" spans="1:28" s="284" customFormat="1" ht="21" customHeight="1">
      <c r="A1828" s="246" t="s">
        <v>284</v>
      </c>
      <c r="B1828" s="235" t="s">
        <v>285</v>
      </c>
      <c r="C1828" s="1030" t="s">
        <v>706</v>
      </c>
      <c r="D1828" s="415"/>
      <c r="E1828" s="416"/>
      <c r="F1828" s="413"/>
      <c r="G1828" s="413"/>
      <c r="H1828" s="413"/>
      <c r="I1828" s="413"/>
      <c r="J1828" s="413"/>
      <c r="K1828" s="413"/>
      <c r="L1828" s="413"/>
      <c r="M1828" s="413"/>
      <c r="N1828" s="413"/>
      <c r="O1828" s="413"/>
      <c r="P1828" s="413"/>
      <c r="Q1828" s="413"/>
      <c r="R1828" s="692"/>
      <c r="S1828" s="1028" t="str">
        <f t="shared" si="719"/>
        <v/>
      </c>
      <c r="T1828" s="1028" t="str">
        <f t="shared" si="719"/>
        <v/>
      </c>
      <c r="U1828" s="1028" t="str">
        <f t="shared" si="719"/>
        <v/>
      </c>
      <c r="V1828" s="1028" t="str">
        <f t="shared" si="719"/>
        <v/>
      </c>
      <c r="W1828" s="693"/>
      <c r="X1828" s="237" t="s">
        <v>598</v>
      </c>
      <c r="Y1828" s="610" t="s">
        <v>598</v>
      </c>
      <c r="Z1828" s="241"/>
    </row>
    <row r="1829" spans="1:28" s="310" customFormat="1" ht="12.75" customHeight="1">
      <c r="A1829" s="307" t="s">
        <v>284</v>
      </c>
      <c r="B1829" s="307" t="s">
        <v>285</v>
      </c>
      <c r="C1829" s="441"/>
      <c r="D1829" s="441" t="s">
        <v>98</v>
      </c>
      <c r="E1829" s="721" t="s">
        <v>766</v>
      </c>
      <c r="F1829" s="419">
        <f>+F1706+F1710+F1714+F1719+F1720+F1723+F1727+F1734</f>
        <v>8966747274</v>
      </c>
      <c r="G1829" s="419">
        <f t="shared" ref="G1829:Q1829" si="729">+G1706+G1710+G1714+G1719+G1720+G1723+G1727+G1734</f>
        <v>17717750726</v>
      </c>
      <c r="H1829" s="419">
        <f t="shared" si="729"/>
        <v>11087418000</v>
      </c>
      <c r="I1829" s="419">
        <f t="shared" si="729"/>
        <v>37771916000</v>
      </c>
      <c r="J1829" s="419">
        <f t="shared" si="729"/>
        <v>8179176940.0900011</v>
      </c>
      <c r="K1829" s="419">
        <f t="shared" si="729"/>
        <v>13029606292.360001</v>
      </c>
      <c r="L1829" s="419">
        <f t="shared" si="729"/>
        <v>5095731944.6999989</v>
      </c>
      <c r="M1829" s="419">
        <f t="shared" si="729"/>
        <v>26304515177.150002</v>
      </c>
      <c r="N1829" s="419">
        <f t="shared" si="729"/>
        <v>787570333.90999889</v>
      </c>
      <c r="O1829" s="419">
        <f t="shared" si="729"/>
        <v>4688144433.6399994</v>
      </c>
      <c r="P1829" s="419">
        <f t="shared" si="729"/>
        <v>5991686055.2999992</v>
      </c>
      <c r="Q1829" s="419">
        <f t="shared" si="729"/>
        <v>11467400822.849998</v>
      </c>
      <c r="R1829" s="722"/>
      <c r="S1829" s="309">
        <f t="shared" si="719"/>
        <v>0.9121676668423967</v>
      </c>
      <c r="T1829" s="309">
        <f t="shared" si="719"/>
        <v>0.73539844271765498</v>
      </c>
      <c r="U1829" s="309">
        <f t="shared" si="719"/>
        <v>0.45959590814561141</v>
      </c>
      <c r="V1829" s="309">
        <f t="shared" si="719"/>
        <v>0.69640404731255889</v>
      </c>
      <c r="W1829" s="309"/>
      <c r="X1829" s="247" t="s">
        <v>598</v>
      </c>
      <c r="Y1829" s="1394" t="s">
        <v>598</v>
      </c>
      <c r="Z1829" s="1391" t="s">
        <v>598</v>
      </c>
    </row>
    <row r="1830" spans="1:28" s="258" customFormat="1" ht="12.75" customHeight="1">
      <c r="A1830" s="291" t="s">
        <v>284</v>
      </c>
      <c r="B1830" s="291" t="s">
        <v>285</v>
      </c>
      <c r="C1830" s="442"/>
      <c r="D1830" s="442"/>
      <c r="E1830" s="398" t="s">
        <v>700</v>
      </c>
      <c r="F1830" s="723">
        <f>+F1721</f>
        <v>0</v>
      </c>
      <c r="G1830" s="723">
        <f t="shared" ref="G1830:Q1830" si="730">+G1721</f>
        <v>42500000</v>
      </c>
      <c r="H1830" s="723">
        <f t="shared" si="730"/>
        <v>0</v>
      </c>
      <c r="I1830" s="723">
        <f>SUM(F1830:H1830)</f>
        <v>42500000</v>
      </c>
      <c r="J1830" s="723">
        <f t="shared" si="730"/>
        <v>0</v>
      </c>
      <c r="K1830" s="723">
        <f t="shared" si="730"/>
        <v>35715646.200000003</v>
      </c>
      <c r="L1830" s="723">
        <f t="shared" si="730"/>
        <v>0</v>
      </c>
      <c r="M1830" s="723">
        <f t="shared" si="730"/>
        <v>35715646.200000003</v>
      </c>
      <c r="N1830" s="723">
        <f t="shared" ref="N1830:P1848" si="731">+F1830-J1830</f>
        <v>0</v>
      </c>
      <c r="O1830" s="723">
        <f t="shared" si="731"/>
        <v>6784353.799999997</v>
      </c>
      <c r="P1830" s="723">
        <f t="shared" si="731"/>
        <v>0</v>
      </c>
      <c r="Q1830" s="723">
        <f t="shared" si="730"/>
        <v>6784353.799999997</v>
      </c>
      <c r="R1830" s="634"/>
      <c r="S1830" s="257" t="str">
        <f t="shared" si="719"/>
        <v/>
      </c>
      <c r="T1830" s="257">
        <f t="shared" si="719"/>
        <v>0.84036814588235298</v>
      </c>
      <c r="U1830" s="257" t="str">
        <f t="shared" si="719"/>
        <v/>
      </c>
      <c r="V1830" s="257">
        <f t="shared" si="719"/>
        <v>0.84036814588235298</v>
      </c>
      <c r="W1830" s="257"/>
      <c r="X1830" s="247" t="s">
        <v>598</v>
      </c>
      <c r="Y1830" s="635" t="s">
        <v>598</v>
      </c>
      <c r="Z1830" s="1391" t="s">
        <v>598</v>
      </c>
    </row>
    <row r="1831" spans="1:28" s="266" customFormat="1" ht="18.75" customHeight="1">
      <c r="A1831" s="292" t="s">
        <v>284</v>
      </c>
      <c r="B1831" s="1031" t="s">
        <v>285</v>
      </c>
      <c r="C1831" s="1416" t="s">
        <v>711</v>
      </c>
      <c r="D1831" s="1417"/>
      <c r="E1831" s="1418"/>
      <c r="F1831" s="421">
        <f>SUM(F1829:F1830)</f>
        <v>8966747274</v>
      </c>
      <c r="G1831" s="421">
        <f t="shared" ref="G1831:Q1831" si="732">SUM(G1829:G1830)</f>
        <v>17760250726</v>
      </c>
      <c r="H1831" s="421">
        <f t="shared" si="732"/>
        <v>11087418000</v>
      </c>
      <c r="I1831" s="421">
        <f t="shared" si="732"/>
        <v>37814416000</v>
      </c>
      <c r="J1831" s="421">
        <f t="shared" si="732"/>
        <v>8179176940.0900011</v>
      </c>
      <c r="K1831" s="421">
        <f t="shared" si="732"/>
        <v>13065321938.560001</v>
      </c>
      <c r="L1831" s="421">
        <f t="shared" si="732"/>
        <v>5095731944.6999989</v>
      </c>
      <c r="M1831" s="421">
        <f t="shared" si="732"/>
        <v>26340230823.350002</v>
      </c>
      <c r="N1831" s="421">
        <f t="shared" si="732"/>
        <v>787570333.90999889</v>
      </c>
      <c r="O1831" s="421">
        <f t="shared" si="732"/>
        <v>4694928787.4399996</v>
      </c>
      <c r="P1831" s="421">
        <f t="shared" si="732"/>
        <v>5991686055.2999992</v>
      </c>
      <c r="Q1831" s="421">
        <f t="shared" si="732"/>
        <v>11474185176.649998</v>
      </c>
      <c r="R1831" s="641">
        <f>+Q1831-Q1737</f>
        <v>0</v>
      </c>
      <c r="S1831" s="1010">
        <f t="shared" si="719"/>
        <v>0.9121676668423967</v>
      </c>
      <c r="T1831" s="1010">
        <f t="shared" si="719"/>
        <v>0.73564963356249868</v>
      </c>
      <c r="U1831" s="1010">
        <f t="shared" si="719"/>
        <v>0.45959590814561141</v>
      </c>
      <c r="V1831" s="1010">
        <f t="shared" si="719"/>
        <v>0.69656585000149152</v>
      </c>
      <c r="X1831" s="237" t="s">
        <v>598</v>
      </c>
      <c r="Y1831" s="610" t="s">
        <v>598</v>
      </c>
      <c r="Z1831" s="241"/>
      <c r="AB1831" s="311">
        <f>+Q1831-Q1737</f>
        <v>0</v>
      </c>
    </row>
    <row r="1832" spans="1:28" s="256" customFormat="1" ht="11.25" customHeight="1">
      <c r="A1832" s="246" t="s">
        <v>284</v>
      </c>
      <c r="B1832" s="246" t="s">
        <v>285</v>
      </c>
      <c r="C1832" s="390"/>
      <c r="D1832" s="390"/>
      <c r="E1832" s="724"/>
      <c r="F1832" s="443"/>
      <c r="G1832" s="443"/>
      <c r="H1832" s="443"/>
      <c r="I1832" s="391"/>
      <c r="J1832" s="443"/>
      <c r="K1832" s="443"/>
      <c r="L1832" s="443"/>
      <c r="M1832" s="391"/>
      <c r="N1832" s="443"/>
      <c r="O1832" s="443"/>
      <c r="P1832" s="443"/>
      <c r="Q1832" s="391"/>
      <c r="R1832" s="101"/>
      <c r="S1832" s="297" t="str">
        <f t="shared" si="719"/>
        <v/>
      </c>
      <c r="T1832" s="297" t="str">
        <f t="shared" si="719"/>
        <v/>
      </c>
      <c r="U1832" s="297" t="str">
        <f t="shared" si="719"/>
        <v/>
      </c>
      <c r="V1832" s="297" t="str">
        <f t="shared" si="719"/>
        <v/>
      </c>
      <c r="W1832" s="725"/>
      <c r="X1832" s="247" t="s">
        <v>598</v>
      </c>
      <c r="Y1832" s="629" t="s">
        <v>598</v>
      </c>
      <c r="Z1832" s="261"/>
    </row>
    <row r="1833" spans="1:28" s="294" customFormat="1" ht="18.75" customHeight="1">
      <c r="A1833" s="246" t="s">
        <v>284</v>
      </c>
      <c r="B1833" s="246" t="s">
        <v>285</v>
      </c>
      <c r="C1833" s="440" t="s">
        <v>708</v>
      </c>
      <c r="D1833" s="423"/>
      <c r="E1833" s="424"/>
      <c r="F1833" s="425"/>
      <c r="G1833" s="425"/>
      <c r="H1833" s="425"/>
      <c r="I1833" s="425"/>
      <c r="J1833" s="425"/>
      <c r="K1833" s="425"/>
      <c r="L1833" s="425"/>
      <c r="M1833" s="425"/>
      <c r="N1833" s="425"/>
      <c r="O1833" s="425"/>
      <c r="P1833" s="425"/>
      <c r="Q1833" s="425"/>
      <c r="R1833" s="700"/>
      <c r="S1833" s="293" t="str">
        <f t="shared" si="719"/>
        <v/>
      </c>
      <c r="T1833" s="293" t="str">
        <f t="shared" si="719"/>
        <v/>
      </c>
      <c r="U1833" s="293" t="str">
        <f t="shared" si="719"/>
        <v/>
      </c>
      <c r="V1833" s="293" t="str">
        <f t="shared" si="719"/>
        <v/>
      </c>
      <c r="W1833" s="293"/>
      <c r="X1833" s="247" t="s">
        <v>598</v>
      </c>
      <c r="Y1833" s="629" t="s">
        <v>598</v>
      </c>
      <c r="Z1833" s="261"/>
    </row>
    <row r="1834" spans="1:28" s="314" customFormat="1" ht="15" customHeight="1">
      <c r="A1834" s="312" t="s">
        <v>284</v>
      </c>
      <c r="B1834" s="313" t="s">
        <v>285</v>
      </c>
      <c r="C1834" s="444"/>
      <c r="D1834" s="444" t="s">
        <v>98</v>
      </c>
      <c r="E1834" s="445" t="s">
        <v>99</v>
      </c>
      <c r="F1834" s="446">
        <f>+F1835+F1840+F1839+F1836+F1837</f>
        <v>800603295</v>
      </c>
      <c r="G1834" s="446">
        <f t="shared" ref="G1834:Q1834" si="733">+G1835+G1840+G1839+G1836+G1837</f>
        <v>391845750.34000003</v>
      </c>
      <c r="H1834" s="446">
        <f t="shared" si="733"/>
        <v>0</v>
      </c>
      <c r="I1834" s="446">
        <f t="shared" si="733"/>
        <v>1192449045.3399999</v>
      </c>
      <c r="J1834" s="446">
        <f t="shared" si="733"/>
        <v>701983848.01999998</v>
      </c>
      <c r="K1834" s="446">
        <f t="shared" si="733"/>
        <v>179620486.58000001</v>
      </c>
      <c r="L1834" s="446">
        <f t="shared" si="733"/>
        <v>0</v>
      </c>
      <c r="M1834" s="446">
        <f t="shared" si="733"/>
        <v>881604334.5999999</v>
      </c>
      <c r="N1834" s="446">
        <f t="shared" si="733"/>
        <v>98619446.980000019</v>
      </c>
      <c r="O1834" s="446">
        <f t="shared" si="733"/>
        <v>212225263.76000002</v>
      </c>
      <c r="P1834" s="446">
        <f t="shared" si="733"/>
        <v>0</v>
      </c>
      <c r="Q1834" s="446">
        <f t="shared" si="733"/>
        <v>310844710.74000001</v>
      </c>
      <c r="R1834" s="679"/>
      <c r="S1834" s="1041">
        <f t="shared" si="719"/>
        <v>0.87681858468993679</v>
      </c>
      <c r="T1834" s="1041">
        <f t="shared" si="719"/>
        <v>0.45839590304129979</v>
      </c>
      <c r="U1834" s="1041" t="str">
        <f t="shared" si="719"/>
        <v/>
      </c>
      <c r="V1834" s="1041">
        <f t="shared" si="719"/>
        <v>0.73932243733620528</v>
      </c>
      <c r="W1834" s="298"/>
      <c r="X1834" s="247" t="s">
        <v>598</v>
      </c>
      <c r="Y1834" s="629" t="s">
        <v>598</v>
      </c>
      <c r="Z1834" s="255" t="s">
        <v>598</v>
      </c>
    </row>
    <row r="1835" spans="1:28" ht="15" customHeight="1">
      <c r="A1835" s="291" t="s">
        <v>284</v>
      </c>
      <c r="B1835" s="315" t="s">
        <v>285</v>
      </c>
      <c r="C1835" s="728"/>
      <c r="D1835" s="394" t="s">
        <v>286</v>
      </c>
      <c r="E1835" s="729" t="s">
        <v>286</v>
      </c>
      <c r="F1835" s="104">
        <f>+F1744+F1763+F1775+F1787+F1800+F1812</f>
        <v>800603295</v>
      </c>
      <c r="G1835" s="104">
        <f>+G1744+G1763+G1775+G1787+G1800+G1812</f>
        <v>0</v>
      </c>
      <c r="H1835" s="104">
        <f>+H1744+H1763+H1775+H1787+H1800+H1812</f>
        <v>0</v>
      </c>
      <c r="I1835" s="103">
        <f>SUM(F1835:H1835)</f>
        <v>800603295</v>
      </c>
      <c r="J1835" s="104">
        <f>+J1744+J1763+J1775+J1787+J1800+J1812</f>
        <v>701983848.01999998</v>
      </c>
      <c r="K1835" s="104">
        <f>+K1744+K1763+K1775+K1787+K1800+K1812</f>
        <v>0</v>
      </c>
      <c r="L1835" s="104">
        <f>+L1744+L1763+L1775+L1787+L1800+L1812</f>
        <v>0</v>
      </c>
      <c r="M1835" s="103">
        <f>SUM(J1835:L1835)</f>
        <v>701983848.01999998</v>
      </c>
      <c r="N1835" s="104">
        <f t="shared" si="731"/>
        <v>98619446.980000019</v>
      </c>
      <c r="O1835" s="104">
        <f t="shared" si="731"/>
        <v>0</v>
      </c>
      <c r="P1835" s="104">
        <f t="shared" si="731"/>
        <v>0</v>
      </c>
      <c r="Q1835" s="103">
        <f>SUM(N1835:P1835)</f>
        <v>98619446.980000019</v>
      </c>
      <c r="S1835" s="730">
        <f t="shared" si="719"/>
        <v>0.87681858468993679</v>
      </c>
      <c r="T1835" s="730" t="str">
        <f t="shared" si="719"/>
        <v/>
      </c>
      <c r="U1835" s="730" t="str">
        <f t="shared" si="719"/>
        <v/>
      </c>
      <c r="V1835" s="730">
        <f t="shared" si="719"/>
        <v>0.87681858468993679</v>
      </c>
      <c r="W1835" s="254"/>
      <c r="X1835" s="237" t="s">
        <v>598</v>
      </c>
      <c r="Y1835" s="610" t="s">
        <v>598</v>
      </c>
    </row>
    <row r="1836" spans="1:28" ht="15" customHeight="1">
      <c r="A1836" s="291" t="s">
        <v>284</v>
      </c>
      <c r="B1836" s="315" t="s">
        <v>285</v>
      </c>
      <c r="C1836" s="728"/>
      <c r="D1836" s="394" t="s">
        <v>286</v>
      </c>
      <c r="E1836" s="729" t="s">
        <v>943</v>
      </c>
      <c r="F1836" s="104">
        <f t="shared" ref="F1836:H1837" si="734">+F1746</f>
        <v>0</v>
      </c>
      <c r="G1836" s="104">
        <f t="shared" si="734"/>
        <v>95007690</v>
      </c>
      <c r="H1836" s="104">
        <f t="shared" si="734"/>
        <v>0</v>
      </c>
      <c r="I1836" s="103">
        <f>SUM(F1836:H1836)</f>
        <v>95007690</v>
      </c>
      <c r="J1836" s="104">
        <f t="shared" ref="J1836:L1837" si="735">+J1746</f>
        <v>0</v>
      </c>
      <c r="K1836" s="104">
        <f t="shared" si="735"/>
        <v>95007690</v>
      </c>
      <c r="L1836" s="104">
        <f t="shared" si="735"/>
        <v>0</v>
      </c>
      <c r="M1836" s="103">
        <f>SUM(J1836:L1836)</f>
        <v>95007690</v>
      </c>
      <c r="N1836" s="104">
        <f t="shared" si="731"/>
        <v>0</v>
      </c>
      <c r="O1836" s="104">
        <f t="shared" si="731"/>
        <v>0</v>
      </c>
      <c r="P1836" s="104">
        <f t="shared" si="731"/>
        <v>0</v>
      </c>
      <c r="Q1836" s="103">
        <f>SUM(N1836:P1836)</f>
        <v>0</v>
      </c>
      <c r="S1836" s="730" t="str">
        <f t="shared" si="719"/>
        <v/>
      </c>
      <c r="T1836" s="730">
        <f t="shared" si="719"/>
        <v>1</v>
      </c>
      <c r="U1836" s="730" t="str">
        <f t="shared" si="719"/>
        <v/>
      </c>
      <c r="V1836" s="730">
        <f t="shared" si="719"/>
        <v>1</v>
      </c>
      <c r="W1836" s="254"/>
      <c r="X1836" s="237" t="s">
        <v>598</v>
      </c>
      <c r="Y1836" s="610" t="s">
        <v>598</v>
      </c>
    </row>
    <row r="1837" spans="1:28" s="258" customFormat="1" ht="12.75">
      <c r="A1837" s="630" t="s">
        <v>59</v>
      </c>
      <c r="B1837" s="630" t="s">
        <v>281</v>
      </c>
      <c r="C1837" s="631"/>
      <c r="D1837" s="631"/>
      <c r="E1837" s="891" t="s">
        <v>956</v>
      </c>
      <c r="F1837" s="97">
        <f t="shared" si="734"/>
        <v>0</v>
      </c>
      <c r="G1837" s="97">
        <f t="shared" si="734"/>
        <v>12930755</v>
      </c>
      <c r="H1837" s="97">
        <f t="shared" si="734"/>
        <v>0</v>
      </c>
      <c r="I1837" s="96">
        <f>SUM(F1837:H1837)</f>
        <v>12930755</v>
      </c>
      <c r="J1837" s="97">
        <f t="shared" si="735"/>
        <v>0</v>
      </c>
      <c r="K1837" s="97">
        <f t="shared" si="735"/>
        <v>12930754.550000001</v>
      </c>
      <c r="L1837" s="97">
        <f t="shared" si="735"/>
        <v>0</v>
      </c>
      <c r="M1837" s="96">
        <f>SUM(J1837:L1837)</f>
        <v>12930754.550000001</v>
      </c>
      <c r="N1837" s="97">
        <f t="shared" si="731"/>
        <v>0</v>
      </c>
      <c r="O1837" s="97">
        <f t="shared" si="731"/>
        <v>0.44999999925494194</v>
      </c>
      <c r="P1837" s="97">
        <f t="shared" si="731"/>
        <v>0</v>
      </c>
      <c r="Q1837" s="96">
        <f>SUM(N1837:P1837)</f>
        <v>0.44999999925494194</v>
      </c>
      <c r="R1837" s="820"/>
      <c r="S1837" s="309" t="str">
        <f t="shared" si="719"/>
        <v/>
      </c>
      <c r="T1837" s="309">
        <f t="shared" si="719"/>
        <v>0.99999996519924794</v>
      </c>
      <c r="U1837" s="309" t="str">
        <f t="shared" si="719"/>
        <v/>
      </c>
      <c r="V1837" s="309">
        <f t="shared" si="719"/>
        <v>0.99999996519924794</v>
      </c>
      <c r="X1837" s="1392" t="s">
        <v>598</v>
      </c>
      <c r="Y1837" s="1393" t="s">
        <v>598</v>
      </c>
      <c r="Z1837" s="636"/>
    </row>
    <row r="1838" spans="1:28" s="240" customFormat="1" ht="15" customHeight="1">
      <c r="A1838" s="371" t="s">
        <v>284</v>
      </c>
      <c r="B1838" s="1042" t="s">
        <v>285</v>
      </c>
      <c r="C1838" s="410"/>
      <c r="D1838" s="389" t="s">
        <v>98</v>
      </c>
      <c r="E1838" s="726" t="s">
        <v>713</v>
      </c>
      <c r="F1838" s="727"/>
      <c r="G1838" s="727"/>
      <c r="H1838" s="727"/>
      <c r="I1838" s="727"/>
      <c r="J1838" s="727"/>
      <c r="K1838" s="727"/>
      <c r="L1838" s="727"/>
      <c r="M1838" s="727"/>
      <c r="N1838" s="727">
        <f t="shared" si="731"/>
        <v>0</v>
      </c>
      <c r="O1838" s="727">
        <f t="shared" si="731"/>
        <v>0</v>
      </c>
      <c r="P1838" s="727">
        <f t="shared" si="731"/>
        <v>0</v>
      </c>
      <c r="Q1838" s="727"/>
      <c r="R1838" s="110"/>
      <c r="S1838" s="1043" t="str">
        <f t="shared" si="719"/>
        <v/>
      </c>
      <c r="T1838" s="1043" t="str">
        <f t="shared" si="719"/>
        <v/>
      </c>
      <c r="U1838" s="1043" t="str">
        <f t="shared" si="719"/>
        <v/>
      </c>
      <c r="V1838" s="1043" t="str">
        <f t="shared" si="719"/>
        <v/>
      </c>
      <c r="W1838" s="654"/>
      <c r="X1838" s="520" t="s">
        <v>598</v>
      </c>
      <c r="Y1838" s="612" t="s">
        <v>598</v>
      </c>
      <c r="Z1838" s="241"/>
    </row>
    <row r="1839" spans="1:28" ht="24">
      <c r="A1839" s="291" t="s">
        <v>284</v>
      </c>
      <c r="B1839" s="315" t="s">
        <v>285</v>
      </c>
      <c r="C1839" s="410"/>
      <c r="D1839" s="386"/>
      <c r="E1839" s="1032" t="s">
        <v>287</v>
      </c>
      <c r="F1839" s="104">
        <f t="shared" ref="F1839:H1840" si="736">+F1750</f>
        <v>0</v>
      </c>
      <c r="G1839" s="104">
        <f t="shared" si="736"/>
        <v>6073530.1100000003</v>
      </c>
      <c r="H1839" s="104">
        <f t="shared" si="736"/>
        <v>0</v>
      </c>
      <c r="I1839" s="103">
        <f>SUM(F1839:H1839)</f>
        <v>6073530.1100000003</v>
      </c>
      <c r="J1839" s="104">
        <f t="shared" ref="J1839:L1840" si="737">+J1750</f>
        <v>0</v>
      </c>
      <c r="K1839" s="104">
        <f t="shared" si="737"/>
        <v>4038276.77</v>
      </c>
      <c r="L1839" s="104">
        <f t="shared" si="737"/>
        <v>0</v>
      </c>
      <c r="M1839" s="103">
        <f>SUM(J1839:L1839)</f>
        <v>4038276.77</v>
      </c>
      <c r="N1839" s="104">
        <f>+F1839-J1839</f>
        <v>0</v>
      </c>
      <c r="O1839" s="104">
        <f>+G1839-K1839</f>
        <v>2035253.3400000003</v>
      </c>
      <c r="P1839" s="104">
        <f>+H1839-L1839</f>
        <v>0</v>
      </c>
      <c r="Q1839" s="103">
        <f>SUM(N1839:P1839)</f>
        <v>2035253.3400000003</v>
      </c>
      <c r="S1839" s="730" t="str">
        <f t="shared" si="719"/>
        <v/>
      </c>
      <c r="T1839" s="730">
        <f t="shared" si="719"/>
        <v>0.66489779368196789</v>
      </c>
      <c r="U1839" s="730" t="str">
        <f t="shared" si="719"/>
        <v/>
      </c>
      <c r="V1839" s="730">
        <f t="shared" si="719"/>
        <v>0.66489779368196789</v>
      </c>
      <c r="W1839" s="254"/>
      <c r="X1839" s="237" t="s">
        <v>598</v>
      </c>
      <c r="Y1839" s="610" t="s">
        <v>598</v>
      </c>
    </row>
    <row r="1840" spans="1:28" ht="24">
      <c r="A1840" s="291" t="s">
        <v>284</v>
      </c>
      <c r="B1840" s="315" t="s">
        <v>285</v>
      </c>
      <c r="C1840" s="410"/>
      <c r="D1840" s="386"/>
      <c r="E1840" s="1032" t="s">
        <v>884</v>
      </c>
      <c r="F1840" s="104">
        <f t="shared" si="736"/>
        <v>0</v>
      </c>
      <c r="G1840" s="104">
        <f t="shared" si="736"/>
        <v>277833775.23000002</v>
      </c>
      <c r="H1840" s="104">
        <f t="shared" si="736"/>
        <v>0</v>
      </c>
      <c r="I1840" s="103">
        <f>SUM(F1840:H1840)</f>
        <v>277833775.23000002</v>
      </c>
      <c r="J1840" s="104">
        <f t="shared" si="737"/>
        <v>0</v>
      </c>
      <c r="K1840" s="104">
        <f t="shared" si="737"/>
        <v>67643765.260000005</v>
      </c>
      <c r="L1840" s="104">
        <f t="shared" si="737"/>
        <v>0</v>
      </c>
      <c r="M1840" s="103">
        <f>SUM(J1840:L1840)</f>
        <v>67643765.260000005</v>
      </c>
      <c r="N1840" s="104">
        <f t="shared" si="731"/>
        <v>0</v>
      </c>
      <c r="O1840" s="104">
        <f t="shared" si="731"/>
        <v>210190009.97000003</v>
      </c>
      <c r="P1840" s="104">
        <f t="shared" si="731"/>
        <v>0</v>
      </c>
      <c r="Q1840" s="103">
        <f>SUM(N1840:P1840)</f>
        <v>210190009.97000003</v>
      </c>
      <c r="S1840" s="730" t="str">
        <f t="shared" si="719"/>
        <v/>
      </c>
      <c r="T1840" s="730">
        <f t="shared" si="719"/>
        <v>0.24346847392474963</v>
      </c>
      <c r="U1840" s="730" t="str">
        <f t="shared" si="719"/>
        <v/>
      </c>
      <c r="V1840" s="730">
        <f t="shared" si="719"/>
        <v>0.24346847392474963</v>
      </c>
      <c r="W1840" s="254"/>
      <c r="X1840" s="237" t="s">
        <v>598</v>
      </c>
      <c r="Y1840" s="610" t="s">
        <v>598</v>
      </c>
    </row>
    <row r="1841" spans="1:28" ht="15" hidden="1" customHeight="1">
      <c r="A1841" s="291" t="s">
        <v>284</v>
      </c>
      <c r="B1841" s="315" t="s">
        <v>285</v>
      </c>
      <c r="C1841" s="410"/>
      <c r="D1841" s="396"/>
      <c r="E1841" s="1014"/>
      <c r="F1841" s="727"/>
      <c r="G1841" s="727"/>
      <c r="H1841" s="727"/>
      <c r="I1841" s="103"/>
      <c r="J1841" s="727"/>
      <c r="K1841" s="727"/>
      <c r="L1841" s="727"/>
      <c r="M1841" s="103"/>
      <c r="N1841" s="104">
        <f t="shared" si="731"/>
        <v>0</v>
      </c>
      <c r="O1841" s="104">
        <f t="shared" si="731"/>
        <v>0</v>
      </c>
      <c r="P1841" s="104">
        <f t="shared" si="731"/>
        <v>0</v>
      </c>
      <c r="Q1841" s="103">
        <f>SUM(N1841:P1841)</f>
        <v>0</v>
      </c>
      <c r="R1841" s="236"/>
      <c r="S1841" s="730" t="str">
        <f t="shared" si="719"/>
        <v/>
      </c>
      <c r="T1841" s="730" t="str">
        <f t="shared" si="719"/>
        <v/>
      </c>
      <c r="U1841" s="730" t="str">
        <f t="shared" si="719"/>
        <v/>
      </c>
      <c r="V1841" s="730" t="str">
        <f t="shared" si="719"/>
        <v/>
      </c>
      <c r="W1841" s="254"/>
      <c r="X1841" s="237" t="s">
        <v>598</v>
      </c>
    </row>
    <row r="1842" spans="1:28" s="314" customFormat="1" ht="15" customHeight="1">
      <c r="A1842" s="312" t="s">
        <v>284</v>
      </c>
      <c r="B1842" s="313" t="s">
        <v>285</v>
      </c>
      <c r="C1842" s="444"/>
      <c r="D1842" s="444" t="s">
        <v>98</v>
      </c>
      <c r="E1842" s="445" t="s">
        <v>100</v>
      </c>
      <c r="F1842" s="446">
        <f>SUM(F1843:F1848)</f>
        <v>624199415.60000002</v>
      </c>
      <c r="G1842" s="446">
        <f t="shared" ref="G1842:Q1842" si="738">SUM(G1843:G1848)</f>
        <v>284582735</v>
      </c>
      <c r="H1842" s="446">
        <f t="shared" si="738"/>
        <v>27973109</v>
      </c>
      <c r="I1842" s="446">
        <f t="shared" si="738"/>
        <v>936755259.60000002</v>
      </c>
      <c r="J1842" s="446">
        <f t="shared" si="738"/>
        <v>520969791.28000003</v>
      </c>
      <c r="K1842" s="446">
        <f t="shared" si="738"/>
        <v>217532708.27000001</v>
      </c>
      <c r="L1842" s="446">
        <f t="shared" si="738"/>
        <v>0</v>
      </c>
      <c r="M1842" s="446">
        <f t="shared" si="738"/>
        <v>738502499.55000007</v>
      </c>
      <c r="N1842" s="446">
        <f t="shared" si="738"/>
        <v>103229624.31999999</v>
      </c>
      <c r="O1842" s="446">
        <f t="shared" si="738"/>
        <v>67050026.729999989</v>
      </c>
      <c r="P1842" s="446">
        <f t="shared" si="738"/>
        <v>27973109</v>
      </c>
      <c r="Q1842" s="446">
        <f t="shared" si="738"/>
        <v>198252760.04999998</v>
      </c>
      <c r="R1842" s="679"/>
      <c r="S1842" s="1041">
        <f t="shared" si="719"/>
        <v>0.83462076102590954</v>
      </c>
      <c r="T1842" s="1041">
        <f t="shared" si="719"/>
        <v>0.76439179723956208</v>
      </c>
      <c r="U1842" s="1041">
        <f t="shared" si="719"/>
        <v>0</v>
      </c>
      <c r="V1842" s="1041">
        <f t="shared" si="719"/>
        <v>0.78836226643162377</v>
      </c>
      <c r="W1842" s="298"/>
      <c r="X1842" s="247" t="s">
        <v>598</v>
      </c>
      <c r="Y1842" s="628" t="s">
        <v>598</v>
      </c>
      <c r="Z1842" s="255" t="s">
        <v>598</v>
      </c>
    </row>
    <row r="1843" spans="1:28" ht="15" customHeight="1">
      <c r="A1843" s="315" t="s">
        <v>284</v>
      </c>
      <c r="B1843" s="315" t="s">
        <v>285</v>
      </c>
      <c r="C1843" s="728"/>
      <c r="D1843" s="728" t="s">
        <v>288</v>
      </c>
      <c r="E1843" s="729" t="s">
        <v>288</v>
      </c>
      <c r="F1843" s="104">
        <f>+F1769+F1781+F1793+F1806+F1819+F1760</f>
        <v>315744003.60000002</v>
      </c>
      <c r="G1843" s="104">
        <f>+G1769+G1781+G1793+G1806+G1819+G1760</f>
        <v>0</v>
      </c>
      <c r="H1843" s="104">
        <f>+H1769+H1781+H1793+H1806+H1819+H1760</f>
        <v>0</v>
      </c>
      <c r="I1843" s="103">
        <f>SUM(F1843:H1843)</f>
        <v>315744003.60000002</v>
      </c>
      <c r="J1843" s="104">
        <f>+J1769+J1781+J1793+J1806+J1819+J1760</f>
        <v>296378026.88999999</v>
      </c>
      <c r="K1843" s="104">
        <f>+K1769+K1781+K1793+K1806+K1819+K1760</f>
        <v>0</v>
      </c>
      <c r="L1843" s="104">
        <f>+L1769+L1781+L1793+L1806+L1819+L1760</f>
        <v>0</v>
      </c>
      <c r="M1843" s="103">
        <f>SUM(J1843:L1843)</f>
        <v>296378026.88999999</v>
      </c>
      <c r="N1843" s="103">
        <f t="shared" si="731"/>
        <v>19365976.710000038</v>
      </c>
      <c r="O1843" s="103">
        <f t="shared" si="731"/>
        <v>0</v>
      </c>
      <c r="P1843" s="103">
        <f t="shared" si="731"/>
        <v>0</v>
      </c>
      <c r="Q1843" s="103">
        <f>SUM(N1843:P1843)</f>
        <v>19365976.710000038</v>
      </c>
      <c r="R1843" s="236"/>
      <c r="S1843" s="730">
        <f t="shared" si="719"/>
        <v>0.93866557562710262</v>
      </c>
      <c r="T1843" s="730" t="str">
        <f t="shared" si="719"/>
        <v/>
      </c>
      <c r="U1843" s="730" t="str">
        <f t="shared" si="719"/>
        <v/>
      </c>
      <c r="V1843" s="730">
        <f t="shared" si="719"/>
        <v>0.93866557562710262</v>
      </c>
      <c r="W1843" s="730"/>
      <c r="X1843" s="237" t="s">
        <v>598</v>
      </c>
      <c r="Y1843" s="610" t="s">
        <v>598</v>
      </c>
    </row>
    <row r="1844" spans="1:28" ht="15" customHeight="1">
      <c r="A1844" s="291" t="s">
        <v>284</v>
      </c>
      <c r="B1844" s="315" t="s">
        <v>285</v>
      </c>
      <c r="C1844" s="728"/>
      <c r="D1844" s="394" t="s">
        <v>289</v>
      </c>
      <c r="E1844" s="729" t="s">
        <v>289</v>
      </c>
      <c r="F1844" s="104">
        <f>+F1808+F1821+F1795+F1771+F1783+F1754</f>
        <v>308455412</v>
      </c>
      <c r="G1844" s="104">
        <f>+G1808+G1821+G1795+G1771+G1783+G1754</f>
        <v>0</v>
      </c>
      <c r="H1844" s="104">
        <f>+H1808+H1821+H1795+H1771+H1783+H1754</f>
        <v>0</v>
      </c>
      <c r="I1844" s="103">
        <f>SUM(F1844:H1844)</f>
        <v>308455412</v>
      </c>
      <c r="J1844" s="104">
        <f>+J1808+J1821+J1795+J1771+J1783+J1754</f>
        <v>224591764.39000005</v>
      </c>
      <c r="K1844" s="104">
        <f>+K1808+K1821+K1795+K1771+K1783+K1754</f>
        <v>0</v>
      </c>
      <c r="L1844" s="104">
        <f>+L1808+L1821+L1795+L1771+L1783+L1754</f>
        <v>0</v>
      </c>
      <c r="M1844" s="103">
        <f>SUM(J1844:L1844)</f>
        <v>224591764.39000005</v>
      </c>
      <c r="N1844" s="103">
        <f t="shared" si="731"/>
        <v>83863647.609999955</v>
      </c>
      <c r="O1844" s="103">
        <f t="shared" si="731"/>
        <v>0</v>
      </c>
      <c r="P1844" s="103">
        <f t="shared" si="731"/>
        <v>0</v>
      </c>
      <c r="Q1844" s="103">
        <f>SUM(N1844:P1844)</f>
        <v>83863647.609999955</v>
      </c>
      <c r="S1844" s="730">
        <f t="shared" si="719"/>
        <v>0.7281174382182668</v>
      </c>
      <c r="T1844" s="730" t="str">
        <f t="shared" si="719"/>
        <v/>
      </c>
      <c r="U1844" s="730" t="str">
        <f t="shared" si="719"/>
        <v/>
      </c>
      <c r="V1844" s="730">
        <f t="shared" si="719"/>
        <v>0.7281174382182668</v>
      </c>
      <c r="W1844" s="254"/>
      <c r="X1844" s="237" t="s">
        <v>598</v>
      </c>
      <c r="Y1844" s="610" t="s">
        <v>598</v>
      </c>
    </row>
    <row r="1845" spans="1:28" ht="15" customHeight="1">
      <c r="A1845" s="246" t="s">
        <v>59</v>
      </c>
      <c r="B1845" s="235" t="s">
        <v>281</v>
      </c>
      <c r="C1845" s="728"/>
      <c r="D1845" s="394" t="s">
        <v>289</v>
      </c>
      <c r="E1845" s="729" t="s">
        <v>1068</v>
      </c>
      <c r="F1845" s="404">
        <f>+F1755</f>
        <v>0</v>
      </c>
      <c r="G1845" s="404">
        <f t="shared" ref="G1845:H1846" si="739">+G1755</f>
        <v>0</v>
      </c>
      <c r="H1845" s="404">
        <f t="shared" si="739"/>
        <v>22473109</v>
      </c>
      <c r="I1845" s="103">
        <f>SUM(F1845:H1845)</f>
        <v>22473109</v>
      </c>
      <c r="J1845" s="404">
        <f>+J1755</f>
        <v>0</v>
      </c>
      <c r="K1845" s="404">
        <f t="shared" ref="K1845:L1846" si="740">+K1755</f>
        <v>0</v>
      </c>
      <c r="L1845" s="404">
        <f t="shared" si="740"/>
        <v>0</v>
      </c>
      <c r="M1845" s="103">
        <f>SUM(J1845:L1845)</f>
        <v>0</v>
      </c>
      <c r="N1845" s="103">
        <f t="shared" si="731"/>
        <v>0</v>
      </c>
      <c r="O1845" s="103">
        <f t="shared" si="731"/>
        <v>0</v>
      </c>
      <c r="P1845" s="103">
        <f t="shared" si="731"/>
        <v>22473109</v>
      </c>
      <c r="Q1845" s="103">
        <f>SUM(N1845:P1845)</f>
        <v>22473109</v>
      </c>
      <c r="S1845" s="730" t="str">
        <f t="shared" si="719"/>
        <v/>
      </c>
      <c r="T1845" s="730" t="str">
        <f t="shared" si="719"/>
        <v/>
      </c>
      <c r="U1845" s="730">
        <f t="shared" si="719"/>
        <v>0</v>
      </c>
      <c r="V1845" s="730">
        <f t="shared" si="719"/>
        <v>0</v>
      </c>
      <c r="X1845" s="237" t="s">
        <v>598</v>
      </c>
      <c r="Y1845" s="610" t="s">
        <v>598</v>
      </c>
    </row>
    <row r="1846" spans="1:28" ht="15" customHeight="1">
      <c r="A1846" s="246" t="s">
        <v>59</v>
      </c>
      <c r="B1846" s="235" t="s">
        <v>281</v>
      </c>
      <c r="C1846" s="728"/>
      <c r="D1846" s="394" t="s">
        <v>289</v>
      </c>
      <c r="E1846" s="729" t="s">
        <v>1076</v>
      </c>
      <c r="F1846" s="404">
        <f>+F1756</f>
        <v>0</v>
      </c>
      <c r="G1846" s="404">
        <f t="shared" si="739"/>
        <v>7190000</v>
      </c>
      <c r="H1846" s="404">
        <f t="shared" si="739"/>
        <v>0</v>
      </c>
      <c r="I1846" s="103">
        <f>SUM(F1846:H1846)</f>
        <v>7190000</v>
      </c>
      <c r="J1846" s="404">
        <f>+J1756</f>
        <v>0</v>
      </c>
      <c r="K1846" s="404">
        <f t="shared" si="740"/>
        <v>0</v>
      </c>
      <c r="L1846" s="404">
        <f t="shared" si="740"/>
        <v>0</v>
      </c>
      <c r="M1846" s="103">
        <f>SUM(J1846:L1846)</f>
        <v>0</v>
      </c>
      <c r="N1846" s="103">
        <f t="shared" si="731"/>
        <v>0</v>
      </c>
      <c r="O1846" s="103">
        <f t="shared" si="731"/>
        <v>7190000</v>
      </c>
      <c r="P1846" s="103">
        <f t="shared" si="731"/>
        <v>0</v>
      </c>
      <c r="Q1846" s="103">
        <f>SUM(N1846:P1846)</f>
        <v>7190000</v>
      </c>
      <c r="S1846" s="730" t="str">
        <f t="shared" si="719"/>
        <v/>
      </c>
      <c r="T1846" s="730">
        <f t="shared" si="719"/>
        <v>0</v>
      </c>
      <c r="U1846" s="730" t="str">
        <f t="shared" si="719"/>
        <v/>
      </c>
      <c r="V1846" s="730">
        <f t="shared" si="719"/>
        <v>0</v>
      </c>
      <c r="X1846" s="237" t="s">
        <v>598</v>
      </c>
      <c r="Y1846" s="610" t="s">
        <v>598</v>
      </c>
    </row>
    <row r="1847" spans="1:28" ht="15" customHeight="1">
      <c r="A1847" s="291" t="s">
        <v>284</v>
      </c>
      <c r="B1847" s="315" t="s">
        <v>285</v>
      </c>
      <c r="C1847" s="728"/>
      <c r="D1847" s="394" t="s">
        <v>290</v>
      </c>
      <c r="E1847" s="729" t="s">
        <v>290</v>
      </c>
      <c r="F1847" s="104">
        <f t="shared" ref="F1847:M1847" si="741">+F1809+F1822+F1796+F1772+F1784</f>
        <v>0</v>
      </c>
      <c r="G1847" s="104">
        <f t="shared" si="741"/>
        <v>277392735</v>
      </c>
      <c r="H1847" s="104">
        <f t="shared" si="741"/>
        <v>5500000</v>
      </c>
      <c r="I1847" s="104">
        <f t="shared" si="741"/>
        <v>282892735</v>
      </c>
      <c r="J1847" s="104">
        <f t="shared" si="741"/>
        <v>0</v>
      </c>
      <c r="K1847" s="104">
        <f t="shared" si="741"/>
        <v>217532708.27000001</v>
      </c>
      <c r="L1847" s="104">
        <f>+L1809+L1822+L1796+L1772+L1784</f>
        <v>0</v>
      </c>
      <c r="M1847" s="104">
        <f t="shared" si="741"/>
        <v>217532708.27000001</v>
      </c>
      <c r="N1847" s="104">
        <f t="shared" si="731"/>
        <v>0</v>
      </c>
      <c r="O1847" s="104">
        <f t="shared" si="731"/>
        <v>59860026.729999989</v>
      </c>
      <c r="P1847" s="104">
        <f t="shared" si="731"/>
        <v>5500000</v>
      </c>
      <c r="Q1847" s="104">
        <f>+Q1809+Q1822+Q1796+Q1772+Q1784</f>
        <v>65360026.729999982</v>
      </c>
      <c r="S1847" s="730" t="str">
        <f t="shared" si="719"/>
        <v/>
      </c>
      <c r="T1847" s="730">
        <f t="shared" si="719"/>
        <v>0.78420477836234614</v>
      </c>
      <c r="U1847" s="730">
        <f t="shared" si="719"/>
        <v>0</v>
      </c>
      <c r="V1847" s="730">
        <f t="shared" si="719"/>
        <v>0.76895827059680411</v>
      </c>
      <c r="W1847" s="254"/>
      <c r="X1847" s="237" t="s">
        <v>598</v>
      </c>
      <c r="Y1847" s="610" t="s">
        <v>598</v>
      </c>
    </row>
    <row r="1848" spans="1:28" ht="15" customHeight="1">
      <c r="A1848" s="291" t="s">
        <v>284</v>
      </c>
      <c r="B1848" s="315" t="s">
        <v>285</v>
      </c>
      <c r="C1848" s="729" t="s">
        <v>851</v>
      </c>
      <c r="D1848" s="396"/>
      <c r="E1848" s="729" t="s">
        <v>851</v>
      </c>
      <c r="F1848" s="104">
        <f>+F1797</f>
        <v>0</v>
      </c>
      <c r="G1848" s="104">
        <f t="shared" ref="G1848:Q1848" si="742">+G1797</f>
        <v>0</v>
      </c>
      <c r="H1848" s="104">
        <f t="shared" si="742"/>
        <v>0</v>
      </c>
      <c r="I1848" s="104">
        <f t="shared" si="742"/>
        <v>0</v>
      </c>
      <c r="J1848" s="104">
        <f t="shared" si="742"/>
        <v>0</v>
      </c>
      <c r="K1848" s="104">
        <f t="shared" si="742"/>
        <v>0</v>
      </c>
      <c r="L1848" s="104">
        <f t="shared" si="742"/>
        <v>0</v>
      </c>
      <c r="M1848" s="104">
        <f t="shared" si="742"/>
        <v>0</v>
      </c>
      <c r="N1848" s="104">
        <f t="shared" si="731"/>
        <v>0</v>
      </c>
      <c r="O1848" s="104">
        <f t="shared" si="731"/>
        <v>0</v>
      </c>
      <c r="P1848" s="104">
        <f t="shared" si="731"/>
        <v>0</v>
      </c>
      <c r="Q1848" s="104">
        <f t="shared" si="742"/>
        <v>0</v>
      </c>
      <c r="S1848" s="730" t="str">
        <f t="shared" si="719"/>
        <v/>
      </c>
      <c r="T1848" s="730" t="str">
        <f t="shared" si="719"/>
        <v/>
      </c>
      <c r="U1848" s="730" t="str">
        <f t="shared" si="719"/>
        <v/>
      </c>
      <c r="V1848" s="730" t="str">
        <f t="shared" si="719"/>
        <v/>
      </c>
      <c r="W1848" s="254"/>
      <c r="X1848" s="237" t="s">
        <v>598</v>
      </c>
      <c r="Y1848" s="610" t="s">
        <v>598</v>
      </c>
    </row>
    <row r="1849" spans="1:28" s="266" customFormat="1" ht="24.75" customHeight="1">
      <c r="A1849" s="292" t="s">
        <v>284</v>
      </c>
      <c r="B1849" s="1031" t="s">
        <v>285</v>
      </c>
      <c r="C1849" s="1416" t="s">
        <v>712</v>
      </c>
      <c r="D1849" s="1417"/>
      <c r="E1849" s="1418"/>
      <c r="F1849" s="421">
        <f>+F1834+F1842</f>
        <v>1424802710.5999999</v>
      </c>
      <c r="G1849" s="421">
        <f t="shared" ref="G1849:R1849" si="743">+G1834+G1842</f>
        <v>676428485.34000003</v>
      </c>
      <c r="H1849" s="421">
        <f t="shared" si="743"/>
        <v>27973109</v>
      </c>
      <c r="I1849" s="421">
        <f t="shared" si="743"/>
        <v>2129204304.9400001</v>
      </c>
      <c r="J1849" s="421">
        <f t="shared" si="743"/>
        <v>1222953639.3</v>
      </c>
      <c r="K1849" s="421">
        <f t="shared" si="743"/>
        <v>397153194.85000002</v>
      </c>
      <c r="L1849" s="421">
        <f t="shared" si="743"/>
        <v>0</v>
      </c>
      <c r="M1849" s="421">
        <f t="shared" si="743"/>
        <v>1620106834.1500001</v>
      </c>
      <c r="N1849" s="421">
        <f t="shared" si="743"/>
        <v>201849071.30000001</v>
      </c>
      <c r="O1849" s="421">
        <f t="shared" si="743"/>
        <v>279275290.49000001</v>
      </c>
      <c r="P1849" s="421">
        <f t="shared" si="743"/>
        <v>27973109</v>
      </c>
      <c r="Q1849" s="421">
        <f t="shared" si="743"/>
        <v>509097470.78999996</v>
      </c>
      <c r="R1849" s="731">
        <f t="shared" si="743"/>
        <v>0</v>
      </c>
      <c r="S1849" s="1010">
        <f t="shared" si="719"/>
        <v>0.85833191514985319</v>
      </c>
      <c r="T1849" s="1010">
        <f t="shared" si="719"/>
        <v>0.58713256975033357</v>
      </c>
      <c r="U1849" s="1010">
        <f t="shared" si="719"/>
        <v>0</v>
      </c>
      <c r="V1849" s="1010">
        <f t="shared" si="719"/>
        <v>0.76089778251488827</v>
      </c>
      <c r="X1849" s="237" t="s">
        <v>598</v>
      </c>
      <c r="Y1849" s="610" t="s">
        <v>598</v>
      </c>
      <c r="Z1849" s="241"/>
      <c r="AB1849" s="311">
        <f>+Q1849-Q1823</f>
        <v>0</v>
      </c>
    </row>
    <row r="1850" spans="1:28" s="301" customFormat="1" ht="29.25" customHeight="1">
      <c r="A1850" s="291" t="s">
        <v>284</v>
      </c>
      <c r="B1850" s="315" t="s">
        <v>285</v>
      </c>
      <c r="C1850" s="429" t="s">
        <v>291</v>
      </c>
      <c r="D1850" s="429"/>
      <c r="E1850" s="430"/>
      <c r="F1850" s="431">
        <f t="shared" ref="F1850:Q1850" si="744">+F1849+F1831</f>
        <v>10391549984.6</v>
      </c>
      <c r="G1850" s="431">
        <f t="shared" si="744"/>
        <v>18436679211.34</v>
      </c>
      <c r="H1850" s="431">
        <f t="shared" si="744"/>
        <v>11115391109</v>
      </c>
      <c r="I1850" s="431">
        <f t="shared" si="744"/>
        <v>39943620304.940002</v>
      </c>
      <c r="J1850" s="431">
        <f t="shared" si="744"/>
        <v>9402130579.3900013</v>
      </c>
      <c r="K1850" s="431">
        <f t="shared" si="744"/>
        <v>13462475133.410002</v>
      </c>
      <c r="L1850" s="431">
        <f t="shared" si="744"/>
        <v>5095731944.6999989</v>
      </c>
      <c r="M1850" s="431">
        <f t="shared" si="744"/>
        <v>27960337657.500004</v>
      </c>
      <c r="N1850" s="431">
        <f t="shared" si="744"/>
        <v>989419405.20999885</v>
      </c>
      <c r="O1850" s="431">
        <f t="shared" si="744"/>
        <v>4974204077.9299994</v>
      </c>
      <c r="P1850" s="431">
        <f t="shared" si="744"/>
        <v>6019659164.2999992</v>
      </c>
      <c r="Q1850" s="431">
        <f t="shared" si="744"/>
        <v>11983282647.439999</v>
      </c>
      <c r="R1850" s="1033"/>
      <c r="S1850" s="300">
        <f t="shared" si="719"/>
        <v>0.90478615734165813</v>
      </c>
      <c r="T1850" s="300">
        <f t="shared" si="719"/>
        <v>0.73020064942766516</v>
      </c>
      <c r="U1850" s="300">
        <f t="shared" si="719"/>
        <v>0.45843928429779185</v>
      </c>
      <c r="V1850" s="300">
        <f t="shared" si="719"/>
        <v>0.6999950791651709</v>
      </c>
      <c r="W1850" s="300"/>
      <c r="X1850" s="237" t="s">
        <v>598</v>
      </c>
      <c r="Y1850" s="610" t="s">
        <v>598</v>
      </c>
      <c r="Z1850" s="241" t="s">
        <v>598</v>
      </c>
    </row>
    <row r="1851" spans="1:28" s="382" customFormat="1" ht="12.75">
      <c r="A1851" s="378"/>
      <c r="B1851" s="378"/>
      <c r="C1851" s="379"/>
      <c r="D1851" s="380"/>
      <c r="E1851" s="380"/>
      <c r="F1851" s="541"/>
      <c r="G1851" s="541"/>
      <c r="H1851" s="541"/>
      <c r="I1851" s="541"/>
      <c r="J1851" s="541"/>
      <c r="K1851" s="541"/>
      <c r="L1851" s="541"/>
      <c r="M1851" s="541"/>
      <c r="N1851" s="541"/>
      <c r="O1851" s="541"/>
      <c r="P1851" s="541"/>
      <c r="Q1851" s="541"/>
      <c r="R1851" s="732"/>
      <c r="S1851" s="1044"/>
      <c r="T1851" s="1044"/>
      <c r="U1851" s="1044"/>
      <c r="V1851" s="1044"/>
      <c r="X1851" s="1395"/>
      <c r="Y1851" s="610" t="s">
        <v>598</v>
      </c>
      <c r="Z1851" s="1397"/>
    </row>
    <row r="1852" spans="1:28" s="385" customFormat="1" ht="15">
      <c r="A1852" s="378"/>
      <c r="B1852" s="378"/>
      <c r="C1852" s="383"/>
      <c r="D1852" s="384"/>
      <c r="E1852" s="578" t="s">
        <v>881</v>
      </c>
      <c r="F1852" s="542"/>
      <c r="G1852" s="542"/>
      <c r="H1852" s="542"/>
      <c r="I1852" s="542"/>
      <c r="J1852" s="542"/>
      <c r="K1852" s="542"/>
      <c r="L1852" s="542"/>
      <c r="M1852" s="542"/>
      <c r="N1852" s="542"/>
      <c r="O1852" s="542"/>
      <c r="P1852" s="542"/>
      <c r="Q1852" s="542">
        <f>+Q1850-[3]CURRENT!$Q$1850</f>
        <v>0</v>
      </c>
      <c r="R1852" s="733"/>
      <c r="S1852" s="1044"/>
      <c r="T1852" s="1044"/>
      <c r="U1852" s="1044"/>
      <c r="V1852" s="1044"/>
      <c r="X1852" s="1398"/>
      <c r="Y1852" s="610" t="s">
        <v>598</v>
      </c>
      <c r="Z1852" s="1399"/>
    </row>
    <row r="1853" spans="1:28" s="385" customFormat="1" ht="12.75">
      <c r="A1853" s="378"/>
      <c r="B1853" s="378"/>
      <c r="C1853" s="383"/>
      <c r="D1853" s="384"/>
      <c r="E1853" s="1253" t="s">
        <v>1121</v>
      </c>
      <c r="F1853" s="542"/>
      <c r="G1853" s="542"/>
      <c r="H1853" s="542"/>
      <c r="I1853" s="542"/>
      <c r="J1853" s="542"/>
      <c r="K1853" s="542"/>
      <c r="L1853" s="542"/>
      <c r="M1853" s="542"/>
      <c r="N1853" s="542"/>
      <c r="O1853" s="542"/>
      <c r="P1853" s="542"/>
      <c r="Q1853" s="542"/>
      <c r="R1853" s="733"/>
      <c r="S1853" s="1044"/>
      <c r="T1853" s="1044"/>
      <c r="U1853" s="1044"/>
      <c r="V1853" s="1044"/>
      <c r="X1853" s="1398"/>
      <c r="Y1853" s="610" t="s">
        <v>598</v>
      </c>
      <c r="Z1853" s="1399"/>
    </row>
    <row r="1854" spans="1:28" s="385" customFormat="1" ht="12.75" hidden="1">
      <c r="A1854" s="378"/>
      <c r="B1854" s="378"/>
      <c r="C1854" s="383"/>
      <c r="D1854" s="384"/>
      <c r="E1854" s="1253"/>
      <c r="F1854" s="542"/>
      <c r="G1854" s="542"/>
      <c r="H1854" s="542"/>
      <c r="I1854" s="542"/>
      <c r="J1854" s="542"/>
      <c r="K1854" s="542"/>
      <c r="L1854" s="542"/>
      <c r="M1854" s="542"/>
      <c r="N1854" s="542"/>
      <c r="O1854" s="542"/>
      <c r="P1854" s="542"/>
      <c r="Q1854" s="542"/>
      <c r="R1854" s="733"/>
      <c r="S1854" s="1044"/>
      <c r="T1854" s="1044"/>
      <c r="U1854" s="1044"/>
      <c r="V1854" s="1044"/>
      <c r="X1854" s="1398"/>
      <c r="Y1854" s="610"/>
      <c r="Z1854" s="1399"/>
    </row>
    <row r="1855" spans="1:28" s="356" customFormat="1">
      <c r="A1855" s="137"/>
      <c r="B1855" s="235"/>
      <c r="C1855" s="614"/>
      <c r="D1855" s="734"/>
      <c r="E1855" s="1045"/>
      <c r="F1855" s="356" t="s">
        <v>416</v>
      </c>
      <c r="G1855" s="1007"/>
      <c r="H1855" s="1007"/>
      <c r="I1855" s="1007"/>
      <c r="J1855" s="1007"/>
      <c r="L1855" s="1007"/>
      <c r="M1855" s="1007"/>
      <c r="N1855" s="1007"/>
      <c r="O1855" s="356" t="s">
        <v>292</v>
      </c>
      <c r="P1855" s="1007"/>
      <c r="Q1855" s="1007">
        <f>+Q1850-[3]CURRENT!$Q$1850</f>
        <v>0</v>
      </c>
      <c r="R1855" s="147"/>
      <c r="S1855" s="1046"/>
      <c r="T1855" s="1046"/>
      <c r="U1855" s="1046"/>
      <c r="V1855" s="1046"/>
      <c r="W1855" s="91"/>
      <c r="X1855" s="1400"/>
      <c r="Y1855" s="610" t="s">
        <v>598</v>
      </c>
      <c r="Z1855" s="1047"/>
    </row>
    <row r="1856" spans="1:28" s="356" customFormat="1" ht="11.25" customHeight="1">
      <c r="A1856" s="137"/>
      <c r="B1856" s="235"/>
      <c r="C1856" s="614"/>
      <c r="D1856" s="734"/>
      <c r="E1856" s="1045"/>
      <c r="F1856" s="1007"/>
      <c r="G1856" s="1007"/>
      <c r="H1856" s="1007"/>
      <c r="I1856" s="1007"/>
      <c r="J1856" s="1007"/>
      <c r="L1856" s="1007"/>
      <c r="M1856" s="1007"/>
      <c r="N1856" s="1007"/>
      <c r="P1856" s="1007"/>
      <c r="Q1856" s="1007"/>
      <c r="R1856" s="147"/>
      <c r="S1856" s="1046"/>
      <c r="T1856" s="1046"/>
      <c r="U1856" s="1046"/>
      <c r="V1856" s="1046"/>
      <c r="W1856" s="92"/>
      <c r="X1856" s="1400"/>
      <c r="Y1856" s="610" t="s">
        <v>598</v>
      </c>
      <c r="Z1856" s="1047"/>
    </row>
    <row r="1857" spans="1:34" ht="11.25" customHeight="1">
      <c r="B1857" s="235"/>
      <c r="C1857" s="517"/>
      <c r="D1857" s="735"/>
      <c r="E1857" s="1048"/>
      <c r="H1857" s="1007"/>
      <c r="I1857" s="276"/>
      <c r="L1857" s="1007"/>
      <c r="M1857" s="276"/>
      <c r="Q1857" s="276"/>
      <c r="Y1857" s="610" t="s">
        <v>598</v>
      </c>
    </row>
    <row r="1858" spans="1:34" ht="11.25" customHeight="1">
      <c r="B1858" s="235"/>
      <c r="C1858" s="1049"/>
      <c r="D1858" s="735"/>
      <c r="E1858" s="1048"/>
      <c r="F1858" s="1050" t="s">
        <v>417</v>
      </c>
      <c r="I1858" s="276"/>
      <c r="M1858" s="276"/>
      <c r="O1858" s="1051" t="s">
        <v>293</v>
      </c>
      <c r="Q1858" s="276"/>
      <c r="Y1858" s="610" t="s">
        <v>598</v>
      </c>
    </row>
    <row r="1859" spans="1:34" ht="11.25" customHeight="1">
      <c r="B1859" s="235"/>
      <c r="C1859" s="517"/>
      <c r="D1859" s="735"/>
      <c r="E1859" s="1048"/>
      <c r="F1859" s="1052" t="s">
        <v>418</v>
      </c>
      <c r="O1859" s="236" t="s">
        <v>294</v>
      </c>
      <c r="Y1859" s="610" t="s">
        <v>598</v>
      </c>
    </row>
    <row r="1860" spans="1:34" ht="11.25" customHeight="1">
      <c r="B1860" s="1053"/>
      <c r="C1860" s="517"/>
      <c r="D1860" s="735"/>
      <c r="E1860" s="517"/>
      <c r="Y1860" s="610" t="s">
        <v>598</v>
      </c>
    </row>
    <row r="1861" spans="1:34" ht="11.25" hidden="1" customHeight="1">
      <c r="B1861" s="1053"/>
      <c r="C1861" s="517"/>
      <c r="D1861" s="736"/>
      <c r="E1861" s="1048"/>
      <c r="F1861" s="276"/>
      <c r="I1861" s="276"/>
      <c r="M1861" s="276"/>
      <c r="R1861" s="236"/>
    </row>
    <row r="1862" spans="1:34" ht="11.25" hidden="1" customHeight="1">
      <c r="B1862" s="1053"/>
      <c r="C1862" s="517"/>
      <c r="D1862" s="736"/>
      <c r="E1862" s="1048"/>
      <c r="F1862" s="276"/>
      <c r="I1862" s="276"/>
      <c r="M1862" s="276"/>
      <c r="R1862" s="236"/>
    </row>
    <row r="1863" spans="1:34" s="1053" customFormat="1" ht="11.25" hidden="1" customHeight="1">
      <c r="A1863" s="137"/>
      <c r="C1863" s="1054"/>
      <c r="D1863" s="543"/>
      <c r="E1863" s="1055" t="s">
        <v>766</v>
      </c>
      <c r="F1863" s="1056">
        <f>+F1715+F1719+F1724+F1728+F1735</f>
        <v>8427455903</v>
      </c>
      <c r="G1863" s="1056">
        <f>+G1715+G1719+G1724+G1728+G1735</f>
        <v>5672191097</v>
      </c>
      <c r="H1863" s="1056">
        <f>+H1715+H1719+H1724+H1728+H1735</f>
        <v>23350000</v>
      </c>
      <c r="I1863" s="1056">
        <f>SUM(F1863:H1863)</f>
        <v>14122997000</v>
      </c>
      <c r="J1863" s="1056">
        <f>+J1715+J1719+J1724+J1728+J1735</f>
        <v>7734274033.2300014</v>
      </c>
      <c r="K1863" s="1056">
        <f>+K1715+K1719+K1724+K1728+K1735</f>
        <v>4442934045.29</v>
      </c>
      <c r="L1863" s="1056">
        <f>+L1715+L1719+L1724+L1728+L1735</f>
        <v>8121591.8600000003</v>
      </c>
      <c r="M1863" s="1056">
        <f>SUM(J1863:L1863)</f>
        <v>12185329670.380001</v>
      </c>
      <c r="N1863" s="1056">
        <f>+F1863-J1863</f>
        <v>693181869.76999855</v>
      </c>
      <c r="O1863" s="1056">
        <f>+G1863-K1863</f>
        <v>1229257051.71</v>
      </c>
      <c r="P1863" s="1056">
        <f>+H1863-L1863</f>
        <v>15228408.140000001</v>
      </c>
      <c r="Q1863" s="1056">
        <f>SUM(N1863:P1863)</f>
        <v>1937667329.6199987</v>
      </c>
      <c r="R1863" s="1056"/>
      <c r="S1863" s="1057">
        <f t="shared" ref="S1863:V1866" si="745">IF(F1863=0,"",J1863/F1863)</f>
        <v>0.91774719704872731</v>
      </c>
      <c r="T1863" s="1057">
        <f t="shared" si="745"/>
        <v>0.78328356173328695</v>
      </c>
      <c r="U1863" s="1057">
        <f t="shared" si="745"/>
        <v>0.34781977987152035</v>
      </c>
      <c r="V1863" s="1057">
        <f t="shared" si="745"/>
        <v>0.86280055645271336</v>
      </c>
      <c r="W1863" s="137"/>
      <c r="X1863" s="1058"/>
      <c r="Y1863" s="1059"/>
      <c r="Z1863" s="1060"/>
    </row>
    <row r="1864" spans="1:34" s="1053" customFormat="1" ht="11.25" hidden="1" customHeight="1">
      <c r="A1864" s="137"/>
      <c r="C1864" s="1054"/>
      <c r="D1864" s="543"/>
      <c r="E1864" s="1055" t="s">
        <v>885</v>
      </c>
      <c r="F1864" s="1056">
        <f>+F1716+F1720+F1725+F1732+F1736</f>
        <v>827006</v>
      </c>
      <c r="G1864" s="1056">
        <f>+G1716+G1720+G1725+G1732+G1736</f>
        <v>3959941354.46</v>
      </c>
      <c r="H1864" s="1056">
        <f>+H1716+H1720+H1725+H1732+H1736</f>
        <v>5745606586.1000004</v>
      </c>
      <c r="I1864" s="1056">
        <f t="shared" ref="I1864:I1870" si="746">SUM(F1864:H1864)</f>
        <v>9706374946.5600014</v>
      </c>
      <c r="J1864" s="1056">
        <f>+J1716+J1720+J1725+J1732+J1736</f>
        <v>763888.76999999979</v>
      </c>
      <c r="K1864" s="1056">
        <f>+K1716+K1720+K1725+K1732+K1736</f>
        <v>2949488999.0599995</v>
      </c>
      <c r="L1864" s="1056">
        <f>+L1716+L1720+L1725+L1732+L1736</f>
        <v>3877002061.4499998</v>
      </c>
      <c r="M1864" s="1056">
        <f t="shared" ref="M1864:M1870" si="747">SUM(J1864:L1864)</f>
        <v>6827254949.2799988</v>
      </c>
      <c r="N1864" s="1056">
        <f t="shared" ref="N1864:P1870" si="748">+F1864-J1864</f>
        <v>63117.230000000214</v>
      </c>
      <c r="O1864" s="1056">
        <f t="shared" si="748"/>
        <v>1010452355.4000006</v>
      </c>
      <c r="P1864" s="1056">
        <f t="shared" si="748"/>
        <v>1868604524.6500006</v>
      </c>
      <c r="Q1864" s="1056">
        <f t="shared" ref="Q1864:Q1870" si="749">SUM(N1864:P1864)</f>
        <v>2879119997.2800012</v>
      </c>
      <c r="R1864" s="1056"/>
      <c r="S1864" s="1057">
        <f t="shared" si="745"/>
        <v>0.92367984029136396</v>
      </c>
      <c r="T1864" s="1057">
        <f t="shared" si="745"/>
        <v>0.7448314848749088</v>
      </c>
      <c r="U1864" s="1057">
        <f t="shared" si="745"/>
        <v>0.67477680613033919</v>
      </c>
      <c r="V1864" s="1057">
        <f t="shared" si="745"/>
        <v>0.70337844837733365</v>
      </c>
      <c r="W1864" s="137"/>
      <c r="X1864" s="1058"/>
      <c r="Y1864" s="1059"/>
      <c r="Z1864" s="1060"/>
    </row>
    <row r="1865" spans="1:34" s="137" customFormat="1" ht="11.25" hidden="1" customHeight="1">
      <c r="B1865" s="316"/>
      <c r="C1865" s="739"/>
      <c r="D1865" s="739"/>
      <c r="E1865" s="740" t="s">
        <v>701</v>
      </c>
      <c r="F1865" s="317">
        <f>+F1721</f>
        <v>0</v>
      </c>
      <c r="G1865" s="317">
        <f>+G1721</f>
        <v>42500000</v>
      </c>
      <c r="H1865" s="317">
        <f>+H1721</f>
        <v>0</v>
      </c>
      <c r="I1865" s="317">
        <f t="shared" si="746"/>
        <v>42500000</v>
      </c>
      <c r="J1865" s="317">
        <f>+J1721</f>
        <v>0</v>
      </c>
      <c r="K1865" s="317">
        <f>+K1721</f>
        <v>35715646.200000003</v>
      </c>
      <c r="L1865" s="317">
        <f>+L1721</f>
        <v>0</v>
      </c>
      <c r="M1865" s="317">
        <f t="shared" si="747"/>
        <v>35715646.200000003</v>
      </c>
      <c r="N1865" s="317">
        <f t="shared" si="748"/>
        <v>0</v>
      </c>
      <c r="O1865" s="317">
        <f t="shared" si="748"/>
        <v>6784353.799999997</v>
      </c>
      <c r="P1865" s="317">
        <f t="shared" si="748"/>
        <v>0</v>
      </c>
      <c r="Q1865" s="317">
        <f t="shared" si="749"/>
        <v>6784353.799999997</v>
      </c>
      <c r="S1865" s="1061" t="str">
        <f t="shared" si="745"/>
        <v/>
      </c>
      <c r="T1865" s="1061">
        <f t="shared" si="745"/>
        <v>0.84036814588235298</v>
      </c>
      <c r="U1865" s="1061" t="str">
        <f t="shared" si="745"/>
        <v/>
      </c>
      <c r="V1865" s="1061">
        <f t="shared" si="745"/>
        <v>0.84036814588235298</v>
      </c>
      <c r="W1865" s="317"/>
      <c r="X1865" s="319"/>
      <c r="Y1865" s="737"/>
      <c r="Z1865" s="738"/>
    </row>
    <row r="1866" spans="1:34" s="239" customFormat="1" ht="10.5" hidden="1" customHeight="1" thickBot="1">
      <c r="A1866" s="316"/>
      <c r="B1866" s="1053"/>
      <c r="C1866" s="1062"/>
      <c r="D1866" s="741"/>
      <c r="E1866" s="1063" t="s">
        <v>458</v>
      </c>
      <c r="F1866" s="1064">
        <f>SUM(F1863:F1865)</f>
        <v>8428282909</v>
      </c>
      <c r="G1866" s="1064">
        <f t="shared" ref="G1866:L1866" si="750">SUM(G1863:G1865)</f>
        <v>9674632451.4599991</v>
      </c>
      <c r="H1866" s="1064">
        <f t="shared" si="750"/>
        <v>5768956586.1000004</v>
      </c>
      <c r="I1866" s="1064">
        <f t="shared" si="746"/>
        <v>23871871946.559998</v>
      </c>
      <c r="J1866" s="1064">
        <f t="shared" si="750"/>
        <v>7735037922.0000019</v>
      </c>
      <c r="K1866" s="1064">
        <f t="shared" si="750"/>
        <v>7428138690.5499992</v>
      </c>
      <c r="L1866" s="1064">
        <f t="shared" si="750"/>
        <v>3885123653.3099999</v>
      </c>
      <c r="M1866" s="1064">
        <f t="shared" si="747"/>
        <v>19048300265.860001</v>
      </c>
      <c r="N1866" s="1064">
        <f t="shared" si="748"/>
        <v>693244986.99999809</v>
      </c>
      <c r="O1866" s="1064">
        <f t="shared" si="748"/>
        <v>2246493760.9099998</v>
      </c>
      <c r="P1866" s="1064">
        <f t="shared" si="748"/>
        <v>1883832932.7900004</v>
      </c>
      <c r="Q1866" s="1064">
        <f t="shared" si="749"/>
        <v>4823571680.6999989</v>
      </c>
      <c r="R1866" s="563">
        <f>+Q1866-Q1831+Q1706+Q1710</f>
        <v>6.8545341491699219E-7</v>
      </c>
      <c r="S1866" s="1065">
        <f t="shared" si="745"/>
        <v>0.9177477791757882</v>
      </c>
      <c r="T1866" s="1065">
        <f t="shared" si="745"/>
        <v>0.76779544110009246</v>
      </c>
      <c r="U1866" s="1065">
        <f t="shared" si="745"/>
        <v>0.67345343916627876</v>
      </c>
      <c r="V1866" s="1065">
        <f t="shared" si="745"/>
        <v>0.79793911045191046</v>
      </c>
      <c r="W1866" s="316"/>
      <c r="X1866" s="848"/>
      <c r="Y1866" s="1066"/>
      <c r="Z1866" s="849"/>
    </row>
    <row r="1867" spans="1:34" s="1053" customFormat="1" ht="11.25" hidden="1" customHeight="1">
      <c r="A1867" s="137"/>
      <c r="B1867" s="239"/>
      <c r="C1867" s="1067"/>
      <c r="D1867" s="743"/>
      <c r="E1867" s="1068"/>
      <c r="F1867" s="1056"/>
      <c r="G1867" s="1056"/>
      <c r="H1867" s="1056"/>
      <c r="I1867" s="1056">
        <f t="shared" si="746"/>
        <v>0</v>
      </c>
      <c r="J1867" s="1056"/>
      <c r="K1867" s="1056"/>
      <c r="L1867" s="1056"/>
      <c r="M1867" s="1056">
        <f t="shared" si="747"/>
        <v>0</v>
      </c>
      <c r="N1867" s="1056">
        <f t="shared" si="748"/>
        <v>0</v>
      </c>
      <c r="O1867" s="1056">
        <f t="shared" si="748"/>
        <v>0</v>
      </c>
      <c r="P1867" s="1056">
        <f t="shared" si="748"/>
        <v>0</v>
      </c>
      <c r="Q1867" s="1056">
        <f t="shared" si="749"/>
        <v>0</v>
      </c>
      <c r="S1867" s="1069"/>
      <c r="T1867" s="1069"/>
      <c r="U1867" s="1069"/>
      <c r="V1867" s="1069"/>
      <c r="W1867" s="137"/>
      <c r="X1867" s="1058"/>
      <c r="Y1867" s="1059"/>
      <c r="Z1867" s="1060"/>
    </row>
    <row r="1868" spans="1:34" s="137" customFormat="1" ht="10.5" hidden="1" customHeight="1">
      <c r="B1868" s="316"/>
      <c r="C1868" s="739"/>
      <c r="D1868" s="739"/>
      <c r="E1868" s="740" t="s">
        <v>99</v>
      </c>
      <c r="F1868" s="317">
        <f>+F1764+F1776+F1788+F1801+F1813</f>
        <v>767339963</v>
      </c>
      <c r="G1868" s="317">
        <f>+G1764+G1776+G1788+G1801+G1813</f>
        <v>0</v>
      </c>
      <c r="H1868" s="317">
        <f>+H1764+H1776+H1788+H1801+H1813</f>
        <v>0</v>
      </c>
      <c r="I1868" s="317">
        <f t="shared" si="746"/>
        <v>767339963</v>
      </c>
      <c r="J1868" s="317">
        <f>+J1764+J1776+J1788+J1801+J1813</f>
        <v>672153243.16000009</v>
      </c>
      <c r="K1868" s="317">
        <f>+K1764+K1776+K1788+K1801+K1813</f>
        <v>0</v>
      </c>
      <c r="L1868" s="317">
        <f>+L1764+L1776+L1788+L1801+L1813</f>
        <v>0</v>
      </c>
      <c r="M1868" s="317">
        <f t="shared" si="747"/>
        <v>672153243.16000009</v>
      </c>
      <c r="N1868" s="317">
        <f t="shared" si="748"/>
        <v>95186719.839999914</v>
      </c>
      <c r="O1868" s="317">
        <f t="shared" si="748"/>
        <v>0</v>
      </c>
      <c r="P1868" s="317">
        <f t="shared" si="748"/>
        <v>0</v>
      </c>
      <c r="Q1868" s="317">
        <f t="shared" si="749"/>
        <v>95186719.839999914</v>
      </c>
      <c r="S1868" s="1061">
        <f t="shared" ref="S1868:V1871" si="751">IF(F1868=0,"",J1868/F1868)</f>
        <v>0.87595234911543385</v>
      </c>
      <c r="T1868" s="1061" t="str">
        <f t="shared" si="751"/>
        <v/>
      </c>
      <c r="U1868" s="1061" t="str">
        <f t="shared" si="751"/>
        <v/>
      </c>
      <c r="V1868" s="1061">
        <f t="shared" si="751"/>
        <v>0.87595234911543385</v>
      </c>
      <c r="W1868" s="317"/>
      <c r="X1868" s="319"/>
      <c r="Y1868" s="737"/>
      <c r="Z1868" s="738"/>
    </row>
    <row r="1869" spans="1:34" s="316" customFormat="1" ht="10.5" hidden="1" customHeight="1">
      <c r="C1869" s="744"/>
      <c r="D1869" s="744"/>
      <c r="E1869" s="740" t="s">
        <v>100</v>
      </c>
      <c r="F1869" s="544">
        <f>+F1767+F1771+F1772+F1779+F1783+F1784+F1791+F1795+F1796+F1797+F1804+F1808+F1809+F1817+F1821+F1822</f>
        <v>294843693.60000002</v>
      </c>
      <c r="G1869" s="544">
        <f>+G1767+G1771+G1772+G1779+G1783+G1784+G1791+G1795+G1796+G1797+G1804+G1808+G1809+G1817+G1821+G1822</f>
        <v>277392735</v>
      </c>
      <c r="H1869" s="544">
        <f>+H1767+H1771+H1772+H1779+H1783+H1784+H1791+H1795+H1796+H1797+H1804+H1808+H1809+H1817+H1821+H1822</f>
        <v>5500000</v>
      </c>
      <c r="I1869" s="317">
        <f t="shared" si="746"/>
        <v>577736428.60000002</v>
      </c>
      <c r="J1869" s="544">
        <f>+J1767+J1771+J1772+J1779+J1783+J1784+J1791+J1795+J1796+J1797+J1804+J1808+J1809+J1817+J1821+J1822</f>
        <v>278622897.91000003</v>
      </c>
      <c r="K1869" s="544">
        <f>+K1767+K1771+K1772+K1779+K1783+K1784+K1791+K1795+K1796+K1797+K1804+K1808+K1809+K1817+K1821+K1822</f>
        <v>217532708.27000001</v>
      </c>
      <c r="L1869" s="544">
        <f>+L1767+L1771+L1772+L1779+L1783+L1784+L1791+L1795+L1796+L1797+L1804+L1808+L1809+L1817+L1821+L1822</f>
        <v>0</v>
      </c>
      <c r="M1869" s="317">
        <f t="shared" si="747"/>
        <v>496155606.18000007</v>
      </c>
      <c r="N1869" s="317">
        <f t="shared" si="748"/>
        <v>16220795.689999998</v>
      </c>
      <c r="O1869" s="317">
        <f t="shared" si="748"/>
        <v>59860026.729999989</v>
      </c>
      <c r="P1869" s="317">
        <f t="shared" si="748"/>
        <v>5500000</v>
      </c>
      <c r="Q1869" s="317">
        <f t="shared" si="749"/>
        <v>81580822.419999987</v>
      </c>
      <c r="S1869" s="1061">
        <f t="shared" si="751"/>
        <v>0.94498510213345122</v>
      </c>
      <c r="T1869" s="1061">
        <f t="shared" si="751"/>
        <v>0.78420477836234614</v>
      </c>
      <c r="U1869" s="1061">
        <f t="shared" si="751"/>
        <v>0</v>
      </c>
      <c r="V1869" s="1061">
        <f t="shared" si="751"/>
        <v>0.85879231708187298</v>
      </c>
      <c r="X1869" s="320"/>
      <c r="Y1869" s="742"/>
      <c r="Z1869" s="321"/>
    </row>
    <row r="1870" spans="1:34" s="1053" customFormat="1" ht="10.5" hidden="1" customHeight="1">
      <c r="A1870" s="137"/>
      <c r="C1870" s="1054"/>
      <c r="D1870" s="543"/>
      <c r="E1870" s="1055" t="s">
        <v>885</v>
      </c>
      <c r="F1870" s="1056">
        <f>+F1768+F1780+F1792+F1805+F1818+F1814</f>
        <v>218264160</v>
      </c>
      <c r="G1870" s="1056">
        <f>+G1768+G1780+G1792+G1805+G1818+G1814</f>
        <v>0</v>
      </c>
      <c r="H1870" s="1056">
        <f>+H1768+H1780+H1792+H1805+H1818+H1814</f>
        <v>0</v>
      </c>
      <c r="I1870" s="1056">
        <f t="shared" si="746"/>
        <v>218264160</v>
      </c>
      <c r="J1870" s="1056">
        <f>+J1768+J1780+J1792+J1805+J1818+J1814</f>
        <v>211648858.66999999</v>
      </c>
      <c r="K1870" s="1056">
        <f>+K1768+K1780+K1792+K1805+K1818+K1814</f>
        <v>0</v>
      </c>
      <c r="L1870" s="1056">
        <f>+L1768+L1780+L1792+L1805+L1818+L1814</f>
        <v>0</v>
      </c>
      <c r="M1870" s="1056">
        <f t="shared" si="747"/>
        <v>211648858.66999999</v>
      </c>
      <c r="N1870" s="1056">
        <f t="shared" si="748"/>
        <v>6615301.3300000131</v>
      </c>
      <c r="O1870" s="1056">
        <f t="shared" si="748"/>
        <v>0</v>
      </c>
      <c r="P1870" s="1056">
        <f t="shared" si="748"/>
        <v>0</v>
      </c>
      <c r="Q1870" s="1056">
        <f t="shared" si="749"/>
        <v>6615301.3300000131</v>
      </c>
      <c r="R1870" s="1056"/>
      <c r="S1870" s="1057">
        <f t="shared" si="751"/>
        <v>0.96969130740475207</v>
      </c>
      <c r="T1870" s="1057" t="str">
        <f t="shared" si="751"/>
        <v/>
      </c>
      <c r="U1870" s="1057" t="str">
        <f t="shared" si="751"/>
        <v/>
      </c>
      <c r="V1870" s="1057">
        <f t="shared" si="751"/>
        <v>0.96969130740475207</v>
      </c>
      <c r="W1870" s="137"/>
      <c r="X1870" s="1058"/>
      <c r="Y1870" s="1059"/>
      <c r="Z1870" s="1060"/>
    </row>
    <row r="1871" spans="1:34" s="239" customFormat="1" ht="11.25" hidden="1" customHeight="1" thickBot="1">
      <c r="A1871" s="316"/>
      <c r="C1871" s="1062"/>
      <c r="D1871" s="741"/>
      <c r="E1871" s="1063" t="s">
        <v>61</v>
      </c>
      <c r="F1871" s="1064">
        <f>SUM(F1866:F1870)</f>
        <v>9708730725.6000004</v>
      </c>
      <c r="G1871" s="1064">
        <f t="shared" ref="G1871:Q1871" si="752">SUM(G1866:G1870)</f>
        <v>9952025186.4599991</v>
      </c>
      <c r="H1871" s="1064">
        <f t="shared" si="752"/>
        <v>5774456586.1000004</v>
      </c>
      <c r="I1871" s="1064">
        <f t="shared" si="752"/>
        <v>25435212498.159996</v>
      </c>
      <c r="J1871" s="1064">
        <f t="shared" si="752"/>
        <v>8897462921.7400017</v>
      </c>
      <c r="K1871" s="1064">
        <f t="shared" si="752"/>
        <v>7645671398.8199997</v>
      </c>
      <c r="L1871" s="1064">
        <f t="shared" si="752"/>
        <v>3885123653.3099999</v>
      </c>
      <c r="M1871" s="1064">
        <f t="shared" si="752"/>
        <v>20428257973.869999</v>
      </c>
      <c r="N1871" s="1064">
        <f t="shared" si="752"/>
        <v>811267803.85999811</v>
      </c>
      <c r="O1871" s="1064">
        <f t="shared" si="752"/>
        <v>2306353787.6399999</v>
      </c>
      <c r="P1871" s="1064">
        <f t="shared" si="752"/>
        <v>1889332932.7900004</v>
      </c>
      <c r="Q1871" s="1064">
        <f t="shared" si="752"/>
        <v>5006954524.289999</v>
      </c>
      <c r="R1871" s="563">
        <f>+Q1871-Q1850+Q39</f>
        <v>0</v>
      </c>
      <c r="S1871" s="1065">
        <f t="shared" si="751"/>
        <v>0.9164393547633527</v>
      </c>
      <c r="T1871" s="1065">
        <f t="shared" si="751"/>
        <v>0.76825281845368953</v>
      </c>
      <c r="U1871" s="1065">
        <f t="shared" si="751"/>
        <v>0.67281199458007646</v>
      </c>
      <c r="V1871" s="1065">
        <f t="shared" si="751"/>
        <v>0.80314870478663369</v>
      </c>
      <c r="W1871" s="316"/>
      <c r="X1871" s="848"/>
      <c r="Y1871" s="1066"/>
      <c r="Z1871" s="849"/>
    </row>
    <row r="1872" spans="1:34" s="316" customFormat="1" ht="11.25" hidden="1" customHeight="1">
      <c r="A1872" s="246"/>
      <c r="C1872" s="744"/>
      <c r="D1872" s="744"/>
      <c r="E1872" s="745"/>
      <c r="F1872" s="746"/>
      <c r="G1872" s="746"/>
      <c r="H1872" s="746"/>
      <c r="I1872" s="746">
        <f>SUM(F1872:H1872)</f>
        <v>0</v>
      </c>
      <c r="J1872" s="746"/>
      <c r="K1872" s="746"/>
      <c r="L1872" s="746"/>
      <c r="M1872" s="746">
        <f t="shared" ref="M1872:M1891" si="753">SUM(J1872:L1872)</f>
        <v>0</v>
      </c>
      <c r="N1872" s="746">
        <f t="shared" ref="N1872:P1891" si="754">+F1872-J1872</f>
        <v>0</v>
      </c>
      <c r="O1872" s="746">
        <f t="shared" si="754"/>
        <v>0</v>
      </c>
      <c r="P1872" s="746">
        <f t="shared" si="754"/>
        <v>0</v>
      </c>
      <c r="Q1872" s="746">
        <f t="shared" ref="Q1872:Q1891" si="755">SUM(N1872:P1872)</f>
        <v>0</v>
      </c>
      <c r="S1872" s="1070"/>
      <c r="T1872" s="1070"/>
      <c r="U1872" s="747"/>
      <c r="V1872" s="1071"/>
      <c r="W1872" s="137"/>
      <c r="X1872" s="319"/>
      <c r="Y1872" s="737"/>
      <c r="Z1872" s="738"/>
      <c r="AA1872" s="137"/>
      <c r="AB1872" s="137"/>
      <c r="AC1872" s="137"/>
      <c r="AD1872" s="137"/>
      <c r="AE1872" s="137"/>
      <c r="AF1872" s="137"/>
      <c r="AG1872" s="137"/>
      <c r="AH1872" s="137"/>
    </row>
    <row r="1873" spans="1:16384" s="102" customFormat="1" ht="10.5" hidden="1" customHeight="1">
      <c r="A1873" s="748"/>
      <c r="B1873" s="746"/>
      <c r="C1873" s="627"/>
      <c r="D1873" s="627"/>
      <c r="E1873" s="749" t="s">
        <v>295</v>
      </c>
      <c r="F1873" s="102">
        <f t="shared" ref="F1873:Q1873" si="756">+F59+F154+F249+F329+F424+F538+F587+F652+F732+F827+F952+F1017+F1172+F1252+F1317+F1382-F1727-F1799</f>
        <v>0</v>
      </c>
      <c r="G1873" s="102">
        <f t="shared" si="756"/>
        <v>0</v>
      </c>
      <c r="H1873" s="102">
        <f t="shared" si="756"/>
        <v>0</v>
      </c>
      <c r="I1873" s="102">
        <f t="shared" si="756"/>
        <v>0</v>
      </c>
      <c r="J1873" s="102">
        <f t="shared" si="756"/>
        <v>2.384185791015625E-7</v>
      </c>
      <c r="K1873" s="102">
        <f t="shared" si="756"/>
        <v>4.76837158203125E-7</v>
      </c>
      <c r="L1873" s="102">
        <f t="shared" si="756"/>
        <v>0</v>
      </c>
      <c r="M1873" s="102">
        <f t="shared" si="756"/>
        <v>2.384185791015625E-7</v>
      </c>
      <c r="N1873" s="102">
        <f t="shared" si="756"/>
        <v>1.0430812835693359E-7</v>
      </c>
      <c r="O1873" s="102">
        <f t="shared" si="756"/>
        <v>-4.76837158203125E-7</v>
      </c>
      <c r="P1873" s="102">
        <f t="shared" si="756"/>
        <v>-5.9604644775390625E-8</v>
      </c>
      <c r="Q1873" s="102">
        <f t="shared" si="756"/>
        <v>0</v>
      </c>
      <c r="S1873" s="1443">
        <f>+Q1850-'[3]ncr-SAOB'!CC179-'[3]car-SAOB'!CC179-'[3]chd 1-SAOB'!BQ179-'[3]chd2-SAOB'!CC179-'[3]chd3-SAOB'!CO179-'[3]chd4A-SAOB'!AS178-'[3]chd4b-SAOB'!BE180-'[3]chd5-SAOB'!BQ180-'[3]chd6-SAOB'!CC180-'[3]chd7-SAOB'!DA179-'[3]chd 8-SAOB'!BE179-'[3]chd9-SAOB'!DY179-'[3]chd 10-SAOB'!BQ178-'[3]chd11-SAOB'!BE179-'[3]chd12-SAOB'!BE179-'[3]caraga-SAOB'!BE179-[3]BUREAUS!BD179-'[3]special hospitals1'!CT179-'[3]special hospitals2'!BX179-Q39</f>
        <v>0</v>
      </c>
      <c r="T1873" s="1443"/>
      <c r="U1873" s="1443"/>
      <c r="V1873" s="1072"/>
      <c r="W1873" s="112"/>
      <c r="X1873" s="750"/>
      <c r="Y1873" s="751"/>
      <c r="Z1873" s="752"/>
      <c r="AA1873" s="112"/>
      <c r="AB1873" s="112"/>
      <c r="AC1873" s="112"/>
      <c r="AD1873" s="112"/>
      <c r="AE1873" s="112"/>
      <c r="AF1873" s="112"/>
      <c r="AG1873" s="112"/>
      <c r="AH1873" s="112"/>
    </row>
    <row r="1874" spans="1:16384" s="102" customFormat="1" ht="11.25" hidden="1" customHeight="1">
      <c r="A1874" s="748"/>
      <c r="B1874" s="746"/>
      <c r="C1874" s="627"/>
      <c r="D1874" s="627"/>
      <c r="E1874" s="749" t="s">
        <v>296</v>
      </c>
      <c r="F1874" s="102">
        <f t="shared" ref="F1874:Q1874" si="757">+F121+F216+F296+F391+F504+F554+F619+F699+F794+F919+F984+F1139+F1219+F1284+F1349+F1414-F1734-F1811</f>
        <v>0</v>
      </c>
      <c r="G1874" s="102">
        <f t="shared" si="757"/>
        <v>0</v>
      </c>
      <c r="H1874" s="102">
        <f t="shared" si="757"/>
        <v>0</v>
      </c>
      <c r="I1874" s="102">
        <f t="shared" si="757"/>
        <v>0</v>
      </c>
      <c r="J1874" s="102">
        <f t="shared" si="757"/>
        <v>-5.9604644775390625E-7</v>
      </c>
      <c r="K1874" s="102">
        <f t="shared" si="757"/>
        <v>-8.9406967163085938E-7</v>
      </c>
      <c r="L1874" s="102">
        <f t="shared" si="757"/>
        <v>0</v>
      </c>
      <c r="M1874" s="102">
        <f t="shared" si="757"/>
        <v>-2.86102294921875E-6</v>
      </c>
      <c r="N1874" s="102">
        <f t="shared" si="757"/>
        <v>6.5565109252929688E-7</v>
      </c>
      <c r="O1874" s="102">
        <f t="shared" si="757"/>
        <v>5.3644180297851563E-7</v>
      </c>
      <c r="P1874" s="102">
        <f t="shared" si="757"/>
        <v>0</v>
      </c>
      <c r="Q1874" s="102">
        <f t="shared" si="757"/>
        <v>1.6689300537109375E-6</v>
      </c>
      <c r="S1874" s="1072"/>
      <c r="T1874" s="140"/>
      <c r="U1874" s="1373"/>
      <c r="V1874" s="1072"/>
      <c r="W1874" s="112"/>
      <c r="X1874" s="750"/>
      <c r="Y1874" s="751"/>
      <c r="Z1874" s="752"/>
      <c r="AA1874" s="112"/>
      <c r="AB1874" s="112"/>
      <c r="AC1874" s="112"/>
      <c r="AD1874" s="112"/>
      <c r="AE1874" s="112"/>
      <c r="AF1874" s="112"/>
      <c r="AG1874" s="112"/>
      <c r="AH1874" s="112"/>
    </row>
    <row r="1875" spans="1:16384" s="102" customFormat="1" ht="11.25" hidden="1" customHeight="1">
      <c r="A1875" s="748"/>
      <c r="B1875" s="746"/>
      <c r="C1875" s="627"/>
      <c r="D1875" s="627"/>
      <c r="E1875" s="749" t="s">
        <v>297</v>
      </c>
      <c r="F1875" s="102">
        <f t="shared" ref="F1875:Q1875" si="758">+F1627-F1723-F1786</f>
        <v>0</v>
      </c>
      <c r="G1875" s="102">
        <f t="shared" si="758"/>
        <v>0</v>
      </c>
      <c r="H1875" s="102">
        <f t="shared" si="758"/>
        <v>0</v>
      </c>
      <c r="I1875" s="102">
        <f t="shared" si="758"/>
        <v>0</v>
      </c>
      <c r="J1875" s="102">
        <f t="shared" si="758"/>
        <v>0</v>
      </c>
      <c r="K1875" s="102">
        <f t="shared" si="758"/>
        <v>-9.6857547760009766E-8</v>
      </c>
      <c r="L1875" s="102">
        <f t="shared" si="758"/>
        <v>0</v>
      </c>
      <c r="M1875" s="102">
        <f t="shared" si="758"/>
        <v>-4.76837158203125E-7</v>
      </c>
      <c r="N1875" s="102">
        <f t="shared" si="758"/>
        <v>-8.9406967163085938E-8</v>
      </c>
      <c r="O1875" s="102">
        <f t="shared" si="758"/>
        <v>3.7252902984619141E-8</v>
      </c>
      <c r="P1875" s="102">
        <f t="shared" si="758"/>
        <v>0</v>
      </c>
      <c r="Q1875" s="102">
        <f t="shared" si="758"/>
        <v>0</v>
      </c>
      <c r="S1875" s="1072"/>
      <c r="T1875" s="1373"/>
      <c r="U1875" s="1373"/>
      <c r="V1875" s="1072"/>
      <c r="W1875" s="112"/>
      <c r="X1875" s="750"/>
      <c r="Y1875" s="751"/>
      <c r="Z1875" s="752"/>
      <c r="AA1875" s="112"/>
      <c r="AB1875" s="112"/>
      <c r="AC1875" s="112"/>
      <c r="AD1875" s="112"/>
      <c r="AE1875" s="112"/>
      <c r="AF1875" s="112"/>
      <c r="AG1875" s="112"/>
      <c r="AH1875" s="112"/>
    </row>
    <row r="1876" spans="1:16384" s="102" customFormat="1" ht="11.25" hidden="1" customHeight="1">
      <c r="A1876" s="748"/>
      <c r="B1876" s="746"/>
      <c r="C1876" s="627"/>
      <c r="D1876" s="627"/>
      <c r="E1876" s="749" t="s">
        <v>51</v>
      </c>
      <c r="F1876" s="102">
        <f t="shared" ref="F1876:Q1876" si="759">+F1684-F1714-F1762</f>
        <v>0</v>
      </c>
      <c r="G1876" s="102">
        <f t="shared" si="759"/>
        <v>0</v>
      </c>
      <c r="H1876" s="102">
        <f t="shared" si="759"/>
        <v>0</v>
      </c>
      <c r="I1876" s="102">
        <f t="shared" si="759"/>
        <v>0</v>
      </c>
      <c r="J1876" s="102">
        <f t="shared" si="759"/>
        <v>0</v>
      </c>
      <c r="K1876" s="102">
        <f t="shared" si="759"/>
        <v>0</v>
      </c>
      <c r="L1876" s="102">
        <f t="shared" si="759"/>
        <v>0</v>
      </c>
      <c r="M1876" s="102">
        <f t="shared" si="759"/>
        <v>0</v>
      </c>
      <c r="N1876" s="102">
        <f t="shared" si="759"/>
        <v>-3.7252902984619141E-9</v>
      </c>
      <c r="O1876" s="102">
        <f t="shared" si="759"/>
        <v>0</v>
      </c>
      <c r="P1876" s="102">
        <f t="shared" si="759"/>
        <v>0</v>
      </c>
      <c r="Q1876" s="102">
        <f t="shared" si="759"/>
        <v>-3.7252902984619141E-9</v>
      </c>
      <c r="R1876" s="936"/>
      <c r="S1876" s="1373"/>
      <c r="T1876" s="1373"/>
      <c r="U1876" s="1373"/>
      <c r="V1876" s="1072"/>
      <c r="W1876" s="112"/>
      <c r="X1876" s="750"/>
      <c r="Y1876" s="751"/>
      <c r="Z1876" s="752"/>
      <c r="AA1876" s="112"/>
      <c r="AB1876" s="112"/>
      <c r="AC1876" s="112"/>
      <c r="AD1876" s="112"/>
      <c r="AE1876" s="112"/>
      <c r="AF1876" s="112"/>
      <c r="AG1876" s="112"/>
      <c r="AH1876" s="112"/>
    </row>
    <row r="1877" spans="1:16384" s="102" customFormat="1" ht="11.25" hidden="1" customHeight="1">
      <c r="A1877" s="748"/>
      <c r="B1877" s="753"/>
      <c r="C1877" s="627"/>
      <c r="D1877" s="627"/>
      <c r="E1877" s="749" t="s">
        <v>271</v>
      </c>
      <c r="F1877" s="102">
        <f t="shared" ref="F1877:Q1877" si="760">+F1701-F1774-F1718</f>
        <v>0</v>
      </c>
      <c r="G1877" s="102">
        <f t="shared" si="760"/>
        <v>0</v>
      </c>
      <c r="H1877" s="102">
        <f t="shared" si="760"/>
        <v>0</v>
      </c>
      <c r="I1877" s="102">
        <f t="shared" si="760"/>
        <v>0</v>
      </c>
      <c r="J1877" s="102">
        <f t="shared" si="760"/>
        <v>0</v>
      </c>
      <c r="K1877" s="102">
        <f t="shared" si="760"/>
        <v>0</v>
      </c>
      <c r="L1877" s="102">
        <f t="shared" si="760"/>
        <v>0</v>
      </c>
      <c r="M1877" s="102">
        <f t="shared" si="760"/>
        <v>0</v>
      </c>
      <c r="N1877" s="102">
        <f t="shared" si="760"/>
        <v>0</v>
      </c>
      <c r="O1877" s="102">
        <f t="shared" si="760"/>
        <v>0</v>
      </c>
      <c r="P1877" s="102">
        <f t="shared" si="760"/>
        <v>0</v>
      </c>
      <c r="Q1877" s="102">
        <f t="shared" si="760"/>
        <v>0</v>
      </c>
      <c r="R1877" s="936"/>
      <c r="S1877" s="1373"/>
      <c r="T1877" s="1373"/>
      <c r="U1877" s="1373"/>
      <c r="V1877" s="1072"/>
      <c r="W1877" s="112"/>
      <c r="X1877" s="750"/>
      <c r="Y1877" s="751"/>
      <c r="Z1877" s="752"/>
      <c r="AA1877" s="112"/>
      <c r="AB1877" s="112"/>
      <c r="AC1877" s="112"/>
      <c r="AD1877" s="112"/>
      <c r="AE1877" s="112"/>
      <c r="AF1877" s="112"/>
      <c r="AG1877" s="112"/>
      <c r="AH1877" s="112"/>
    </row>
    <row r="1878" spans="1:16384" s="102" customFormat="1" ht="11.25" hidden="1" customHeight="1">
      <c r="A1878" s="748"/>
      <c r="B1878" s="753"/>
      <c r="C1878" s="627"/>
      <c r="D1878" s="627"/>
      <c r="E1878" s="754" t="s">
        <v>4</v>
      </c>
      <c r="F1878" s="102">
        <f t="shared" ref="F1878:Q1878" si="761">+F1850-F39-F136-F231-F311-F406-F520-F569-F634-F714-F809-F934-F999-F1154-F1234-F1299-F1364-F1429-F1627-F1684-F1701</f>
        <v>0</v>
      </c>
      <c r="G1878" s="102">
        <f t="shared" si="761"/>
        <v>-1.430511474609375E-6</v>
      </c>
      <c r="H1878" s="102">
        <f t="shared" si="761"/>
        <v>4.76837158203125E-7</v>
      </c>
      <c r="I1878" s="102">
        <f t="shared" si="761"/>
        <v>1.9073486328125E-6</v>
      </c>
      <c r="J1878" s="102">
        <f t="shared" si="761"/>
        <v>0</v>
      </c>
      <c r="K1878" s="102">
        <f t="shared" si="761"/>
        <v>2.3245811462402344E-6</v>
      </c>
      <c r="L1878" s="102">
        <f t="shared" si="761"/>
        <v>-9.3970447778701782E-7</v>
      </c>
      <c r="M1878" s="102">
        <f t="shared" si="761"/>
        <v>5.3197145462036133E-6</v>
      </c>
      <c r="N1878" s="102">
        <f t="shared" si="761"/>
        <v>-6.1094760894775391E-7</v>
      </c>
      <c r="O1878" s="102">
        <f t="shared" si="761"/>
        <v>-5.9604644775390625E-8</v>
      </c>
      <c r="P1878" s="102">
        <f t="shared" si="761"/>
        <v>-6.1094760894775391E-7</v>
      </c>
      <c r="Q1878" s="102">
        <f t="shared" si="761"/>
        <v>-8.0466270446777344E-7</v>
      </c>
      <c r="R1878" s="936"/>
      <c r="S1878" s="1373"/>
      <c r="T1878" s="1373"/>
      <c r="U1878" s="1373"/>
      <c r="V1878" s="1072"/>
      <c r="W1878" s="112"/>
      <c r="X1878" s="750"/>
      <c r="Y1878" s="751"/>
      <c r="Z1878" s="752"/>
      <c r="AA1878" s="112"/>
      <c r="AB1878" s="112"/>
      <c r="AC1878" s="112"/>
      <c r="AD1878" s="112"/>
      <c r="AE1878" s="112"/>
      <c r="AF1878" s="112"/>
      <c r="AG1878" s="112"/>
      <c r="AH1878" s="112"/>
    </row>
    <row r="1879" spans="1:16384" s="93" customFormat="1" ht="11.25" hidden="1" customHeight="1">
      <c r="A1879" s="316"/>
      <c r="B1879" s="316"/>
      <c r="C1879" s="755"/>
      <c r="D1879" s="755"/>
      <c r="E1879" s="756"/>
      <c r="F1879" s="102"/>
      <c r="I1879" s="93">
        <f>SUM(F1879:H1879)</f>
        <v>0</v>
      </c>
      <c r="M1879" s="93">
        <f t="shared" si="753"/>
        <v>0</v>
      </c>
      <c r="N1879" s="93">
        <f t="shared" si="754"/>
        <v>0</v>
      </c>
      <c r="O1879" s="93">
        <f t="shared" si="754"/>
        <v>0</v>
      </c>
      <c r="P1879" s="93">
        <f t="shared" si="754"/>
        <v>0</v>
      </c>
      <c r="Q1879" s="93">
        <f t="shared" si="755"/>
        <v>0</v>
      </c>
      <c r="S1879" s="140"/>
      <c r="T1879" s="140"/>
      <c r="U1879" s="140"/>
      <c r="V1879" s="140"/>
      <c r="X1879" s="247"/>
      <c r="Y1879" s="626"/>
      <c r="Z1879" s="136"/>
    </row>
    <row r="1880" spans="1:16384" s="93" customFormat="1" ht="11.25" hidden="1" customHeight="1">
      <c r="A1880" s="316"/>
      <c r="B1880" s="316"/>
      <c r="C1880" s="755"/>
      <c r="D1880" s="755"/>
      <c r="E1880" s="756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140"/>
      <c r="T1880" s="140"/>
      <c r="U1880" s="140"/>
      <c r="V1880" s="140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4"/>
      <c r="BL1880" s="94"/>
      <c r="BM1880" s="94"/>
      <c r="BN1880" s="94"/>
      <c r="BO1880" s="94"/>
      <c r="BP1880" s="94"/>
      <c r="BQ1880" s="94"/>
      <c r="BR1880" s="94"/>
      <c r="BS1880" s="94"/>
      <c r="BT1880" s="94"/>
      <c r="BU1880" s="94"/>
      <c r="BV1880" s="94"/>
      <c r="BW1880" s="94"/>
      <c r="BX1880" s="94"/>
      <c r="BY1880" s="94"/>
      <c r="BZ1880" s="94"/>
      <c r="CA1880" s="94"/>
      <c r="CB1880" s="94"/>
      <c r="CC1880" s="94"/>
      <c r="CD1880" s="94"/>
      <c r="CE1880" s="94"/>
      <c r="CF1880" s="94"/>
      <c r="CG1880" s="94"/>
      <c r="CH1880" s="94"/>
      <c r="CI1880" s="94"/>
      <c r="CJ1880" s="94"/>
      <c r="CK1880" s="94"/>
      <c r="CL1880" s="94"/>
      <c r="CM1880" s="94"/>
      <c r="CN1880" s="94"/>
      <c r="CO1880" s="94"/>
      <c r="CP1880" s="94"/>
      <c r="CQ1880" s="94"/>
      <c r="CR1880" s="94"/>
      <c r="CS1880" s="94"/>
      <c r="CT1880" s="94"/>
      <c r="CU1880" s="94"/>
      <c r="CV1880" s="94"/>
      <c r="CW1880" s="94"/>
      <c r="CX1880" s="94"/>
      <c r="CY1880" s="94"/>
      <c r="CZ1880" s="94"/>
      <c r="DA1880" s="94"/>
      <c r="DB1880" s="94"/>
      <c r="DC1880" s="94"/>
      <c r="DD1880" s="94"/>
      <c r="DE1880" s="94"/>
      <c r="DF1880" s="94"/>
      <c r="DG1880" s="94"/>
      <c r="DH1880" s="94"/>
      <c r="DI1880" s="94"/>
      <c r="DJ1880" s="94"/>
      <c r="DK1880" s="94"/>
      <c r="DL1880" s="94"/>
      <c r="DM1880" s="94"/>
      <c r="DN1880" s="94"/>
      <c r="DO1880" s="94"/>
      <c r="DP1880" s="94"/>
      <c r="DQ1880" s="94"/>
      <c r="DR1880" s="94"/>
      <c r="DS1880" s="94"/>
      <c r="DT1880" s="94"/>
      <c r="DU1880" s="94"/>
      <c r="DV1880" s="94"/>
      <c r="DW1880" s="94"/>
      <c r="DX1880" s="94"/>
      <c r="DY1880" s="94"/>
      <c r="DZ1880" s="94"/>
      <c r="EA1880" s="94"/>
      <c r="EB1880" s="94"/>
      <c r="EC1880" s="94"/>
      <c r="ED1880" s="94"/>
      <c r="EE1880" s="94"/>
      <c r="EF1880" s="94"/>
      <c r="EG1880" s="94"/>
      <c r="EH1880" s="94"/>
      <c r="EI1880" s="94"/>
      <c r="EJ1880" s="94"/>
      <c r="EK1880" s="94"/>
      <c r="EL1880" s="94"/>
      <c r="EM1880" s="94"/>
      <c r="EN1880" s="94"/>
      <c r="EO1880" s="94"/>
      <c r="EP1880" s="94"/>
      <c r="EQ1880" s="94"/>
      <c r="ER1880" s="94"/>
      <c r="ES1880" s="94"/>
      <c r="ET1880" s="94"/>
      <c r="EU1880" s="94"/>
      <c r="EV1880" s="94"/>
      <c r="EW1880" s="94"/>
      <c r="EX1880" s="94"/>
      <c r="EY1880" s="94"/>
      <c r="EZ1880" s="94"/>
      <c r="FA1880" s="94"/>
      <c r="FB1880" s="94"/>
      <c r="FC1880" s="94"/>
      <c r="FD1880" s="94"/>
      <c r="FE1880" s="94"/>
      <c r="FF1880" s="94"/>
      <c r="FG1880" s="94"/>
      <c r="FH1880" s="94"/>
      <c r="FI1880" s="94"/>
      <c r="FJ1880" s="94"/>
      <c r="FK1880" s="94"/>
      <c r="FL1880" s="94"/>
      <c r="FM1880" s="94"/>
      <c r="FN1880" s="94"/>
      <c r="FO1880" s="94"/>
      <c r="FP1880" s="94"/>
      <c r="FQ1880" s="94"/>
      <c r="FR1880" s="94"/>
      <c r="FS1880" s="94"/>
      <c r="FT1880" s="94"/>
      <c r="FU1880" s="94"/>
      <c r="FV1880" s="94"/>
      <c r="FW1880" s="94"/>
      <c r="FX1880" s="94"/>
      <c r="FY1880" s="94"/>
      <c r="FZ1880" s="94"/>
      <c r="GA1880" s="94"/>
      <c r="GB1880" s="94"/>
      <c r="GC1880" s="94"/>
      <c r="GD1880" s="94"/>
      <c r="GE1880" s="94"/>
      <c r="GF1880" s="94"/>
      <c r="GG1880" s="94"/>
      <c r="GH1880" s="94"/>
      <c r="GI1880" s="94"/>
      <c r="GJ1880" s="94"/>
      <c r="GK1880" s="94"/>
      <c r="GL1880" s="94"/>
      <c r="GM1880" s="94"/>
      <c r="GN1880" s="94"/>
      <c r="GO1880" s="94"/>
      <c r="GP1880" s="94"/>
      <c r="GQ1880" s="94"/>
      <c r="GR1880" s="94"/>
      <c r="GS1880" s="94"/>
      <c r="GT1880" s="94"/>
      <c r="GU1880" s="94"/>
      <c r="GV1880" s="94"/>
      <c r="GW1880" s="94"/>
      <c r="GX1880" s="94"/>
      <c r="GY1880" s="94"/>
      <c r="GZ1880" s="94"/>
      <c r="HA1880" s="94"/>
      <c r="HB1880" s="94"/>
      <c r="HC1880" s="94"/>
      <c r="HD1880" s="94"/>
      <c r="HE1880" s="94"/>
      <c r="HF1880" s="94"/>
      <c r="HG1880" s="94"/>
      <c r="HH1880" s="94"/>
      <c r="HI1880" s="94"/>
      <c r="HJ1880" s="94"/>
      <c r="HK1880" s="94"/>
      <c r="HL1880" s="94"/>
      <c r="HM1880" s="94"/>
      <c r="HN1880" s="94"/>
      <c r="HO1880" s="94"/>
      <c r="HP1880" s="94"/>
      <c r="HQ1880" s="94"/>
      <c r="HR1880" s="94"/>
      <c r="HS1880" s="94"/>
      <c r="HT1880" s="94"/>
      <c r="HU1880" s="94"/>
      <c r="HV1880" s="94"/>
      <c r="HW1880" s="94"/>
      <c r="HX1880" s="94"/>
      <c r="HY1880" s="94"/>
      <c r="HZ1880" s="94"/>
      <c r="IA1880" s="94"/>
      <c r="IB1880" s="94"/>
      <c r="IC1880" s="94"/>
      <c r="ID1880" s="94"/>
      <c r="IE1880" s="94"/>
      <c r="IF1880" s="94"/>
      <c r="IG1880" s="94"/>
      <c r="IH1880" s="94"/>
      <c r="II1880" s="94"/>
      <c r="IJ1880" s="94"/>
      <c r="IK1880" s="94"/>
      <c r="IL1880" s="94"/>
      <c r="IM1880" s="94"/>
      <c r="IN1880" s="94"/>
      <c r="IO1880" s="94"/>
      <c r="IP1880" s="94"/>
      <c r="IQ1880" s="94"/>
      <c r="IR1880" s="94"/>
      <c r="IS1880" s="94"/>
      <c r="IT1880" s="94"/>
      <c r="IU1880" s="94"/>
      <c r="IV1880" s="94"/>
      <c r="IW1880" s="94"/>
      <c r="IX1880" s="94"/>
      <c r="IY1880" s="94"/>
      <c r="IZ1880" s="94"/>
      <c r="JA1880" s="94"/>
      <c r="JB1880" s="94"/>
      <c r="JC1880" s="94"/>
      <c r="JD1880" s="94"/>
      <c r="JE1880" s="94"/>
      <c r="JF1880" s="94"/>
      <c r="JG1880" s="94"/>
      <c r="JH1880" s="94"/>
      <c r="JI1880" s="94"/>
      <c r="JJ1880" s="94"/>
      <c r="JK1880" s="94"/>
      <c r="JL1880" s="94"/>
      <c r="JM1880" s="94"/>
      <c r="JN1880" s="94"/>
      <c r="JO1880" s="94"/>
      <c r="JP1880" s="94"/>
      <c r="JQ1880" s="94"/>
      <c r="JR1880" s="94"/>
      <c r="JS1880" s="94"/>
      <c r="JT1880" s="94"/>
      <c r="JU1880" s="94"/>
      <c r="JV1880" s="94"/>
      <c r="JW1880" s="94"/>
      <c r="JX1880" s="94"/>
      <c r="JY1880" s="94"/>
      <c r="JZ1880" s="94"/>
      <c r="KA1880" s="94"/>
      <c r="KB1880" s="94"/>
      <c r="KC1880" s="94"/>
      <c r="KD1880" s="94"/>
      <c r="KE1880" s="94"/>
      <c r="KF1880" s="94"/>
      <c r="KG1880" s="94"/>
      <c r="KH1880" s="94"/>
      <c r="KI1880" s="94"/>
      <c r="KJ1880" s="94"/>
      <c r="KK1880" s="94"/>
      <c r="KL1880" s="94"/>
      <c r="KM1880" s="94"/>
      <c r="KN1880" s="94"/>
      <c r="KO1880" s="94"/>
      <c r="KP1880" s="94"/>
      <c r="KQ1880" s="94"/>
      <c r="KR1880" s="94"/>
      <c r="KS1880" s="94"/>
      <c r="KT1880" s="94"/>
      <c r="KU1880" s="94"/>
      <c r="KV1880" s="94"/>
      <c r="KW1880" s="94"/>
      <c r="KX1880" s="94"/>
      <c r="KY1880" s="94"/>
      <c r="KZ1880" s="94"/>
      <c r="LA1880" s="94"/>
      <c r="LB1880" s="94"/>
      <c r="LC1880" s="94"/>
      <c r="LD1880" s="94"/>
      <c r="LE1880" s="94"/>
      <c r="LF1880" s="94"/>
      <c r="LG1880" s="94"/>
      <c r="LH1880" s="94"/>
      <c r="LI1880" s="94"/>
      <c r="LJ1880" s="94"/>
      <c r="LK1880" s="94"/>
      <c r="LL1880" s="94"/>
      <c r="LM1880" s="94"/>
      <c r="LN1880" s="94"/>
      <c r="LO1880" s="94"/>
      <c r="LP1880" s="94"/>
      <c r="LQ1880" s="94"/>
      <c r="LR1880" s="94"/>
      <c r="LS1880" s="94"/>
      <c r="LT1880" s="94"/>
      <c r="LU1880" s="94"/>
      <c r="LV1880" s="94"/>
      <c r="LW1880" s="94"/>
      <c r="LX1880" s="94"/>
      <c r="LY1880" s="94"/>
      <c r="LZ1880" s="94"/>
      <c r="MA1880" s="94"/>
      <c r="MB1880" s="94"/>
      <c r="MC1880" s="94"/>
      <c r="MD1880" s="94"/>
      <c r="ME1880" s="94"/>
      <c r="MF1880" s="94"/>
      <c r="MG1880" s="94"/>
      <c r="MH1880" s="94"/>
      <c r="MI1880" s="94"/>
      <c r="MJ1880" s="94"/>
      <c r="MK1880" s="94"/>
      <c r="ML1880" s="94"/>
      <c r="MM1880" s="94"/>
      <c r="MN1880" s="94"/>
      <c r="MO1880" s="94"/>
      <c r="MP1880" s="94"/>
      <c r="MQ1880" s="94"/>
      <c r="MR1880" s="94"/>
      <c r="MS1880" s="94"/>
      <c r="MT1880" s="94"/>
      <c r="MU1880" s="94"/>
      <c r="MV1880" s="94"/>
      <c r="MW1880" s="94"/>
      <c r="MX1880" s="94"/>
      <c r="MY1880" s="94"/>
      <c r="MZ1880" s="94"/>
      <c r="NA1880" s="94"/>
      <c r="NB1880" s="94"/>
      <c r="NC1880" s="94"/>
      <c r="ND1880" s="94"/>
      <c r="NE1880" s="94"/>
      <c r="NF1880" s="94"/>
      <c r="NG1880" s="94"/>
      <c r="NH1880" s="94"/>
      <c r="NI1880" s="94"/>
      <c r="NJ1880" s="94"/>
      <c r="NK1880" s="94"/>
      <c r="NL1880" s="94"/>
      <c r="NM1880" s="94"/>
      <c r="NN1880" s="94"/>
      <c r="NO1880" s="94"/>
      <c r="NP1880" s="94"/>
      <c r="NQ1880" s="94"/>
      <c r="NR1880" s="94"/>
      <c r="NS1880" s="94"/>
      <c r="NT1880" s="94"/>
      <c r="NU1880" s="94"/>
      <c r="NV1880" s="94"/>
      <c r="NW1880" s="94"/>
      <c r="NX1880" s="94"/>
      <c r="NY1880" s="94"/>
      <c r="NZ1880" s="94"/>
      <c r="OA1880" s="94"/>
      <c r="OB1880" s="94"/>
      <c r="OC1880" s="94"/>
      <c r="OD1880" s="94"/>
      <c r="OE1880" s="94"/>
      <c r="OF1880" s="94"/>
      <c r="OG1880" s="94"/>
      <c r="OH1880" s="94"/>
      <c r="OI1880" s="94"/>
      <c r="OJ1880" s="94"/>
      <c r="OK1880" s="94"/>
      <c r="OL1880" s="94"/>
      <c r="OM1880" s="94"/>
      <c r="ON1880" s="94"/>
      <c r="OO1880" s="94"/>
      <c r="OP1880" s="94"/>
      <c r="OQ1880" s="94"/>
      <c r="OR1880" s="94"/>
      <c r="OS1880" s="94"/>
      <c r="OT1880" s="94"/>
      <c r="OU1880" s="94"/>
      <c r="OV1880" s="94"/>
      <c r="OW1880" s="94"/>
      <c r="OX1880" s="94"/>
      <c r="OY1880" s="94"/>
      <c r="OZ1880" s="94"/>
      <c r="PA1880" s="94"/>
      <c r="PB1880" s="94"/>
      <c r="PC1880" s="94"/>
      <c r="PD1880" s="94"/>
      <c r="PE1880" s="94"/>
      <c r="PF1880" s="94"/>
      <c r="PG1880" s="94"/>
      <c r="PH1880" s="94"/>
      <c r="PI1880" s="94"/>
      <c r="PJ1880" s="94"/>
      <c r="PK1880" s="94"/>
      <c r="PL1880" s="94"/>
      <c r="PM1880" s="94"/>
      <c r="PN1880" s="94"/>
      <c r="PO1880" s="94"/>
      <c r="PP1880" s="94"/>
      <c r="PQ1880" s="94"/>
      <c r="PR1880" s="94"/>
      <c r="PS1880" s="94"/>
      <c r="PT1880" s="94"/>
      <c r="PU1880" s="94"/>
      <c r="PV1880" s="94"/>
      <c r="PW1880" s="94"/>
      <c r="PX1880" s="94"/>
      <c r="PY1880" s="94"/>
      <c r="PZ1880" s="94"/>
      <c r="QA1880" s="94"/>
      <c r="QB1880" s="94"/>
      <c r="QC1880" s="94"/>
      <c r="QD1880" s="94"/>
      <c r="QE1880" s="94"/>
      <c r="QF1880" s="94"/>
      <c r="QG1880" s="94"/>
      <c r="QH1880" s="94"/>
      <c r="QI1880" s="94"/>
      <c r="QJ1880" s="94"/>
      <c r="QK1880" s="94"/>
      <c r="QL1880" s="94"/>
      <c r="QM1880" s="94"/>
      <c r="QN1880" s="94"/>
      <c r="QO1880" s="94"/>
      <c r="QP1880" s="94"/>
      <c r="QQ1880" s="94"/>
      <c r="QR1880" s="94"/>
      <c r="QS1880" s="94"/>
      <c r="QT1880" s="94"/>
      <c r="QU1880" s="94"/>
      <c r="QV1880" s="94"/>
      <c r="QW1880" s="94"/>
      <c r="QX1880" s="94"/>
      <c r="QY1880" s="94"/>
      <c r="QZ1880" s="94"/>
      <c r="RA1880" s="94"/>
      <c r="RB1880" s="94"/>
      <c r="RC1880" s="94"/>
      <c r="RD1880" s="94"/>
      <c r="RE1880" s="94"/>
      <c r="RF1880" s="94"/>
      <c r="RG1880" s="94"/>
      <c r="RH1880" s="94"/>
      <c r="RI1880" s="94"/>
      <c r="RJ1880" s="94"/>
      <c r="RK1880" s="94"/>
      <c r="RL1880" s="94"/>
      <c r="RM1880" s="94"/>
      <c r="RN1880" s="94"/>
      <c r="RO1880" s="94"/>
      <c r="RP1880" s="94"/>
      <c r="RQ1880" s="94"/>
      <c r="RR1880" s="94"/>
      <c r="RS1880" s="94"/>
      <c r="RT1880" s="94"/>
      <c r="RU1880" s="94"/>
      <c r="RV1880" s="94"/>
      <c r="RW1880" s="94"/>
      <c r="RX1880" s="94"/>
      <c r="RY1880" s="94"/>
      <c r="RZ1880" s="94"/>
      <c r="SA1880" s="94"/>
      <c r="SB1880" s="94"/>
      <c r="SC1880" s="94"/>
      <c r="SD1880" s="94"/>
      <c r="SE1880" s="94"/>
      <c r="SF1880" s="94"/>
      <c r="SG1880" s="94"/>
      <c r="SH1880" s="94"/>
      <c r="SI1880" s="94"/>
      <c r="SJ1880" s="94"/>
      <c r="SK1880" s="94"/>
      <c r="SL1880" s="94"/>
      <c r="SM1880" s="94"/>
      <c r="SN1880" s="94"/>
      <c r="SO1880" s="94"/>
      <c r="SP1880" s="94"/>
      <c r="SQ1880" s="94"/>
      <c r="SR1880" s="94"/>
      <c r="SS1880" s="94"/>
      <c r="ST1880" s="94"/>
      <c r="SU1880" s="94"/>
      <c r="SV1880" s="94"/>
      <c r="SW1880" s="94"/>
      <c r="SX1880" s="94"/>
      <c r="SY1880" s="94"/>
      <c r="SZ1880" s="94"/>
      <c r="TA1880" s="94"/>
      <c r="TB1880" s="94"/>
      <c r="TC1880" s="94"/>
      <c r="TD1880" s="94"/>
      <c r="TE1880" s="94"/>
      <c r="TF1880" s="94"/>
      <c r="TG1880" s="94"/>
      <c r="TH1880" s="94"/>
      <c r="TI1880" s="94"/>
      <c r="TJ1880" s="94"/>
      <c r="TK1880" s="94"/>
      <c r="TL1880" s="94"/>
      <c r="TM1880" s="94"/>
      <c r="TN1880" s="94"/>
      <c r="TO1880" s="94"/>
      <c r="TP1880" s="94"/>
      <c r="TQ1880" s="94"/>
      <c r="TR1880" s="94"/>
      <c r="TS1880" s="94"/>
      <c r="TT1880" s="94"/>
      <c r="TU1880" s="94"/>
      <c r="TV1880" s="94"/>
      <c r="TW1880" s="94"/>
      <c r="TX1880" s="94"/>
      <c r="TY1880" s="94"/>
      <c r="TZ1880" s="94"/>
      <c r="UA1880" s="94"/>
      <c r="UB1880" s="94"/>
      <c r="UC1880" s="94"/>
      <c r="UD1880" s="94"/>
      <c r="UE1880" s="94"/>
      <c r="UF1880" s="94"/>
      <c r="UG1880" s="94"/>
      <c r="UH1880" s="94"/>
      <c r="UI1880" s="94"/>
      <c r="UJ1880" s="94"/>
      <c r="UK1880" s="94"/>
      <c r="UL1880" s="94"/>
      <c r="UM1880" s="94"/>
      <c r="UN1880" s="94"/>
      <c r="UO1880" s="94"/>
      <c r="UP1880" s="94"/>
      <c r="UQ1880" s="94"/>
      <c r="UR1880" s="94"/>
      <c r="US1880" s="94"/>
      <c r="UT1880" s="94"/>
      <c r="UU1880" s="94"/>
      <c r="UV1880" s="94"/>
      <c r="UW1880" s="94"/>
      <c r="UX1880" s="94"/>
      <c r="UY1880" s="94"/>
      <c r="UZ1880" s="94"/>
      <c r="VA1880" s="94"/>
      <c r="VB1880" s="94"/>
      <c r="VC1880" s="94"/>
      <c r="VD1880" s="94"/>
      <c r="VE1880" s="94"/>
      <c r="VF1880" s="94"/>
      <c r="VG1880" s="94"/>
      <c r="VH1880" s="94"/>
      <c r="VI1880" s="94"/>
      <c r="VJ1880" s="94"/>
      <c r="VK1880" s="94"/>
      <c r="VL1880" s="94"/>
      <c r="VM1880" s="94"/>
      <c r="VN1880" s="94"/>
      <c r="VO1880" s="94"/>
      <c r="VP1880" s="94"/>
      <c r="VQ1880" s="94"/>
      <c r="VR1880" s="94"/>
      <c r="VS1880" s="94"/>
      <c r="VT1880" s="94"/>
      <c r="VU1880" s="94"/>
      <c r="VV1880" s="94"/>
      <c r="VW1880" s="94"/>
      <c r="VX1880" s="94"/>
      <c r="VY1880" s="94"/>
      <c r="VZ1880" s="94"/>
      <c r="WA1880" s="94"/>
      <c r="WB1880" s="94"/>
      <c r="WC1880" s="94"/>
      <c r="WD1880" s="94"/>
      <c r="WE1880" s="94"/>
      <c r="WF1880" s="94"/>
      <c r="WG1880" s="94"/>
      <c r="WH1880" s="94"/>
      <c r="WI1880" s="94"/>
      <c r="WJ1880" s="94"/>
      <c r="WK1880" s="94"/>
      <c r="WL1880" s="94"/>
      <c r="WM1880" s="94"/>
      <c r="WN1880" s="94"/>
      <c r="WO1880" s="94"/>
      <c r="WP1880" s="94"/>
      <c r="WQ1880" s="94"/>
      <c r="WR1880" s="94"/>
      <c r="WS1880" s="94"/>
      <c r="WT1880" s="94"/>
      <c r="WU1880" s="94"/>
      <c r="WV1880" s="94"/>
      <c r="WW1880" s="94"/>
      <c r="WX1880" s="94"/>
      <c r="WY1880" s="94"/>
      <c r="WZ1880" s="94"/>
      <c r="XA1880" s="94"/>
      <c r="XB1880" s="94"/>
      <c r="XC1880" s="94"/>
      <c r="XD1880" s="94"/>
      <c r="XE1880" s="94"/>
      <c r="XF1880" s="94"/>
      <c r="XG1880" s="94"/>
      <c r="XH1880" s="94"/>
      <c r="XI1880" s="94"/>
      <c r="XJ1880" s="94"/>
      <c r="XK1880" s="94"/>
      <c r="XL1880" s="94"/>
      <c r="XM1880" s="94"/>
      <c r="XN1880" s="94"/>
      <c r="XO1880" s="94"/>
      <c r="XP1880" s="94"/>
      <c r="XQ1880" s="94"/>
      <c r="XR1880" s="94"/>
      <c r="XS1880" s="94"/>
      <c r="XT1880" s="94"/>
      <c r="XU1880" s="94"/>
      <c r="XV1880" s="94"/>
      <c r="XW1880" s="94"/>
      <c r="XX1880" s="94"/>
      <c r="XY1880" s="94"/>
      <c r="XZ1880" s="94"/>
      <c r="YA1880" s="94"/>
      <c r="YB1880" s="94"/>
      <c r="YC1880" s="94"/>
      <c r="YD1880" s="94"/>
      <c r="YE1880" s="94"/>
      <c r="YF1880" s="94"/>
      <c r="YG1880" s="94"/>
      <c r="YH1880" s="94"/>
      <c r="YI1880" s="94"/>
      <c r="YJ1880" s="94"/>
      <c r="YK1880" s="94"/>
      <c r="YL1880" s="94"/>
      <c r="YM1880" s="94"/>
      <c r="YN1880" s="94"/>
      <c r="YO1880" s="94"/>
      <c r="YP1880" s="94"/>
      <c r="YQ1880" s="94"/>
      <c r="YR1880" s="94"/>
      <c r="YS1880" s="94"/>
      <c r="YT1880" s="94"/>
      <c r="YU1880" s="94"/>
      <c r="YV1880" s="94"/>
      <c r="YW1880" s="94"/>
      <c r="YX1880" s="94"/>
      <c r="YY1880" s="94"/>
      <c r="YZ1880" s="94"/>
      <c r="ZA1880" s="94"/>
      <c r="ZB1880" s="94"/>
      <c r="ZC1880" s="94"/>
      <c r="ZD1880" s="94"/>
      <c r="ZE1880" s="94"/>
      <c r="ZF1880" s="94"/>
      <c r="ZG1880" s="94"/>
      <c r="ZH1880" s="94"/>
      <c r="ZI1880" s="94"/>
      <c r="ZJ1880" s="94"/>
      <c r="ZK1880" s="94"/>
      <c r="ZL1880" s="94"/>
      <c r="ZM1880" s="94"/>
      <c r="ZN1880" s="94"/>
      <c r="ZO1880" s="94"/>
      <c r="ZP1880" s="94"/>
      <c r="ZQ1880" s="94"/>
      <c r="ZR1880" s="94"/>
      <c r="ZS1880" s="94"/>
      <c r="ZT1880" s="94"/>
      <c r="ZU1880" s="94"/>
      <c r="ZV1880" s="94"/>
      <c r="ZW1880" s="94"/>
      <c r="ZX1880" s="94"/>
      <c r="ZY1880" s="94"/>
      <c r="ZZ1880" s="94"/>
      <c r="AAA1880" s="94"/>
      <c r="AAB1880" s="94"/>
      <c r="AAC1880" s="94"/>
      <c r="AAD1880" s="94"/>
      <c r="AAE1880" s="94"/>
      <c r="AAF1880" s="94"/>
      <c r="AAG1880" s="94"/>
      <c r="AAH1880" s="94"/>
      <c r="AAI1880" s="94"/>
      <c r="AAJ1880" s="94"/>
      <c r="AAK1880" s="94"/>
      <c r="AAL1880" s="94"/>
      <c r="AAM1880" s="94"/>
      <c r="AAN1880" s="94"/>
      <c r="AAO1880" s="94"/>
      <c r="AAP1880" s="94"/>
      <c r="AAQ1880" s="94"/>
      <c r="AAR1880" s="94"/>
      <c r="AAS1880" s="94"/>
      <c r="AAT1880" s="94"/>
      <c r="AAU1880" s="94"/>
      <c r="AAV1880" s="94"/>
      <c r="AAW1880" s="94"/>
      <c r="AAX1880" s="94"/>
      <c r="AAY1880" s="94"/>
      <c r="AAZ1880" s="94"/>
      <c r="ABA1880" s="94"/>
      <c r="ABB1880" s="94"/>
      <c r="ABC1880" s="94"/>
      <c r="ABD1880" s="94"/>
      <c r="ABE1880" s="94"/>
      <c r="ABF1880" s="94"/>
      <c r="ABG1880" s="94"/>
      <c r="ABH1880" s="94"/>
      <c r="ABI1880" s="94"/>
      <c r="ABJ1880" s="94"/>
      <c r="ABK1880" s="94"/>
      <c r="ABL1880" s="94"/>
      <c r="ABM1880" s="94"/>
      <c r="ABN1880" s="94"/>
      <c r="ABO1880" s="94"/>
      <c r="ABP1880" s="94"/>
      <c r="ABQ1880" s="94"/>
      <c r="ABR1880" s="94"/>
      <c r="ABS1880" s="94"/>
      <c r="ABT1880" s="94"/>
      <c r="ABU1880" s="94"/>
      <c r="ABV1880" s="94"/>
      <c r="ABW1880" s="94"/>
      <c r="ABX1880" s="94"/>
      <c r="ABY1880" s="94"/>
      <c r="ABZ1880" s="94"/>
      <c r="ACA1880" s="94"/>
      <c r="ACB1880" s="94"/>
      <c r="ACC1880" s="94"/>
      <c r="ACD1880" s="94"/>
      <c r="ACE1880" s="94"/>
      <c r="ACF1880" s="94"/>
      <c r="ACG1880" s="94"/>
      <c r="ACH1880" s="94"/>
      <c r="ACI1880" s="94"/>
      <c r="ACJ1880" s="94"/>
      <c r="ACK1880" s="94"/>
      <c r="ACL1880" s="94"/>
      <c r="ACM1880" s="94"/>
      <c r="ACN1880" s="94"/>
      <c r="ACO1880" s="94"/>
      <c r="ACP1880" s="94"/>
      <c r="ACQ1880" s="94"/>
      <c r="ACR1880" s="94"/>
      <c r="ACS1880" s="94"/>
      <c r="ACT1880" s="94"/>
      <c r="ACU1880" s="94"/>
      <c r="ACV1880" s="94"/>
      <c r="ACW1880" s="94"/>
      <c r="ACX1880" s="94"/>
      <c r="ACY1880" s="94"/>
      <c r="ACZ1880" s="94"/>
      <c r="ADA1880" s="94"/>
      <c r="ADB1880" s="94"/>
      <c r="ADC1880" s="94"/>
      <c r="ADD1880" s="94"/>
      <c r="ADE1880" s="94"/>
      <c r="ADF1880" s="94"/>
      <c r="ADG1880" s="94"/>
      <c r="ADH1880" s="94"/>
      <c r="ADI1880" s="94"/>
      <c r="ADJ1880" s="94"/>
      <c r="ADK1880" s="94"/>
      <c r="ADL1880" s="94"/>
      <c r="ADM1880" s="94"/>
      <c r="ADN1880" s="94"/>
      <c r="ADO1880" s="94"/>
      <c r="ADP1880" s="94"/>
      <c r="ADQ1880" s="94"/>
      <c r="ADR1880" s="94"/>
      <c r="ADS1880" s="94"/>
      <c r="ADT1880" s="94"/>
      <c r="ADU1880" s="94"/>
      <c r="ADV1880" s="94"/>
      <c r="ADW1880" s="94"/>
      <c r="ADX1880" s="94"/>
      <c r="ADY1880" s="94"/>
      <c r="ADZ1880" s="94"/>
      <c r="AEA1880" s="94"/>
      <c r="AEB1880" s="94"/>
      <c r="AEC1880" s="94"/>
      <c r="AED1880" s="94"/>
      <c r="AEE1880" s="94"/>
      <c r="AEF1880" s="94"/>
      <c r="AEG1880" s="94"/>
      <c r="AEH1880" s="94"/>
      <c r="AEI1880" s="94"/>
      <c r="AEJ1880" s="94"/>
      <c r="AEK1880" s="94"/>
      <c r="AEL1880" s="94"/>
      <c r="AEM1880" s="94"/>
      <c r="AEN1880" s="94"/>
      <c r="AEO1880" s="94"/>
      <c r="AEP1880" s="94"/>
      <c r="AEQ1880" s="94"/>
      <c r="AER1880" s="94"/>
      <c r="AES1880" s="94"/>
      <c r="AET1880" s="94"/>
      <c r="AEU1880" s="94"/>
      <c r="AEV1880" s="94"/>
      <c r="AEW1880" s="94"/>
      <c r="AEX1880" s="94"/>
      <c r="AEY1880" s="94"/>
      <c r="AEZ1880" s="94"/>
      <c r="AFA1880" s="94"/>
      <c r="AFB1880" s="94"/>
      <c r="AFC1880" s="94"/>
      <c r="AFD1880" s="94"/>
      <c r="AFE1880" s="94"/>
      <c r="AFF1880" s="94"/>
      <c r="AFG1880" s="94"/>
      <c r="AFH1880" s="94"/>
      <c r="AFI1880" s="94"/>
      <c r="AFJ1880" s="94"/>
      <c r="AFK1880" s="94"/>
      <c r="AFL1880" s="94"/>
      <c r="AFM1880" s="94"/>
      <c r="AFN1880" s="94"/>
      <c r="AFO1880" s="94"/>
      <c r="AFP1880" s="94"/>
      <c r="AFQ1880" s="94"/>
      <c r="AFR1880" s="94"/>
      <c r="AFS1880" s="94"/>
      <c r="AFT1880" s="94"/>
      <c r="AFU1880" s="94"/>
      <c r="AFV1880" s="94"/>
      <c r="AFW1880" s="94"/>
      <c r="AFX1880" s="94"/>
      <c r="AFY1880" s="94"/>
      <c r="AFZ1880" s="94"/>
      <c r="AGA1880" s="94"/>
      <c r="AGB1880" s="94"/>
      <c r="AGC1880" s="94"/>
      <c r="AGD1880" s="94"/>
      <c r="AGE1880" s="94"/>
      <c r="AGF1880" s="94"/>
      <c r="AGG1880" s="94"/>
      <c r="AGH1880" s="94"/>
      <c r="AGI1880" s="94"/>
      <c r="AGJ1880" s="94"/>
      <c r="AGK1880" s="94"/>
      <c r="AGL1880" s="94"/>
      <c r="AGM1880" s="94"/>
      <c r="AGN1880" s="94"/>
      <c r="AGO1880" s="94"/>
      <c r="AGP1880" s="94"/>
      <c r="AGQ1880" s="94"/>
      <c r="AGR1880" s="94"/>
      <c r="AGS1880" s="94"/>
      <c r="AGT1880" s="94"/>
      <c r="AGU1880" s="94"/>
      <c r="AGV1880" s="94"/>
      <c r="AGW1880" s="94"/>
      <c r="AGX1880" s="94"/>
      <c r="AGY1880" s="94"/>
      <c r="AGZ1880" s="94"/>
      <c r="AHA1880" s="94"/>
      <c r="AHB1880" s="94"/>
      <c r="AHC1880" s="94"/>
      <c r="AHD1880" s="94"/>
      <c r="AHE1880" s="94"/>
      <c r="AHF1880" s="94"/>
      <c r="AHG1880" s="94"/>
      <c r="AHH1880" s="94"/>
      <c r="AHI1880" s="94"/>
      <c r="AHJ1880" s="94"/>
      <c r="AHK1880" s="94"/>
      <c r="AHL1880" s="94"/>
      <c r="AHM1880" s="94"/>
      <c r="AHN1880" s="94"/>
      <c r="AHO1880" s="94"/>
      <c r="AHP1880" s="94"/>
      <c r="AHQ1880" s="94"/>
      <c r="AHR1880" s="94"/>
      <c r="AHS1880" s="94"/>
      <c r="AHT1880" s="94"/>
      <c r="AHU1880" s="94"/>
      <c r="AHV1880" s="94"/>
      <c r="AHW1880" s="94"/>
      <c r="AHX1880" s="94"/>
      <c r="AHY1880" s="94"/>
      <c r="AHZ1880" s="94"/>
      <c r="AIA1880" s="94"/>
      <c r="AIB1880" s="94"/>
      <c r="AIC1880" s="94"/>
      <c r="AID1880" s="94"/>
      <c r="AIE1880" s="94"/>
      <c r="AIF1880" s="94"/>
      <c r="AIG1880" s="94"/>
      <c r="AIH1880" s="94"/>
      <c r="AII1880" s="94"/>
      <c r="AIJ1880" s="94"/>
      <c r="AIK1880" s="94"/>
      <c r="AIL1880" s="94"/>
      <c r="AIM1880" s="94"/>
      <c r="AIN1880" s="94"/>
      <c r="AIO1880" s="94"/>
      <c r="AIP1880" s="94"/>
      <c r="AIQ1880" s="94"/>
      <c r="AIR1880" s="94"/>
      <c r="AIS1880" s="94"/>
      <c r="AIT1880" s="94"/>
      <c r="AIU1880" s="94"/>
      <c r="AIV1880" s="94"/>
      <c r="AIW1880" s="94"/>
      <c r="AIX1880" s="94"/>
      <c r="AIY1880" s="94"/>
      <c r="AIZ1880" s="94"/>
      <c r="AJA1880" s="94"/>
      <c r="AJB1880" s="94"/>
      <c r="AJC1880" s="94"/>
      <c r="AJD1880" s="94"/>
      <c r="AJE1880" s="94"/>
      <c r="AJF1880" s="94"/>
      <c r="AJG1880" s="94"/>
      <c r="AJH1880" s="94"/>
      <c r="AJI1880" s="94"/>
      <c r="AJJ1880" s="94"/>
      <c r="AJK1880" s="94"/>
      <c r="AJL1880" s="94"/>
      <c r="AJM1880" s="94"/>
      <c r="AJN1880" s="94"/>
      <c r="AJO1880" s="94"/>
      <c r="AJP1880" s="94"/>
      <c r="AJQ1880" s="94"/>
      <c r="AJR1880" s="94"/>
      <c r="AJS1880" s="94"/>
      <c r="AJT1880" s="94"/>
      <c r="AJU1880" s="94"/>
      <c r="AJV1880" s="94"/>
      <c r="AJW1880" s="94"/>
      <c r="AJX1880" s="94"/>
      <c r="AJY1880" s="94"/>
      <c r="AJZ1880" s="94"/>
      <c r="AKA1880" s="94"/>
      <c r="AKB1880" s="94"/>
      <c r="AKC1880" s="94"/>
      <c r="AKD1880" s="94"/>
      <c r="AKE1880" s="94"/>
      <c r="AKF1880" s="94"/>
      <c r="AKG1880" s="94"/>
      <c r="AKH1880" s="94"/>
      <c r="AKI1880" s="94"/>
      <c r="AKJ1880" s="94"/>
      <c r="AKK1880" s="94"/>
      <c r="AKL1880" s="94"/>
      <c r="AKM1880" s="94"/>
      <c r="AKN1880" s="94"/>
      <c r="AKO1880" s="94"/>
      <c r="AKP1880" s="94"/>
      <c r="AKQ1880" s="94"/>
      <c r="AKR1880" s="94"/>
      <c r="AKS1880" s="94"/>
      <c r="AKT1880" s="94"/>
      <c r="AKU1880" s="94"/>
      <c r="AKV1880" s="94"/>
      <c r="AKW1880" s="94"/>
      <c r="AKX1880" s="94"/>
      <c r="AKY1880" s="94"/>
      <c r="AKZ1880" s="94"/>
      <c r="ALA1880" s="94"/>
      <c r="ALB1880" s="94"/>
      <c r="ALC1880" s="94"/>
      <c r="ALD1880" s="94"/>
      <c r="ALE1880" s="94"/>
      <c r="ALF1880" s="94"/>
      <c r="ALG1880" s="94"/>
      <c r="ALH1880" s="94"/>
      <c r="ALI1880" s="94"/>
      <c r="ALJ1880" s="94"/>
      <c r="ALK1880" s="94"/>
      <c r="ALL1880" s="94"/>
      <c r="ALM1880" s="94"/>
      <c r="ALN1880" s="94"/>
      <c r="ALO1880" s="94"/>
      <c r="ALP1880" s="94"/>
      <c r="ALQ1880" s="94"/>
      <c r="ALR1880" s="94"/>
      <c r="ALS1880" s="94"/>
      <c r="ALT1880" s="94"/>
      <c r="ALU1880" s="94"/>
      <c r="ALV1880" s="94"/>
      <c r="ALW1880" s="94"/>
      <c r="ALX1880" s="94"/>
      <c r="ALY1880" s="94"/>
      <c r="ALZ1880" s="94"/>
      <c r="AMA1880" s="94"/>
      <c r="AMB1880" s="94"/>
      <c r="AMC1880" s="94"/>
      <c r="AMD1880" s="94"/>
      <c r="AME1880" s="94"/>
      <c r="AMF1880" s="94"/>
      <c r="AMG1880" s="94"/>
      <c r="AMH1880" s="94"/>
      <c r="AMI1880" s="94"/>
      <c r="AMJ1880" s="94"/>
      <c r="AMK1880" s="94"/>
      <c r="AML1880" s="94"/>
      <c r="AMM1880" s="94"/>
      <c r="AMN1880" s="94"/>
      <c r="AMO1880" s="94"/>
      <c r="AMP1880" s="94"/>
      <c r="AMQ1880" s="94"/>
      <c r="AMR1880" s="94"/>
      <c r="AMS1880" s="94"/>
      <c r="AMT1880" s="94"/>
      <c r="AMU1880" s="94"/>
      <c r="AMV1880" s="94"/>
      <c r="AMW1880" s="94"/>
      <c r="AMX1880" s="94"/>
      <c r="AMY1880" s="94"/>
      <c r="AMZ1880" s="94"/>
      <c r="ANA1880" s="94"/>
      <c r="ANB1880" s="94"/>
      <c r="ANC1880" s="94"/>
      <c r="AND1880" s="94"/>
      <c r="ANE1880" s="94"/>
      <c r="ANF1880" s="94"/>
      <c r="ANG1880" s="94"/>
      <c r="ANH1880" s="94"/>
      <c r="ANI1880" s="94"/>
      <c r="ANJ1880" s="94"/>
      <c r="ANK1880" s="94"/>
      <c r="ANL1880" s="94"/>
      <c r="ANM1880" s="94"/>
      <c r="ANN1880" s="94"/>
      <c r="ANO1880" s="94"/>
      <c r="ANP1880" s="94"/>
      <c r="ANQ1880" s="94"/>
      <c r="ANR1880" s="94"/>
      <c r="ANS1880" s="94"/>
      <c r="ANT1880" s="94"/>
      <c r="ANU1880" s="94"/>
      <c r="ANV1880" s="94"/>
      <c r="ANW1880" s="94"/>
      <c r="ANX1880" s="94"/>
      <c r="ANY1880" s="94"/>
      <c r="ANZ1880" s="94"/>
      <c r="AOA1880" s="94"/>
      <c r="AOB1880" s="94"/>
      <c r="AOC1880" s="94"/>
      <c r="AOD1880" s="94"/>
      <c r="AOE1880" s="94"/>
      <c r="AOF1880" s="94"/>
      <c r="AOG1880" s="94"/>
      <c r="AOH1880" s="94"/>
      <c r="AOI1880" s="94"/>
      <c r="AOJ1880" s="94"/>
      <c r="AOK1880" s="94"/>
      <c r="AOL1880" s="94"/>
      <c r="AOM1880" s="94"/>
      <c r="AON1880" s="94"/>
      <c r="AOO1880" s="94"/>
      <c r="AOP1880" s="94"/>
      <c r="AOQ1880" s="94"/>
      <c r="AOR1880" s="94"/>
      <c r="AOS1880" s="94"/>
      <c r="AOT1880" s="94"/>
      <c r="AOU1880" s="94"/>
      <c r="AOV1880" s="94"/>
      <c r="AOW1880" s="94"/>
      <c r="AOX1880" s="94"/>
      <c r="AOY1880" s="94"/>
      <c r="AOZ1880" s="94"/>
      <c r="APA1880" s="94"/>
      <c r="APB1880" s="94"/>
      <c r="APC1880" s="94"/>
      <c r="APD1880" s="94"/>
      <c r="APE1880" s="94"/>
      <c r="APF1880" s="94"/>
      <c r="APG1880" s="94"/>
      <c r="APH1880" s="94"/>
      <c r="API1880" s="94"/>
      <c r="APJ1880" s="94"/>
      <c r="APK1880" s="94"/>
      <c r="APL1880" s="94"/>
      <c r="APM1880" s="94"/>
      <c r="APN1880" s="94"/>
      <c r="APO1880" s="94"/>
      <c r="APP1880" s="94"/>
      <c r="APQ1880" s="94"/>
      <c r="APR1880" s="94"/>
      <c r="APS1880" s="94"/>
      <c r="APT1880" s="94"/>
      <c r="APU1880" s="94"/>
      <c r="APV1880" s="94"/>
      <c r="APW1880" s="94"/>
      <c r="APX1880" s="94"/>
      <c r="APY1880" s="94"/>
      <c r="APZ1880" s="94"/>
      <c r="AQA1880" s="94"/>
      <c r="AQB1880" s="94"/>
      <c r="AQC1880" s="94"/>
      <c r="AQD1880" s="94"/>
      <c r="AQE1880" s="94"/>
      <c r="AQF1880" s="94"/>
      <c r="AQG1880" s="94"/>
      <c r="AQH1880" s="94"/>
      <c r="AQI1880" s="94"/>
      <c r="AQJ1880" s="94"/>
      <c r="AQK1880" s="94"/>
      <c r="AQL1880" s="94"/>
      <c r="AQM1880" s="94"/>
      <c r="AQN1880" s="94"/>
      <c r="AQO1880" s="94"/>
      <c r="AQP1880" s="94"/>
      <c r="AQQ1880" s="94"/>
      <c r="AQR1880" s="94"/>
      <c r="AQS1880" s="94"/>
      <c r="AQT1880" s="94"/>
      <c r="AQU1880" s="94"/>
      <c r="AQV1880" s="94"/>
      <c r="AQW1880" s="94"/>
      <c r="AQX1880" s="94"/>
      <c r="AQY1880" s="94"/>
      <c r="AQZ1880" s="94"/>
      <c r="ARA1880" s="94"/>
      <c r="ARB1880" s="94"/>
      <c r="ARC1880" s="94"/>
      <c r="ARD1880" s="94"/>
      <c r="ARE1880" s="94"/>
      <c r="ARF1880" s="94"/>
      <c r="ARG1880" s="94"/>
      <c r="ARH1880" s="94"/>
      <c r="ARI1880" s="94"/>
      <c r="ARJ1880" s="94"/>
      <c r="ARK1880" s="94"/>
      <c r="ARL1880" s="94"/>
      <c r="ARM1880" s="94"/>
      <c r="ARN1880" s="94"/>
      <c r="ARO1880" s="94"/>
      <c r="ARP1880" s="94"/>
      <c r="ARQ1880" s="94"/>
      <c r="ARR1880" s="94"/>
      <c r="ARS1880" s="94"/>
      <c r="ART1880" s="94"/>
      <c r="ARU1880" s="94"/>
      <c r="ARV1880" s="94"/>
      <c r="ARW1880" s="94"/>
      <c r="ARX1880" s="94"/>
      <c r="ARY1880" s="94"/>
      <c r="ARZ1880" s="94"/>
      <c r="ASA1880" s="94"/>
      <c r="ASB1880" s="94"/>
      <c r="ASC1880" s="94"/>
      <c r="ASD1880" s="94"/>
      <c r="ASE1880" s="94"/>
      <c r="ASF1880" s="94"/>
      <c r="ASG1880" s="94"/>
      <c r="ASH1880" s="94"/>
      <c r="ASI1880" s="94"/>
      <c r="ASJ1880" s="94"/>
      <c r="ASK1880" s="94"/>
      <c r="ASL1880" s="94"/>
      <c r="ASM1880" s="94"/>
      <c r="ASN1880" s="94"/>
      <c r="ASO1880" s="94"/>
      <c r="ASP1880" s="94"/>
      <c r="ASQ1880" s="94"/>
      <c r="ASR1880" s="94"/>
      <c r="ASS1880" s="94"/>
      <c r="AST1880" s="94"/>
      <c r="ASU1880" s="94"/>
      <c r="ASV1880" s="94"/>
      <c r="ASW1880" s="94"/>
      <c r="ASX1880" s="94"/>
      <c r="ASY1880" s="94"/>
      <c r="ASZ1880" s="94"/>
      <c r="ATA1880" s="94"/>
      <c r="ATB1880" s="94"/>
      <c r="ATC1880" s="94"/>
      <c r="ATD1880" s="94"/>
      <c r="ATE1880" s="94"/>
      <c r="ATF1880" s="94"/>
      <c r="ATG1880" s="94"/>
      <c r="ATH1880" s="94"/>
      <c r="ATI1880" s="94"/>
      <c r="ATJ1880" s="94"/>
      <c r="ATK1880" s="94"/>
      <c r="ATL1880" s="94"/>
      <c r="ATM1880" s="94"/>
      <c r="ATN1880" s="94"/>
      <c r="ATO1880" s="94"/>
      <c r="ATP1880" s="94"/>
      <c r="ATQ1880" s="94"/>
      <c r="ATR1880" s="94"/>
      <c r="ATS1880" s="94"/>
      <c r="ATT1880" s="94"/>
      <c r="ATU1880" s="94"/>
      <c r="ATV1880" s="94"/>
      <c r="ATW1880" s="94"/>
      <c r="ATX1880" s="94"/>
      <c r="ATY1880" s="94"/>
      <c r="ATZ1880" s="94"/>
      <c r="AUA1880" s="94"/>
      <c r="AUB1880" s="94"/>
      <c r="AUC1880" s="94"/>
      <c r="AUD1880" s="94"/>
      <c r="AUE1880" s="94"/>
      <c r="AUF1880" s="94"/>
      <c r="AUG1880" s="94"/>
      <c r="AUH1880" s="94"/>
      <c r="AUI1880" s="94"/>
      <c r="AUJ1880" s="94"/>
      <c r="AUK1880" s="94"/>
      <c r="AUL1880" s="94"/>
      <c r="AUM1880" s="94"/>
      <c r="AUN1880" s="94"/>
      <c r="AUO1880" s="94"/>
      <c r="AUP1880" s="94"/>
      <c r="AUQ1880" s="94"/>
      <c r="AUR1880" s="94"/>
      <c r="AUS1880" s="94"/>
      <c r="AUT1880" s="94"/>
      <c r="AUU1880" s="94"/>
      <c r="AUV1880" s="94"/>
      <c r="AUW1880" s="94"/>
      <c r="AUX1880" s="94"/>
      <c r="AUY1880" s="94"/>
      <c r="AUZ1880" s="94"/>
      <c r="AVA1880" s="94"/>
      <c r="AVB1880" s="94"/>
      <c r="AVC1880" s="94"/>
      <c r="AVD1880" s="94"/>
      <c r="AVE1880" s="94"/>
      <c r="AVF1880" s="94"/>
      <c r="AVG1880" s="94"/>
      <c r="AVH1880" s="94"/>
      <c r="AVI1880" s="94"/>
      <c r="AVJ1880" s="94"/>
      <c r="AVK1880" s="94"/>
      <c r="AVL1880" s="94"/>
      <c r="AVM1880" s="94"/>
      <c r="AVN1880" s="94"/>
      <c r="AVO1880" s="94"/>
      <c r="AVP1880" s="94"/>
      <c r="AVQ1880" s="94"/>
      <c r="AVR1880" s="94"/>
      <c r="AVS1880" s="94"/>
      <c r="AVT1880" s="94"/>
      <c r="AVU1880" s="94"/>
      <c r="AVV1880" s="94"/>
      <c r="AVW1880" s="94"/>
      <c r="AVX1880" s="94"/>
      <c r="AVY1880" s="94"/>
      <c r="AVZ1880" s="94"/>
      <c r="AWA1880" s="94"/>
      <c r="AWB1880" s="94"/>
      <c r="AWC1880" s="94"/>
      <c r="AWD1880" s="94"/>
      <c r="AWE1880" s="94"/>
      <c r="AWF1880" s="94"/>
      <c r="AWG1880" s="94"/>
      <c r="AWH1880" s="94"/>
      <c r="AWI1880" s="94"/>
      <c r="AWJ1880" s="94"/>
      <c r="AWK1880" s="94"/>
      <c r="AWL1880" s="94"/>
      <c r="AWM1880" s="94"/>
      <c r="AWN1880" s="94"/>
      <c r="AWO1880" s="94"/>
      <c r="AWP1880" s="94"/>
      <c r="AWQ1880" s="94"/>
      <c r="AWR1880" s="94"/>
      <c r="AWS1880" s="94"/>
      <c r="AWT1880" s="94"/>
      <c r="AWU1880" s="94"/>
      <c r="AWV1880" s="94"/>
      <c r="AWW1880" s="94"/>
      <c r="AWX1880" s="94"/>
      <c r="AWY1880" s="94"/>
      <c r="AWZ1880" s="94"/>
      <c r="AXA1880" s="94"/>
      <c r="AXB1880" s="94"/>
      <c r="AXC1880" s="94"/>
      <c r="AXD1880" s="94"/>
      <c r="AXE1880" s="94"/>
      <c r="AXF1880" s="94"/>
      <c r="AXG1880" s="94"/>
      <c r="AXH1880" s="94"/>
      <c r="AXI1880" s="94"/>
      <c r="AXJ1880" s="94"/>
      <c r="AXK1880" s="94"/>
      <c r="AXL1880" s="94"/>
      <c r="AXM1880" s="94"/>
      <c r="AXN1880" s="94"/>
      <c r="AXO1880" s="94"/>
      <c r="AXP1880" s="94"/>
      <c r="AXQ1880" s="94"/>
      <c r="AXR1880" s="94"/>
      <c r="AXS1880" s="94"/>
      <c r="AXT1880" s="94"/>
      <c r="AXU1880" s="94"/>
      <c r="AXV1880" s="94"/>
      <c r="AXW1880" s="94"/>
      <c r="AXX1880" s="94"/>
      <c r="AXY1880" s="94"/>
      <c r="AXZ1880" s="94"/>
      <c r="AYA1880" s="94"/>
      <c r="AYB1880" s="94"/>
      <c r="AYC1880" s="94"/>
      <c r="AYD1880" s="94"/>
      <c r="AYE1880" s="94"/>
      <c r="AYF1880" s="94"/>
      <c r="AYG1880" s="94"/>
      <c r="AYH1880" s="94"/>
      <c r="AYI1880" s="94"/>
      <c r="AYJ1880" s="94"/>
      <c r="AYK1880" s="94"/>
      <c r="AYL1880" s="94"/>
      <c r="AYM1880" s="94"/>
      <c r="AYN1880" s="94"/>
      <c r="AYO1880" s="94"/>
      <c r="AYP1880" s="94"/>
      <c r="AYQ1880" s="94"/>
      <c r="AYR1880" s="94"/>
      <c r="AYS1880" s="94"/>
      <c r="AYT1880" s="94"/>
      <c r="AYU1880" s="94"/>
      <c r="AYV1880" s="94"/>
      <c r="AYW1880" s="94"/>
      <c r="AYX1880" s="94"/>
      <c r="AYY1880" s="94"/>
      <c r="AYZ1880" s="94"/>
      <c r="AZA1880" s="94"/>
      <c r="AZB1880" s="94"/>
      <c r="AZC1880" s="94"/>
      <c r="AZD1880" s="94"/>
      <c r="AZE1880" s="94"/>
      <c r="AZF1880" s="94"/>
      <c r="AZG1880" s="94"/>
      <c r="AZH1880" s="94"/>
      <c r="AZI1880" s="94"/>
      <c r="AZJ1880" s="94"/>
      <c r="AZK1880" s="94"/>
      <c r="AZL1880" s="94"/>
      <c r="AZM1880" s="94"/>
      <c r="AZN1880" s="94"/>
      <c r="AZO1880" s="94"/>
      <c r="AZP1880" s="94"/>
      <c r="AZQ1880" s="94"/>
      <c r="AZR1880" s="94"/>
      <c r="AZS1880" s="94"/>
      <c r="AZT1880" s="94"/>
      <c r="AZU1880" s="94"/>
      <c r="AZV1880" s="94"/>
      <c r="AZW1880" s="94"/>
      <c r="AZX1880" s="94"/>
      <c r="AZY1880" s="94"/>
      <c r="AZZ1880" s="94"/>
      <c r="BAA1880" s="94"/>
      <c r="BAB1880" s="94"/>
      <c r="BAC1880" s="94"/>
      <c r="BAD1880" s="94"/>
      <c r="BAE1880" s="94"/>
      <c r="BAF1880" s="94"/>
      <c r="BAG1880" s="94"/>
      <c r="BAH1880" s="94"/>
      <c r="BAI1880" s="94"/>
      <c r="BAJ1880" s="94"/>
      <c r="BAK1880" s="94"/>
      <c r="BAL1880" s="94"/>
      <c r="BAM1880" s="94"/>
      <c r="BAN1880" s="94"/>
      <c r="BAO1880" s="94"/>
      <c r="BAP1880" s="94"/>
      <c r="BAQ1880" s="94"/>
      <c r="BAR1880" s="94"/>
      <c r="BAS1880" s="94"/>
      <c r="BAT1880" s="94"/>
      <c r="BAU1880" s="94"/>
      <c r="BAV1880" s="94"/>
      <c r="BAW1880" s="94"/>
      <c r="BAX1880" s="94"/>
      <c r="BAY1880" s="94"/>
      <c r="BAZ1880" s="94"/>
      <c r="BBA1880" s="94"/>
      <c r="BBB1880" s="94"/>
      <c r="BBC1880" s="94"/>
      <c r="BBD1880" s="94"/>
      <c r="BBE1880" s="94"/>
      <c r="BBF1880" s="94"/>
      <c r="BBG1880" s="94"/>
      <c r="BBH1880" s="94"/>
      <c r="BBI1880" s="94"/>
      <c r="BBJ1880" s="94"/>
      <c r="BBK1880" s="94"/>
      <c r="BBL1880" s="94"/>
      <c r="BBM1880" s="94"/>
      <c r="BBN1880" s="94"/>
      <c r="BBO1880" s="94"/>
      <c r="BBP1880" s="94"/>
      <c r="BBQ1880" s="94"/>
      <c r="BBR1880" s="94"/>
      <c r="BBS1880" s="94"/>
      <c r="BBT1880" s="94"/>
      <c r="BBU1880" s="94"/>
      <c r="BBV1880" s="94"/>
      <c r="BBW1880" s="94"/>
      <c r="BBX1880" s="94"/>
      <c r="BBY1880" s="94"/>
      <c r="BBZ1880" s="94"/>
      <c r="BCA1880" s="94"/>
      <c r="BCB1880" s="94"/>
      <c r="BCC1880" s="94"/>
      <c r="BCD1880" s="94"/>
      <c r="BCE1880" s="94"/>
      <c r="BCF1880" s="94"/>
      <c r="BCG1880" s="94"/>
      <c r="BCH1880" s="94"/>
      <c r="BCI1880" s="94"/>
      <c r="BCJ1880" s="94"/>
      <c r="BCK1880" s="94"/>
      <c r="BCL1880" s="94"/>
      <c r="BCM1880" s="94"/>
      <c r="BCN1880" s="94"/>
      <c r="BCO1880" s="94"/>
      <c r="BCP1880" s="94"/>
      <c r="BCQ1880" s="94"/>
      <c r="BCR1880" s="94"/>
      <c r="BCS1880" s="94"/>
      <c r="BCT1880" s="94"/>
      <c r="BCU1880" s="94"/>
      <c r="BCV1880" s="94"/>
      <c r="BCW1880" s="94"/>
      <c r="BCX1880" s="94"/>
      <c r="BCY1880" s="94"/>
      <c r="BCZ1880" s="94"/>
      <c r="BDA1880" s="94"/>
      <c r="BDB1880" s="94"/>
      <c r="BDC1880" s="94"/>
      <c r="BDD1880" s="94"/>
      <c r="BDE1880" s="94"/>
      <c r="BDF1880" s="94"/>
      <c r="BDG1880" s="94"/>
      <c r="BDH1880" s="94"/>
      <c r="BDI1880" s="94"/>
      <c r="BDJ1880" s="94"/>
      <c r="BDK1880" s="94"/>
      <c r="BDL1880" s="94"/>
      <c r="BDM1880" s="94"/>
      <c r="BDN1880" s="94"/>
      <c r="BDO1880" s="94"/>
      <c r="BDP1880" s="94"/>
      <c r="BDQ1880" s="94"/>
      <c r="BDR1880" s="94"/>
      <c r="BDS1880" s="94"/>
      <c r="BDT1880" s="94"/>
      <c r="BDU1880" s="94"/>
      <c r="BDV1880" s="94"/>
      <c r="BDW1880" s="94"/>
      <c r="BDX1880" s="94"/>
      <c r="BDY1880" s="94"/>
      <c r="BDZ1880" s="94"/>
      <c r="BEA1880" s="94"/>
      <c r="BEB1880" s="94"/>
      <c r="BEC1880" s="94"/>
      <c r="BED1880" s="94"/>
      <c r="BEE1880" s="94"/>
      <c r="BEF1880" s="94"/>
      <c r="BEG1880" s="94"/>
      <c r="BEH1880" s="94"/>
      <c r="BEI1880" s="94"/>
      <c r="BEJ1880" s="94"/>
      <c r="BEK1880" s="94"/>
      <c r="BEL1880" s="94"/>
      <c r="BEM1880" s="94"/>
      <c r="BEN1880" s="94"/>
      <c r="BEO1880" s="94"/>
      <c r="BEP1880" s="94"/>
      <c r="BEQ1880" s="94"/>
      <c r="BER1880" s="94"/>
      <c r="BES1880" s="94"/>
      <c r="BET1880" s="94"/>
      <c r="BEU1880" s="94"/>
      <c r="BEV1880" s="94"/>
      <c r="BEW1880" s="94"/>
      <c r="BEX1880" s="94"/>
      <c r="BEY1880" s="94"/>
      <c r="BEZ1880" s="94"/>
      <c r="BFA1880" s="94"/>
      <c r="BFB1880" s="94"/>
      <c r="BFC1880" s="94"/>
      <c r="BFD1880" s="94"/>
      <c r="BFE1880" s="94"/>
      <c r="BFF1880" s="94"/>
      <c r="BFG1880" s="94"/>
      <c r="BFH1880" s="94"/>
      <c r="BFI1880" s="94"/>
      <c r="BFJ1880" s="94"/>
      <c r="BFK1880" s="94"/>
      <c r="BFL1880" s="94"/>
      <c r="BFM1880" s="94"/>
      <c r="BFN1880" s="94"/>
      <c r="BFO1880" s="94"/>
      <c r="BFP1880" s="94"/>
      <c r="BFQ1880" s="94"/>
      <c r="BFR1880" s="94"/>
      <c r="BFS1880" s="94"/>
      <c r="BFT1880" s="94"/>
      <c r="BFU1880" s="94"/>
      <c r="BFV1880" s="94"/>
      <c r="BFW1880" s="94"/>
      <c r="BFX1880" s="94"/>
      <c r="BFY1880" s="94"/>
      <c r="BFZ1880" s="94"/>
      <c r="BGA1880" s="94"/>
      <c r="BGB1880" s="94"/>
      <c r="BGC1880" s="94"/>
      <c r="BGD1880" s="94"/>
      <c r="BGE1880" s="94"/>
      <c r="BGF1880" s="94"/>
      <c r="BGG1880" s="94"/>
      <c r="BGH1880" s="94"/>
      <c r="BGI1880" s="94"/>
      <c r="BGJ1880" s="94"/>
      <c r="BGK1880" s="94"/>
      <c r="BGL1880" s="94"/>
      <c r="BGM1880" s="94"/>
      <c r="BGN1880" s="94"/>
      <c r="BGO1880" s="94"/>
      <c r="BGP1880" s="94"/>
      <c r="BGQ1880" s="94"/>
      <c r="BGR1880" s="94"/>
      <c r="BGS1880" s="94"/>
      <c r="BGT1880" s="94"/>
      <c r="BGU1880" s="94"/>
      <c r="BGV1880" s="94"/>
      <c r="BGW1880" s="94"/>
      <c r="BGX1880" s="94"/>
      <c r="BGY1880" s="94"/>
      <c r="BGZ1880" s="94"/>
      <c r="BHA1880" s="94"/>
      <c r="BHB1880" s="94"/>
      <c r="BHC1880" s="94"/>
      <c r="BHD1880" s="94"/>
      <c r="BHE1880" s="94"/>
      <c r="BHF1880" s="94"/>
      <c r="BHG1880" s="94"/>
      <c r="BHH1880" s="94"/>
      <c r="BHI1880" s="94"/>
      <c r="BHJ1880" s="94"/>
      <c r="BHK1880" s="94"/>
      <c r="BHL1880" s="94"/>
      <c r="BHM1880" s="94"/>
      <c r="BHN1880" s="94"/>
      <c r="BHO1880" s="94"/>
      <c r="BHP1880" s="94"/>
      <c r="BHQ1880" s="94"/>
      <c r="BHR1880" s="94"/>
      <c r="BHS1880" s="94"/>
      <c r="BHT1880" s="94"/>
      <c r="BHU1880" s="94"/>
      <c r="BHV1880" s="94"/>
      <c r="BHW1880" s="94"/>
      <c r="BHX1880" s="94"/>
      <c r="BHY1880" s="94"/>
      <c r="BHZ1880" s="94"/>
      <c r="BIA1880" s="94"/>
      <c r="BIB1880" s="94"/>
      <c r="BIC1880" s="94"/>
      <c r="BID1880" s="94"/>
      <c r="BIE1880" s="94"/>
      <c r="BIF1880" s="94"/>
      <c r="BIG1880" s="94"/>
      <c r="BIH1880" s="94"/>
      <c r="BII1880" s="94"/>
      <c r="BIJ1880" s="94"/>
      <c r="BIK1880" s="94"/>
      <c r="BIL1880" s="94"/>
      <c r="BIM1880" s="94"/>
      <c r="BIN1880" s="94"/>
      <c r="BIO1880" s="94"/>
      <c r="BIP1880" s="94"/>
      <c r="BIQ1880" s="94"/>
      <c r="BIR1880" s="94"/>
      <c r="BIS1880" s="94"/>
      <c r="BIT1880" s="94"/>
      <c r="BIU1880" s="94"/>
      <c r="BIV1880" s="94"/>
      <c r="BIW1880" s="94"/>
      <c r="BIX1880" s="94"/>
      <c r="BIY1880" s="94"/>
      <c r="BIZ1880" s="94"/>
      <c r="BJA1880" s="94"/>
      <c r="BJB1880" s="94"/>
      <c r="BJC1880" s="94"/>
      <c r="BJD1880" s="94"/>
      <c r="BJE1880" s="94"/>
      <c r="BJF1880" s="94"/>
      <c r="BJG1880" s="94"/>
      <c r="BJH1880" s="94"/>
      <c r="BJI1880" s="94"/>
      <c r="BJJ1880" s="94"/>
      <c r="BJK1880" s="94"/>
      <c r="BJL1880" s="94"/>
      <c r="BJM1880" s="94"/>
      <c r="BJN1880" s="94"/>
      <c r="BJO1880" s="94"/>
      <c r="BJP1880" s="94"/>
      <c r="BJQ1880" s="94"/>
      <c r="BJR1880" s="94"/>
      <c r="BJS1880" s="94"/>
      <c r="BJT1880" s="94"/>
      <c r="BJU1880" s="94"/>
      <c r="BJV1880" s="94"/>
      <c r="BJW1880" s="94"/>
      <c r="BJX1880" s="94"/>
      <c r="BJY1880" s="94"/>
      <c r="BJZ1880" s="94"/>
      <c r="BKA1880" s="94"/>
      <c r="BKB1880" s="94"/>
      <c r="BKC1880" s="94"/>
      <c r="BKD1880" s="94"/>
      <c r="BKE1880" s="94"/>
      <c r="BKF1880" s="94"/>
      <c r="BKG1880" s="94"/>
      <c r="BKH1880" s="94"/>
      <c r="BKI1880" s="94"/>
      <c r="BKJ1880" s="94"/>
      <c r="BKK1880" s="94"/>
      <c r="BKL1880" s="94"/>
      <c r="BKM1880" s="94"/>
      <c r="BKN1880" s="94"/>
      <c r="BKO1880" s="94"/>
      <c r="BKP1880" s="94"/>
      <c r="BKQ1880" s="94"/>
      <c r="BKR1880" s="94"/>
      <c r="BKS1880" s="94"/>
      <c r="BKT1880" s="94"/>
      <c r="BKU1880" s="94"/>
      <c r="BKV1880" s="94"/>
      <c r="BKW1880" s="94"/>
      <c r="BKX1880" s="94"/>
      <c r="BKY1880" s="94"/>
      <c r="BKZ1880" s="94"/>
      <c r="BLA1880" s="94"/>
      <c r="BLB1880" s="94"/>
      <c r="BLC1880" s="94"/>
      <c r="BLD1880" s="94"/>
      <c r="BLE1880" s="94"/>
      <c r="BLF1880" s="94"/>
      <c r="BLG1880" s="94"/>
      <c r="BLH1880" s="94"/>
      <c r="BLI1880" s="94"/>
      <c r="BLJ1880" s="94"/>
      <c r="BLK1880" s="94"/>
      <c r="BLL1880" s="94"/>
      <c r="BLM1880" s="94"/>
      <c r="BLN1880" s="94"/>
      <c r="BLO1880" s="94"/>
      <c r="BLP1880" s="94"/>
      <c r="BLQ1880" s="94"/>
      <c r="BLR1880" s="94"/>
      <c r="BLS1880" s="94"/>
      <c r="BLT1880" s="94"/>
      <c r="BLU1880" s="94"/>
      <c r="BLV1880" s="94"/>
      <c r="BLW1880" s="94"/>
      <c r="BLX1880" s="94"/>
      <c r="BLY1880" s="94"/>
      <c r="BLZ1880" s="94"/>
      <c r="BMA1880" s="94"/>
      <c r="BMB1880" s="94"/>
      <c r="BMC1880" s="94"/>
      <c r="BMD1880" s="94"/>
      <c r="BME1880" s="94"/>
      <c r="BMF1880" s="94"/>
      <c r="BMG1880" s="94"/>
      <c r="BMH1880" s="94"/>
      <c r="BMI1880" s="94"/>
      <c r="BMJ1880" s="94"/>
      <c r="BMK1880" s="94"/>
      <c r="BML1880" s="94"/>
      <c r="BMM1880" s="94"/>
      <c r="BMN1880" s="94"/>
      <c r="BMO1880" s="94"/>
      <c r="BMP1880" s="94"/>
      <c r="BMQ1880" s="94"/>
      <c r="BMR1880" s="94"/>
      <c r="BMS1880" s="94"/>
      <c r="BMT1880" s="94"/>
      <c r="BMU1880" s="94"/>
      <c r="BMV1880" s="94"/>
      <c r="BMW1880" s="94"/>
      <c r="BMX1880" s="94"/>
      <c r="BMY1880" s="94"/>
      <c r="BMZ1880" s="94"/>
      <c r="BNA1880" s="94"/>
      <c r="BNB1880" s="94"/>
      <c r="BNC1880" s="94"/>
      <c r="BND1880" s="94"/>
      <c r="BNE1880" s="94"/>
      <c r="BNF1880" s="94"/>
      <c r="BNG1880" s="94"/>
      <c r="BNH1880" s="94"/>
      <c r="BNI1880" s="94"/>
      <c r="BNJ1880" s="94"/>
      <c r="BNK1880" s="94"/>
      <c r="BNL1880" s="94"/>
      <c r="BNM1880" s="94"/>
      <c r="BNN1880" s="94"/>
      <c r="BNO1880" s="94"/>
      <c r="BNP1880" s="94"/>
      <c r="BNQ1880" s="94"/>
      <c r="BNR1880" s="94"/>
      <c r="BNS1880" s="94"/>
      <c r="BNT1880" s="94"/>
      <c r="BNU1880" s="94"/>
      <c r="BNV1880" s="94"/>
      <c r="BNW1880" s="94"/>
      <c r="BNX1880" s="94"/>
      <c r="BNY1880" s="94"/>
      <c r="BNZ1880" s="94"/>
      <c r="BOA1880" s="94"/>
      <c r="BOB1880" s="94"/>
      <c r="BOC1880" s="94"/>
      <c r="BOD1880" s="94"/>
      <c r="BOE1880" s="94"/>
      <c r="BOF1880" s="94"/>
      <c r="BOG1880" s="94"/>
      <c r="BOH1880" s="94"/>
      <c r="BOI1880" s="94"/>
      <c r="BOJ1880" s="94"/>
      <c r="BOK1880" s="94"/>
      <c r="BOL1880" s="94"/>
      <c r="BOM1880" s="94"/>
      <c r="BON1880" s="94"/>
      <c r="BOO1880" s="94"/>
      <c r="BOP1880" s="94"/>
      <c r="BOQ1880" s="94"/>
      <c r="BOR1880" s="94"/>
      <c r="BOS1880" s="94"/>
      <c r="BOT1880" s="94"/>
      <c r="BOU1880" s="94"/>
      <c r="BOV1880" s="94"/>
      <c r="BOW1880" s="94"/>
      <c r="BOX1880" s="94"/>
      <c r="BOY1880" s="94"/>
      <c r="BOZ1880" s="94"/>
      <c r="BPA1880" s="94"/>
      <c r="BPB1880" s="94"/>
      <c r="BPC1880" s="94"/>
      <c r="BPD1880" s="94"/>
      <c r="BPE1880" s="94"/>
      <c r="BPF1880" s="94"/>
      <c r="BPG1880" s="94"/>
      <c r="BPH1880" s="94"/>
      <c r="BPI1880" s="94"/>
      <c r="BPJ1880" s="94"/>
      <c r="BPK1880" s="94"/>
      <c r="BPL1880" s="94"/>
      <c r="BPM1880" s="94"/>
      <c r="BPN1880" s="94"/>
      <c r="BPO1880" s="94"/>
      <c r="BPP1880" s="94"/>
      <c r="BPQ1880" s="94"/>
      <c r="BPR1880" s="94"/>
      <c r="BPS1880" s="94"/>
      <c r="BPT1880" s="94"/>
      <c r="BPU1880" s="94"/>
      <c r="BPV1880" s="94"/>
      <c r="BPW1880" s="94"/>
      <c r="BPX1880" s="94"/>
      <c r="BPY1880" s="94"/>
      <c r="BPZ1880" s="94"/>
      <c r="BQA1880" s="94"/>
      <c r="BQB1880" s="94"/>
      <c r="BQC1880" s="94"/>
      <c r="BQD1880" s="94"/>
      <c r="BQE1880" s="94"/>
      <c r="BQF1880" s="94"/>
      <c r="BQG1880" s="94"/>
      <c r="BQH1880" s="94"/>
      <c r="BQI1880" s="94"/>
      <c r="BQJ1880" s="94"/>
      <c r="BQK1880" s="94"/>
      <c r="BQL1880" s="94"/>
      <c r="BQM1880" s="94"/>
      <c r="BQN1880" s="94"/>
      <c r="BQO1880" s="94"/>
      <c r="BQP1880" s="94"/>
      <c r="BQQ1880" s="94"/>
      <c r="BQR1880" s="94"/>
      <c r="BQS1880" s="94"/>
      <c r="BQT1880" s="94"/>
      <c r="BQU1880" s="94"/>
      <c r="BQV1880" s="94"/>
      <c r="BQW1880" s="94"/>
      <c r="BQX1880" s="94"/>
      <c r="BQY1880" s="94"/>
      <c r="BQZ1880" s="94"/>
      <c r="BRA1880" s="94"/>
      <c r="BRB1880" s="94"/>
      <c r="BRC1880" s="94"/>
      <c r="BRD1880" s="94"/>
      <c r="BRE1880" s="94"/>
      <c r="BRF1880" s="94"/>
      <c r="BRG1880" s="94"/>
      <c r="BRH1880" s="94"/>
      <c r="BRI1880" s="94"/>
      <c r="BRJ1880" s="94"/>
      <c r="BRK1880" s="94"/>
      <c r="BRL1880" s="94"/>
      <c r="BRM1880" s="94"/>
      <c r="BRN1880" s="94"/>
      <c r="BRO1880" s="94"/>
      <c r="BRP1880" s="94"/>
      <c r="BRQ1880" s="94"/>
      <c r="BRR1880" s="94"/>
      <c r="BRS1880" s="94"/>
      <c r="BRT1880" s="94"/>
      <c r="BRU1880" s="94"/>
      <c r="BRV1880" s="94"/>
      <c r="BRW1880" s="94"/>
      <c r="BRX1880" s="94"/>
      <c r="BRY1880" s="94"/>
      <c r="BRZ1880" s="94"/>
      <c r="BSA1880" s="94"/>
      <c r="BSB1880" s="94"/>
      <c r="BSC1880" s="94"/>
      <c r="BSD1880" s="94"/>
      <c r="BSE1880" s="94"/>
      <c r="BSF1880" s="94"/>
      <c r="BSG1880" s="94"/>
      <c r="BSH1880" s="94"/>
      <c r="BSI1880" s="94"/>
      <c r="BSJ1880" s="94"/>
      <c r="BSK1880" s="94"/>
      <c r="BSL1880" s="94"/>
      <c r="BSM1880" s="94"/>
      <c r="BSN1880" s="94"/>
      <c r="BSO1880" s="94"/>
      <c r="BSP1880" s="94"/>
      <c r="BSQ1880" s="94"/>
      <c r="BSR1880" s="94"/>
      <c r="BSS1880" s="94"/>
      <c r="BST1880" s="94"/>
      <c r="BSU1880" s="94"/>
      <c r="BSV1880" s="94"/>
      <c r="BSW1880" s="94"/>
      <c r="BSX1880" s="94"/>
      <c r="BSY1880" s="94"/>
      <c r="BSZ1880" s="94"/>
      <c r="BTA1880" s="94"/>
      <c r="BTB1880" s="94"/>
      <c r="BTC1880" s="94"/>
      <c r="BTD1880" s="94"/>
      <c r="BTE1880" s="94"/>
      <c r="BTF1880" s="94"/>
      <c r="BTG1880" s="94"/>
      <c r="BTH1880" s="94"/>
      <c r="BTI1880" s="94"/>
      <c r="BTJ1880" s="94"/>
      <c r="BTK1880" s="94"/>
      <c r="BTL1880" s="94"/>
      <c r="BTM1880" s="94"/>
      <c r="BTN1880" s="94"/>
      <c r="BTO1880" s="94"/>
      <c r="BTP1880" s="94"/>
      <c r="BTQ1880" s="94"/>
      <c r="BTR1880" s="94"/>
      <c r="BTS1880" s="94"/>
      <c r="BTT1880" s="94"/>
      <c r="BTU1880" s="94"/>
      <c r="BTV1880" s="94"/>
      <c r="BTW1880" s="94"/>
      <c r="BTX1880" s="94"/>
      <c r="BTY1880" s="94"/>
      <c r="BTZ1880" s="94"/>
      <c r="BUA1880" s="94"/>
      <c r="BUB1880" s="94"/>
      <c r="BUC1880" s="94"/>
      <c r="BUD1880" s="94"/>
      <c r="BUE1880" s="94"/>
      <c r="BUF1880" s="94"/>
      <c r="BUG1880" s="94"/>
      <c r="BUH1880" s="94"/>
      <c r="BUI1880" s="94"/>
      <c r="BUJ1880" s="94"/>
      <c r="BUK1880" s="94"/>
      <c r="BUL1880" s="94"/>
      <c r="BUM1880" s="94"/>
      <c r="BUN1880" s="94"/>
      <c r="BUO1880" s="94"/>
      <c r="BUP1880" s="94"/>
      <c r="BUQ1880" s="94"/>
      <c r="BUR1880" s="94"/>
      <c r="BUS1880" s="94"/>
      <c r="BUT1880" s="94"/>
      <c r="BUU1880" s="94"/>
      <c r="BUV1880" s="94"/>
      <c r="BUW1880" s="94"/>
      <c r="BUX1880" s="94"/>
      <c r="BUY1880" s="94"/>
      <c r="BUZ1880" s="94"/>
      <c r="BVA1880" s="94"/>
      <c r="BVB1880" s="94"/>
      <c r="BVC1880" s="94"/>
      <c r="BVD1880" s="94"/>
      <c r="BVE1880" s="94"/>
      <c r="BVF1880" s="94"/>
      <c r="BVG1880" s="94"/>
      <c r="BVH1880" s="94"/>
      <c r="BVI1880" s="94"/>
      <c r="BVJ1880" s="94"/>
      <c r="BVK1880" s="94"/>
      <c r="BVL1880" s="94"/>
      <c r="BVM1880" s="94"/>
      <c r="BVN1880" s="94"/>
      <c r="BVO1880" s="94"/>
      <c r="BVP1880" s="94"/>
      <c r="BVQ1880" s="94"/>
      <c r="BVR1880" s="94"/>
      <c r="BVS1880" s="94"/>
      <c r="BVT1880" s="94"/>
      <c r="BVU1880" s="94"/>
      <c r="BVV1880" s="94"/>
      <c r="BVW1880" s="94"/>
      <c r="BVX1880" s="94"/>
      <c r="BVY1880" s="94"/>
      <c r="BVZ1880" s="94"/>
      <c r="BWA1880" s="94"/>
      <c r="BWB1880" s="94"/>
      <c r="BWC1880" s="94"/>
      <c r="BWD1880" s="94"/>
      <c r="BWE1880" s="94"/>
      <c r="BWF1880" s="94"/>
      <c r="BWG1880" s="94"/>
      <c r="BWH1880" s="94"/>
      <c r="BWI1880" s="94"/>
      <c r="BWJ1880" s="94"/>
      <c r="BWK1880" s="94"/>
      <c r="BWL1880" s="94"/>
      <c r="BWM1880" s="94"/>
      <c r="BWN1880" s="94"/>
      <c r="BWO1880" s="94"/>
      <c r="BWP1880" s="94"/>
      <c r="BWQ1880" s="94"/>
      <c r="BWR1880" s="94"/>
      <c r="BWS1880" s="94"/>
      <c r="BWT1880" s="94"/>
      <c r="BWU1880" s="94"/>
      <c r="BWV1880" s="94"/>
      <c r="BWW1880" s="94"/>
      <c r="BWX1880" s="94"/>
      <c r="BWY1880" s="94"/>
      <c r="BWZ1880" s="94"/>
      <c r="BXA1880" s="94"/>
      <c r="BXB1880" s="94"/>
      <c r="BXC1880" s="94"/>
      <c r="BXD1880" s="94"/>
      <c r="BXE1880" s="94"/>
      <c r="BXF1880" s="94"/>
      <c r="BXG1880" s="94"/>
      <c r="BXH1880" s="94"/>
      <c r="BXI1880" s="94"/>
      <c r="BXJ1880" s="94"/>
      <c r="BXK1880" s="94"/>
      <c r="BXL1880" s="94"/>
      <c r="BXM1880" s="94"/>
      <c r="BXN1880" s="94"/>
      <c r="BXO1880" s="94"/>
      <c r="BXP1880" s="94"/>
      <c r="BXQ1880" s="94"/>
      <c r="BXR1880" s="94"/>
      <c r="BXS1880" s="94"/>
      <c r="BXT1880" s="94"/>
      <c r="BXU1880" s="94"/>
      <c r="BXV1880" s="94"/>
      <c r="BXW1880" s="94"/>
      <c r="BXX1880" s="94"/>
      <c r="BXY1880" s="94"/>
      <c r="BXZ1880" s="94"/>
      <c r="BYA1880" s="94"/>
      <c r="BYB1880" s="94"/>
      <c r="BYC1880" s="94"/>
      <c r="BYD1880" s="94"/>
      <c r="BYE1880" s="94"/>
      <c r="BYF1880" s="94"/>
      <c r="BYG1880" s="94"/>
      <c r="BYH1880" s="94"/>
      <c r="BYI1880" s="94"/>
      <c r="BYJ1880" s="94"/>
      <c r="BYK1880" s="94"/>
      <c r="BYL1880" s="94"/>
      <c r="BYM1880" s="94"/>
      <c r="BYN1880" s="94"/>
      <c r="BYO1880" s="94"/>
      <c r="BYP1880" s="94"/>
      <c r="BYQ1880" s="94"/>
      <c r="BYR1880" s="94"/>
      <c r="BYS1880" s="94"/>
      <c r="BYT1880" s="94"/>
      <c r="BYU1880" s="94"/>
      <c r="BYV1880" s="94"/>
      <c r="BYW1880" s="94"/>
      <c r="BYX1880" s="94"/>
      <c r="BYY1880" s="94"/>
      <c r="BYZ1880" s="94"/>
      <c r="BZA1880" s="94"/>
      <c r="BZB1880" s="94"/>
      <c r="BZC1880" s="94"/>
      <c r="BZD1880" s="94"/>
      <c r="BZE1880" s="94"/>
      <c r="BZF1880" s="94"/>
      <c r="BZG1880" s="94"/>
      <c r="BZH1880" s="94"/>
      <c r="BZI1880" s="94"/>
      <c r="BZJ1880" s="94"/>
      <c r="BZK1880" s="94"/>
      <c r="BZL1880" s="94"/>
      <c r="BZM1880" s="94"/>
      <c r="BZN1880" s="94"/>
      <c r="BZO1880" s="94"/>
      <c r="BZP1880" s="94"/>
      <c r="BZQ1880" s="94"/>
      <c r="BZR1880" s="94"/>
      <c r="BZS1880" s="94"/>
      <c r="BZT1880" s="94"/>
      <c r="BZU1880" s="94"/>
      <c r="BZV1880" s="94"/>
      <c r="BZW1880" s="94"/>
      <c r="BZX1880" s="94"/>
      <c r="BZY1880" s="94"/>
      <c r="BZZ1880" s="94"/>
      <c r="CAA1880" s="94"/>
      <c r="CAB1880" s="94"/>
      <c r="CAC1880" s="94"/>
      <c r="CAD1880" s="94"/>
      <c r="CAE1880" s="94"/>
      <c r="CAF1880" s="94"/>
      <c r="CAG1880" s="94"/>
      <c r="CAH1880" s="94"/>
      <c r="CAI1880" s="94"/>
      <c r="CAJ1880" s="94"/>
      <c r="CAK1880" s="94"/>
      <c r="CAL1880" s="94"/>
      <c r="CAM1880" s="94"/>
      <c r="CAN1880" s="94"/>
      <c r="CAO1880" s="94"/>
      <c r="CAP1880" s="94"/>
      <c r="CAQ1880" s="94"/>
      <c r="CAR1880" s="94"/>
      <c r="CAS1880" s="94"/>
      <c r="CAT1880" s="94"/>
      <c r="CAU1880" s="94"/>
      <c r="CAV1880" s="94"/>
      <c r="CAW1880" s="94"/>
      <c r="CAX1880" s="94"/>
      <c r="CAY1880" s="94"/>
      <c r="CAZ1880" s="94"/>
      <c r="CBA1880" s="94"/>
      <c r="CBB1880" s="94"/>
      <c r="CBC1880" s="94"/>
      <c r="CBD1880" s="94"/>
      <c r="CBE1880" s="94"/>
      <c r="CBF1880" s="94"/>
      <c r="CBG1880" s="94"/>
      <c r="CBH1880" s="94"/>
      <c r="CBI1880" s="94"/>
      <c r="CBJ1880" s="94"/>
      <c r="CBK1880" s="94"/>
      <c r="CBL1880" s="94"/>
      <c r="CBM1880" s="94"/>
      <c r="CBN1880" s="94"/>
      <c r="CBO1880" s="94"/>
      <c r="CBP1880" s="94"/>
      <c r="CBQ1880" s="94"/>
      <c r="CBR1880" s="94"/>
      <c r="CBS1880" s="94"/>
      <c r="CBT1880" s="94"/>
      <c r="CBU1880" s="94"/>
      <c r="CBV1880" s="94"/>
      <c r="CBW1880" s="94"/>
      <c r="CBX1880" s="94"/>
      <c r="CBY1880" s="94"/>
      <c r="CBZ1880" s="94"/>
      <c r="CCA1880" s="94"/>
      <c r="CCB1880" s="94"/>
      <c r="CCC1880" s="94"/>
      <c r="CCD1880" s="94"/>
      <c r="CCE1880" s="94"/>
      <c r="CCF1880" s="94"/>
      <c r="CCG1880" s="94"/>
      <c r="CCH1880" s="94"/>
      <c r="CCI1880" s="94"/>
      <c r="CCJ1880" s="94"/>
      <c r="CCK1880" s="94"/>
      <c r="CCL1880" s="94"/>
      <c r="CCM1880" s="94"/>
      <c r="CCN1880" s="94"/>
      <c r="CCO1880" s="94"/>
      <c r="CCP1880" s="94"/>
      <c r="CCQ1880" s="94"/>
      <c r="CCR1880" s="94"/>
      <c r="CCS1880" s="94"/>
      <c r="CCT1880" s="94"/>
      <c r="CCU1880" s="94"/>
      <c r="CCV1880" s="94"/>
      <c r="CCW1880" s="94"/>
      <c r="CCX1880" s="94"/>
      <c r="CCY1880" s="94"/>
      <c r="CCZ1880" s="94"/>
      <c r="CDA1880" s="94"/>
      <c r="CDB1880" s="94"/>
      <c r="CDC1880" s="94"/>
      <c r="CDD1880" s="94"/>
      <c r="CDE1880" s="94"/>
      <c r="CDF1880" s="94"/>
      <c r="CDG1880" s="94"/>
      <c r="CDH1880" s="94"/>
      <c r="CDI1880" s="94"/>
      <c r="CDJ1880" s="94"/>
      <c r="CDK1880" s="94"/>
      <c r="CDL1880" s="94"/>
      <c r="CDM1880" s="94"/>
      <c r="CDN1880" s="94"/>
      <c r="CDO1880" s="94"/>
      <c r="CDP1880" s="94"/>
      <c r="CDQ1880" s="94"/>
      <c r="CDR1880" s="94"/>
      <c r="CDS1880" s="94"/>
      <c r="CDT1880" s="94"/>
      <c r="CDU1880" s="94"/>
      <c r="CDV1880" s="94"/>
      <c r="CDW1880" s="94"/>
      <c r="CDX1880" s="94"/>
      <c r="CDY1880" s="94"/>
      <c r="CDZ1880" s="94"/>
      <c r="CEA1880" s="94"/>
      <c r="CEB1880" s="94"/>
      <c r="CEC1880" s="94"/>
      <c r="CED1880" s="94"/>
      <c r="CEE1880" s="94"/>
      <c r="CEF1880" s="94"/>
      <c r="CEG1880" s="94"/>
      <c r="CEH1880" s="94"/>
      <c r="CEI1880" s="94"/>
      <c r="CEJ1880" s="94"/>
      <c r="CEK1880" s="94"/>
      <c r="CEL1880" s="94"/>
      <c r="CEM1880" s="94"/>
      <c r="CEN1880" s="94"/>
      <c r="CEO1880" s="94"/>
      <c r="CEP1880" s="94"/>
      <c r="CEQ1880" s="94"/>
      <c r="CER1880" s="94"/>
      <c r="CES1880" s="94"/>
      <c r="CET1880" s="94"/>
      <c r="CEU1880" s="94"/>
      <c r="CEV1880" s="94"/>
      <c r="CEW1880" s="94"/>
      <c r="CEX1880" s="94"/>
      <c r="CEY1880" s="94"/>
      <c r="CEZ1880" s="94"/>
      <c r="CFA1880" s="94"/>
      <c r="CFB1880" s="94"/>
      <c r="CFC1880" s="94"/>
      <c r="CFD1880" s="94"/>
      <c r="CFE1880" s="94"/>
      <c r="CFF1880" s="94"/>
      <c r="CFG1880" s="94"/>
      <c r="CFH1880" s="94"/>
      <c r="CFI1880" s="94"/>
      <c r="CFJ1880" s="94"/>
      <c r="CFK1880" s="94"/>
      <c r="CFL1880" s="94"/>
      <c r="CFM1880" s="94"/>
      <c r="CFN1880" s="94"/>
      <c r="CFO1880" s="94"/>
      <c r="CFP1880" s="94"/>
      <c r="CFQ1880" s="94"/>
      <c r="CFR1880" s="94"/>
      <c r="CFS1880" s="94"/>
      <c r="CFT1880" s="94"/>
      <c r="CFU1880" s="94"/>
      <c r="CFV1880" s="94"/>
      <c r="CFW1880" s="94"/>
      <c r="CFX1880" s="94"/>
      <c r="CFY1880" s="94"/>
      <c r="CFZ1880" s="94"/>
      <c r="CGA1880" s="94"/>
      <c r="CGB1880" s="94"/>
      <c r="CGC1880" s="94"/>
      <c r="CGD1880" s="94"/>
      <c r="CGE1880" s="94"/>
      <c r="CGF1880" s="94"/>
      <c r="CGG1880" s="94"/>
      <c r="CGH1880" s="94"/>
      <c r="CGI1880" s="94"/>
      <c r="CGJ1880" s="94"/>
      <c r="CGK1880" s="94"/>
      <c r="CGL1880" s="94"/>
      <c r="CGM1880" s="94"/>
      <c r="CGN1880" s="94"/>
      <c r="CGO1880" s="94"/>
      <c r="CGP1880" s="94"/>
      <c r="CGQ1880" s="94"/>
      <c r="CGR1880" s="94"/>
      <c r="CGS1880" s="94"/>
      <c r="CGT1880" s="94"/>
      <c r="CGU1880" s="94"/>
      <c r="CGV1880" s="94"/>
      <c r="CGW1880" s="94"/>
      <c r="CGX1880" s="94"/>
      <c r="CGY1880" s="94"/>
      <c r="CGZ1880" s="94"/>
      <c r="CHA1880" s="94"/>
      <c r="CHB1880" s="94"/>
      <c r="CHC1880" s="94"/>
      <c r="CHD1880" s="94"/>
      <c r="CHE1880" s="94"/>
      <c r="CHF1880" s="94"/>
      <c r="CHG1880" s="94"/>
      <c r="CHH1880" s="94"/>
      <c r="CHI1880" s="94"/>
      <c r="CHJ1880" s="94"/>
      <c r="CHK1880" s="94"/>
      <c r="CHL1880" s="94"/>
      <c r="CHM1880" s="94"/>
      <c r="CHN1880" s="94"/>
      <c r="CHO1880" s="94"/>
      <c r="CHP1880" s="94"/>
      <c r="CHQ1880" s="94"/>
      <c r="CHR1880" s="94"/>
      <c r="CHS1880" s="94"/>
      <c r="CHT1880" s="94"/>
      <c r="CHU1880" s="94"/>
      <c r="CHV1880" s="94"/>
      <c r="CHW1880" s="94"/>
      <c r="CHX1880" s="94"/>
      <c r="CHY1880" s="94"/>
      <c r="CHZ1880" s="94"/>
      <c r="CIA1880" s="94"/>
      <c r="CIB1880" s="94"/>
      <c r="CIC1880" s="94"/>
      <c r="CID1880" s="94"/>
      <c r="CIE1880" s="94"/>
      <c r="CIF1880" s="94"/>
      <c r="CIG1880" s="94"/>
      <c r="CIH1880" s="94"/>
      <c r="CII1880" s="94"/>
      <c r="CIJ1880" s="94"/>
      <c r="CIK1880" s="94"/>
      <c r="CIL1880" s="94"/>
      <c r="CIM1880" s="94"/>
      <c r="CIN1880" s="94"/>
      <c r="CIO1880" s="94"/>
      <c r="CIP1880" s="94"/>
      <c r="CIQ1880" s="94"/>
      <c r="CIR1880" s="94"/>
      <c r="CIS1880" s="94"/>
      <c r="CIT1880" s="94"/>
      <c r="CIU1880" s="94"/>
      <c r="CIV1880" s="94"/>
      <c r="CIW1880" s="94"/>
      <c r="CIX1880" s="94"/>
      <c r="CIY1880" s="94"/>
      <c r="CIZ1880" s="94"/>
      <c r="CJA1880" s="94"/>
      <c r="CJB1880" s="94"/>
      <c r="CJC1880" s="94"/>
      <c r="CJD1880" s="94"/>
      <c r="CJE1880" s="94"/>
      <c r="CJF1880" s="94"/>
      <c r="CJG1880" s="94"/>
      <c r="CJH1880" s="94"/>
      <c r="CJI1880" s="94"/>
      <c r="CJJ1880" s="94"/>
      <c r="CJK1880" s="94"/>
      <c r="CJL1880" s="94"/>
      <c r="CJM1880" s="94"/>
      <c r="CJN1880" s="94"/>
      <c r="CJO1880" s="94"/>
      <c r="CJP1880" s="94"/>
      <c r="CJQ1880" s="94"/>
      <c r="CJR1880" s="94"/>
      <c r="CJS1880" s="94"/>
      <c r="CJT1880" s="94"/>
      <c r="CJU1880" s="94"/>
      <c r="CJV1880" s="94"/>
      <c r="CJW1880" s="94"/>
      <c r="CJX1880" s="94"/>
      <c r="CJY1880" s="94"/>
      <c r="CJZ1880" s="94"/>
      <c r="CKA1880" s="94"/>
      <c r="CKB1880" s="94"/>
      <c r="CKC1880" s="94"/>
      <c r="CKD1880" s="94"/>
      <c r="CKE1880" s="94"/>
      <c r="CKF1880" s="94"/>
      <c r="CKG1880" s="94"/>
      <c r="CKH1880" s="94"/>
      <c r="CKI1880" s="94"/>
      <c r="CKJ1880" s="94"/>
      <c r="CKK1880" s="94"/>
      <c r="CKL1880" s="94"/>
      <c r="CKM1880" s="94"/>
      <c r="CKN1880" s="94"/>
      <c r="CKO1880" s="94"/>
      <c r="CKP1880" s="94"/>
      <c r="CKQ1880" s="94"/>
      <c r="CKR1880" s="94"/>
      <c r="CKS1880" s="94"/>
      <c r="CKT1880" s="94"/>
      <c r="CKU1880" s="94"/>
      <c r="CKV1880" s="94"/>
      <c r="CKW1880" s="94"/>
      <c r="CKX1880" s="94"/>
      <c r="CKY1880" s="94"/>
      <c r="CKZ1880" s="94"/>
      <c r="CLA1880" s="94"/>
      <c r="CLB1880" s="94"/>
      <c r="CLC1880" s="94"/>
      <c r="CLD1880" s="94"/>
      <c r="CLE1880" s="94"/>
      <c r="CLF1880" s="94"/>
      <c r="CLG1880" s="94"/>
      <c r="CLH1880" s="94"/>
      <c r="CLI1880" s="94"/>
      <c r="CLJ1880" s="94"/>
      <c r="CLK1880" s="94"/>
      <c r="CLL1880" s="94"/>
      <c r="CLM1880" s="94"/>
      <c r="CLN1880" s="94"/>
      <c r="CLO1880" s="94"/>
      <c r="CLP1880" s="94"/>
      <c r="CLQ1880" s="94"/>
      <c r="CLR1880" s="94"/>
      <c r="CLS1880" s="94"/>
      <c r="CLT1880" s="94"/>
      <c r="CLU1880" s="94"/>
      <c r="CLV1880" s="94"/>
      <c r="CLW1880" s="94"/>
      <c r="CLX1880" s="94"/>
      <c r="CLY1880" s="94"/>
      <c r="CLZ1880" s="94"/>
      <c r="CMA1880" s="94"/>
      <c r="CMB1880" s="94"/>
      <c r="CMC1880" s="94"/>
      <c r="CMD1880" s="94"/>
      <c r="CME1880" s="94"/>
      <c r="CMF1880" s="94"/>
      <c r="CMG1880" s="94"/>
      <c r="CMH1880" s="94"/>
      <c r="CMI1880" s="94"/>
      <c r="CMJ1880" s="94"/>
      <c r="CMK1880" s="94"/>
      <c r="CML1880" s="94"/>
      <c r="CMM1880" s="94"/>
      <c r="CMN1880" s="94"/>
      <c r="CMO1880" s="94"/>
      <c r="CMP1880" s="94"/>
      <c r="CMQ1880" s="94"/>
      <c r="CMR1880" s="94"/>
      <c r="CMS1880" s="94"/>
      <c r="CMT1880" s="94"/>
      <c r="CMU1880" s="94"/>
      <c r="CMV1880" s="94"/>
      <c r="CMW1880" s="94"/>
      <c r="CMX1880" s="94"/>
      <c r="CMY1880" s="94"/>
      <c r="CMZ1880" s="94"/>
      <c r="CNA1880" s="94"/>
      <c r="CNB1880" s="94"/>
      <c r="CNC1880" s="94"/>
      <c r="CND1880" s="94"/>
      <c r="CNE1880" s="94"/>
      <c r="CNF1880" s="94"/>
      <c r="CNG1880" s="94"/>
      <c r="CNH1880" s="94"/>
      <c r="CNI1880" s="94"/>
      <c r="CNJ1880" s="94"/>
      <c r="CNK1880" s="94"/>
      <c r="CNL1880" s="94"/>
      <c r="CNM1880" s="94"/>
      <c r="CNN1880" s="94"/>
      <c r="CNO1880" s="94"/>
      <c r="CNP1880" s="94"/>
      <c r="CNQ1880" s="94"/>
      <c r="CNR1880" s="94"/>
      <c r="CNS1880" s="94"/>
      <c r="CNT1880" s="94"/>
      <c r="CNU1880" s="94"/>
      <c r="CNV1880" s="94"/>
      <c r="CNW1880" s="94"/>
      <c r="CNX1880" s="94"/>
      <c r="CNY1880" s="94"/>
      <c r="CNZ1880" s="94"/>
      <c r="COA1880" s="94"/>
      <c r="COB1880" s="94"/>
      <c r="COC1880" s="94"/>
      <c r="COD1880" s="94"/>
      <c r="COE1880" s="94"/>
      <c r="COF1880" s="94"/>
      <c r="COG1880" s="94"/>
      <c r="COH1880" s="94"/>
      <c r="COI1880" s="94"/>
      <c r="COJ1880" s="94"/>
      <c r="COK1880" s="94"/>
      <c r="COL1880" s="94"/>
      <c r="COM1880" s="94"/>
      <c r="CON1880" s="94"/>
      <c r="COO1880" s="94"/>
      <c r="COP1880" s="94"/>
      <c r="COQ1880" s="94"/>
      <c r="COR1880" s="94"/>
      <c r="COS1880" s="94"/>
      <c r="COT1880" s="94"/>
      <c r="COU1880" s="94"/>
      <c r="COV1880" s="94"/>
      <c r="COW1880" s="94"/>
      <c r="COX1880" s="94"/>
      <c r="COY1880" s="94"/>
      <c r="COZ1880" s="94"/>
      <c r="CPA1880" s="94"/>
      <c r="CPB1880" s="94"/>
      <c r="CPC1880" s="94"/>
      <c r="CPD1880" s="94"/>
      <c r="CPE1880" s="94"/>
      <c r="CPF1880" s="94"/>
      <c r="CPG1880" s="94"/>
      <c r="CPH1880" s="94"/>
      <c r="CPI1880" s="94"/>
      <c r="CPJ1880" s="94"/>
      <c r="CPK1880" s="94"/>
      <c r="CPL1880" s="94"/>
      <c r="CPM1880" s="94"/>
      <c r="CPN1880" s="94"/>
      <c r="CPO1880" s="94"/>
      <c r="CPP1880" s="94"/>
      <c r="CPQ1880" s="94"/>
      <c r="CPR1880" s="94"/>
      <c r="CPS1880" s="94"/>
      <c r="CPT1880" s="94"/>
      <c r="CPU1880" s="94"/>
      <c r="CPV1880" s="94"/>
      <c r="CPW1880" s="94"/>
      <c r="CPX1880" s="94"/>
      <c r="CPY1880" s="94"/>
      <c r="CPZ1880" s="94"/>
      <c r="CQA1880" s="94"/>
      <c r="CQB1880" s="94"/>
      <c r="CQC1880" s="94"/>
      <c r="CQD1880" s="94"/>
      <c r="CQE1880" s="94"/>
      <c r="CQF1880" s="94"/>
      <c r="CQG1880" s="94"/>
      <c r="CQH1880" s="94"/>
      <c r="CQI1880" s="94"/>
      <c r="CQJ1880" s="94"/>
      <c r="CQK1880" s="94"/>
      <c r="CQL1880" s="94"/>
      <c r="CQM1880" s="94"/>
      <c r="CQN1880" s="94"/>
      <c r="CQO1880" s="94"/>
      <c r="CQP1880" s="94"/>
      <c r="CQQ1880" s="94"/>
      <c r="CQR1880" s="94"/>
      <c r="CQS1880" s="94"/>
      <c r="CQT1880" s="94"/>
      <c r="CQU1880" s="94"/>
      <c r="CQV1880" s="94"/>
      <c r="CQW1880" s="94"/>
      <c r="CQX1880" s="94"/>
      <c r="CQY1880" s="94"/>
      <c r="CQZ1880" s="94"/>
      <c r="CRA1880" s="94"/>
      <c r="CRB1880" s="94"/>
      <c r="CRC1880" s="94"/>
      <c r="CRD1880" s="94"/>
      <c r="CRE1880" s="94"/>
      <c r="CRF1880" s="94"/>
      <c r="CRG1880" s="94"/>
      <c r="CRH1880" s="94"/>
      <c r="CRI1880" s="94"/>
      <c r="CRJ1880" s="94"/>
      <c r="CRK1880" s="94"/>
      <c r="CRL1880" s="94"/>
      <c r="CRM1880" s="94"/>
      <c r="CRN1880" s="94"/>
      <c r="CRO1880" s="94"/>
      <c r="CRP1880" s="94"/>
      <c r="CRQ1880" s="94"/>
      <c r="CRR1880" s="94"/>
      <c r="CRS1880" s="94"/>
      <c r="CRT1880" s="94"/>
      <c r="CRU1880" s="94"/>
      <c r="CRV1880" s="94"/>
      <c r="CRW1880" s="94"/>
      <c r="CRX1880" s="94"/>
      <c r="CRY1880" s="94"/>
      <c r="CRZ1880" s="94"/>
      <c r="CSA1880" s="94"/>
      <c r="CSB1880" s="94"/>
      <c r="CSC1880" s="94"/>
      <c r="CSD1880" s="94"/>
      <c r="CSE1880" s="94"/>
      <c r="CSF1880" s="94"/>
      <c r="CSG1880" s="94"/>
      <c r="CSH1880" s="94"/>
      <c r="CSI1880" s="94"/>
      <c r="CSJ1880" s="94"/>
      <c r="CSK1880" s="94"/>
      <c r="CSL1880" s="94"/>
      <c r="CSM1880" s="94"/>
      <c r="CSN1880" s="94"/>
      <c r="CSO1880" s="94"/>
      <c r="CSP1880" s="94"/>
      <c r="CSQ1880" s="94"/>
      <c r="CSR1880" s="94"/>
      <c r="CSS1880" s="94"/>
      <c r="CST1880" s="94"/>
      <c r="CSU1880" s="94"/>
      <c r="CSV1880" s="94"/>
      <c r="CSW1880" s="94"/>
      <c r="CSX1880" s="94"/>
      <c r="CSY1880" s="94"/>
      <c r="CSZ1880" s="94"/>
      <c r="CTA1880" s="94"/>
      <c r="CTB1880" s="94"/>
      <c r="CTC1880" s="94"/>
      <c r="CTD1880" s="94"/>
      <c r="CTE1880" s="94"/>
      <c r="CTF1880" s="94"/>
      <c r="CTG1880" s="94"/>
      <c r="CTH1880" s="94"/>
      <c r="CTI1880" s="94"/>
      <c r="CTJ1880" s="94"/>
      <c r="CTK1880" s="94"/>
      <c r="CTL1880" s="94"/>
      <c r="CTM1880" s="94"/>
      <c r="CTN1880" s="94"/>
      <c r="CTO1880" s="94"/>
      <c r="CTP1880" s="94"/>
      <c r="CTQ1880" s="94"/>
      <c r="CTR1880" s="94"/>
      <c r="CTS1880" s="94"/>
      <c r="CTT1880" s="94"/>
      <c r="CTU1880" s="94"/>
      <c r="CTV1880" s="94"/>
      <c r="CTW1880" s="94"/>
      <c r="CTX1880" s="94"/>
      <c r="CTY1880" s="94"/>
      <c r="CTZ1880" s="94"/>
      <c r="CUA1880" s="94"/>
      <c r="CUB1880" s="94"/>
      <c r="CUC1880" s="94"/>
      <c r="CUD1880" s="94"/>
      <c r="CUE1880" s="94"/>
      <c r="CUF1880" s="94"/>
      <c r="CUG1880" s="94"/>
      <c r="CUH1880" s="94"/>
      <c r="CUI1880" s="94"/>
      <c r="CUJ1880" s="94"/>
      <c r="CUK1880" s="94"/>
      <c r="CUL1880" s="94"/>
      <c r="CUM1880" s="94"/>
      <c r="CUN1880" s="94"/>
      <c r="CUO1880" s="94"/>
      <c r="CUP1880" s="94"/>
      <c r="CUQ1880" s="94"/>
      <c r="CUR1880" s="94"/>
      <c r="CUS1880" s="94"/>
      <c r="CUT1880" s="94"/>
      <c r="CUU1880" s="94"/>
      <c r="CUV1880" s="94"/>
      <c r="CUW1880" s="94"/>
      <c r="CUX1880" s="94"/>
      <c r="CUY1880" s="94"/>
      <c r="CUZ1880" s="94"/>
      <c r="CVA1880" s="94"/>
      <c r="CVB1880" s="94"/>
      <c r="CVC1880" s="94"/>
      <c r="CVD1880" s="94"/>
      <c r="CVE1880" s="94"/>
      <c r="CVF1880" s="94"/>
      <c r="CVG1880" s="94"/>
      <c r="CVH1880" s="94"/>
      <c r="CVI1880" s="94"/>
      <c r="CVJ1880" s="94"/>
      <c r="CVK1880" s="94"/>
      <c r="CVL1880" s="94"/>
      <c r="CVM1880" s="94"/>
      <c r="CVN1880" s="94"/>
      <c r="CVO1880" s="94"/>
      <c r="CVP1880" s="94"/>
      <c r="CVQ1880" s="94"/>
      <c r="CVR1880" s="94"/>
      <c r="CVS1880" s="94"/>
      <c r="CVT1880" s="94"/>
      <c r="CVU1880" s="94"/>
      <c r="CVV1880" s="94"/>
      <c r="CVW1880" s="94"/>
      <c r="CVX1880" s="94"/>
      <c r="CVY1880" s="94"/>
      <c r="CVZ1880" s="94"/>
      <c r="CWA1880" s="94"/>
      <c r="CWB1880" s="94"/>
      <c r="CWC1880" s="94"/>
      <c r="CWD1880" s="94"/>
      <c r="CWE1880" s="94"/>
      <c r="CWF1880" s="94"/>
      <c r="CWG1880" s="94"/>
      <c r="CWH1880" s="94"/>
      <c r="CWI1880" s="94"/>
      <c r="CWJ1880" s="94"/>
      <c r="CWK1880" s="94"/>
      <c r="CWL1880" s="94"/>
      <c r="CWM1880" s="94"/>
      <c r="CWN1880" s="94"/>
      <c r="CWO1880" s="94"/>
      <c r="CWP1880" s="94"/>
      <c r="CWQ1880" s="94"/>
      <c r="CWR1880" s="94"/>
      <c r="CWS1880" s="94"/>
      <c r="CWT1880" s="94"/>
      <c r="CWU1880" s="94"/>
      <c r="CWV1880" s="94"/>
      <c r="CWW1880" s="94"/>
      <c r="CWX1880" s="94"/>
      <c r="CWY1880" s="94"/>
      <c r="CWZ1880" s="94"/>
      <c r="CXA1880" s="94"/>
      <c r="CXB1880" s="94"/>
      <c r="CXC1880" s="94"/>
      <c r="CXD1880" s="94"/>
      <c r="CXE1880" s="94"/>
      <c r="CXF1880" s="94"/>
      <c r="CXG1880" s="94"/>
      <c r="CXH1880" s="94"/>
      <c r="CXI1880" s="94"/>
      <c r="CXJ1880" s="94"/>
      <c r="CXK1880" s="94"/>
      <c r="CXL1880" s="94"/>
      <c r="CXM1880" s="94"/>
      <c r="CXN1880" s="94"/>
      <c r="CXO1880" s="94"/>
      <c r="CXP1880" s="94"/>
      <c r="CXQ1880" s="94"/>
      <c r="CXR1880" s="94"/>
      <c r="CXS1880" s="94"/>
      <c r="CXT1880" s="94"/>
      <c r="CXU1880" s="94"/>
      <c r="CXV1880" s="94"/>
      <c r="CXW1880" s="94"/>
      <c r="CXX1880" s="94"/>
      <c r="CXY1880" s="94"/>
      <c r="CXZ1880" s="94"/>
      <c r="CYA1880" s="94"/>
      <c r="CYB1880" s="94"/>
      <c r="CYC1880" s="94"/>
      <c r="CYD1880" s="94"/>
      <c r="CYE1880" s="94"/>
      <c r="CYF1880" s="94"/>
      <c r="CYG1880" s="94"/>
      <c r="CYH1880" s="94"/>
      <c r="CYI1880" s="94"/>
      <c r="CYJ1880" s="94"/>
      <c r="CYK1880" s="94"/>
      <c r="CYL1880" s="94"/>
      <c r="CYM1880" s="94"/>
      <c r="CYN1880" s="94"/>
      <c r="CYO1880" s="94"/>
      <c r="CYP1880" s="94"/>
      <c r="CYQ1880" s="94"/>
      <c r="CYR1880" s="94"/>
      <c r="CYS1880" s="94"/>
      <c r="CYT1880" s="94"/>
      <c r="CYU1880" s="94"/>
      <c r="CYV1880" s="94"/>
      <c r="CYW1880" s="94"/>
      <c r="CYX1880" s="94"/>
      <c r="CYY1880" s="94"/>
      <c r="CYZ1880" s="94"/>
      <c r="CZA1880" s="94"/>
      <c r="CZB1880" s="94"/>
      <c r="CZC1880" s="94"/>
      <c r="CZD1880" s="94"/>
      <c r="CZE1880" s="94"/>
      <c r="CZF1880" s="94"/>
      <c r="CZG1880" s="94"/>
      <c r="CZH1880" s="94"/>
      <c r="CZI1880" s="94"/>
      <c r="CZJ1880" s="94"/>
      <c r="CZK1880" s="94"/>
      <c r="CZL1880" s="94"/>
      <c r="CZM1880" s="94"/>
      <c r="CZN1880" s="94"/>
      <c r="CZO1880" s="94"/>
      <c r="CZP1880" s="94"/>
      <c r="CZQ1880" s="94"/>
      <c r="CZR1880" s="94"/>
      <c r="CZS1880" s="94"/>
      <c r="CZT1880" s="94"/>
      <c r="CZU1880" s="94"/>
      <c r="CZV1880" s="94"/>
      <c r="CZW1880" s="94"/>
      <c r="CZX1880" s="94"/>
      <c r="CZY1880" s="94"/>
      <c r="CZZ1880" s="94"/>
      <c r="DAA1880" s="94"/>
      <c r="DAB1880" s="94"/>
      <c r="DAC1880" s="94"/>
      <c r="DAD1880" s="94"/>
      <c r="DAE1880" s="94"/>
      <c r="DAF1880" s="94"/>
      <c r="DAG1880" s="94"/>
      <c r="DAH1880" s="94"/>
      <c r="DAI1880" s="94"/>
      <c r="DAJ1880" s="94"/>
      <c r="DAK1880" s="94"/>
      <c r="DAL1880" s="94"/>
      <c r="DAM1880" s="94"/>
      <c r="DAN1880" s="94"/>
      <c r="DAO1880" s="94"/>
      <c r="DAP1880" s="94"/>
      <c r="DAQ1880" s="94"/>
      <c r="DAR1880" s="94"/>
      <c r="DAS1880" s="94"/>
      <c r="DAT1880" s="94"/>
      <c r="DAU1880" s="94"/>
      <c r="DAV1880" s="94"/>
      <c r="DAW1880" s="94"/>
      <c r="DAX1880" s="94"/>
      <c r="DAY1880" s="94"/>
      <c r="DAZ1880" s="94"/>
      <c r="DBA1880" s="94"/>
      <c r="DBB1880" s="94"/>
      <c r="DBC1880" s="94"/>
      <c r="DBD1880" s="94"/>
      <c r="DBE1880" s="94"/>
      <c r="DBF1880" s="94"/>
      <c r="DBG1880" s="94"/>
      <c r="DBH1880" s="94"/>
      <c r="DBI1880" s="94"/>
      <c r="DBJ1880" s="94"/>
      <c r="DBK1880" s="94"/>
      <c r="DBL1880" s="94"/>
      <c r="DBM1880" s="94"/>
      <c r="DBN1880" s="94"/>
      <c r="DBO1880" s="94"/>
      <c r="DBP1880" s="94"/>
      <c r="DBQ1880" s="94"/>
      <c r="DBR1880" s="94"/>
      <c r="DBS1880" s="94"/>
      <c r="DBT1880" s="94"/>
      <c r="DBU1880" s="94"/>
      <c r="DBV1880" s="94"/>
      <c r="DBW1880" s="94"/>
      <c r="DBX1880" s="94"/>
      <c r="DBY1880" s="94"/>
      <c r="DBZ1880" s="94"/>
      <c r="DCA1880" s="94"/>
      <c r="DCB1880" s="94"/>
      <c r="DCC1880" s="94"/>
      <c r="DCD1880" s="94"/>
      <c r="DCE1880" s="94"/>
      <c r="DCF1880" s="94"/>
      <c r="DCG1880" s="94"/>
      <c r="DCH1880" s="94"/>
      <c r="DCI1880" s="94"/>
      <c r="DCJ1880" s="94"/>
      <c r="DCK1880" s="94"/>
      <c r="DCL1880" s="94"/>
      <c r="DCM1880" s="94"/>
      <c r="DCN1880" s="94"/>
      <c r="DCO1880" s="94"/>
      <c r="DCP1880" s="94"/>
      <c r="DCQ1880" s="94"/>
      <c r="DCR1880" s="94"/>
      <c r="DCS1880" s="94"/>
      <c r="DCT1880" s="94"/>
      <c r="DCU1880" s="94"/>
      <c r="DCV1880" s="94"/>
      <c r="DCW1880" s="94"/>
      <c r="DCX1880" s="94"/>
      <c r="DCY1880" s="94"/>
      <c r="DCZ1880" s="94"/>
      <c r="DDA1880" s="94"/>
      <c r="DDB1880" s="94"/>
      <c r="DDC1880" s="94"/>
      <c r="DDD1880" s="94"/>
      <c r="DDE1880" s="94"/>
      <c r="DDF1880" s="94"/>
      <c r="DDG1880" s="94"/>
      <c r="DDH1880" s="94"/>
      <c r="DDI1880" s="94"/>
      <c r="DDJ1880" s="94"/>
      <c r="DDK1880" s="94"/>
      <c r="DDL1880" s="94"/>
      <c r="DDM1880" s="94"/>
      <c r="DDN1880" s="94"/>
      <c r="DDO1880" s="94"/>
      <c r="DDP1880" s="94"/>
      <c r="DDQ1880" s="94"/>
      <c r="DDR1880" s="94"/>
      <c r="DDS1880" s="94"/>
      <c r="DDT1880" s="94"/>
      <c r="DDU1880" s="94"/>
      <c r="DDV1880" s="94"/>
      <c r="DDW1880" s="94"/>
      <c r="DDX1880" s="94"/>
      <c r="DDY1880" s="94"/>
      <c r="DDZ1880" s="94"/>
      <c r="DEA1880" s="94"/>
      <c r="DEB1880" s="94"/>
      <c r="DEC1880" s="94"/>
      <c r="DED1880" s="94"/>
      <c r="DEE1880" s="94"/>
      <c r="DEF1880" s="94"/>
      <c r="DEG1880" s="94"/>
      <c r="DEH1880" s="94"/>
      <c r="DEI1880" s="94"/>
      <c r="DEJ1880" s="94"/>
      <c r="DEK1880" s="94"/>
      <c r="DEL1880" s="94"/>
      <c r="DEM1880" s="94"/>
      <c r="DEN1880" s="94"/>
      <c r="DEO1880" s="94"/>
      <c r="DEP1880" s="94"/>
      <c r="DEQ1880" s="94"/>
      <c r="DER1880" s="94"/>
      <c r="DES1880" s="94"/>
      <c r="DET1880" s="94"/>
      <c r="DEU1880" s="94"/>
      <c r="DEV1880" s="94"/>
      <c r="DEW1880" s="94"/>
      <c r="DEX1880" s="94"/>
      <c r="DEY1880" s="94"/>
      <c r="DEZ1880" s="94"/>
      <c r="DFA1880" s="94"/>
      <c r="DFB1880" s="94"/>
      <c r="DFC1880" s="94"/>
      <c r="DFD1880" s="94"/>
      <c r="DFE1880" s="94"/>
      <c r="DFF1880" s="94"/>
      <c r="DFG1880" s="94"/>
      <c r="DFH1880" s="94"/>
      <c r="DFI1880" s="94"/>
      <c r="DFJ1880" s="94"/>
      <c r="DFK1880" s="94"/>
      <c r="DFL1880" s="94"/>
      <c r="DFM1880" s="94"/>
      <c r="DFN1880" s="94"/>
      <c r="DFO1880" s="94"/>
      <c r="DFP1880" s="94"/>
      <c r="DFQ1880" s="94"/>
      <c r="DFR1880" s="94"/>
      <c r="DFS1880" s="94"/>
      <c r="DFT1880" s="94"/>
      <c r="DFU1880" s="94"/>
      <c r="DFV1880" s="94"/>
      <c r="DFW1880" s="94"/>
      <c r="DFX1880" s="94"/>
      <c r="DFY1880" s="94"/>
      <c r="DFZ1880" s="94"/>
      <c r="DGA1880" s="94"/>
      <c r="DGB1880" s="94"/>
      <c r="DGC1880" s="94"/>
      <c r="DGD1880" s="94"/>
      <c r="DGE1880" s="94"/>
      <c r="DGF1880" s="94"/>
      <c r="DGG1880" s="94"/>
      <c r="DGH1880" s="94"/>
      <c r="DGI1880" s="94"/>
      <c r="DGJ1880" s="94"/>
      <c r="DGK1880" s="94"/>
      <c r="DGL1880" s="94"/>
      <c r="DGM1880" s="94"/>
      <c r="DGN1880" s="94"/>
      <c r="DGO1880" s="94"/>
      <c r="DGP1880" s="94"/>
      <c r="DGQ1880" s="94"/>
      <c r="DGR1880" s="94"/>
      <c r="DGS1880" s="94"/>
      <c r="DGT1880" s="94"/>
      <c r="DGU1880" s="94"/>
      <c r="DGV1880" s="94"/>
      <c r="DGW1880" s="94"/>
      <c r="DGX1880" s="94"/>
      <c r="DGY1880" s="94"/>
      <c r="DGZ1880" s="94"/>
      <c r="DHA1880" s="94"/>
      <c r="DHB1880" s="94"/>
      <c r="DHC1880" s="94"/>
      <c r="DHD1880" s="94"/>
      <c r="DHE1880" s="94"/>
      <c r="DHF1880" s="94"/>
      <c r="DHG1880" s="94"/>
      <c r="DHH1880" s="94"/>
      <c r="DHI1880" s="94"/>
      <c r="DHJ1880" s="94"/>
      <c r="DHK1880" s="94"/>
      <c r="DHL1880" s="94"/>
      <c r="DHM1880" s="94"/>
      <c r="DHN1880" s="94"/>
      <c r="DHO1880" s="94"/>
      <c r="DHP1880" s="94"/>
      <c r="DHQ1880" s="94"/>
      <c r="DHR1880" s="94"/>
      <c r="DHS1880" s="94"/>
      <c r="DHT1880" s="94"/>
      <c r="DHU1880" s="94"/>
      <c r="DHV1880" s="94"/>
      <c r="DHW1880" s="94"/>
      <c r="DHX1880" s="94"/>
      <c r="DHY1880" s="94"/>
      <c r="DHZ1880" s="94"/>
      <c r="DIA1880" s="94"/>
      <c r="DIB1880" s="94"/>
      <c r="DIC1880" s="94"/>
      <c r="DID1880" s="94"/>
      <c r="DIE1880" s="94"/>
      <c r="DIF1880" s="94"/>
      <c r="DIG1880" s="94"/>
      <c r="DIH1880" s="94"/>
      <c r="DII1880" s="94"/>
      <c r="DIJ1880" s="94"/>
      <c r="DIK1880" s="94"/>
      <c r="DIL1880" s="94"/>
      <c r="DIM1880" s="94"/>
      <c r="DIN1880" s="94"/>
      <c r="DIO1880" s="94"/>
      <c r="DIP1880" s="94"/>
      <c r="DIQ1880" s="94"/>
      <c r="DIR1880" s="94"/>
      <c r="DIS1880" s="94"/>
      <c r="DIT1880" s="94"/>
      <c r="DIU1880" s="94"/>
      <c r="DIV1880" s="94"/>
      <c r="DIW1880" s="94"/>
      <c r="DIX1880" s="94"/>
      <c r="DIY1880" s="94"/>
      <c r="DIZ1880" s="94"/>
      <c r="DJA1880" s="94"/>
      <c r="DJB1880" s="94"/>
      <c r="DJC1880" s="94"/>
      <c r="DJD1880" s="94"/>
      <c r="DJE1880" s="94"/>
      <c r="DJF1880" s="94"/>
      <c r="DJG1880" s="94"/>
      <c r="DJH1880" s="94"/>
      <c r="DJI1880" s="94"/>
      <c r="DJJ1880" s="94"/>
      <c r="DJK1880" s="94"/>
      <c r="DJL1880" s="94"/>
      <c r="DJM1880" s="94"/>
      <c r="DJN1880" s="94"/>
      <c r="DJO1880" s="94"/>
      <c r="DJP1880" s="94"/>
      <c r="DJQ1880" s="94"/>
      <c r="DJR1880" s="94"/>
      <c r="DJS1880" s="94"/>
      <c r="DJT1880" s="94"/>
      <c r="DJU1880" s="94"/>
      <c r="DJV1880" s="94"/>
      <c r="DJW1880" s="94"/>
      <c r="DJX1880" s="94"/>
      <c r="DJY1880" s="94"/>
      <c r="DJZ1880" s="94"/>
      <c r="DKA1880" s="94"/>
      <c r="DKB1880" s="94"/>
      <c r="DKC1880" s="94"/>
      <c r="DKD1880" s="94"/>
      <c r="DKE1880" s="94"/>
      <c r="DKF1880" s="94"/>
      <c r="DKG1880" s="94"/>
      <c r="DKH1880" s="94"/>
      <c r="DKI1880" s="94"/>
      <c r="DKJ1880" s="94"/>
      <c r="DKK1880" s="94"/>
      <c r="DKL1880" s="94"/>
      <c r="DKM1880" s="94"/>
      <c r="DKN1880" s="94"/>
      <c r="DKO1880" s="94"/>
      <c r="DKP1880" s="94"/>
      <c r="DKQ1880" s="94"/>
      <c r="DKR1880" s="94"/>
      <c r="DKS1880" s="94"/>
      <c r="DKT1880" s="94"/>
      <c r="DKU1880" s="94"/>
      <c r="DKV1880" s="94"/>
      <c r="DKW1880" s="94"/>
      <c r="DKX1880" s="94"/>
      <c r="DKY1880" s="94"/>
      <c r="DKZ1880" s="94"/>
      <c r="DLA1880" s="94"/>
      <c r="DLB1880" s="94"/>
      <c r="DLC1880" s="94"/>
      <c r="DLD1880" s="94"/>
      <c r="DLE1880" s="94"/>
      <c r="DLF1880" s="94"/>
      <c r="DLG1880" s="94"/>
      <c r="DLH1880" s="94"/>
      <c r="DLI1880" s="94"/>
      <c r="DLJ1880" s="94"/>
      <c r="DLK1880" s="94"/>
      <c r="DLL1880" s="94"/>
      <c r="DLM1880" s="94"/>
      <c r="DLN1880" s="94"/>
      <c r="DLO1880" s="94"/>
      <c r="DLP1880" s="94"/>
      <c r="DLQ1880" s="94"/>
      <c r="DLR1880" s="94"/>
      <c r="DLS1880" s="94"/>
      <c r="DLT1880" s="94"/>
      <c r="DLU1880" s="94"/>
      <c r="DLV1880" s="94"/>
      <c r="DLW1880" s="94"/>
      <c r="DLX1880" s="94"/>
      <c r="DLY1880" s="94"/>
      <c r="DLZ1880" s="94"/>
      <c r="DMA1880" s="94"/>
      <c r="DMB1880" s="94"/>
      <c r="DMC1880" s="94"/>
      <c r="DMD1880" s="94"/>
      <c r="DME1880" s="94"/>
      <c r="DMF1880" s="94"/>
      <c r="DMG1880" s="94"/>
      <c r="DMH1880" s="94"/>
      <c r="DMI1880" s="94"/>
      <c r="DMJ1880" s="94"/>
      <c r="DMK1880" s="94"/>
      <c r="DML1880" s="94"/>
      <c r="DMM1880" s="94"/>
      <c r="DMN1880" s="94"/>
      <c r="DMO1880" s="94"/>
      <c r="DMP1880" s="94"/>
      <c r="DMQ1880" s="94"/>
      <c r="DMR1880" s="94"/>
      <c r="DMS1880" s="94"/>
      <c r="DMT1880" s="94"/>
      <c r="DMU1880" s="94"/>
      <c r="DMV1880" s="94"/>
      <c r="DMW1880" s="94"/>
      <c r="DMX1880" s="94"/>
      <c r="DMY1880" s="94"/>
      <c r="DMZ1880" s="94"/>
      <c r="DNA1880" s="94"/>
      <c r="DNB1880" s="94"/>
      <c r="DNC1880" s="94"/>
      <c r="DND1880" s="94"/>
      <c r="DNE1880" s="94"/>
      <c r="DNF1880" s="94"/>
      <c r="DNG1880" s="94"/>
      <c r="DNH1880" s="94"/>
      <c r="DNI1880" s="94"/>
      <c r="DNJ1880" s="94"/>
      <c r="DNK1880" s="94"/>
      <c r="DNL1880" s="94"/>
      <c r="DNM1880" s="94"/>
      <c r="DNN1880" s="94"/>
      <c r="DNO1880" s="94"/>
      <c r="DNP1880" s="94"/>
      <c r="DNQ1880" s="94"/>
      <c r="DNR1880" s="94"/>
      <c r="DNS1880" s="94"/>
      <c r="DNT1880" s="94"/>
      <c r="DNU1880" s="94"/>
      <c r="DNV1880" s="94"/>
      <c r="DNW1880" s="94"/>
      <c r="DNX1880" s="94"/>
      <c r="DNY1880" s="94"/>
      <c r="DNZ1880" s="94"/>
      <c r="DOA1880" s="94"/>
      <c r="DOB1880" s="94"/>
      <c r="DOC1880" s="94"/>
      <c r="DOD1880" s="94"/>
      <c r="DOE1880" s="94"/>
      <c r="DOF1880" s="94"/>
      <c r="DOG1880" s="94"/>
      <c r="DOH1880" s="94"/>
      <c r="DOI1880" s="94"/>
      <c r="DOJ1880" s="94"/>
      <c r="DOK1880" s="94"/>
      <c r="DOL1880" s="94"/>
      <c r="DOM1880" s="94"/>
      <c r="DON1880" s="94"/>
      <c r="DOO1880" s="94"/>
      <c r="DOP1880" s="94"/>
      <c r="DOQ1880" s="94"/>
      <c r="DOR1880" s="94"/>
      <c r="DOS1880" s="94"/>
      <c r="DOT1880" s="94"/>
      <c r="DOU1880" s="94"/>
      <c r="DOV1880" s="94"/>
      <c r="DOW1880" s="94"/>
      <c r="DOX1880" s="94"/>
      <c r="DOY1880" s="94"/>
      <c r="DOZ1880" s="94"/>
      <c r="DPA1880" s="94"/>
      <c r="DPB1880" s="94"/>
      <c r="DPC1880" s="94"/>
      <c r="DPD1880" s="94"/>
      <c r="DPE1880" s="94"/>
      <c r="DPF1880" s="94"/>
      <c r="DPG1880" s="94"/>
      <c r="DPH1880" s="94"/>
      <c r="DPI1880" s="94"/>
      <c r="DPJ1880" s="94"/>
      <c r="DPK1880" s="94"/>
      <c r="DPL1880" s="94"/>
      <c r="DPM1880" s="94"/>
      <c r="DPN1880" s="94"/>
      <c r="DPO1880" s="94"/>
      <c r="DPP1880" s="94"/>
      <c r="DPQ1880" s="94"/>
      <c r="DPR1880" s="94"/>
      <c r="DPS1880" s="94"/>
      <c r="DPT1880" s="94"/>
      <c r="DPU1880" s="94"/>
      <c r="DPV1880" s="94"/>
      <c r="DPW1880" s="94"/>
      <c r="DPX1880" s="94"/>
      <c r="DPY1880" s="94"/>
      <c r="DPZ1880" s="94"/>
      <c r="DQA1880" s="94"/>
      <c r="DQB1880" s="94"/>
      <c r="DQC1880" s="94"/>
      <c r="DQD1880" s="94"/>
      <c r="DQE1880" s="94"/>
      <c r="DQF1880" s="94"/>
      <c r="DQG1880" s="94"/>
      <c r="DQH1880" s="94"/>
      <c r="DQI1880" s="94"/>
      <c r="DQJ1880" s="94"/>
      <c r="DQK1880" s="94"/>
      <c r="DQL1880" s="94"/>
      <c r="DQM1880" s="94"/>
      <c r="DQN1880" s="94"/>
      <c r="DQO1880" s="94"/>
      <c r="DQP1880" s="94"/>
      <c r="DQQ1880" s="94"/>
      <c r="DQR1880" s="94"/>
      <c r="DQS1880" s="94"/>
      <c r="DQT1880" s="94"/>
      <c r="DQU1880" s="94"/>
      <c r="DQV1880" s="94"/>
      <c r="DQW1880" s="94"/>
      <c r="DQX1880" s="94"/>
      <c r="DQY1880" s="94"/>
      <c r="DQZ1880" s="94"/>
      <c r="DRA1880" s="94"/>
      <c r="DRB1880" s="94"/>
      <c r="DRC1880" s="94"/>
      <c r="DRD1880" s="94"/>
      <c r="DRE1880" s="94"/>
      <c r="DRF1880" s="94"/>
      <c r="DRG1880" s="94"/>
      <c r="DRH1880" s="94"/>
      <c r="DRI1880" s="94"/>
      <c r="DRJ1880" s="94"/>
      <c r="DRK1880" s="94"/>
      <c r="DRL1880" s="94"/>
      <c r="DRM1880" s="94"/>
      <c r="DRN1880" s="94"/>
      <c r="DRO1880" s="94"/>
      <c r="DRP1880" s="94"/>
      <c r="DRQ1880" s="94"/>
      <c r="DRR1880" s="94"/>
      <c r="DRS1880" s="94"/>
      <c r="DRT1880" s="94"/>
      <c r="DRU1880" s="94"/>
      <c r="DRV1880" s="94"/>
      <c r="DRW1880" s="94"/>
      <c r="DRX1880" s="94"/>
      <c r="DRY1880" s="94"/>
      <c r="DRZ1880" s="94"/>
      <c r="DSA1880" s="94"/>
      <c r="DSB1880" s="94"/>
      <c r="DSC1880" s="94"/>
      <c r="DSD1880" s="94"/>
      <c r="DSE1880" s="94"/>
      <c r="DSF1880" s="94"/>
      <c r="DSG1880" s="94"/>
      <c r="DSH1880" s="94"/>
      <c r="DSI1880" s="94"/>
      <c r="DSJ1880" s="94"/>
      <c r="DSK1880" s="94"/>
      <c r="DSL1880" s="94"/>
      <c r="DSM1880" s="94"/>
      <c r="DSN1880" s="94"/>
      <c r="DSO1880" s="94"/>
      <c r="DSP1880" s="94"/>
      <c r="DSQ1880" s="94"/>
      <c r="DSR1880" s="94"/>
      <c r="DSS1880" s="94"/>
      <c r="DST1880" s="94"/>
      <c r="DSU1880" s="94"/>
      <c r="DSV1880" s="94"/>
      <c r="DSW1880" s="94"/>
      <c r="DSX1880" s="94"/>
      <c r="DSY1880" s="94"/>
      <c r="DSZ1880" s="94"/>
      <c r="DTA1880" s="94"/>
      <c r="DTB1880" s="94"/>
      <c r="DTC1880" s="94"/>
      <c r="DTD1880" s="94"/>
      <c r="DTE1880" s="94"/>
      <c r="DTF1880" s="94"/>
      <c r="DTG1880" s="94"/>
      <c r="DTH1880" s="94"/>
      <c r="DTI1880" s="94"/>
      <c r="DTJ1880" s="94"/>
      <c r="DTK1880" s="94"/>
      <c r="DTL1880" s="94"/>
      <c r="DTM1880" s="94"/>
      <c r="DTN1880" s="94"/>
      <c r="DTO1880" s="94"/>
      <c r="DTP1880" s="94"/>
      <c r="DTQ1880" s="94"/>
      <c r="DTR1880" s="94"/>
      <c r="DTS1880" s="94"/>
      <c r="DTT1880" s="94"/>
      <c r="DTU1880" s="94"/>
      <c r="DTV1880" s="94"/>
      <c r="DTW1880" s="94"/>
      <c r="DTX1880" s="94"/>
      <c r="DTY1880" s="94"/>
      <c r="DTZ1880" s="94"/>
      <c r="DUA1880" s="94"/>
      <c r="DUB1880" s="94"/>
      <c r="DUC1880" s="94"/>
      <c r="DUD1880" s="94"/>
      <c r="DUE1880" s="94"/>
      <c r="DUF1880" s="94"/>
      <c r="DUG1880" s="94"/>
      <c r="DUH1880" s="94"/>
      <c r="DUI1880" s="94"/>
      <c r="DUJ1880" s="94"/>
      <c r="DUK1880" s="94"/>
      <c r="DUL1880" s="94"/>
      <c r="DUM1880" s="94"/>
      <c r="DUN1880" s="94"/>
      <c r="DUO1880" s="94"/>
      <c r="DUP1880" s="94"/>
      <c r="DUQ1880" s="94"/>
      <c r="DUR1880" s="94"/>
      <c r="DUS1880" s="94"/>
      <c r="DUT1880" s="94"/>
      <c r="DUU1880" s="94"/>
      <c r="DUV1880" s="94"/>
      <c r="DUW1880" s="94"/>
      <c r="DUX1880" s="94"/>
      <c r="DUY1880" s="94"/>
      <c r="DUZ1880" s="94"/>
      <c r="DVA1880" s="94"/>
      <c r="DVB1880" s="94"/>
      <c r="DVC1880" s="94"/>
      <c r="DVD1880" s="94"/>
      <c r="DVE1880" s="94"/>
      <c r="DVF1880" s="94"/>
      <c r="DVG1880" s="94"/>
      <c r="DVH1880" s="94"/>
      <c r="DVI1880" s="94"/>
      <c r="DVJ1880" s="94"/>
      <c r="DVK1880" s="94"/>
      <c r="DVL1880" s="94"/>
      <c r="DVM1880" s="94"/>
      <c r="DVN1880" s="94"/>
      <c r="DVO1880" s="94"/>
      <c r="DVP1880" s="94"/>
      <c r="DVQ1880" s="94"/>
      <c r="DVR1880" s="94"/>
      <c r="DVS1880" s="94"/>
      <c r="DVT1880" s="94"/>
      <c r="DVU1880" s="94"/>
      <c r="DVV1880" s="94"/>
      <c r="DVW1880" s="94"/>
      <c r="DVX1880" s="94"/>
      <c r="DVY1880" s="94"/>
      <c r="DVZ1880" s="94"/>
      <c r="DWA1880" s="94"/>
      <c r="DWB1880" s="94"/>
      <c r="DWC1880" s="94"/>
      <c r="DWD1880" s="94"/>
      <c r="DWE1880" s="94"/>
      <c r="DWF1880" s="94"/>
      <c r="DWG1880" s="94"/>
      <c r="DWH1880" s="94"/>
      <c r="DWI1880" s="94"/>
      <c r="DWJ1880" s="94"/>
      <c r="DWK1880" s="94"/>
      <c r="DWL1880" s="94"/>
      <c r="DWM1880" s="94"/>
      <c r="DWN1880" s="94"/>
      <c r="DWO1880" s="94"/>
      <c r="DWP1880" s="94"/>
      <c r="DWQ1880" s="94"/>
      <c r="DWR1880" s="94"/>
      <c r="DWS1880" s="94"/>
      <c r="DWT1880" s="94"/>
      <c r="DWU1880" s="94"/>
      <c r="DWV1880" s="94"/>
      <c r="DWW1880" s="94"/>
      <c r="DWX1880" s="94"/>
      <c r="DWY1880" s="94"/>
      <c r="DWZ1880" s="94"/>
      <c r="DXA1880" s="94"/>
      <c r="DXB1880" s="94"/>
      <c r="DXC1880" s="94"/>
      <c r="DXD1880" s="94"/>
      <c r="DXE1880" s="94"/>
      <c r="DXF1880" s="94"/>
      <c r="DXG1880" s="94"/>
      <c r="DXH1880" s="94"/>
      <c r="DXI1880" s="94"/>
      <c r="DXJ1880" s="94"/>
      <c r="DXK1880" s="94"/>
      <c r="DXL1880" s="94"/>
      <c r="DXM1880" s="94"/>
      <c r="DXN1880" s="94"/>
      <c r="DXO1880" s="94"/>
      <c r="DXP1880" s="94"/>
      <c r="DXQ1880" s="94"/>
      <c r="DXR1880" s="94"/>
      <c r="DXS1880" s="94"/>
      <c r="DXT1880" s="94"/>
      <c r="DXU1880" s="94"/>
      <c r="DXV1880" s="94"/>
      <c r="DXW1880" s="94"/>
      <c r="DXX1880" s="94"/>
      <c r="DXY1880" s="94"/>
      <c r="DXZ1880" s="94"/>
      <c r="DYA1880" s="94"/>
      <c r="DYB1880" s="94"/>
      <c r="DYC1880" s="94"/>
      <c r="DYD1880" s="94"/>
      <c r="DYE1880" s="94"/>
      <c r="DYF1880" s="94"/>
      <c r="DYG1880" s="94"/>
      <c r="DYH1880" s="94"/>
      <c r="DYI1880" s="94"/>
      <c r="DYJ1880" s="94"/>
      <c r="DYK1880" s="94"/>
      <c r="DYL1880" s="94"/>
      <c r="DYM1880" s="94"/>
      <c r="DYN1880" s="94"/>
      <c r="DYO1880" s="94"/>
      <c r="DYP1880" s="94"/>
      <c r="DYQ1880" s="94"/>
      <c r="DYR1880" s="94"/>
      <c r="DYS1880" s="94"/>
      <c r="DYT1880" s="94"/>
      <c r="DYU1880" s="94"/>
      <c r="DYV1880" s="94"/>
      <c r="DYW1880" s="94"/>
      <c r="DYX1880" s="94"/>
      <c r="DYY1880" s="94"/>
      <c r="DYZ1880" s="94"/>
      <c r="DZA1880" s="94"/>
      <c r="DZB1880" s="94"/>
      <c r="DZC1880" s="94"/>
      <c r="DZD1880" s="94"/>
      <c r="DZE1880" s="94"/>
      <c r="DZF1880" s="94"/>
      <c r="DZG1880" s="94"/>
      <c r="DZH1880" s="94"/>
      <c r="DZI1880" s="94"/>
      <c r="DZJ1880" s="94"/>
      <c r="DZK1880" s="94"/>
      <c r="DZL1880" s="94"/>
      <c r="DZM1880" s="94"/>
      <c r="DZN1880" s="94"/>
      <c r="DZO1880" s="94"/>
      <c r="DZP1880" s="94"/>
      <c r="DZQ1880" s="94"/>
      <c r="DZR1880" s="94"/>
      <c r="DZS1880" s="94"/>
      <c r="DZT1880" s="94"/>
      <c r="DZU1880" s="94"/>
      <c r="DZV1880" s="94"/>
      <c r="DZW1880" s="94"/>
      <c r="DZX1880" s="94"/>
      <c r="DZY1880" s="94"/>
      <c r="DZZ1880" s="94"/>
      <c r="EAA1880" s="94"/>
      <c r="EAB1880" s="94"/>
      <c r="EAC1880" s="94"/>
      <c r="EAD1880" s="94"/>
      <c r="EAE1880" s="94"/>
      <c r="EAF1880" s="94"/>
      <c r="EAG1880" s="94"/>
      <c r="EAH1880" s="94"/>
      <c r="EAI1880" s="94"/>
      <c r="EAJ1880" s="94"/>
      <c r="EAK1880" s="94"/>
      <c r="EAL1880" s="94"/>
      <c r="EAM1880" s="94"/>
      <c r="EAN1880" s="94"/>
      <c r="EAO1880" s="94"/>
      <c r="EAP1880" s="94"/>
      <c r="EAQ1880" s="94"/>
      <c r="EAR1880" s="94"/>
      <c r="EAS1880" s="94"/>
      <c r="EAT1880" s="94"/>
      <c r="EAU1880" s="94"/>
      <c r="EAV1880" s="94"/>
      <c r="EAW1880" s="94"/>
      <c r="EAX1880" s="94"/>
      <c r="EAY1880" s="94"/>
      <c r="EAZ1880" s="94"/>
      <c r="EBA1880" s="94"/>
      <c r="EBB1880" s="94"/>
      <c r="EBC1880" s="94"/>
      <c r="EBD1880" s="94"/>
      <c r="EBE1880" s="94"/>
      <c r="EBF1880" s="94"/>
      <c r="EBG1880" s="94"/>
      <c r="EBH1880" s="94"/>
      <c r="EBI1880" s="94"/>
      <c r="EBJ1880" s="94"/>
      <c r="EBK1880" s="94"/>
      <c r="EBL1880" s="94"/>
      <c r="EBM1880" s="94"/>
      <c r="EBN1880" s="94"/>
      <c r="EBO1880" s="94"/>
      <c r="EBP1880" s="94"/>
      <c r="EBQ1880" s="94"/>
      <c r="EBR1880" s="94"/>
      <c r="EBS1880" s="94"/>
      <c r="EBT1880" s="94"/>
      <c r="EBU1880" s="94"/>
      <c r="EBV1880" s="94"/>
      <c r="EBW1880" s="94"/>
      <c r="EBX1880" s="94"/>
      <c r="EBY1880" s="94"/>
      <c r="EBZ1880" s="94"/>
      <c r="ECA1880" s="94"/>
      <c r="ECB1880" s="94"/>
      <c r="ECC1880" s="94"/>
      <c r="ECD1880" s="94"/>
      <c r="ECE1880" s="94"/>
      <c r="ECF1880" s="94"/>
      <c r="ECG1880" s="94"/>
      <c r="ECH1880" s="94"/>
      <c r="ECI1880" s="94"/>
      <c r="ECJ1880" s="94"/>
      <c r="ECK1880" s="94"/>
      <c r="ECL1880" s="94"/>
      <c r="ECM1880" s="94"/>
      <c r="ECN1880" s="94"/>
      <c r="ECO1880" s="94"/>
      <c r="ECP1880" s="94"/>
      <c r="ECQ1880" s="94"/>
      <c r="ECR1880" s="94"/>
      <c r="ECS1880" s="94"/>
      <c r="ECT1880" s="94"/>
      <c r="ECU1880" s="94"/>
      <c r="ECV1880" s="94"/>
      <c r="ECW1880" s="94"/>
      <c r="ECX1880" s="94"/>
      <c r="ECY1880" s="94"/>
      <c r="ECZ1880" s="94"/>
      <c r="EDA1880" s="94"/>
      <c r="EDB1880" s="94"/>
      <c r="EDC1880" s="94"/>
      <c r="EDD1880" s="94"/>
      <c r="EDE1880" s="94"/>
      <c r="EDF1880" s="94"/>
      <c r="EDG1880" s="94"/>
      <c r="EDH1880" s="94"/>
      <c r="EDI1880" s="94"/>
      <c r="EDJ1880" s="94"/>
      <c r="EDK1880" s="94"/>
      <c r="EDL1880" s="94"/>
      <c r="EDM1880" s="94"/>
      <c r="EDN1880" s="94"/>
      <c r="EDO1880" s="94"/>
      <c r="EDP1880" s="94"/>
      <c r="EDQ1880" s="94"/>
      <c r="EDR1880" s="94"/>
      <c r="EDS1880" s="94"/>
      <c r="EDT1880" s="94"/>
      <c r="EDU1880" s="94"/>
      <c r="EDV1880" s="94"/>
      <c r="EDW1880" s="94"/>
      <c r="EDX1880" s="94"/>
      <c r="EDY1880" s="94"/>
      <c r="EDZ1880" s="94"/>
      <c r="EEA1880" s="94"/>
      <c r="EEB1880" s="94"/>
      <c r="EEC1880" s="94"/>
      <c r="EED1880" s="94"/>
      <c r="EEE1880" s="94"/>
      <c r="EEF1880" s="94"/>
      <c r="EEG1880" s="94"/>
      <c r="EEH1880" s="94"/>
      <c r="EEI1880" s="94"/>
      <c r="EEJ1880" s="94"/>
      <c r="EEK1880" s="94"/>
      <c r="EEL1880" s="94"/>
      <c r="EEM1880" s="94"/>
      <c r="EEN1880" s="94"/>
      <c r="EEO1880" s="94"/>
      <c r="EEP1880" s="94"/>
      <c r="EEQ1880" s="94"/>
      <c r="EER1880" s="94"/>
      <c r="EES1880" s="94"/>
      <c r="EET1880" s="94"/>
      <c r="EEU1880" s="94"/>
      <c r="EEV1880" s="94"/>
      <c r="EEW1880" s="94"/>
      <c r="EEX1880" s="94"/>
      <c r="EEY1880" s="94"/>
      <c r="EEZ1880" s="94"/>
      <c r="EFA1880" s="94"/>
      <c r="EFB1880" s="94"/>
      <c r="EFC1880" s="94"/>
      <c r="EFD1880" s="94"/>
      <c r="EFE1880" s="94"/>
      <c r="EFF1880" s="94"/>
      <c r="EFG1880" s="94"/>
      <c r="EFH1880" s="94"/>
      <c r="EFI1880" s="94"/>
      <c r="EFJ1880" s="94"/>
      <c r="EFK1880" s="94"/>
      <c r="EFL1880" s="94"/>
      <c r="EFM1880" s="94"/>
      <c r="EFN1880" s="94"/>
      <c r="EFO1880" s="94"/>
      <c r="EFP1880" s="94"/>
      <c r="EFQ1880" s="94"/>
      <c r="EFR1880" s="94"/>
      <c r="EFS1880" s="94"/>
      <c r="EFT1880" s="94"/>
      <c r="EFU1880" s="94"/>
      <c r="EFV1880" s="94"/>
      <c r="EFW1880" s="94"/>
      <c r="EFX1880" s="94"/>
      <c r="EFY1880" s="94"/>
      <c r="EFZ1880" s="94"/>
      <c r="EGA1880" s="94"/>
      <c r="EGB1880" s="94"/>
      <c r="EGC1880" s="94"/>
      <c r="EGD1880" s="94"/>
      <c r="EGE1880" s="94"/>
      <c r="EGF1880" s="94"/>
      <c r="EGG1880" s="94"/>
      <c r="EGH1880" s="94"/>
      <c r="EGI1880" s="94"/>
      <c r="EGJ1880" s="94"/>
      <c r="EGK1880" s="94"/>
      <c r="EGL1880" s="94"/>
      <c r="EGM1880" s="94"/>
      <c r="EGN1880" s="94"/>
      <c r="EGO1880" s="94"/>
      <c r="EGP1880" s="94"/>
      <c r="EGQ1880" s="94"/>
      <c r="EGR1880" s="94"/>
      <c r="EGS1880" s="94"/>
      <c r="EGT1880" s="94"/>
      <c r="EGU1880" s="94"/>
      <c r="EGV1880" s="94"/>
      <c r="EGW1880" s="94"/>
      <c r="EGX1880" s="94"/>
      <c r="EGY1880" s="94"/>
      <c r="EGZ1880" s="94"/>
      <c r="EHA1880" s="94"/>
      <c r="EHB1880" s="94"/>
      <c r="EHC1880" s="94"/>
      <c r="EHD1880" s="94"/>
      <c r="EHE1880" s="94"/>
      <c r="EHF1880" s="94"/>
      <c r="EHG1880" s="94"/>
      <c r="EHH1880" s="94"/>
      <c r="EHI1880" s="94"/>
      <c r="EHJ1880" s="94"/>
      <c r="EHK1880" s="94"/>
      <c r="EHL1880" s="94"/>
      <c r="EHM1880" s="94"/>
      <c r="EHN1880" s="94"/>
      <c r="EHO1880" s="94"/>
      <c r="EHP1880" s="94"/>
      <c r="EHQ1880" s="94"/>
      <c r="EHR1880" s="94"/>
      <c r="EHS1880" s="94"/>
      <c r="EHT1880" s="94"/>
      <c r="EHU1880" s="94"/>
      <c r="EHV1880" s="94"/>
      <c r="EHW1880" s="94"/>
      <c r="EHX1880" s="94"/>
      <c r="EHY1880" s="94"/>
      <c r="EHZ1880" s="94"/>
      <c r="EIA1880" s="94"/>
      <c r="EIB1880" s="94"/>
      <c r="EIC1880" s="94"/>
      <c r="EID1880" s="94"/>
      <c r="EIE1880" s="94"/>
      <c r="EIF1880" s="94"/>
      <c r="EIG1880" s="94"/>
      <c r="EIH1880" s="94"/>
      <c r="EII1880" s="94"/>
      <c r="EIJ1880" s="94"/>
      <c r="EIK1880" s="94"/>
      <c r="EIL1880" s="94"/>
      <c r="EIM1880" s="94"/>
      <c r="EIN1880" s="94"/>
      <c r="EIO1880" s="94"/>
      <c r="EIP1880" s="94"/>
      <c r="EIQ1880" s="94"/>
      <c r="EIR1880" s="94"/>
      <c r="EIS1880" s="94"/>
      <c r="EIT1880" s="94"/>
      <c r="EIU1880" s="94"/>
      <c r="EIV1880" s="94"/>
      <c r="EIW1880" s="94"/>
      <c r="EIX1880" s="94"/>
      <c r="EIY1880" s="94"/>
      <c r="EIZ1880" s="94"/>
      <c r="EJA1880" s="94"/>
      <c r="EJB1880" s="94"/>
      <c r="EJC1880" s="94"/>
      <c r="EJD1880" s="94"/>
      <c r="EJE1880" s="94"/>
      <c r="EJF1880" s="94"/>
      <c r="EJG1880" s="94"/>
      <c r="EJH1880" s="94"/>
      <c r="EJI1880" s="94"/>
      <c r="EJJ1880" s="94"/>
      <c r="EJK1880" s="94"/>
      <c r="EJL1880" s="94"/>
      <c r="EJM1880" s="94"/>
      <c r="EJN1880" s="94"/>
      <c r="EJO1880" s="94"/>
      <c r="EJP1880" s="94"/>
      <c r="EJQ1880" s="94"/>
      <c r="EJR1880" s="94"/>
      <c r="EJS1880" s="94"/>
      <c r="EJT1880" s="94"/>
      <c r="EJU1880" s="94"/>
      <c r="EJV1880" s="94"/>
      <c r="EJW1880" s="94"/>
      <c r="EJX1880" s="94"/>
      <c r="EJY1880" s="94"/>
      <c r="EJZ1880" s="94"/>
      <c r="EKA1880" s="94"/>
      <c r="EKB1880" s="94"/>
      <c r="EKC1880" s="94"/>
      <c r="EKD1880" s="94"/>
      <c r="EKE1880" s="94"/>
      <c r="EKF1880" s="94"/>
      <c r="EKG1880" s="94"/>
      <c r="EKH1880" s="94"/>
      <c r="EKI1880" s="94"/>
      <c r="EKJ1880" s="94"/>
      <c r="EKK1880" s="94"/>
      <c r="EKL1880" s="94"/>
      <c r="EKM1880" s="94"/>
      <c r="EKN1880" s="94"/>
      <c r="EKO1880" s="94"/>
      <c r="EKP1880" s="94"/>
      <c r="EKQ1880" s="94"/>
      <c r="EKR1880" s="94"/>
      <c r="EKS1880" s="94"/>
      <c r="EKT1880" s="94"/>
      <c r="EKU1880" s="94"/>
      <c r="EKV1880" s="94"/>
      <c r="EKW1880" s="94"/>
      <c r="EKX1880" s="94"/>
      <c r="EKY1880" s="94"/>
      <c r="EKZ1880" s="94"/>
      <c r="ELA1880" s="94"/>
      <c r="ELB1880" s="94"/>
      <c r="ELC1880" s="94"/>
      <c r="ELD1880" s="94"/>
      <c r="ELE1880" s="94"/>
      <c r="ELF1880" s="94"/>
      <c r="ELG1880" s="94"/>
      <c r="ELH1880" s="94"/>
      <c r="ELI1880" s="94"/>
      <c r="ELJ1880" s="94"/>
      <c r="ELK1880" s="94"/>
      <c r="ELL1880" s="94"/>
      <c r="ELM1880" s="94"/>
      <c r="ELN1880" s="94"/>
      <c r="ELO1880" s="94"/>
      <c r="ELP1880" s="94"/>
      <c r="ELQ1880" s="94"/>
      <c r="ELR1880" s="94"/>
      <c r="ELS1880" s="94"/>
      <c r="ELT1880" s="94"/>
      <c r="ELU1880" s="94"/>
      <c r="ELV1880" s="94"/>
      <c r="ELW1880" s="94"/>
      <c r="ELX1880" s="94"/>
      <c r="ELY1880" s="94"/>
      <c r="ELZ1880" s="94"/>
      <c r="EMA1880" s="94"/>
      <c r="EMB1880" s="94"/>
      <c r="EMC1880" s="94"/>
      <c r="EMD1880" s="94"/>
      <c r="EME1880" s="94"/>
      <c r="EMF1880" s="94"/>
      <c r="EMG1880" s="94"/>
      <c r="EMH1880" s="94"/>
      <c r="EMI1880" s="94"/>
      <c r="EMJ1880" s="94"/>
      <c r="EMK1880" s="94"/>
      <c r="EML1880" s="94"/>
      <c r="EMM1880" s="94"/>
      <c r="EMN1880" s="94"/>
      <c r="EMO1880" s="94"/>
      <c r="EMP1880" s="94"/>
      <c r="EMQ1880" s="94"/>
      <c r="EMR1880" s="94"/>
      <c r="EMS1880" s="94"/>
      <c r="EMT1880" s="94"/>
      <c r="EMU1880" s="94"/>
      <c r="EMV1880" s="94"/>
      <c r="EMW1880" s="94"/>
      <c r="EMX1880" s="94"/>
      <c r="EMY1880" s="94"/>
      <c r="EMZ1880" s="94"/>
      <c r="ENA1880" s="94"/>
      <c r="ENB1880" s="94"/>
      <c r="ENC1880" s="94"/>
      <c r="END1880" s="94"/>
      <c r="ENE1880" s="94"/>
      <c r="ENF1880" s="94"/>
      <c r="ENG1880" s="94"/>
      <c r="ENH1880" s="94"/>
      <c r="ENI1880" s="94"/>
      <c r="ENJ1880" s="94"/>
      <c r="ENK1880" s="94"/>
      <c r="ENL1880" s="94"/>
      <c r="ENM1880" s="94"/>
      <c r="ENN1880" s="94"/>
      <c r="ENO1880" s="94"/>
      <c r="ENP1880" s="94"/>
      <c r="ENQ1880" s="94"/>
      <c r="ENR1880" s="94"/>
      <c r="ENS1880" s="94"/>
      <c r="ENT1880" s="94"/>
      <c r="ENU1880" s="94"/>
      <c r="ENV1880" s="94"/>
      <c r="ENW1880" s="94"/>
      <c r="ENX1880" s="94"/>
      <c r="ENY1880" s="94"/>
      <c r="ENZ1880" s="94"/>
      <c r="EOA1880" s="94"/>
      <c r="EOB1880" s="94"/>
      <c r="EOC1880" s="94"/>
      <c r="EOD1880" s="94"/>
      <c r="EOE1880" s="94"/>
      <c r="EOF1880" s="94"/>
      <c r="EOG1880" s="94"/>
      <c r="EOH1880" s="94"/>
      <c r="EOI1880" s="94"/>
      <c r="EOJ1880" s="94"/>
      <c r="EOK1880" s="94"/>
      <c r="EOL1880" s="94"/>
      <c r="EOM1880" s="94"/>
      <c r="EON1880" s="94"/>
      <c r="EOO1880" s="94"/>
      <c r="EOP1880" s="94"/>
      <c r="EOQ1880" s="94"/>
      <c r="EOR1880" s="94"/>
      <c r="EOS1880" s="94"/>
      <c r="EOT1880" s="94"/>
      <c r="EOU1880" s="94"/>
      <c r="EOV1880" s="94"/>
      <c r="EOW1880" s="94"/>
      <c r="EOX1880" s="94"/>
      <c r="EOY1880" s="94"/>
      <c r="EOZ1880" s="94"/>
      <c r="EPA1880" s="94"/>
      <c r="EPB1880" s="94"/>
      <c r="EPC1880" s="94"/>
      <c r="EPD1880" s="94"/>
      <c r="EPE1880" s="94"/>
      <c r="EPF1880" s="94"/>
      <c r="EPG1880" s="94"/>
      <c r="EPH1880" s="94"/>
      <c r="EPI1880" s="94"/>
      <c r="EPJ1880" s="94"/>
      <c r="EPK1880" s="94"/>
      <c r="EPL1880" s="94"/>
      <c r="EPM1880" s="94"/>
      <c r="EPN1880" s="94"/>
      <c r="EPO1880" s="94"/>
      <c r="EPP1880" s="94"/>
      <c r="EPQ1880" s="94"/>
      <c r="EPR1880" s="94"/>
      <c r="EPS1880" s="94"/>
      <c r="EPT1880" s="94"/>
      <c r="EPU1880" s="94"/>
      <c r="EPV1880" s="94"/>
      <c r="EPW1880" s="94"/>
      <c r="EPX1880" s="94"/>
      <c r="EPY1880" s="94"/>
      <c r="EPZ1880" s="94"/>
      <c r="EQA1880" s="94"/>
      <c r="EQB1880" s="94"/>
      <c r="EQC1880" s="94"/>
      <c r="EQD1880" s="94"/>
      <c r="EQE1880" s="94"/>
      <c r="EQF1880" s="94"/>
      <c r="EQG1880" s="94"/>
      <c r="EQH1880" s="94"/>
      <c r="EQI1880" s="94"/>
      <c r="EQJ1880" s="94"/>
      <c r="EQK1880" s="94"/>
      <c r="EQL1880" s="94"/>
      <c r="EQM1880" s="94"/>
      <c r="EQN1880" s="94"/>
      <c r="EQO1880" s="94"/>
      <c r="EQP1880" s="94"/>
      <c r="EQQ1880" s="94"/>
      <c r="EQR1880" s="94"/>
      <c r="EQS1880" s="94"/>
      <c r="EQT1880" s="94"/>
      <c r="EQU1880" s="94"/>
      <c r="EQV1880" s="94"/>
      <c r="EQW1880" s="94"/>
      <c r="EQX1880" s="94"/>
      <c r="EQY1880" s="94"/>
      <c r="EQZ1880" s="94"/>
      <c r="ERA1880" s="94"/>
      <c r="ERB1880" s="94"/>
      <c r="ERC1880" s="94"/>
      <c r="ERD1880" s="94"/>
      <c r="ERE1880" s="94"/>
      <c r="ERF1880" s="94"/>
      <c r="ERG1880" s="94"/>
      <c r="ERH1880" s="94"/>
      <c r="ERI1880" s="94"/>
      <c r="ERJ1880" s="94"/>
      <c r="ERK1880" s="94"/>
      <c r="ERL1880" s="94"/>
      <c r="ERM1880" s="94"/>
      <c r="ERN1880" s="94"/>
      <c r="ERO1880" s="94"/>
      <c r="ERP1880" s="94"/>
      <c r="ERQ1880" s="94"/>
      <c r="ERR1880" s="94"/>
      <c r="ERS1880" s="94"/>
      <c r="ERT1880" s="94"/>
      <c r="ERU1880" s="94"/>
      <c r="ERV1880" s="94"/>
      <c r="ERW1880" s="94"/>
      <c r="ERX1880" s="94"/>
      <c r="ERY1880" s="94"/>
      <c r="ERZ1880" s="94"/>
      <c r="ESA1880" s="94"/>
      <c r="ESB1880" s="94"/>
      <c r="ESC1880" s="94"/>
      <c r="ESD1880" s="94"/>
      <c r="ESE1880" s="94"/>
      <c r="ESF1880" s="94"/>
      <c r="ESG1880" s="94"/>
      <c r="ESH1880" s="94"/>
      <c r="ESI1880" s="94"/>
      <c r="ESJ1880" s="94"/>
      <c r="ESK1880" s="94"/>
      <c r="ESL1880" s="94"/>
      <c r="ESM1880" s="94"/>
      <c r="ESN1880" s="94"/>
      <c r="ESO1880" s="94"/>
      <c r="ESP1880" s="94"/>
      <c r="ESQ1880" s="94"/>
      <c r="ESR1880" s="94"/>
      <c r="ESS1880" s="94"/>
      <c r="EST1880" s="94"/>
      <c r="ESU1880" s="94"/>
      <c r="ESV1880" s="94"/>
      <c r="ESW1880" s="94"/>
      <c r="ESX1880" s="94"/>
      <c r="ESY1880" s="94"/>
      <c r="ESZ1880" s="94"/>
      <c r="ETA1880" s="94"/>
      <c r="ETB1880" s="94"/>
      <c r="ETC1880" s="94"/>
      <c r="ETD1880" s="94"/>
      <c r="ETE1880" s="94"/>
      <c r="ETF1880" s="94"/>
      <c r="ETG1880" s="94"/>
      <c r="ETH1880" s="94"/>
      <c r="ETI1880" s="94"/>
      <c r="ETJ1880" s="94"/>
      <c r="ETK1880" s="94"/>
      <c r="ETL1880" s="94"/>
      <c r="ETM1880" s="94"/>
      <c r="ETN1880" s="94"/>
      <c r="ETO1880" s="94"/>
      <c r="ETP1880" s="94"/>
      <c r="ETQ1880" s="94"/>
      <c r="ETR1880" s="94"/>
      <c r="ETS1880" s="94"/>
      <c r="ETT1880" s="94"/>
      <c r="ETU1880" s="94"/>
      <c r="ETV1880" s="94"/>
      <c r="ETW1880" s="94"/>
      <c r="ETX1880" s="94"/>
      <c r="ETY1880" s="94"/>
      <c r="ETZ1880" s="94"/>
      <c r="EUA1880" s="94"/>
      <c r="EUB1880" s="94"/>
      <c r="EUC1880" s="94"/>
      <c r="EUD1880" s="94"/>
      <c r="EUE1880" s="94"/>
      <c r="EUF1880" s="94"/>
      <c r="EUG1880" s="94"/>
      <c r="EUH1880" s="94"/>
      <c r="EUI1880" s="94"/>
      <c r="EUJ1880" s="94"/>
      <c r="EUK1880" s="94"/>
      <c r="EUL1880" s="94"/>
      <c r="EUM1880" s="94"/>
      <c r="EUN1880" s="94"/>
      <c r="EUO1880" s="94"/>
      <c r="EUP1880" s="94"/>
      <c r="EUQ1880" s="94"/>
      <c r="EUR1880" s="94"/>
      <c r="EUS1880" s="94"/>
      <c r="EUT1880" s="94"/>
      <c r="EUU1880" s="94"/>
      <c r="EUV1880" s="94"/>
      <c r="EUW1880" s="94"/>
      <c r="EUX1880" s="94"/>
      <c r="EUY1880" s="94"/>
      <c r="EUZ1880" s="94"/>
      <c r="EVA1880" s="94"/>
      <c r="EVB1880" s="94"/>
      <c r="EVC1880" s="94"/>
      <c r="EVD1880" s="94"/>
      <c r="EVE1880" s="94"/>
      <c r="EVF1880" s="94"/>
      <c r="EVG1880" s="94"/>
      <c r="EVH1880" s="94"/>
      <c r="EVI1880" s="94"/>
      <c r="EVJ1880" s="94"/>
      <c r="EVK1880" s="94"/>
      <c r="EVL1880" s="94"/>
      <c r="EVM1880" s="94"/>
      <c r="EVN1880" s="94"/>
      <c r="EVO1880" s="94"/>
      <c r="EVP1880" s="94"/>
      <c r="EVQ1880" s="94"/>
      <c r="EVR1880" s="94"/>
      <c r="EVS1880" s="94"/>
      <c r="EVT1880" s="94"/>
      <c r="EVU1880" s="94"/>
      <c r="EVV1880" s="94"/>
      <c r="EVW1880" s="94"/>
      <c r="EVX1880" s="94"/>
      <c r="EVY1880" s="94"/>
      <c r="EVZ1880" s="94"/>
      <c r="EWA1880" s="94"/>
      <c r="EWB1880" s="94"/>
      <c r="EWC1880" s="94"/>
      <c r="EWD1880" s="94"/>
      <c r="EWE1880" s="94"/>
      <c r="EWF1880" s="94"/>
      <c r="EWG1880" s="94"/>
      <c r="EWH1880" s="94"/>
      <c r="EWI1880" s="94"/>
      <c r="EWJ1880" s="94"/>
      <c r="EWK1880" s="94"/>
      <c r="EWL1880" s="94"/>
      <c r="EWM1880" s="94"/>
      <c r="EWN1880" s="94"/>
      <c r="EWO1880" s="94"/>
      <c r="EWP1880" s="94"/>
      <c r="EWQ1880" s="94"/>
      <c r="EWR1880" s="94"/>
      <c r="EWS1880" s="94"/>
      <c r="EWT1880" s="94"/>
      <c r="EWU1880" s="94"/>
      <c r="EWV1880" s="94"/>
      <c r="EWW1880" s="94"/>
      <c r="EWX1880" s="94"/>
      <c r="EWY1880" s="94"/>
      <c r="EWZ1880" s="94"/>
      <c r="EXA1880" s="94"/>
      <c r="EXB1880" s="94"/>
      <c r="EXC1880" s="94"/>
      <c r="EXD1880" s="94"/>
      <c r="EXE1880" s="94"/>
      <c r="EXF1880" s="94"/>
      <c r="EXG1880" s="94"/>
      <c r="EXH1880" s="94"/>
      <c r="EXI1880" s="94"/>
      <c r="EXJ1880" s="94"/>
      <c r="EXK1880" s="94"/>
      <c r="EXL1880" s="94"/>
      <c r="EXM1880" s="94"/>
      <c r="EXN1880" s="94"/>
      <c r="EXO1880" s="94"/>
      <c r="EXP1880" s="94"/>
      <c r="EXQ1880" s="94"/>
      <c r="EXR1880" s="94"/>
      <c r="EXS1880" s="94"/>
      <c r="EXT1880" s="94"/>
      <c r="EXU1880" s="94"/>
      <c r="EXV1880" s="94"/>
      <c r="EXW1880" s="94"/>
      <c r="EXX1880" s="94"/>
      <c r="EXY1880" s="94"/>
      <c r="EXZ1880" s="94"/>
      <c r="EYA1880" s="94"/>
      <c r="EYB1880" s="94"/>
      <c r="EYC1880" s="94"/>
      <c r="EYD1880" s="94"/>
      <c r="EYE1880" s="94"/>
      <c r="EYF1880" s="94"/>
      <c r="EYG1880" s="94"/>
      <c r="EYH1880" s="94"/>
      <c r="EYI1880" s="94"/>
      <c r="EYJ1880" s="94"/>
      <c r="EYK1880" s="94"/>
      <c r="EYL1880" s="94"/>
      <c r="EYM1880" s="94"/>
      <c r="EYN1880" s="94"/>
      <c r="EYO1880" s="94"/>
      <c r="EYP1880" s="94"/>
      <c r="EYQ1880" s="94"/>
      <c r="EYR1880" s="94"/>
      <c r="EYS1880" s="94"/>
      <c r="EYT1880" s="94"/>
      <c r="EYU1880" s="94"/>
      <c r="EYV1880" s="94"/>
      <c r="EYW1880" s="94"/>
      <c r="EYX1880" s="94"/>
      <c r="EYY1880" s="94"/>
      <c r="EYZ1880" s="94"/>
      <c r="EZA1880" s="94"/>
      <c r="EZB1880" s="94"/>
      <c r="EZC1880" s="94"/>
      <c r="EZD1880" s="94"/>
      <c r="EZE1880" s="94"/>
      <c r="EZF1880" s="94"/>
      <c r="EZG1880" s="94"/>
      <c r="EZH1880" s="94"/>
      <c r="EZI1880" s="94"/>
      <c r="EZJ1880" s="94"/>
      <c r="EZK1880" s="94"/>
      <c r="EZL1880" s="94"/>
      <c r="EZM1880" s="94"/>
      <c r="EZN1880" s="94"/>
      <c r="EZO1880" s="94"/>
      <c r="EZP1880" s="94"/>
      <c r="EZQ1880" s="94"/>
      <c r="EZR1880" s="94"/>
      <c r="EZS1880" s="94"/>
      <c r="EZT1880" s="94"/>
      <c r="EZU1880" s="94"/>
      <c r="EZV1880" s="94"/>
      <c r="EZW1880" s="94"/>
      <c r="EZX1880" s="94"/>
      <c r="EZY1880" s="94"/>
      <c r="EZZ1880" s="94"/>
      <c r="FAA1880" s="94"/>
      <c r="FAB1880" s="94"/>
      <c r="FAC1880" s="94"/>
      <c r="FAD1880" s="94"/>
      <c r="FAE1880" s="94"/>
      <c r="FAF1880" s="94"/>
      <c r="FAG1880" s="94"/>
      <c r="FAH1880" s="94"/>
      <c r="FAI1880" s="94"/>
      <c r="FAJ1880" s="94"/>
      <c r="FAK1880" s="94"/>
      <c r="FAL1880" s="94"/>
      <c r="FAM1880" s="94"/>
      <c r="FAN1880" s="94"/>
      <c r="FAO1880" s="94"/>
      <c r="FAP1880" s="94"/>
      <c r="FAQ1880" s="94"/>
      <c r="FAR1880" s="94"/>
      <c r="FAS1880" s="94"/>
      <c r="FAT1880" s="94"/>
      <c r="FAU1880" s="94"/>
      <c r="FAV1880" s="94"/>
      <c r="FAW1880" s="94"/>
      <c r="FAX1880" s="94"/>
      <c r="FAY1880" s="94"/>
      <c r="FAZ1880" s="94"/>
      <c r="FBA1880" s="94"/>
      <c r="FBB1880" s="94"/>
      <c r="FBC1880" s="94"/>
      <c r="FBD1880" s="94"/>
      <c r="FBE1880" s="94"/>
      <c r="FBF1880" s="94"/>
      <c r="FBG1880" s="94"/>
      <c r="FBH1880" s="94"/>
      <c r="FBI1880" s="94"/>
      <c r="FBJ1880" s="94"/>
      <c r="FBK1880" s="94"/>
      <c r="FBL1880" s="94"/>
      <c r="FBM1880" s="94"/>
      <c r="FBN1880" s="94"/>
      <c r="FBO1880" s="94"/>
      <c r="FBP1880" s="94"/>
      <c r="FBQ1880" s="94"/>
      <c r="FBR1880" s="94"/>
      <c r="FBS1880" s="94"/>
      <c r="FBT1880" s="94"/>
      <c r="FBU1880" s="94"/>
      <c r="FBV1880" s="94"/>
      <c r="FBW1880" s="94"/>
      <c r="FBX1880" s="94"/>
      <c r="FBY1880" s="94"/>
      <c r="FBZ1880" s="94"/>
      <c r="FCA1880" s="94"/>
      <c r="FCB1880" s="94"/>
      <c r="FCC1880" s="94"/>
      <c r="FCD1880" s="94"/>
      <c r="FCE1880" s="94"/>
      <c r="FCF1880" s="94"/>
      <c r="FCG1880" s="94"/>
      <c r="FCH1880" s="94"/>
      <c r="FCI1880" s="94"/>
      <c r="FCJ1880" s="94"/>
      <c r="FCK1880" s="94"/>
      <c r="FCL1880" s="94"/>
      <c r="FCM1880" s="94"/>
      <c r="FCN1880" s="94"/>
      <c r="FCO1880" s="94"/>
      <c r="FCP1880" s="94"/>
      <c r="FCQ1880" s="94"/>
      <c r="FCR1880" s="94"/>
      <c r="FCS1880" s="94"/>
      <c r="FCT1880" s="94"/>
      <c r="FCU1880" s="94"/>
      <c r="FCV1880" s="94"/>
      <c r="FCW1880" s="94"/>
      <c r="FCX1880" s="94"/>
      <c r="FCY1880" s="94"/>
      <c r="FCZ1880" s="94"/>
      <c r="FDA1880" s="94"/>
      <c r="FDB1880" s="94"/>
      <c r="FDC1880" s="94"/>
      <c r="FDD1880" s="94"/>
      <c r="FDE1880" s="94"/>
      <c r="FDF1880" s="94"/>
      <c r="FDG1880" s="94"/>
      <c r="FDH1880" s="94"/>
      <c r="FDI1880" s="94"/>
      <c r="FDJ1880" s="94"/>
      <c r="FDK1880" s="94"/>
      <c r="FDL1880" s="94"/>
      <c r="FDM1880" s="94"/>
      <c r="FDN1880" s="94"/>
      <c r="FDO1880" s="94"/>
      <c r="FDP1880" s="94"/>
      <c r="FDQ1880" s="94"/>
      <c r="FDR1880" s="94"/>
      <c r="FDS1880" s="94"/>
      <c r="FDT1880" s="94"/>
      <c r="FDU1880" s="94"/>
      <c r="FDV1880" s="94"/>
      <c r="FDW1880" s="94"/>
      <c r="FDX1880" s="94"/>
      <c r="FDY1880" s="94"/>
      <c r="FDZ1880" s="94"/>
      <c r="FEA1880" s="94"/>
      <c r="FEB1880" s="94"/>
      <c r="FEC1880" s="94"/>
      <c r="FED1880" s="94"/>
      <c r="FEE1880" s="94"/>
      <c r="FEF1880" s="94"/>
      <c r="FEG1880" s="94"/>
      <c r="FEH1880" s="94"/>
      <c r="FEI1880" s="94"/>
      <c r="FEJ1880" s="94"/>
      <c r="FEK1880" s="94"/>
      <c r="FEL1880" s="94"/>
      <c r="FEM1880" s="94"/>
      <c r="FEN1880" s="94"/>
      <c r="FEO1880" s="94"/>
      <c r="FEP1880" s="94"/>
      <c r="FEQ1880" s="94"/>
      <c r="FER1880" s="94"/>
      <c r="FES1880" s="94"/>
      <c r="FET1880" s="94"/>
      <c r="FEU1880" s="94"/>
      <c r="FEV1880" s="94"/>
      <c r="FEW1880" s="94"/>
      <c r="FEX1880" s="94"/>
      <c r="FEY1880" s="94"/>
      <c r="FEZ1880" s="94"/>
      <c r="FFA1880" s="94"/>
      <c r="FFB1880" s="94"/>
      <c r="FFC1880" s="94"/>
      <c r="FFD1880" s="94"/>
      <c r="FFE1880" s="94"/>
      <c r="FFF1880" s="94"/>
      <c r="FFG1880" s="94"/>
      <c r="FFH1880" s="94"/>
      <c r="FFI1880" s="94"/>
      <c r="FFJ1880" s="94"/>
      <c r="FFK1880" s="94"/>
      <c r="FFL1880" s="94"/>
      <c r="FFM1880" s="94"/>
      <c r="FFN1880" s="94"/>
      <c r="FFO1880" s="94"/>
      <c r="FFP1880" s="94"/>
      <c r="FFQ1880" s="94"/>
      <c r="FFR1880" s="94"/>
      <c r="FFS1880" s="94"/>
      <c r="FFT1880" s="94"/>
      <c r="FFU1880" s="94"/>
      <c r="FFV1880" s="94"/>
      <c r="FFW1880" s="94"/>
      <c r="FFX1880" s="94"/>
      <c r="FFY1880" s="94"/>
      <c r="FFZ1880" s="94"/>
      <c r="FGA1880" s="94"/>
      <c r="FGB1880" s="94"/>
      <c r="FGC1880" s="94"/>
      <c r="FGD1880" s="94"/>
      <c r="FGE1880" s="94"/>
      <c r="FGF1880" s="94"/>
      <c r="FGG1880" s="94"/>
      <c r="FGH1880" s="94"/>
      <c r="FGI1880" s="94"/>
      <c r="FGJ1880" s="94"/>
      <c r="FGK1880" s="94"/>
      <c r="FGL1880" s="94"/>
      <c r="FGM1880" s="94"/>
      <c r="FGN1880" s="94"/>
      <c r="FGO1880" s="94"/>
      <c r="FGP1880" s="94"/>
      <c r="FGQ1880" s="94"/>
      <c r="FGR1880" s="94"/>
      <c r="FGS1880" s="94"/>
      <c r="FGT1880" s="94"/>
      <c r="FGU1880" s="94"/>
      <c r="FGV1880" s="94"/>
      <c r="FGW1880" s="94"/>
      <c r="FGX1880" s="94"/>
      <c r="FGY1880" s="94"/>
      <c r="FGZ1880" s="94"/>
      <c r="FHA1880" s="94"/>
      <c r="FHB1880" s="94"/>
      <c r="FHC1880" s="94"/>
      <c r="FHD1880" s="94"/>
      <c r="FHE1880" s="94"/>
      <c r="FHF1880" s="94"/>
      <c r="FHG1880" s="94"/>
      <c r="FHH1880" s="94"/>
      <c r="FHI1880" s="94"/>
      <c r="FHJ1880" s="94"/>
      <c r="FHK1880" s="94"/>
      <c r="FHL1880" s="94"/>
      <c r="FHM1880" s="94"/>
      <c r="FHN1880" s="94"/>
      <c r="FHO1880" s="94"/>
      <c r="FHP1880" s="94"/>
      <c r="FHQ1880" s="94"/>
      <c r="FHR1880" s="94"/>
      <c r="FHS1880" s="94"/>
      <c r="FHT1880" s="94"/>
      <c r="FHU1880" s="94"/>
      <c r="FHV1880" s="94"/>
      <c r="FHW1880" s="94"/>
      <c r="FHX1880" s="94"/>
      <c r="FHY1880" s="94"/>
      <c r="FHZ1880" s="94"/>
      <c r="FIA1880" s="94"/>
      <c r="FIB1880" s="94"/>
      <c r="FIC1880" s="94"/>
      <c r="FID1880" s="94"/>
      <c r="FIE1880" s="94"/>
      <c r="FIF1880" s="94"/>
      <c r="FIG1880" s="94"/>
      <c r="FIH1880" s="94"/>
      <c r="FII1880" s="94"/>
      <c r="FIJ1880" s="94"/>
      <c r="FIK1880" s="94"/>
      <c r="FIL1880" s="94"/>
      <c r="FIM1880" s="94"/>
      <c r="FIN1880" s="94"/>
      <c r="FIO1880" s="94"/>
      <c r="FIP1880" s="94"/>
      <c r="FIQ1880" s="94"/>
      <c r="FIR1880" s="94"/>
      <c r="FIS1880" s="94"/>
      <c r="FIT1880" s="94"/>
      <c r="FIU1880" s="94"/>
      <c r="FIV1880" s="94"/>
      <c r="FIW1880" s="94"/>
      <c r="FIX1880" s="94"/>
      <c r="FIY1880" s="94"/>
      <c r="FIZ1880" s="94"/>
      <c r="FJA1880" s="94"/>
      <c r="FJB1880" s="94"/>
      <c r="FJC1880" s="94"/>
      <c r="FJD1880" s="94"/>
      <c r="FJE1880" s="94"/>
      <c r="FJF1880" s="94"/>
      <c r="FJG1880" s="94"/>
      <c r="FJH1880" s="94"/>
      <c r="FJI1880" s="94"/>
      <c r="FJJ1880" s="94"/>
      <c r="FJK1880" s="94"/>
      <c r="FJL1880" s="94"/>
      <c r="FJM1880" s="94"/>
      <c r="FJN1880" s="94"/>
      <c r="FJO1880" s="94"/>
      <c r="FJP1880" s="94"/>
      <c r="FJQ1880" s="94"/>
      <c r="FJR1880" s="94"/>
      <c r="FJS1880" s="94"/>
      <c r="FJT1880" s="94"/>
      <c r="FJU1880" s="94"/>
      <c r="FJV1880" s="94"/>
      <c r="FJW1880" s="94"/>
      <c r="FJX1880" s="94"/>
      <c r="FJY1880" s="94"/>
      <c r="FJZ1880" s="94"/>
      <c r="FKA1880" s="94"/>
      <c r="FKB1880" s="94"/>
      <c r="FKC1880" s="94"/>
      <c r="FKD1880" s="94"/>
      <c r="FKE1880" s="94"/>
      <c r="FKF1880" s="94"/>
      <c r="FKG1880" s="94"/>
      <c r="FKH1880" s="94"/>
      <c r="FKI1880" s="94"/>
      <c r="FKJ1880" s="94"/>
      <c r="FKK1880" s="94"/>
      <c r="FKL1880" s="94"/>
      <c r="FKM1880" s="94"/>
      <c r="FKN1880" s="94"/>
      <c r="FKO1880" s="94"/>
      <c r="FKP1880" s="94"/>
      <c r="FKQ1880" s="94"/>
      <c r="FKR1880" s="94"/>
      <c r="FKS1880" s="94"/>
      <c r="FKT1880" s="94"/>
      <c r="FKU1880" s="94"/>
      <c r="FKV1880" s="94"/>
      <c r="FKW1880" s="94"/>
      <c r="FKX1880" s="94"/>
      <c r="FKY1880" s="94"/>
      <c r="FKZ1880" s="94"/>
      <c r="FLA1880" s="94"/>
      <c r="FLB1880" s="94"/>
      <c r="FLC1880" s="94"/>
      <c r="FLD1880" s="94"/>
      <c r="FLE1880" s="94"/>
      <c r="FLF1880" s="94"/>
      <c r="FLG1880" s="94"/>
      <c r="FLH1880" s="94"/>
      <c r="FLI1880" s="94"/>
      <c r="FLJ1880" s="94"/>
      <c r="FLK1880" s="94"/>
      <c r="FLL1880" s="94"/>
      <c r="FLM1880" s="94"/>
      <c r="FLN1880" s="94"/>
      <c r="FLO1880" s="94"/>
      <c r="FLP1880" s="94"/>
      <c r="FLQ1880" s="94"/>
      <c r="FLR1880" s="94"/>
      <c r="FLS1880" s="94"/>
      <c r="FLT1880" s="94"/>
      <c r="FLU1880" s="94"/>
      <c r="FLV1880" s="94"/>
      <c r="FLW1880" s="94"/>
      <c r="FLX1880" s="94"/>
      <c r="FLY1880" s="94"/>
      <c r="FLZ1880" s="94"/>
      <c r="FMA1880" s="94"/>
      <c r="FMB1880" s="94"/>
      <c r="FMC1880" s="94"/>
      <c r="FMD1880" s="94"/>
      <c r="FME1880" s="94"/>
      <c r="FMF1880" s="94"/>
      <c r="FMG1880" s="94"/>
      <c r="FMH1880" s="94"/>
      <c r="FMI1880" s="94"/>
      <c r="FMJ1880" s="94"/>
      <c r="FMK1880" s="94"/>
      <c r="FML1880" s="94"/>
      <c r="FMM1880" s="94"/>
      <c r="FMN1880" s="94"/>
      <c r="FMO1880" s="94"/>
      <c r="FMP1880" s="94"/>
      <c r="FMQ1880" s="94"/>
      <c r="FMR1880" s="94"/>
      <c r="FMS1880" s="94"/>
      <c r="FMT1880" s="94"/>
      <c r="FMU1880" s="94"/>
      <c r="FMV1880" s="94"/>
      <c r="FMW1880" s="94"/>
      <c r="FMX1880" s="94"/>
      <c r="FMY1880" s="94"/>
      <c r="FMZ1880" s="94"/>
      <c r="FNA1880" s="94"/>
      <c r="FNB1880" s="94"/>
      <c r="FNC1880" s="94"/>
      <c r="FND1880" s="94"/>
      <c r="FNE1880" s="94"/>
      <c r="FNF1880" s="94"/>
      <c r="FNG1880" s="94"/>
      <c r="FNH1880" s="94"/>
      <c r="FNI1880" s="94"/>
      <c r="FNJ1880" s="94"/>
      <c r="FNK1880" s="94"/>
      <c r="FNL1880" s="94"/>
      <c r="FNM1880" s="94"/>
      <c r="FNN1880" s="94"/>
      <c r="FNO1880" s="94"/>
      <c r="FNP1880" s="94"/>
      <c r="FNQ1880" s="94"/>
      <c r="FNR1880" s="94"/>
      <c r="FNS1880" s="94"/>
      <c r="FNT1880" s="94"/>
      <c r="FNU1880" s="94"/>
      <c r="FNV1880" s="94"/>
      <c r="FNW1880" s="94"/>
      <c r="FNX1880" s="94"/>
      <c r="FNY1880" s="94"/>
      <c r="FNZ1880" s="94"/>
      <c r="FOA1880" s="94"/>
      <c r="FOB1880" s="94"/>
      <c r="FOC1880" s="94"/>
      <c r="FOD1880" s="94"/>
      <c r="FOE1880" s="94"/>
      <c r="FOF1880" s="94"/>
      <c r="FOG1880" s="94"/>
      <c r="FOH1880" s="94"/>
      <c r="FOI1880" s="94"/>
      <c r="FOJ1880" s="94"/>
      <c r="FOK1880" s="94"/>
      <c r="FOL1880" s="94"/>
      <c r="FOM1880" s="94"/>
      <c r="FON1880" s="94"/>
      <c r="FOO1880" s="94"/>
      <c r="FOP1880" s="94"/>
      <c r="FOQ1880" s="94"/>
      <c r="FOR1880" s="94"/>
      <c r="FOS1880" s="94"/>
      <c r="FOT1880" s="94"/>
      <c r="FOU1880" s="94"/>
      <c r="FOV1880" s="94"/>
      <c r="FOW1880" s="94"/>
      <c r="FOX1880" s="94"/>
      <c r="FOY1880" s="94"/>
      <c r="FOZ1880" s="94"/>
      <c r="FPA1880" s="94"/>
      <c r="FPB1880" s="94"/>
      <c r="FPC1880" s="94"/>
      <c r="FPD1880" s="94"/>
      <c r="FPE1880" s="94"/>
      <c r="FPF1880" s="94"/>
      <c r="FPG1880" s="94"/>
      <c r="FPH1880" s="94"/>
      <c r="FPI1880" s="94"/>
      <c r="FPJ1880" s="94"/>
      <c r="FPK1880" s="94"/>
      <c r="FPL1880" s="94"/>
      <c r="FPM1880" s="94"/>
      <c r="FPN1880" s="94"/>
      <c r="FPO1880" s="94"/>
      <c r="FPP1880" s="94"/>
      <c r="FPQ1880" s="94"/>
      <c r="FPR1880" s="94"/>
      <c r="FPS1880" s="94"/>
      <c r="FPT1880" s="94"/>
      <c r="FPU1880" s="94"/>
      <c r="FPV1880" s="94"/>
      <c r="FPW1880" s="94"/>
      <c r="FPX1880" s="94"/>
      <c r="FPY1880" s="94"/>
      <c r="FPZ1880" s="94"/>
      <c r="FQA1880" s="94"/>
      <c r="FQB1880" s="94"/>
      <c r="FQC1880" s="94"/>
      <c r="FQD1880" s="94"/>
      <c r="FQE1880" s="94"/>
      <c r="FQF1880" s="94"/>
      <c r="FQG1880" s="94"/>
      <c r="FQH1880" s="94"/>
      <c r="FQI1880" s="94"/>
      <c r="FQJ1880" s="94"/>
      <c r="FQK1880" s="94"/>
      <c r="FQL1880" s="94"/>
      <c r="FQM1880" s="94"/>
      <c r="FQN1880" s="94"/>
      <c r="FQO1880" s="94"/>
      <c r="FQP1880" s="94"/>
      <c r="FQQ1880" s="94"/>
      <c r="FQR1880" s="94"/>
      <c r="FQS1880" s="94"/>
      <c r="FQT1880" s="94"/>
      <c r="FQU1880" s="94"/>
      <c r="FQV1880" s="94"/>
      <c r="FQW1880" s="94"/>
      <c r="FQX1880" s="94"/>
      <c r="FQY1880" s="94"/>
      <c r="FQZ1880" s="94"/>
      <c r="FRA1880" s="94"/>
      <c r="FRB1880" s="94"/>
      <c r="FRC1880" s="94"/>
      <c r="FRD1880" s="94"/>
      <c r="FRE1880" s="94"/>
      <c r="FRF1880" s="94"/>
      <c r="FRG1880" s="94"/>
      <c r="FRH1880" s="94"/>
      <c r="FRI1880" s="94"/>
      <c r="FRJ1880" s="94"/>
      <c r="FRK1880" s="94"/>
      <c r="FRL1880" s="94"/>
      <c r="FRM1880" s="94"/>
      <c r="FRN1880" s="94"/>
      <c r="FRO1880" s="94"/>
      <c r="FRP1880" s="94"/>
      <c r="FRQ1880" s="94"/>
      <c r="FRR1880" s="94"/>
      <c r="FRS1880" s="94"/>
      <c r="FRT1880" s="94"/>
      <c r="FRU1880" s="94"/>
      <c r="FRV1880" s="94"/>
      <c r="FRW1880" s="94"/>
      <c r="FRX1880" s="94"/>
      <c r="FRY1880" s="94"/>
      <c r="FRZ1880" s="94"/>
      <c r="FSA1880" s="94"/>
      <c r="FSB1880" s="94"/>
      <c r="FSC1880" s="94"/>
      <c r="FSD1880" s="94"/>
      <c r="FSE1880" s="94"/>
      <c r="FSF1880" s="94"/>
      <c r="FSG1880" s="94"/>
      <c r="FSH1880" s="94"/>
      <c r="FSI1880" s="94"/>
      <c r="FSJ1880" s="94"/>
      <c r="FSK1880" s="94"/>
      <c r="FSL1880" s="94"/>
      <c r="FSM1880" s="94"/>
      <c r="FSN1880" s="94"/>
      <c r="FSO1880" s="94"/>
      <c r="FSP1880" s="94"/>
      <c r="FSQ1880" s="94"/>
      <c r="FSR1880" s="94"/>
      <c r="FSS1880" s="94"/>
      <c r="FST1880" s="94"/>
      <c r="FSU1880" s="94"/>
      <c r="FSV1880" s="94"/>
      <c r="FSW1880" s="94"/>
      <c r="FSX1880" s="94"/>
      <c r="FSY1880" s="94"/>
      <c r="FSZ1880" s="94"/>
      <c r="FTA1880" s="94"/>
      <c r="FTB1880" s="94"/>
      <c r="FTC1880" s="94"/>
      <c r="FTD1880" s="94"/>
      <c r="FTE1880" s="94"/>
      <c r="FTF1880" s="94"/>
      <c r="FTG1880" s="94"/>
      <c r="FTH1880" s="94"/>
      <c r="FTI1880" s="94"/>
      <c r="FTJ1880" s="94"/>
      <c r="FTK1880" s="94"/>
      <c r="FTL1880" s="94"/>
      <c r="FTM1880" s="94"/>
      <c r="FTN1880" s="94"/>
      <c r="FTO1880" s="94"/>
      <c r="FTP1880" s="94"/>
      <c r="FTQ1880" s="94"/>
      <c r="FTR1880" s="94"/>
      <c r="FTS1880" s="94"/>
      <c r="FTT1880" s="94"/>
      <c r="FTU1880" s="94"/>
      <c r="FTV1880" s="94"/>
      <c r="FTW1880" s="94"/>
      <c r="FTX1880" s="94"/>
      <c r="FTY1880" s="94"/>
      <c r="FTZ1880" s="94"/>
      <c r="FUA1880" s="94"/>
      <c r="FUB1880" s="94"/>
      <c r="FUC1880" s="94"/>
      <c r="FUD1880" s="94"/>
      <c r="FUE1880" s="94"/>
      <c r="FUF1880" s="94"/>
      <c r="FUG1880" s="94"/>
      <c r="FUH1880" s="94"/>
      <c r="FUI1880" s="94"/>
      <c r="FUJ1880" s="94"/>
      <c r="FUK1880" s="94"/>
      <c r="FUL1880" s="94"/>
      <c r="FUM1880" s="94"/>
      <c r="FUN1880" s="94"/>
      <c r="FUO1880" s="94"/>
      <c r="FUP1880" s="94"/>
      <c r="FUQ1880" s="94"/>
      <c r="FUR1880" s="94"/>
      <c r="FUS1880" s="94"/>
      <c r="FUT1880" s="94"/>
      <c r="FUU1880" s="94"/>
      <c r="FUV1880" s="94"/>
      <c r="FUW1880" s="94"/>
      <c r="FUX1880" s="94"/>
      <c r="FUY1880" s="94"/>
      <c r="FUZ1880" s="94"/>
      <c r="FVA1880" s="94"/>
      <c r="FVB1880" s="94"/>
      <c r="FVC1880" s="94"/>
      <c r="FVD1880" s="94"/>
      <c r="FVE1880" s="94"/>
      <c r="FVF1880" s="94"/>
      <c r="FVG1880" s="94"/>
      <c r="FVH1880" s="94"/>
      <c r="FVI1880" s="94"/>
      <c r="FVJ1880" s="94"/>
      <c r="FVK1880" s="94"/>
      <c r="FVL1880" s="94"/>
      <c r="FVM1880" s="94"/>
      <c r="FVN1880" s="94"/>
      <c r="FVO1880" s="94"/>
      <c r="FVP1880" s="94"/>
      <c r="FVQ1880" s="94"/>
      <c r="FVR1880" s="94"/>
      <c r="FVS1880" s="94"/>
      <c r="FVT1880" s="94"/>
      <c r="FVU1880" s="94"/>
      <c r="FVV1880" s="94"/>
      <c r="FVW1880" s="94"/>
      <c r="FVX1880" s="94"/>
      <c r="FVY1880" s="94"/>
      <c r="FVZ1880" s="94"/>
      <c r="FWA1880" s="94"/>
      <c r="FWB1880" s="94"/>
      <c r="FWC1880" s="94"/>
      <c r="FWD1880" s="94"/>
      <c r="FWE1880" s="94"/>
      <c r="FWF1880" s="94"/>
      <c r="FWG1880" s="94"/>
      <c r="FWH1880" s="94"/>
      <c r="FWI1880" s="94"/>
      <c r="FWJ1880" s="94"/>
      <c r="FWK1880" s="94"/>
      <c r="FWL1880" s="94"/>
      <c r="FWM1880" s="94"/>
      <c r="FWN1880" s="94"/>
      <c r="FWO1880" s="94"/>
      <c r="FWP1880" s="94"/>
      <c r="FWQ1880" s="94"/>
      <c r="FWR1880" s="94"/>
      <c r="FWS1880" s="94"/>
      <c r="FWT1880" s="94"/>
      <c r="FWU1880" s="94"/>
      <c r="FWV1880" s="94"/>
      <c r="FWW1880" s="94"/>
      <c r="FWX1880" s="94"/>
      <c r="FWY1880" s="94"/>
      <c r="FWZ1880" s="94"/>
      <c r="FXA1880" s="94"/>
      <c r="FXB1880" s="94"/>
      <c r="FXC1880" s="94"/>
      <c r="FXD1880" s="94"/>
      <c r="FXE1880" s="94"/>
      <c r="FXF1880" s="94"/>
      <c r="FXG1880" s="94"/>
      <c r="FXH1880" s="94"/>
      <c r="FXI1880" s="94"/>
      <c r="FXJ1880" s="94"/>
      <c r="FXK1880" s="94"/>
      <c r="FXL1880" s="94"/>
      <c r="FXM1880" s="94"/>
      <c r="FXN1880" s="94"/>
      <c r="FXO1880" s="94"/>
      <c r="FXP1880" s="94"/>
      <c r="FXQ1880" s="94"/>
      <c r="FXR1880" s="94"/>
      <c r="FXS1880" s="94"/>
      <c r="FXT1880" s="94"/>
      <c r="FXU1880" s="94"/>
      <c r="FXV1880" s="94"/>
      <c r="FXW1880" s="94"/>
      <c r="FXX1880" s="94"/>
      <c r="FXY1880" s="94"/>
      <c r="FXZ1880" s="94"/>
      <c r="FYA1880" s="94"/>
      <c r="FYB1880" s="94"/>
      <c r="FYC1880" s="94"/>
      <c r="FYD1880" s="94"/>
      <c r="FYE1880" s="94"/>
      <c r="FYF1880" s="94"/>
      <c r="FYG1880" s="94"/>
      <c r="FYH1880" s="94"/>
      <c r="FYI1880" s="94"/>
      <c r="FYJ1880" s="94"/>
      <c r="FYK1880" s="94"/>
      <c r="FYL1880" s="94"/>
      <c r="FYM1880" s="94"/>
      <c r="FYN1880" s="94"/>
      <c r="FYO1880" s="94"/>
      <c r="FYP1880" s="94"/>
      <c r="FYQ1880" s="94"/>
      <c r="FYR1880" s="94"/>
      <c r="FYS1880" s="94"/>
      <c r="FYT1880" s="94"/>
      <c r="FYU1880" s="94"/>
      <c r="FYV1880" s="94"/>
      <c r="FYW1880" s="94"/>
      <c r="FYX1880" s="94"/>
      <c r="FYY1880" s="94"/>
      <c r="FYZ1880" s="94"/>
      <c r="FZA1880" s="94"/>
      <c r="FZB1880" s="94"/>
      <c r="FZC1880" s="94"/>
      <c r="FZD1880" s="94"/>
      <c r="FZE1880" s="94"/>
      <c r="FZF1880" s="94"/>
      <c r="FZG1880" s="94"/>
      <c r="FZH1880" s="94"/>
      <c r="FZI1880" s="94"/>
      <c r="FZJ1880" s="94"/>
      <c r="FZK1880" s="94"/>
      <c r="FZL1880" s="94"/>
      <c r="FZM1880" s="94"/>
      <c r="FZN1880" s="94"/>
      <c r="FZO1880" s="94"/>
      <c r="FZP1880" s="94"/>
      <c r="FZQ1880" s="94"/>
      <c r="FZR1880" s="94"/>
      <c r="FZS1880" s="94"/>
      <c r="FZT1880" s="94"/>
      <c r="FZU1880" s="94"/>
      <c r="FZV1880" s="94"/>
      <c r="FZW1880" s="94"/>
      <c r="FZX1880" s="94"/>
      <c r="FZY1880" s="94"/>
      <c r="FZZ1880" s="94"/>
      <c r="GAA1880" s="94"/>
      <c r="GAB1880" s="94"/>
      <c r="GAC1880" s="94"/>
      <c r="GAD1880" s="94"/>
      <c r="GAE1880" s="94"/>
      <c r="GAF1880" s="94"/>
      <c r="GAG1880" s="94"/>
      <c r="GAH1880" s="94"/>
      <c r="GAI1880" s="94"/>
      <c r="GAJ1880" s="94"/>
      <c r="GAK1880" s="94"/>
      <c r="GAL1880" s="94"/>
      <c r="GAM1880" s="94"/>
      <c r="GAN1880" s="94"/>
      <c r="GAO1880" s="94"/>
      <c r="GAP1880" s="94"/>
      <c r="GAQ1880" s="94"/>
      <c r="GAR1880" s="94"/>
      <c r="GAS1880" s="94"/>
      <c r="GAT1880" s="94"/>
      <c r="GAU1880" s="94"/>
      <c r="GAV1880" s="94"/>
      <c r="GAW1880" s="94"/>
      <c r="GAX1880" s="94"/>
      <c r="GAY1880" s="94"/>
      <c r="GAZ1880" s="94"/>
      <c r="GBA1880" s="94"/>
      <c r="GBB1880" s="94"/>
      <c r="GBC1880" s="94"/>
      <c r="GBD1880" s="94"/>
      <c r="GBE1880" s="94"/>
      <c r="GBF1880" s="94"/>
      <c r="GBG1880" s="94"/>
      <c r="GBH1880" s="94"/>
      <c r="GBI1880" s="94"/>
      <c r="GBJ1880" s="94"/>
      <c r="GBK1880" s="94"/>
      <c r="GBL1880" s="94"/>
      <c r="GBM1880" s="94"/>
      <c r="GBN1880" s="94"/>
      <c r="GBO1880" s="94"/>
      <c r="GBP1880" s="94"/>
      <c r="GBQ1880" s="94"/>
      <c r="GBR1880" s="94"/>
      <c r="GBS1880" s="94"/>
      <c r="GBT1880" s="94"/>
      <c r="GBU1880" s="94"/>
      <c r="GBV1880" s="94"/>
      <c r="GBW1880" s="94"/>
      <c r="GBX1880" s="94"/>
      <c r="GBY1880" s="94"/>
      <c r="GBZ1880" s="94"/>
      <c r="GCA1880" s="94"/>
      <c r="GCB1880" s="94"/>
      <c r="GCC1880" s="94"/>
      <c r="GCD1880" s="94"/>
      <c r="GCE1880" s="94"/>
      <c r="GCF1880" s="94"/>
      <c r="GCG1880" s="94"/>
      <c r="GCH1880" s="94"/>
      <c r="GCI1880" s="94"/>
      <c r="GCJ1880" s="94"/>
      <c r="GCK1880" s="94"/>
      <c r="GCL1880" s="94"/>
      <c r="GCM1880" s="94"/>
      <c r="GCN1880" s="94"/>
      <c r="GCO1880" s="94"/>
      <c r="GCP1880" s="94"/>
      <c r="GCQ1880" s="94"/>
      <c r="GCR1880" s="94"/>
      <c r="GCS1880" s="94"/>
      <c r="GCT1880" s="94"/>
      <c r="GCU1880" s="94"/>
      <c r="GCV1880" s="94"/>
      <c r="GCW1880" s="94"/>
      <c r="GCX1880" s="94"/>
      <c r="GCY1880" s="94"/>
      <c r="GCZ1880" s="94"/>
      <c r="GDA1880" s="94"/>
      <c r="GDB1880" s="94"/>
      <c r="GDC1880" s="94"/>
      <c r="GDD1880" s="94"/>
      <c r="GDE1880" s="94"/>
      <c r="GDF1880" s="94"/>
      <c r="GDG1880" s="94"/>
      <c r="GDH1880" s="94"/>
      <c r="GDI1880" s="94"/>
      <c r="GDJ1880" s="94"/>
      <c r="GDK1880" s="94"/>
      <c r="GDL1880" s="94"/>
      <c r="GDM1880" s="94"/>
      <c r="GDN1880" s="94"/>
      <c r="GDO1880" s="94"/>
      <c r="GDP1880" s="94"/>
      <c r="GDQ1880" s="94"/>
      <c r="GDR1880" s="94"/>
      <c r="GDS1880" s="94"/>
      <c r="GDT1880" s="94"/>
      <c r="GDU1880" s="94"/>
      <c r="GDV1880" s="94"/>
      <c r="GDW1880" s="94"/>
      <c r="GDX1880" s="94"/>
      <c r="GDY1880" s="94"/>
      <c r="GDZ1880" s="94"/>
      <c r="GEA1880" s="94"/>
      <c r="GEB1880" s="94"/>
      <c r="GEC1880" s="94"/>
      <c r="GED1880" s="94"/>
      <c r="GEE1880" s="94"/>
      <c r="GEF1880" s="94"/>
      <c r="GEG1880" s="94"/>
      <c r="GEH1880" s="94"/>
      <c r="GEI1880" s="94"/>
      <c r="GEJ1880" s="94"/>
      <c r="GEK1880" s="94"/>
      <c r="GEL1880" s="94"/>
      <c r="GEM1880" s="94"/>
      <c r="GEN1880" s="94"/>
      <c r="GEO1880" s="94"/>
      <c r="GEP1880" s="94"/>
      <c r="GEQ1880" s="94"/>
      <c r="GER1880" s="94"/>
      <c r="GES1880" s="94"/>
      <c r="GET1880" s="94"/>
      <c r="GEU1880" s="94"/>
      <c r="GEV1880" s="94"/>
      <c r="GEW1880" s="94"/>
      <c r="GEX1880" s="94"/>
      <c r="GEY1880" s="94"/>
      <c r="GEZ1880" s="94"/>
      <c r="GFA1880" s="94"/>
      <c r="GFB1880" s="94"/>
      <c r="GFC1880" s="94"/>
      <c r="GFD1880" s="94"/>
      <c r="GFE1880" s="94"/>
      <c r="GFF1880" s="94"/>
      <c r="GFG1880" s="94"/>
      <c r="GFH1880" s="94"/>
      <c r="GFI1880" s="94"/>
      <c r="GFJ1880" s="94"/>
      <c r="GFK1880" s="94"/>
      <c r="GFL1880" s="94"/>
      <c r="GFM1880" s="94"/>
      <c r="GFN1880" s="94"/>
      <c r="GFO1880" s="94"/>
      <c r="GFP1880" s="94"/>
      <c r="GFQ1880" s="94"/>
      <c r="GFR1880" s="94"/>
      <c r="GFS1880" s="94"/>
      <c r="GFT1880" s="94"/>
      <c r="GFU1880" s="94"/>
      <c r="GFV1880" s="94"/>
      <c r="GFW1880" s="94"/>
      <c r="GFX1880" s="94"/>
      <c r="GFY1880" s="94"/>
      <c r="GFZ1880" s="94"/>
      <c r="GGA1880" s="94"/>
      <c r="GGB1880" s="94"/>
      <c r="GGC1880" s="94"/>
      <c r="GGD1880" s="94"/>
      <c r="GGE1880" s="94"/>
      <c r="GGF1880" s="94"/>
      <c r="GGG1880" s="94"/>
      <c r="GGH1880" s="94"/>
      <c r="GGI1880" s="94"/>
      <c r="GGJ1880" s="94"/>
      <c r="GGK1880" s="94"/>
      <c r="GGL1880" s="94"/>
      <c r="GGM1880" s="94"/>
      <c r="GGN1880" s="94"/>
      <c r="GGO1880" s="94"/>
      <c r="GGP1880" s="94"/>
      <c r="GGQ1880" s="94"/>
      <c r="GGR1880" s="94"/>
      <c r="GGS1880" s="94"/>
      <c r="GGT1880" s="94"/>
      <c r="GGU1880" s="94"/>
      <c r="GGV1880" s="94"/>
      <c r="GGW1880" s="94"/>
      <c r="GGX1880" s="94"/>
      <c r="GGY1880" s="94"/>
      <c r="GGZ1880" s="94"/>
      <c r="GHA1880" s="94"/>
      <c r="GHB1880" s="94"/>
      <c r="GHC1880" s="94"/>
      <c r="GHD1880" s="94"/>
      <c r="GHE1880" s="94"/>
      <c r="GHF1880" s="94"/>
      <c r="GHG1880" s="94"/>
      <c r="GHH1880" s="94"/>
      <c r="GHI1880" s="94"/>
      <c r="GHJ1880" s="94"/>
      <c r="GHK1880" s="94"/>
      <c r="GHL1880" s="94"/>
      <c r="GHM1880" s="94"/>
      <c r="GHN1880" s="94"/>
      <c r="GHO1880" s="94"/>
      <c r="GHP1880" s="94"/>
      <c r="GHQ1880" s="94"/>
      <c r="GHR1880" s="94"/>
      <c r="GHS1880" s="94"/>
      <c r="GHT1880" s="94"/>
      <c r="GHU1880" s="94"/>
      <c r="GHV1880" s="94"/>
      <c r="GHW1880" s="94"/>
      <c r="GHX1880" s="94"/>
      <c r="GHY1880" s="94"/>
      <c r="GHZ1880" s="94"/>
      <c r="GIA1880" s="94"/>
      <c r="GIB1880" s="94"/>
      <c r="GIC1880" s="94"/>
      <c r="GID1880" s="94"/>
      <c r="GIE1880" s="94"/>
      <c r="GIF1880" s="94"/>
      <c r="GIG1880" s="94"/>
      <c r="GIH1880" s="94"/>
      <c r="GII1880" s="94"/>
      <c r="GIJ1880" s="94"/>
      <c r="GIK1880" s="94"/>
      <c r="GIL1880" s="94"/>
      <c r="GIM1880" s="94"/>
      <c r="GIN1880" s="94"/>
      <c r="GIO1880" s="94"/>
      <c r="GIP1880" s="94"/>
      <c r="GIQ1880" s="94"/>
      <c r="GIR1880" s="94"/>
      <c r="GIS1880" s="94"/>
      <c r="GIT1880" s="94"/>
      <c r="GIU1880" s="94"/>
      <c r="GIV1880" s="94"/>
      <c r="GIW1880" s="94"/>
      <c r="GIX1880" s="94"/>
      <c r="GIY1880" s="94"/>
      <c r="GIZ1880" s="94"/>
      <c r="GJA1880" s="94"/>
      <c r="GJB1880" s="94"/>
      <c r="GJC1880" s="94"/>
      <c r="GJD1880" s="94"/>
      <c r="GJE1880" s="94"/>
      <c r="GJF1880" s="94"/>
      <c r="GJG1880" s="94"/>
      <c r="GJH1880" s="94"/>
      <c r="GJI1880" s="94"/>
      <c r="GJJ1880" s="94"/>
      <c r="GJK1880" s="94"/>
      <c r="GJL1880" s="94"/>
      <c r="GJM1880" s="94"/>
      <c r="GJN1880" s="94"/>
      <c r="GJO1880" s="94"/>
      <c r="GJP1880" s="94"/>
      <c r="GJQ1880" s="94"/>
      <c r="GJR1880" s="94"/>
      <c r="GJS1880" s="94"/>
      <c r="GJT1880" s="94"/>
      <c r="GJU1880" s="94"/>
      <c r="GJV1880" s="94"/>
      <c r="GJW1880" s="94"/>
      <c r="GJX1880" s="94"/>
      <c r="GJY1880" s="94"/>
      <c r="GJZ1880" s="94"/>
      <c r="GKA1880" s="94"/>
      <c r="GKB1880" s="94"/>
      <c r="GKC1880" s="94"/>
      <c r="GKD1880" s="94"/>
      <c r="GKE1880" s="94"/>
      <c r="GKF1880" s="94"/>
      <c r="GKG1880" s="94"/>
      <c r="GKH1880" s="94"/>
      <c r="GKI1880" s="94"/>
      <c r="GKJ1880" s="94"/>
      <c r="GKK1880" s="94"/>
      <c r="GKL1880" s="94"/>
      <c r="GKM1880" s="94"/>
      <c r="GKN1880" s="94"/>
      <c r="GKO1880" s="94"/>
      <c r="GKP1880" s="94"/>
      <c r="GKQ1880" s="94"/>
      <c r="GKR1880" s="94"/>
      <c r="GKS1880" s="94"/>
      <c r="GKT1880" s="94"/>
      <c r="GKU1880" s="94"/>
      <c r="GKV1880" s="94"/>
      <c r="GKW1880" s="94"/>
      <c r="GKX1880" s="94"/>
      <c r="GKY1880" s="94"/>
      <c r="GKZ1880" s="94"/>
      <c r="GLA1880" s="94"/>
      <c r="GLB1880" s="94"/>
      <c r="GLC1880" s="94"/>
      <c r="GLD1880" s="94"/>
      <c r="GLE1880" s="94"/>
      <c r="GLF1880" s="94"/>
      <c r="GLG1880" s="94"/>
      <c r="GLH1880" s="94"/>
      <c r="GLI1880" s="94"/>
      <c r="GLJ1880" s="94"/>
      <c r="GLK1880" s="94"/>
      <c r="GLL1880" s="94"/>
      <c r="GLM1880" s="94"/>
      <c r="GLN1880" s="94"/>
      <c r="GLO1880" s="94"/>
      <c r="GLP1880" s="94"/>
      <c r="GLQ1880" s="94"/>
      <c r="GLR1880" s="94"/>
      <c r="GLS1880" s="94"/>
      <c r="GLT1880" s="94"/>
      <c r="GLU1880" s="94"/>
      <c r="GLV1880" s="94"/>
      <c r="GLW1880" s="94"/>
      <c r="GLX1880" s="94"/>
      <c r="GLY1880" s="94"/>
      <c r="GLZ1880" s="94"/>
      <c r="GMA1880" s="94"/>
      <c r="GMB1880" s="94"/>
      <c r="GMC1880" s="94"/>
      <c r="GMD1880" s="94"/>
      <c r="GME1880" s="94"/>
      <c r="GMF1880" s="94"/>
      <c r="GMG1880" s="94"/>
      <c r="GMH1880" s="94"/>
      <c r="GMI1880" s="94"/>
      <c r="GMJ1880" s="94"/>
      <c r="GMK1880" s="94"/>
      <c r="GML1880" s="94"/>
      <c r="GMM1880" s="94"/>
      <c r="GMN1880" s="94"/>
      <c r="GMO1880" s="94"/>
      <c r="GMP1880" s="94"/>
      <c r="GMQ1880" s="94"/>
      <c r="GMR1880" s="94"/>
      <c r="GMS1880" s="94"/>
      <c r="GMT1880" s="94"/>
      <c r="GMU1880" s="94"/>
      <c r="GMV1880" s="94"/>
      <c r="GMW1880" s="94"/>
      <c r="GMX1880" s="94"/>
      <c r="GMY1880" s="94"/>
      <c r="GMZ1880" s="94"/>
      <c r="GNA1880" s="94"/>
      <c r="GNB1880" s="94"/>
      <c r="GNC1880" s="94"/>
      <c r="GND1880" s="94"/>
      <c r="GNE1880" s="94"/>
      <c r="GNF1880" s="94"/>
      <c r="GNG1880" s="94"/>
      <c r="GNH1880" s="94"/>
      <c r="GNI1880" s="94"/>
      <c r="GNJ1880" s="94"/>
      <c r="GNK1880" s="94"/>
      <c r="GNL1880" s="94"/>
      <c r="GNM1880" s="94"/>
      <c r="GNN1880" s="94"/>
      <c r="GNO1880" s="94"/>
      <c r="GNP1880" s="94"/>
      <c r="GNQ1880" s="94"/>
      <c r="GNR1880" s="94"/>
      <c r="GNS1880" s="94"/>
      <c r="GNT1880" s="94"/>
      <c r="GNU1880" s="94"/>
      <c r="GNV1880" s="94"/>
      <c r="GNW1880" s="94"/>
      <c r="GNX1880" s="94"/>
      <c r="GNY1880" s="94"/>
      <c r="GNZ1880" s="94"/>
      <c r="GOA1880" s="94"/>
      <c r="GOB1880" s="94"/>
      <c r="GOC1880" s="94"/>
      <c r="GOD1880" s="94"/>
      <c r="GOE1880" s="94"/>
      <c r="GOF1880" s="94"/>
      <c r="GOG1880" s="94"/>
      <c r="GOH1880" s="94"/>
      <c r="GOI1880" s="94"/>
      <c r="GOJ1880" s="94"/>
      <c r="GOK1880" s="94"/>
      <c r="GOL1880" s="94"/>
      <c r="GOM1880" s="94"/>
      <c r="GON1880" s="94"/>
      <c r="GOO1880" s="94"/>
      <c r="GOP1880" s="94"/>
      <c r="GOQ1880" s="94"/>
      <c r="GOR1880" s="94"/>
      <c r="GOS1880" s="94"/>
      <c r="GOT1880" s="94"/>
      <c r="GOU1880" s="94"/>
      <c r="GOV1880" s="94"/>
      <c r="GOW1880" s="94"/>
      <c r="GOX1880" s="94"/>
      <c r="GOY1880" s="94"/>
      <c r="GOZ1880" s="94"/>
      <c r="GPA1880" s="94"/>
      <c r="GPB1880" s="94"/>
      <c r="GPC1880" s="94"/>
      <c r="GPD1880" s="94"/>
      <c r="GPE1880" s="94"/>
      <c r="GPF1880" s="94"/>
      <c r="GPG1880" s="94"/>
      <c r="GPH1880" s="94"/>
      <c r="GPI1880" s="94"/>
      <c r="GPJ1880" s="94"/>
      <c r="GPK1880" s="94"/>
      <c r="GPL1880" s="94"/>
      <c r="GPM1880" s="94"/>
      <c r="GPN1880" s="94"/>
      <c r="GPO1880" s="94"/>
      <c r="GPP1880" s="94"/>
      <c r="GPQ1880" s="94"/>
      <c r="GPR1880" s="94"/>
      <c r="GPS1880" s="94"/>
      <c r="GPT1880" s="94"/>
      <c r="GPU1880" s="94"/>
      <c r="GPV1880" s="94"/>
      <c r="GPW1880" s="94"/>
      <c r="GPX1880" s="94"/>
      <c r="GPY1880" s="94"/>
      <c r="GPZ1880" s="94"/>
      <c r="GQA1880" s="94"/>
      <c r="GQB1880" s="94"/>
      <c r="GQC1880" s="94"/>
      <c r="GQD1880" s="94"/>
      <c r="GQE1880" s="94"/>
      <c r="GQF1880" s="94"/>
      <c r="GQG1880" s="94"/>
      <c r="GQH1880" s="94"/>
      <c r="GQI1880" s="94"/>
      <c r="GQJ1880" s="94"/>
      <c r="GQK1880" s="94"/>
      <c r="GQL1880" s="94"/>
      <c r="GQM1880" s="94"/>
      <c r="GQN1880" s="94"/>
      <c r="GQO1880" s="94"/>
      <c r="GQP1880" s="94"/>
      <c r="GQQ1880" s="94"/>
      <c r="GQR1880" s="94"/>
      <c r="GQS1880" s="94"/>
      <c r="GQT1880" s="94"/>
      <c r="GQU1880" s="94"/>
      <c r="GQV1880" s="94"/>
      <c r="GQW1880" s="94"/>
      <c r="GQX1880" s="94"/>
      <c r="GQY1880" s="94"/>
      <c r="GQZ1880" s="94"/>
      <c r="GRA1880" s="94"/>
      <c r="GRB1880" s="94"/>
      <c r="GRC1880" s="94"/>
      <c r="GRD1880" s="94"/>
      <c r="GRE1880" s="94"/>
      <c r="GRF1880" s="94"/>
      <c r="GRG1880" s="94"/>
      <c r="GRH1880" s="94"/>
      <c r="GRI1880" s="94"/>
      <c r="GRJ1880" s="94"/>
      <c r="GRK1880" s="94"/>
      <c r="GRL1880" s="94"/>
      <c r="GRM1880" s="94"/>
      <c r="GRN1880" s="94"/>
      <c r="GRO1880" s="94"/>
      <c r="GRP1880" s="94"/>
      <c r="GRQ1880" s="94"/>
      <c r="GRR1880" s="94"/>
      <c r="GRS1880" s="94"/>
      <c r="GRT1880" s="94"/>
      <c r="GRU1880" s="94"/>
      <c r="GRV1880" s="94"/>
      <c r="GRW1880" s="94"/>
      <c r="GRX1880" s="94"/>
      <c r="GRY1880" s="94"/>
      <c r="GRZ1880" s="94"/>
      <c r="GSA1880" s="94"/>
      <c r="GSB1880" s="94"/>
      <c r="GSC1880" s="94"/>
      <c r="GSD1880" s="94"/>
      <c r="GSE1880" s="94"/>
      <c r="GSF1880" s="94"/>
      <c r="GSG1880" s="94"/>
      <c r="GSH1880" s="94"/>
      <c r="GSI1880" s="94"/>
      <c r="GSJ1880" s="94"/>
      <c r="GSK1880" s="94"/>
      <c r="GSL1880" s="94"/>
      <c r="GSM1880" s="94"/>
      <c r="GSN1880" s="94"/>
      <c r="GSO1880" s="94"/>
      <c r="GSP1880" s="94"/>
      <c r="GSQ1880" s="94"/>
      <c r="GSR1880" s="94"/>
      <c r="GSS1880" s="94"/>
      <c r="GST1880" s="94"/>
      <c r="GSU1880" s="94"/>
      <c r="GSV1880" s="94"/>
      <c r="GSW1880" s="94"/>
      <c r="GSX1880" s="94"/>
      <c r="GSY1880" s="94"/>
      <c r="GSZ1880" s="94"/>
      <c r="GTA1880" s="94"/>
      <c r="GTB1880" s="94"/>
      <c r="GTC1880" s="94"/>
      <c r="GTD1880" s="94"/>
      <c r="GTE1880" s="94"/>
      <c r="GTF1880" s="94"/>
      <c r="GTG1880" s="94"/>
      <c r="GTH1880" s="94"/>
      <c r="GTI1880" s="94"/>
      <c r="GTJ1880" s="94"/>
      <c r="GTK1880" s="94"/>
      <c r="GTL1880" s="94"/>
      <c r="GTM1880" s="94"/>
      <c r="GTN1880" s="94"/>
      <c r="GTO1880" s="94"/>
      <c r="GTP1880" s="94"/>
      <c r="GTQ1880" s="94"/>
      <c r="GTR1880" s="94"/>
      <c r="GTS1880" s="94"/>
      <c r="GTT1880" s="94"/>
      <c r="GTU1880" s="94"/>
      <c r="GTV1880" s="94"/>
      <c r="GTW1880" s="94"/>
      <c r="GTX1880" s="94"/>
      <c r="GTY1880" s="94"/>
      <c r="GTZ1880" s="94"/>
      <c r="GUA1880" s="94"/>
      <c r="GUB1880" s="94"/>
      <c r="GUC1880" s="94"/>
      <c r="GUD1880" s="94"/>
      <c r="GUE1880" s="94"/>
      <c r="GUF1880" s="94"/>
      <c r="GUG1880" s="94"/>
      <c r="GUH1880" s="94"/>
      <c r="GUI1880" s="94"/>
      <c r="GUJ1880" s="94"/>
      <c r="GUK1880" s="94"/>
      <c r="GUL1880" s="94"/>
      <c r="GUM1880" s="94"/>
      <c r="GUN1880" s="94"/>
      <c r="GUO1880" s="94"/>
      <c r="GUP1880" s="94"/>
      <c r="GUQ1880" s="94"/>
      <c r="GUR1880" s="94"/>
      <c r="GUS1880" s="94"/>
      <c r="GUT1880" s="94"/>
      <c r="GUU1880" s="94"/>
      <c r="GUV1880" s="94"/>
      <c r="GUW1880" s="94"/>
      <c r="GUX1880" s="94"/>
      <c r="GUY1880" s="94"/>
      <c r="GUZ1880" s="94"/>
      <c r="GVA1880" s="94"/>
      <c r="GVB1880" s="94"/>
      <c r="GVC1880" s="94"/>
      <c r="GVD1880" s="94"/>
      <c r="GVE1880" s="94"/>
      <c r="GVF1880" s="94"/>
      <c r="GVG1880" s="94"/>
      <c r="GVH1880" s="94"/>
      <c r="GVI1880" s="94"/>
      <c r="GVJ1880" s="94"/>
      <c r="GVK1880" s="94"/>
      <c r="GVL1880" s="94"/>
      <c r="GVM1880" s="94"/>
      <c r="GVN1880" s="94"/>
      <c r="GVO1880" s="94"/>
      <c r="GVP1880" s="94"/>
      <c r="GVQ1880" s="94"/>
      <c r="GVR1880" s="94"/>
      <c r="GVS1880" s="94"/>
      <c r="GVT1880" s="94"/>
      <c r="GVU1880" s="94"/>
      <c r="GVV1880" s="94"/>
      <c r="GVW1880" s="94"/>
      <c r="GVX1880" s="94"/>
      <c r="GVY1880" s="94"/>
      <c r="GVZ1880" s="94"/>
      <c r="GWA1880" s="94"/>
      <c r="GWB1880" s="94"/>
      <c r="GWC1880" s="94"/>
      <c r="GWD1880" s="94"/>
      <c r="GWE1880" s="94"/>
      <c r="GWF1880" s="94"/>
      <c r="GWG1880" s="94"/>
      <c r="GWH1880" s="94"/>
      <c r="GWI1880" s="94"/>
      <c r="GWJ1880" s="94"/>
      <c r="GWK1880" s="94"/>
      <c r="GWL1880" s="94"/>
      <c r="GWM1880" s="94"/>
      <c r="GWN1880" s="94"/>
      <c r="GWO1880" s="94"/>
      <c r="GWP1880" s="94"/>
      <c r="GWQ1880" s="94"/>
      <c r="GWR1880" s="94"/>
      <c r="GWS1880" s="94"/>
      <c r="GWT1880" s="94"/>
      <c r="GWU1880" s="94"/>
      <c r="GWV1880" s="94"/>
      <c r="GWW1880" s="94"/>
      <c r="GWX1880" s="94"/>
      <c r="GWY1880" s="94"/>
      <c r="GWZ1880" s="94"/>
      <c r="GXA1880" s="94"/>
      <c r="GXB1880" s="94"/>
      <c r="GXC1880" s="94"/>
      <c r="GXD1880" s="94"/>
      <c r="GXE1880" s="94"/>
      <c r="GXF1880" s="94"/>
      <c r="GXG1880" s="94"/>
      <c r="GXH1880" s="94"/>
      <c r="GXI1880" s="94"/>
      <c r="GXJ1880" s="94"/>
      <c r="GXK1880" s="94"/>
      <c r="GXL1880" s="94"/>
      <c r="GXM1880" s="94"/>
      <c r="GXN1880" s="94"/>
      <c r="GXO1880" s="94"/>
      <c r="GXP1880" s="94"/>
      <c r="GXQ1880" s="94"/>
      <c r="GXR1880" s="94"/>
      <c r="GXS1880" s="94"/>
      <c r="GXT1880" s="94"/>
      <c r="GXU1880" s="94"/>
      <c r="GXV1880" s="94"/>
      <c r="GXW1880" s="94"/>
      <c r="GXX1880" s="94"/>
      <c r="GXY1880" s="94"/>
      <c r="GXZ1880" s="94"/>
      <c r="GYA1880" s="94"/>
      <c r="GYB1880" s="94"/>
      <c r="GYC1880" s="94"/>
      <c r="GYD1880" s="94"/>
      <c r="GYE1880" s="94"/>
      <c r="GYF1880" s="94"/>
      <c r="GYG1880" s="94"/>
      <c r="GYH1880" s="94"/>
      <c r="GYI1880" s="94"/>
      <c r="GYJ1880" s="94"/>
      <c r="GYK1880" s="94"/>
      <c r="GYL1880" s="94"/>
      <c r="GYM1880" s="94"/>
      <c r="GYN1880" s="94"/>
      <c r="GYO1880" s="94"/>
      <c r="GYP1880" s="94"/>
      <c r="GYQ1880" s="94"/>
      <c r="GYR1880" s="94"/>
      <c r="GYS1880" s="94"/>
      <c r="GYT1880" s="94"/>
      <c r="GYU1880" s="94"/>
      <c r="GYV1880" s="94"/>
      <c r="GYW1880" s="94"/>
      <c r="GYX1880" s="94"/>
      <c r="GYY1880" s="94"/>
      <c r="GYZ1880" s="94"/>
      <c r="GZA1880" s="94"/>
      <c r="GZB1880" s="94"/>
      <c r="GZC1880" s="94"/>
      <c r="GZD1880" s="94"/>
      <c r="GZE1880" s="94"/>
      <c r="GZF1880" s="94"/>
      <c r="GZG1880" s="94"/>
      <c r="GZH1880" s="94"/>
      <c r="GZI1880" s="94"/>
      <c r="GZJ1880" s="94"/>
      <c r="GZK1880" s="94"/>
      <c r="GZL1880" s="94"/>
      <c r="GZM1880" s="94"/>
      <c r="GZN1880" s="94"/>
      <c r="GZO1880" s="94"/>
      <c r="GZP1880" s="94"/>
      <c r="GZQ1880" s="94"/>
      <c r="GZR1880" s="94"/>
      <c r="GZS1880" s="94"/>
      <c r="GZT1880" s="94"/>
      <c r="GZU1880" s="94"/>
      <c r="GZV1880" s="94"/>
      <c r="GZW1880" s="94"/>
      <c r="GZX1880" s="94"/>
      <c r="GZY1880" s="94"/>
      <c r="GZZ1880" s="94"/>
      <c r="HAA1880" s="94"/>
      <c r="HAB1880" s="94"/>
      <c r="HAC1880" s="94"/>
      <c r="HAD1880" s="94"/>
      <c r="HAE1880" s="94"/>
      <c r="HAF1880" s="94"/>
      <c r="HAG1880" s="94"/>
      <c r="HAH1880" s="94"/>
      <c r="HAI1880" s="94"/>
      <c r="HAJ1880" s="94"/>
      <c r="HAK1880" s="94"/>
      <c r="HAL1880" s="94"/>
      <c r="HAM1880" s="94"/>
      <c r="HAN1880" s="94"/>
      <c r="HAO1880" s="94"/>
      <c r="HAP1880" s="94"/>
      <c r="HAQ1880" s="94"/>
      <c r="HAR1880" s="94"/>
      <c r="HAS1880" s="94"/>
      <c r="HAT1880" s="94"/>
      <c r="HAU1880" s="94"/>
      <c r="HAV1880" s="94"/>
      <c r="HAW1880" s="94"/>
      <c r="HAX1880" s="94"/>
      <c r="HAY1880" s="94"/>
      <c r="HAZ1880" s="94"/>
      <c r="HBA1880" s="94"/>
      <c r="HBB1880" s="94"/>
      <c r="HBC1880" s="94"/>
      <c r="HBD1880" s="94"/>
      <c r="HBE1880" s="94"/>
      <c r="HBF1880" s="94"/>
      <c r="HBG1880" s="94"/>
      <c r="HBH1880" s="94"/>
      <c r="HBI1880" s="94"/>
      <c r="HBJ1880" s="94"/>
      <c r="HBK1880" s="94"/>
      <c r="HBL1880" s="94"/>
      <c r="HBM1880" s="94"/>
      <c r="HBN1880" s="94"/>
      <c r="HBO1880" s="94"/>
      <c r="HBP1880" s="94"/>
      <c r="HBQ1880" s="94"/>
      <c r="HBR1880" s="94"/>
      <c r="HBS1880" s="94"/>
      <c r="HBT1880" s="94"/>
      <c r="HBU1880" s="94"/>
      <c r="HBV1880" s="94"/>
      <c r="HBW1880" s="94"/>
      <c r="HBX1880" s="94"/>
      <c r="HBY1880" s="94"/>
      <c r="HBZ1880" s="94"/>
      <c r="HCA1880" s="94"/>
      <c r="HCB1880" s="94"/>
      <c r="HCC1880" s="94"/>
      <c r="HCD1880" s="94"/>
      <c r="HCE1880" s="94"/>
      <c r="HCF1880" s="94"/>
      <c r="HCG1880" s="94"/>
      <c r="HCH1880" s="94"/>
      <c r="HCI1880" s="94"/>
      <c r="HCJ1880" s="94"/>
      <c r="HCK1880" s="94"/>
      <c r="HCL1880" s="94"/>
      <c r="HCM1880" s="94"/>
      <c r="HCN1880" s="94"/>
      <c r="HCO1880" s="94"/>
      <c r="HCP1880" s="94"/>
      <c r="HCQ1880" s="94"/>
      <c r="HCR1880" s="94"/>
      <c r="HCS1880" s="94"/>
      <c r="HCT1880" s="94"/>
      <c r="HCU1880" s="94"/>
      <c r="HCV1880" s="94"/>
      <c r="HCW1880" s="94"/>
      <c r="HCX1880" s="94"/>
      <c r="HCY1880" s="94"/>
      <c r="HCZ1880" s="94"/>
      <c r="HDA1880" s="94"/>
      <c r="HDB1880" s="94"/>
      <c r="HDC1880" s="94"/>
      <c r="HDD1880" s="94"/>
      <c r="HDE1880" s="94"/>
      <c r="HDF1880" s="94"/>
      <c r="HDG1880" s="94"/>
      <c r="HDH1880" s="94"/>
      <c r="HDI1880" s="94"/>
      <c r="HDJ1880" s="94"/>
      <c r="HDK1880" s="94"/>
      <c r="HDL1880" s="94"/>
      <c r="HDM1880" s="94"/>
      <c r="HDN1880" s="94"/>
      <c r="HDO1880" s="94"/>
      <c r="HDP1880" s="94"/>
      <c r="HDQ1880" s="94"/>
      <c r="HDR1880" s="94"/>
      <c r="HDS1880" s="94"/>
      <c r="HDT1880" s="94"/>
      <c r="HDU1880" s="94"/>
      <c r="HDV1880" s="94"/>
      <c r="HDW1880" s="94"/>
      <c r="HDX1880" s="94"/>
      <c r="HDY1880" s="94"/>
      <c r="HDZ1880" s="94"/>
      <c r="HEA1880" s="94"/>
      <c r="HEB1880" s="94"/>
      <c r="HEC1880" s="94"/>
      <c r="HED1880" s="94"/>
      <c r="HEE1880" s="94"/>
      <c r="HEF1880" s="94"/>
      <c r="HEG1880" s="94"/>
      <c r="HEH1880" s="94"/>
      <c r="HEI1880" s="94"/>
      <c r="HEJ1880" s="94"/>
      <c r="HEK1880" s="94"/>
      <c r="HEL1880" s="94"/>
      <c r="HEM1880" s="94"/>
      <c r="HEN1880" s="94"/>
      <c r="HEO1880" s="94"/>
      <c r="HEP1880" s="94"/>
      <c r="HEQ1880" s="94"/>
      <c r="HER1880" s="94"/>
      <c r="HES1880" s="94"/>
      <c r="HET1880" s="94"/>
      <c r="HEU1880" s="94"/>
      <c r="HEV1880" s="94"/>
      <c r="HEW1880" s="94"/>
      <c r="HEX1880" s="94"/>
      <c r="HEY1880" s="94"/>
      <c r="HEZ1880" s="94"/>
      <c r="HFA1880" s="94"/>
      <c r="HFB1880" s="94"/>
      <c r="HFC1880" s="94"/>
      <c r="HFD1880" s="94"/>
      <c r="HFE1880" s="94"/>
      <c r="HFF1880" s="94"/>
      <c r="HFG1880" s="94"/>
      <c r="HFH1880" s="94"/>
      <c r="HFI1880" s="94"/>
      <c r="HFJ1880" s="94"/>
      <c r="HFK1880" s="94"/>
      <c r="HFL1880" s="94"/>
      <c r="HFM1880" s="94"/>
      <c r="HFN1880" s="94"/>
      <c r="HFO1880" s="94"/>
      <c r="HFP1880" s="94"/>
      <c r="HFQ1880" s="94"/>
      <c r="HFR1880" s="94"/>
      <c r="HFS1880" s="94"/>
      <c r="HFT1880" s="94"/>
      <c r="HFU1880" s="94"/>
      <c r="HFV1880" s="94"/>
      <c r="HFW1880" s="94"/>
      <c r="HFX1880" s="94"/>
      <c r="HFY1880" s="94"/>
      <c r="HFZ1880" s="94"/>
      <c r="HGA1880" s="94"/>
      <c r="HGB1880" s="94"/>
      <c r="HGC1880" s="94"/>
      <c r="HGD1880" s="94"/>
      <c r="HGE1880" s="94"/>
      <c r="HGF1880" s="94"/>
      <c r="HGG1880" s="94"/>
      <c r="HGH1880" s="94"/>
      <c r="HGI1880" s="94"/>
      <c r="HGJ1880" s="94"/>
      <c r="HGK1880" s="94"/>
      <c r="HGL1880" s="94"/>
      <c r="HGM1880" s="94"/>
      <c r="HGN1880" s="94"/>
      <c r="HGO1880" s="94"/>
      <c r="HGP1880" s="94"/>
      <c r="HGQ1880" s="94"/>
      <c r="HGR1880" s="94"/>
      <c r="HGS1880" s="94"/>
      <c r="HGT1880" s="94"/>
      <c r="HGU1880" s="94"/>
      <c r="HGV1880" s="94"/>
      <c r="HGW1880" s="94"/>
      <c r="HGX1880" s="94"/>
      <c r="HGY1880" s="94"/>
      <c r="HGZ1880" s="94"/>
      <c r="HHA1880" s="94"/>
      <c r="HHB1880" s="94"/>
      <c r="HHC1880" s="94"/>
      <c r="HHD1880" s="94"/>
      <c r="HHE1880" s="94"/>
      <c r="HHF1880" s="94"/>
      <c r="HHG1880" s="94"/>
      <c r="HHH1880" s="94"/>
      <c r="HHI1880" s="94"/>
      <c r="HHJ1880" s="94"/>
      <c r="HHK1880" s="94"/>
      <c r="HHL1880" s="94"/>
      <c r="HHM1880" s="94"/>
      <c r="HHN1880" s="94"/>
      <c r="HHO1880" s="94"/>
      <c r="HHP1880" s="94"/>
      <c r="HHQ1880" s="94"/>
      <c r="HHR1880" s="94"/>
      <c r="HHS1880" s="94"/>
      <c r="HHT1880" s="94"/>
      <c r="HHU1880" s="94"/>
      <c r="HHV1880" s="94"/>
      <c r="HHW1880" s="94"/>
      <c r="HHX1880" s="94"/>
      <c r="HHY1880" s="94"/>
      <c r="HHZ1880" s="94"/>
      <c r="HIA1880" s="94"/>
      <c r="HIB1880" s="94"/>
      <c r="HIC1880" s="94"/>
      <c r="HID1880" s="94"/>
      <c r="HIE1880" s="94"/>
      <c r="HIF1880" s="94"/>
      <c r="HIG1880" s="94"/>
      <c r="HIH1880" s="94"/>
      <c r="HII1880" s="94"/>
      <c r="HIJ1880" s="94"/>
      <c r="HIK1880" s="94"/>
      <c r="HIL1880" s="94"/>
      <c r="HIM1880" s="94"/>
      <c r="HIN1880" s="94"/>
      <c r="HIO1880" s="94"/>
      <c r="HIP1880" s="94"/>
      <c r="HIQ1880" s="94"/>
      <c r="HIR1880" s="94"/>
      <c r="HIS1880" s="94"/>
      <c r="HIT1880" s="94"/>
      <c r="HIU1880" s="94"/>
      <c r="HIV1880" s="94"/>
      <c r="HIW1880" s="94"/>
      <c r="HIX1880" s="94"/>
      <c r="HIY1880" s="94"/>
      <c r="HIZ1880" s="94"/>
      <c r="HJA1880" s="94"/>
      <c r="HJB1880" s="94"/>
      <c r="HJC1880" s="94"/>
      <c r="HJD1880" s="94"/>
      <c r="HJE1880" s="94"/>
      <c r="HJF1880" s="94"/>
      <c r="HJG1880" s="94"/>
      <c r="HJH1880" s="94"/>
      <c r="HJI1880" s="94"/>
      <c r="HJJ1880" s="94"/>
      <c r="HJK1880" s="94"/>
      <c r="HJL1880" s="94"/>
      <c r="HJM1880" s="94"/>
      <c r="HJN1880" s="94"/>
      <c r="HJO1880" s="94"/>
      <c r="HJP1880" s="94"/>
      <c r="HJQ1880" s="94"/>
      <c r="HJR1880" s="94"/>
      <c r="HJS1880" s="94"/>
      <c r="HJT1880" s="94"/>
      <c r="HJU1880" s="94"/>
      <c r="HJV1880" s="94"/>
      <c r="HJW1880" s="94"/>
      <c r="HJX1880" s="94"/>
      <c r="HJY1880" s="94"/>
      <c r="HJZ1880" s="94"/>
      <c r="HKA1880" s="94"/>
      <c r="HKB1880" s="94"/>
      <c r="HKC1880" s="94"/>
      <c r="HKD1880" s="94"/>
      <c r="HKE1880" s="94"/>
      <c r="HKF1880" s="94"/>
      <c r="HKG1880" s="94"/>
      <c r="HKH1880" s="94"/>
      <c r="HKI1880" s="94"/>
      <c r="HKJ1880" s="94"/>
      <c r="HKK1880" s="94"/>
      <c r="HKL1880" s="94"/>
      <c r="HKM1880" s="94"/>
      <c r="HKN1880" s="94"/>
      <c r="HKO1880" s="94"/>
      <c r="HKP1880" s="94"/>
      <c r="HKQ1880" s="94"/>
      <c r="HKR1880" s="94"/>
      <c r="HKS1880" s="94"/>
      <c r="HKT1880" s="94"/>
      <c r="HKU1880" s="94"/>
      <c r="HKV1880" s="94"/>
      <c r="HKW1880" s="94"/>
      <c r="HKX1880" s="94"/>
      <c r="HKY1880" s="94"/>
      <c r="HKZ1880" s="94"/>
      <c r="HLA1880" s="94"/>
      <c r="HLB1880" s="94"/>
      <c r="HLC1880" s="94"/>
      <c r="HLD1880" s="94"/>
      <c r="HLE1880" s="94"/>
      <c r="HLF1880" s="94"/>
      <c r="HLG1880" s="94"/>
      <c r="HLH1880" s="94"/>
      <c r="HLI1880" s="94"/>
      <c r="HLJ1880" s="94"/>
      <c r="HLK1880" s="94"/>
      <c r="HLL1880" s="94"/>
      <c r="HLM1880" s="94"/>
      <c r="HLN1880" s="94"/>
      <c r="HLO1880" s="94"/>
      <c r="HLP1880" s="94"/>
      <c r="HLQ1880" s="94"/>
      <c r="HLR1880" s="94"/>
      <c r="HLS1880" s="94"/>
      <c r="HLT1880" s="94"/>
      <c r="HLU1880" s="94"/>
      <c r="HLV1880" s="94"/>
      <c r="HLW1880" s="94"/>
      <c r="HLX1880" s="94"/>
      <c r="HLY1880" s="94"/>
      <c r="HLZ1880" s="94"/>
      <c r="HMA1880" s="94"/>
      <c r="HMB1880" s="94"/>
      <c r="HMC1880" s="94"/>
      <c r="HMD1880" s="94"/>
      <c r="HME1880" s="94"/>
      <c r="HMF1880" s="94"/>
      <c r="HMG1880" s="94"/>
      <c r="HMH1880" s="94"/>
      <c r="HMI1880" s="94"/>
      <c r="HMJ1880" s="94"/>
      <c r="HMK1880" s="94"/>
      <c r="HML1880" s="94"/>
      <c r="HMM1880" s="94"/>
      <c r="HMN1880" s="94"/>
      <c r="HMO1880" s="94"/>
      <c r="HMP1880" s="94"/>
      <c r="HMQ1880" s="94"/>
      <c r="HMR1880" s="94"/>
      <c r="HMS1880" s="94"/>
      <c r="HMT1880" s="94"/>
      <c r="HMU1880" s="94"/>
      <c r="HMV1880" s="94"/>
      <c r="HMW1880" s="94"/>
      <c r="HMX1880" s="94"/>
      <c r="HMY1880" s="94"/>
      <c r="HMZ1880" s="94"/>
      <c r="HNA1880" s="94"/>
      <c r="HNB1880" s="94"/>
      <c r="HNC1880" s="94"/>
      <c r="HND1880" s="94"/>
      <c r="HNE1880" s="94"/>
      <c r="HNF1880" s="94"/>
      <c r="HNG1880" s="94"/>
      <c r="HNH1880" s="94"/>
      <c r="HNI1880" s="94"/>
      <c r="HNJ1880" s="94"/>
      <c r="HNK1880" s="94"/>
      <c r="HNL1880" s="94"/>
      <c r="HNM1880" s="94"/>
      <c r="HNN1880" s="94"/>
      <c r="HNO1880" s="94"/>
      <c r="HNP1880" s="94"/>
      <c r="HNQ1880" s="94"/>
      <c r="HNR1880" s="94"/>
      <c r="HNS1880" s="94"/>
      <c r="HNT1880" s="94"/>
      <c r="HNU1880" s="94"/>
      <c r="HNV1880" s="94"/>
      <c r="HNW1880" s="94"/>
      <c r="HNX1880" s="94"/>
      <c r="HNY1880" s="94"/>
      <c r="HNZ1880" s="94"/>
      <c r="HOA1880" s="94"/>
      <c r="HOB1880" s="94"/>
      <c r="HOC1880" s="94"/>
      <c r="HOD1880" s="94"/>
      <c r="HOE1880" s="94"/>
      <c r="HOF1880" s="94"/>
      <c r="HOG1880" s="94"/>
      <c r="HOH1880" s="94"/>
      <c r="HOI1880" s="94"/>
      <c r="HOJ1880" s="94"/>
      <c r="HOK1880" s="94"/>
      <c r="HOL1880" s="94"/>
      <c r="HOM1880" s="94"/>
      <c r="HON1880" s="94"/>
      <c r="HOO1880" s="94"/>
      <c r="HOP1880" s="94"/>
      <c r="HOQ1880" s="94"/>
      <c r="HOR1880" s="94"/>
      <c r="HOS1880" s="94"/>
      <c r="HOT1880" s="94"/>
      <c r="HOU1880" s="94"/>
      <c r="HOV1880" s="94"/>
      <c r="HOW1880" s="94"/>
      <c r="HOX1880" s="94"/>
      <c r="HOY1880" s="94"/>
      <c r="HOZ1880" s="94"/>
      <c r="HPA1880" s="94"/>
      <c r="HPB1880" s="94"/>
      <c r="HPC1880" s="94"/>
      <c r="HPD1880" s="94"/>
      <c r="HPE1880" s="94"/>
      <c r="HPF1880" s="94"/>
      <c r="HPG1880" s="94"/>
      <c r="HPH1880" s="94"/>
      <c r="HPI1880" s="94"/>
      <c r="HPJ1880" s="94"/>
      <c r="HPK1880" s="94"/>
      <c r="HPL1880" s="94"/>
      <c r="HPM1880" s="94"/>
      <c r="HPN1880" s="94"/>
      <c r="HPO1880" s="94"/>
      <c r="HPP1880" s="94"/>
      <c r="HPQ1880" s="94"/>
      <c r="HPR1880" s="94"/>
      <c r="HPS1880" s="94"/>
      <c r="HPT1880" s="94"/>
      <c r="HPU1880" s="94"/>
      <c r="HPV1880" s="94"/>
      <c r="HPW1880" s="94"/>
      <c r="HPX1880" s="94"/>
      <c r="HPY1880" s="94"/>
      <c r="HPZ1880" s="94"/>
      <c r="HQA1880" s="94"/>
      <c r="HQB1880" s="94"/>
      <c r="HQC1880" s="94"/>
      <c r="HQD1880" s="94"/>
      <c r="HQE1880" s="94"/>
      <c r="HQF1880" s="94"/>
      <c r="HQG1880" s="94"/>
      <c r="HQH1880" s="94"/>
      <c r="HQI1880" s="94"/>
      <c r="HQJ1880" s="94"/>
      <c r="HQK1880" s="94"/>
      <c r="HQL1880" s="94"/>
      <c r="HQM1880" s="94"/>
      <c r="HQN1880" s="94"/>
      <c r="HQO1880" s="94"/>
      <c r="HQP1880" s="94"/>
      <c r="HQQ1880" s="94"/>
      <c r="HQR1880" s="94"/>
      <c r="HQS1880" s="94"/>
      <c r="HQT1880" s="94"/>
      <c r="HQU1880" s="94"/>
      <c r="HQV1880" s="94"/>
      <c r="HQW1880" s="94"/>
      <c r="HQX1880" s="94"/>
      <c r="HQY1880" s="94"/>
      <c r="HQZ1880" s="94"/>
      <c r="HRA1880" s="94"/>
      <c r="HRB1880" s="94"/>
      <c r="HRC1880" s="94"/>
      <c r="HRD1880" s="94"/>
      <c r="HRE1880" s="94"/>
      <c r="HRF1880" s="94"/>
      <c r="HRG1880" s="94"/>
      <c r="HRH1880" s="94"/>
      <c r="HRI1880" s="94"/>
      <c r="HRJ1880" s="94"/>
      <c r="HRK1880" s="94"/>
      <c r="HRL1880" s="94"/>
      <c r="HRM1880" s="94"/>
      <c r="HRN1880" s="94"/>
      <c r="HRO1880" s="94"/>
      <c r="HRP1880" s="94"/>
      <c r="HRQ1880" s="94"/>
      <c r="HRR1880" s="94"/>
      <c r="HRS1880" s="94"/>
      <c r="HRT1880" s="94"/>
      <c r="HRU1880" s="94"/>
      <c r="HRV1880" s="94"/>
      <c r="HRW1880" s="94"/>
      <c r="HRX1880" s="94"/>
      <c r="HRY1880" s="94"/>
      <c r="HRZ1880" s="94"/>
      <c r="HSA1880" s="94"/>
      <c r="HSB1880" s="94"/>
      <c r="HSC1880" s="94"/>
      <c r="HSD1880" s="94"/>
      <c r="HSE1880" s="94"/>
      <c r="HSF1880" s="94"/>
      <c r="HSG1880" s="94"/>
      <c r="HSH1880" s="94"/>
      <c r="HSI1880" s="94"/>
      <c r="HSJ1880" s="94"/>
      <c r="HSK1880" s="94"/>
      <c r="HSL1880" s="94"/>
      <c r="HSM1880" s="94"/>
      <c r="HSN1880" s="94"/>
      <c r="HSO1880" s="94"/>
      <c r="HSP1880" s="94"/>
      <c r="HSQ1880" s="94"/>
      <c r="HSR1880" s="94"/>
      <c r="HSS1880" s="94"/>
      <c r="HST1880" s="94"/>
      <c r="HSU1880" s="94"/>
      <c r="HSV1880" s="94"/>
      <c r="HSW1880" s="94"/>
      <c r="HSX1880" s="94"/>
      <c r="HSY1880" s="94"/>
      <c r="HSZ1880" s="94"/>
      <c r="HTA1880" s="94"/>
      <c r="HTB1880" s="94"/>
      <c r="HTC1880" s="94"/>
      <c r="HTD1880" s="94"/>
      <c r="HTE1880" s="94"/>
      <c r="HTF1880" s="94"/>
      <c r="HTG1880" s="94"/>
      <c r="HTH1880" s="94"/>
      <c r="HTI1880" s="94"/>
      <c r="HTJ1880" s="94"/>
      <c r="HTK1880" s="94"/>
      <c r="HTL1880" s="94"/>
      <c r="HTM1880" s="94"/>
      <c r="HTN1880" s="94"/>
      <c r="HTO1880" s="94"/>
      <c r="HTP1880" s="94"/>
      <c r="HTQ1880" s="94"/>
      <c r="HTR1880" s="94"/>
      <c r="HTS1880" s="94"/>
      <c r="HTT1880" s="94"/>
      <c r="HTU1880" s="94"/>
      <c r="HTV1880" s="94"/>
      <c r="HTW1880" s="94"/>
      <c r="HTX1880" s="94"/>
      <c r="HTY1880" s="94"/>
      <c r="HTZ1880" s="94"/>
      <c r="HUA1880" s="94"/>
      <c r="HUB1880" s="94"/>
      <c r="HUC1880" s="94"/>
      <c r="HUD1880" s="94"/>
      <c r="HUE1880" s="94"/>
      <c r="HUF1880" s="94"/>
      <c r="HUG1880" s="94"/>
      <c r="HUH1880" s="94"/>
      <c r="HUI1880" s="94"/>
      <c r="HUJ1880" s="94"/>
      <c r="HUK1880" s="94"/>
      <c r="HUL1880" s="94"/>
      <c r="HUM1880" s="94"/>
      <c r="HUN1880" s="94"/>
      <c r="HUO1880" s="94"/>
      <c r="HUP1880" s="94"/>
      <c r="HUQ1880" s="94"/>
      <c r="HUR1880" s="94"/>
      <c r="HUS1880" s="94"/>
      <c r="HUT1880" s="94"/>
      <c r="HUU1880" s="94"/>
      <c r="HUV1880" s="94"/>
      <c r="HUW1880" s="94"/>
      <c r="HUX1880" s="94"/>
      <c r="HUY1880" s="94"/>
      <c r="HUZ1880" s="94"/>
      <c r="HVA1880" s="94"/>
      <c r="HVB1880" s="94"/>
      <c r="HVC1880" s="94"/>
      <c r="HVD1880" s="94"/>
      <c r="HVE1880" s="94"/>
      <c r="HVF1880" s="94"/>
      <c r="HVG1880" s="94"/>
      <c r="HVH1880" s="94"/>
      <c r="HVI1880" s="94"/>
      <c r="HVJ1880" s="94"/>
      <c r="HVK1880" s="94"/>
      <c r="HVL1880" s="94"/>
      <c r="HVM1880" s="94"/>
      <c r="HVN1880" s="94"/>
      <c r="HVO1880" s="94"/>
      <c r="HVP1880" s="94"/>
      <c r="HVQ1880" s="94"/>
      <c r="HVR1880" s="94"/>
      <c r="HVS1880" s="94"/>
      <c r="HVT1880" s="94"/>
      <c r="HVU1880" s="94"/>
      <c r="HVV1880" s="94"/>
      <c r="HVW1880" s="94"/>
      <c r="HVX1880" s="94"/>
      <c r="HVY1880" s="94"/>
      <c r="HVZ1880" s="94"/>
      <c r="HWA1880" s="94"/>
      <c r="HWB1880" s="94"/>
      <c r="HWC1880" s="94"/>
      <c r="HWD1880" s="94"/>
      <c r="HWE1880" s="94"/>
      <c r="HWF1880" s="94"/>
      <c r="HWG1880" s="94"/>
      <c r="HWH1880" s="94"/>
      <c r="HWI1880" s="94"/>
      <c r="HWJ1880" s="94"/>
      <c r="HWK1880" s="94"/>
      <c r="HWL1880" s="94"/>
      <c r="HWM1880" s="94"/>
      <c r="HWN1880" s="94"/>
      <c r="HWO1880" s="94"/>
      <c r="HWP1880" s="94"/>
      <c r="HWQ1880" s="94"/>
      <c r="HWR1880" s="94"/>
      <c r="HWS1880" s="94"/>
      <c r="HWT1880" s="94"/>
      <c r="HWU1880" s="94"/>
      <c r="HWV1880" s="94"/>
      <c r="HWW1880" s="94"/>
      <c r="HWX1880" s="94"/>
      <c r="HWY1880" s="94"/>
      <c r="HWZ1880" s="94"/>
      <c r="HXA1880" s="94"/>
      <c r="HXB1880" s="94"/>
      <c r="HXC1880" s="94"/>
      <c r="HXD1880" s="94"/>
      <c r="HXE1880" s="94"/>
      <c r="HXF1880" s="94"/>
      <c r="HXG1880" s="94"/>
      <c r="HXH1880" s="94"/>
      <c r="HXI1880" s="94"/>
      <c r="HXJ1880" s="94"/>
      <c r="HXK1880" s="94"/>
      <c r="HXL1880" s="94"/>
      <c r="HXM1880" s="94"/>
      <c r="HXN1880" s="94"/>
      <c r="HXO1880" s="94"/>
      <c r="HXP1880" s="94"/>
      <c r="HXQ1880" s="94"/>
      <c r="HXR1880" s="94"/>
      <c r="HXS1880" s="94"/>
      <c r="HXT1880" s="94"/>
      <c r="HXU1880" s="94"/>
      <c r="HXV1880" s="94"/>
      <c r="HXW1880" s="94"/>
      <c r="HXX1880" s="94"/>
      <c r="HXY1880" s="94"/>
      <c r="HXZ1880" s="94"/>
      <c r="HYA1880" s="94"/>
      <c r="HYB1880" s="94"/>
      <c r="HYC1880" s="94"/>
      <c r="HYD1880" s="94"/>
      <c r="HYE1880" s="94"/>
      <c r="HYF1880" s="94"/>
      <c r="HYG1880" s="94"/>
      <c r="HYH1880" s="94"/>
      <c r="HYI1880" s="94"/>
      <c r="HYJ1880" s="94"/>
      <c r="HYK1880" s="94"/>
      <c r="HYL1880" s="94"/>
      <c r="HYM1880" s="94"/>
      <c r="HYN1880" s="94"/>
      <c r="HYO1880" s="94"/>
      <c r="HYP1880" s="94"/>
      <c r="HYQ1880" s="94"/>
      <c r="HYR1880" s="94"/>
      <c r="HYS1880" s="94"/>
      <c r="HYT1880" s="94"/>
      <c r="HYU1880" s="94"/>
      <c r="HYV1880" s="94"/>
      <c r="HYW1880" s="94"/>
      <c r="HYX1880" s="94"/>
      <c r="HYY1880" s="94"/>
      <c r="HYZ1880" s="94"/>
      <c r="HZA1880" s="94"/>
      <c r="HZB1880" s="94"/>
      <c r="HZC1880" s="94"/>
      <c r="HZD1880" s="94"/>
      <c r="HZE1880" s="94"/>
      <c r="HZF1880" s="94"/>
      <c r="HZG1880" s="94"/>
      <c r="HZH1880" s="94"/>
      <c r="HZI1880" s="94"/>
      <c r="HZJ1880" s="94"/>
      <c r="HZK1880" s="94"/>
      <c r="HZL1880" s="94"/>
      <c r="HZM1880" s="94"/>
      <c r="HZN1880" s="94"/>
      <c r="HZO1880" s="94"/>
      <c r="HZP1880" s="94"/>
      <c r="HZQ1880" s="94"/>
      <c r="HZR1880" s="94"/>
      <c r="HZS1880" s="94"/>
      <c r="HZT1880" s="94"/>
      <c r="HZU1880" s="94"/>
      <c r="HZV1880" s="94"/>
      <c r="HZW1880" s="94"/>
      <c r="HZX1880" s="94"/>
      <c r="HZY1880" s="94"/>
      <c r="HZZ1880" s="94"/>
      <c r="IAA1880" s="94"/>
      <c r="IAB1880" s="94"/>
      <c r="IAC1880" s="94"/>
      <c r="IAD1880" s="94"/>
      <c r="IAE1880" s="94"/>
      <c r="IAF1880" s="94"/>
      <c r="IAG1880" s="94"/>
      <c r="IAH1880" s="94"/>
      <c r="IAI1880" s="94"/>
      <c r="IAJ1880" s="94"/>
      <c r="IAK1880" s="94"/>
      <c r="IAL1880" s="94"/>
      <c r="IAM1880" s="94"/>
      <c r="IAN1880" s="94"/>
      <c r="IAO1880" s="94"/>
      <c r="IAP1880" s="94"/>
      <c r="IAQ1880" s="94"/>
      <c r="IAR1880" s="94"/>
      <c r="IAS1880" s="94"/>
      <c r="IAT1880" s="94"/>
      <c r="IAU1880" s="94"/>
      <c r="IAV1880" s="94"/>
      <c r="IAW1880" s="94"/>
      <c r="IAX1880" s="94"/>
      <c r="IAY1880" s="94"/>
      <c r="IAZ1880" s="94"/>
      <c r="IBA1880" s="94"/>
      <c r="IBB1880" s="94"/>
      <c r="IBC1880" s="94"/>
      <c r="IBD1880" s="94"/>
      <c r="IBE1880" s="94"/>
      <c r="IBF1880" s="94"/>
      <c r="IBG1880" s="94"/>
      <c r="IBH1880" s="94"/>
      <c r="IBI1880" s="94"/>
      <c r="IBJ1880" s="94"/>
      <c r="IBK1880" s="94"/>
      <c r="IBL1880" s="94"/>
      <c r="IBM1880" s="94"/>
      <c r="IBN1880" s="94"/>
      <c r="IBO1880" s="94"/>
      <c r="IBP1880" s="94"/>
      <c r="IBQ1880" s="94"/>
      <c r="IBR1880" s="94"/>
      <c r="IBS1880" s="94"/>
      <c r="IBT1880" s="94"/>
      <c r="IBU1880" s="94"/>
      <c r="IBV1880" s="94"/>
      <c r="IBW1880" s="94"/>
      <c r="IBX1880" s="94"/>
      <c r="IBY1880" s="94"/>
      <c r="IBZ1880" s="94"/>
      <c r="ICA1880" s="94"/>
      <c r="ICB1880" s="94"/>
      <c r="ICC1880" s="94"/>
      <c r="ICD1880" s="94"/>
      <c r="ICE1880" s="94"/>
      <c r="ICF1880" s="94"/>
      <c r="ICG1880" s="94"/>
      <c r="ICH1880" s="94"/>
      <c r="ICI1880" s="94"/>
      <c r="ICJ1880" s="94"/>
      <c r="ICK1880" s="94"/>
      <c r="ICL1880" s="94"/>
      <c r="ICM1880" s="94"/>
      <c r="ICN1880" s="94"/>
      <c r="ICO1880" s="94"/>
      <c r="ICP1880" s="94"/>
      <c r="ICQ1880" s="94"/>
      <c r="ICR1880" s="94"/>
      <c r="ICS1880" s="94"/>
      <c r="ICT1880" s="94"/>
      <c r="ICU1880" s="94"/>
      <c r="ICV1880" s="94"/>
      <c r="ICW1880" s="94"/>
      <c r="ICX1880" s="94"/>
      <c r="ICY1880" s="94"/>
      <c r="ICZ1880" s="94"/>
      <c r="IDA1880" s="94"/>
      <c r="IDB1880" s="94"/>
      <c r="IDC1880" s="94"/>
      <c r="IDD1880" s="94"/>
      <c r="IDE1880" s="94"/>
      <c r="IDF1880" s="94"/>
      <c r="IDG1880" s="94"/>
      <c r="IDH1880" s="94"/>
      <c r="IDI1880" s="94"/>
      <c r="IDJ1880" s="94"/>
      <c r="IDK1880" s="94"/>
      <c r="IDL1880" s="94"/>
      <c r="IDM1880" s="94"/>
      <c r="IDN1880" s="94"/>
      <c r="IDO1880" s="94"/>
      <c r="IDP1880" s="94"/>
      <c r="IDQ1880" s="94"/>
      <c r="IDR1880" s="94"/>
      <c r="IDS1880" s="94"/>
      <c r="IDT1880" s="94"/>
      <c r="IDU1880" s="94"/>
      <c r="IDV1880" s="94"/>
      <c r="IDW1880" s="94"/>
      <c r="IDX1880" s="94"/>
      <c r="IDY1880" s="94"/>
      <c r="IDZ1880" s="94"/>
      <c r="IEA1880" s="94"/>
      <c r="IEB1880" s="94"/>
      <c r="IEC1880" s="94"/>
      <c r="IED1880" s="94"/>
      <c r="IEE1880" s="94"/>
      <c r="IEF1880" s="94"/>
      <c r="IEG1880" s="94"/>
      <c r="IEH1880" s="94"/>
      <c r="IEI1880" s="94"/>
      <c r="IEJ1880" s="94"/>
      <c r="IEK1880" s="94"/>
      <c r="IEL1880" s="94"/>
      <c r="IEM1880" s="94"/>
      <c r="IEN1880" s="94"/>
      <c r="IEO1880" s="94"/>
      <c r="IEP1880" s="94"/>
      <c r="IEQ1880" s="94"/>
      <c r="IER1880" s="94"/>
      <c r="IES1880" s="94"/>
      <c r="IET1880" s="94"/>
      <c r="IEU1880" s="94"/>
      <c r="IEV1880" s="94"/>
      <c r="IEW1880" s="94"/>
      <c r="IEX1880" s="94"/>
      <c r="IEY1880" s="94"/>
      <c r="IEZ1880" s="94"/>
      <c r="IFA1880" s="94"/>
      <c r="IFB1880" s="94"/>
      <c r="IFC1880" s="94"/>
      <c r="IFD1880" s="94"/>
      <c r="IFE1880" s="94"/>
      <c r="IFF1880" s="94"/>
      <c r="IFG1880" s="94"/>
      <c r="IFH1880" s="94"/>
      <c r="IFI1880" s="94"/>
      <c r="IFJ1880" s="94"/>
      <c r="IFK1880" s="94"/>
      <c r="IFL1880" s="94"/>
      <c r="IFM1880" s="94"/>
      <c r="IFN1880" s="94"/>
      <c r="IFO1880" s="94"/>
      <c r="IFP1880" s="94"/>
      <c r="IFQ1880" s="94"/>
      <c r="IFR1880" s="94"/>
      <c r="IFS1880" s="94"/>
      <c r="IFT1880" s="94"/>
      <c r="IFU1880" s="94"/>
      <c r="IFV1880" s="94"/>
      <c r="IFW1880" s="94"/>
      <c r="IFX1880" s="94"/>
      <c r="IFY1880" s="94"/>
      <c r="IFZ1880" s="94"/>
      <c r="IGA1880" s="94"/>
      <c r="IGB1880" s="94"/>
      <c r="IGC1880" s="94"/>
      <c r="IGD1880" s="94"/>
      <c r="IGE1880" s="94"/>
      <c r="IGF1880" s="94"/>
      <c r="IGG1880" s="94"/>
      <c r="IGH1880" s="94"/>
      <c r="IGI1880" s="94"/>
      <c r="IGJ1880" s="94"/>
      <c r="IGK1880" s="94"/>
      <c r="IGL1880" s="94"/>
      <c r="IGM1880" s="94"/>
      <c r="IGN1880" s="94"/>
      <c r="IGO1880" s="94"/>
      <c r="IGP1880" s="94"/>
      <c r="IGQ1880" s="94"/>
      <c r="IGR1880" s="94"/>
      <c r="IGS1880" s="94"/>
      <c r="IGT1880" s="94"/>
      <c r="IGU1880" s="94"/>
      <c r="IGV1880" s="94"/>
      <c r="IGW1880" s="94"/>
      <c r="IGX1880" s="94"/>
      <c r="IGY1880" s="94"/>
      <c r="IGZ1880" s="94"/>
      <c r="IHA1880" s="94"/>
      <c r="IHB1880" s="94"/>
      <c r="IHC1880" s="94"/>
      <c r="IHD1880" s="94"/>
      <c r="IHE1880" s="94"/>
      <c r="IHF1880" s="94"/>
      <c r="IHG1880" s="94"/>
      <c r="IHH1880" s="94"/>
      <c r="IHI1880" s="94"/>
      <c r="IHJ1880" s="94"/>
      <c r="IHK1880" s="94"/>
      <c r="IHL1880" s="94"/>
      <c r="IHM1880" s="94"/>
      <c r="IHN1880" s="94"/>
      <c r="IHO1880" s="94"/>
      <c r="IHP1880" s="94"/>
      <c r="IHQ1880" s="94"/>
      <c r="IHR1880" s="94"/>
      <c r="IHS1880" s="94"/>
      <c r="IHT1880" s="94"/>
      <c r="IHU1880" s="94"/>
      <c r="IHV1880" s="94"/>
      <c r="IHW1880" s="94"/>
      <c r="IHX1880" s="94"/>
      <c r="IHY1880" s="94"/>
      <c r="IHZ1880" s="94"/>
      <c r="IIA1880" s="94"/>
      <c r="IIB1880" s="94"/>
      <c r="IIC1880" s="94"/>
      <c r="IID1880" s="94"/>
      <c r="IIE1880" s="94"/>
      <c r="IIF1880" s="94"/>
      <c r="IIG1880" s="94"/>
      <c r="IIH1880" s="94"/>
      <c r="III1880" s="94"/>
      <c r="IIJ1880" s="94"/>
      <c r="IIK1880" s="94"/>
      <c r="IIL1880" s="94"/>
      <c r="IIM1880" s="94"/>
      <c r="IIN1880" s="94"/>
      <c r="IIO1880" s="94"/>
      <c r="IIP1880" s="94"/>
      <c r="IIQ1880" s="94"/>
      <c r="IIR1880" s="94"/>
      <c r="IIS1880" s="94"/>
      <c r="IIT1880" s="94"/>
      <c r="IIU1880" s="94"/>
      <c r="IIV1880" s="94"/>
      <c r="IIW1880" s="94"/>
      <c r="IIX1880" s="94"/>
      <c r="IIY1880" s="94"/>
      <c r="IIZ1880" s="94"/>
      <c r="IJA1880" s="94"/>
      <c r="IJB1880" s="94"/>
      <c r="IJC1880" s="94"/>
      <c r="IJD1880" s="94"/>
      <c r="IJE1880" s="94"/>
      <c r="IJF1880" s="94"/>
      <c r="IJG1880" s="94"/>
      <c r="IJH1880" s="94"/>
      <c r="IJI1880" s="94"/>
      <c r="IJJ1880" s="94"/>
      <c r="IJK1880" s="94"/>
      <c r="IJL1880" s="94"/>
      <c r="IJM1880" s="94"/>
      <c r="IJN1880" s="94"/>
      <c r="IJO1880" s="94"/>
      <c r="IJP1880" s="94"/>
      <c r="IJQ1880" s="94"/>
      <c r="IJR1880" s="94"/>
      <c r="IJS1880" s="94"/>
      <c r="IJT1880" s="94"/>
      <c r="IJU1880" s="94"/>
      <c r="IJV1880" s="94"/>
      <c r="IJW1880" s="94"/>
      <c r="IJX1880" s="94"/>
      <c r="IJY1880" s="94"/>
      <c r="IJZ1880" s="94"/>
      <c r="IKA1880" s="94"/>
      <c r="IKB1880" s="94"/>
      <c r="IKC1880" s="94"/>
      <c r="IKD1880" s="94"/>
      <c r="IKE1880" s="94"/>
      <c r="IKF1880" s="94"/>
      <c r="IKG1880" s="94"/>
      <c r="IKH1880" s="94"/>
      <c r="IKI1880" s="94"/>
      <c r="IKJ1880" s="94"/>
      <c r="IKK1880" s="94"/>
      <c r="IKL1880" s="94"/>
      <c r="IKM1880" s="94"/>
      <c r="IKN1880" s="94"/>
      <c r="IKO1880" s="94"/>
      <c r="IKP1880" s="94"/>
      <c r="IKQ1880" s="94"/>
      <c r="IKR1880" s="94"/>
      <c r="IKS1880" s="94"/>
      <c r="IKT1880" s="94"/>
      <c r="IKU1880" s="94"/>
      <c r="IKV1880" s="94"/>
      <c r="IKW1880" s="94"/>
      <c r="IKX1880" s="94"/>
      <c r="IKY1880" s="94"/>
      <c r="IKZ1880" s="94"/>
      <c r="ILA1880" s="94"/>
      <c r="ILB1880" s="94"/>
      <c r="ILC1880" s="94"/>
      <c r="ILD1880" s="94"/>
      <c r="ILE1880" s="94"/>
      <c r="ILF1880" s="94"/>
      <c r="ILG1880" s="94"/>
      <c r="ILH1880" s="94"/>
      <c r="ILI1880" s="94"/>
      <c r="ILJ1880" s="94"/>
      <c r="ILK1880" s="94"/>
      <c r="ILL1880" s="94"/>
      <c r="ILM1880" s="94"/>
      <c r="ILN1880" s="94"/>
      <c r="ILO1880" s="94"/>
      <c r="ILP1880" s="94"/>
      <c r="ILQ1880" s="94"/>
      <c r="ILR1880" s="94"/>
      <c r="ILS1880" s="94"/>
      <c r="ILT1880" s="94"/>
      <c r="ILU1880" s="94"/>
      <c r="ILV1880" s="94"/>
      <c r="ILW1880" s="94"/>
      <c r="ILX1880" s="94"/>
      <c r="ILY1880" s="94"/>
      <c r="ILZ1880" s="94"/>
      <c r="IMA1880" s="94"/>
      <c r="IMB1880" s="94"/>
      <c r="IMC1880" s="94"/>
      <c r="IMD1880" s="94"/>
      <c r="IME1880" s="94"/>
      <c r="IMF1880" s="94"/>
      <c r="IMG1880" s="94"/>
      <c r="IMH1880" s="94"/>
      <c r="IMI1880" s="94"/>
      <c r="IMJ1880" s="94"/>
      <c r="IMK1880" s="94"/>
      <c r="IML1880" s="94"/>
      <c r="IMM1880" s="94"/>
      <c r="IMN1880" s="94"/>
      <c r="IMO1880" s="94"/>
      <c r="IMP1880" s="94"/>
      <c r="IMQ1880" s="94"/>
      <c r="IMR1880" s="94"/>
      <c r="IMS1880" s="94"/>
      <c r="IMT1880" s="94"/>
      <c r="IMU1880" s="94"/>
      <c r="IMV1880" s="94"/>
      <c r="IMW1880" s="94"/>
      <c r="IMX1880" s="94"/>
      <c r="IMY1880" s="94"/>
      <c r="IMZ1880" s="94"/>
      <c r="INA1880" s="94"/>
      <c r="INB1880" s="94"/>
      <c r="INC1880" s="94"/>
      <c r="IND1880" s="94"/>
      <c r="INE1880" s="94"/>
      <c r="INF1880" s="94"/>
      <c r="ING1880" s="94"/>
      <c r="INH1880" s="94"/>
      <c r="INI1880" s="94"/>
      <c r="INJ1880" s="94"/>
      <c r="INK1880" s="94"/>
      <c r="INL1880" s="94"/>
      <c r="INM1880" s="94"/>
      <c r="INN1880" s="94"/>
      <c r="INO1880" s="94"/>
      <c r="INP1880" s="94"/>
      <c r="INQ1880" s="94"/>
      <c r="INR1880" s="94"/>
      <c r="INS1880" s="94"/>
      <c r="INT1880" s="94"/>
      <c r="INU1880" s="94"/>
      <c r="INV1880" s="94"/>
      <c r="INW1880" s="94"/>
      <c r="INX1880" s="94"/>
      <c r="INY1880" s="94"/>
      <c r="INZ1880" s="94"/>
      <c r="IOA1880" s="94"/>
      <c r="IOB1880" s="94"/>
      <c r="IOC1880" s="94"/>
      <c r="IOD1880" s="94"/>
      <c r="IOE1880" s="94"/>
      <c r="IOF1880" s="94"/>
      <c r="IOG1880" s="94"/>
      <c r="IOH1880" s="94"/>
      <c r="IOI1880" s="94"/>
      <c r="IOJ1880" s="94"/>
      <c r="IOK1880" s="94"/>
      <c r="IOL1880" s="94"/>
      <c r="IOM1880" s="94"/>
      <c r="ION1880" s="94"/>
      <c r="IOO1880" s="94"/>
      <c r="IOP1880" s="94"/>
      <c r="IOQ1880" s="94"/>
      <c r="IOR1880" s="94"/>
      <c r="IOS1880" s="94"/>
      <c r="IOT1880" s="94"/>
      <c r="IOU1880" s="94"/>
      <c r="IOV1880" s="94"/>
      <c r="IOW1880" s="94"/>
      <c r="IOX1880" s="94"/>
      <c r="IOY1880" s="94"/>
      <c r="IOZ1880" s="94"/>
      <c r="IPA1880" s="94"/>
      <c r="IPB1880" s="94"/>
      <c r="IPC1880" s="94"/>
      <c r="IPD1880" s="94"/>
      <c r="IPE1880" s="94"/>
      <c r="IPF1880" s="94"/>
      <c r="IPG1880" s="94"/>
      <c r="IPH1880" s="94"/>
      <c r="IPI1880" s="94"/>
      <c r="IPJ1880" s="94"/>
      <c r="IPK1880" s="94"/>
      <c r="IPL1880" s="94"/>
      <c r="IPM1880" s="94"/>
      <c r="IPN1880" s="94"/>
      <c r="IPO1880" s="94"/>
      <c r="IPP1880" s="94"/>
      <c r="IPQ1880" s="94"/>
      <c r="IPR1880" s="94"/>
      <c r="IPS1880" s="94"/>
      <c r="IPT1880" s="94"/>
      <c r="IPU1880" s="94"/>
      <c r="IPV1880" s="94"/>
      <c r="IPW1880" s="94"/>
      <c r="IPX1880" s="94"/>
      <c r="IPY1880" s="94"/>
      <c r="IPZ1880" s="94"/>
      <c r="IQA1880" s="94"/>
      <c r="IQB1880" s="94"/>
      <c r="IQC1880" s="94"/>
      <c r="IQD1880" s="94"/>
      <c r="IQE1880" s="94"/>
      <c r="IQF1880" s="94"/>
      <c r="IQG1880" s="94"/>
      <c r="IQH1880" s="94"/>
      <c r="IQI1880" s="94"/>
      <c r="IQJ1880" s="94"/>
      <c r="IQK1880" s="94"/>
      <c r="IQL1880" s="94"/>
      <c r="IQM1880" s="94"/>
      <c r="IQN1880" s="94"/>
      <c r="IQO1880" s="94"/>
      <c r="IQP1880" s="94"/>
      <c r="IQQ1880" s="94"/>
      <c r="IQR1880" s="94"/>
      <c r="IQS1880" s="94"/>
      <c r="IQT1880" s="94"/>
      <c r="IQU1880" s="94"/>
      <c r="IQV1880" s="94"/>
      <c r="IQW1880" s="94"/>
      <c r="IQX1880" s="94"/>
      <c r="IQY1880" s="94"/>
      <c r="IQZ1880" s="94"/>
      <c r="IRA1880" s="94"/>
      <c r="IRB1880" s="94"/>
      <c r="IRC1880" s="94"/>
      <c r="IRD1880" s="94"/>
      <c r="IRE1880" s="94"/>
      <c r="IRF1880" s="94"/>
      <c r="IRG1880" s="94"/>
      <c r="IRH1880" s="94"/>
      <c r="IRI1880" s="94"/>
      <c r="IRJ1880" s="94"/>
      <c r="IRK1880" s="94"/>
      <c r="IRL1880" s="94"/>
      <c r="IRM1880" s="94"/>
      <c r="IRN1880" s="94"/>
      <c r="IRO1880" s="94"/>
      <c r="IRP1880" s="94"/>
      <c r="IRQ1880" s="94"/>
      <c r="IRR1880" s="94"/>
      <c r="IRS1880" s="94"/>
      <c r="IRT1880" s="94"/>
      <c r="IRU1880" s="94"/>
      <c r="IRV1880" s="94"/>
      <c r="IRW1880" s="94"/>
      <c r="IRX1880" s="94"/>
      <c r="IRY1880" s="94"/>
      <c r="IRZ1880" s="94"/>
      <c r="ISA1880" s="94"/>
      <c r="ISB1880" s="94"/>
      <c r="ISC1880" s="94"/>
      <c r="ISD1880" s="94"/>
      <c r="ISE1880" s="94"/>
      <c r="ISF1880" s="94"/>
      <c r="ISG1880" s="94"/>
      <c r="ISH1880" s="94"/>
      <c r="ISI1880" s="94"/>
      <c r="ISJ1880" s="94"/>
      <c r="ISK1880" s="94"/>
      <c r="ISL1880" s="94"/>
      <c r="ISM1880" s="94"/>
      <c r="ISN1880" s="94"/>
      <c r="ISO1880" s="94"/>
      <c r="ISP1880" s="94"/>
      <c r="ISQ1880" s="94"/>
      <c r="ISR1880" s="94"/>
      <c r="ISS1880" s="94"/>
      <c r="IST1880" s="94"/>
      <c r="ISU1880" s="94"/>
      <c r="ISV1880" s="94"/>
      <c r="ISW1880" s="94"/>
      <c r="ISX1880" s="94"/>
      <c r="ISY1880" s="94"/>
      <c r="ISZ1880" s="94"/>
      <c r="ITA1880" s="94"/>
      <c r="ITB1880" s="94"/>
      <c r="ITC1880" s="94"/>
      <c r="ITD1880" s="94"/>
      <c r="ITE1880" s="94"/>
      <c r="ITF1880" s="94"/>
      <c r="ITG1880" s="94"/>
      <c r="ITH1880" s="94"/>
      <c r="ITI1880" s="94"/>
      <c r="ITJ1880" s="94"/>
      <c r="ITK1880" s="94"/>
      <c r="ITL1880" s="94"/>
      <c r="ITM1880" s="94"/>
      <c r="ITN1880" s="94"/>
      <c r="ITO1880" s="94"/>
      <c r="ITP1880" s="94"/>
      <c r="ITQ1880" s="94"/>
      <c r="ITR1880" s="94"/>
      <c r="ITS1880" s="94"/>
      <c r="ITT1880" s="94"/>
      <c r="ITU1880" s="94"/>
      <c r="ITV1880" s="94"/>
      <c r="ITW1880" s="94"/>
      <c r="ITX1880" s="94"/>
      <c r="ITY1880" s="94"/>
      <c r="ITZ1880" s="94"/>
      <c r="IUA1880" s="94"/>
      <c r="IUB1880" s="94"/>
      <c r="IUC1880" s="94"/>
      <c r="IUD1880" s="94"/>
      <c r="IUE1880" s="94"/>
      <c r="IUF1880" s="94"/>
      <c r="IUG1880" s="94"/>
      <c r="IUH1880" s="94"/>
      <c r="IUI1880" s="94"/>
      <c r="IUJ1880" s="94"/>
      <c r="IUK1880" s="94"/>
      <c r="IUL1880" s="94"/>
      <c r="IUM1880" s="94"/>
      <c r="IUN1880" s="94"/>
      <c r="IUO1880" s="94"/>
      <c r="IUP1880" s="94"/>
      <c r="IUQ1880" s="94"/>
      <c r="IUR1880" s="94"/>
      <c r="IUS1880" s="94"/>
      <c r="IUT1880" s="94"/>
      <c r="IUU1880" s="94"/>
      <c r="IUV1880" s="94"/>
      <c r="IUW1880" s="94"/>
      <c r="IUX1880" s="94"/>
      <c r="IUY1880" s="94"/>
      <c r="IUZ1880" s="94"/>
      <c r="IVA1880" s="94"/>
      <c r="IVB1880" s="94"/>
      <c r="IVC1880" s="94"/>
      <c r="IVD1880" s="94"/>
      <c r="IVE1880" s="94"/>
      <c r="IVF1880" s="94"/>
      <c r="IVG1880" s="94"/>
      <c r="IVH1880" s="94"/>
      <c r="IVI1880" s="94"/>
      <c r="IVJ1880" s="94"/>
      <c r="IVK1880" s="94"/>
      <c r="IVL1880" s="94"/>
      <c r="IVM1880" s="94"/>
      <c r="IVN1880" s="94"/>
      <c r="IVO1880" s="94"/>
      <c r="IVP1880" s="94"/>
      <c r="IVQ1880" s="94"/>
      <c r="IVR1880" s="94"/>
      <c r="IVS1880" s="94"/>
      <c r="IVT1880" s="94"/>
      <c r="IVU1880" s="94"/>
      <c r="IVV1880" s="94"/>
      <c r="IVW1880" s="94"/>
      <c r="IVX1880" s="94"/>
      <c r="IVY1880" s="94"/>
      <c r="IVZ1880" s="94"/>
      <c r="IWA1880" s="94"/>
      <c r="IWB1880" s="94"/>
      <c r="IWC1880" s="94"/>
      <c r="IWD1880" s="94"/>
      <c r="IWE1880" s="94"/>
      <c r="IWF1880" s="94"/>
      <c r="IWG1880" s="94"/>
      <c r="IWH1880" s="94"/>
      <c r="IWI1880" s="94"/>
      <c r="IWJ1880" s="94"/>
      <c r="IWK1880" s="94"/>
      <c r="IWL1880" s="94"/>
      <c r="IWM1880" s="94"/>
      <c r="IWN1880" s="94"/>
      <c r="IWO1880" s="94"/>
      <c r="IWP1880" s="94"/>
      <c r="IWQ1880" s="94"/>
      <c r="IWR1880" s="94"/>
      <c r="IWS1880" s="94"/>
      <c r="IWT1880" s="94"/>
      <c r="IWU1880" s="94"/>
      <c r="IWV1880" s="94"/>
      <c r="IWW1880" s="94"/>
      <c r="IWX1880" s="94"/>
      <c r="IWY1880" s="94"/>
      <c r="IWZ1880" s="94"/>
      <c r="IXA1880" s="94"/>
      <c r="IXB1880" s="94"/>
      <c r="IXC1880" s="94"/>
      <c r="IXD1880" s="94"/>
      <c r="IXE1880" s="94"/>
      <c r="IXF1880" s="94"/>
      <c r="IXG1880" s="94"/>
      <c r="IXH1880" s="94"/>
      <c r="IXI1880" s="94"/>
      <c r="IXJ1880" s="94"/>
      <c r="IXK1880" s="94"/>
      <c r="IXL1880" s="94"/>
      <c r="IXM1880" s="94"/>
      <c r="IXN1880" s="94"/>
      <c r="IXO1880" s="94"/>
      <c r="IXP1880" s="94"/>
      <c r="IXQ1880" s="94"/>
      <c r="IXR1880" s="94"/>
      <c r="IXS1880" s="94"/>
      <c r="IXT1880" s="94"/>
      <c r="IXU1880" s="94"/>
      <c r="IXV1880" s="94"/>
      <c r="IXW1880" s="94"/>
      <c r="IXX1880" s="94"/>
      <c r="IXY1880" s="94"/>
      <c r="IXZ1880" s="94"/>
      <c r="IYA1880" s="94"/>
      <c r="IYB1880" s="94"/>
      <c r="IYC1880" s="94"/>
      <c r="IYD1880" s="94"/>
      <c r="IYE1880" s="94"/>
      <c r="IYF1880" s="94"/>
      <c r="IYG1880" s="94"/>
      <c r="IYH1880" s="94"/>
      <c r="IYI1880" s="94"/>
      <c r="IYJ1880" s="94"/>
      <c r="IYK1880" s="94"/>
      <c r="IYL1880" s="94"/>
      <c r="IYM1880" s="94"/>
      <c r="IYN1880" s="94"/>
      <c r="IYO1880" s="94"/>
      <c r="IYP1880" s="94"/>
      <c r="IYQ1880" s="94"/>
      <c r="IYR1880" s="94"/>
      <c r="IYS1880" s="94"/>
      <c r="IYT1880" s="94"/>
      <c r="IYU1880" s="94"/>
      <c r="IYV1880" s="94"/>
      <c r="IYW1880" s="94"/>
      <c r="IYX1880" s="94"/>
      <c r="IYY1880" s="94"/>
      <c r="IYZ1880" s="94"/>
      <c r="IZA1880" s="94"/>
      <c r="IZB1880" s="94"/>
      <c r="IZC1880" s="94"/>
      <c r="IZD1880" s="94"/>
      <c r="IZE1880" s="94"/>
      <c r="IZF1880" s="94"/>
      <c r="IZG1880" s="94"/>
      <c r="IZH1880" s="94"/>
      <c r="IZI1880" s="94"/>
      <c r="IZJ1880" s="94"/>
      <c r="IZK1880" s="94"/>
      <c r="IZL1880" s="94"/>
      <c r="IZM1880" s="94"/>
      <c r="IZN1880" s="94"/>
      <c r="IZO1880" s="94"/>
      <c r="IZP1880" s="94"/>
      <c r="IZQ1880" s="94"/>
      <c r="IZR1880" s="94"/>
      <c r="IZS1880" s="94"/>
      <c r="IZT1880" s="94"/>
      <c r="IZU1880" s="94"/>
      <c r="IZV1880" s="94"/>
      <c r="IZW1880" s="94"/>
      <c r="IZX1880" s="94"/>
      <c r="IZY1880" s="94"/>
      <c r="IZZ1880" s="94"/>
      <c r="JAA1880" s="94"/>
      <c r="JAB1880" s="94"/>
      <c r="JAC1880" s="94"/>
      <c r="JAD1880" s="94"/>
      <c r="JAE1880" s="94"/>
      <c r="JAF1880" s="94"/>
      <c r="JAG1880" s="94"/>
      <c r="JAH1880" s="94"/>
      <c r="JAI1880" s="94"/>
      <c r="JAJ1880" s="94"/>
      <c r="JAK1880" s="94"/>
      <c r="JAL1880" s="94"/>
      <c r="JAM1880" s="94"/>
      <c r="JAN1880" s="94"/>
      <c r="JAO1880" s="94"/>
      <c r="JAP1880" s="94"/>
      <c r="JAQ1880" s="94"/>
      <c r="JAR1880" s="94"/>
      <c r="JAS1880" s="94"/>
      <c r="JAT1880" s="94"/>
      <c r="JAU1880" s="94"/>
      <c r="JAV1880" s="94"/>
      <c r="JAW1880" s="94"/>
      <c r="JAX1880" s="94"/>
      <c r="JAY1880" s="94"/>
      <c r="JAZ1880" s="94"/>
      <c r="JBA1880" s="94"/>
      <c r="JBB1880" s="94"/>
      <c r="JBC1880" s="94"/>
      <c r="JBD1880" s="94"/>
      <c r="JBE1880" s="94"/>
      <c r="JBF1880" s="94"/>
      <c r="JBG1880" s="94"/>
      <c r="JBH1880" s="94"/>
      <c r="JBI1880" s="94"/>
      <c r="JBJ1880" s="94"/>
      <c r="JBK1880" s="94"/>
      <c r="JBL1880" s="94"/>
      <c r="JBM1880" s="94"/>
      <c r="JBN1880" s="94"/>
      <c r="JBO1880" s="94"/>
      <c r="JBP1880" s="94"/>
      <c r="JBQ1880" s="94"/>
      <c r="JBR1880" s="94"/>
      <c r="JBS1880" s="94"/>
      <c r="JBT1880" s="94"/>
      <c r="JBU1880" s="94"/>
      <c r="JBV1880" s="94"/>
      <c r="JBW1880" s="94"/>
      <c r="JBX1880" s="94"/>
      <c r="JBY1880" s="94"/>
      <c r="JBZ1880" s="94"/>
      <c r="JCA1880" s="94"/>
      <c r="JCB1880" s="94"/>
      <c r="JCC1880" s="94"/>
      <c r="JCD1880" s="94"/>
      <c r="JCE1880" s="94"/>
      <c r="JCF1880" s="94"/>
      <c r="JCG1880" s="94"/>
      <c r="JCH1880" s="94"/>
      <c r="JCI1880" s="94"/>
      <c r="JCJ1880" s="94"/>
      <c r="JCK1880" s="94"/>
      <c r="JCL1880" s="94"/>
      <c r="JCM1880" s="94"/>
      <c r="JCN1880" s="94"/>
      <c r="JCO1880" s="94"/>
      <c r="JCP1880" s="94"/>
      <c r="JCQ1880" s="94"/>
      <c r="JCR1880" s="94"/>
      <c r="JCS1880" s="94"/>
      <c r="JCT1880" s="94"/>
      <c r="JCU1880" s="94"/>
      <c r="JCV1880" s="94"/>
      <c r="JCW1880" s="94"/>
      <c r="JCX1880" s="94"/>
      <c r="JCY1880" s="94"/>
      <c r="JCZ1880" s="94"/>
      <c r="JDA1880" s="94"/>
      <c r="JDB1880" s="94"/>
      <c r="JDC1880" s="94"/>
      <c r="JDD1880" s="94"/>
      <c r="JDE1880" s="94"/>
      <c r="JDF1880" s="94"/>
      <c r="JDG1880" s="94"/>
      <c r="JDH1880" s="94"/>
      <c r="JDI1880" s="94"/>
      <c r="JDJ1880" s="94"/>
      <c r="JDK1880" s="94"/>
      <c r="JDL1880" s="94"/>
      <c r="JDM1880" s="94"/>
      <c r="JDN1880" s="94"/>
      <c r="JDO1880" s="94"/>
      <c r="JDP1880" s="94"/>
      <c r="JDQ1880" s="94"/>
      <c r="JDR1880" s="94"/>
      <c r="JDS1880" s="94"/>
      <c r="JDT1880" s="94"/>
      <c r="JDU1880" s="94"/>
      <c r="JDV1880" s="94"/>
      <c r="JDW1880" s="94"/>
      <c r="JDX1880" s="94"/>
      <c r="JDY1880" s="94"/>
      <c r="JDZ1880" s="94"/>
      <c r="JEA1880" s="94"/>
      <c r="JEB1880" s="94"/>
      <c r="JEC1880" s="94"/>
      <c r="JED1880" s="94"/>
      <c r="JEE1880" s="94"/>
      <c r="JEF1880" s="94"/>
      <c r="JEG1880" s="94"/>
      <c r="JEH1880" s="94"/>
      <c r="JEI1880" s="94"/>
      <c r="JEJ1880" s="94"/>
      <c r="JEK1880" s="94"/>
      <c r="JEL1880" s="94"/>
      <c r="JEM1880" s="94"/>
      <c r="JEN1880" s="94"/>
      <c r="JEO1880" s="94"/>
      <c r="JEP1880" s="94"/>
      <c r="JEQ1880" s="94"/>
      <c r="JER1880" s="94"/>
      <c r="JES1880" s="94"/>
      <c r="JET1880" s="94"/>
      <c r="JEU1880" s="94"/>
      <c r="JEV1880" s="94"/>
      <c r="JEW1880" s="94"/>
      <c r="JEX1880" s="94"/>
      <c r="JEY1880" s="94"/>
      <c r="JEZ1880" s="94"/>
      <c r="JFA1880" s="94"/>
      <c r="JFB1880" s="94"/>
      <c r="JFC1880" s="94"/>
      <c r="JFD1880" s="94"/>
      <c r="JFE1880" s="94"/>
      <c r="JFF1880" s="94"/>
      <c r="JFG1880" s="94"/>
      <c r="JFH1880" s="94"/>
      <c r="JFI1880" s="94"/>
      <c r="JFJ1880" s="94"/>
      <c r="JFK1880" s="94"/>
      <c r="JFL1880" s="94"/>
      <c r="JFM1880" s="94"/>
      <c r="JFN1880" s="94"/>
      <c r="JFO1880" s="94"/>
      <c r="JFP1880" s="94"/>
      <c r="JFQ1880" s="94"/>
      <c r="JFR1880" s="94"/>
      <c r="JFS1880" s="94"/>
      <c r="JFT1880" s="94"/>
      <c r="JFU1880" s="94"/>
      <c r="JFV1880" s="94"/>
      <c r="JFW1880" s="94"/>
      <c r="JFX1880" s="94"/>
      <c r="JFY1880" s="94"/>
      <c r="JFZ1880" s="94"/>
      <c r="JGA1880" s="94"/>
      <c r="JGB1880" s="94"/>
      <c r="JGC1880" s="94"/>
      <c r="JGD1880" s="94"/>
      <c r="JGE1880" s="94"/>
      <c r="JGF1880" s="94"/>
      <c r="JGG1880" s="94"/>
      <c r="JGH1880" s="94"/>
      <c r="JGI1880" s="94"/>
      <c r="JGJ1880" s="94"/>
      <c r="JGK1880" s="94"/>
      <c r="JGL1880" s="94"/>
      <c r="JGM1880" s="94"/>
      <c r="JGN1880" s="94"/>
      <c r="JGO1880" s="94"/>
      <c r="JGP1880" s="94"/>
      <c r="JGQ1880" s="94"/>
      <c r="JGR1880" s="94"/>
      <c r="JGS1880" s="94"/>
      <c r="JGT1880" s="94"/>
      <c r="JGU1880" s="94"/>
      <c r="JGV1880" s="94"/>
      <c r="JGW1880" s="94"/>
      <c r="JGX1880" s="94"/>
      <c r="JGY1880" s="94"/>
      <c r="JGZ1880" s="94"/>
      <c r="JHA1880" s="94"/>
      <c r="JHB1880" s="94"/>
      <c r="JHC1880" s="94"/>
      <c r="JHD1880" s="94"/>
      <c r="JHE1880" s="94"/>
      <c r="JHF1880" s="94"/>
      <c r="JHG1880" s="94"/>
      <c r="JHH1880" s="94"/>
      <c r="JHI1880" s="94"/>
      <c r="JHJ1880" s="94"/>
      <c r="JHK1880" s="94"/>
      <c r="JHL1880" s="94"/>
      <c r="JHM1880" s="94"/>
      <c r="JHN1880" s="94"/>
      <c r="JHO1880" s="94"/>
      <c r="JHP1880" s="94"/>
      <c r="JHQ1880" s="94"/>
      <c r="JHR1880" s="94"/>
      <c r="JHS1880" s="94"/>
      <c r="JHT1880" s="94"/>
      <c r="JHU1880" s="94"/>
      <c r="JHV1880" s="94"/>
      <c r="JHW1880" s="94"/>
      <c r="JHX1880" s="94"/>
      <c r="JHY1880" s="94"/>
      <c r="JHZ1880" s="94"/>
      <c r="JIA1880" s="94"/>
      <c r="JIB1880" s="94"/>
      <c r="JIC1880" s="94"/>
      <c r="JID1880" s="94"/>
      <c r="JIE1880" s="94"/>
      <c r="JIF1880" s="94"/>
      <c r="JIG1880" s="94"/>
      <c r="JIH1880" s="94"/>
      <c r="JII1880" s="94"/>
      <c r="JIJ1880" s="94"/>
      <c r="JIK1880" s="94"/>
      <c r="JIL1880" s="94"/>
      <c r="JIM1880" s="94"/>
      <c r="JIN1880" s="94"/>
      <c r="JIO1880" s="94"/>
      <c r="JIP1880" s="94"/>
      <c r="JIQ1880" s="94"/>
      <c r="JIR1880" s="94"/>
      <c r="JIS1880" s="94"/>
      <c r="JIT1880" s="94"/>
      <c r="JIU1880" s="94"/>
      <c r="JIV1880" s="94"/>
      <c r="JIW1880" s="94"/>
      <c r="JIX1880" s="94"/>
      <c r="JIY1880" s="94"/>
      <c r="JIZ1880" s="94"/>
      <c r="JJA1880" s="94"/>
      <c r="JJB1880" s="94"/>
      <c r="JJC1880" s="94"/>
      <c r="JJD1880" s="94"/>
      <c r="JJE1880" s="94"/>
      <c r="JJF1880" s="94"/>
      <c r="JJG1880" s="94"/>
      <c r="JJH1880" s="94"/>
      <c r="JJI1880" s="94"/>
      <c r="JJJ1880" s="94"/>
      <c r="JJK1880" s="94"/>
      <c r="JJL1880" s="94"/>
      <c r="JJM1880" s="94"/>
      <c r="JJN1880" s="94"/>
      <c r="JJO1880" s="94"/>
      <c r="JJP1880" s="94"/>
      <c r="JJQ1880" s="94"/>
      <c r="JJR1880" s="94"/>
      <c r="JJS1880" s="94"/>
      <c r="JJT1880" s="94"/>
      <c r="JJU1880" s="94"/>
      <c r="JJV1880" s="94"/>
      <c r="JJW1880" s="94"/>
      <c r="JJX1880" s="94"/>
      <c r="JJY1880" s="94"/>
      <c r="JJZ1880" s="94"/>
      <c r="JKA1880" s="94"/>
      <c r="JKB1880" s="94"/>
      <c r="JKC1880" s="94"/>
      <c r="JKD1880" s="94"/>
      <c r="JKE1880" s="94"/>
      <c r="JKF1880" s="94"/>
      <c r="JKG1880" s="94"/>
      <c r="JKH1880" s="94"/>
      <c r="JKI1880" s="94"/>
      <c r="JKJ1880" s="94"/>
      <c r="JKK1880" s="94"/>
      <c r="JKL1880" s="94"/>
      <c r="JKM1880" s="94"/>
      <c r="JKN1880" s="94"/>
      <c r="JKO1880" s="94"/>
      <c r="JKP1880" s="94"/>
      <c r="JKQ1880" s="94"/>
      <c r="JKR1880" s="94"/>
      <c r="JKS1880" s="94"/>
      <c r="JKT1880" s="94"/>
      <c r="JKU1880" s="94"/>
      <c r="JKV1880" s="94"/>
      <c r="JKW1880" s="94"/>
      <c r="JKX1880" s="94"/>
      <c r="JKY1880" s="94"/>
      <c r="JKZ1880" s="94"/>
      <c r="JLA1880" s="94"/>
      <c r="JLB1880" s="94"/>
      <c r="JLC1880" s="94"/>
      <c r="JLD1880" s="94"/>
      <c r="JLE1880" s="94"/>
      <c r="JLF1880" s="94"/>
      <c r="JLG1880" s="94"/>
      <c r="JLH1880" s="94"/>
      <c r="JLI1880" s="94"/>
      <c r="JLJ1880" s="94"/>
      <c r="JLK1880" s="94"/>
      <c r="JLL1880" s="94"/>
      <c r="JLM1880" s="94"/>
      <c r="JLN1880" s="94"/>
      <c r="JLO1880" s="94"/>
      <c r="JLP1880" s="94"/>
      <c r="JLQ1880" s="94"/>
      <c r="JLR1880" s="94"/>
      <c r="JLS1880" s="94"/>
      <c r="JLT1880" s="94"/>
      <c r="JLU1880" s="94"/>
      <c r="JLV1880" s="94"/>
      <c r="JLW1880" s="94"/>
      <c r="JLX1880" s="94"/>
      <c r="JLY1880" s="94"/>
      <c r="JLZ1880" s="94"/>
      <c r="JMA1880" s="94"/>
      <c r="JMB1880" s="94"/>
      <c r="JMC1880" s="94"/>
      <c r="JMD1880" s="94"/>
      <c r="JME1880" s="94"/>
      <c r="JMF1880" s="94"/>
      <c r="JMG1880" s="94"/>
      <c r="JMH1880" s="94"/>
      <c r="JMI1880" s="94"/>
      <c r="JMJ1880" s="94"/>
      <c r="JMK1880" s="94"/>
      <c r="JML1880" s="94"/>
      <c r="JMM1880" s="94"/>
      <c r="JMN1880" s="94"/>
      <c r="JMO1880" s="94"/>
      <c r="JMP1880" s="94"/>
      <c r="JMQ1880" s="94"/>
      <c r="JMR1880" s="94"/>
      <c r="JMS1880" s="94"/>
      <c r="JMT1880" s="94"/>
      <c r="JMU1880" s="94"/>
      <c r="JMV1880" s="94"/>
      <c r="JMW1880" s="94"/>
      <c r="JMX1880" s="94"/>
      <c r="JMY1880" s="94"/>
      <c r="JMZ1880" s="94"/>
      <c r="JNA1880" s="94"/>
      <c r="JNB1880" s="94"/>
      <c r="JNC1880" s="94"/>
      <c r="JND1880" s="94"/>
      <c r="JNE1880" s="94"/>
      <c r="JNF1880" s="94"/>
      <c r="JNG1880" s="94"/>
      <c r="JNH1880" s="94"/>
      <c r="JNI1880" s="94"/>
      <c r="JNJ1880" s="94"/>
      <c r="JNK1880" s="94"/>
      <c r="JNL1880" s="94"/>
      <c r="JNM1880" s="94"/>
      <c r="JNN1880" s="94"/>
      <c r="JNO1880" s="94"/>
      <c r="JNP1880" s="94"/>
      <c r="JNQ1880" s="94"/>
      <c r="JNR1880" s="94"/>
      <c r="JNS1880" s="94"/>
      <c r="JNT1880" s="94"/>
      <c r="JNU1880" s="94"/>
      <c r="JNV1880" s="94"/>
      <c r="JNW1880" s="94"/>
      <c r="JNX1880" s="94"/>
      <c r="JNY1880" s="94"/>
      <c r="JNZ1880" s="94"/>
      <c r="JOA1880" s="94"/>
      <c r="JOB1880" s="94"/>
      <c r="JOC1880" s="94"/>
      <c r="JOD1880" s="94"/>
      <c r="JOE1880" s="94"/>
      <c r="JOF1880" s="94"/>
      <c r="JOG1880" s="94"/>
      <c r="JOH1880" s="94"/>
      <c r="JOI1880" s="94"/>
      <c r="JOJ1880" s="94"/>
      <c r="JOK1880" s="94"/>
      <c r="JOL1880" s="94"/>
      <c r="JOM1880" s="94"/>
      <c r="JON1880" s="94"/>
      <c r="JOO1880" s="94"/>
      <c r="JOP1880" s="94"/>
      <c r="JOQ1880" s="94"/>
      <c r="JOR1880" s="94"/>
      <c r="JOS1880" s="94"/>
      <c r="JOT1880" s="94"/>
      <c r="JOU1880" s="94"/>
      <c r="JOV1880" s="94"/>
      <c r="JOW1880" s="94"/>
      <c r="JOX1880" s="94"/>
      <c r="JOY1880" s="94"/>
      <c r="JOZ1880" s="94"/>
      <c r="JPA1880" s="94"/>
      <c r="JPB1880" s="94"/>
      <c r="JPC1880" s="94"/>
      <c r="JPD1880" s="94"/>
      <c r="JPE1880" s="94"/>
      <c r="JPF1880" s="94"/>
      <c r="JPG1880" s="94"/>
      <c r="JPH1880" s="94"/>
      <c r="JPI1880" s="94"/>
      <c r="JPJ1880" s="94"/>
      <c r="JPK1880" s="94"/>
      <c r="JPL1880" s="94"/>
      <c r="JPM1880" s="94"/>
      <c r="JPN1880" s="94"/>
      <c r="JPO1880" s="94"/>
      <c r="JPP1880" s="94"/>
      <c r="JPQ1880" s="94"/>
      <c r="JPR1880" s="94"/>
      <c r="JPS1880" s="94"/>
      <c r="JPT1880" s="94"/>
      <c r="JPU1880" s="94"/>
      <c r="JPV1880" s="94"/>
      <c r="JPW1880" s="94"/>
      <c r="JPX1880" s="94"/>
      <c r="JPY1880" s="94"/>
      <c r="JPZ1880" s="94"/>
      <c r="JQA1880" s="94"/>
      <c r="JQB1880" s="94"/>
      <c r="JQC1880" s="94"/>
      <c r="JQD1880" s="94"/>
      <c r="JQE1880" s="94"/>
      <c r="JQF1880" s="94"/>
      <c r="JQG1880" s="94"/>
      <c r="JQH1880" s="94"/>
      <c r="JQI1880" s="94"/>
      <c r="JQJ1880" s="94"/>
      <c r="JQK1880" s="94"/>
      <c r="JQL1880" s="94"/>
      <c r="JQM1880" s="94"/>
      <c r="JQN1880" s="94"/>
      <c r="JQO1880" s="94"/>
      <c r="JQP1880" s="94"/>
      <c r="JQQ1880" s="94"/>
      <c r="JQR1880" s="94"/>
      <c r="JQS1880" s="94"/>
      <c r="JQT1880" s="94"/>
      <c r="JQU1880" s="94"/>
      <c r="JQV1880" s="94"/>
      <c r="JQW1880" s="94"/>
      <c r="JQX1880" s="94"/>
      <c r="JQY1880" s="94"/>
      <c r="JQZ1880" s="94"/>
      <c r="JRA1880" s="94"/>
      <c r="JRB1880" s="94"/>
      <c r="JRC1880" s="94"/>
      <c r="JRD1880" s="94"/>
      <c r="JRE1880" s="94"/>
      <c r="JRF1880" s="94"/>
      <c r="JRG1880" s="94"/>
      <c r="JRH1880" s="94"/>
      <c r="JRI1880" s="94"/>
      <c r="JRJ1880" s="94"/>
      <c r="JRK1880" s="94"/>
      <c r="JRL1880" s="94"/>
      <c r="JRM1880" s="94"/>
      <c r="JRN1880" s="94"/>
      <c r="JRO1880" s="94"/>
      <c r="JRP1880" s="94"/>
      <c r="JRQ1880" s="94"/>
      <c r="JRR1880" s="94"/>
      <c r="JRS1880" s="94"/>
      <c r="JRT1880" s="94"/>
      <c r="JRU1880" s="94"/>
      <c r="JRV1880" s="94"/>
      <c r="JRW1880" s="94"/>
      <c r="JRX1880" s="94"/>
      <c r="JRY1880" s="94"/>
      <c r="JRZ1880" s="94"/>
      <c r="JSA1880" s="94"/>
      <c r="JSB1880" s="94"/>
      <c r="JSC1880" s="94"/>
      <c r="JSD1880" s="94"/>
      <c r="JSE1880" s="94"/>
      <c r="JSF1880" s="94"/>
      <c r="JSG1880" s="94"/>
      <c r="JSH1880" s="94"/>
      <c r="JSI1880" s="94"/>
      <c r="JSJ1880" s="94"/>
      <c r="JSK1880" s="94"/>
      <c r="JSL1880" s="94"/>
      <c r="JSM1880" s="94"/>
      <c r="JSN1880" s="94"/>
      <c r="JSO1880" s="94"/>
      <c r="JSP1880" s="94"/>
      <c r="JSQ1880" s="94"/>
      <c r="JSR1880" s="94"/>
      <c r="JSS1880" s="94"/>
      <c r="JST1880" s="94"/>
      <c r="JSU1880" s="94"/>
      <c r="JSV1880" s="94"/>
      <c r="JSW1880" s="94"/>
      <c r="JSX1880" s="94"/>
      <c r="JSY1880" s="94"/>
      <c r="JSZ1880" s="94"/>
      <c r="JTA1880" s="94"/>
      <c r="JTB1880" s="94"/>
      <c r="JTC1880" s="94"/>
      <c r="JTD1880" s="94"/>
      <c r="JTE1880" s="94"/>
      <c r="JTF1880" s="94"/>
      <c r="JTG1880" s="94"/>
      <c r="JTH1880" s="94"/>
      <c r="JTI1880" s="94"/>
      <c r="JTJ1880" s="94"/>
      <c r="JTK1880" s="94"/>
      <c r="JTL1880" s="94"/>
      <c r="JTM1880" s="94"/>
      <c r="JTN1880" s="94"/>
      <c r="JTO1880" s="94"/>
      <c r="JTP1880" s="94"/>
      <c r="JTQ1880" s="94"/>
      <c r="JTR1880" s="94"/>
      <c r="JTS1880" s="94"/>
      <c r="JTT1880" s="94"/>
      <c r="JTU1880" s="94"/>
      <c r="JTV1880" s="94"/>
      <c r="JTW1880" s="94"/>
      <c r="JTX1880" s="94"/>
      <c r="JTY1880" s="94"/>
      <c r="JTZ1880" s="94"/>
      <c r="JUA1880" s="94"/>
      <c r="JUB1880" s="94"/>
      <c r="JUC1880" s="94"/>
      <c r="JUD1880" s="94"/>
      <c r="JUE1880" s="94"/>
      <c r="JUF1880" s="94"/>
      <c r="JUG1880" s="94"/>
      <c r="JUH1880" s="94"/>
      <c r="JUI1880" s="94"/>
      <c r="JUJ1880" s="94"/>
      <c r="JUK1880" s="94"/>
      <c r="JUL1880" s="94"/>
      <c r="JUM1880" s="94"/>
      <c r="JUN1880" s="94"/>
      <c r="JUO1880" s="94"/>
      <c r="JUP1880" s="94"/>
      <c r="JUQ1880" s="94"/>
      <c r="JUR1880" s="94"/>
      <c r="JUS1880" s="94"/>
      <c r="JUT1880" s="94"/>
      <c r="JUU1880" s="94"/>
      <c r="JUV1880" s="94"/>
      <c r="JUW1880" s="94"/>
      <c r="JUX1880" s="94"/>
      <c r="JUY1880" s="94"/>
      <c r="JUZ1880" s="94"/>
      <c r="JVA1880" s="94"/>
      <c r="JVB1880" s="94"/>
      <c r="JVC1880" s="94"/>
      <c r="JVD1880" s="94"/>
      <c r="JVE1880" s="94"/>
      <c r="JVF1880" s="94"/>
      <c r="JVG1880" s="94"/>
      <c r="JVH1880" s="94"/>
      <c r="JVI1880" s="94"/>
      <c r="JVJ1880" s="94"/>
      <c r="JVK1880" s="94"/>
      <c r="JVL1880" s="94"/>
      <c r="JVM1880" s="94"/>
      <c r="JVN1880" s="94"/>
      <c r="JVO1880" s="94"/>
      <c r="JVP1880" s="94"/>
      <c r="JVQ1880" s="94"/>
      <c r="JVR1880" s="94"/>
      <c r="JVS1880" s="94"/>
      <c r="JVT1880" s="94"/>
      <c r="JVU1880" s="94"/>
      <c r="JVV1880" s="94"/>
      <c r="JVW1880" s="94"/>
      <c r="JVX1880" s="94"/>
      <c r="JVY1880" s="94"/>
      <c r="JVZ1880" s="94"/>
      <c r="JWA1880" s="94"/>
      <c r="JWB1880" s="94"/>
      <c r="JWC1880" s="94"/>
      <c r="JWD1880" s="94"/>
      <c r="JWE1880" s="94"/>
      <c r="JWF1880" s="94"/>
      <c r="JWG1880" s="94"/>
      <c r="JWH1880" s="94"/>
      <c r="JWI1880" s="94"/>
      <c r="JWJ1880" s="94"/>
      <c r="JWK1880" s="94"/>
      <c r="JWL1880" s="94"/>
      <c r="JWM1880" s="94"/>
      <c r="JWN1880" s="94"/>
      <c r="JWO1880" s="94"/>
      <c r="JWP1880" s="94"/>
      <c r="JWQ1880" s="94"/>
      <c r="JWR1880" s="94"/>
      <c r="JWS1880" s="94"/>
      <c r="JWT1880" s="94"/>
      <c r="JWU1880" s="94"/>
      <c r="JWV1880" s="94"/>
      <c r="JWW1880" s="94"/>
      <c r="JWX1880" s="94"/>
      <c r="JWY1880" s="94"/>
      <c r="JWZ1880" s="94"/>
      <c r="JXA1880" s="94"/>
      <c r="JXB1880" s="94"/>
      <c r="JXC1880" s="94"/>
      <c r="JXD1880" s="94"/>
      <c r="JXE1880" s="94"/>
      <c r="JXF1880" s="94"/>
      <c r="JXG1880" s="94"/>
      <c r="JXH1880" s="94"/>
      <c r="JXI1880" s="94"/>
      <c r="JXJ1880" s="94"/>
      <c r="JXK1880" s="94"/>
      <c r="JXL1880" s="94"/>
      <c r="JXM1880" s="94"/>
      <c r="JXN1880" s="94"/>
      <c r="JXO1880" s="94"/>
      <c r="JXP1880" s="94"/>
      <c r="JXQ1880" s="94"/>
      <c r="JXR1880" s="94"/>
      <c r="JXS1880" s="94"/>
      <c r="JXT1880" s="94"/>
      <c r="JXU1880" s="94"/>
      <c r="JXV1880" s="94"/>
      <c r="JXW1880" s="94"/>
      <c r="JXX1880" s="94"/>
      <c r="JXY1880" s="94"/>
      <c r="JXZ1880" s="94"/>
      <c r="JYA1880" s="94"/>
      <c r="JYB1880" s="94"/>
      <c r="JYC1880" s="94"/>
      <c r="JYD1880" s="94"/>
      <c r="JYE1880" s="94"/>
      <c r="JYF1880" s="94"/>
      <c r="JYG1880" s="94"/>
      <c r="JYH1880" s="94"/>
      <c r="JYI1880" s="94"/>
      <c r="JYJ1880" s="94"/>
      <c r="JYK1880" s="94"/>
      <c r="JYL1880" s="94"/>
      <c r="JYM1880" s="94"/>
      <c r="JYN1880" s="94"/>
      <c r="JYO1880" s="94"/>
      <c r="JYP1880" s="94"/>
      <c r="JYQ1880" s="94"/>
      <c r="JYR1880" s="94"/>
      <c r="JYS1880" s="94"/>
      <c r="JYT1880" s="94"/>
      <c r="JYU1880" s="94"/>
      <c r="JYV1880" s="94"/>
      <c r="JYW1880" s="94"/>
      <c r="JYX1880" s="94"/>
      <c r="JYY1880" s="94"/>
      <c r="JYZ1880" s="94"/>
      <c r="JZA1880" s="94"/>
      <c r="JZB1880" s="94"/>
      <c r="JZC1880" s="94"/>
      <c r="JZD1880" s="94"/>
      <c r="JZE1880" s="94"/>
      <c r="JZF1880" s="94"/>
      <c r="JZG1880" s="94"/>
      <c r="JZH1880" s="94"/>
      <c r="JZI1880" s="94"/>
      <c r="JZJ1880" s="94"/>
      <c r="JZK1880" s="94"/>
      <c r="JZL1880" s="94"/>
      <c r="JZM1880" s="94"/>
      <c r="JZN1880" s="94"/>
      <c r="JZO1880" s="94"/>
      <c r="JZP1880" s="94"/>
      <c r="JZQ1880" s="94"/>
      <c r="JZR1880" s="94"/>
      <c r="JZS1880" s="94"/>
      <c r="JZT1880" s="94"/>
      <c r="JZU1880" s="94"/>
      <c r="JZV1880" s="94"/>
      <c r="JZW1880" s="94"/>
      <c r="JZX1880" s="94"/>
      <c r="JZY1880" s="94"/>
      <c r="JZZ1880" s="94"/>
      <c r="KAA1880" s="94"/>
      <c r="KAB1880" s="94"/>
      <c r="KAC1880" s="94"/>
      <c r="KAD1880" s="94"/>
      <c r="KAE1880" s="94"/>
      <c r="KAF1880" s="94"/>
      <c r="KAG1880" s="94"/>
      <c r="KAH1880" s="94"/>
      <c r="KAI1880" s="94"/>
      <c r="KAJ1880" s="94"/>
      <c r="KAK1880" s="94"/>
      <c r="KAL1880" s="94"/>
      <c r="KAM1880" s="94"/>
      <c r="KAN1880" s="94"/>
      <c r="KAO1880" s="94"/>
      <c r="KAP1880" s="94"/>
      <c r="KAQ1880" s="94"/>
      <c r="KAR1880" s="94"/>
      <c r="KAS1880" s="94"/>
      <c r="KAT1880" s="94"/>
      <c r="KAU1880" s="94"/>
      <c r="KAV1880" s="94"/>
      <c r="KAW1880" s="94"/>
      <c r="KAX1880" s="94"/>
      <c r="KAY1880" s="94"/>
      <c r="KAZ1880" s="94"/>
      <c r="KBA1880" s="94"/>
      <c r="KBB1880" s="94"/>
      <c r="KBC1880" s="94"/>
      <c r="KBD1880" s="94"/>
      <c r="KBE1880" s="94"/>
      <c r="KBF1880" s="94"/>
      <c r="KBG1880" s="94"/>
      <c r="KBH1880" s="94"/>
      <c r="KBI1880" s="94"/>
      <c r="KBJ1880" s="94"/>
      <c r="KBK1880" s="94"/>
      <c r="KBL1880" s="94"/>
      <c r="KBM1880" s="94"/>
      <c r="KBN1880" s="94"/>
      <c r="KBO1880" s="94"/>
      <c r="KBP1880" s="94"/>
      <c r="KBQ1880" s="94"/>
      <c r="KBR1880" s="94"/>
      <c r="KBS1880" s="94"/>
      <c r="KBT1880" s="94"/>
      <c r="KBU1880" s="94"/>
      <c r="KBV1880" s="94"/>
      <c r="KBW1880" s="94"/>
      <c r="KBX1880" s="94"/>
      <c r="KBY1880" s="94"/>
      <c r="KBZ1880" s="94"/>
      <c r="KCA1880" s="94"/>
      <c r="KCB1880" s="94"/>
      <c r="KCC1880" s="94"/>
      <c r="KCD1880" s="94"/>
      <c r="KCE1880" s="94"/>
      <c r="KCF1880" s="94"/>
      <c r="KCG1880" s="94"/>
      <c r="KCH1880" s="94"/>
      <c r="KCI1880" s="94"/>
      <c r="KCJ1880" s="94"/>
      <c r="KCK1880" s="94"/>
      <c r="KCL1880" s="94"/>
      <c r="KCM1880" s="94"/>
      <c r="KCN1880" s="94"/>
      <c r="KCO1880" s="94"/>
      <c r="KCP1880" s="94"/>
      <c r="KCQ1880" s="94"/>
      <c r="KCR1880" s="94"/>
      <c r="KCS1880" s="94"/>
      <c r="KCT1880" s="94"/>
      <c r="KCU1880" s="94"/>
      <c r="KCV1880" s="94"/>
      <c r="KCW1880" s="94"/>
      <c r="KCX1880" s="94"/>
      <c r="KCY1880" s="94"/>
      <c r="KCZ1880" s="94"/>
      <c r="KDA1880" s="94"/>
      <c r="KDB1880" s="94"/>
      <c r="KDC1880" s="94"/>
      <c r="KDD1880" s="94"/>
      <c r="KDE1880" s="94"/>
      <c r="KDF1880" s="94"/>
      <c r="KDG1880" s="94"/>
      <c r="KDH1880" s="94"/>
      <c r="KDI1880" s="94"/>
      <c r="KDJ1880" s="94"/>
      <c r="KDK1880" s="94"/>
      <c r="KDL1880" s="94"/>
      <c r="KDM1880" s="94"/>
      <c r="KDN1880" s="94"/>
      <c r="KDO1880" s="94"/>
      <c r="KDP1880" s="94"/>
      <c r="KDQ1880" s="94"/>
      <c r="KDR1880" s="94"/>
      <c r="KDS1880" s="94"/>
      <c r="KDT1880" s="94"/>
      <c r="KDU1880" s="94"/>
      <c r="KDV1880" s="94"/>
      <c r="KDW1880" s="94"/>
      <c r="KDX1880" s="94"/>
      <c r="KDY1880" s="94"/>
      <c r="KDZ1880" s="94"/>
      <c r="KEA1880" s="94"/>
      <c r="KEB1880" s="94"/>
      <c r="KEC1880" s="94"/>
      <c r="KED1880" s="94"/>
      <c r="KEE1880" s="94"/>
      <c r="KEF1880" s="94"/>
      <c r="KEG1880" s="94"/>
      <c r="KEH1880" s="94"/>
      <c r="KEI1880" s="94"/>
      <c r="KEJ1880" s="94"/>
      <c r="KEK1880" s="94"/>
      <c r="KEL1880" s="94"/>
      <c r="KEM1880" s="94"/>
      <c r="KEN1880" s="94"/>
      <c r="KEO1880" s="94"/>
      <c r="KEP1880" s="94"/>
      <c r="KEQ1880" s="94"/>
      <c r="KER1880" s="94"/>
      <c r="KES1880" s="94"/>
      <c r="KET1880" s="94"/>
      <c r="KEU1880" s="94"/>
      <c r="KEV1880" s="94"/>
      <c r="KEW1880" s="94"/>
      <c r="KEX1880" s="94"/>
      <c r="KEY1880" s="94"/>
      <c r="KEZ1880" s="94"/>
      <c r="KFA1880" s="94"/>
      <c r="KFB1880" s="94"/>
      <c r="KFC1880" s="94"/>
      <c r="KFD1880" s="94"/>
      <c r="KFE1880" s="94"/>
      <c r="KFF1880" s="94"/>
      <c r="KFG1880" s="94"/>
      <c r="KFH1880" s="94"/>
      <c r="KFI1880" s="94"/>
      <c r="KFJ1880" s="94"/>
      <c r="KFK1880" s="94"/>
      <c r="KFL1880" s="94"/>
      <c r="KFM1880" s="94"/>
      <c r="KFN1880" s="94"/>
      <c r="KFO1880" s="94"/>
      <c r="KFP1880" s="94"/>
      <c r="KFQ1880" s="94"/>
      <c r="KFR1880" s="94"/>
      <c r="KFS1880" s="94"/>
      <c r="KFT1880" s="94"/>
      <c r="KFU1880" s="94"/>
      <c r="KFV1880" s="94"/>
      <c r="KFW1880" s="94"/>
      <c r="KFX1880" s="94"/>
      <c r="KFY1880" s="94"/>
      <c r="KFZ1880" s="94"/>
      <c r="KGA1880" s="94"/>
      <c r="KGB1880" s="94"/>
      <c r="KGC1880" s="94"/>
      <c r="KGD1880" s="94"/>
      <c r="KGE1880" s="94"/>
      <c r="KGF1880" s="94"/>
      <c r="KGG1880" s="94"/>
      <c r="KGH1880" s="94"/>
      <c r="KGI1880" s="94"/>
      <c r="KGJ1880" s="94"/>
      <c r="KGK1880" s="94"/>
      <c r="KGL1880" s="94"/>
      <c r="KGM1880" s="94"/>
      <c r="KGN1880" s="94"/>
      <c r="KGO1880" s="94"/>
      <c r="KGP1880" s="94"/>
      <c r="KGQ1880" s="94"/>
      <c r="KGR1880" s="94"/>
      <c r="KGS1880" s="94"/>
      <c r="KGT1880" s="94"/>
      <c r="KGU1880" s="94"/>
      <c r="KGV1880" s="94"/>
      <c r="KGW1880" s="94"/>
      <c r="KGX1880" s="94"/>
      <c r="KGY1880" s="94"/>
      <c r="KGZ1880" s="94"/>
      <c r="KHA1880" s="94"/>
      <c r="KHB1880" s="94"/>
      <c r="KHC1880" s="94"/>
      <c r="KHD1880" s="94"/>
      <c r="KHE1880" s="94"/>
      <c r="KHF1880" s="94"/>
      <c r="KHG1880" s="94"/>
      <c r="KHH1880" s="94"/>
      <c r="KHI1880" s="94"/>
      <c r="KHJ1880" s="94"/>
      <c r="KHK1880" s="94"/>
      <c r="KHL1880" s="94"/>
      <c r="KHM1880" s="94"/>
      <c r="KHN1880" s="94"/>
      <c r="KHO1880" s="94"/>
      <c r="KHP1880" s="94"/>
      <c r="KHQ1880" s="94"/>
      <c r="KHR1880" s="94"/>
      <c r="KHS1880" s="94"/>
      <c r="KHT1880" s="94"/>
      <c r="KHU1880" s="94"/>
      <c r="KHV1880" s="94"/>
      <c r="KHW1880" s="94"/>
      <c r="KHX1880" s="94"/>
      <c r="KHY1880" s="94"/>
      <c r="KHZ1880" s="94"/>
      <c r="KIA1880" s="94"/>
      <c r="KIB1880" s="94"/>
      <c r="KIC1880" s="94"/>
      <c r="KID1880" s="94"/>
      <c r="KIE1880" s="94"/>
      <c r="KIF1880" s="94"/>
      <c r="KIG1880" s="94"/>
      <c r="KIH1880" s="94"/>
      <c r="KII1880" s="94"/>
      <c r="KIJ1880" s="94"/>
      <c r="KIK1880" s="94"/>
      <c r="KIL1880" s="94"/>
      <c r="KIM1880" s="94"/>
      <c r="KIN1880" s="94"/>
      <c r="KIO1880" s="94"/>
      <c r="KIP1880" s="94"/>
      <c r="KIQ1880" s="94"/>
      <c r="KIR1880" s="94"/>
      <c r="KIS1880" s="94"/>
      <c r="KIT1880" s="94"/>
      <c r="KIU1880" s="94"/>
      <c r="KIV1880" s="94"/>
      <c r="KIW1880" s="94"/>
      <c r="KIX1880" s="94"/>
      <c r="KIY1880" s="94"/>
      <c r="KIZ1880" s="94"/>
      <c r="KJA1880" s="94"/>
      <c r="KJB1880" s="94"/>
      <c r="KJC1880" s="94"/>
      <c r="KJD1880" s="94"/>
      <c r="KJE1880" s="94"/>
      <c r="KJF1880" s="94"/>
      <c r="KJG1880" s="94"/>
      <c r="KJH1880" s="94"/>
      <c r="KJI1880" s="94"/>
      <c r="KJJ1880" s="94"/>
      <c r="KJK1880" s="94"/>
      <c r="KJL1880" s="94"/>
      <c r="KJM1880" s="94"/>
      <c r="KJN1880" s="94"/>
      <c r="KJO1880" s="94"/>
      <c r="KJP1880" s="94"/>
      <c r="KJQ1880" s="94"/>
      <c r="KJR1880" s="94"/>
      <c r="KJS1880" s="94"/>
      <c r="KJT1880" s="94"/>
      <c r="KJU1880" s="94"/>
      <c r="KJV1880" s="94"/>
      <c r="KJW1880" s="94"/>
      <c r="KJX1880" s="94"/>
      <c r="KJY1880" s="94"/>
      <c r="KJZ1880" s="94"/>
      <c r="KKA1880" s="94"/>
      <c r="KKB1880" s="94"/>
      <c r="KKC1880" s="94"/>
      <c r="KKD1880" s="94"/>
      <c r="KKE1880" s="94"/>
      <c r="KKF1880" s="94"/>
      <c r="KKG1880" s="94"/>
      <c r="KKH1880" s="94"/>
      <c r="KKI1880" s="94"/>
      <c r="KKJ1880" s="94"/>
      <c r="KKK1880" s="94"/>
      <c r="KKL1880" s="94"/>
      <c r="KKM1880" s="94"/>
      <c r="KKN1880" s="94"/>
      <c r="KKO1880" s="94"/>
      <c r="KKP1880" s="94"/>
      <c r="KKQ1880" s="94"/>
      <c r="KKR1880" s="94"/>
      <c r="KKS1880" s="94"/>
      <c r="KKT1880" s="94"/>
      <c r="KKU1880" s="94"/>
      <c r="KKV1880" s="94"/>
      <c r="KKW1880" s="94"/>
      <c r="KKX1880" s="94"/>
      <c r="KKY1880" s="94"/>
      <c r="KKZ1880" s="94"/>
      <c r="KLA1880" s="94"/>
      <c r="KLB1880" s="94"/>
      <c r="KLC1880" s="94"/>
      <c r="KLD1880" s="94"/>
      <c r="KLE1880" s="94"/>
      <c r="KLF1880" s="94"/>
      <c r="KLG1880" s="94"/>
      <c r="KLH1880" s="94"/>
      <c r="KLI1880" s="94"/>
      <c r="KLJ1880" s="94"/>
      <c r="KLK1880" s="94"/>
      <c r="KLL1880" s="94"/>
      <c r="KLM1880" s="94"/>
      <c r="KLN1880" s="94"/>
      <c r="KLO1880" s="94"/>
      <c r="KLP1880" s="94"/>
      <c r="KLQ1880" s="94"/>
      <c r="KLR1880" s="94"/>
      <c r="KLS1880" s="94"/>
      <c r="KLT1880" s="94"/>
      <c r="KLU1880" s="94"/>
      <c r="KLV1880" s="94"/>
      <c r="KLW1880" s="94"/>
      <c r="KLX1880" s="94"/>
      <c r="KLY1880" s="94"/>
      <c r="KLZ1880" s="94"/>
      <c r="KMA1880" s="94"/>
      <c r="KMB1880" s="94"/>
      <c r="KMC1880" s="94"/>
      <c r="KMD1880" s="94"/>
      <c r="KME1880" s="94"/>
      <c r="KMF1880" s="94"/>
      <c r="KMG1880" s="94"/>
      <c r="KMH1880" s="94"/>
      <c r="KMI1880" s="94"/>
      <c r="KMJ1880" s="94"/>
      <c r="KMK1880" s="94"/>
      <c r="KML1880" s="94"/>
      <c r="KMM1880" s="94"/>
      <c r="KMN1880" s="94"/>
      <c r="KMO1880" s="94"/>
      <c r="KMP1880" s="94"/>
      <c r="KMQ1880" s="94"/>
      <c r="KMR1880" s="94"/>
      <c r="KMS1880" s="94"/>
      <c r="KMT1880" s="94"/>
      <c r="KMU1880" s="94"/>
      <c r="KMV1880" s="94"/>
      <c r="KMW1880" s="94"/>
      <c r="KMX1880" s="94"/>
      <c r="KMY1880" s="94"/>
      <c r="KMZ1880" s="94"/>
      <c r="KNA1880" s="94"/>
      <c r="KNB1880" s="94"/>
      <c r="KNC1880" s="94"/>
      <c r="KND1880" s="94"/>
      <c r="KNE1880" s="94"/>
      <c r="KNF1880" s="94"/>
      <c r="KNG1880" s="94"/>
      <c r="KNH1880" s="94"/>
      <c r="KNI1880" s="94"/>
      <c r="KNJ1880" s="94"/>
      <c r="KNK1880" s="94"/>
      <c r="KNL1880" s="94"/>
      <c r="KNM1880" s="94"/>
      <c r="KNN1880" s="94"/>
      <c r="KNO1880" s="94"/>
      <c r="KNP1880" s="94"/>
      <c r="KNQ1880" s="94"/>
      <c r="KNR1880" s="94"/>
      <c r="KNS1880" s="94"/>
      <c r="KNT1880" s="94"/>
      <c r="KNU1880" s="94"/>
      <c r="KNV1880" s="94"/>
      <c r="KNW1880" s="94"/>
      <c r="KNX1880" s="94"/>
      <c r="KNY1880" s="94"/>
      <c r="KNZ1880" s="94"/>
      <c r="KOA1880" s="94"/>
      <c r="KOB1880" s="94"/>
      <c r="KOC1880" s="94"/>
      <c r="KOD1880" s="94"/>
      <c r="KOE1880" s="94"/>
      <c r="KOF1880" s="94"/>
      <c r="KOG1880" s="94"/>
      <c r="KOH1880" s="94"/>
      <c r="KOI1880" s="94"/>
      <c r="KOJ1880" s="94"/>
      <c r="KOK1880" s="94"/>
      <c r="KOL1880" s="94"/>
      <c r="KOM1880" s="94"/>
      <c r="KON1880" s="94"/>
      <c r="KOO1880" s="94"/>
      <c r="KOP1880" s="94"/>
      <c r="KOQ1880" s="94"/>
      <c r="KOR1880" s="94"/>
      <c r="KOS1880" s="94"/>
      <c r="KOT1880" s="94"/>
      <c r="KOU1880" s="94"/>
      <c r="KOV1880" s="94"/>
      <c r="KOW1880" s="94"/>
      <c r="KOX1880" s="94"/>
      <c r="KOY1880" s="94"/>
      <c r="KOZ1880" s="94"/>
      <c r="KPA1880" s="94"/>
      <c r="KPB1880" s="94"/>
      <c r="KPC1880" s="94"/>
      <c r="KPD1880" s="94"/>
      <c r="KPE1880" s="94"/>
      <c r="KPF1880" s="94"/>
      <c r="KPG1880" s="94"/>
      <c r="KPH1880" s="94"/>
      <c r="KPI1880" s="94"/>
      <c r="KPJ1880" s="94"/>
      <c r="KPK1880" s="94"/>
      <c r="KPL1880" s="94"/>
      <c r="KPM1880" s="94"/>
      <c r="KPN1880" s="94"/>
      <c r="KPO1880" s="94"/>
      <c r="KPP1880" s="94"/>
      <c r="KPQ1880" s="94"/>
      <c r="KPR1880" s="94"/>
      <c r="KPS1880" s="94"/>
      <c r="KPT1880" s="94"/>
      <c r="KPU1880" s="94"/>
      <c r="KPV1880" s="94"/>
      <c r="KPW1880" s="94"/>
      <c r="KPX1880" s="94"/>
      <c r="KPY1880" s="94"/>
      <c r="KPZ1880" s="94"/>
      <c r="KQA1880" s="94"/>
      <c r="KQB1880" s="94"/>
      <c r="KQC1880" s="94"/>
      <c r="KQD1880" s="94"/>
      <c r="KQE1880" s="94"/>
      <c r="KQF1880" s="94"/>
      <c r="KQG1880" s="94"/>
      <c r="KQH1880" s="94"/>
      <c r="KQI1880" s="94"/>
      <c r="KQJ1880" s="94"/>
      <c r="KQK1880" s="94"/>
      <c r="KQL1880" s="94"/>
      <c r="KQM1880" s="94"/>
      <c r="KQN1880" s="94"/>
      <c r="KQO1880" s="94"/>
      <c r="KQP1880" s="94"/>
      <c r="KQQ1880" s="94"/>
      <c r="KQR1880" s="94"/>
      <c r="KQS1880" s="94"/>
      <c r="KQT1880" s="94"/>
      <c r="KQU1880" s="94"/>
      <c r="KQV1880" s="94"/>
      <c r="KQW1880" s="94"/>
      <c r="KQX1880" s="94"/>
      <c r="KQY1880" s="94"/>
      <c r="KQZ1880" s="94"/>
      <c r="KRA1880" s="94"/>
      <c r="KRB1880" s="94"/>
      <c r="KRC1880" s="94"/>
      <c r="KRD1880" s="94"/>
      <c r="KRE1880" s="94"/>
      <c r="KRF1880" s="94"/>
      <c r="KRG1880" s="94"/>
      <c r="KRH1880" s="94"/>
      <c r="KRI1880" s="94"/>
      <c r="KRJ1880" s="94"/>
      <c r="KRK1880" s="94"/>
      <c r="KRL1880" s="94"/>
      <c r="KRM1880" s="94"/>
      <c r="KRN1880" s="94"/>
      <c r="KRO1880" s="94"/>
      <c r="KRP1880" s="94"/>
      <c r="KRQ1880" s="94"/>
      <c r="KRR1880" s="94"/>
      <c r="KRS1880" s="94"/>
      <c r="KRT1880" s="94"/>
      <c r="KRU1880" s="94"/>
      <c r="KRV1880" s="94"/>
      <c r="KRW1880" s="94"/>
      <c r="KRX1880" s="94"/>
      <c r="KRY1880" s="94"/>
      <c r="KRZ1880" s="94"/>
      <c r="KSA1880" s="94"/>
      <c r="KSB1880" s="94"/>
      <c r="KSC1880" s="94"/>
      <c r="KSD1880" s="94"/>
      <c r="KSE1880" s="94"/>
      <c r="KSF1880" s="94"/>
      <c r="KSG1880" s="94"/>
      <c r="KSH1880" s="94"/>
      <c r="KSI1880" s="94"/>
      <c r="KSJ1880" s="94"/>
      <c r="KSK1880" s="94"/>
      <c r="KSL1880" s="94"/>
      <c r="KSM1880" s="94"/>
      <c r="KSN1880" s="94"/>
      <c r="KSO1880" s="94"/>
      <c r="KSP1880" s="94"/>
      <c r="KSQ1880" s="94"/>
      <c r="KSR1880" s="94"/>
      <c r="KSS1880" s="94"/>
      <c r="KST1880" s="94"/>
      <c r="KSU1880" s="94"/>
      <c r="KSV1880" s="94"/>
      <c r="KSW1880" s="94"/>
      <c r="KSX1880" s="94"/>
      <c r="KSY1880" s="94"/>
      <c r="KSZ1880" s="94"/>
      <c r="KTA1880" s="94"/>
      <c r="KTB1880" s="94"/>
      <c r="KTC1880" s="94"/>
      <c r="KTD1880" s="94"/>
      <c r="KTE1880" s="94"/>
      <c r="KTF1880" s="94"/>
      <c r="KTG1880" s="94"/>
      <c r="KTH1880" s="94"/>
      <c r="KTI1880" s="94"/>
      <c r="KTJ1880" s="94"/>
      <c r="KTK1880" s="94"/>
      <c r="KTL1880" s="94"/>
      <c r="KTM1880" s="94"/>
      <c r="KTN1880" s="94"/>
      <c r="KTO1880" s="94"/>
      <c r="KTP1880" s="94"/>
      <c r="KTQ1880" s="94"/>
      <c r="KTR1880" s="94"/>
      <c r="KTS1880" s="94"/>
      <c r="KTT1880" s="94"/>
      <c r="KTU1880" s="94"/>
      <c r="KTV1880" s="94"/>
      <c r="KTW1880" s="94"/>
      <c r="KTX1880" s="94"/>
      <c r="KTY1880" s="94"/>
      <c r="KTZ1880" s="94"/>
      <c r="KUA1880" s="94"/>
      <c r="KUB1880" s="94"/>
      <c r="KUC1880" s="94"/>
      <c r="KUD1880" s="94"/>
      <c r="KUE1880" s="94"/>
      <c r="KUF1880" s="94"/>
      <c r="KUG1880" s="94"/>
      <c r="KUH1880" s="94"/>
      <c r="KUI1880" s="94"/>
      <c r="KUJ1880" s="94"/>
      <c r="KUK1880" s="94"/>
      <c r="KUL1880" s="94"/>
      <c r="KUM1880" s="94"/>
      <c r="KUN1880" s="94"/>
      <c r="KUO1880" s="94"/>
      <c r="KUP1880" s="94"/>
      <c r="KUQ1880" s="94"/>
      <c r="KUR1880" s="94"/>
      <c r="KUS1880" s="94"/>
      <c r="KUT1880" s="94"/>
      <c r="KUU1880" s="94"/>
      <c r="KUV1880" s="94"/>
      <c r="KUW1880" s="94"/>
      <c r="KUX1880" s="94"/>
      <c r="KUY1880" s="94"/>
      <c r="KUZ1880" s="94"/>
      <c r="KVA1880" s="94"/>
      <c r="KVB1880" s="94"/>
      <c r="KVC1880" s="94"/>
      <c r="KVD1880" s="94"/>
      <c r="KVE1880" s="94"/>
      <c r="KVF1880" s="94"/>
      <c r="KVG1880" s="94"/>
      <c r="KVH1880" s="94"/>
      <c r="KVI1880" s="94"/>
      <c r="KVJ1880" s="94"/>
      <c r="KVK1880" s="94"/>
      <c r="KVL1880" s="94"/>
      <c r="KVM1880" s="94"/>
      <c r="KVN1880" s="94"/>
      <c r="KVO1880" s="94"/>
      <c r="KVP1880" s="94"/>
      <c r="KVQ1880" s="94"/>
      <c r="KVR1880" s="94"/>
      <c r="KVS1880" s="94"/>
      <c r="KVT1880" s="94"/>
      <c r="KVU1880" s="94"/>
      <c r="KVV1880" s="94"/>
      <c r="KVW1880" s="94"/>
      <c r="KVX1880" s="94"/>
      <c r="KVY1880" s="94"/>
      <c r="KVZ1880" s="94"/>
      <c r="KWA1880" s="94"/>
      <c r="KWB1880" s="94"/>
      <c r="KWC1880" s="94"/>
      <c r="KWD1880" s="94"/>
      <c r="KWE1880" s="94"/>
      <c r="KWF1880" s="94"/>
      <c r="KWG1880" s="94"/>
      <c r="KWH1880" s="94"/>
      <c r="KWI1880" s="94"/>
      <c r="KWJ1880" s="94"/>
      <c r="KWK1880" s="94"/>
      <c r="KWL1880" s="94"/>
      <c r="KWM1880" s="94"/>
      <c r="KWN1880" s="94"/>
      <c r="KWO1880" s="94"/>
      <c r="KWP1880" s="94"/>
      <c r="KWQ1880" s="94"/>
      <c r="KWR1880" s="94"/>
      <c r="KWS1880" s="94"/>
      <c r="KWT1880" s="94"/>
      <c r="KWU1880" s="94"/>
      <c r="KWV1880" s="94"/>
      <c r="KWW1880" s="94"/>
      <c r="KWX1880" s="94"/>
      <c r="KWY1880" s="94"/>
      <c r="KWZ1880" s="94"/>
      <c r="KXA1880" s="94"/>
      <c r="KXB1880" s="94"/>
      <c r="KXC1880" s="94"/>
      <c r="KXD1880" s="94"/>
      <c r="KXE1880" s="94"/>
      <c r="KXF1880" s="94"/>
      <c r="KXG1880" s="94"/>
      <c r="KXH1880" s="94"/>
      <c r="KXI1880" s="94"/>
      <c r="KXJ1880" s="94"/>
      <c r="KXK1880" s="94"/>
      <c r="KXL1880" s="94"/>
      <c r="KXM1880" s="94"/>
      <c r="KXN1880" s="94"/>
      <c r="KXO1880" s="94"/>
      <c r="KXP1880" s="94"/>
      <c r="KXQ1880" s="94"/>
      <c r="KXR1880" s="94"/>
      <c r="KXS1880" s="94"/>
      <c r="KXT1880" s="94"/>
      <c r="KXU1880" s="94"/>
      <c r="KXV1880" s="94"/>
      <c r="KXW1880" s="94"/>
      <c r="KXX1880" s="94"/>
      <c r="KXY1880" s="94"/>
      <c r="KXZ1880" s="94"/>
      <c r="KYA1880" s="94"/>
      <c r="KYB1880" s="94"/>
      <c r="KYC1880" s="94"/>
      <c r="KYD1880" s="94"/>
      <c r="KYE1880" s="94"/>
      <c r="KYF1880" s="94"/>
      <c r="KYG1880" s="94"/>
      <c r="KYH1880" s="94"/>
      <c r="KYI1880" s="94"/>
      <c r="KYJ1880" s="94"/>
      <c r="KYK1880" s="94"/>
      <c r="KYL1880" s="94"/>
      <c r="KYM1880" s="94"/>
      <c r="KYN1880" s="94"/>
      <c r="KYO1880" s="94"/>
      <c r="KYP1880" s="94"/>
      <c r="KYQ1880" s="94"/>
      <c r="KYR1880" s="94"/>
      <c r="KYS1880" s="94"/>
      <c r="KYT1880" s="94"/>
      <c r="KYU1880" s="94"/>
      <c r="KYV1880" s="94"/>
      <c r="KYW1880" s="94"/>
      <c r="KYX1880" s="94"/>
      <c r="KYY1880" s="94"/>
      <c r="KYZ1880" s="94"/>
      <c r="KZA1880" s="94"/>
      <c r="KZB1880" s="94"/>
      <c r="KZC1880" s="94"/>
      <c r="KZD1880" s="94"/>
      <c r="KZE1880" s="94"/>
      <c r="KZF1880" s="94"/>
      <c r="KZG1880" s="94"/>
      <c r="KZH1880" s="94"/>
      <c r="KZI1880" s="94"/>
      <c r="KZJ1880" s="94"/>
      <c r="KZK1880" s="94"/>
      <c r="KZL1880" s="94"/>
      <c r="KZM1880" s="94"/>
      <c r="KZN1880" s="94"/>
      <c r="KZO1880" s="94"/>
      <c r="KZP1880" s="94"/>
      <c r="KZQ1880" s="94"/>
      <c r="KZR1880" s="94"/>
      <c r="KZS1880" s="94"/>
      <c r="KZT1880" s="94"/>
      <c r="KZU1880" s="94"/>
      <c r="KZV1880" s="94"/>
      <c r="KZW1880" s="94"/>
      <c r="KZX1880" s="94"/>
      <c r="KZY1880" s="94"/>
      <c r="KZZ1880" s="94"/>
      <c r="LAA1880" s="94"/>
      <c r="LAB1880" s="94"/>
      <c r="LAC1880" s="94"/>
      <c r="LAD1880" s="94"/>
      <c r="LAE1880" s="94"/>
      <c r="LAF1880" s="94"/>
      <c r="LAG1880" s="94"/>
      <c r="LAH1880" s="94"/>
      <c r="LAI1880" s="94"/>
      <c r="LAJ1880" s="94"/>
      <c r="LAK1880" s="94"/>
      <c r="LAL1880" s="94"/>
      <c r="LAM1880" s="94"/>
      <c r="LAN1880" s="94"/>
      <c r="LAO1880" s="94"/>
      <c r="LAP1880" s="94"/>
      <c r="LAQ1880" s="94"/>
      <c r="LAR1880" s="94"/>
      <c r="LAS1880" s="94"/>
      <c r="LAT1880" s="94"/>
      <c r="LAU1880" s="94"/>
      <c r="LAV1880" s="94"/>
      <c r="LAW1880" s="94"/>
      <c r="LAX1880" s="94"/>
      <c r="LAY1880" s="94"/>
      <c r="LAZ1880" s="94"/>
      <c r="LBA1880" s="94"/>
      <c r="LBB1880" s="94"/>
      <c r="LBC1880" s="94"/>
      <c r="LBD1880" s="94"/>
      <c r="LBE1880" s="94"/>
      <c r="LBF1880" s="94"/>
      <c r="LBG1880" s="94"/>
      <c r="LBH1880" s="94"/>
      <c r="LBI1880" s="94"/>
      <c r="LBJ1880" s="94"/>
      <c r="LBK1880" s="94"/>
      <c r="LBL1880" s="94"/>
      <c r="LBM1880" s="94"/>
      <c r="LBN1880" s="94"/>
      <c r="LBO1880" s="94"/>
      <c r="LBP1880" s="94"/>
      <c r="LBQ1880" s="94"/>
      <c r="LBR1880" s="94"/>
      <c r="LBS1880" s="94"/>
      <c r="LBT1880" s="94"/>
      <c r="LBU1880" s="94"/>
      <c r="LBV1880" s="94"/>
      <c r="LBW1880" s="94"/>
      <c r="LBX1880" s="94"/>
      <c r="LBY1880" s="94"/>
      <c r="LBZ1880" s="94"/>
      <c r="LCA1880" s="94"/>
      <c r="LCB1880" s="94"/>
      <c r="LCC1880" s="94"/>
      <c r="LCD1880" s="94"/>
      <c r="LCE1880" s="94"/>
      <c r="LCF1880" s="94"/>
      <c r="LCG1880" s="94"/>
      <c r="LCH1880" s="94"/>
      <c r="LCI1880" s="94"/>
      <c r="LCJ1880" s="94"/>
      <c r="LCK1880" s="94"/>
      <c r="LCL1880" s="94"/>
      <c r="LCM1880" s="94"/>
      <c r="LCN1880" s="94"/>
      <c r="LCO1880" s="94"/>
      <c r="LCP1880" s="94"/>
      <c r="LCQ1880" s="94"/>
      <c r="LCR1880" s="94"/>
      <c r="LCS1880" s="94"/>
      <c r="LCT1880" s="94"/>
      <c r="LCU1880" s="94"/>
      <c r="LCV1880" s="94"/>
      <c r="LCW1880" s="94"/>
      <c r="LCX1880" s="94"/>
      <c r="LCY1880" s="94"/>
      <c r="LCZ1880" s="94"/>
      <c r="LDA1880" s="94"/>
      <c r="LDB1880" s="94"/>
      <c r="LDC1880" s="94"/>
      <c r="LDD1880" s="94"/>
      <c r="LDE1880" s="94"/>
      <c r="LDF1880" s="94"/>
      <c r="LDG1880" s="94"/>
      <c r="LDH1880" s="94"/>
      <c r="LDI1880" s="94"/>
      <c r="LDJ1880" s="94"/>
      <c r="LDK1880" s="94"/>
      <c r="LDL1880" s="94"/>
      <c r="LDM1880" s="94"/>
      <c r="LDN1880" s="94"/>
      <c r="LDO1880" s="94"/>
      <c r="LDP1880" s="94"/>
      <c r="LDQ1880" s="94"/>
      <c r="LDR1880" s="94"/>
      <c r="LDS1880" s="94"/>
      <c r="LDT1880" s="94"/>
      <c r="LDU1880" s="94"/>
      <c r="LDV1880" s="94"/>
      <c r="LDW1880" s="94"/>
      <c r="LDX1880" s="94"/>
      <c r="LDY1880" s="94"/>
      <c r="LDZ1880" s="94"/>
      <c r="LEA1880" s="94"/>
      <c r="LEB1880" s="94"/>
      <c r="LEC1880" s="94"/>
      <c r="LED1880" s="94"/>
      <c r="LEE1880" s="94"/>
      <c r="LEF1880" s="94"/>
      <c r="LEG1880" s="94"/>
      <c r="LEH1880" s="94"/>
      <c r="LEI1880" s="94"/>
      <c r="LEJ1880" s="94"/>
      <c r="LEK1880" s="94"/>
      <c r="LEL1880" s="94"/>
      <c r="LEM1880" s="94"/>
      <c r="LEN1880" s="94"/>
      <c r="LEO1880" s="94"/>
      <c r="LEP1880" s="94"/>
      <c r="LEQ1880" s="94"/>
      <c r="LER1880" s="94"/>
      <c r="LES1880" s="94"/>
      <c r="LET1880" s="94"/>
      <c r="LEU1880" s="94"/>
      <c r="LEV1880" s="94"/>
      <c r="LEW1880" s="94"/>
      <c r="LEX1880" s="94"/>
      <c r="LEY1880" s="94"/>
      <c r="LEZ1880" s="94"/>
      <c r="LFA1880" s="94"/>
      <c r="LFB1880" s="94"/>
      <c r="LFC1880" s="94"/>
      <c r="LFD1880" s="94"/>
      <c r="LFE1880" s="94"/>
      <c r="LFF1880" s="94"/>
      <c r="LFG1880" s="94"/>
      <c r="LFH1880" s="94"/>
      <c r="LFI1880" s="94"/>
      <c r="LFJ1880" s="94"/>
      <c r="LFK1880" s="94"/>
      <c r="LFL1880" s="94"/>
      <c r="LFM1880" s="94"/>
      <c r="LFN1880" s="94"/>
      <c r="LFO1880" s="94"/>
      <c r="LFP1880" s="94"/>
      <c r="LFQ1880" s="94"/>
      <c r="LFR1880" s="94"/>
      <c r="LFS1880" s="94"/>
      <c r="LFT1880" s="94"/>
      <c r="LFU1880" s="94"/>
      <c r="LFV1880" s="94"/>
      <c r="LFW1880" s="94"/>
      <c r="LFX1880" s="94"/>
      <c r="LFY1880" s="94"/>
      <c r="LFZ1880" s="94"/>
      <c r="LGA1880" s="94"/>
      <c r="LGB1880" s="94"/>
      <c r="LGC1880" s="94"/>
      <c r="LGD1880" s="94"/>
      <c r="LGE1880" s="94"/>
      <c r="LGF1880" s="94"/>
      <c r="LGG1880" s="94"/>
      <c r="LGH1880" s="94"/>
      <c r="LGI1880" s="94"/>
      <c r="LGJ1880" s="94"/>
      <c r="LGK1880" s="94"/>
      <c r="LGL1880" s="94"/>
      <c r="LGM1880" s="94"/>
      <c r="LGN1880" s="94"/>
      <c r="LGO1880" s="94"/>
      <c r="LGP1880" s="94"/>
      <c r="LGQ1880" s="94"/>
      <c r="LGR1880" s="94"/>
      <c r="LGS1880" s="94"/>
      <c r="LGT1880" s="94"/>
      <c r="LGU1880" s="94"/>
      <c r="LGV1880" s="94"/>
      <c r="LGW1880" s="94"/>
      <c r="LGX1880" s="94"/>
      <c r="LGY1880" s="94"/>
      <c r="LGZ1880" s="94"/>
      <c r="LHA1880" s="94"/>
      <c r="LHB1880" s="94"/>
      <c r="LHC1880" s="94"/>
      <c r="LHD1880" s="94"/>
      <c r="LHE1880" s="94"/>
      <c r="LHF1880" s="94"/>
      <c r="LHG1880" s="94"/>
      <c r="LHH1880" s="94"/>
      <c r="LHI1880" s="94"/>
      <c r="LHJ1880" s="94"/>
      <c r="LHK1880" s="94"/>
      <c r="LHL1880" s="94"/>
      <c r="LHM1880" s="94"/>
      <c r="LHN1880" s="94"/>
      <c r="LHO1880" s="94"/>
      <c r="LHP1880" s="94"/>
      <c r="LHQ1880" s="94"/>
      <c r="LHR1880" s="94"/>
      <c r="LHS1880" s="94"/>
      <c r="LHT1880" s="94"/>
      <c r="LHU1880" s="94"/>
      <c r="LHV1880" s="94"/>
      <c r="LHW1880" s="94"/>
      <c r="LHX1880" s="94"/>
      <c r="LHY1880" s="94"/>
      <c r="LHZ1880" s="94"/>
      <c r="LIA1880" s="94"/>
      <c r="LIB1880" s="94"/>
      <c r="LIC1880" s="94"/>
      <c r="LID1880" s="94"/>
      <c r="LIE1880" s="94"/>
      <c r="LIF1880" s="94"/>
      <c r="LIG1880" s="94"/>
      <c r="LIH1880" s="94"/>
      <c r="LII1880" s="94"/>
      <c r="LIJ1880" s="94"/>
      <c r="LIK1880" s="94"/>
      <c r="LIL1880" s="94"/>
      <c r="LIM1880" s="94"/>
      <c r="LIN1880" s="94"/>
      <c r="LIO1880" s="94"/>
      <c r="LIP1880" s="94"/>
      <c r="LIQ1880" s="94"/>
      <c r="LIR1880" s="94"/>
      <c r="LIS1880" s="94"/>
      <c r="LIT1880" s="94"/>
      <c r="LIU1880" s="94"/>
      <c r="LIV1880" s="94"/>
      <c r="LIW1880" s="94"/>
      <c r="LIX1880" s="94"/>
      <c r="LIY1880" s="94"/>
      <c r="LIZ1880" s="94"/>
      <c r="LJA1880" s="94"/>
      <c r="LJB1880" s="94"/>
      <c r="LJC1880" s="94"/>
      <c r="LJD1880" s="94"/>
      <c r="LJE1880" s="94"/>
      <c r="LJF1880" s="94"/>
      <c r="LJG1880" s="94"/>
      <c r="LJH1880" s="94"/>
      <c r="LJI1880" s="94"/>
      <c r="LJJ1880" s="94"/>
      <c r="LJK1880" s="94"/>
      <c r="LJL1880" s="94"/>
      <c r="LJM1880" s="94"/>
      <c r="LJN1880" s="94"/>
      <c r="LJO1880" s="94"/>
      <c r="LJP1880" s="94"/>
      <c r="LJQ1880" s="94"/>
      <c r="LJR1880" s="94"/>
      <c r="LJS1880" s="94"/>
      <c r="LJT1880" s="94"/>
      <c r="LJU1880" s="94"/>
      <c r="LJV1880" s="94"/>
      <c r="LJW1880" s="94"/>
      <c r="LJX1880" s="94"/>
      <c r="LJY1880" s="94"/>
      <c r="LJZ1880" s="94"/>
      <c r="LKA1880" s="94"/>
      <c r="LKB1880" s="94"/>
      <c r="LKC1880" s="94"/>
      <c r="LKD1880" s="94"/>
      <c r="LKE1880" s="94"/>
      <c r="LKF1880" s="94"/>
      <c r="LKG1880" s="94"/>
      <c r="LKH1880" s="94"/>
      <c r="LKI1880" s="94"/>
      <c r="LKJ1880" s="94"/>
      <c r="LKK1880" s="94"/>
      <c r="LKL1880" s="94"/>
      <c r="LKM1880" s="94"/>
      <c r="LKN1880" s="94"/>
      <c r="LKO1880" s="94"/>
      <c r="LKP1880" s="94"/>
      <c r="LKQ1880" s="94"/>
      <c r="LKR1880" s="94"/>
      <c r="LKS1880" s="94"/>
      <c r="LKT1880" s="94"/>
      <c r="LKU1880" s="94"/>
      <c r="LKV1880" s="94"/>
      <c r="LKW1880" s="94"/>
      <c r="LKX1880" s="94"/>
      <c r="LKY1880" s="94"/>
      <c r="LKZ1880" s="94"/>
      <c r="LLA1880" s="94"/>
      <c r="LLB1880" s="94"/>
      <c r="LLC1880" s="94"/>
      <c r="LLD1880" s="94"/>
      <c r="LLE1880" s="94"/>
      <c r="LLF1880" s="94"/>
      <c r="LLG1880" s="94"/>
      <c r="LLH1880" s="94"/>
      <c r="LLI1880" s="94"/>
      <c r="LLJ1880" s="94"/>
      <c r="LLK1880" s="94"/>
      <c r="LLL1880" s="94"/>
      <c r="LLM1880" s="94"/>
      <c r="LLN1880" s="94"/>
      <c r="LLO1880" s="94"/>
      <c r="LLP1880" s="94"/>
      <c r="LLQ1880" s="94"/>
      <c r="LLR1880" s="94"/>
      <c r="LLS1880" s="94"/>
      <c r="LLT1880" s="94"/>
      <c r="LLU1880" s="94"/>
      <c r="LLV1880" s="94"/>
      <c r="LLW1880" s="94"/>
      <c r="LLX1880" s="94"/>
      <c r="LLY1880" s="94"/>
      <c r="LLZ1880" s="94"/>
      <c r="LMA1880" s="94"/>
      <c r="LMB1880" s="94"/>
      <c r="LMC1880" s="94"/>
      <c r="LMD1880" s="94"/>
      <c r="LME1880" s="94"/>
      <c r="LMF1880" s="94"/>
      <c r="LMG1880" s="94"/>
      <c r="LMH1880" s="94"/>
      <c r="LMI1880" s="94"/>
      <c r="LMJ1880" s="94"/>
      <c r="LMK1880" s="94"/>
      <c r="LML1880" s="94"/>
      <c r="LMM1880" s="94"/>
      <c r="LMN1880" s="94"/>
      <c r="LMO1880" s="94"/>
      <c r="LMP1880" s="94"/>
      <c r="LMQ1880" s="94"/>
      <c r="LMR1880" s="94"/>
      <c r="LMS1880" s="94"/>
      <c r="LMT1880" s="94"/>
      <c r="LMU1880" s="94"/>
      <c r="LMV1880" s="94"/>
      <c r="LMW1880" s="94"/>
      <c r="LMX1880" s="94"/>
      <c r="LMY1880" s="94"/>
      <c r="LMZ1880" s="94"/>
      <c r="LNA1880" s="94"/>
      <c r="LNB1880" s="94"/>
      <c r="LNC1880" s="94"/>
      <c r="LND1880" s="94"/>
      <c r="LNE1880" s="94"/>
      <c r="LNF1880" s="94"/>
      <c r="LNG1880" s="94"/>
      <c r="LNH1880" s="94"/>
      <c r="LNI1880" s="94"/>
      <c r="LNJ1880" s="94"/>
      <c r="LNK1880" s="94"/>
      <c r="LNL1880" s="94"/>
      <c r="LNM1880" s="94"/>
      <c r="LNN1880" s="94"/>
      <c r="LNO1880" s="94"/>
      <c r="LNP1880" s="94"/>
      <c r="LNQ1880" s="94"/>
      <c r="LNR1880" s="94"/>
      <c r="LNS1880" s="94"/>
      <c r="LNT1880" s="94"/>
      <c r="LNU1880" s="94"/>
      <c r="LNV1880" s="94"/>
      <c r="LNW1880" s="94"/>
      <c r="LNX1880" s="94"/>
      <c r="LNY1880" s="94"/>
      <c r="LNZ1880" s="94"/>
      <c r="LOA1880" s="94"/>
      <c r="LOB1880" s="94"/>
      <c r="LOC1880" s="94"/>
      <c r="LOD1880" s="94"/>
      <c r="LOE1880" s="94"/>
      <c r="LOF1880" s="94"/>
      <c r="LOG1880" s="94"/>
      <c r="LOH1880" s="94"/>
      <c r="LOI1880" s="94"/>
      <c r="LOJ1880" s="94"/>
      <c r="LOK1880" s="94"/>
      <c r="LOL1880" s="94"/>
      <c r="LOM1880" s="94"/>
      <c r="LON1880" s="94"/>
      <c r="LOO1880" s="94"/>
      <c r="LOP1880" s="94"/>
      <c r="LOQ1880" s="94"/>
      <c r="LOR1880" s="94"/>
      <c r="LOS1880" s="94"/>
      <c r="LOT1880" s="94"/>
      <c r="LOU1880" s="94"/>
      <c r="LOV1880" s="94"/>
      <c r="LOW1880" s="94"/>
      <c r="LOX1880" s="94"/>
      <c r="LOY1880" s="94"/>
      <c r="LOZ1880" s="94"/>
      <c r="LPA1880" s="94"/>
      <c r="LPB1880" s="94"/>
      <c r="LPC1880" s="94"/>
      <c r="LPD1880" s="94"/>
      <c r="LPE1880" s="94"/>
      <c r="LPF1880" s="94"/>
      <c r="LPG1880" s="94"/>
      <c r="LPH1880" s="94"/>
      <c r="LPI1880" s="94"/>
      <c r="LPJ1880" s="94"/>
      <c r="LPK1880" s="94"/>
      <c r="LPL1880" s="94"/>
      <c r="LPM1880" s="94"/>
      <c r="LPN1880" s="94"/>
      <c r="LPO1880" s="94"/>
      <c r="LPP1880" s="94"/>
      <c r="LPQ1880" s="94"/>
      <c r="LPR1880" s="94"/>
      <c r="LPS1880" s="94"/>
      <c r="LPT1880" s="94"/>
      <c r="LPU1880" s="94"/>
      <c r="LPV1880" s="94"/>
      <c r="LPW1880" s="94"/>
      <c r="LPX1880" s="94"/>
      <c r="LPY1880" s="94"/>
      <c r="LPZ1880" s="94"/>
      <c r="LQA1880" s="94"/>
      <c r="LQB1880" s="94"/>
      <c r="LQC1880" s="94"/>
      <c r="LQD1880" s="94"/>
      <c r="LQE1880" s="94"/>
      <c r="LQF1880" s="94"/>
      <c r="LQG1880" s="94"/>
      <c r="LQH1880" s="94"/>
      <c r="LQI1880" s="94"/>
      <c r="LQJ1880" s="94"/>
      <c r="LQK1880" s="94"/>
      <c r="LQL1880" s="94"/>
      <c r="LQM1880" s="94"/>
      <c r="LQN1880" s="94"/>
      <c r="LQO1880" s="94"/>
      <c r="LQP1880" s="94"/>
      <c r="LQQ1880" s="94"/>
      <c r="LQR1880" s="94"/>
      <c r="LQS1880" s="94"/>
      <c r="LQT1880" s="94"/>
      <c r="LQU1880" s="94"/>
      <c r="LQV1880" s="94"/>
      <c r="LQW1880" s="94"/>
      <c r="LQX1880" s="94"/>
      <c r="LQY1880" s="94"/>
      <c r="LQZ1880" s="94"/>
      <c r="LRA1880" s="94"/>
      <c r="LRB1880" s="94"/>
      <c r="LRC1880" s="94"/>
      <c r="LRD1880" s="94"/>
      <c r="LRE1880" s="94"/>
      <c r="LRF1880" s="94"/>
      <c r="LRG1880" s="94"/>
      <c r="LRH1880" s="94"/>
      <c r="LRI1880" s="94"/>
      <c r="LRJ1880" s="94"/>
      <c r="LRK1880" s="94"/>
      <c r="LRL1880" s="94"/>
      <c r="LRM1880" s="94"/>
      <c r="LRN1880" s="94"/>
      <c r="LRO1880" s="94"/>
      <c r="LRP1880" s="94"/>
      <c r="LRQ1880" s="94"/>
      <c r="LRR1880" s="94"/>
      <c r="LRS1880" s="94"/>
      <c r="LRT1880" s="94"/>
      <c r="LRU1880" s="94"/>
      <c r="LRV1880" s="94"/>
      <c r="LRW1880" s="94"/>
      <c r="LRX1880" s="94"/>
      <c r="LRY1880" s="94"/>
      <c r="LRZ1880" s="94"/>
      <c r="LSA1880" s="94"/>
      <c r="LSB1880" s="94"/>
      <c r="LSC1880" s="94"/>
      <c r="LSD1880" s="94"/>
      <c r="LSE1880" s="94"/>
      <c r="LSF1880" s="94"/>
      <c r="LSG1880" s="94"/>
      <c r="LSH1880" s="94"/>
      <c r="LSI1880" s="94"/>
      <c r="LSJ1880" s="94"/>
      <c r="LSK1880" s="94"/>
      <c r="LSL1880" s="94"/>
      <c r="LSM1880" s="94"/>
      <c r="LSN1880" s="94"/>
      <c r="LSO1880" s="94"/>
      <c r="LSP1880" s="94"/>
      <c r="LSQ1880" s="94"/>
      <c r="LSR1880" s="94"/>
      <c r="LSS1880" s="94"/>
      <c r="LST1880" s="94"/>
      <c r="LSU1880" s="94"/>
      <c r="LSV1880" s="94"/>
      <c r="LSW1880" s="94"/>
      <c r="LSX1880" s="94"/>
      <c r="LSY1880" s="94"/>
      <c r="LSZ1880" s="94"/>
      <c r="LTA1880" s="94"/>
      <c r="LTB1880" s="94"/>
      <c r="LTC1880" s="94"/>
      <c r="LTD1880" s="94"/>
      <c r="LTE1880" s="94"/>
      <c r="LTF1880" s="94"/>
      <c r="LTG1880" s="94"/>
      <c r="LTH1880" s="94"/>
      <c r="LTI1880" s="94"/>
      <c r="LTJ1880" s="94"/>
      <c r="LTK1880" s="94"/>
      <c r="LTL1880" s="94"/>
      <c r="LTM1880" s="94"/>
      <c r="LTN1880" s="94"/>
      <c r="LTO1880" s="94"/>
      <c r="LTP1880" s="94"/>
      <c r="LTQ1880" s="94"/>
      <c r="LTR1880" s="94"/>
      <c r="LTS1880" s="94"/>
      <c r="LTT1880" s="94"/>
      <c r="LTU1880" s="94"/>
      <c r="LTV1880" s="94"/>
      <c r="LTW1880" s="94"/>
      <c r="LTX1880" s="94"/>
      <c r="LTY1880" s="94"/>
      <c r="LTZ1880" s="94"/>
      <c r="LUA1880" s="94"/>
      <c r="LUB1880" s="94"/>
      <c r="LUC1880" s="94"/>
      <c r="LUD1880" s="94"/>
      <c r="LUE1880" s="94"/>
      <c r="LUF1880" s="94"/>
      <c r="LUG1880" s="94"/>
      <c r="LUH1880" s="94"/>
      <c r="LUI1880" s="94"/>
      <c r="LUJ1880" s="94"/>
      <c r="LUK1880" s="94"/>
      <c r="LUL1880" s="94"/>
      <c r="LUM1880" s="94"/>
      <c r="LUN1880" s="94"/>
      <c r="LUO1880" s="94"/>
      <c r="LUP1880" s="94"/>
      <c r="LUQ1880" s="94"/>
      <c r="LUR1880" s="94"/>
      <c r="LUS1880" s="94"/>
      <c r="LUT1880" s="94"/>
      <c r="LUU1880" s="94"/>
      <c r="LUV1880" s="94"/>
      <c r="LUW1880" s="94"/>
      <c r="LUX1880" s="94"/>
      <c r="LUY1880" s="94"/>
      <c r="LUZ1880" s="94"/>
      <c r="LVA1880" s="94"/>
      <c r="LVB1880" s="94"/>
      <c r="LVC1880" s="94"/>
      <c r="LVD1880" s="94"/>
      <c r="LVE1880" s="94"/>
      <c r="LVF1880" s="94"/>
      <c r="LVG1880" s="94"/>
      <c r="LVH1880" s="94"/>
      <c r="LVI1880" s="94"/>
      <c r="LVJ1880" s="94"/>
      <c r="LVK1880" s="94"/>
      <c r="LVL1880" s="94"/>
      <c r="LVM1880" s="94"/>
      <c r="LVN1880" s="94"/>
      <c r="LVO1880" s="94"/>
      <c r="LVP1880" s="94"/>
      <c r="LVQ1880" s="94"/>
      <c r="LVR1880" s="94"/>
      <c r="LVS1880" s="94"/>
      <c r="LVT1880" s="94"/>
      <c r="LVU1880" s="94"/>
      <c r="LVV1880" s="94"/>
      <c r="LVW1880" s="94"/>
      <c r="LVX1880" s="94"/>
      <c r="LVY1880" s="94"/>
      <c r="LVZ1880" s="94"/>
      <c r="LWA1880" s="94"/>
      <c r="LWB1880" s="94"/>
      <c r="LWC1880" s="94"/>
      <c r="LWD1880" s="94"/>
      <c r="LWE1880" s="94"/>
      <c r="LWF1880" s="94"/>
      <c r="LWG1880" s="94"/>
      <c r="LWH1880" s="94"/>
      <c r="LWI1880" s="94"/>
      <c r="LWJ1880" s="94"/>
      <c r="LWK1880" s="94"/>
      <c r="LWL1880" s="94"/>
      <c r="LWM1880" s="94"/>
      <c r="LWN1880" s="94"/>
      <c r="LWO1880" s="94"/>
      <c r="LWP1880" s="94"/>
      <c r="LWQ1880" s="94"/>
      <c r="LWR1880" s="94"/>
      <c r="LWS1880" s="94"/>
      <c r="LWT1880" s="94"/>
      <c r="LWU1880" s="94"/>
      <c r="LWV1880" s="94"/>
      <c r="LWW1880" s="94"/>
      <c r="LWX1880" s="94"/>
      <c r="LWY1880" s="94"/>
      <c r="LWZ1880" s="94"/>
      <c r="LXA1880" s="94"/>
      <c r="LXB1880" s="94"/>
      <c r="LXC1880" s="94"/>
      <c r="LXD1880" s="94"/>
      <c r="LXE1880" s="94"/>
      <c r="LXF1880" s="94"/>
      <c r="LXG1880" s="94"/>
      <c r="LXH1880" s="94"/>
      <c r="LXI1880" s="94"/>
      <c r="LXJ1880" s="94"/>
      <c r="LXK1880" s="94"/>
      <c r="LXL1880" s="94"/>
      <c r="LXM1880" s="94"/>
      <c r="LXN1880" s="94"/>
      <c r="LXO1880" s="94"/>
      <c r="LXP1880" s="94"/>
      <c r="LXQ1880" s="94"/>
      <c r="LXR1880" s="94"/>
      <c r="LXS1880" s="94"/>
      <c r="LXT1880" s="94"/>
      <c r="LXU1880" s="94"/>
      <c r="LXV1880" s="94"/>
      <c r="LXW1880" s="94"/>
      <c r="LXX1880" s="94"/>
      <c r="LXY1880" s="94"/>
      <c r="LXZ1880" s="94"/>
      <c r="LYA1880" s="94"/>
      <c r="LYB1880" s="94"/>
      <c r="LYC1880" s="94"/>
      <c r="LYD1880" s="94"/>
      <c r="LYE1880" s="94"/>
      <c r="LYF1880" s="94"/>
      <c r="LYG1880" s="94"/>
      <c r="LYH1880" s="94"/>
      <c r="LYI1880" s="94"/>
      <c r="LYJ1880" s="94"/>
      <c r="LYK1880" s="94"/>
      <c r="LYL1880" s="94"/>
      <c r="LYM1880" s="94"/>
      <c r="LYN1880" s="94"/>
      <c r="LYO1880" s="94"/>
      <c r="LYP1880" s="94"/>
      <c r="LYQ1880" s="94"/>
      <c r="LYR1880" s="94"/>
      <c r="LYS1880" s="94"/>
      <c r="LYT1880" s="94"/>
      <c r="LYU1880" s="94"/>
      <c r="LYV1880" s="94"/>
      <c r="LYW1880" s="94"/>
      <c r="LYX1880" s="94"/>
      <c r="LYY1880" s="94"/>
      <c r="LYZ1880" s="94"/>
      <c r="LZA1880" s="94"/>
      <c r="LZB1880" s="94"/>
      <c r="LZC1880" s="94"/>
      <c r="LZD1880" s="94"/>
      <c r="LZE1880" s="94"/>
      <c r="LZF1880" s="94"/>
      <c r="LZG1880" s="94"/>
      <c r="LZH1880" s="94"/>
      <c r="LZI1880" s="94"/>
      <c r="LZJ1880" s="94"/>
      <c r="LZK1880" s="94"/>
      <c r="LZL1880" s="94"/>
      <c r="LZM1880" s="94"/>
      <c r="LZN1880" s="94"/>
      <c r="LZO1880" s="94"/>
      <c r="LZP1880" s="94"/>
      <c r="LZQ1880" s="94"/>
      <c r="LZR1880" s="94"/>
      <c r="LZS1880" s="94"/>
      <c r="LZT1880" s="94"/>
      <c r="LZU1880" s="94"/>
      <c r="LZV1880" s="94"/>
      <c r="LZW1880" s="94"/>
      <c r="LZX1880" s="94"/>
      <c r="LZY1880" s="94"/>
      <c r="LZZ1880" s="94"/>
      <c r="MAA1880" s="94"/>
      <c r="MAB1880" s="94"/>
      <c r="MAC1880" s="94"/>
      <c r="MAD1880" s="94"/>
      <c r="MAE1880" s="94"/>
      <c r="MAF1880" s="94"/>
      <c r="MAG1880" s="94"/>
      <c r="MAH1880" s="94"/>
      <c r="MAI1880" s="94"/>
      <c r="MAJ1880" s="94"/>
      <c r="MAK1880" s="94"/>
      <c r="MAL1880" s="94"/>
      <c r="MAM1880" s="94"/>
      <c r="MAN1880" s="94"/>
      <c r="MAO1880" s="94"/>
      <c r="MAP1880" s="94"/>
      <c r="MAQ1880" s="94"/>
      <c r="MAR1880" s="94"/>
      <c r="MAS1880" s="94"/>
      <c r="MAT1880" s="94"/>
      <c r="MAU1880" s="94"/>
      <c r="MAV1880" s="94"/>
      <c r="MAW1880" s="94"/>
      <c r="MAX1880" s="94"/>
      <c r="MAY1880" s="94"/>
      <c r="MAZ1880" s="94"/>
      <c r="MBA1880" s="94"/>
      <c r="MBB1880" s="94"/>
      <c r="MBC1880" s="94"/>
      <c r="MBD1880" s="94"/>
      <c r="MBE1880" s="94"/>
      <c r="MBF1880" s="94"/>
      <c r="MBG1880" s="94"/>
      <c r="MBH1880" s="94"/>
      <c r="MBI1880" s="94"/>
      <c r="MBJ1880" s="94"/>
      <c r="MBK1880" s="94"/>
      <c r="MBL1880" s="94"/>
      <c r="MBM1880" s="94"/>
      <c r="MBN1880" s="94"/>
      <c r="MBO1880" s="94"/>
      <c r="MBP1880" s="94"/>
      <c r="MBQ1880" s="94"/>
      <c r="MBR1880" s="94"/>
      <c r="MBS1880" s="94"/>
      <c r="MBT1880" s="94"/>
      <c r="MBU1880" s="94"/>
      <c r="MBV1880" s="94"/>
      <c r="MBW1880" s="94"/>
      <c r="MBX1880" s="94"/>
      <c r="MBY1880" s="94"/>
      <c r="MBZ1880" s="94"/>
      <c r="MCA1880" s="94"/>
      <c r="MCB1880" s="94"/>
      <c r="MCC1880" s="94"/>
      <c r="MCD1880" s="94"/>
      <c r="MCE1880" s="94"/>
      <c r="MCF1880" s="94"/>
      <c r="MCG1880" s="94"/>
      <c r="MCH1880" s="94"/>
      <c r="MCI1880" s="94"/>
      <c r="MCJ1880" s="94"/>
      <c r="MCK1880" s="94"/>
      <c r="MCL1880" s="94"/>
      <c r="MCM1880" s="94"/>
      <c r="MCN1880" s="94"/>
      <c r="MCO1880" s="94"/>
      <c r="MCP1880" s="94"/>
      <c r="MCQ1880" s="94"/>
      <c r="MCR1880" s="94"/>
      <c r="MCS1880" s="94"/>
      <c r="MCT1880" s="94"/>
      <c r="MCU1880" s="94"/>
      <c r="MCV1880" s="94"/>
      <c r="MCW1880" s="94"/>
      <c r="MCX1880" s="94"/>
      <c r="MCY1880" s="94"/>
      <c r="MCZ1880" s="94"/>
      <c r="MDA1880" s="94"/>
      <c r="MDB1880" s="94"/>
      <c r="MDC1880" s="94"/>
      <c r="MDD1880" s="94"/>
      <c r="MDE1880" s="94"/>
      <c r="MDF1880" s="94"/>
      <c r="MDG1880" s="94"/>
      <c r="MDH1880" s="94"/>
      <c r="MDI1880" s="94"/>
      <c r="MDJ1880" s="94"/>
      <c r="MDK1880" s="94"/>
      <c r="MDL1880" s="94"/>
      <c r="MDM1880" s="94"/>
      <c r="MDN1880" s="94"/>
      <c r="MDO1880" s="94"/>
      <c r="MDP1880" s="94"/>
      <c r="MDQ1880" s="94"/>
      <c r="MDR1880" s="94"/>
      <c r="MDS1880" s="94"/>
      <c r="MDT1880" s="94"/>
      <c r="MDU1880" s="94"/>
      <c r="MDV1880" s="94"/>
      <c r="MDW1880" s="94"/>
      <c r="MDX1880" s="94"/>
      <c r="MDY1880" s="94"/>
      <c r="MDZ1880" s="94"/>
      <c r="MEA1880" s="94"/>
      <c r="MEB1880" s="94"/>
      <c r="MEC1880" s="94"/>
      <c r="MED1880" s="94"/>
      <c r="MEE1880" s="94"/>
      <c r="MEF1880" s="94"/>
      <c r="MEG1880" s="94"/>
      <c r="MEH1880" s="94"/>
      <c r="MEI1880" s="94"/>
      <c r="MEJ1880" s="94"/>
      <c r="MEK1880" s="94"/>
      <c r="MEL1880" s="94"/>
      <c r="MEM1880" s="94"/>
      <c r="MEN1880" s="94"/>
      <c r="MEO1880" s="94"/>
      <c r="MEP1880" s="94"/>
      <c r="MEQ1880" s="94"/>
      <c r="MER1880" s="94"/>
      <c r="MES1880" s="94"/>
      <c r="MET1880" s="94"/>
      <c r="MEU1880" s="94"/>
      <c r="MEV1880" s="94"/>
      <c r="MEW1880" s="94"/>
      <c r="MEX1880" s="94"/>
      <c r="MEY1880" s="94"/>
      <c r="MEZ1880" s="94"/>
      <c r="MFA1880" s="94"/>
      <c r="MFB1880" s="94"/>
      <c r="MFC1880" s="94"/>
      <c r="MFD1880" s="94"/>
      <c r="MFE1880" s="94"/>
      <c r="MFF1880" s="94"/>
      <c r="MFG1880" s="94"/>
      <c r="MFH1880" s="94"/>
      <c r="MFI1880" s="94"/>
      <c r="MFJ1880" s="94"/>
      <c r="MFK1880" s="94"/>
      <c r="MFL1880" s="94"/>
      <c r="MFM1880" s="94"/>
      <c r="MFN1880" s="94"/>
      <c r="MFO1880" s="94"/>
      <c r="MFP1880" s="94"/>
      <c r="MFQ1880" s="94"/>
      <c r="MFR1880" s="94"/>
      <c r="MFS1880" s="94"/>
      <c r="MFT1880" s="94"/>
      <c r="MFU1880" s="94"/>
      <c r="MFV1880" s="94"/>
      <c r="MFW1880" s="94"/>
      <c r="MFX1880" s="94"/>
      <c r="MFY1880" s="94"/>
      <c r="MFZ1880" s="94"/>
      <c r="MGA1880" s="94"/>
      <c r="MGB1880" s="94"/>
      <c r="MGC1880" s="94"/>
      <c r="MGD1880" s="94"/>
      <c r="MGE1880" s="94"/>
      <c r="MGF1880" s="94"/>
      <c r="MGG1880" s="94"/>
      <c r="MGH1880" s="94"/>
      <c r="MGI1880" s="94"/>
      <c r="MGJ1880" s="94"/>
      <c r="MGK1880" s="94"/>
      <c r="MGL1880" s="94"/>
      <c r="MGM1880" s="94"/>
      <c r="MGN1880" s="94"/>
      <c r="MGO1880" s="94"/>
      <c r="MGP1880" s="94"/>
      <c r="MGQ1880" s="94"/>
      <c r="MGR1880" s="94"/>
      <c r="MGS1880" s="94"/>
      <c r="MGT1880" s="94"/>
      <c r="MGU1880" s="94"/>
      <c r="MGV1880" s="94"/>
      <c r="MGW1880" s="94"/>
      <c r="MGX1880" s="94"/>
      <c r="MGY1880" s="94"/>
      <c r="MGZ1880" s="94"/>
      <c r="MHA1880" s="94"/>
      <c r="MHB1880" s="94"/>
      <c r="MHC1880" s="94"/>
      <c r="MHD1880" s="94"/>
      <c r="MHE1880" s="94"/>
      <c r="MHF1880" s="94"/>
      <c r="MHG1880" s="94"/>
      <c r="MHH1880" s="94"/>
      <c r="MHI1880" s="94"/>
      <c r="MHJ1880" s="94"/>
      <c r="MHK1880" s="94"/>
      <c r="MHL1880" s="94"/>
      <c r="MHM1880" s="94"/>
      <c r="MHN1880" s="94"/>
      <c r="MHO1880" s="94"/>
      <c r="MHP1880" s="94"/>
      <c r="MHQ1880" s="94"/>
      <c r="MHR1880" s="94"/>
      <c r="MHS1880" s="94"/>
      <c r="MHT1880" s="94"/>
      <c r="MHU1880" s="94"/>
      <c r="MHV1880" s="94"/>
      <c r="MHW1880" s="94"/>
      <c r="MHX1880" s="94"/>
      <c r="MHY1880" s="94"/>
      <c r="MHZ1880" s="94"/>
      <c r="MIA1880" s="94"/>
      <c r="MIB1880" s="94"/>
      <c r="MIC1880" s="94"/>
      <c r="MID1880" s="94"/>
      <c r="MIE1880" s="94"/>
      <c r="MIF1880" s="94"/>
      <c r="MIG1880" s="94"/>
      <c r="MIH1880" s="94"/>
      <c r="MII1880" s="94"/>
      <c r="MIJ1880" s="94"/>
      <c r="MIK1880" s="94"/>
      <c r="MIL1880" s="94"/>
      <c r="MIM1880" s="94"/>
      <c r="MIN1880" s="94"/>
      <c r="MIO1880" s="94"/>
      <c r="MIP1880" s="94"/>
      <c r="MIQ1880" s="94"/>
      <c r="MIR1880" s="94"/>
      <c r="MIS1880" s="94"/>
      <c r="MIT1880" s="94"/>
      <c r="MIU1880" s="94"/>
      <c r="MIV1880" s="94"/>
      <c r="MIW1880" s="94"/>
      <c r="MIX1880" s="94"/>
      <c r="MIY1880" s="94"/>
      <c r="MIZ1880" s="94"/>
      <c r="MJA1880" s="94"/>
      <c r="MJB1880" s="94"/>
      <c r="MJC1880" s="94"/>
      <c r="MJD1880" s="94"/>
      <c r="MJE1880" s="94"/>
      <c r="MJF1880" s="94"/>
      <c r="MJG1880" s="94"/>
      <c r="MJH1880" s="94"/>
      <c r="MJI1880" s="94"/>
      <c r="MJJ1880" s="94"/>
      <c r="MJK1880" s="94"/>
      <c r="MJL1880" s="94"/>
      <c r="MJM1880" s="94"/>
      <c r="MJN1880" s="94"/>
      <c r="MJO1880" s="94"/>
      <c r="MJP1880" s="94"/>
      <c r="MJQ1880" s="94"/>
      <c r="MJR1880" s="94"/>
      <c r="MJS1880" s="94"/>
      <c r="MJT1880" s="94"/>
      <c r="MJU1880" s="94"/>
      <c r="MJV1880" s="94"/>
      <c r="MJW1880" s="94"/>
      <c r="MJX1880" s="94"/>
      <c r="MJY1880" s="94"/>
      <c r="MJZ1880" s="94"/>
      <c r="MKA1880" s="94"/>
      <c r="MKB1880" s="94"/>
      <c r="MKC1880" s="94"/>
      <c r="MKD1880" s="94"/>
      <c r="MKE1880" s="94"/>
      <c r="MKF1880" s="94"/>
      <c r="MKG1880" s="94"/>
      <c r="MKH1880" s="94"/>
      <c r="MKI1880" s="94"/>
      <c r="MKJ1880" s="94"/>
      <c r="MKK1880" s="94"/>
      <c r="MKL1880" s="94"/>
      <c r="MKM1880" s="94"/>
      <c r="MKN1880" s="94"/>
      <c r="MKO1880" s="94"/>
      <c r="MKP1880" s="94"/>
      <c r="MKQ1880" s="94"/>
      <c r="MKR1880" s="94"/>
      <c r="MKS1880" s="94"/>
      <c r="MKT1880" s="94"/>
      <c r="MKU1880" s="94"/>
      <c r="MKV1880" s="94"/>
      <c r="MKW1880" s="94"/>
      <c r="MKX1880" s="94"/>
      <c r="MKY1880" s="94"/>
      <c r="MKZ1880" s="94"/>
      <c r="MLA1880" s="94"/>
      <c r="MLB1880" s="94"/>
      <c r="MLC1880" s="94"/>
      <c r="MLD1880" s="94"/>
      <c r="MLE1880" s="94"/>
      <c r="MLF1880" s="94"/>
      <c r="MLG1880" s="94"/>
      <c r="MLH1880" s="94"/>
      <c r="MLI1880" s="94"/>
      <c r="MLJ1880" s="94"/>
      <c r="MLK1880" s="94"/>
      <c r="MLL1880" s="94"/>
      <c r="MLM1880" s="94"/>
      <c r="MLN1880" s="94"/>
      <c r="MLO1880" s="94"/>
      <c r="MLP1880" s="94"/>
      <c r="MLQ1880" s="94"/>
      <c r="MLR1880" s="94"/>
      <c r="MLS1880" s="94"/>
      <c r="MLT1880" s="94"/>
      <c r="MLU1880" s="94"/>
      <c r="MLV1880" s="94"/>
      <c r="MLW1880" s="94"/>
      <c r="MLX1880" s="94"/>
      <c r="MLY1880" s="94"/>
      <c r="MLZ1880" s="94"/>
      <c r="MMA1880" s="94"/>
      <c r="MMB1880" s="94"/>
      <c r="MMC1880" s="94"/>
      <c r="MMD1880" s="94"/>
      <c r="MME1880" s="94"/>
      <c r="MMF1880" s="94"/>
      <c r="MMG1880" s="94"/>
      <c r="MMH1880" s="94"/>
      <c r="MMI1880" s="94"/>
      <c r="MMJ1880" s="94"/>
      <c r="MMK1880" s="94"/>
      <c r="MML1880" s="94"/>
      <c r="MMM1880" s="94"/>
      <c r="MMN1880" s="94"/>
      <c r="MMO1880" s="94"/>
      <c r="MMP1880" s="94"/>
      <c r="MMQ1880" s="94"/>
      <c r="MMR1880" s="94"/>
      <c r="MMS1880" s="94"/>
      <c r="MMT1880" s="94"/>
      <c r="MMU1880" s="94"/>
      <c r="MMV1880" s="94"/>
      <c r="MMW1880" s="94"/>
      <c r="MMX1880" s="94"/>
      <c r="MMY1880" s="94"/>
      <c r="MMZ1880" s="94"/>
      <c r="MNA1880" s="94"/>
      <c r="MNB1880" s="94"/>
      <c r="MNC1880" s="94"/>
      <c r="MND1880" s="94"/>
      <c r="MNE1880" s="94"/>
      <c r="MNF1880" s="94"/>
      <c r="MNG1880" s="94"/>
      <c r="MNH1880" s="94"/>
      <c r="MNI1880" s="94"/>
      <c r="MNJ1880" s="94"/>
      <c r="MNK1880" s="94"/>
      <c r="MNL1880" s="94"/>
      <c r="MNM1880" s="94"/>
      <c r="MNN1880" s="94"/>
      <c r="MNO1880" s="94"/>
      <c r="MNP1880" s="94"/>
      <c r="MNQ1880" s="94"/>
      <c r="MNR1880" s="94"/>
      <c r="MNS1880" s="94"/>
      <c r="MNT1880" s="94"/>
      <c r="MNU1880" s="94"/>
      <c r="MNV1880" s="94"/>
      <c r="MNW1880" s="94"/>
      <c r="MNX1880" s="94"/>
      <c r="MNY1880" s="94"/>
      <c r="MNZ1880" s="94"/>
      <c r="MOA1880" s="94"/>
      <c r="MOB1880" s="94"/>
      <c r="MOC1880" s="94"/>
      <c r="MOD1880" s="94"/>
      <c r="MOE1880" s="94"/>
      <c r="MOF1880" s="94"/>
      <c r="MOG1880" s="94"/>
      <c r="MOH1880" s="94"/>
      <c r="MOI1880" s="94"/>
      <c r="MOJ1880" s="94"/>
      <c r="MOK1880" s="94"/>
      <c r="MOL1880" s="94"/>
      <c r="MOM1880" s="94"/>
      <c r="MON1880" s="94"/>
      <c r="MOO1880" s="94"/>
      <c r="MOP1880" s="94"/>
      <c r="MOQ1880" s="94"/>
      <c r="MOR1880" s="94"/>
      <c r="MOS1880" s="94"/>
      <c r="MOT1880" s="94"/>
      <c r="MOU1880" s="94"/>
      <c r="MOV1880" s="94"/>
      <c r="MOW1880" s="94"/>
      <c r="MOX1880" s="94"/>
      <c r="MOY1880" s="94"/>
      <c r="MOZ1880" s="94"/>
      <c r="MPA1880" s="94"/>
      <c r="MPB1880" s="94"/>
      <c r="MPC1880" s="94"/>
      <c r="MPD1880" s="94"/>
      <c r="MPE1880" s="94"/>
      <c r="MPF1880" s="94"/>
      <c r="MPG1880" s="94"/>
      <c r="MPH1880" s="94"/>
      <c r="MPI1880" s="94"/>
      <c r="MPJ1880" s="94"/>
      <c r="MPK1880" s="94"/>
      <c r="MPL1880" s="94"/>
      <c r="MPM1880" s="94"/>
      <c r="MPN1880" s="94"/>
      <c r="MPO1880" s="94"/>
      <c r="MPP1880" s="94"/>
      <c r="MPQ1880" s="94"/>
      <c r="MPR1880" s="94"/>
      <c r="MPS1880" s="94"/>
      <c r="MPT1880" s="94"/>
      <c r="MPU1880" s="94"/>
      <c r="MPV1880" s="94"/>
      <c r="MPW1880" s="94"/>
      <c r="MPX1880" s="94"/>
      <c r="MPY1880" s="94"/>
      <c r="MPZ1880" s="94"/>
      <c r="MQA1880" s="94"/>
      <c r="MQB1880" s="94"/>
      <c r="MQC1880" s="94"/>
      <c r="MQD1880" s="94"/>
      <c r="MQE1880" s="94"/>
      <c r="MQF1880" s="94"/>
      <c r="MQG1880" s="94"/>
      <c r="MQH1880" s="94"/>
      <c r="MQI1880" s="94"/>
      <c r="MQJ1880" s="94"/>
      <c r="MQK1880" s="94"/>
      <c r="MQL1880" s="94"/>
      <c r="MQM1880" s="94"/>
      <c r="MQN1880" s="94"/>
      <c r="MQO1880" s="94"/>
      <c r="MQP1880" s="94"/>
      <c r="MQQ1880" s="94"/>
      <c r="MQR1880" s="94"/>
      <c r="MQS1880" s="94"/>
      <c r="MQT1880" s="94"/>
      <c r="MQU1880" s="94"/>
      <c r="MQV1880" s="94"/>
      <c r="MQW1880" s="94"/>
      <c r="MQX1880" s="94"/>
      <c r="MQY1880" s="94"/>
      <c r="MQZ1880" s="94"/>
      <c r="MRA1880" s="94"/>
      <c r="MRB1880" s="94"/>
      <c r="MRC1880" s="94"/>
      <c r="MRD1880" s="94"/>
      <c r="MRE1880" s="94"/>
      <c r="MRF1880" s="94"/>
      <c r="MRG1880" s="94"/>
      <c r="MRH1880" s="94"/>
      <c r="MRI1880" s="94"/>
      <c r="MRJ1880" s="94"/>
      <c r="MRK1880" s="94"/>
      <c r="MRL1880" s="94"/>
      <c r="MRM1880" s="94"/>
      <c r="MRN1880" s="94"/>
      <c r="MRO1880" s="94"/>
      <c r="MRP1880" s="94"/>
      <c r="MRQ1880" s="94"/>
      <c r="MRR1880" s="94"/>
      <c r="MRS1880" s="94"/>
      <c r="MRT1880" s="94"/>
      <c r="MRU1880" s="94"/>
      <c r="MRV1880" s="94"/>
      <c r="MRW1880" s="94"/>
      <c r="MRX1880" s="94"/>
      <c r="MRY1880" s="94"/>
      <c r="MRZ1880" s="94"/>
      <c r="MSA1880" s="94"/>
      <c r="MSB1880" s="94"/>
      <c r="MSC1880" s="94"/>
      <c r="MSD1880" s="94"/>
      <c r="MSE1880" s="94"/>
      <c r="MSF1880" s="94"/>
      <c r="MSG1880" s="94"/>
      <c r="MSH1880" s="94"/>
      <c r="MSI1880" s="94"/>
      <c r="MSJ1880" s="94"/>
      <c r="MSK1880" s="94"/>
      <c r="MSL1880" s="94"/>
      <c r="MSM1880" s="94"/>
      <c r="MSN1880" s="94"/>
      <c r="MSO1880" s="94"/>
      <c r="MSP1880" s="94"/>
      <c r="MSQ1880" s="94"/>
      <c r="MSR1880" s="94"/>
      <c r="MSS1880" s="94"/>
      <c r="MST1880" s="94"/>
      <c r="MSU1880" s="94"/>
      <c r="MSV1880" s="94"/>
      <c r="MSW1880" s="94"/>
      <c r="MSX1880" s="94"/>
      <c r="MSY1880" s="94"/>
      <c r="MSZ1880" s="94"/>
      <c r="MTA1880" s="94"/>
      <c r="MTB1880" s="94"/>
      <c r="MTC1880" s="94"/>
      <c r="MTD1880" s="94"/>
      <c r="MTE1880" s="94"/>
      <c r="MTF1880" s="94"/>
      <c r="MTG1880" s="94"/>
      <c r="MTH1880" s="94"/>
      <c r="MTI1880" s="94"/>
      <c r="MTJ1880" s="94"/>
      <c r="MTK1880" s="94"/>
      <c r="MTL1880" s="94"/>
      <c r="MTM1880" s="94"/>
      <c r="MTN1880" s="94"/>
      <c r="MTO1880" s="94"/>
      <c r="MTP1880" s="94"/>
      <c r="MTQ1880" s="94"/>
      <c r="MTR1880" s="94"/>
      <c r="MTS1880" s="94"/>
      <c r="MTT1880" s="94"/>
      <c r="MTU1880" s="94"/>
      <c r="MTV1880" s="94"/>
      <c r="MTW1880" s="94"/>
      <c r="MTX1880" s="94"/>
      <c r="MTY1880" s="94"/>
      <c r="MTZ1880" s="94"/>
      <c r="MUA1880" s="94"/>
      <c r="MUB1880" s="94"/>
      <c r="MUC1880" s="94"/>
      <c r="MUD1880" s="94"/>
      <c r="MUE1880" s="94"/>
      <c r="MUF1880" s="94"/>
      <c r="MUG1880" s="94"/>
      <c r="MUH1880" s="94"/>
      <c r="MUI1880" s="94"/>
      <c r="MUJ1880" s="94"/>
      <c r="MUK1880" s="94"/>
      <c r="MUL1880" s="94"/>
      <c r="MUM1880" s="94"/>
      <c r="MUN1880" s="94"/>
      <c r="MUO1880" s="94"/>
      <c r="MUP1880" s="94"/>
      <c r="MUQ1880" s="94"/>
      <c r="MUR1880" s="94"/>
      <c r="MUS1880" s="94"/>
      <c r="MUT1880" s="94"/>
      <c r="MUU1880" s="94"/>
      <c r="MUV1880" s="94"/>
      <c r="MUW1880" s="94"/>
      <c r="MUX1880" s="94"/>
      <c r="MUY1880" s="94"/>
      <c r="MUZ1880" s="94"/>
      <c r="MVA1880" s="94"/>
      <c r="MVB1880" s="94"/>
      <c r="MVC1880" s="94"/>
      <c r="MVD1880" s="94"/>
      <c r="MVE1880" s="94"/>
      <c r="MVF1880" s="94"/>
      <c r="MVG1880" s="94"/>
      <c r="MVH1880" s="94"/>
      <c r="MVI1880" s="94"/>
      <c r="MVJ1880" s="94"/>
      <c r="MVK1880" s="94"/>
      <c r="MVL1880" s="94"/>
      <c r="MVM1880" s="94"/>
      <c r="MVN1880" s="94"/>
      <c r="MVO1880" s="94"/>
      <c r="MVP1880" s="94"/>
      <c r="MVQ1880" s="94"/>
      <c r="MVR1880" s="94"/>
      <c r="MVS1880" s="94"/>
      <c r="MVT1880" s="94"/>
      <c r="MVU1880" s="94"/>
      <c r="MVV1880" s="94"/>
      <c r="MVW1880" s="94"/>
      <c r="MVX1880" s="94"/>
      <c r="MVY1880" s="94"/>
      <c r="MVZ1880" s="94"/>
      <c r="MWA1880" s="94"/>
      <c r="MWB1880" s="94"/>
      <c r="MWC1880" s="94"/>
      <c r="MWD1880" s="94"/>
      <c r="MWE1880" s="94"/>
      <c r="MWF1880" s="94"/>
      <c r="MWG1880" s="94"/>
      <c r="MWH1880" s="94"/>
      <c r="MWI1880" s="94"/>
      <c r="MWJ1880" s="94"/>
      <c r="MWK1880" s="94"/>
      <c r="MWL1880" s="94"/>
      <c r="MWM1880" s="94"/>
      <c r="MWN1880" s="94"/>
      <c r="MWO1880" s="94"/>
      <c r="MWP1880" s="94"/>
      <c r="MWQ1880" s="94"/>
      <c r="MWR1880" s="94"/>
      <c r="MWS1880" s="94"/>
      <c r="MWT1880" s="94"/>
      <c r="MWU1880" s="94"/>
      <c r="MWV1880" s="94"/>
      <c r="MWW1880" s="94"/>
      <c r="MWX1880" s="94"/>
      <c r="MWY1880" s="94"/>
      <c r="MWZ1880" s="94"/>
      <c r="MXA1880" s="94"/>
      <c r="MXB1880" s="94"/>
      <c r="MXC1880" s="94"/>
      <c r="MXD1880" s="94"/>
      <c r="MXE1880" s="94"/>
      <c r="MXF1880" s="94"/>
      <c r="MXG1880" s="94"/>
      <c r="MXH1880" s="94"/>
      <c r="MXI1880" s="94"/>
      <c r="MXJ1880" s="94"/>
      <c r="MXK1880" s="94"/>
      <c r="MXL1880" s="94"/>
      <c r="MXM1880" s="94"/>
      <c r="MXN1880" s="94"/>
      <c r="MXO1880" s="94"/>
      <c r="MXP1880" s="94"/>
      <c r="MXQ1880" s="94"/>
      <c r="MXR1880" s="94"/>
      <c r="MXS1880" s="94"/>
      <c r="MXT1880" s="94"/>
      <c r="MXU1880" s="94"/>
      <c r="MXV1880" s="94"/>
      <c r="MXW1880" s="94"/>
      <c r="MXX1880" s="94"/>
      <c r="MXY1880" s="94"/>
      <c r="MXZ1880" s="94"/>
      <c r="MYA1880" s="94"/>
      <c r="MYB1880" s="94"/>
      <c r="MYC1880" s="94"/>
      <c r="MYD1880" s="94"/>
      <c r="MYE1880" s="94"/>
      <c r="MYF1880" s="94"/>
      <c r="MYG1880" s="94"/>
      <c r="MYH1880" s="94"/>
      <c r="MYI1880" s="94"/>
      <c r="MYJ1880" s="94"/>
      <c r="MYK1880" s="94"/>
      <c r="MYL1880" s="94"/>
      <c r="MYM1880" s="94"/>
      <c r="MYN1880" s="94"/>
      <c r="MYO1880" s="94"/>
      <c r="MYP1880" s="94"/>
      <c r="MYQ1880" s="94"/>
      <c r="MYR1880" s="94"/>
      <c r="MYS1880" s="94"/>
      <c r="MYT1880" s="94"/>
      <c r="MYU1880" s="94"/>
      <c r="MYV1880" s="94"/>
      <c r="MYW1880" s="94"/>
      <c r="MYX1880" s="94"/>
      <c r="MYY1880" s="94"/>
      <c r="MYZ1880" s="94"/>
      <c r="MZA1880" s="94"/>
      <c r="MZB1880" s="94"/>
      <c r="MZC1880" s="94"/>
      <c r="MZD1880" s="94"/>
      <c r="MZE1880" s="94"/>
      <c r="MZF1880" s="94"/>
      <c r="MZG1880" s="94"/>
      <c r="MZH1880" s="94"/>
      <c r="MZI1880" s="94"/>
      <c r="MZJ1880" s="94"/>
      <c r="MZK1880" s="94"/>
      <c r="MZL1880" s="94"/>
      <c r="MZM1880" s="94"/>
      <c r="MZN1880" s="94"/>
      <c r="MZO1880" s="94"/>
      <c r="MZP1880" s="94"/>
      <c r="MZQ1880" s="94"/>
      <c r="MZR1880" s="94"/>
      <c r="MZS1880" s="94"/>
      <c r="MZT1880" s="94"/>
      <c r="MZU1880" s="94"/>
      <c r="MZV1880" s="94"/>
      <c r="MZW1880" s="94"/>
      <c r="MZX1880" s="94"/>
      <c r="MZY1880" s="94"/>
      <c r="MZZ1880" s="94"/>
      <c r="NAA1880" s="94"/>
      <c r="NAB1880" s="94"/>
      <c r="NAC1880" s="94"/>
      <c r="NAD1880" s="94"/>
      <c r="NAE1880" s="94"/>
      <c r="NAF1880" s="94"/>
      <c r="NAG1880" s="94"/>
      <c r="NAH1880" s="94"/>
      <c r="NAI1880" s="94"/>
      <c r="NAJ1880" s="94"/>
      <c r="NAK1880" s="94"/>
      <c r="NAL1880" s="94"/>
      <c r="NAM1880" s="94"/>
      <c r="NAN1880" s="94"/>
      <c r="NAO1880" s="94"/>
      <c r="NAP1880" s="94"/>
      <c r="NAQ1880" s="94"/>
      <c r="NAR1880" s="94"/>
      <c r="NAS1880" s="94"/>
      <c r="NAT1880" s="94"/>
      <c r="NAU1880" s="94"/>
      <c r="NAV1880" s="94"/>
      <c r="NAW1880" s="94"/>
      <c r="NAX1880" s="94"/>
      <c r="NAY1880" s="94"/>
      <c r="NAZ1880" s="94"/>
      <c r="NBA1880" s="94"/>
      <c r="NBB1880" s="94"/>
      <c r="NBC1880" s="94"/>
      <c r="NBD1880" s="94"/>
      <c r="NBE1880" s="94"/>
      <c r="NBF1880" s="94"/>
      <c r="NBG1880" s="94"/>
      <c r="NBH1880" s="94"/>
      <c r="NBI1880" s="94"/>
      <c r="NBJ1880" s="94"/>
      <c r="NBK1880" s="94"/>
      <c r="NBL1880" s="94"/>
      <c r="NBM1880" s="94"/>
      <c r="NBN1880" s="94"/>
      <c r="NBO1880" s="94"/>
      <c r="NBP1880" s="94"/>
      <c r="NBQ1880" s="94"/>
      <c r="NBR1880" s="94"/>
      <c r="NBS1880" s="94"/>
      <c r="NBT1880" s="94"/>
      <c r="NBU1880" s="94"/>
      <c r="NBV1880" s="94"/>
      <c r="NBW1880" s="94"/>
      <c r="NBX1880" s="94"/>
      <c r="NBY1880" s="94"/>
      <c r="NBZ1880" s="94"/>
      <c r="NCA1880" s="94"/>
      <c r="NCB1880" s="94"/>
      <c r="NCC1880" s="94"/>
      <c r="NCD1880" s="94"/>
      <c r="NCE1880" s="94"/>
      <c r="NCF1880" s="94"/>
      <c r="NCG1880" s="94"/>
      <c r="NCH1880" s="94"/>
      <c r="NCI1880" s="94"/>
      <c r="NCJ1880" s="94"/>
      <c r="NCK1880" s="94"/>
      <c r="NCL1880" s="94"/>
      <c r="NCM1880" s="94"/>
      <c r="NCN1880" s="94"/>
      <c r="NCO1880" s="94"/>
      <c r="NCP1880" s="94"/>
      <c r="NCQ1880" s="94"/>
      <c r="NCR1880" s="94"/>
      <c r="NCS1880" s="94"/>
      <c r="NCT1880" s="94"/>
      <c r="NCU1880" s="94"/>
      <c r="NCV1880" s="94"/>
      <c r="NCW1880" s="94"/>
      <c r="NCX1880" s="94"/>
      <c r="NCY1880" s="94"/>
      <c r="NCZ1880" s="94"/>
      <c r="NDA1880" s="94"/>
      <c r="NDB1880" s="94"/>
      <c r="NDC1880" s="94"/>
      <c r="NDD1880" s="94"/>
      <c r="NDE1880" s="94"/>
      <c r="NDF1880" s="94"/>
      <c r="NDG1880" s="94"/>
      <c r="NDH1880" s="94"/>
      <c r="NDI1880" s="94"/>
      <c r="NDJ1880" s="94"/>
      <c r="NDK1880" s="94"/>
      <c r="NDL1880" s="94"/>
      <c r="NDM1880" s="94"/>
      <c r="NDN1880" s="94"/>
      <c r="NDO1880" s="94"/>
      <c r="NDP1880" s="94"/>
      <c r="NDQ1880" s="94"/>
      <c r="NDR1880" s="94"/>
      <c r="NDS1880" s="94"/>
      <c r="NDT1880" s="94"/>
      <c r="NDU1880" s="94"/>
      <c r="NDV1880" s="94"/>
      <c r="NDW1880" s="94"/>
      <c r="NDX1880" s="94"/>
      <c r="NDY1880" s="94"/>
      <c r="NDZ1880" s="94"/>
      <c r="NEA1880" s="94"/>
      <c r="NEB1880" s="94"/>
      <c r="NEC1880" s="94"/>
      <c r="NED1880" s="94"/>
      <c r="NEE1880" s="94"/>
      <c r="NEF1880" s="94"/>
      <c r="NEG1880" s="94"/>
      <c r="NEH1880" s="94"/>
      <c r="NEI1880" s="94"/>
      <c r="NEJ1880" s="94"/>
      <c r="NEK1880" s="94"/>
      <c r="NEL1880" s="94"/>
      <c r="NEM1880" s="94"/>
      <c r="NEN1880" s="94"/>
      <c r="NEO1880" s="94"/>
      <c r="NEP1880" s="94"/>
      <c r="NEQ1880" s="94"/>
      <c r="NER1880" s="94"/>
      <c r="NES1880" s="94"/>
      <c r="NET1880" s="94"/>
      <c r="NEU1880" s="94"/>
      <c r="NEV1880" s="94"/>
      <c r="NEW1880" s="94"/>
      <c r="NEX1880" s="94"/>
      <c r="NEY1880" s="94"/>
      <c r="NEZ1880" s="94"/>
      <c r="NFA1880" s="94"/>
      <c r="NFB1880" s="94"/>
      <c r="NFC1880" s="94"/>
      <c r="NFD1880" s="94"/>
      <c r="NFE1880" s="94"/>
      <c r="NFF1880" s="94"/>
      <c r="NFG1880" s="94"/>
      <c r="NFH1880" s="94"/>
      <c r="NFI1880" s="94"/>
      <c r="NFJ1880" s="94"/>
      <c r="NFK1880" s="94"/>
      <c r="NFL1880" s="94"/>
      <c r="NFM1880" s="94"/>
      <c r="NFN1880" s="94"/>
      <c r="NFO1880" s="94"/>
      <c r="NFP1880" s="94"/>
      <c r="NFQ1880" s="94"/>
      <c r="NFR1880" s="94"/>
      <c r="NFS1880" s="94"/>
      <c r="NFT1880" s="94"/>
      <c r="NFU1880" s="94"/>
      <c r="NFV1880" s="94"/>
      <c r="NFW1880" s="94"/>
      <c r="NFX1880" s="94"/>
      <c r="NFY1880" s="94"/>
      <c r="NFZ1880" s="94"/>
      <c r="NGA1880" s="94"/>
      <c r="NGB1880" s="94"/>
      <c r="NGC1880" s="94"/>
      <c r="NGD1880" s="94"/>
      <c r="NGE1880" s="94"/>
      <c r="NGF1880" s="94"/>
      <c r="NGG1880" s="94"/>
      <c r="NGH1880" s="94"/>
      <c r="NGI1880" s="94"/>
      <c r="NGJ1880" s="94"/>
      <c r="NGK1880" s="94"/>
      <c r="NGL1880" s="94"/>
      <c r="NGM1880" s="94"/>
      <c r="NGN1880" s="94"/>
      <c r="NGO1880" s="94"/>
      <c r="NGP1880" s="94"/>
      <c r="NGQ1880" s="94"/>
      <c r="NGR1880" s="94"/>
      <c r="NGS1880" s="94"/>
      <c r="NGT1880" s="94"/>
      <c r="NGU1880" s="94"/>
      <c r="NGV1880" s="94"/>
      <c r="NGW1880" s="94"/>
      <c r="NGX1880" s="94"/>
      <c r="NGY1880" s="94"/>
      <c r="NGZ1880" s="94"/>
      <c r="NHA1880" s="94"/>
      <c r="NHB1880" s="94"/>
      <c r="NHC1880" s="94"/>
      <c r="NHD1880" s="94"/>
      <c r="NHE1880" s="94"/>
      <c r="NHF1880" s="94"/>
      <c r="NHG1880" s="94"/>
      <c r="NHH1880" s="94"/>
      <c r="NHI1880" s="94"/>
      <c r="NHJ1880" s="94"/>
      <c r="NHK1880" s="94"/>
      <c r="NHL1880" s="94"/>
      <c r="NHM1880" s="94"/>
      <c r="NHN1880" s="94"/>
      <c r="NHO1880" s="94"/>
      <c r="NHP1880" s="94"/>
      <c r="NHQ1880" s="94"/>
      <c r="NHR1880" s="94"/>
      <c r="NHS1880" s="94"/>
      <c r="NHT1880" s="94"/>
      <c r="NHU1880" s="94"/>
      <c r="NHV1880" s="94"/>
      <c r="NHW1880" s="94"/>
      <c r="NHX1880" s="94"/>
      <c r="NHY1880" s="94"/>
      <c r="NHZ1880" s="94"/>
      <c r="NIA1880" s="94"/>
      <c r="NIB1880" s="94"/>
      <c r="NIC1880" s="94"/>
      <c r="NID1880" s="94"/>
      <c r="NIE1880" s="94"/>
      <c r="NIF1880" s="94"/>
      <c r="NIG1880" s="94"/>
      <c r="NIH1880" s="94"/>
      <c r="NII1880" s="94"/>
      <c r="NIJ1880" s="94"/>
      <c r="NIK1880" s="94"/>
      <c r="NIL1880" s="94"/>
      <c r="NIM1880" s="94"/>
      <c r="NIN1880" s="94"/>
      <c r="NIO1880" s="94"/>
      <c r="NIP1880" s="94"/>
      <c r="NIQ1880" s="94"/>
      <c r="NIR1880" s="94"/>
      <c r="NIS1880" s="94"/>
      <c r="NIT1880" s="94"/>
      <c r="NIU1880" s="94"/>
      <c r="NIV1880" s="94"/>
      <c r="NIW1880" s="94"/>
      <c r="NIX1880" s="94"/>
      <c r="NIY1880" s="94"/>
      <c r="NIZ1880" s="94"/>
      <c r="NJA1880" s="94"/>
      <c r="NJB1880" s="94"/>
      <c r="NJC1880" s="94"/>
      <c r="NJD1880" s="94"/>
      <c r="NJE1880" s="94"/>
      <c r="NJF1880" s="94"/>
      <c r="NJG1880" s="94"/>
      <c r="NJH1880" s="94"/>
      <c r="NJI1880" s="94"/>
      <c r="NJJ1880" s="94"/>
      <c r="NJK1880" s="94"/>
      <c r="NJL1880" s="94"/>
      <c r="NJM1880" s="94"/>
      <c r="NJN1880" s="94"/>
      <c r="NJO1880" s="94"/>
      <c r="NJP1880" s="94"/>
      <c r="NJQ1880" s="94"/>
      <c r="NJR1880" s="94"/>
      <c r="NJS1880" s="94"/>
      <c r="NJT1880" s="94"/>
      <c r="NJU1880" s="94"/>
      <c r="NJV1880" s="94"/>
      <c r="NJW1880" s="94"/>
      <c r="NJX1880" s="94"/>
      <c r="NJY1880" s="94"/>
      <c r="NJZ1880" s="94"/>
      <c r="NKA1880" s="94"/>
      <c r="NKB1880" s="94"/>
      <c r="NKC1880" s="94"/>
      <c r="NKD1880" s="94"/>
      <c r="NKE1880" s="94"/>
      <c r="NKF1880" s="94"/>
      <c r="NKG1880" s="94"/>
      <c r="NKH1880" s="94"/>
      <c r="NKI1880" s="94"/>
      <c r="NKJ1880" s="94"/>
      <c r="NKK1880" s="94"/>
      <c r="NKL1880" s="94"/>
      <c r="NKM1880" s="94"/>
      <c r="NKN1880" s="94"/>
      <c r="NKO1880" s="94"/>
      <c r="NKP1880" s="94"/>
      <c r="NKQ1880" s="94"/>
      <c r="NKR1880" s="94"/>
      <c r="NKS1880" s="94"/>
      <c r="NKT1880" s="94"/>
      <c r="NKU1880" s="94"/>
      <c r="NKV1880" s="94"/>
      <c r="NKW1880" s="94"/>
      <c r="NKX1880" s="94"/>
      <c r="NKY1880" s="94"/>
      <c r="NKZ1880" s="94"/>
      <c r="NLA1880" s="94"/>
      <c r="NLB1880" s="94"/>
      <c r="NLC1880" s="94"/>
      <c r="NLD1880" s="94"/>
      <c r="NLE1880" s="94"/>
      <c r="NLF1880" s="94"/>
      <c r="NLG1880" s="94"/>
      <c r="NLH1880" s="94"/>
      <c r="NLI1880" s="94"/>
      <c r="NLJ1880" s="94"/>
      <c r="NLK1880" s="94"/>
      <c r="NLL1880" s="94"/>
      <c r="NLM1880" s="94"/>
      <c r="NLN1880" s="94"/>
      <c r="NLO1880" s="94"/>
      <c r="NLP1880" s="94"/>
      <c r="NLQ1880" s="94"/>
      <c r="NLR1880" s="94"/>
      <c r="NLS1880" s="94"/>
      <c r="NLT1880" s="94"/>
      <c r="NLU1880" s="94"/>
      <c r="NLV1880" s="94"/>
      <c r="NLW1880" s="94"/>
      <c r="NLX1880" s="94"/>
      <c r="NLY1880" s="94"/>
      <c r="NLZ1880" s="94"/>
      <c r="NMA1880" s="94"/>
      <c r="NMB1880" s="94"/>
      <c r="NMC1880" s="94"/>
      <c r="NMD1880" s="94"/>
      <c r="NME1880" s="94"/>
      <c r="NMF1880" s="94"/>
      <c r="NMG1880" s="94"/>
      <c r="NMH1880" s="94"/>
      <c r="NMI1880" s="94"/>
      <c r="NMJ1880" s="94"/>
      <c r="NMK1880" s="94"/>
      <c r="NML1880" s="94"/>
      <c r="NMM1880" s="94"/>
      <c r="NMN1880" s="94"/>
      <c r="NMO1880" s="94"/>
      <c r="NMP1880" s="94"/>
      <c r="NMQ1880" s="94"/>
      <c r="NMR1880" s="94"/>
      <c r="NMS1880" s="94"/>
      <c r="NMT1880" s="94"/>
      <c r="NMU1880" s="94"/>
      <c r="NMV1880" s="94"/>
      <c r="NMW1880" s="94"/>
      <c r="NMX1880" s="94"/>
      <c r="NMY1880" s="94"/>
      <c r="NMZ1880" s="94"/>
      <c r="NNA1880" s="94"/>
      <c r="NNB1880" s="94"/>
      <c r="NNC1880" s="94"/>
      <c r="NND1880" s="94"/>
      <c r="NNE1880" s="94"/>
      <c r="NNF1880" s="94"/>
      <c r="NNG1880" s="94"/>
      <c r="NNH1880" s="94"/>
      <c r="NNI1880" s="94"/>
      <c r="NNJ1880" s="94"/>
      <c r="NNK1880" s="94"/>
      <c r="NNL1880" s="94"/>
      <c r="NNM1880" s="94"/>
      <c r="NNN1880" s="94"/>
      <c r="NNO1880" s="94"/>
      <c r="NNP1880" s="94"/>
      <c r="NNQ1880" s="94"/>
      <c r="NNR1880" s="94"/>
      <c r="NNS1880" s="94"/>
      <c r="NNT1880" s="94"/>
      <c r="NNU1880" s="94"/>
      <c r="NNV1880" s="94"/>
      <c r="NNW1880" s="94"/>
      <c r="NNX1880" s="94"/>
      <c r="NNY1880" s="94"/>
      <c r="NNZ1880" s="94"/>
      <c r="NOA1880" s="94"/>
      <c r="NOB1880" s="94"/>
      <c r="NOC1880" s="94"/>
      <c r="NOD1880" s="94"/>
      <c r="NOE1880" s="94"/>
      <c r="NOF1880" s="94"/>
      <c r="NOG1880" s="94"/>
      <c r="NOH1880" s="94"/>
      <c r="NOI1880" s="94"/>
      <c r="NOJ1880" s="94"/>
      <c r="NOK1880" s="94"/>
      <c r="NOL1880" s="94"/>
      <c r="NOM1880" s="94"/>
      <c r="NON1880" s="94"/>
      <c r="NOO1880" s="94"/>
      <c r="NOP1880" s="94"/>
      <c r="NOQ1880" s="94"/>
      <c r="NOR1880" s="94"/>
      <c r="NOS1880" s="94"/>
      <c r="NOT1880" s="94"/>
      <c r="NOU1880" s="94"/>
      <c r="NOV1880" s="94"/>
      <c r="NOW1880" s="94"/>
      <c r="NOX1880" s="94"/>
      <c r="NOY1880" s="94"/>
      <c r="NOZ1880" s="94"/>
      <c r="NPA1880" s="94"/>
      <c r="NPB1880" s="94"/>
      <c r="NPC1880" s="94"/>
      <c r="NPD1880" s="94"/>
      <c r="NPE1880" s="94"/>
      <c r="NPF1880" s="94"/>
      <c r="NPG1880" s="94"/>
      <c r="NPH1880" s="94"/>
      <c r="NPI1880" s="94"/>
      <c r="NPJ1880" s="94"/>
      <c r="NPK1880" s="94"/>
      <c r="NPL1880" s="94"/>
      <c r="NPM1880" s="94"/>
      <c r="NPN1880" s="94"/>
      <c r="NPO1880" s="94"/>
      <c r="NPP1880" s="94"/>
      <c r="NPQ1880" s="94"/>
      <c r="NPR1880" s="94"/>
      <c r="NPS1880" s="94"/>
      <c r="NPT1880" s="94"/>
      <c r="NPU1880" s="94"/>
      <c r="NPV1880" s="94"/>
      <c r="NPW1880" s="94"/>
      <c r="NPX1880" s="94"/>
      <c r="NPY1880" s="94"/>
      <c r="NPZ1880" s="94"/>
      <c r="NQA1880" s="94"/>
      <c r="NQB1880" s="94"/>
      <c r="NQC1880" s="94"/>
      <c r="NQD1880" s="94"/>
      <c r="NQE1880" s="94"/>
      <c r="NQF1880" s="94"/>
      <c r="NQG1880" s="94"/>
      <c r="NQH1880" s="94"/>
      <c r="NQI1880" s="94"/>
      <c r="NQJ1880" s="94"/>
      <c r="NQK1880" s="94"/>
      <c r="NQL1880" s="94"/>
      <c r="NQM1880" s="94"/>
      <c r="NQN1880" s="94"/>
      <c r="NQO1880" s="94"/>
      <c r="NQP1880" s="94"/>
      <c r="NQQ1880" s="94"/>
      <c r="NQR1880" s="94"/>
      <c r="NQS1880" s="94"/>
      <c r="NQT1880" s="94"/>
      <c r="NQU1880" s="94"/>
      <c r="NQV1880" s="94"/>
      <c r="NQW1880" s="94"/>
      <c r="NQX1880" s="94"/>
      <c r="NQY1880" s="94"/>
      <c r="NQZ1880" s="94"/>
      <c r="NRA1880" s="94"/>
      <c r="NRB1880" s="94"/>
      <c r="NRC1880" s="94"/>
      <c r="NRD1880" s="94"/>
      <c r="NRE1880" s="94"/>
      <c r="NRF1880" s="94"/>
      <c r="NRG1880" s="94"/>
      <c r="NRH1880" s="94"/>
      <c r="NRI1880" s="94"/>
      <c r="NRJ1880" s="94"/>
      <c r="NRK1880" s="94"/>
      <c r="NRL1880" s="94"/>
      <c r="NRM1880" s="94"/>
      <c r="NRN1880" s="94"/>
      <c r="NRO1880" s="94"/>
      <c r="NRP1880" s="94"/>
      <c r="NRQ1880" s="94"/>
      <c r="NRR1880" s="94"/>
      <c r="NRS1880" s="94"/>
      <c r="NRT1880" s="94"/>
      <c r="NRU1880" s="94"/>
      <c r="NRV1880" s="94"/>
      <c r="NRW1880" s="94"/>
      <c r="NRX1880" s="94"/>
      <c r="NRY1880" s="94"/>
      <c r="NRZ1880" s="94"/>
      <c r="NSA1880" s="94"/>
      <c r="NSB1880" s="94"/>
      <c r="NSC1880" s="94"/>
      <c r="NSD1880" s="94"/>
      <c r="NSE1880" s="94"/>
      <c r="NSF1880" s="94"/>
      <c r="NSG1880" s="94"/>
      <c r="NSH1880" s="94"/>
      <c r="NSI1880" s="94"/>
      <c r="NSJ1880" s="94"/>
      <c r="NSK1880" s="94"/>
      <c r="NSL1880" s="94"/>
      <c r="NSM1880" s="94"/>
      <c r="NSN1880" s="94"/>
      <c r="NSO1880" s="94"/>
      <c r="NSP1880" s="94"/>
      <c r="NSQ1880" s="94"/>
      <c r="NSR1880" s="94"/>
      <c r="NSS1880" s="94"/>
      <c r="NST1880" s="94"/>
      <c r="NSU1880" s="94"/>
      <c r="NSV1880" s="94"/>
      <c r="NSW1880" s="94"/>
      <c r="NSX1880" s="94"/>
      <c r="NSY1880" s="94"/>
      <c r="NSZ1880" s="94"/>
      <c r="NTA1880" s="94"/>
      <c r="NTB1880" s="94"/>
      <c r="NTC1880" s="94"/>
      <c r="NTD1880" s="94"/>
      <c r="NTE1880" s="94"/>
      <c r="NTF1880" s="94"/>
      <c r="NTG1880" s="94"/>
      <c r="NTH1880" s="94"/>
      <c r="NTI1880" s="94"/>
      <c r="NTJ1880" s="94"/>
      <c r="NTK1880" s="94"/>
      <c r="NTL1880" s="94"/>
      <c r="NTM1880" s="94"/>
      <c r="NTN1880" s="94"/>
      <c r="NTO1880" s="94"/>
      <c r="NTP1880" s="94"/>
      <c r="NTQ1880" s="94"/>
      <c r="NTR1880" s="94"/>
      <c r="NTS1880" s="94"/>
      <c r="NTT1880" s="94"/>
      <c r="NTU1880" s="94"/>
      <c r="NTV1880" s="94"/>
      <c r="NTW1880" s="94"/>
      <c r="NTX1880" s="94"/>
      <c r="NTY1880" s="94"/>
      <c r="NTZ1880" s="94"/>
      <c r="NUA1880" s="94"/>
      <c r="NUB1880" s="94"/>
      <c r="NUC1880" s="94"/>
      <c r="NUD1880" s="94"/>
      <c r="NUE1880" s="94"/>
      <c r="NUF1880" s="94"/>
      <c r="NUG1880" s="94"/>
      <c r="NUH1880" s="94"/>
      <c r="NUI1880" s="94"/>
      <c r="NUJ1880" s="94"/>
      <c r="NUK1880" s="94"/>
      <c r="NUL1880" s="94"/>
      <c r="NUM1880" s="94"/>
      <c r="NUN1880" s="94"/>
      <c r="NUO1880" s="94"/>
      <c r="NUP1880" s="94"/>
      <c r="NUQ1880" s="94"/>
      <c r="NUR1880" s="94"/>
      <c r="NUS1880" s="94"/>
      <c r="NUT1880" s="94"/>
      <c r="NUU1880" s="94"/>
      <c r="NUV1880" s="94"/>
      <c r="NUW1880" s="94"/>
      <c r="NUX1880" s="94"/>
      <c r="NUY1880" s="94"/>
      <c r="NUZ1880" s="94"/>
      <c r="NVA1880" s="94"/>
      <c r="NVB1880" s="94"/>
      <c r="NVC1880" s="94"/>
      <c r="NVD1880" s="94"/>
      <c r="NVE1880" s="94"/>
      <c r="NVF1880" s="94"/>
      <c r="NVG1880" s="94"/>
      <c r="NVH1880" s="94"/>
      <c r="NVI1880" s="94"/>
      <c r="NVJ1880" s="94"/>
      <c r="NVK1880" s="94"/>
      <c r="NVL1880" s="94"/>
      <c r="NVM1880" s="94"/>
      <c r="NVN1880" s="94"/>
      <c r="NVO1880" s="94"/>
      <c r="NVP1880" s="94"/>
      <c r="NVQ1880" s="94"/>
      <c r="NVR1880" s="94"/>
      <c r="NVS1880" s="94"/>
      <c r="NVT1880" s="94"/>
      <c r="NVU1880" s="94"/>
      <c r="NVV1880" s="94"/>
      <c r="NVW1880" s="94"/>
      <c r="NVX1880" s="94"/>
      <c r="NVY1880" s="94"/>
      <c r="NVZ1880" s="94"/>
      <c r="NWA1880" s="94"/>
      <c r="NWB1880" s="94"/>
      <c r="NWC1880" s="94"/>
      <c r="NWD1880" s="94"/>
      <c r="NWE1880" s="94"/>
      <c r="NWF1880" s="94"/>
      <c r="NWG1880" s="94"/>
      <c r="NWH1880" s="94"/>
      <c r="NWI1880" s="94"/>
      <c r="NWJ1880" s="94"/>
      <c r="NWK1880" s="94"/>
      <c r="NWL1880" s="94"/>
      <c r="NWM1880" s="94"/>
      <c r="NWN1880" s="94"/>
      <c r="NWO1880" s="94"/>
      <c r="NWP1880" s="94"/>
      <c r="NWQ1880" s="94"/>
      <c r="NWR1880" s="94"/>
      <c r="NWS1880" s="94"/>
      <c r="NWT1880" s="94"/>
      <c r="NWU1880" s="94"/>
      <c r="NWV1880" s="94"/>
      <c r="NWW1880" s="94"/>
      <c r="NWX1880" s="94"/>
      <c r="NWY1880" s="94"/>
      <c r="NWZ1880" s="94"/>
      <c r="NXA1880" s="94"/>
      <c r="NXB1880" s="94"/>
      <c r="NXC1880" s="94"/>
      <c r="NXD1880" s="94"/>
      <c r="NXE1880" s="94"/>
      <c r="NXF1880" s="94"/>
      <c r="NXG1880" s="94"/>
      <c r="NXH1880" s="94"/>
      <c r="NXI1880" s="94"/>
      <c r="NXJ1880" s="94"/>
      <c r="NXK1880" s="94"/>
      <c r="NXL1880" s="94"/>
      <c r="NXM1880" s="94"/>
      <c r="NXN1880" s="94"/>
      <c r="NXO1880" s="94"/>
      <c r="NXP1880" s="94"/>
      <c r="NXQ1880" s="94"/>
      <c r="NXR1880" s="94"/>
      <c r="NXS1880" s="94"/>
      <c r="NXT1880" s="94"/>
      <c r="NXU1880" s="94"/>
      <c r="NXV1880" s="94"/>
      <c r="NXW1880" s="94"/>
      <c r="NXX1880" s="94"/>
      <c r="NXY1880" s="94"/>
      <c r="NXZ1880" s="94"/>
      <c r="NYA1880" s="94"/>
      <c r="NYB1880" s="94"/>
      <c r="NYC1880" s="94"/>
      <c r="NYD1880" s="94"/>
      <c r="NYE1880" s="94"/>
      <c r="NYF1880" s="94"/>
      <c r="NYG1880" s="94"/>
      <c r="NYH1880" s="94"/>
      <c r="NYI1880" s="94"/>
      <c r="NYJ1880" s="94"/>
      <c r="NYK1880" s="94"/>
      <c r="NYL1880" s="94"/>
      <c r="NYM1880" s="94"/>
      <c r="NYN1880" s="94"/>
      <c r="NYO1880" s="94"/>
      <c r="NYP1880" s="94"/>
      <c r="NYQ1880" s="94"/>
      <c r="NYR1880" s="94"/>
      <c r="NYS1880" s="94"/>
      <c r="NYT1880" s="94"/>
      <c r="NYU1880" s="94"/>
      <c r="NYV1880" s="94"/>
      <c r="NYW1880" s="94"/>
      <c r="NYX1880" s="94"/>
      <c r="NYY1880" s="94"/>
      <c r="NYZ1880" s="94"/>
      <c r="NZA1880" s="94"/>
      <c r="NZB1880" s="94"/>
      <c r="NZC1880" s="94"/>
      <c r="NZD1880" s="94"/>
      <c r="NZE1880" s="94"/>
      <c r="NZF1880" s="94"/>
      <c r="NZG1880" s="94"/>
      <c r="NZH1880" s="94"/>
      <c r="NZI1880" s="94"/>
      <c r="NZJ1880" s="94"/>
      <c r="NZK1880" s="94"/>
      <c r="NZL1880" s="94"/>
      <c r="NZM1880" s="94"/>
      <c r="NZN1880" s="94"/>
      <c r="NZO1880" s="94"/>
      <c r="NZP1880" s="94"/>
      <c r="NZQ1880" s="94"/>
      <c r="NZR1880" s="94"/>
      <c r="NZS1880" s="94"/>
      <c r="NZT1880" s="94"/>
      <c r="NZU1880" s="94"/>
      <c r="NZV1880" s="94"/>
      <c r="NZW1880" s="94"/>
      <c r="NZX1880" s="94"/>
      <c r="NZY1880" s="94"/>
      <c r="NZZ1880" s="94"/>
      <c r="OAA1880" s="94"/>
      <c r="OAB1880" s="94"/>
      <c r="OAC1880" s="94"/>
      <c r="OAD1880" s="94"/>
      <c r="OAE1880" s="94"/>
      <c r="OAF1880" s="94"/>
      <c r="OAG1880" s="94"/>
      <c r="OAH1880" s="94"/>
      <c r="OAI1880" s="94"/>
      <c r="OAJ1880" s="94"/>
      <c r="OAK1880" s="94"/>
      <c r="OAL1880" s="94"/>
      <c r="OAM1880" s="94"/>
      <c r="OAN1880" s="94"/>
      <c r="OAO1880" s="94"/>
      <c r="OAP1880" s="94"/>
      <c r="OAQ1880" s="94"/>
      <c r="OAR1880" s="94"/>
      <c r="OAS1880" s="94"/>
      <c r="OAT1880" s="94"/>
      <c r="OAU1880" s="94"/>
      <c r="OAV1880" s="94"/>
      <c r="OAW1880" s="94"/>
      <c r="OAX1880" s="94"/>
      <c r="OAY1880" s="94"/>
      <c r="OAZ1880" s="94"/>
      <c r="OBA1880" s="94"/>
      <c r="OBB1880" s="94"/>
      <c r="OBC1880" s="94"/>
      <c r="OBD1880" s="94"/>
      <c r="OBE1880" s="94"/>
      <c r="OBF1880" s="94"/>
      <c r="OBG1880" s="94"/>
      <c r="OBH1880" s="94"/>
      <c r="OBI1880" s="94"/>
      <c r="OBJ1880" s="94"/>
      <c r="OBK1880" s="94"/>
      <c r="OBL1880" s="94"/>
      <c r="OBM1880" s="94"/>
      <c r="OBN1880" s="94"/>
      <c r="OBO1880" s="94"/>
      <c r="OBP1880" s="94"/>
      <c r="OBQ1880" s="94"/>
      <c r="OBR1880" s="94"/>
      <c r="OBS1880" s="94"/>
      <c r="OBT1880" s="94"/>
      <c r="OBU1880" s="94"/>
      <c r="OBV1880" s="94"/>
      <c r="OBW1880" s="94"/>
      <c r="OBX1880" s="94"/>
      <c r="OBY1880" s="94"/>
      <c r="OBZ1880" s="94"/>
      <c r="OCA1880" s="94"/>
      <c r="OCB1880" s="94"/>
      <c r="OCC1880" s="94"/>
      <c r="OCD1880" s="94"/>
      <c r="OCE1880" s="94"/>
      <c r="OCF1880" s="94"/>
      <c r="OCG1880" s="94"/>
      <c r="OCH1880" s="94"/>
      <c r="OCI1880" s="94"/>
      <c r="OCJ1880" s="94"/>
      <c r="OCK1880" s="94"/>
      <c r="OCL1880" s="94"/>
      <c r="OCM1880" s="94"/>
      <c r="OCN1880" s="94"/>
      <c r="OCO1880" s="94"/>
      <c r="OCP1880" s="94"/>
      <c r="OCQ1880" s="94"/>
      <c r="OCR1880" s="94"/>
      <c r="OCS1880" s="94"/>
      <c r="OCT1880" s="94"/>
      <c r="OCU1880" s="94"/>
      <c r="OCV1880" s="94"/>
      <c r="OCW1880" s="94"/>
      <c r="OCX1880" s="94"/>
      <c r="OCY1880" s="94"/>
      <c r="OCZ1880" s="94"/>
      <c r="ODA1880" s="94"/>
      <c r="ODB1880" s="94"/>
      <c r="ODC1880" s="94"/>
      <c r="ODD1880" s="94"/>
      <c r="ODE1880" s="94"/>
      <c r="ODF1880" s="94"/>
      <c r="ODG1880" s="94"/>
      <c r="ODH1880" s="94"/>
      <c r="ODI1880" s="94"/>
      <c r="ODJ1880" s="94"/>
      <c r="ODK1880" s="94"/>
      <c r="ODL1880" s="94"/>
      <c r="ODM1880" s="94"/>
      <c r="ODN1880" s="94"/>
      <c r="ODO1880" s="94"/>
      <c r="ODP1880" s="94"/>
      <c r="ODQ1880" s="94"/>
      <c r="ODR1880" s="94"/>
      <c r="ODS1880" s="94"/>
      <c r="ODT1880" s="94"/>
      <c r="ODU1880" s="94"/>
      <c r="ODV1880" s="94"/>
      <c r="ODW1880" s="94"/>
      <c r="ODX1880" s="94"/>
      <c r="ODY1880" s="94"/>
      <c r="ODZ1880" s="94"/>
      <c r="OEA1880" s="94"/>
      <c r="OEB1880" s="94"/>
      <c r="OEC1880" s="94"/>
      <c r="OED1880" s="94"/>
      <c r="OEE1880" s="94"/>
      <c r="OEF1880" s="94"/>
      <c r="OEG1880" s="94"/>
      <c r="OEH1880" s="94"/>
      <c r="OEI1880" s="94"/>
      <c r="OEJ1880" s="94"/>
      <c r="OEK1880" s="94"/>
      <c r="OEL1880" s="94"/>
      <c r="OEM1880" s="94"/>
      <c r="OEN1880" s="94"/>
      <c r="OEO1880" s="94"/>
      <c r="OEP1880" s="94"/>
      <c r="OEQ1880" s="94"/>
      <c r="OER1880" s="94"/>
      <c r="OES1880" s="94"/>
      <c r="OET1880" s="94"/>
      <c r="OEU1880" s="94"/>
      <c r="OEV1880" s="94"/>
      <c r="OEW1880" s="94"/>
      <c r="OEX1880" s="94"/>
      <c r="OEY1880" s="94"/>
      <c r="OEZ1880" s="94"/>
      <c r="OFA1880" s="94"/>
      <c r="OFB1880" s="94"/>
      <c r="OFC1880" s="94"/>
      <c r="OFD1880" s="94"/>
      <c r="OFE1880" s="94"/>
      <c r="OFF1880" s="94"/>
      <c r="OFG1880" s="94"/>
      <c r="OFH1880" s="94"/>
      <c r="OFI1880" s="94"/>
      <c r="OFJ1880" s="94"/>
      <c r="OFK1880" s="94"/>
      <c r="OFL1880" s="94"/>
      <c r="OFM1880" s="94"/>
      <c r="OFN1880" s="94"/>
      <c r="OFO1880" s="94"/>
      <c r="OFP1880" s="94"/>
      <c r="OFQ1880" s="94"/>
      <c r="OFR1880" s="94"/>
      <c r="OFS1880" s="94"/>
      <c r="OFT1880" s="94"/>
      <c r="OFU1880" s="94"/>
      <c r="OFV1880" s="94"/>
      <c r="OFW1880" s="94"/>
      <c r="OFX1880" s="94"/>
      <c r="OFY1880" s="94"/>
      <c r="OFZ1880" s="94"/>
      <c r="OGA1880" s="94"/>
      <c r="OGB1880" s="94"/>
      <c r="OGC1880" s="94"/>
      <c r="OGD1880" s="94"/>
      <c r="OGE1880" s="94"/>
      <c r="OGF1880" s="94"/>
      <c r="OGG1880" s="94"/>
      <c r="OGH1880" s="94"/>
      <c r="OGI1880" s="94"/>
      <c r="OGJ1880" s="94"/>
      <c r="OGK1880" s="94"/>
      <c r="OGL1880" s="94"/>
      <c r="OGM1880" s="94"/>
      <c r="OGN1880" s="94"/>
      <c r="OGO1880" s="94"/>
      <c r="OGP1880" s="94"/>
      <c r="OGQ1880" s="94"/>
      <c r="OGR1880" s="94"/>
      <c r="OGS1880" s="94"/>
      <c r="OGT1880" s="94"/>
      <c r="OGU1880" s="94"/>
      <c r="OGV1880" s="94"/>
      <c r="OGW1880" s="94"/>
      <c r="OGX1880" s="94"/>
      <c r="OGY1880" s="94"/>
      <c r="OGZ1880" s="94"/>
      <c r="OHA1880" s="94"/>
      <c r="OHB1880" s="94"/>
      <c r="OHC1880" s="94"/>
      <c r="OHD1880" s="94"/>
      <c r="OHE1880" s="94"/>
      <c r="OHF1880" s="94"/>
      <c r="OHG1880" s="94"/>
      <c r="OHH1880" s="94"/>
      <c r="OHI1880" s="94"/>
      <c r="OHJ1880" s="94"/>
      <c r="OHK1880" s="94"/>
      <c r="OHL1880" s="94"/>
      <c r="OHM1880" s="94"/>
      <c r="OHN1880" s="94"/>
      <c r="OHO1880" s="94"/>
      <c r="OHP1880" s="94"/>
      <c r="OHQ1880" s="94"/>
      <c r="OHR1880" s="94"/>
      <c r="OHS1880" s="94"/>
      <c r="OHT1880" s="94"/>
      <c r="OHU1880" s="94"/>
      <c r="OHV1880" s="94"/>
      <c r="OHW1880" s="94"/>
      <c r="OHX1880" s="94"/>
      <c r="OHY1880" s="94"/>
      <c r="OHZ1880" s="94"/>
      <c r="OIA1880" s="94"/>
      <c r="OIB1880" s="94"/>
      <c r="OIC1880" s="94"/>
      <c r="OID1880" s="94"/>
      <c r="OIE1880" s="94"/>
      <c r="OIF1880" s="94"/>
      <c r="OIG1880" s="94"/>
      <c r="OIH1880" s="94"/>
      <c r="OII1880" s="94"/>
      <c r="OIJ1880" s="94"/>
      <c r="OIK1880" s="94"/>
      <c r="OIL1880" s="94"/>
      <c r="OIM1880" s="94"/>
      <c r="OIN1880" s="94"/>
      <c r="OIO1880" s="94"/>
      <c r="OIP1880" s="94"/>
      <c r="OIQ1880" s="94"/>
      <c r="OIR1880" s="94"/>
      <c r="OIS1880" s="94"/>
      <c r="OIT1880" s="94"/>
      <c r="OIU1880" s="94"/>
      <c r="OIV1880" s="94"/>
      <c r="OIW1880" s="94"/>
      <c r="OIX1880" s="94"/>
      <c r="OIY1880" s="94"/>
      <c r="OIZ1880" s="94"/>
      <c r="OJA1880" s="94"/>
      <c r="OJB1880" s="94"/>
      <c r="OJC1880" s="94"/>
      <c r="OJD1880" s="94"/>
      <c r="OJE1880" s="94"/>
      <c r="OJF1880" s="94"/>
      <c r="OJG1880" s="94"/>
      <c r="OJH1880" s="94"/>
      <c r="OJI1880" s="94"/>
      <c r="OJJ1880" s="94"/>
      <c r="OJK1880" s="94"/>
      <c r="OJL1880" s="94"/>
      <c r="OJM1880" s="94"/>
      <c r="OJN1880" s="94"/>
      <c r="OJO1880" s="94"/>
      <c r="OJP1880" s="94"/>
      <c r="OJQ1880" s="94"/>
      <c r="OJR1880" s="94"/>
      <c r="OJS1880" s="94"/>
      <c r="OJT1880" s="94"/>
      <c r="OJU1880" s="94"/>
      <c r="OJV1880" s="94"/>
      <c r="OJW1880" s="94"/>
      <c r="OJX1880" s="94"/>
      <c r="OJY1880" s="94"/>
      <c r="OJZ1880" s="94"/>
      <c r="OKA1880" s="94"/>
      <c r="OKB1880" s="94"/>
      <c r="OKC1880" s="94"/>
      <c r="OKD1880" s="94"/>
      <c r="OKE1880" s="94"/>
      <c r="OKF1880" s="94"/>
      <c r="OKG1880" s="94"/>
      <c r="OKH1880" s="94"/>
      <c r="OKI1880" s="94"/>
      <c r="OKJ1880" s="94"/>
      <c r="OKK1880" s="94"/>
      <c r="OKL1880" s="94"/>
      <c r="OKM1880" s="94"/>
      <c r="OKN1880" s="94"/>
      <c r="OKO1880" s="94"/>
      <c r="OKP1880" s="94"/>
      <c r="OKQ1880" s="94"/>
      <c r="OKR1880" s="94"/>
      <c r="OKS1880" s="94"/>
      <c r="OKT1880" s="94"/>
      <c r="OKU1880" s="94"/>
      <c r="OKV1880" s="94"/>
      <c r="OKW1880" s="94"/>
      <c r="OKX1880" s="94"/>
      <c r="OKY1880" s="94"/>
      <c r="OKZ1880" s="94"/>
      <c r="OLA1880" s="94"/>
      <c r="OLB1880" s="94"/>
      <c r="OLC1880" s="94"/>
      <c r="OLD1880" s="94"/>
      <c r="OLE1880" s="94"/>
      <c r="OLF1880" s="94"/>
      <c r="OLG1880" s="94"/>
      <c r="OLH1880" s="94"/>
      <c r="OLI1880" s="94"/>
      <c r="OLJ1880" s="94"/>
      <c r="OLK1880" s="94"/>
      <c r="OLL1880" s="94"/>
      <c r="OLM1880" s="94"/>
      <c r="OLN1880" s="94"/>
      <c r="OLO1880" s="94"/>
      <c r="OLP1880" s="94"/>
      <c r="OLQ1880" s="94"/>
      <c r="OLR1880" s="94"/>
      <c r="OLS1880" s="94"/>
      <c r="OLT1880" s="94"/>
      <c r="OLU1880" s="94"/>
      <c r="OLV1880" s="94"/>
      <c r="OLW1880" s="94"/>
      <c r="OLX1880" s="94"/>
      <c r="OLY1880" s="94"/>
      <c r="OLZ1880" s="94"/>
      <c r="OMA1880" s="94"/>
      <c r="OMB1880" s="94"/>
      <c r="OMC1880" s="94"/>
      <c r="OMD1880" s="94"/>
      <c r="OME1880" s="94"/>
      <c r="OMF1880" s="94"/>
      <c r="OMG1880" s="94"/>
      <c r="OMH1880" s="94"/>
      <c r="OMI1880" s="94"/>
      <c r="OMJ1880" s="94"/>
      <c r="OMK1880" s="94"/>
      <c r="OML1880" s="94"/>
      <c r="OMM1880" s="94"/>
      <c r="OMN1880" s="94"/>
      <c r="OMO1880" s="94"/>
      <c r="OMP1880" s="94"/>
      <c r="OMQ1880" s="94"/>
      <c r="OMR1880" s="94"/>
      <c r="OMS1880" s="94"/>
      <c r="OMT1880" s="94"/>
      <c r="OMU1880" s="94"/>
      <c r="OMV1880" s="94"/>
      <c r="OMW1880" s="94"/>
      <c r="OMX1880" s="94"/>
      <c r="OMY1880" s="94"/>
      <c r="OMZ1880" s="94"/>
      <c r="ONA1880" s="94"/>
      <c r="ONB1880" s="94"/>
      <c r="ONC1880" s="94"/>
      <c r="OND1880" s="94"/>
      <c r="ONE1880" s="94"/>
      <c r="ONF1880" s="94"/>
      <c r="ONG1880" s="94"/>
      <c r="ONH1880" s="94"/>
      <c r="ONI1880" s="94"/>
      <c r="ONJ1880" s="94"/>
      <c r="ONK1880" s="94"/>
      <c r="ONL1880" s="94"/>
      <c r="ONM1880" s="94"/>
      <c r="ONN1880" s="94"/>
      <c r="ONO1880" s="94"/>
      <c r="ONP1880" s="94"/>
      <c r="ONQ1880" s="94"/>
      <c r="ONR1880" s="94"/>
      <c r="ONS1880" s="94"/>
      <c r="ONT1880" s="94"/>
      <c r="ONU1880" s="94"/>
      <c r="ONV1880" s="94"/>
      <c r="ONW1880" s="94"/>
      <c r="ONX1880" s="94"/>
      <c r="ONY1880" s="94"/>
      <c r="ONZ1880" s="94"/>
      <c r="OOA1880" s="94"/>
      <c r="OOB1880" s="94"/>
      <c r="OOC1880" s="94"/>
      <c r="OOD1880" s="94"/>
      <c r="OOE1880" s="94"/>
      <c r="OOF1880" s="94"/>
      <c r="OOG1880" s="94"/>
      <c r="OOH1880" s="94"/>
      <c r="OOI1880" s="94"/>
      <c r="OOJ1880" s="94"/>
      <c r="OOK1880" s="94"/>
      <c r="OOL1880" s="94"/>
      <c r="OOM1880" s="94"/>
      <c r="OON1880" s="94"/>
      <c r="OOO1880" s="94"/>
      <c r="OOP1880" s="94"/>
      <c r="OOQ1880" s="94"/>
      <c r="OOR1880" s="94"/>
      <c r="OOS1880" s="94"/>
      <c r="OOT1880" s="94"/>
      <c r="OOU1880" s="94"/>
      <c r="OOV1880" s="94"/>
      <c r="OOW1880" s="94"/>
      <c r="OOX1880" s="94"/>
      <c r="OOY1880" s="94"/>
      <c r="OOZ1880" s="94"/>
      <c r="OPA1880" s="94"/>
      <c r="OPB1880" s="94"/>
      <c r="OPC1880" s="94"/>
      <c r="OPD1880" s="94"/>
      <c r="OPE1880" s="94"/>
      <c r="OPF1880" s="94"/>
      <c r="OPG1880" s="94"/>
      <c r="OPH1880" s="94"/>
      <c r="OPI1880" s="94"/>
      <c r="OPJ1880" s="94"/>
      <c r="OPK1880" s="94"/>
      <c r="OPL1880" s="94"/>
      <c r="OPM1880" s="94"/>
      <c r="OPN1880" s="94"/>
      <c r="OPO1880" s="94"/>
      <c r="OPP1880" s="94"/>
      <c r="OPQ1880" s="94"/>
      <c r="OPR1880" s="94"/>
      <c r="OPS1880" s="94"/>
      <c r="OPT1880" s="94"/>
      <c r="OPU1880" s="94"/>
      <c r="OPV1880" s="94"/>
      <c r="OPW1880" s="94"/>
      <c r="OPX1880" s="94"/>
      <c r="OPY1880" s="94"/>
      <c r="OPZ1880" s="94"/>
      <c r="OQA1880" s="94"/>
      <c r="OQB1880" s="94"/>
      <c r="OQC1880" s="94"/>
      <c r="OQD1880" s="94"/>
      <c r="OQE1880" s="94"/>
      <c r="OQF1880" s="94"/>
      <c r="OQG1880" s="94"/>
      <c r="OQH1880" s="94"/>
      <c r="OQI1880" s="94"/>
      <c r="OQJ1880" s="94"/>
      <c r="OQK1880" s="94"/>
      <c r="OQL1880" s="94"/>
      <c r="OQM1880" s="94"/>
      <c r="OQN1880" s="94"/>
      <c r="OQO1880" s="94"/>
      <c r="OQP1880" s="94"/>
      <c r="OQQ1880" s="94"/>
      <c r="OQR1880" s="94"/>
      <c r="OQS1880" s="94"/>
      <c r="OQT1880" s="94"/>
      <c r="OQU1880" s="94"/>
      <c r="OQV1880" s="94"/>
      <c r="OQW1880" s="94"/>
      <c r="OQX1880" s="94"/>
      <c r="OQY1880" s="94"/>
      <c r="OQZ1880" s="94"/>
      <c r="ORA1880" s="94"/>
      <c r="ORB1880" s="94"/>
      <c r="ORC1880" s="94"/>
      <c r="ORD1880" s="94"/>
      <c r="ORE1880" s="94"/>
      <c r="ORF1880" s="94"/>
      <c r="ORG1880" s="94"/>
      <c r="ORH1880" s="94"/>
      <c r="ORI1880" s="94"/>
      <c r="ORJ1880" s="94"/>
      <c r="ORK1880" s="94"/>
      <c r="ORL1880" s="94"/>
      <c r="ORM1880" s="94"/>
      <c r="ORN1880" s="94"/>
      <c r="ORO1880" s="94"/>
      <c r="ORP1880" s="94"/>
      <c r="ORQ1880" s="94"/>
      <c r="ORR1880" s="94"/>
      <c r="ORS1880" s="94"/>
      <c r="ORT1880" s="94"/>
      <c r="ORU1880" s="94"/>
      <c r="ORV1880" s="94"/>
      <c r="ORW1880" s="94"/>
      <c r="ORX1880" s="94"/>
      <c r="ORY1880" s="94"/>
      <c r="ORZ1880" s="94"/>
      <c r="OSA1880" s="94"/>
      <c r="OSB1880" s="94"/>
      <c r="OSC1880" s="94"/>
      <c r="OSD1880" s="94"/>
      <c r="OSE1880" s="94"/>
      <c r="OSF1880" s="94"/>
      <c r="OSG1880" s="94"/>
      <c r="OSH1880" s="94"/>
      <c r="OSI1880" s="94"/>
      <c r="OSJ1880" s="94"/>
      <c r="OSK1880" s="94"/>
      <c r="OSL1880" s="94"/>
      <c r="OSM1880" s="94"/>
      <c r="OSN1880" s="94"/>
      <c r="OSO1880" s="94"/>
      <c r="OSP1880" s="94"/>
      <c r="OSQ1880" s="94"/>
      <c r="OSR1880" s="94"/>
      <c r="OSS1880" s="94"/>
      <c r="OST1880" s="94"/>
      <c r="OSU1880" s="94"/>
      <c r="OSV1880" s="94"/>
      <c r="OSW1880" s="94"/>
      <c r="OSX1880" s="94"/>
      <c r="OSY1880" s="94"/>
      <c r="OSZ1880" s="94"/>
      <c r="OTA1880" s="94"/>
      <c r="OTB1880" s="94"/>
      <c r="OTC1880" s="94"/>
      <c r="OTD1880" s="94"/>
      <c r="OTE1880" s="94"/>
      <c r="OTF1880" s="94"/>
      <c r="OTG1880" s="94"/>
      <c r="OTH1880" s="94"/>
      <c r="OTI1880" s="94"/>
      <c r="OTJ1880" s="94"/>
      <c r="OTK1880" s="94"/>
      <c r="OTL1880" s="94"/>
      <c r="OTM1880" s="94"/>
      <c r="OTN1880" s="94"/>
      <c r="OTO1880" s="94"/>
      <c r="OTP1880" s="94"/>
      <c r="OTQ1880" s="94"/>
      <c r="OTR1880" s="94"/>
      <c r="OTS1880" s="94"/>
      <c r="OTT1880" s="94"/>
      <c r="OTU1880" s="94"/>
      <c r="OTV1880" s="94"/>
      <c r="OTW1880" s="94"/>
      <c r="OTX1880" s="94"/>
      <c r="OTY1880" s="94"/>
      <c r="OTZ1880" s="94"/>
      <c r="OUA1880" s="94"/>
      <c r="OUB1880" s="94"/>
      <c r="OUC1880" s="94"/>
      <c r="OUD1880" s="94"/>
      <c r="OUE1880" s="94"/>
      <c r="OUF1880" s="94"/>
      <c r="OUG1880" s="94"/>
      <c r="OUH1880" s="94"/>
      <c r="OUI1880" s="94"/>
      <c r="OUJ1880" s="94"/>
      <c r="OUK1880" s="94"/>
      <c r="OUL1880" s="94"/>
      <c r="OUM1880" s="94"/>
      <c r="OUN1880" s="94"/>
      <c r="OUO1880" s="94"/>
      <c r="OUP1880" s="94"/>
      <c r="OUQ1880" s="94"/>
      <c r="OUR1880" s="94"/>
      <c r="OUS1880" s="94"/>
      <c r="OUT1880" s="94"/>
      <c r="OUU1880" s="94"/>
      <c r="OUV1880" s="94"/>
      <c r="OUW1880" s="94"/>
      <c r="OUX1880" s="94"/>
      <c r="OUY1880" s="94"/>
      <c r="OUZ1880" s="94"/>
      <c r="OVA1880" s="94"/>
      <c r="OVB1880" s="94"/>
      <c r="OVC1880" s="94"/>
      <c r="OVD1880" s="94"/>
      <c r="OVE1880" s="94"/>
      <c r="OVF1880" s="94"/>
      <c r="OVG1880" s="94"/>
      <c r="OVH1880" s="94"/>
      <c r="OVI1880" s="94"/>
      <c r="OVJ1880" s="94"/>
      <c r="OVK1880" s="94"/>
      <c r="OVL1880" s="94"/>
      <c r="OVM1880" s="94"/>
      <c r="OVN1880" s="94"/>
      <c r="OVO1880" s="94"/>
      <c r="OVP1880" s="94"/>
      <c r="OVQ1880" s="94"/>
      <c r="OVR1880" s="94"/>
      <c r="OVS1880" s="94"/>
      <c r="OVT1880" s="94"/>
      <c r="OVU1880" s="94"/>
      <c r="OVV1880" s="94"/>
      <c r="OVW1880" s="94"/>
      <c r="OVX1880" s="94"/>
      <c r="OVY1880" s="94"/>
      <c r="OVZ1880" s="94"/>
      <c r="OWA1880" s="94"/>
      <c r="OWB1880" s="94"/>
      <c r="OWC1880" s="94"/>
      <c r="OWD1880" s="94"/>
      <c r="OWE1880" s="94"/>
      <c r="OWF1880" s="94"/>
      <c r="OWG1880" s="94"/>
      <c r="OWH1880" s="94"/>
      <c r="OWI1880" s="94"/>
      <c r="OWJ1880" s="94"/>
      <c r="OWK1880" s="94"/>
      <c r="OWL1880" s="94"/>
      <c r="OWM1880" s="94"/>
      <c r="OWN1880" s="94"/>
      <c r="OWO1880" s="94"/>
      <c r="OWP1880" s="94"/>
      <c r="OWQ1880" s="94"/>
      <c r="OWR1880" s="94"/>
      <c r="OWS1880" s="94"/>
      <c r="OWT1880" s="94"/>
      <c r="OWU1880" s="94"/>
      <c r="OWV1880" s="94"/>
      <c r="OWW1880" s="94"/>
      <c r="OWX1880" s="94"/>
      <c r="OWY1880" s="94"/>
      <c r="OWZ1880" s="94"/>
      <c r="OXA1880" s="94"/>
      <c r="OXB1880" s="94"/>
      <c r="OXC1880" s="94"/>
      <c r="OXD1880" s="94"/>
      <c r="OXE1880" s="94"/>
      <c r="OXF1880" s="94"/>
      <c r="OXG1880" s="94"/>
      <c r="OXH1880" s="94"/>
      <c r="OXI1880" s="94"/>
      <c r="OXJ1880" s="94"/>
      <c r="OXK1880" s="94"/>
      <c r="OXL1880" s="94"/>
      <c r="OXM1880" s="94"/>
      <c r="OXN1880" s="94"/>
      <c r="OXO1880" s="94"/>
      <c r="OXP1880" s="94"/>
      <c r="OXQ1880" s="94"/>
      <c r="OXR1880" s="94"/>
      <c r="OXS1880" s="94"/>
      <c r="OXT1880" s="94"/>
      <c r="OXU1880" s="94"/>
      <c r="OXV1880" s="94"/>
      <c r="OXW1880" s="94"/>
      <c r="OXX1880" s="94"/>
      <c r="OXY1880" s="94"/>
      <c r="OXZ1880" s="94"/>
      <c r="OYA1880" s="94"/>
      <c r="OYB1880" s="94"/>
      <c r="OYC1880" s="94"/>
      <c r="OYD1880" s="94"/>
      <c r="OYE1880" s="94"/>
      <c r="OYF1880" s="94"/>
      <c r="OYG1880" s="94"/>
      <c r="OYH1880" s="94"/>
      <c r="OYI1880" s="94"/>
      <c r="OYJ1880" s="94"/>
      <c r="OYK1880" s="94"/>
      <c r="OYL1880" s="94"/>
      <c r="OYM1880" s="94"/>
      <c r="OYN1880" s="94"/>
      <c r="OYO1880" s="94"/>
      <c r="OYP1880" s="94"/>
      <c r="OYQ1880" s="94"/>
      <c r="OYR1880" s="94"/>
      <c r="OYS1880" s="94"/>
      <c r="OYT1880" s="94"/>
      <c r="OYU1880" s="94"/>
      <c r="OYV1880" s="94"/>
      <c r="OYW1880" s="94"/>
      <c r="OYX1880" s="94"/>
      <c r="OYY1880" s="94"/>
      <c r="OYZ1880" s="94"/>
      <c r="OZA1880" s="94"/>
      <c r="OZB1880" s="94"/>
      <c r="OZC1880" s="94"/>
      <c r="OZD1880" s="94"/>
      <c r="OZE1880" s="94"/>
      <c r="OZF1880" s="94"/>
      <c r="OZG1880" s="94"/>
      <c r="OZH1880" s="94"/>
      <c r="OZI1880" s="94"/>
      <c r="OZJ1880" s="94"/>
      <c r="OZK1880" s="94"/>
      <c r="OZL1880" s="94"/>
      <c r="OZM1880" s="94"/>
      <c r="OZN1880" s="94"/>
      <c r="OZO1880" s="94"/>
      <c r="OZP1880" s="94"/>
      <c r="OZQ1880" s="94"/>
      <c r="OZR1880" s="94"/>
      <c r="OZS1880" s="94"/>
      <c r="OZT1880" s="94"/>
      <c r="OZU1880" s="94"/>
      <c r="OZV1880" s="94"/>
      <c r="OZW1880" s="94"/>
      <c r="OZX1880" s="94"/>
      <c r="OZY1880" s="94"/>
      <c r="OZZ1880" s="94"/>
      <c r="PAA1880" s="94"/>
      <c r="PAB1880" s="94"/>
      <c r="PAC1880" s="94"/>
      <c r="PAD1880" s="94"/>
      <c r="PAE1880" s="94"/>
      <c r="PAF1880" s="94"/>
      <c r="PAG1880" s="94"/>
      <c r="PAH1880" s="94"/>
      <c r="PAI1880" s="94"/>
      <c r="PAJ1880" s="94"/>
      <c r="PAK1880" s="94"/>
      <c r="PAL1880" s="94"/>
      <c r="PAM1880" s="94"/>
      <c r="PAN1880" s="94"/>
      <c r="PAO1880" s="94"/>
      <c r="PAP1880" s="94"/>
      <c r="PAQ1880" s="94"/>
      <c r="PAR1880" s="94"/>
      <c r="PAS1880" s="94"/>
      <c r="PAT1880" s="94"/>
      <c r="PAU1880" s="94"/>
      <c r="PAV1880" s="94"/>
      <c r="PAW1880" s="94"/>
      <c r="PAX1880" s="94"/>
      <c r="PAY1880" s="94"/>
      <c r="PAZ1880" s="94"/>
      <c r="PBA1880" s="94"/>
      <c r="PBB1880" s="94"/>
      <c r="PBC1880" s="94"/>
      <c r="PBD1880" s="94"/>
      <c r="PBE1880" s="94"/>
      <c r="PBF1880" s="94"/>
      <c r="PBG1880" s="94"/>
      <c r="PBH1880" s="94"/>
      <c r="PBI1880" s="94"/>
      <c r="PBJ1880" s="94"/>
      <c r="PBK1880" s="94"/>
      <c r="PBL1880" s="94"/>
      <c r="PBM1880" s="94"/>
      <c r="PBN1880" s="94"/>
      <c r="PBO1880" s="94"/>
      <c r="PBP1880" s="94"/>
      <c r="PBQ1880" s="94"/>
      <c r="PBR1880" s="94"/>
      <c r="PBS1880" s="94"/>
      <c r="PBT1880" s="94"/>
      <c r="PBU1880" s="94"/>
      <c r="PBV1880" s="94"/>
      <c r="PBW1880" s="94"/>
      <c r="PBX1880" s="94"/>
      <c r="PBY1880" s="94"/>
      <c r="PBZ1880" s="94"/>
      <c r="PCA1880" s="94"/>
      <c r="PCB1880" s="94"/>
      <c r="PCC1880" s="94"/>
      <c r="PCD1880" s="94"/>
      <c r="PCE1880" s="94"/>
      <c r="PCF1880" s="94"/>
      <c r="PCG1880" s="94"/>
      <c r="PCH1880" s="94"/>
      <c r="PCI1880" s="94"/>
      <c r="PCJ1880" s="94"/>
      <c r="PCK1880" s="94"/>
      <c r="PCL1880" s="94"/>
      <c r="PCM1880" s="94"/>
      <c r="PCN1880" s="94"/>
      <c r="PCO1880" s="94"/>
      <c r="PCP1880" s="94"/>
      <c r="PCQ1880" s="94"/>
      <c r="PCR1880" s="94"/>
      <c r="PCS1880" s="94"/>
      <c r="PCT1880" s="94"/>
      <c r="PCU1880" s="94"/>
      <c r="PCV1880" s="94"/>
      <c r="PCW1880" s="94"/>
      <c r="PCX1880" s="94"/>
      <c r="PCY1880" s="94"/>
      <c r="PCZ1880" s="94"/>
      <c r="PDA1880" s="94"/>
      <c r="PDB1880" s="94"/>
      <c r="PDC1880" s="94"/>
      <c r="PDD1880" s="94"/>
      <c r="PDE1880" s="94"/>
      <c r="PDF1880" s="94"/>
      <c r="PDG1880" s="94"/>
      <c r="PDH1880" s="94"/>
      <c r="PDI1880" s="94"/>
      <c r="PDJ1880" s="94"/>
      <c r="PDK1880" s="94"/>
      <c r="PDL1880" s="94"/>
      <c r="PDM1880" s="94"/>
      <c r="PDN1880" s="94"/>
      <c r="PDO1880" s="94"/>
      <c r="PDP1880" s="94"/>
      <c r="PDQ1880" s="94"/>
      <c r="PDR1880" s="94"/>
      <c r="PDS1880" s="94"/>
      <c r="PDT1880" s="94"/>
      <c r="PDU1880" s="94"/>
      <c r="PDV1880" s="94"/>
      <c r="PDW1880" s="94"/>
      <c r="PDX1880" s="94"/>
      <c r="PDY1880" s="94"/>
      <c r="PDZ1880" s="94"/>
      <c r="PEA1880" s="94"/>
      <c r="PEB1880" s="94"/>
      <c r="PEC1880" s="94"/>
      <c r="PED1880" s="94"/>
      <c r="PEE1880" s="94"/>
      <c r="PEF1880" s="94"/>
      <c r="PEG1880" s="94"/>
      <c r="PEH1880" s="94"/>
      <c r="PEI1880" s="94"/>
      <c r="PEJ1880" s="94"/>
      <c r="PEK1880" s="94"/>
      <c r="PEL1880" s="94"/>
      <c r="PEM1880" s="94"/>
      <c r="PEN1880" s="94"/>
      <c r="PEO1880" s="94"/>
      <c r="PEP1880" s="94"/>
      <c r="PEQ1880" s="94"/>
      <c r="PER1880" s="94"/>
      <c r="PES1880" s="94"/>
      <c r="PET1880" s="94"/>
      <c r="PEU1880" s="94"/>
      <c r="PEV1880" s="94"/>
      <c r="PEW1880" s="94"/>
      <c r="PEX1880" s="94"/>
      <c r="PEY1880" s="94"/>
      <c r="PEZ1880" s="94"/>
      <c r="PFA1880" s="94"/>
      <c r="PFB1880" s="94"/>
      <c r="PFC1880" s="94"/>
      <c r="PFD1880" s="94"/>
      <c r="PFE1880" s="94"/>
      <c r="PFF1880" s="94"/>
      <c r="PFG1880" s="94"/>
      <c r="PFH1880" s="94"/>
      <c r="PFI1880" s="94"/>
      <c r="PFJ1880" s="94"/>
      <c r="PFK1880" s="94"/>
      <c r="PFL1880" s="94"/>
      <c r="PFM1880" s="94"/>
      <c r="PFN1880" s="94"/>
      <c r="PFO1880" s="94"/>
      <c r="PFP1880" s="94"/>
      <c r="PFQ1880" s="94"/>
      <c r="PFR1880" s="94"/>
      <c r="PFS1880" s="94"/>
      <c r="PFT1880" s="94"/>
      <c r="PFU1880" s="94"/>
      <c r="PFV1880" s="94"/>
      <c r="PFW1880" s="94"/>
      <c r="PFX1880" s="94"/>
      <c r="PFY1880" s="94"/>
      <c r="PFZ1880" s="94"/>
      <c r="PGA1880" s="94"/>
      <c r="PGB1880" s="94"/>
      <c r="PGC1880" s="94"/>
      <c r="PGD1880" s="94"/>
      <c r="PGE1880" s="94"/>
      <c r="PGF1880" s="94"/>
      <c r="PGG1880" s="94"/>
      <c r="PGH1880" s="94"/>
      <c r="PGI1880" s="94"/>
      <c r="PGJ1880" s="94"/>
      <c r="PGK1880" s="94"/>
      <c r="PGL1880" s="94"/>
      <c r="PGM1880" s="94"/>
      <c r="PGN1880" s="94"/>
      <c r="PGO1880" s="94"/>
      <c r="PGP1880" s="94"/>
      <c r="PGQ1880" s="94"/>
      <c r="PGR1880" s="94"/>
      <c r="PGS1880" s="94"/>
      <c r="PGT1880" s="94"/>
      <c r="PGU1880" s="94"/>
      <c r="PGV1880" s="94"/>
      <c r="PGW1880" s="94"/>
      <c r="PGX1880" s="94"/>
      <c r="PGY1880" s="94"/>
      <c r="PGZ1880" s="94"/>
      <c r="PHA1880" s="94"/>
      <c r="PHB1880" s="94"/>
      <c r="PHC1880" s="94"/>
      <c r="PHD1880" s="94"/>
      <c r="PHE1880" s="94"/>
      <c r="PHF1880" s="94"/>
      <c r="PHG1880" s="94"/>
      <c r="PHH1880" s="94"/>
      <c r="PHI1880" s="94"/>
      <c r="PHJ1880" s="94"/>
      <c r="PHK1880" s="94"/>
      <c r="PHL1880" s="94"/>
      <c r="PHM1880" s="94"/>
      <c r="PHN1880" s="94"/>
      <c r="PHO1880" s="94"/>
      <c r="PHP1880" s="94"/>
      <c r="PHQ1880" s="94"/>
      <c r="PHR1880" s="94"/>
      <c r="PHS1880" s="94"/>
      <c r="PHT1880" s="94"/>
      <c r="PHU1880" s="94"/>
      <c r="PHV1880" s="94"/>
      <c r="PHW1880" s="94"/>
      <c r="PHX1880" s="94"/>
      <c r="PHY1880" s="94"/>
      <c r="PHZ1880" s="94"/>
      <c r="PIA1880" s="94"/>
      <c r="PIB1880" s="94"/>
      <c r="PIC1880" s="94"/>
      <c r="PID1880" s="94"/>
      <c r="PIE1880" s="94"/>
      <c r="PIF1880" s="94"/>
      <c r="PIG1880" s="94"/>
      <c r="PIH1880" s="94"/>
      <c r="PII1880" s="94"/>
      <c r="PIJ1880" s="94"/>
      <c r="PIK1880" s="94"/>
      <c r="PIL1880" s="94"/>
      <c r="PIM1880" s="94"/>
      <c r="PIN1880" s="94"/>
      <c r="PIO1880" s="94"/>
      <c r="PIP1880" s="94"/>
      <c r="PIQ1880" s="94"/>
      <c r="PIR1880" s="94"/>
      <c r="PIS1880" s="94"/>
      <c r="PIT1880" s="94"/>
      <c r="PIU1880" s="94"/>
      <c r="PIV1880" s="94"/>
      <c r="PIW1880" s="94"/>
      <c r="PIX1880" s="94"/>
      <c r="PIY1880" s="94"/>
      <c r="PIZ1880" s="94"/>
      <c r="PJA1880" s="94"/>
      <c r="PJB1880" s="94"/>
      <c r="PJC1880" s="94"/>
      <c r="PJD1880" s="94"/>
      <c r="PJE1880" s="94"/>
      <c r="PJF1880" s="94"/>
      <c r="PJG1880" s="94"/>
      <c r="PJH1880" s="94"/>
      <c r="PJI1880" s="94"/>
      <c r="PJJ1880" s="94"/>
      <c r="PJK1880" s="94"/>
      <c r="PJL1880" s="94"/>
      <c r="PJM1880" s="94"/>
      <c r="PJN1880" s="94"/>
      <c r="PJO1880" s="94"/>
      <c r="PJP1880" s="94"/>
      <c r="PJQ1880" s="94"/>
      <c r="PJR1880" s="94"/>
      <c r="PJS1880" s="94"/>
      <c r="PJT1880" s="94"/>
      <c r="PJU1880" s="94"/>
      <c r="PJV1880" s="94"/>
      <c r="PJW1880" s="94"/>
      <c r="PJX1880" s="94"/>
      <c r="PJY1880" s="94"/>
      <c r="PJZ1880" s="94"/>
      <c r="PKA1880" s="94"/>
      <c r="PKB1880" s="94"/>
      <c r="PKC1880" s="94"/>
      <c r="PKD1880" s="94"/>
      <c r="PKE1880" s="94"/>
      <c r="PKF1880" s="94"/>
      <c r="PKG1880" s="94"/>
      <c r="PKH1880" s="94"/>
      <c r="PKI1880" s="94"/>
      <c r="PKJ1880" s="94"/>
      <c r="PKK1880" s="94"/>
      <c r="PKL1880" s="94"/>
      <c r="PKM1880" s="94"/>
      <c r="PKN1880" s="94"/>
      <c r="PKO1880" s="94"/>
      <c r="PKP1880" s="94"/>
      <c r="PKQ1880" s="94"/>
      <c r="PKR1880" s="94"/>
      <c r="PKS1880" s="94"/>
      <c r="PKT1880" s="94"/>
      <c r="PKU1880" s="94"/>
      <c r="PKV1880" s="94"/>
      <c r="PKW1880" s="94"/>
      <c r="PKX1880" s="94"/>
      <c r="PKY1880" s="94"/>
      <c r="PKZ1880" s="94"/>
      <c r="PLA1880" s="94"/>
      <c r="PLB1880" s="94"/>
      <c r="PLC1880" s="94"/>
      <c r="PLD1880" s="94"/>
      <c r="PLE1880" s="94"/>
      <c r="PLF1880" s="94"/>
      <c r="PLG1880" s="94"/>
      <c r="PLH1880" s="94"/>
      <c r="PLI1880" s="94"/>
      <c r="PLJ1880" s="94"/>
      <c r="PLK1880" s="94"/>
      <c r="PLL1880" s="94"/>
      <c r="PLM1880" s="94"/>
      <c r="PLN1880" s="94"/>
      <c r="PLO1880" s="94"/>
      <c r="PLP1880" s="94"/>
      <c r="PLQ1880" s="94"/>
      <c r="PLR1880" s="94"/>
      <c r="PLS1880" s="94"/>
      <c r="PLT1880" s="94"/>
      <c r="PLU1880" s="94"/>
      <c r="PLV1880" s="94"/>
      <c r="PLW1880" s="94"/>
      <c r="PLX1880" s="94"/>
      <c r="PLY1880" s="94"/>
      <c r="PLZ1880" s="94"/>
      <c r="PMA1880" s="94"/>
      <c r="PMB1880" s="94"/>
      <c r="PMC1880" s="94"/>
      <c r="PMD1880" s="94"/>
      <c r="PME1880" s="94"/>
      <c r="PMF1880" s="94"/>
      <c r="PMG1880" s="94"/>
      <c r="PMH1880" s="94"/>
      <c r="PMI1880" s="94"/>
      <c r="PMJ1880" s="94"/>
      <c r="PMK1880" s="94"/>
      <c r="PML1880" s="94"/>
      <c r="PMM1880" s="94"/>
      <c r="PMN1880" s="94"/>
      <c r="PMO1880" s="94"/>
      <c r="PMP1880" s="94"/>
      <c r="PMQ1880" s="94"/>
      <c r="PMR1880" s="94"/>
      <c r="PMS1880" s="94"/>
      <c r="PMT1880" s="94"/>
      <c r="PMU1880" s="94"/>
      <c r="PMV1880" s="94"/>
      <c r="PMW1880" s="94"/>
      <c r="PMX1880" s="94"/>
      <c r="PMY1880" s="94"/>
      <c r="PMZ1880" s="94"/>
      <c r="PNA1880" s="94"/>
      <c r="PNB1880" s="94"/>
      <c r="PNC1880" s="94"/>
      <c r="PND1880" s="94"/>
      <c r="PNE1880" s="94"/>
      <c r="PNF1880" s="94"/>
      <c r="PNG1880" s="94"/>
      <c r="PNH1880" s="94"/>
      <c r="PNI1880" s="94"/>
      <c r="PNJ1880" s="94"/>
      <c r="PNK1880" s="94"/>
      <c r="PNL1880" s="94"/>
      <c r="PNM1880" s="94"/>
      <c r="PNN1880" s="94"/>
      <c r="PNO1880" s="94"/>
      <c r="PNP1880" s="94"/>
      <c r="PNQ1880" s="94"/>
      <c r="PNR1880" s="94"/>
      <c r="PNS1880" s="94"/>
      <c r="PNT1880" s="94"/>
      <c r="PNU1880" s="94"/>
      <c r="PNV1880" s="94"/>
      <c r="PNW1880" s="94"/>
      <c r="PNX1880" s="94"/>
      <c r="PNY1880" s="94"/>
      <c r="PNZ1880" s="94"/>
      <c r="POA1880" s="94"/>
      <c r="POB1880" s="94"/>
      <c r="POC1880" s="94"/>
      <c r="POD1880" s="94"/>
      <c r="POE1880" s="94"/>
      <c r="POF1880" s="94"/>
      <c r="POG1880" s="94"/>
      <c r="POH1880" s="94"/>
      <c r="POI1880" s="94"/>
      <c r="POJ1880" s="94"/>
      <c r="POK1880" s="94"/>
      <c r="POL1880" s="94"/>
      <c r="POM1880" s="94"/>
      <c r="PON1880" s="94"/>
      <c r="POO1880" s="94"/>
      <c r="POP1880" s="94"/>
      <c r="POQ1880" s="94"/>
      <c r="POR1880" s="94"/>
      <c r="POS1880" s="94"/>
      <c r="POT1880" s="94"/>
      <c r="POU1880" s="94"/>
      <c r="POV1880" s="94"/>
      <c r="POW1880" s="94"/>
      <c r="POX1880" s="94"/>
      <c r="POY1880" s="94"/>
      <c r="POZ1880" s="94"/>
      <c r="PPA1880" s="94"/>
      <c r="PPB1880" s="94"/>
      <c r="PPC1880" s="94"/>
      <c r="PPD1880" s="94"/>
      <c r="PPE1880" s="94"/>
      <c r="PPF1880" s="94"/>
      <c r="PPG1880" s="94"/>
      <c r="PPH1880" s="94"/>
      <c r="PPI1880" s="94"/>
      <c r="PPJ1880" s="94"/>
      <c r="PPK1880" s="94"/>
      <c r="PPL1880" s="94"/>
      <c r="PPM1880" s="94"/>
      <c r="PPN1880" s="94"/>
      <c r="PPO1880" s="94"/>
      <c r="PPP1880" s="94"/>
      <c r="PPQ1880" s="94"/>
      <c r="PPR1880" s="94"/>
      <c r="PPS1880" s="94"/>
      <c r="PPT1880" s="94"/>
      <c r="PPU1880" s="94"/>
      <c r="PPV1880" s="94"/>
      <c r="PPW1880" s="94"/>
      <c r="PPX1880" s="94"/>
      <c r="PPY1880" s="94"/>
      <c r="PPZ1880" s="94"/>
      <c r="PQA1880" s="94"/>
      <c r="PQB1880" s="94"/>
      <c r="PQC1880" s="94"/>
      <c r="PQD1880" s="94"/>
      <c r="PQE1880" s="94"/>
      <c r="PQF1880" s="94"/>
      <c r="PQG1880" s="94"/>
      <c r="PQH1880" s="94"/>
      <c r="PQI1880" s="94"/>
      <c r="PQJ1880" s="94"/>
      <c r="PQK1880" s="94"/>
      <c r="PQL1880" s="94"/>
      <c r="PQM1880" s="94"/>
      <c r="PQN1880" s="94"/>
      <c r="PQO1880" s="94"/>
      <c r="PQP1880" s="94"/>
      <c r="PQQ1880" s="94"/>
      <c r="PQR1880" s="94"/>
      <c r="PQS1880" s="94"/>
      <c r="PQT1880" s="94"/>
      <c r="PQU1880" s="94"/>
      <c r="PQV1880" s="94"/>
      <c r="PQW1880" s="94"/>
      <c r="PQX1880" s="94"/>
      <c r="PQY1880" s="94"/>
      <c r="PQZ1880" s="94"/>
      <c r="PRA1880" s="94"/>
      <c r="PRB1880" s="94"/>
      <c r="PRC1880" s="94"/>
      <c r="PRD1880" s="94"/>
      <c r="PRE1880" s="94"/>
      <c r="PRF1880" s="94"/>
      <c r="PRG1880" s="94"/>
      <c r="PRH1880" s="94"/>
      <c r="PRI1880" s="94"/>
      <c r="PRJ1880" s="94"/>
      <c r="PRK1880" s="94"/>
      <c r="PRL1880" s="94"/>
      <c r="PRM1880" s="94"/>
      <c r="PRN1880" s="94"/>
      <c r="PRO1880" s="94"/>
      <c r="PRP1880" s="94"/>
      <c r="PRQ1880" s="94"/>
      <c r="PRR1880" s="94"/>
      <c r="PRS1880" s="94"/>
      <c r="PRT1880" s="94"/>
      <c r="PRU1880" s="94"/>
      <c r="PRV1880" s="94"/>
      <c r="PRW1880" s="94"/>
      <c r="PRX1880" s="94"/>
      <c r="PRY1880" s="94"/>
      <c r="PRZ1880" s="94"/>
      <c r="PSA1880" s="94"/>
      <c r="PSB1880" s="94"/>
      <c r="PSC1880" s="94"/>
      <c r="PSD1880" s="94"/>
      <c r="PSE1880" s="94"/>
      <c r="PSF1880" s="94"/>
      <c r="PSG1880" s="94"/>
      <c r="PSH1880" s="94"/>
      <c r="PSI1880" s="94"/>
      <c r="PSJ1880" s="94"/>
      <c r="PSK1880" s="94"/>
      <c r="PSL1880" s="94"/>
      <c r="PSM1880" s="94"/>
      <c r="PSN1880" s="94"/>
      <c r="PSO1880" s="94"/>
      <c r="PSP1880" s="94"/>
      <c r="PSQ1880" s="94"/>
      <c r="PSR1880" s="94"/>
      <c r="PSS1880" s="94"/>
      <c r="PST1880" s="94"/>
      <c r="PSU1880" s="94"/>
      <c r="PSV1880" s="94"/>
      <c r="PSW1880" s="94"/>
      <c r="PSX1880" s="94"/>
      <c r="PSY1880" s="94"/>
      <c r="PSZ1880" s="94"/>
      <c r="PTA1880" s="94"/>
      <c r="PTB1880" s="94"/>
      <c r="PTC1880" s="94"/>
      <c r="PTD1880" s="94"/>
      <c r="PTE1880" s="94"/>
      <c r="PTF1880" s="94"/>
      <c r="PTG1880" s="94"/>
      <c r="PTH1880" s="94"/>
      <c r="PTI1880" s="94"/>
      <c r="PTJ1880" s="94"/>
      <c r="PTK1880" s="94"/>
      <c r="PTL1880" s="94"/>
      <c r="PTM1880" s="94"/>
      <c r="PTN1880" s="94"/>
      <c r="PTO1880" s="94"/>
      <c r="PTP1880" s="94"/>
      <c r="PTQ1880" s="94"/>
      <c r="PTR1880" s="94"/>
      <c r="PTS1880" s="94"/>
      <c r="PTT1880" s="94"/>
      <c r="PTU1880" s="94"/>
      <c r="PTV1880" s="94"/>
      <c r="PTW1880" s="94"/>
      <c r="PTX1880" s="94"/>
      <c r="PTY1880" s="94"/>
      <c r="PTZ1880" s="94"/>
      <c r="PUA1880" s="94"/>
      <c r="PUB1880" s="94"/>
      <c r="PUC1880" s="94"/>
      <c r="PUD1880" s="94"/>
      <c r="PUE1880" s="94"/>
      <c r="PUF1880" s="94"/>
      <c r="PUG1880" s="94"/>
      <c r="PUH1880" s="94"/>
      <c r="PUI1880" s="94"/>
      <c r="PUJ1880" s="94"/>
      <c r="PUK1880" s="94"/>
      <c r="PUL1880" s="94"/>
      <c r="PUM1880" s="94"/>
      <c r="PUN1880" s="94"/>
      <c r="PUO1880" s="94"/>
      <c r="PUP1880" s="94"/>
      <c r="PUQ1880" s="94"/>
      <c r="PUR1880" s="94"/>
      <c r="PUS1880" s="94"/>
      <c r="PUT1880" s="94"/>
      <c r="PUU1880" s="94"/>
      <c r="PUV1880" s="94"/>
      <c r="PUW1880" s="94"/>
      <c r="PUX1880" s="94"/>
      <c r="PUY1880" s="94"/>
      <c r="PUZ1880" s="94"/>
      <c r="PVA1880" s="94"/>
      <c r="PVB1880" s="94"/>
      <c r="PVC1880" s="94"/>
      <c r="PVD1880" s="94"/>
      <c r="PVE1880" s="94"/>
      <c r="PVF1880" s="94"/>
      <c r="PVG1880" s="94"/>
      <c r="PVH1880" s="94"/>
      <c r="PVI1880" s="94"/>
      <c r="PVJ1880" s="94"/>
      <c r="PVK1880" s="94"/>
      <c r="PVL1880" s="94"/>
      <c r="PVM1880" s="94"/>
      <c r="PVN1880" s="94"/>
      <c r="PVO1880" s="94"/>
      <c r="PVP1880" s="94"/>
      <c r="PVQ1880" s="94"/>
      <c r="PVR1880" s="94"/>
      <c r="PVS1880" s="94"/>
      <c r="PVT1880" s="94"/>
      <c r="PVU1880" s="94"/>
      <c r="PVV1880" s="94"/>
      <c r="PVW1880" s="94"/>
      <c r="PVX1880" s="94"/>
      <c r="PVY1880" s="94"/>
      <c r="PVZ1880" s="94"/>
      <c r="PWA1880" s="94"/>
      <c r="PWB1880" s="94"/>
      <c r="PWC1880" s="94"/>
      <c r="PWD1880" s="94"/>
      <c r="PWE1880" s="94"/>
      <c r="PWF1880" s="94"/>
      <c r="PWG1880" s="94"/>
      <c r="PWH1880" s="94"/>
      <c r="PWI1880" s="94"/>
      <c r="PWJ1880" s="94"/>
      <c r="PWK1880" s="94"/>
      <c r="PWL1880" s="94"/>
      <c r="PWM1880" s="94"/>
      <c r="PWN1880" s="94"/>
      <c r="PWO1880" s="94"/>
      <c r="PWP1880" s="94"/>
      <c r="PWQ1880" s="94"/>
      <c r="PWR1880" s="94"/>
      <c r="PWS1880" s="94"/>
      <c r="PWT1880" s="94"/>
      <c r="PWU1880" s="94"/>
      <c r="PWV1880" s="94"/>
      <c r="PWW1880" s="94"/>
      <c r="PWX1880" s="94"/>
      <c r="PWY1880" s="94"/>
      <c r="PWZ1880" s="94"/>
      <c r="PXA1880" s="94"/>
      <c r="PXB1880" s="94"/>
      <c r="PXC1880" s="94"/>
      <c r="PXD1880" s="94"/>
      <c r="PXE1880" s="94"/>
      <c r="PXF1880" s="94"/>
      <c r="PXG1880" s="94"/>
      <c r="PXH1880" s="94"/>
      <c r="PXI1880" s="94"/>
      <c r="PXJ1880" s="94"/>
      <c r="PXK1880" s="94"/>
      <c r="PXL1880" s="94"/>
      <c r="PXM1880" s="94"/>
      <c r="PXN1880" s="94"/>
      <c r="PXO1880" s="94"/>
      <c r="PXP1880" s="94"/>
      <c r="PXQ1880" s="94"/>
      <c r="PXR1880" s="94"/>
      <c r="PXS1880" s="94"/>
      <c r="PXT1880" s="94"/>
      <c r="PXU1880" s="94"/>
      <c r="PXV1880" s="94"/>
      <c r="PXW1880" s="94"/>
      <c r="PXX1880" s="94"/>
      <c r="PXY1880" s="94"/>
      <c r="PXZ1880" s="94"/>
      <c r="PYA1880" s="94"/>
      <c r="PYB1880" s="94"/>
      <c r="PYC1880" s="94"/>
      <c r="PYD1880" s="94"/>
      <c r="PYE1880" s="94"/>
      <c r="PYF1880" s="94"/>
      <c r="PYG1880" s="94"/>
      <c r="PYH1880" s="94"/>
      <c r="PYI1880" s="94"/>
      <c r="PYJ1880" s="94"/>
      <c r="PYK1880" s="94"/>
      <c r="PYL1880" s="94"/>
      <c r="PYM1880" s="94"/>
      <c r="PYN1880" s="94"/>
      <c r="PYO1880" s="94"/>
      <c r="PYP1880" s="94"/>
      <c r="PYQ1880" s="94"/>
      <c r="PYR1880" s="94"/>
      <c r="PYS1880" s="94"/>
      <c r="PYT1880" s="94"/>
      <c r="PYU1880" s="94"/>
      <c r="PYV1880" s="94"/>
      <c r="PYW1880" s="94"/>
      <c r="PYX1880" s="94"/>
      <c r="PYY1880" s="94"/>
      <c r="PYZ1880" s="94"/>
      <c r="PZA1880" s="94"/>
      <c r="PZB1880" s="94"/>
      <c r="PZC1880" s="94"/>
      <c r="PZD1880" s="94"/>
      <c r="PZE1880" s="94"/>
      <c r="PZF1880" s="94"/>
      <c r="PZG1880" s="94"/>
      <c r="PZH1880" s="94"/>
      <c r="PZI1880" s="94"/>
      <c r="PZJ1880" s="94"/>
      <c r="PZK1880" s="94"/>
      <c r="PZL1880" s="94"/>
      <c r="PZM1880" s="94"/>
      <c r="PZN1880" s="94"/>
      <c r="PZO1880" s="94"/>
      <c r="PZP1880" s="94"/>
      <c r="PZQ1880" s="94"/>
      <c r="PZR1880" s="94"/>
      <c r="PZS1880" s="94"/>
      <c r="PZT1880" s="94"/>
      <c r="PZU1880" s="94"/>
      <c r="PZV1880" s="94"/>
      <c r="PZW1880" s="94"/>
      <c r="PZX1880" s="94"/>
      <c r="PZY1880" s="94"/>
      <c r="PZZ1880" s="94"/>
      <c r="QAA1880" s="94"/>
      <c r="QAB1880" s="94"/>
      <c r="QAC1880" s="94"/>
      <c r="QAD1880" s="94"/>
      <c r="QAE1880" s="94"/>
      <c r="QAF1880" s="94"/>
      <c r="QAG1880" s="94"/>
      <c r="QAH1880" s="94"/>
      <c r="QAI1880" s="94"/>
      <c r="QAJ1880" s="94"/>
      <c r="QAK1880" s="94"/>
      <c r="QAL1880" s="94"/>
      <c r="QAM1880" s="94"/>
      <c r="QAN1880" s="94"/>
      <c r="QAO1880" s="94"/>
      <c r="QAP1880" s="94"/>
      <c r="QAQ1880" s="94"/>
      <c r="QAR1880" s="94"/>
      <c r="QAS1880" s="94"/>
      <c r="QAT1880" s="94"/>
      <c r="QAU1880" s="94"/>
      <c r="QAV1880" s="94"/>
      <c r="QAW1880" s="94"/>
      <c r="QAX1880" s="94"/>
      <c r="QAY1880" s="94"/>
      <c r="QAZ1880" s="94"/>
      <c r="QBA1880" s="94"/>
      <c r="QBB1880" s="94"/>
      <c r="QBC1880" s="94"/>
      <c r="QBD1880" s="94"/>
      <c r="QBE1880" s="94"/>
      <c r="QBF1880" s="94"/>
      <c r="QBG1880" s="94"/>
      <c r="QBH1880" s="94"/>
      <c r="QBI1880" s="94"/>
      <c r="QBJ1880" s="94"/>
      <c r="QBK1880" s="94"/>
      <c r="QBL1880" s="94"/>
      <c r="QBM1880" s="94"/>
      <c r="QBN1880" s="94"/>
      <c r="QBO1880" s="94"/>
      <c r="QBP1880" s="94"/>
      <c r="QBQ1880" s="94"/>
      <c r="QBR1880" s="94"/>
      <c r="QBS1880" s="94"/>
      <c r="QBT1880" s="94"/>
      <c r="QBU1880" s="94"/>
      <c r="QBV1880" s="94"/>
      <c r="QBW1880" s="94"/>
      <c r="QBX1880" s="94"/>
      <c r="QBY1880" s="94"/>
      <c r="QBZ1880" s="94"/>
      <c r="QCA1880" s="94"/>
      <c r="QCB1880" s="94"/>
      <c r="QCC1880" s="94"/>
      <c r="QCD1880" s="94"/>
      <c r="QCE1880" s="94"/>
      <c r="QCF1880" s="94"/>
      <c r="QCG1880" s="94"/>
      <c r="QCH1880" s="94"/>
      <c r="QCI1880" s="94"/>
      <c r="QCJ1880" s="94"/>
      <c r="QCK1880" s="94"/>
      <c r="QCL1880" s="94"/>
      <c r="QCM1880" s="94"/>
      <c r="QCN1880" s="94"/>
      <c r="QCO1880" s="94"/>
      <c r="QCP1880" s="94"/>
      <c r="QCQ1880" s="94"/>
      <c r="QCR1880" s="94"/>
      <c r="QCS1880" s="94"/>
      <c r="QCT1880" s="94"/>
      <c r="QCU1880" s="94"/>
      <c r="QCV1880" s="94"/>
      <c r="QCW1880" s="94"/>
      <c r="QCX1880" s="94"/>
      <c r="QCY1880" s="94"/>
      <c r="QCZ1880" s="94"/>
      <c r="QDA1880" s="94"/>
      <c r="QDB1880" s="94"/>
      <c r="QDC1880" s="94"/>
      <c r="QDD1880" s="94"/>
      <c r="QDE1880" s="94"/>
      <c r="QDF1880" s="94"/>
      <c r="QDG1880" s="94"/>
      <c r="QDH1880" s="94"/>
      <c r="QDI1880" s="94"/>
      <c r="QDJ1880" s="94"/>
      <c r="QDK1880" s="94"/>
      <c r="QDL1880" s="94"/>
      <c r="QDM1880" s="94"/>
      <c r="QDN1880" s="94"/>
      <c r="QDO1880" s="94"/>
      <c r="QDP1880" s="94"/>
      <c r="QDQ1880" s="94"/>
      <c r="QDR1880" s="94"/>
      <c r="QDS1880" s="94"/>
      <c r="QDT1880" s="94"/>
      <c r="QDU1880" s="94"/>
      <c r="QDV1880" s="94"/>
      <c r="QDW1880" s="94"/>
      <c r="QDX1880" s="94"/>
      <c r="QDY1880" s="94"/>
      <c r="QDZ1880" s="94"/>
      <c r="QEA1880" s="94"/>
      <c r="QEB1880" s="94"/>
      <c r="QEC1880" s="94"/>
      <c r="QED1880" s="94"/>
      <c r="QEE1880" s="94"/>
      <c r="QEF1880" s="94"/>
      <c r="QEG1880" s="94"/>
      <c r="QEH1880" s="94"/>
      <c r="QEI1880" s="94"/>
      <c r="QEJ1880" s="94"/>
      <c r="QEK1880" s="94"/>
      <c r="QEL1880" s="94"/>
      <c r="QEM1880" s="94"/>
      <c r="QEN1880" s="94"/>
      <c r="QEO1880" s="94"/>
      <c r="QEP1880" s="94"/>
      <c r="QEQ1880" s="94"/>
      <c r="QER1880" s="94"/>
      <c r="QES1880" s="94"/>
      <c r="QET1880" s="94"/>
      <c r="QEU1880" s="94"/>
      <c r="QEV1880" s="94"/>
      <c r="QEW1880" s="94"/>
      <c r="QEX1880" s="94"/>
      <c r="QEY1880" s="94"/>
      <c r="QEZ1880" s="94"/>
      <c r="QFA1880" s="94"/>
      <c r="QFB1880" s="94"/>
      <c r="QFC1880" s="94"/>
      <c r="QFD1880" s="94"/>
      <c r="QFE1880" s="94"/>
      <c r="QFF1880" s="94"/>
      <c r="QFG1880" s="94"/>
      <c r="QFH1880" s="94"/>
      <c r="QFI1880" s="94"/>
      <c r="QFJ1880" s="94"/>
      <c r="QFK1880" s="94"/>
      <c r="QFL1880" s="94"/>
      <c r="QFM1880" s="94"/>
      <c r="QFN1880" s="94"/>
      <c r="QFO1880" s="94"/>
      <c r="QFP1880" s="94"/>
      <c r="QFQ1880" s="94"/>
      <c r="QFR1880" s="94"/>
      <c r="QFS1880" s="94"/>
      <c r="QFT1880" s="94"/>
      <c r="QFU1880" s="94"/>
      <c r="QFV1880" s="94"/>
      <c r="QFW1880" s="94"/>
      <c r="QFX1880" s="94"/>
      <c r="QFY1880" s="94"/>
      <c r="QFZ1880" s="94"/>
      <c r="QGA1880" s="94"/>
      <c r="QGB1880" s="94"/>
      <c r="QGC1880" s="94"/>
      <c r="QGD1880" s="94"/>
      <c r="QGE1880" s="94"/>
      <c r="QGF1880" s="94"/>
      <c r="QGG1880" s="94"/>
      <c r="QGH1880" s="94"/>
      <c r="QGI1880" s="94"/>
      <c r="QGJ1880" s="94"/>
      <c r="QGK1880" s="94"/>
      <c r="QGL1880" s="94"/>
      <c r="QGM1880" s="94"/>
      <c r="QGN1880" s="94"/>
      <c r="QGO1880" s="94"/>
      <c r="QGP1880" s="94"/>
      <c r="QGQ1880" s="94"/>
      <c r="QGR1880" s="94"/>
      <c r="QGS1880" s="94"/>
      <c r="QGT1880" s="94"/>
      <c r="QGU1880" s="94"/>
      <c r="QGV1880" s="94"/>
      <c r="QGW1880" s="94"/>
      <c r="QGX1880" s="94"/>
      <c r="QGY1880" s="94"/>
      <c r="QGZ1880" s="94"/>
      <c r="QHA1880" s="94"/>
      <c r="QHB1880" s="94"/>
      <c r="QHC1880" s="94"/>
      <c r="QHD1880" s="94"/>
      <c r="QHE1880" s="94"/>
      <c r="QHF1880" s="94"/>
      <c r="QHG1880" s="94"/>
      <c r="QHH1880" s="94"/>
      <c r="QHI1880" s="94"/>
      <c r="QHJ1880" s="94"/>
      <c r="QHK1880" s="94"/>
      <c r="QHL1880" s="94"/>
      <c r="QHM1880" s="94"/>
      <c r="QHN1880" s="94"/>
      <c r="QHO1880" s="94"/>
      <c r="QHP1880" s="94"/>
      <c r="QHQ1880" s="94"/>
      <c r="QHR1880" s="94"/>
      <c r="QHS1880" s="94"/>
      <c r="QHT1880" s="94"/>
      <c r="QHU1880" s="94"/>
      <c r="QHV1880" s="94"/>
      <c r="QHW1880" s="94"/>
      <c r="QHX1880" s="94"/>
      <c r="QHY1880" s="94"/>
      <c r="QHZ1880" s="94"/>
      <c r="QIA1880" s="94"/>
      <c r="QIB1880" s="94"/>
      <c r="QIC1880" s="94"/>
      <c r="QID1880" s="94"/>
      <c r="QIE1880" s="94"/>
      <c r="QIF1880" s="94"/>
      <c r="QIG1880" s="94"/>
      <c r="QIH1880" s="94"/>
      <c r="QII1880" s="94"/>
      <c r="QIJ1880" s="94"/>
      <c r="QIK1880" s="94"/>
      <c r="QIL1880" s="94"/>
      <c r="QIM1880" s="94"/>
      <c r="QIN1880" s="94"/>
      <c r="QIO1880" s="94"/>
      <c r="QIP1880" s="94"/>
      <c r="QIQ1880" s="94"/>
      <c r="QIR1880" s="94"/>
      <c r="QIS1880" s="94"/>
      <c r="QIT1880" s="94"/>
      <c r="QIU1880" s="94"/>
      <c r="QIV1880" s="94"/>
      <c r="QIW1880" s="94"/>
      <c r="QIX1880" s="94"/>
      <c r="QIY1880" s="94"/>
      <c r="QIZ1880" s="94"/>
      <c r="QJA1880" s="94"/>
      <c r="QJB1880" s="94"/>
      <c r="QJC1880" s="94"/>
      <c r="QJD1880" s="94"/>
      <c r="QJE1880" s="94"/>
      <c r="QJF1880" s="94"/>
      <c r="QJG1880" s="94"/>
      <c r="QJH1880" s="94"/>
      <c r="QJI1880" s="94"/>
      <c r="QJJ1880" s="94"/>
      <c r="QJK1880" s="94"/>
      <c r="QJL1880" s="94"/>
      <c r="QJM1880" s="94"/>
      <c r="QJN1880" s="94"/>
      <c r="QJO1880" s="94"/>
      <c r="QJP1880" s="94"/>
      <c r="QJQ1880" s="94"/>
      <c r="QJR1880" s="94"/>
      <c r="QJS1880" s="94"/>
      <c r="QJT1880" s="94"/>
      <c r="QJU1880" s="94"/>
      <c r="QJV1880" s="94"/>
      <c r="QJW1880" s="94"/>
      <c r="QJX1880" s="94"/>
      <c r="QJY1880" s="94"/>
      <c r="QJZ1880" s="94"/>
      <c r="QKA1880" s="94"/>
      <c r="QKB1880" s="94"/>
      <c r="QKC1880" s="94"/>
      <c r="QKD1880" s="94"/>
      <c r="QKE1880" s="94"/>
      <c r="QKF1880" s="94"/>
      <c r="QKG1880" s="94"/>
      <c r="QKH1880" s="94"/>
      <c r="QKI1880" s="94"/>
      <c r="QKJ1880" s="94"/>
      <c r="QKK1880" s="94"/>
      <c r="QKL1880" s="94"/>
      <c r="QKM1880" s="94"/>
      <c r="QKN1880" s="94"/>
      <c r="QKO1880" s="94"/>
      <c r="QKP1880" s="94"/>
      <c r="QKQ1880" s="94"/>
      <c r="QKR1880" s="94"/>
      <c r="QKS1880" s="94"/>
      <c r="QKT1880" s="94"/>
      <c r="QKU1880" s="94"/>
      <c r="QKV1880" s="94"/>
      <c r="QKW1880" s="94"/>
      <c r="QKX1880" s="94"/>
      <c r="QKY1880" s="94"/>
      <c r="QKZ1880" s="94"/>
      <c r="QLA1880" s="94"/>
      <c r="QLB1880" s="94"/>
      <c r="QLC1880" s="94"/>
      <c r="QLD1880" s="94"/>
      <c r="QLE1880" s="94"/>
      <c r="QLF1880" s="94"/>
      <c r="QLG1880" s="94"/>
      <c r="QLH1880" s="94"/>
      <c r="QLI1880" s="94"/>
      <c r="QLJ1880" s="94"/>
      <c r="QLK1880" s="94"/>
      <c r="QLL1880" s="94"/>
      <c r="QLM1880" s="94"/>
      <c r="QLN1880" s="94"/>
      <c r="QLO1880" s="94"/>
      <c r="QLP1880" s="94"/>
      <c r="QLQ1880" s="94"/>
      <c r="QLR1880" s="94"/>
      <c r="QLS1880" s="94"/>
      <c r="QLT1880" s="94"/>
      <c r="QLU1880" s="94"/>
      <c r="QLV1880" s="94"/>
      <c r="QLW1880" s="94"/>
      <c r="QLX1880" s="94"/>
      <c r="QLY1880" s="94"/>
      <c r="QLZ1880" s="94"/>
      <c r="QMA1880" s="94"/>
      <c r="QMB1880" s="94"/>
      <c r="QMC1880" s="94"/>
      <c r="QMD1880" s="94"/>
      <c r="QME1880" s="94"/>
      <c r="QMF1880" s="94"/>
      <c r="QMG1880" s="94"/>
      <c r="QMH1880" s="94"/>
      <c r="QMI1880" s="94"/>
      <c r="QMJ1880" s="94"/>
      <c r="QMK1880" s="94"/>
      <c r="QML1880" s="94"/>
      <c r="QMM1880" s="94"/>
      <c r="QMN1880" s="94"/>
      <c r="QMO1880" s="94"/>
      <c r="QMP1880" s="94"/>
      <c r="QMQ1880" s="94"/>
      <c r="QMR1880" s="94"/>
      <c r="QMS1880" s="94"/>
      <c r="QMT1880" s="94"/>
      <c r="QMU1880" s="94"/>
      <c r="QMV1880" s="94"/>
      <c r="QMW1880" s="94"/>
      <c r="QMX1880" s="94"/>
      <c r="QMY1880" s="94"/>
      <c r="QMZ1880" s="94"/>
      <c r="QNA1880" s="94"/>
      <c r="QNB1880" s="94"/>
      <c r="QNC1880" s="94"/>
      <c r="QND1880" s="94"/>
      <c r="QNE1880" s="94"/>
      <c r="QNF1880" s="94"/>
      <c r="QNG1880" s="94"/>
      <c r="QNH1880" s="94"/>
      <c r="QNI1880" s="94"/>
      <c r="QNJ1880" s="94"/>
      <c r="QNK1880" s="94"/>
      <c r="QNL1880" s="94"/>
      <c r="QNM1880" s="94"/>
      <c r="QNN1880" s="94"/>
      <c r="QNO1880" s="94"/>
      <c r="QNP1880" s="94"/>
      <c r="QNQ1880" s="94"/>
      <c r="QNR1880" s="94"/>
      <c r="QNS1880" s="94"/>
      <c r="QNT1880" s="94"/>
      <c r="QNU1880" s="94"/>
      <c r="QNV1880" s="94"/>
      <c r="QNW1880" s="94"/>
      <c r="QNX1880" s="94"/>
      <c r="QNY1880" s="94"/>
      <c r="QNZ1880" s="94"/>
      <c r="QOA1880" s="94"/>
      <c r="QOB1880" s="94"/>
      <c r="QOC1880" s="94"/>
      <c r="QOD1880" s="94"/>
      <c r="QOE1880" s="94"/>
      <c r="QOF1880" s="94"/>
      <c r="QOG1880" s="94"/>
      <c r="QOH1880" s="94"/>
      <c r="QOI1880" s="94"/>
      <c r="QOJ1880" s="94"/>
      <c r="QOK1880" s="94"/>
      <c r="QOL1880" s="94"/>
      <c r="QOM1880" s="94"/>
      <c r="QON1880" s="94"/>
      <c r="QOO1880" s="94"/>
      <c r="QOP1880" s="94"/>
      <c r="QOQ1880" s="94"/>
      <c r="QOR1880" s="94"/>
      <c r="QOS1880" s="94"/>
      <c r="QOT1880" s="94"/>
      <c r="QOU1880" s="94"/>
      <c r="QOV1880" s="94"/>
      <c r="QOW1880" s="94"/>
      <c r="QOX1880" s="94"/>
      <c r="QOY1880" s="94"/>
      <c r="QOZ1880" s="94"/>
      <c r="QPA1880" s="94"/>
      <c r="QPB1880" s="94"/>
      <c r="QPC1880" s="94"/>
      <c r="QPD1880" s="94"/>
      <c r="QPE1880" s="94"/>
      <c r="QPF1880" s="94"/>
      <c r="QPG1880" s="94"/>
      <c r="QPH1880" s="94"/>
      <c r="QPI1880" s="94"/>
      <c r="QPJ1880" s="94"/>
      <c r="QPK1880" s="94"/>
      <c r="QPL1880" s="94"/>
      <c r="QPM1880" s="94"/>
      <c r="QPN1880" s="94"/>
      <c r="QPO1880" s="94"/>
      <c r="QPP1880" s="94"/>
      <c r="QPQ1880" s="94"/>
      <c r="QPR1880" s="94"/>
      <c r="QPS1880" s="94"/>
      <c r="QPT1880" s="94"/>
      <c r="QPU1880" s="94"/>
      <c r="QPV1880" s="94"/>
      <c r="QPW1880" s="94"/>
      <c r="QPX1880" s="94"/>
      <c r="QPY1880" s="94"/>
      <c r="QPZ1880" s="94"/>
      <c r="QQA1880" s="94"/>
      <c r="QQB1880" s="94"/>
      <c r="QQC1880" s="94"/>
      <c r="QQD1880" s="94"/>
      <c r="QQE1880" s="94"/>
      <c r="QQF1880" s="94"/>
      <c r="QQG1880" s="94"/>
      <c r="QQH1880" s="94"/>
      <c r="QQI1880" s="94"/>
      <c r="QQJ1880" s="94"/>
      <c r="QQK1880" s="94"/>
      <c r="QQL1880" s="94"/>
      <c r="QQM1880" s="94"/>
      <c r="QQN1880" s="94"/>
      <c r="QQO1880" s="94"/>
      <c r="QQP1880" s="94"/>
      <c r="QQQ1880" s="94"/>
      <c r="QQR1880" s="94"/>
      <c r="QQS1880" s="94"/>
      <c r="QQT1880" s="94"/>
      <c r="QQU1880" s="94"/>
      <c r="QQV1880" s="94"/>
      <c r="QQW1880" s="94"/>
      <c r="QQX1880" s="94"/>
      <c r="QQY1880" s="94"/>
      <c r="QQZ1880" s="94"/>
      <c r="QRA1880" s="94"/>
      <c r="QRB1880" s="94"/>
      <c r="QRC1880" s="94"/>
      <c r="QRD1880" s="94"/>
      <c r="QRE1880" s="94"/>
      <c r="QRF1880" s="94"/>
      <c r="QRG1880" s="94"/>
      <c r="QRH1880" s="94"/>
      <c r="QRI1880" s="94"/>
      <c r="QRJ1880" s="94"/>
      <c r="QRK1880" s="94"/>
      <c r="QRL1880" s="94"/>
      <c r="QRM1880" s="94"/>
      <c r="QRN1880" s="94"/>
      <c r="QRO1880" s="94"/>
      <c r="QRP1880" s="94"/>
      <c r="QRQ1880" s="94"/>
      <c r="QRR1880" s="94"/>
      <c r="QRS1880" s="94"/>
      <c r="QRT1880" s="94"/>
      <c r="QRU1880" s="94"/>
      <c r="QRV1880" s="94"/>
      <c r="QRW1880" s="94"/>
      <c r="QRX1880" s="94"/>
      <c r="QRY1880" s="94"/>
      <c r="QRZ1880" s="94"/>
      <c r="QSA1880" s="94"/>
      <c r="QSB1880" s="94"/>
      <c r="QSC1880" s="94"/>
      <c r="QSD1880" s="94"/>
      <c r="QSE1880" s="94"/>
      <c r="QSF1880" s="94"/>
      <c r="QSG1880" s="94"/>
      <c r="QSH1880" s="94"/>
      <c r="QSI1880" s="94"/>
      <c r="QSJ1880" s="94"/>
      <c r="QSK1880" s="94"/>
      <c r="QSL1880" s="94"/>
      <c r="QSM1880" s="94"/>
      <c r="QSN1880" s="94"/>
      <c r="QSO1880" s="94"/>
      <c r="QSP1880" s="94"/>
      <c r="QSQ1880" s="94"/>
      <c r="QSR1880" s="94"/>
      <c r="QSS1880" s="94"/>
      <c r="QST1880" s="94"/>
      <c r="QSU1880" s="94"/>
      <c r="QSV1880" s="94"/>
      <c r="QSW1880" s="94"/>
      <c r="QSX1880" s="94"/>
      <c r="QSY1880" s="94"/>
      <c r="QSZ1880" s="94"/>
      <c r="QTA1880" s="94"/>
      <c r="QTB1880" s="94"/>
      <c r="QTC1880" s="94"/>
      <c r="QTD1880" s="94"/>
      <c r="QTE1880" s="94"/>
      <c r="QTF1880" s="94"/>
      <c r="QTG1880" s="94"/>
      <c r="QTH1880" s="94"/>
      <c r="QTI1880" s="94"/>
      <c r="QTJ1880" s="94"/>
      <c r="QTK1880" s="94"/>
      <c r="QTL1880" s="94"/>
      <c r="QTM1880" s="94"/>
      <c r="QTN1880" s="94"/>
      <c r="QTO1880" s="94"/>
      <c r="QTP1880" s="94"/>
      <c r="QTQ1880" s="94"/>
      <c r="QTR1880" s="94"/>
      <c r="QTS1880" s="94"/>
      <c r="QTT1880" s="94"/>
      <c r="QTU1880" s="94"/>
      <c r="QTV1880" s="94"/>
      <c r="QTW1880" s="94"/>
      <c r="QTX1880" s="94"/>
      <c r="QTY1880" s="94"/>
      <c r="QTZ1880" s="94"/>
      <c r="QUA1880" s="94"/>
      <c r="QUB1880" s="94"/>
      <c r="QUC1880" s="94"/>
      <c r="QUD1880" s="94"/>
      <c r="QUE1880" s="94"/>
      <c r="QUF1880" s="94"/>
      <c r="QUG1880" s="94"/>
      <c r="QUH1880" s="94"/>
      <c r="QUI1880" s="94"/>
      <c r="QUJ1880" s="94"/>
      <c r="QUK1880" s="94"/>
      <c r="QUL1880" s="94"/>
      <c r="QUM1880" s="94"/>
      <c r="QUN1880" s="94"/>
      <c r="QUO1880" s="94"/>
      <c r="QUP1880" s="94"/>
      <c r="QUQ1880" s="94"/>
      <c r="QUR1880" s="94"/>
      <c r="QUS1880" s="94"/>
      <c r="QUT1880" s="94"/>
      <c r="QUU1880" s="94"/>
      <c r="QUV1880" s="94"/>
      <c r="QUW1880" s="94"/>
      <c r="QUX1880" s="94"/>
      <c r="QUY1880" s="94"/>
      <c r="QUZ1880" s="94"/>
      <c r="QVA1880" s="94"/>
      <c r="QVB1880" s="94"/>
      <c r="QVC1880" s="94"/>
      <c r="QVD1880" s="94"/>
      <c r="QVE1880" s="94"/>
      <c r="QVF1880" s="94"/>
      <c r="QVG1880" s="94"/>
      <c r="QVH1880" s="94"/>
      <c r="QVI1880" s="94"/>
      <c r="QVJ1880" s="94"/>
      <c r="QVK1880" s="94"/>
      <c r="QVL1880" s="94"/>
      <c r="QVM1880" s="94"/>
      <c r="QVN1880" s="94"/>
      <c r="QVO1880" s="94"/>
      <c r="QVP1880" s="94"/>
      <c r="QVQ1880" s="94"/>
      <c r="QVR1880" s="94"/>
      <c r="QVS1880" s="94"/>
      <c r="QVT1880" s="94"/>
      <c r="QVU1880" s="94"/>
      <c r="QVV1880" s="94"/>
      <c r="QVW1880" s="94"/>
      <c r="QVX1880" s="94"/>
      <c r="QVY1880" s="94"/>
      <c r="QVZ1880" s="94"/>
      <c r="QWA1880" s="94"/>
      <c r="QWB1880" s="94"/>
      <c r="QWC1880" s="94"/>
      <c r="QWD1880" s="94"/>
      <c r="QWE1880" s="94"/>
      <c r="QWF1880" s="94"/>
      <c r="QWG1880" s="94"/>
      <c r="QWH1880" s="94"/>
      <c r="QWI1880" s="94"/>
      <c r="QWJ1880" s="94"/>
      <c r="QWK1880" s="94"/>
      <c r="QWL1880" s="94"/>
      <c r="QWM1880" s="94"/>
      <c r="QWN1880" s="94"/>
      <c r="QWO1880" s="94"/>
      <c r="QWP1880" s="94"/>
      <c r="QWQ1880" s="94"/>
      <c r="QWR1880" s="94"/>
      <c r="QWS1880" s="94"/>
      <c r="QWT1880" s="94"/>
      <c r="QWU1880" s="94"/>
      <c r="QWV1880" s="94"/>
      <c r="QWW1880" s="94"/>
      <c r="QWX1880" s="94"/>
      <c r="QWY1880" s="94"/>
      <c r="QWZ1880" s="94"/>
      <c r="QXA1880" s="94"/>
      <c r="QXB1880" s="94"/>
      <c r="QXC1880" s="94"/>
      <c r="QXD1880" s="94"/>
      <c r="QXE1880" s="94"/>
      <c r="QXF1880" s="94"/>
      <c r="QXG1880" s="94"/>
      <c r="QXH1880" s="94"/>
      <c r="QXI1880" s="94"/>
      <c r="QXJ1880" s="94"/>
      <c r="QXK1880" s="94"/>
      <c r="QXL1880" s="94"/>
      <c r="QXM1880" s="94"/>
      <c r="QXN1880" s="94"/>
      <c r="QXO1880" s="94"/>
      <c r="QXP1880" s="94"/>
      <c r="QXQ1880" s="94"/>
      <c r="QXR1880" s="94"/>
      <c r="QXS1880" s="94"/>
      <c r="QXT1880" s="94"/>
      <c r="QXU1880" s="94"/>
      <c r="QXV1880" s="94"/>
      <c r="QXW1880" s="94"/>
      <c r="QXX1880" s="94"/>
      <c r="QXY1880" s="94"/>
      <c r="QXZ1880" s="94"/>
      <c r="QYA1880" s="94"/>
      <c r="QYB1880" s="94"/>
      <c r="QYC1880" s="94"/>
      <c r="QYD1880" s="94"/>
      <c r="QYE1880" s="94"/>
      <c r="QYF1880" s="94"/>
      <c r="QYG1880" s="94"/>
      <c r="QYH1880" s="94"/>
      <c r="QYI1880" s="94"/>
      <c r="QYJ1880" s="94"/>
      <c r="QYK1880" s="94"/>
      <c r="QYL1880" s="94"/>
      <c r="QYM1880" s="94"/>
      <c r="QYN1880" s="94"/>
      <c r="QYO1880" s="94"/>
      <c r="QYP1880" s="94"/>
      <c r="QYQ1880" s="94"/>
      <c r="QYR1880" s="94"/>
      <c r="QYS1880" s="94"/>
      <c r="QYT1880" s="94"/>
      <c r="QYU1880" s="94"/>
      <c r="QYV1880" s="94"/>
      <c r="QYW1880" s="94"/>
      <c r="QYX1880" s="94"/>
      <c r="QYY1880" s="94"/>
      <c r="QYZ1880" s="94"/>
      <c r="QZA1880" s="94"/>
      <c r="QZB1880" s="94"/>
      <c r="QZC1880" s="94"/>
      <c r="QZD1880" s="94"/>
      <c r="QZE1880" s="94"/>
      <c r="QZF1880" s="94"/>
      <c r="QZG1880" s="94"/>
      <c r="QZH1880" s="94"/>
      <c r="QZI1880" s="94"/>
      <c r="QZJ1880" s="94"/>
      <c r="QZK1880" s="94"/>
      <c r="QZL1880" s="94"/>
      <c r="QZM1880" s="94"/>
      <c r="QZN1880" s="94"/>
      <c r="QZO1880" s="94"/>
      <c r="QZP1880" s="94"/>
      <c r="QZQ1880" s="94"/>
      <c r="QZR1880" s="94"/>
      <c r="QZS1880" s="94"/>
      <c r="QZT1880" s="94"/>
      <c r="QZU1880" s="94"/>
      <c r="QZV1880" s="94"/>
      <c r="QZW1880" s="94"/>
      <c r="QZX1880" s="94"/>
      <c r="QZY1880" s="94"/>
      <c r="QZZ1880" s="94"/>
      <c r="RAA1880" s="94"/>
      <c r="RAB1880" s="94"/>
      <c r="RAC1880" s="94"/>
      <c r="RAD1880" s="94"/>
      <c r="RAE1880" s="94"/>
      <c r="RAF1880" s="94"/>
      <c r="RAG1880" s="94"/>
      <c r="RAH1880" s="94"/>
      <c r="RAI1880" s="94"/>
      <c r="RAJ1880" s="94"/>
      <c r="RAK1880" s="94"/>
      <c r="RAL1880" s="94"/>
      <c r="RAM1880" s="94"/>
      <c r="RAN1880" s="94"/>
      <c r="RAO1880" s="94"/>
      <c r="RAP1880" s="94"/>
      <c r="RAQ1880" s="94"/>
      <c r="RAR1880" s="94"/>
      <c r="RAS1880" s="94"/>
      <c r="RAT1880" s="94"/>
      <c r="RAU1880" s="94"/>
      <c r="RAV1880" s="94"/>
      <c r="RAW1880" s="94"/>
      <c r="RAX1880" s="94"/>
      <c r="RAY1880" s="94"/>
      <c r="RAZ1880" s="94"/>
      <c r="RBA1880" s="94"/>
      <c r="RBB1880" s="94"/>
      <c r="RBC1880" s="94"/>
      <c r="RBD1880" s="94"/>
      <c r="RBE1880" s="94"/>
      <c r="RBF1880" s="94"/>
      <c r="RBG1880" s="94"/>
      <c r="RBH1880" s="94"/>
      <c r="RBI1880" s="94"/>
      <c r="RBJ1880" s="94"/>
      <c r="RBK1880" s="94"/>
      <c r="RBL1880" s="94"/>
      <c r="RBM1880" s="94"/>
      <c r="RBN1880" s="94"/>
      <c r="RBO1880" s="94"/>
      <c r="RBP1880" s="94"/>
      <c r="RBQ1880" s="94"/>
      <c r="RBR1880" s="94"/>
      <c r="RBS1880" s="94"/>
      <c r="RBT1880" s="94"/>
      <c r="RBU1880" s="94"/>
      <c r="RBV1880" s="94"/>
      <c r="RBW1880" s="94"/>
      <c r="RBX1880" s="94"/>
      <c r="RBY1880" s="94"/>
      <c r="RBZ1880" s="94"/>
      <c r="RCA1880" s="94"/>
      <c r="RCB1880" s="94"/>
      <c r="RCC1880" s="94"/>
      <c r="RCD1880" s="94"/>
      <c r="RCE1880" s="94"/>
      <c r="RCF1880" s="94"/>
      <c r="RCG1880" s="94"/>
      <c r="RCH1880" s="94"/>
      <c r="RCI1880" s="94"/>
      <c r="RCJ1880" s="94"/>
      <c r="RCK1880" s="94"/>
      <c r="RCL1880" s="94"/>
      <c r="RCM1880" s="94"/>
      <c r="RCN1880" s="94"/>
      <c r="RCO1880" s="94"/>
      <c r="RCP1880" s="94"/>
      <c r="RCQ1880" s="94"/>
      <c r="RCR1880" s="94"/>
      <c r="RCS1880" s="94"/>
      <c r="RCT1880" s="94"/>
      <c r="RCU1880" s="94"/>
      <c r="RCV1880" s="94"/>
      <c r="RCW1880" s="94"/>
      <c r="RCX1880" s="94"/>
      <c r="RCY1880" s="94"/>
      <c r="RCZ1880" s="94"/>
      <c r="RDA1880" s="94"/>
      <c r="RDB1880" s="94"/>
      <c r="RDC1880" s="94"/>
      <c r="RDD1880" s="94"/>
      <c r="RDE1880" s="94"/>
      <c r="RDF1880" s="94"/>
      <c r="RDG1880" s="94"/>
      <c r="RDH1880" s="94"/>
      <c r="RDI1880" s="94"/>
      <c r="RDJ1880" s="94"/>
      <c r="RDK1880" s="94"/>
      <c r="RDL1880" s="94"/>
      <c r="RDM1880" s="94"/>
      <c r="RDN1880" s="94"/>
      <c r="RDO1880" s="94"/>
      <c r="RDP1880" s="94"/>
      <c r="RDQ1880" s="94"/>
      <c r="RDR1880" s="94"/>
      <c r="RDS1880" s="94"/>
      <c r="RDT1880" s="94"/>
      <c r="RDU1880" s="94"/>
      <c r="RDV1880" s="94"/>
      <c r="RDW1880" s="94"/>
      <c r="RDX1880" s="94"/>
      <c r="RDY1880" s="94"/>
      <c r="RDZ1880" s="94"/>
      <c r="REA1880" s="94"/>
      <c r="REB1880" s="94"/>
      <c r="REC1880" s="94"/>
      <c r="RED1880" s="94"/>
      <c r="REE1880" s="94"/>
      <c r="REF1880" s="94"/>
      <c r="REG1880" s="94"/>
      <c r="REH1880" s="94"/>
      <c r="REI1880" s="94"/>
      <c r="REJ1880" s="94"/>
      <c r="REK1880" s="94"/>
      <c r="REL1880" s="94"/>
      <c r="REM1880" s="94"/>
      <c r="REN1880" s="94"/>
      <c r="REO1880" s="94"/>
      <c r="REP1880" s="94"/>
      <c r="REQ1880" s="94"/>
      <c r="RER1880" s="94"/>
      <c r="RES1880" s="94"/>
      <c r="RET1880" s="94"/>
      <c r="REU1880" s="94"/>
      <c r="REV1880" s="94"/>
      <c r="REW1880" s="94"/>
      <c r="REX1880" s="94"/>
      <c r="REY1880" s="94"/>
      <c r="REZ1880" s="94"/>
      <c r="RFA1880" s="94"/>
      <c r="RFB1880" s="94"/>
      <c r="RFC1880" s="94"/>
      <c r="RFD1880" s="94"/>
      <c r="RFE1880" s="94"/>
      <c r="RFF1880" s="94"/>
      <c r="RFG1880" s="94"/>
      <c r="RFH1880" s="94"/>
      <c r="RFI1880" s="94"/>
      <c r="RFJ1880" s="94"/>
      <c r="RFK1880" s="94"/>
      <c r="RFL1880" s="94"/>
      <c r="RFM1880" s="94"/>
      <c r="RFN1880" s="94"/>
      <c r="RFO1880" s="94"/>
      <c r="RFP1880" s="94"/>
      <c r="RFQ1880" s="94"/>
      <c r="RFR1880" s="94"/>
      <c r="RFS1880" s="94"/>
      <c r="RFT1880" s="94"/>
      <c r="RFU1880" s="94"/>
      <c r="RFV1880" s="94"/>
      <c r="RFW1880" s="94"/>
      <c r="RFX1880" s="94"/>
      <c r="RFY1880" s="94"/>
      <c r="RFZ1880" s="94"/>
      <c r="RGA1880" s="94"/>
      <c r="RGB1880" s="94"/>
      <c r="RGC1880" s="94"/>
      <c r="RGD1880" s="94"/>
      <c r="RGE1880" s="94"/>
      <c r="RGF1880" s="94"/>
      <c r="RGG1880" s="94"/>
      <c r="RGH1880" s="94"/>
      <c r="RGI1880" s="94"/>
      <c r="RGJ1880" s="94"/>
      <c r="RGK1880" s="94"/>
      <c r="RGL1880" s="94"/>
      <c r="RGM1880" s="94"/>
      <c r="RGN1880" s="94"/>
      <c r="RGO1880" s="94"/>
      <c r="RGP1880" s="94"/>
      <c r="RGQ1880" s="94"/>
      <c r="RGR1880" s="94"/>
      <c r="RGS1880" s="94"/>
      <c r="RGT1880" s="94"/>
      <c r="RGU1880" s="94"/>
      <c r="RGV1880" s="94"/>
      <c r="RGW1880" s="94"/>
      <c r="RGX1880" s="94"/>
      <c r="RGY1880" s="94"/>
      <c r="RGZ1880" s="94"/>
      <c r="RHA1880" s="94"/>
      <c r="RHB1880" s="94"/>
      <c r="RHC1880" s="94"/>
      <c r="RHD1880" s="94"/>
      <c r="RHE1880" s="94"/>
      <c r="RHF1880" s="94"/>
      <c r="RHG1880" s="94"/>
      <c r="RHH1880" s="94"/>
      <c r="RHI1880" s="94"/>
      <c r="RHJ1880" s="94"/>
      <c r="RHK1880" s="94"/>
      <c r="RHL1880" s="94"/>
      <c r="RHM1880" s="94"/>
      <c r="RHN1880" s="94"/>
      <c r="RHO1880" s="94"/>
      <c r="RHP1880" s="94"/>
      <c r="RHQ1880" s="94"/>
      <c r="RHR1880" s="94"/>
      <c r="RHS1880" s="94"/>
      <c r="RHT1880" s="94"/>
      <c r="RHU1880" s="94"/>
      <c r="RHV1880" s="94"/>
      <c r="RHW1880" s="94"/>
      <c r="RHX1880" s="94"/>
      <c r="RHY1880" s="94"/>
      <c r="RHZ1880" s="94"/>
      <c r="RIA1880" s="94"/>
      <c r="RIB1880" s="94"/>
      <c r="RIC1880" s="94"/>
      <c r="RID1880" s="94"/>
      <c r="RIE1880" s="94"/>
      <c r="RIF1880" s="94"/>
      <c r="RIG1880" s="94"/>
      <c r="RIH1880" s="94"/>
      <c r="RII1880" s="94"/>
      <c r="RIJ1880" s="94"/>
      <c r="RIK1880" s="94"/>
      <c r="RIL1880" s="94"/>
      <c r="RIM1880" s="94"/>
      <c r="RIN1880" s="94"/>
      <c r="RIO1880" s="94"/>
      <c r="RIP1880" s="94"/>
      <c r="RIQ1880" s="94"/>
      <c r="RIR1880" s="94"/>
      <c r="RIS1880" s="94"/>
      <c r="RIT1880" s="94"/>
      <c r="RIU1880" s="94"/>
      <c r="RIV1880" s="94"/>
      <c r="RIW1880" s="94"/>
      <c r="RIX1880" s="94"/>
      <c r="RIY1880" s="94"/>
      <c r="RIZ1880" s="94"/>
      <c r="RJA1880" s="94"/>
      <c r="RJB1880" s="94"/>
      <c r="RJC1880" s="94"/>
      <c r="RJD1880" s="94"/>
      <c r="RJE1880" s="94"/>
      <c r="RJF1880" s="94"/>
      <c r="RJG1880" s="94"/>
      <c r="RJH1880" s="94"/>
      <c r="RJI1880" s="94"/>
      <c r="RJJ1880" s="94"/>
      <c r="RJK1880" s="94"/>
      <c r="RJL1880" s="94"/>
      <c r="RJM1880" s="94"/>
      <c r="RJN1880" s="94"/>
      <c r="RJO1880" s="94"/>
      <c r="RJP1880" s="94"/>
      <c r="RJQ1880" s="94"/>
      <c r="RJR1880" s="94"/>
      <c r="RJS1880" s="94"/>
      <c r="RJT1880" s="94"/>
      <c r="RJU1880" s="94"/>
      <c r="RJV1880" s="94"/>
      <c r="RJW1880" s="94"/>
      <c r="RJX1880" s="94"/>
      <c r="RJY1880" s="94"/>
      <c r="RJZ1880" s="94"/>
      <c r="RKA1880" s="94"/>
      <c r="RKB1880" s="94"/>
      <c r="RKC1880" s="94"/>
      <c r="RKD1880" s="94"/>
      <c r="RKE1880" s="94"/>
      <c r="RKF1880" s="94"/>
      <c r="RKG1880" s="94"/>
      <c r="RKH1880" s="94"/>
      <c r="RKI1880" s="94"/>
      <c r="RKJ1880" s="94"/>
      <c r="RKK1880" s="94"/>
      <c r="RKL1880" s="94"/>
      <c r="RKM1880" s="94"/>
      <c r="RKN1880" s="94"/>
      <c r="RKO1880" s="94"/>
      <c r="RKP1880" s="94"/>
      <c r="RKQ1880" s="94"/>
      <c r="RKR1880" s="94"/>
      <c r="RKS1880" s="94"/>
      <c r="RKT1880" s="94"/>
      <c r="RKU1880" s="94"/>
      <c r="RKV1880" s="94"/>
      <c r="RKW1880" s="94"/>
      <c r="RKX1880" s="94"/>
      <c r="RKY1880" s="94"/>
      <c r="RKZ1880" s="94"/>
      <c r="RLA1880" s="94"/>
      <c r="RLB1880" s="94"/>
      <c r="RLC1880" s="94"/>
      <c r="RLD1880" s="94"/>
      <c r="RLE1880" s="94"/>
      <c r="RLF1880" s="94"/>
      <c r="RLG1880" s="94"/>
      <c r="RLH1880" s="94"/>
      <c r="RLI1880" s="94"/>
      <c r="RLJ1880" s="94"/>
      <c r="RLK1880" s="94"/>
      <c r="RLL1880" s="94"/>
      <c r="RLM1880" s="94"/>
      <c r="RLN1880" s="94"/>
      <c r="RLO1880" s="94"/>
      <c r="RLP1880" s="94"/>
      <c r="RLQ1880" s="94"/>
      <c r="RLR1880" s="94"/>
      <c r="RLS1880" s="94"/>
      <c r="RLT1880" s="94"/>
      <c r="RLU1880" s="94"/>
      <c r="RLV1880" s="94"/>
      <c r="RLW1880" s="94"/>
      <c r="RLX1880" s="94"/>
      <c r="RLY1880" s="94"/>
      <c r="RLZ1880" s="94"/>
      <c r="RMA1880" s="94"/>
      <c r="RMB1880" s="94"/>
      <c r="RMC1880" s="94"/>
      <c r="RMD1880" s="94"/>
      <c r="RME1880" s="94"/>
      <c r="RMF1880" s="94"/>
      <c r="RMG1880" s="94"/>
      <c r="RMH1880" s="94"/>
      <c r="RMI1880" s="94"/>
      <c r="RMJ1880" s="94"/>
      <c r="RMK1880" s="94"/>
      <c r="RML1880" s="94"/>
      <c r="RMM1880" s="94"/>
      <c r="RMN1880" s="94"/>
      <c r="RMO1880" s="94"/>
      <c r="RMP1880" s="94"/>
      <c r="RMQ1880" s="94"/>
      <c r="RMR1880" s="94"/>
      <c r="RMS1880" s="94"/>
      <c r="RMT1880" s="94"/>
      <c r="RMU1880" s="94"/>
      <c r="RMV1880" s="94"/>
      <c r="RMW1880" s="94"/>
      <c r="RMX1880" s="94"/>
      <c r="RMY1880" s="94"/>
      <c r="RMZ1880" s="94"/>
      <c r="RNA1880" s="94"/>
      <c r="RNB1880" s="94"/>
      <c r="RNC1880" s="94"/>
      <c r="RND1880" s="94"/>
      <c r="RNE1880" s="94"/>
      <c r="RNF1880" s="94"/>
      <c r="RNG1880" s="94"/>
      <c r="RNH1880" s="94"/>
      <c r="RNI1880" s="94"/>
      <c r="RNJ1880" s="94"/>
      <c r="RNK1880" s="94"/>
      <c r="RNL1880" s="94"/>
      <c r="RNM1880" s="94"/>
      <c r="RNN1880" s="94"/>
      <c r="RNO1880" s="94"/>
      <c r="RNP1880" s="94"/>
      <c r="RNQ1880" s="94"/>
      <c r="RNR1880" s="94"/>
      <c r="RNS1880" s="94"/>
      <c r="RNT1880" s="94"/>
      <c r="RNU1880" s="94"/>
      <c r="RNV1880" s="94"/>
      <c r="RNW1880" s="94"/>
      <c r="RNX1880" s="94"/>
      <c r="RNY1880" s="94"/>
      <c r="RNZ1880" s="94"/>
      <c r="ROA1880" s="94"/>
      <c r="ROB1880" s="94"/>
      <c r="ROC1880" s="94"/>
      <c r="ROD1880" s="94"/>
      <c r="ROE1880" s="94"/>
      <c r="ROF1880" s="94"/>
      <c r="ROG1880" s="94"/>
      <c r="ROH1880" s="94"/>
      <c r="ROI1880" s="94"/>
      <c r="ROJ1880" s="94"/>
      <c r="ROK1880" s="94"/>
      <c r="ROL1880" s="94"/>
      <c r="ROM1880" s="94"/>
      <c r="RON1880" s="94"/>
      <c r="ROO1880" s="94"/>
      <c r="ROP1880" s="94"/>
      <c r="ROQ1880" s="94"/>
      <c r="ROR1880" s="94"/>
      <c r="ROS1880" s="94"/>
      <c r="ROT1880" s="94"/>
      <c r="ROU1880" s="94"/>
      <c r="ROV1880" s="94"/>
      <c r="ROW1880" s="94"/>
      <c r="ROX1880" s="94"/>
      <c r="ROY1880" s="94"/>
      <c r="ROZ1880" s="94"/>
      <c r="RPA1880" s="94"/>
      <c r="RPB1880" s="94"/>
      <c r="RPC1880" s="94"/>
      <c r="RPD1880" s="94"/>
      <c r="RPE1880" s="94"/>
      <c r="RPF1880" s="94"/>
      <c r="RPG1880" s="94"/>
      <c r="RPH1880" s="94"/>
      <c r="RPI1880" s="94"/>
      <c r="RPJ1880" s="94"/>
      <c r="RPK1880" s="94"/>
      <c r="RPL1880" s="94"/>
      <c r="RPM1880" s="94"/>
      <c r="RPN1880" s="94"/>
      <c r="RPO1880" s="94"/>
      <c r="RPP1880" s="94"/>
      <c r="RPQ1880" s="94"/>
      <c r="RPR1880" s="94"/>
      <c r="RPS1880" s="94"/>
      <c r="RPT1880" s="94"/>
      <c r="RPU1880" s="94"/>
      <c r="RPV1880" s="94"/>
      <c r="RPW1880" s="94"/>
      <c r="RPX1880" s="94"/>
      <c r="RPY1880" s="94"/>
      <c r="RPZ1880" s="94"/>
      <c r="RQA1880" s="94"/>
      <c r="RQB1880" s="94"/>
      <c r="RQC1880" s="94"/>
      <c r="RQD1880" s="94"/>
      <c r="RQE1880" s="94"/>
      <c r="RQF1880" s="94"/>
      <c r="RQG1880" s="94"/>
      <c r="RQH1880" s="94"/>
      <c r="RQI1880" s="94"/>
      <c r="RQJ1880" s="94"/>
      <c r="RQK1880" s="94"/>
      <c r="RQL1880" s="94"/>
      <c r="RQM1880" s="94"/>
      <c r="RQN1880" s="94"/>
      <c r="RQO1880" s="94"/>
      <c r="RQP1880" s="94"/>
      <c r="RQQ1880" s="94"/>
      <c r="RQR1880" s="94"/>
      <c r="RQS1880" s="94"/>
      <c r="RQT1880" s="94"/>
      <c r="RQU1880" s="94"/>
      <c r="RQV1880" s="94"/>
      <c r="RQW1880" s="94"/>
      <c r="RQX1880" s="94"/>
      <c r="RQY1880" s="94"/>
      <c r="RQZ1880" s="94"/>
      <c r="RRA1880" s="94"/>
      <c r="RRB1880" s="94"/>
      <c r="RRC1880" s="94"/>
      <c r="RRD1880" s="94"/>
      <c r="RRE1880" s="94"/>
      <c r="RRF1880" s="94"/>
      <c r="RRG1880" s="94"/>
      <c r="RRH1880" s="94"/>
      <c r="RRI1880" s="94"/>
      <c r="RRJ1880" s="94"/>
      <c r="RRK1880" s="94"/>
      <c r="RRL1880" s="94"/>
      <c r="RRM1880" s="94"/>
      <c r="RRN1880" s="94"/>
      <c r="RRO1880" s="94"/>
      <c r="RRP1880" s="94"/>
      <c r="RRQ1880" s="94"/>
      <c r="RRR1880" s="94"/>
      <c r="RRS1880" s="94"/>
      <c r="RRT1880" s="94"/>
      <c r="RRU1880" s="94"/>
      <c r="RRV1880" s="94"/>
      <c r="RRW1880" s="94"/>
      <c r="RRX1880" s="94"/>
      <c r="RRY1880" s="94"/>
      <c r="RRZ1880" s="94"/>
      <c r="RSA1880" s="94"/>
      <c r="RSB1880" s="94"/>
      <c r="RSC1880" s="94"/>
      <c r="RSD1880" s="94"/>
      <c r="RSE1880" s="94"/>
      <c r="RSF1880" s="94"/>
      <c r="RSG1880" s="94"/>
      <c r="RSH1880" s="94"/>
      <c r="RSI1880" s="94"/>
      <c r="RSJ1880" s="94"/>
      <c r="RSK1880" s="94"/>
      <c r="RSL1880" s="94"/>
      <c r="RSM1880" s="94"/>
      <c r="RSN1880" s="94"/>
      <c r="RSO1880" s="94"/>
      <c r="RSP1880" s="94"/>
      <c r="RSQ1880" s="94"/>
      <c r="RSR1880" s="94"/>
      <c r="RSS1880" s="94"/>
      <c r="RST1880" s="94"/>
      <c r="RSU1880" s="94"/>
      <c r="RSV1880" s="94"/>
      <c r="RSW1880" s="94"/>
      <c r="RSX1880" s="94"/>
      <c r="RSY1880" s="94"/>
      <c r="RSZ1880" s="94"/>
      <c r="RTA1880" s="94"/>
      <c r="RTB1880" s="94"/>
      <c r="RTC1880" s="94"/>
      <c r="RTD1880" s="94"/>
      <c r="RTE1880" s="94"/>
      <c r="RTF1880" s="94"/>
      <c r="RTG1880" s="94"/>
      <c r="RTH1880" s="94"/>
      <c r="RTI1880" s="94"/>
      <c r="RTJ1880" s="94"/>
      <c r="RTK1880" s="94"/>
      <c r="RTL1880" s="94"/>
      <c r="RTM1880" s="94"/>
      <c r="RTN1880" s="94"/>
      <c r="RTO1880" s="94"/>
      <c r="RTP1880" s="94"/>
      <c r="RTQ1880" s="94"/>
      <c r="RTR1880" s="94"/>
      <c r="RTS1880" s="94"/>
      <c r="RTT1880" s="94"/>
      <c r="RTU1880" s="94"/>
      <c r="RTV1880" s="94"/>
      <c r="RTW1880" s="94"/>
      <c r="RTX1880" s="94"/>
      <c r="RTY1880" s="94"/>
      <c r="RTZ1880" s="94"/>
      <c r="RUA1880" s="94"/>
      <c r="RUB1880" s="94"/>
      <c r="RUC1880" s="94"/>
      <c r="RUD1880" s="94"/>
      <c r="RUE1880" s="94"/>
      <c r="RUF1880" s="94"/>
      <c r="RUG1880" s="94"/>
      <c r="RUH1880" s="94"/>
      <c r="RUI1880" s="94"/>
      <c r="RUJ1880" s="94"/>
      <c r="RUK1880" s="94"/>
      <c r="RUL1880" s="94"/>
      <c r="RUM1880" s="94"/>
      <c r="RUN1880" s="94"/>
      <c r="RUO1880" s="94"/>
      <c r="RUP1880" s="94"/>
      <c r="RUQ1880" s="94"/>
      <c r="RUR1880" s="94"/>
      <c r="RUS1880" s="94"/>
      <c r="RUT1880" s="94"/>
      <c r="RUU1880" s="94"/>
      <c r="RUV1880" s="94"/>
      <c r="RUW1880" s="94"/>
      <c r="RUX1880" s="94"/>
      <c r="RUY1880" s="94"/>
      <c r="RUZ1880" s="94"/>
      <c r="RVA1880" s="94"/>
      <c r="RVB1880" s="94"/>
      <c r="RVC1880" s="94"/>
      <c r="RVD1880" s="94"/>
      <c r="RVE1880" s="94"/>
      <c r="RVF1880" s="94"/>
      <c r="RVG1880" s="94"/>
      <c r="RVH1880" s="94"/>
      <c r="RVI1880" s="94"/>
      <c r="RVJ1880" s="94"/>
      <c r="RVK1880" s="94"/>
      <c r="RVL1880" s="94"/>
      <c r="RVM1880" s="94"/>
      <c r="RVN1880" s="94"/>
      <c r="RVO1880" s="94"/>
      <c r="RVP1880" s="94"/>
      <c r="RVQ1880" s="94"/>
      <c r="RVR1880" s="94"/>
      <c r="RVS1880" s="94"/>
      <c r="RVT1880" s="94"/>
      <c r="RVU1880" s="94"/>
      <c r="RVV1880" s="94"/>
      <c r="RVW1880" s="94"/>
      <c r="RVX1880" s="94"/>
      <c r="RVY1880" s="94"/>
      <c r="RVZ1880" s="94"/>
      <c r="RWA1880" s="94"/>
      <c r="RWB1880" s="94"/>
      <c r="RWC1880" s="94"/>
      <c r="RWD1880" s="94"/>
      <c r="RWE1880" s="94"/>
      <c r="RWF1880" s="94"/>
      <c r="RWG1880" s="94"/>
      <c r="RWH1880" s="94"/>
      <c r="RWI1880" s="94"/>
      <c r="RWJ1880" s="94"/>
      <c r="RWK1880" s="94"/>
      <c r="RWL1880" s="94"/>
      <c r="RWM1880" s="94"/>
      <c r="RWN1880" s="94"/>
      <c r="RWO1880" s="94"/>
      <c r="RWP1880" s="94"/>
      <c r="RWQ1880" s="94"/>
      <c r="RWR1880" s="94"/>
      <c r="RWS1880" s="94"/>
      <c r="RWT1880" s="94"/>
      <c r="RWU1880" s="94"/>
      <c r="RWV1880" s="94"/>
      <c r="RWW1880" s="94"/>
      <c r="RWX1880" s="94"/>
      <c r="RWY1880" s="94"/>
      <c r="RWZ1880" s="94"/>
      <c r="RXA1880" s="94"/>
      <c r="RXB1880" s="94"/>
      <c r="RXC1880" s="94"/>
      <c r="RXD1880" s="94"/>
      <c r="RXE1880" s="94"/>
      <c r="RXF1880" s="94"/>
      <c r="RXG1880" s="94"/>
      <c r="RXH1880" s="94"/>
      <c r="RXI1880" s="94"/>
      <c r="RXJ1880" s="94"/>
      <c r="RXK1880" s="94"/>
      <c r="RXL1880" s="94"/>
      <c r="RXM1880" s="94"/>
      <c r="RXN1880" s="94"/>
      <c r="RXO1880" s="94"/>
      <c r="RXP1880" s="94"/>
      <c r="RXQ1880" s="94"/>
      <c r="RXR1880" s="94"/>
      <c r="RXS1880" s="94"/>
      <c r="RXT1880" s="94"/>
      <c r="RXU1880" s="94"/>
      <c r="RXV1880" s="94"/>
      <c r="RXW1880" s="94"/>
      <c r="RXX1880" s="94"/>
      <c r="RXY1880" s="94"/>
      <c r="RXZ1880" s="94"/>
      <c r="RYA1880" s="94"/>
      <c r="RYB1880" s="94"/>
      <c r="RYC1880" s="94"/>
      <c r="RYD1880" s="94"/>
      <c r="RYE1880" s="94"/>
      <c r="RYF1880" s="94"/>
      <c r="RYG1880" s="94"/>
      <c r="RYH1880" s="94"/>
      <c r="RYI1880" s="94"/>
      <c r="RYJ1880" s="94"/>
      <c r="RYK1880" s="94"/>
      <c r="RYL1880" s="94"/>
      <c r="RYM1880" s="94"/>
      <c r="RYN1880" s="94"/>
      <c r="RYO1880" s="94"/>
      <c r="RYP1880" s="94"/>
      <c r="RYQ1880" s="94"/>
      <c r="RYR1880" s="94"/>
      <c r="RYS1880" s="94"/>
      <c r="RYT1880" s="94"/>
      <c r="RYU1880" s="94"/>
      <c r="RYV1880" s="94"/>
      <c r="RYW1880" s="94"/>
      <c r="RYX1880" s="94"/>
      <c r="RYY1880" s="94"/>
      <c r="RYZ1880" s="94"/>
      <c r="RZA1880" s="94"/>
      <c r="RZB1880" s="94"/>
      <c r="RZC1880" s="94"/>
      <c r="RZD1880" s="94"/>
      <c r="RZE1880" s="94"/>
      <c r="RZF1880" s="94"/>
      <c r="RZG1880" s="94"/>
      <c r="RZH1880" s="94"/>
      <c r="RZI1880" s="94"/>
      <c r="RZJ1880" s="94"/>
      <c r="RZK1880" s="94"/>
      <c r="RZL1880" s="94"/>
      <c r="RZM1880" s="94"/>
      <c r="RZN1880" s="94"/>
      <c r="RZO1880" s="94"/>
      <c r="RZP1880" s="94"/>
      <c r="RZQ1880" s="94"/>
      <c r="RZR1880" s="94"/>
      <c r="RZS1880" s="94"/>
      <c r="RZT1880" s="94"/>
      <c r="RZU1880" s="94"/>
      <c r="RZV1880" s="94"/>
      <c r="RZW1880" s="94"/>
      <c r="RZX1880" s="94"/>
      <c r="RZY1880" s="94"/>
      <c r="RZZ1880" s="94"/>
      <c r="SAA1880" s="94"/>
      <c r="SAB1880" s="94"/>
      <c r="SAC1880" s="94"/>
      <c r="SAD1880" s="94"/>
      <c r="SAE1880" s="94"/>
      <c r="SAF1880" s="94"/>
      <c r="SAG1880" s="94"/>
      <c r="SAH1880" s="94"/>
      <c r="SAI1880" s="94"/>
      <c r="SAJ1880" s="94"/>
      <c r="SAK1880" s="94"/>
      <c r="SAL1880" s="94"/>
      <c r="SAM1880" s="94"/>
      <c r="SAN1880" s="94"/>
      <c r="SAO1880" s="94"/>
      <c r="SAP1880" s="94"/>
      <c r="SAQ1880" s="94"/>
      <c r="SAR1880" s="94"/>
      <c r="SAS1880" s="94"/>
      <c r="SAT1880" s="94"/>
      <c r="SAU1880" s="94"/>
      <c r="SAV1880" s="94"/>
      <c r="SAW1880" s="94"/>
      <c r="SAX1880" s="94"/>
      <c r="SAY1880" s="94"/>
      <c r="SAZ1880" s="94"/>
      <c r="SBA1880" s="94"/>
      <c r="SBB1880" s="94"/>
      <c r="SBC1880" s="94"/>
      <c r="SBD1880" s="94"/>
      <c r="SBE1880" s="94"/>
      <c r="SBF1880" s="94"/>
      <c r="SBG1880" s="94"/>
      <c r="SBH1880" s="94"/>
      <c r="SBI1880" s="94"/>
      <c r="SBJ1880" s="94"/>
      <c r="SBK1880" s="94"/>
      <c r="SBL1880" s="94"/>
      <c r="SBM1880" s="94"/>
      <c r="SBN1880" s="94"/>
      <c r="SBO1880" s="94"/>
      <c r="SBP1880" s="94"/>
      <c r="SBQ1880" s="94"/>
      <c r="SBR1880" s="94"/>
      <c r="SBS1880" s="94"/>
      <c r="SBT1880" s="94"/>
      <c r="SBU1880" s="94"/>
      <c r="SBV1880" s="94"/>
      <c r="SBW1880" s="94"/>
      <c r="SBX1880" s="94"/>
      <c r="SBY1880" s="94"/>
      <c r="SBZ1880" s="94"/>
      <c r="SCA1880" s="94"/>
      <c r="SCB1880" s="94"/>
      <c r="SCC1880" s="94"/>
      <c r="SCD1880" s="94"/>
      <c r="SCE1880" s="94"/>
      <c r="SCF1880" s="94"/>
      <c r="SCG1880" s="94"/>
      <c r="SCH1880" s="94"/>
      <c r="SCI1880" s="94"/>
      <c r="SCJ1880" s="94"/>
      <c r="SCK1880" s="94"/>
      <c r="SCL1880" s="94"/>
      <c r="SCM1880" s="94"/>
      <c r="SCN1880" s="94"/>
      <c r="SCO1880" s="94"/>
      <c r="SCP1880" s="94"/>
      <c r="SCQ1880" s="94"/>
      <c r="SCR1880" s="94"/>
      <c r="SCS1880" s="94"/>
      <c r="SCT1880" s="94"/>
      <c r="SCU1880" s="94"/>
      <c r="SCV1880" s="94"/>
      <c r="SCW1880" s="94"/>
      <c r="SCX1880" s="94"/>
      <c r="SCY1880" s="94"/>
      <c r="SCZ1880" s="94"/>
      <c r="SDA1880" s="94"/>
      <c r="SDB1880" s="94"/>
      <c r="SDC1880" s="94"/>
      <c r="SDD1880" s="94"/>
      <c r="SDE1880" s="94"/>
      <c r="SDF1880" s="94"/>
      <c r="SDG1880" s="94"/>
      <c r="SDH1880" s="94"/>
      <c r="SDI1880" s="94"/>
      <c r="SDJ1880" s="94"/>
      <c r="SDK1880" s="94"/>
      <c r="SDL1880" s="94"/>
      <c r="SDM1880" s="94"/>
      <c r="SDN1880" s="94"/>
      <c r="SDO1880" s="94"/>
      <c r="SDP1880" s="94"/>
      <c r="SDQ1880" s="94"/>
      <c r="SDR1880" s="94"/>
      <c r="SDS1880" s="94"/>
      <c r="SDT1880" s="94"/>
      <c r="SDU1880" s="94"/>
      <c r="SDV1880" s="94"/>
      <c r="SDW1880" s="94"/>
      <c r="SDX1880" s="94"/>
      <c r="SDY1880" s="94"/>
      <c r="SDZ1880" s="94"/>
      <c r="SEA1880" s="94"/>
      <c r="SEB1880" s="94"/>
      <c r="SEC1880" s="94"/>
      <c r="SED1880" s="94"/>
      <c r="SEE1880" s="94"/>
      <c r="SEF1880" s="94"/>
      <c r="SEG1880" s="94"/>
      <c r="SEH1880" s="94"/>
      <c r="SEI1880" s="94"/>
      <c r="SEJ1880" s="94"/>
      <c r="SEK1880" s="94"/>
      <c r="SEL1880" s="94"/>
      <c r="SEM1880" s="94"/>
      <c r="SEN1880" s="94"/>
      <c r="SEO1880" s="94"/>
      <c r="SEP1880" s="94"/>
      <c r="SEQ1880" s="94"/>
      <c r="SER1880" s="94"/>
      <c r="SES1880" s="94"/>
      <c r="SET1880" s="94"/>
      <c r="SEU1880" s="94"/>
      <c r="SEV1880" s="94"/>
      <c r="SEW1880" s="94"/>
      <c r="SEX1880" s="94"/>
      <c r="SEY1880" s="94"/>
      <c r="SEZ1880" s="94"/>
      <c r="SFA1880" s="94"/>
      <c r="SFB1880" s="94"/>
      <c r="SFC1880" s="94"/>
      <c r="SFD1880" s="94"/>
      <c r="SFE1880" s="94"/>
      <c r="SFF1880" s="94"/>
      <c r="SFG1880" s="94"/>
      <c r="SFH1880" s="94"/>
      <c r="SFI1880" s="94"/>
      <c r="SFJ1880" s="94"/>
      <c r="SFK1880" s="94"/>
      <c r="SFL1880" s="94"/>
      <c r="SFM1880" s="94"/>
      <c r="SFN1880" s="94"/>
      <c r="SFO1880" s="94"/>
      <c r="SFP1880" s="94"/>
      <c r="SFQ1880" s="94"/>
      <c r="SFR1880" s="94"/>
      <c r="SFS1880" s="94"/>
      <c r="SFT1880" s="94"/>
      <c r="SFU1880" s="94"/>
      <c r="SFV1880" s="94"/>
      <c r="SFW1880" s="94"/>
      <c r="SFX1880" s="94"/>
      <c r="SFY1880" s="94"/>
      <c r="SFZ1880" s="94"/>
      <c r="SGA1880" s="94"/>
      <c r="SGB1880" s="94"/>
      <c r="SGC1880" s="94"/>
      <c r="SGD1880" s="94"/>
      <c r="SGE1880" s="94"/>
      <c r="SGF1880" s="94"/>
      <c r="SGG1880" s="94"/>
      <c r="SGH1880" s="94"/>
      <c r="SGI1880" s="94"/>
      <c r="SGJ1880" s="94"/>
      <c r="SGK1880" s="94"/>
      <c r="SGL1880" s="94"/>
      <c r="SGM1880" s="94"/>
      <c r="SGN1880" s="94"/>
      <c r="SGO1880" s="94"/>
      <c r="SGP1880" s="94"/>
      <c r="SGQ1880" s="94"/>
      <c r="SGR1880" s="94"/>
      <c r="SGS1880" s="94"/>
      <c r="SGT1880" s="94"/>
      <c r="SGU1880" s="94"/>
      <c r="SGV1880" s="94"/>
      <c r="SGW1880" s="94"/>
      <c r="SGX1880" s="94"/>
      <c r="SGY1880" s="94"/>
      <c r="SGZ1880" s="94"/>
      <c r="SHA1880" s="94"/>
      <c r="SHB1880" s="94"/>
      <c r="SHC1880" s="94"/>
      <c r="SHD1880" s="94"/>
      <c r="SHE1880" s="94"/>
      <c r="SHF1880" s="94"/>
      <c r="SHG1880" s="94"/>
      <c r="SHH1880" s="94"/>
      <c r="SHI1880" s="94"/>
      <c r="SHJ1880" s="94"/>
      <c r="SHK1880" s="94"/>
      <c r="SHL1880" s="94"/>
      <c r="SHM1880" s="94"/>
      <c r="SHN1880" s="94"/>
      <c r="SHO1880" s="94"/>
      <c r="SHP1880" s="94"/>
      <c r="SHQ1880" s="94"/>
      <c r="SHR1880" s="94"/>
      <c r="SHS1880" s="94"/>
      <c r="SHT1880" s="94"/>
      <c r="SHU1880" s="94"/>
      <c r="SHV1880" s="94"/>
      <c r="SHW1880" s="94"/>
      <c r="SHX1880" s="94"/>
      <c r="SHY1880" s="94"/>
      <c r="SHZ1880" s="94"/>
      <c r="SIA1880" s="94"/>
      <c r="SIB1880" s="94"/>
      <c r="SIC1880" s="94"/>
      <c r="SID1880" s="94"/>
      <c r="SIE1880" s="94"/>
      <c r="SIF1880" s="94"/>
      <c r="SIG1880" s="94"/>
      <c r="SIH1880" s="94"/>
      <c r="SII1880" s="94"/>
      <c r="SIJ1880" s="94"/>
      <c r="SIK1880" s="94"/>
      <c r="SIL1880" s="94"/>
      <c r="SIM1880" s="94"/>
      <c r="SIN1880" s="94"/>
      <c r="SIO1880" s="94"/>
      <c r="SIP1880" s="94"/>
      <c r="SIQ1880" s="94"/>
      <c r="SIR1880" s="94"/>
      <c r="SIS1880" s="94"/>
      <c r="SIT1880" s="94"/>
      <c r="SIU1880" s="94"/>
      <c r="SIV1880" s="94"/>
      <c r="SIW1880" s="94"/>
      <c r="SIX1880" s="94"/>
      <c r="SIY1880" s="94"/>
      <c r="SIZ1880" s="94"/>
      <c r="SJA1880" s="94"/>
      <c r="SJB1880" s="94"/>
      <c r="SJC1880" s="94"/>
      <c r="SJD1880" s="94"/>
      <c r="SJE1880" s="94"/>
      <c r="SJF1880" s="94"/>
      <c r="SJG1880" s="94"/>
      <c r="SJH1880" s="94"/>
      <c r="SJI1880" s="94"/>
      <c r="SJJ1880" s="94"/>
      <c r="SJK1880" s="94"/>
      <c r="SJL1880" s="94"/>
      <c r="SJM1880" s="94"/>
      <c r="SJN1880" s="94"/>
      <c r="SJO1880" s="94"/>
      <c r="SJP1880" s="94"/>
      <c r="SJQ1880" s="94"/>
      <c r="SJR1880" s="94"/>
      <c r="SJS1880" s="94"/>
      <c r="SJT1880" s="94"/>
      <c r="SJU1880" s="94"/>
      <c r="SJV1880" s="94"/>
      <c r="SJW1880" s="94"/>
      <c r="SJX1880" s="94"/>
      <c r="SJY1880" s="94"/>
      <c r="SJZ1880" s="94"/>
      <c r="SKA1880" s="94"/>
      <c r="SKB1880" s="94"/>
      <c r="SKC1880" s="94"/>
      <c r="SKD1880" s="94"/>
      <c r="SKE1880" s="94"/>
      <c r="SKF1880" s="94"/>
      <c r="SKG1880" s="94"/>
      <c r="SKH1880" s="94"/>
      <c r="SKI1880" s="94"/>
      <c r="SKJ1880" s="94"/>
      <c r="SKK1880" s="94"/>
      <c r="SKL1880" s="94"/>
      <c r="SKM1880" s="94"/>
      <c r="SKN1880" s="94"/>
      <c r="SKO1880" s="94"/>
      <c r="SKP1880" s="94"/>
      <c r="SKQ1880" s="94"/>
      <c r="SKR1880" s="94"/>
      <c r="SKS1880" s="94"/>
      <c r="SKT1880" s="94"/>
      <c r="SKU1880" s="94"/>
      <c r="SKV1880" s="94"/>
      <c r="SKW1880" s="94"/>
      <c r="SKX1880" s="94"/>
      <c r="SKY1880" s="94"/>
      <c r="SKZ1880" s="94"/>
      <c r="SLA1880" s="94"/>
      <c r="SLB1880" s="94"/>
      <c r="SLC1880" s="94"/>
      <c r="SLD1880" s="94"/>
      <c r="SLE1880" s="94"/>
      <c r="SLF1880" s="94"/>
      <c r="SLG1880" s="94"/>
      <c r="SLH1880" s="94"/>
      <c r="SLI1880" s="94"/>
      <c r="SLJ1880" s="94"/>
      <c r="SLK1880" s="94"/>
      <c r="SLL1880" s="94"/>
      <c r="SLM1880" s="94"/>
      <c r="SLN1880" s="94"/>
      <c r="SLO1880" s="94"/>
      <c r="SLP1880" s="94"/>
      <c r="SLQ1880" s="94"/>
      <c r="SLR1880" s="94"/>
      <c r="SLS1880" s="94"/>
      <c r="SLT1880" s="94"/>
      <c r="SLU1880" s="94"/>
      <c r="SLV1880" s="94"/>
      <c r="SLW1880" s="94"/>
      <c r="SLX1880" s="94"/>
      <c r="SLY1880" s="94"/>
      <c r="SLZ1880" s="94"/>
      <c r="SMA1880" s="94"/>
      <c r="SMB1880" s="94"/>
      <c r="SMC1880" s="94"/>
      <c r="SMD1880" s="94"/>
      <c r="SME1880" s="94"/>
      <c r="SMF1880" s="94"/>
      <c r="SMG1880" s="94"/>
      <c r="SMH1880" s="94"/>
      <c r="SMI1880" s="94"/>
      <c r="SMJ1880" s="94"/>
      <c r="SMK1880" s="94"/>
      <c r="SML1880" s="94"/>
      <c r="SMM1880" s="94"/>
      <c r="SMN1880" s="94"/>
      <c r="SMO1880" s="94"/>
      <c r="SMP1880" s="94"/>
      <c r="SMQ1880" s="94"/>
      <c r="SMR1880" s="94"/>
      <c r="SMS1880" s="94"/>
      <c r="SMT1880" s="94"/>
      <c r="SMU1880" s="94"/>
      <c r="SMV1880" s="94"/>
      <c r="SMW1880" s="94"/>
      <c r="SMX1880" s="94"/>
      <c r="SMY1880" s="94"/>
      <c r="SMZ1880" s="94"/>
      <c r="SNA1880" s="94"/>
      <c r="SNB1880" s="94"/>
      <c r="SNC1880" s="94"/>
      <c r="SND1880" s="94"/>
      <c r="SNE1880" s="94"/>
      <c r="SNF1880" s="94"/>
      <c r="SNG1880" s="94"/>
      <c r="SNH1880" s="94"/>
      <c r="SNI1880" s="94"/>
      <c r="SNJ1880" s="94"/>
      <c r="SNK1880" s="94"/>
      <c r="SNL1880" s="94"/>
      <c r="SNM1880" s="94"/>
      <c r="SNN1880" s="94"/>
      <c r="SNO1880" s="94"/>
      <c r="SNP1880" s="94"/>
      <c r="SNQ1880" s="94"/>
      <c r="SNR1880" s="94"/>
      <c r="SNS1880" s="94"/>
      <c r="SNT1880" s="94"/>
      <c r="SNU1880" s="94"/>
      <c r="SNV1880" s="94"/>
      <c r="SNW1880" s="94"/>
      <c r="SNX1880" s="94"/>
      <c r="SNY1880" s="94"/>
      <c r="SNZ1880" s="94"/>
      <c r="SOA1880" s="94"/>
      <c r="SOB1880" s="94"/>
      <c r="SOC1880" s="94"/>
      <c r="SOD1880" s="94"/>
      <c r="SOE1880" s="94"/>
      <c r="SOF1880" s="94"/>
      <c r="SOG1880" s="94"/>
      <c r="SOH1880" s="94"/>
      <c r="SOI1880" s="94"/>
      <c r="SOJ1880" s="94"/>
      <c r="SOK1880" s="94"/>
      <c r="SOL1880" s="94"/>
      <c r="SOM1880" s="94"/>
      <c r="SON1880" s="94"/>
      <c r="SOO1880" s="94"/>
      <c r="SOP1880" s="94"/>
      <c r="SOQ1880" s="94"/>
      <c r="SOR1880" s="94"/>
      <c r="SOS1880" s="94"/>
      <c r="SOT1880" s="94"/>
      <c r="SOU1880" s="94"/>
      <c r="SOV1880" s="94"/>
      <c r="SOW1880" s="94"/>
      <c r="SOX1880" s="94"/>
      <c r="SOY1880" s="94"/>
      <c r="SOZ1880" s="94"/>
      <c r="SPA1880" s="94"/>
      <c r="SPB1880" s="94"/>
      <c r="SPC1880" s="94"/>
      <c r="SPD1880" s="94"/>
      <c r="SPE1880" s="94"/>
      <c r="SPF1880" s="94"/>
      <c r="SPG1880" s="94"/>
      <c r="SPH1880" s="94"/>
      <c r="SPI1880" s="94"/>
      <c r="SPJ1880" s="94"/>
      <c r="SPK1880" s="94"/>
      <c r="SPL1880" s="94"/>
      <c r="SPM1880" s="94"/>
      <c r="SPN1880" s="94"/>
      <c r="SPO1880" s="94"/>
      <c r="SPP1880" s="94"/>
      <c r="SPQ1880" s="94"/>
      <c r="SPR1880" s="94"/>
      <c r="SPS1880" s="94"/>
      <c r="SPT1880" s="94"/>
      <c r="SPU1880" s="94"/>
      <c r="SPV1880" s="94"/>
      <c r="SPW1880" s="94"/>
      <c r="SPX1880" s="94"/>
      <c r="SPY1880" s="94"/>
      <c r="SPZ1880" s="94"/>
      <c r="SQA1880" s="94"/>
      <c r="SQB1880" s="94"/>
      <c r="SQC1880" s="94"/>
      <c r="SQD1880" s="94"/>
      <c r="SQE1880" s="94"/>
      <c r="SQF1880" s="94"/>
      <c r="SQG1880" s="94"/>
      <c r="SQH1880" s="94"/>
      <c r="SQI1880" s="94"/>
      <c r="SQJ1880" s="94"/>
      <c r="SQK1880" s="94"/>
      <c r="SQL1880" s="94"/>
      <c r="SQM1880" s="94"/>
      <c r="SQN1880" s="94"/>
      <c r="SQO1880" s="94"/>
      <c r="SQP1880" s="94"/>
      <c r="SQQ1880" s="94"/>
      <c r="SQR1880" s="94"/>
      <c r="SQS1880" s="94"/>
      <c r="SQT1880" s="94"/>
      <c r="SQU1880" s="94"/>
      <c r="SQV1880" s="94"/>
      <c r="SQW1880" s="94"/>
      <c r="SQX1880" s="94"/>
      <c r="SQY1880" s="94"/>
      <c r="SQZ1880" s="94"/>
      <c r="SRA1880" s="94"/>
      <c r="SRB1880" s="94"/>
      <c r="SRC1880" s="94"/>
      <c r="SRD1880" s="94"/>
      <c r="SRE1880" s="94"/>
      <c r="SRF1880" s="94"/>
      <c r="SRG1880" s="94"/>
      <c r="SRH1880" s="94"/>
      <c r="SRI1880" s="94"/>
      <c r="SRJ1880" s="94"/>
      <c r="SRK1880" s="94"/>
      <c r="SRL1880" s="94"/>
      <c r="SRM1880" s="94"/>
      <c r="SRN1880" s="94"/>
      <c r="SRO1880" s="94"/>
      <c r="SRP1880" s="94"/>
      <c r="SRQ1880" s="94"/>
      <c r="SRR1880" s="94"/>
      <c r="SRS1880" s="94"/>
      <c r="SRT1880" s="94"/>
      <c r="SRU1880" s="94"/>
      <c r="SRV1880" s="94"/>
      <c r="SRW1880" s="94"/>
      <c r="SRX1880" s="94"/>
      <c r="SRY1880" s="94"/>
      <c r="SRZ1880" s="94"/>
      <c r="SSA1880" s="94"/>
      <c r="SSB1880" s="94"/>
      <c r="SSC1880" s="94"/>
      <c r="SSD1880" s="94"/>
      <c r="SSE1880" s="94"/>
      <c r="SSF1880" s="94"/>
      <c r="SSG1880" s="94"/>
      <c r="SSH1880" s="94"/>
      <c r="SSI1880" s="94"/>
      <c r="SSJ1880" s="94"/>
      <c r="SSK1880" s="94"/>
      <c r="SSL1880" s="94"/>
      <c r="SSM1880" s="94"/>
      <c r="SSN1880" s="94"/>
      <c r="SSO1880" s="94"/>
      <c r="SSP1880" s="94"/>
      <c r="SSQ1880" s="94"/>
      <c r="SSR1880" s="94"/>
      <c r="SSS1880" s="94"/>
      <c r="SST1880" s="94"/>
      <c r="SSU1880" s="94"/>
      <c r="SSV1880" s="94"/>
      <c r="SSW1880" s="94"/>
      <c r="SSX1880" s="94"/>
      <c r="SSY1880" s="94"/>
      <c r="SSZ1880" s="94"/>
      <c r="STA1880" s="94"/>
      <c r="STB1880" s="94"/>
      <c r="STC1880" s="94"/>
      <c r="STD1880" s="94"/>
      <c r="STE1880" s="94"/>
      <c r="STF1880" s="94"/>
      <c r="STG1880" s="94"/>
      <c r="STH1880" s="94"/>
      <c r="STI1880" s="94"/>
      <c r="STJ1880" s="94"/>
      <c r="STK1880" s="94"/>
      <c r="STL1880" s="94"/>
      <c r="STM1880" s="94"/>
      <c r="STN1880" s="94"/>
      <c r="STO1880" s="94"/>
      <c r="STP1880" s="94"/>
      <c r="STQ1880" s="94"/>
      <c r="STR1880" s="94"/>
      <c r="STS1880" s="94"/>
      <c r="STT1880" s="94"/>
      <c r="STU1880" s="94"/>
      <c r="STV1880" s="94"/>
      <c r="STW1880" s="94"/>
      <c r="STX1880" s="94"/>
      <c r="STY1880" s="94"/>
      <c r="STZ1880" s="94"/>
      <c r="SUA1880" s="94"/>
      <c r="SUB1880" s="94"/>
      <c r="SUC1880" s="94"/>
      <c r="SUD1880" s="94"/>
      <c r="SUE1880" s="94"/>
      <c r="SUF1880" s="94"/>
      <c r="SUG1880" s="94"/>
      <c r="SUH1880" s="94"/>
      <c r="SUI1880" s="94"/>
      <c r="SUJ1880" s="94"/>
      <c r="SUK1880" s="94"/>
      <c r="SUL1880" s="94"/>
      <c r="SUM1880" s="94"/>
      <c r="SUN1880" s="94"/>
      <c r="SUO1880" s="94"/>
      <c r="SUP1880" s="94"/>
      <c r="SUQ1880" s="94"/>
      <c r="SUR1880" s="94"/>
      <c r="SUS1880" s="94"/>
      <c r="SUT1880" s="94"/>
      <c r="SUU1880" s="94"/>
      <c r="SUV1880" s="94"/>
      <c r="SUW1880" s="94"/>
      <c r="SUX1880" s="94"/>
      <c r="SUY1880" s="94"/>
      <c r="SUZ1880" s="94"/>
      <c r="SVA1880" s="94"/>
      <c r="SVB1880" s="94"/>
      <c r="SVC1880" s="94"/>
      <c r="SVD1880" s="94"/>
      <c r="SVE1880" s="94"/>
      <c r="SVF1880" s="94"/>
      <c r="SVG1880" s="94"/>
      <c r="SVH1880" s="94"/>
      <c r="SVI1880" s="94"/>
      <c r="SVJ1880" s="94"/>
      <c r="SVK1880" s="94"/>
      <c r="SVL1880" s="94"/>
      <c r="SVM1880" s="94"/>
      <c r="SVN1880" s="94"/>
      <c r="SVO1880" s="94"/>
      <c r="SVP1880" s="94"/>
      <c r="SVQ1880" s="94"/>
      <c r="SVR1880" s="94"/>
      <c r="SVS1880" s="94"/>
      <c r="SVT1880" s="94"/>
      <c r="SVU1880" s="94"/>
      <c r="SVV1880" s="94"/>
      <c r="SVW1880" s="94"/>
      <c r="SVX1880" s="94"/>
      <c r="SVY1880" s="94"/>
      <c r="SVZ1880" s="94"/>
      <c r="SWA1880" s="94"/>
      <c r="SWB1880" s="94"/>
      <c r="SWC1880" s="94"/>
      <c r="SWD1880" s="94"/>
      <c r="SWE1880" s="94"/>
      <c r="SWF1880" s="94"/>
      <c r="SWG1880" s="94"/>
      <c r="SWH1880" s="94"/>
      <c r="SWI1880" s="94"/>
      <c r="SWJ1880" s="94"/>
      <c r="SWK1880" s="94"/>
      <c r="SWL1880" s="94"/>
      <c r="SWM1880" s="94"/>
      <c r="SWN1880" s="94"/>
      <c r="SWO1880" s="94"/>
      <c r="SWP1880" s="94"/>
      <c r="SWQ1880" s="94"/>
      <c r="SWR1880" s="94"/>
      <c r="SWS1880" s="94"/>
      <c r="SWT1880" s="94"/>
      <c r="SWU1880" s="94"/>
      <c r="SWV1880" s="94"/>
      <c r="SWW1880" s="94"/>
      <c r="SWX1880" s="94"/>
      <c r="SWY1880" s="94"/>
      <c r="SWZ1880" s="94"/>
      <c r="SXA1880" s="94"/>
      <c r="SXB1880" s="94"/>
      <c r="SXC1880" s="94"/>
      <c r="SXD1880" s="94"/>
      <c r="SXE1880" s="94"/>
      <c r="SXF1880" s="94"/>
      <c r="SXG1880" s="94"/>
      <c r="SXH1880" s="94"/>
      <c r="SXI1880" s="94"/>
      <c r="SXJ1880" s="94"/>
      <c r="SXK1880" s="94"/>
      <c r="SXL1880" s="94"/>
      <c r="SXM1880" s="94"/>
      <c r="SXN1880" s="94"/>
      <c r="SXO1880" s="94"/>
      <c r="SXP1880" s="94"/>
      <c r="SXQ1880" s="94"/>
      <c r="SXR1880" s="94"/>
      <c r="SXS1880" s="94"/>
      <c r="SXT1880" s="94"/>
      <c r="SXU1880" s="94"/>
      <c r="SXV1880" s="94"/>
      <c r="SXW1880" s="94"/>
      <c r="SXX1880" s="94"/>
      <c r="SXY1880" s="94"/>
      <c r="SXZ1880" s="94"/>
      <c r="SYA1880" s="94"/>
      <c r="SYB1880" s="94"/>
      <c r="SYC1880" s="94"/>
      <c r="SYD1880" s="94"/>
      <c r="SYE1880" s="94"/>
      <c r="SYF1880" s="94"/>
      <c r="SYG1880" s="94"/>
      <c r="SYH1880" s="94"/>
      <c r="SYI1880" s="94"/>
      <c r="SYJ1880" s="94"/>
      <c r="SYK1880" s="94"/>
      <c r="SYL1880" s="94"/>
      <c r="SYM1880" s="94"/>
      <c r="SYN1880" s="94"/>
      <c r="SYO1880" s="94"/>
      <c r="SYP1880" s="94"/>
      <c r="SYQ1880" s="94"/>
      <c r="SYR1880" s="94"/>
      <c r="SYS1880" s="94"/>
      <c r="SYT1880" s="94"/>
      <c r="SYU1880" s="94"/>
      <c r="SYV1880" s="94"/>
      <c r="SYW1880" s="94"/>
      <c r="SYX1880" s="94"/>
      <c r="SYY1880" s="94"/>
      <c r="SYZ1880" s="94"/>
      <c r="SZA1880" s="94"/>
      <c r="SZB1880" s="94"/>
      <c r="SZC1880" s="94"/>
      <c r="SZD1880" s="94"/>
      <c r="SZE1880" s="94"/>
      <c r="SZF1880" s="94"/>
      <c r="SZG1880" s="94"/>
      <c r="SZH1880" s="94"/>
      <c r="SZI1880" s="94"/>
      <c r="SZJ1880" s="94"/>
      <c r="SZK1880" s="94"/>
      <c r="SZL1880" s="94"/>
      <c r="SZM1880" s="94"/>
      <c r="SZN1880" s="94"/>
      <c r="SZO1880" s="94"/>
      <c r="SZP1880" s="94"/>
      <c r="SZQ1880" s="94"/>
      <c r="SZR1880" s="94"/>
      <c r="SZS1880" s="94"/>
      <c r="SZT1880" s="94"/>
      <c r="SZU1880" s="94"/>
      <c r="SZV1880" s="94"/>
      <c r="SZW1880" s="94"/>
      <c r="SZX1880" s="94"/>
      <c r="SZY1880" s="94"/>
      <c r="SZZ1880" s="94"/>
      <c r="TAA1880" s="94"/>
      <c r="TAB1880" s="94"/>
      <c r="TAC1880" s="94"/>
      <c r="TAD1880" s="94"/>
      <c r="TAE1880" s="94"/>
      <c r="TAF1880" s="94"/>
      <c r="TAG1880" s="94"/>
      <c r="TAH1880" s="94"/>
      <c r="TAI1880" s="94"/>
      <c r="TAJ1880" s="94"/>
      <c r="TAK1880" s="94"/>
      <c r="TAL1880" s="94"/>
      <c r="TAM1880" s="94"/>
      <c r="TAN1880" s="94"/>
      <c r="TAO1880" s="94"/>
      <c r="TAP1880" s="94"/>
      <c r="TAQ1880" s="94"/>
      <c r="TAR1880" s="94"/>
      <c r="TAS1880" s="94"/>
      <c r="TAT1880" s="94"/>
      <c r="TAU1880" s="94"/>
      <c r="TAV1880" s="94"/>
      <c r="TAW1880" s="94"/>
      <c r="TAX1880" s="94"/>
      <c r="TAY1880" s="94"/>
      <c r="TAZ1880" s="94"/>
      <c r="TBA1880" s="94"/>
      <c r="TBB1880" s="94"/>
      <c r="TBC1880" s="94"/>
      <c r="TBD1880" s="94"/>
      <c r="TBE1880" s="94"/>
      <c r="TBF1880" s="94"/>
      <c r="TBG1880" s="94"/>
      <c r="TBH1880" s="94"/>
      <c r="TBI1880" s="94"/>
      <c r="TBJ1880" s="94"/>
      <c r="TBK1880" s="94"/>
      <c r="TBL1880" s="94"/>
      <c r="TBM1880" s="94"/>
      <c r="TBN1880" s="94"/>
      <c r="TBO1880" s="94"/>
      <c r="TBP1880" s="94"/>
      <c r="TBQ1880" s="94"/>
      <c r="TBR1880" s="94"/>
      <c r="TBS1880" s="94"/>
      <c r="TBT1880" s="94"/>
      <c r="TBU1880" s="94"/>
      <c r="TBV1880" s="94"/>
      <c r="TBW1880" s="94"/>
      <c r="TBX1880" s="94"/>
      <c r="TBY1880" s="94"/>
      <c r="TBZ1880" s="94"/>
      <c r="TCA1880" s="94"/>
      <c r="TCB1880" s="94"/>
      <c r="TCC1880" s="94"/>
      <c r="TCD1880" s="94"/>
      <c r="TCE1880" s="94"/>
      <c r="TCF1880" s="94"/>
      <c r="TCG1880" s="94"/>
      <c r="TCH1880" s="94"/>
      <c r="TCI1880" s="94"/>
      <c r="TCJ1880" s="94"/>
      <c r="TCK1880" s="94"/>
      <c r="TCL1880" s="94"/>
      <c r="TCM1880" s="94"/>
      <c r="TCN1880" s="94"/>
      <c r="TCO1880" s="94"/>
      <c r="TCP1880" s="94"/>
      <c r="TCQ1880" s="94"/>
      <c r="TCR1880" s="94"/>
      <c r="TCS1880" s="94"/>
      <c r="TCT1880" s="94"/>
      <c r="TCU1880" s="94"/>
      <c r="TCV1880" s="94"/>
      <c r="TCW1880" s="94"/>
      <c r="TCX1880" s="94"/>
      <c r="TCY1880" s="94"/>
      <c r="TCZ1880" s="94"/>
      <c r="TDA1880" s="94"/>
      <c r="TDB1880" s="94"/>
      <c r="TDC1880" s="94"/>
      <c r="TDD1880" s="94"/>
      <c r="TDE1880" s="94"/>
      <c r="TDF1880" s="94"/>
      <c r="TDG1880" s="94"/>
      <c r="TDH1880" s="94"/>
      <c r="TDI1880" s="94"/>
      <c r="TDJ1880" s="94"/>
      <c r="TDK1880" s="94"/>
      <c r="TDL1880" s="94"/>
      <c r="TDM1880" s="94"/>
      <c r="TDN1880" s="94"/>
      <c r="TDO1880" s="94"/>
      <c r="TDP1880" s="94"/>
      <c r="TDQ1880" s="94"/>
      <c r="TDR1880" s="94"/>
      <c r="TDS1880" s="94"/>
      <c r="TDT1880" s="94"/>
      <c r="TDU1880" s="94"/>
      <c r="TDV1880" s="94"/>
      <c r="TDW1880" s="94"/>
      <c r="TDX1880" s="94"/>
      <c r="TDY1880" s="94"/>
      <c r="TDZ1880" s="94"/>
      <c r="TEA1880" s="94"/>
      <c r="TEB1880" s="94"/>
      <c r="TEC1880" s="94"/>
      <c r="TED1880" s="94"/>
      <c r="TEE1880" s="94"/>
      <c r="TEF1880" s="94"/>
      <c r="TEG1880" s="94"/>
      <c r="TEH1880" s="94"/>
      <c r="TEI1880" s="94"/>
      <c r="TEJ1880" s="94"/>
      <c r="TEK1880" s="94"/>
      <c r="TEL1880" s="94"/>
      <c r="TEM1880" s="94"/>
      <c r="TEN1880" s="94"/>
      <c r="TEO1880" s="94"/>
      <c r="TEP1880" s="94"/>
      <c r="TEQ1880" s="94"/>
      <c r="TER1880" s="94"/>
      <c r="TES1880" s="94"/>
      <c r="TET1880" s="94"/>
      <c r="TEU1880" s="94"/>
      <c r="TEV1880" s="94"/>
      <c r="TEW1880" s="94"/>
      <c r="TEX1880" s="94"/>
      <c r="TEY1880" s="94"/>
      <c r="TEZ1880" s="94"/>
      <c r="TFA1880" s="94"/>
      <c r="TFB1880" s="94"/>
      <c r="TFC1880" s="94"/>
      <c r="TFD1880" s="94"/>
      <c r="TFE1880" s="94"/>
      <c r="TFF1880" s="94"/>
      <c r="TFG1880" s="94"/>
      <c r="TFH1880" s="94"/>
      <c r="TFI1880" s="94"/>
      <c r="TFJ1880" s="94"/>
      <c r="TFK1880" s="94"/>
      <c r="TFL1880" s="94"/>
      <c r="TFM1880" s="94"/>
      <c r="TFN1880" s="94"/>
      <c r="TFO1880" s="94"/>
      <c r="TFP1880" s="94"/>
      <c r="TFQ1880" s="94"/>
      <c r="TFR1880" s="94"/>
      <c r="TFS1880" s="94"/>
      <c r="TFT1880" s="94"/>
      <c r="TFU1880" s="94"/>
      <c r="TFV1880" s="94"/>
      <c r="TFW1880" s="94"/>
      <c r="TFX1880" s="94"/>
      <c r="TFY1880" s="94"/>
      <c r="TFZ1880" s="94"/>
      <c r="TGA1880" s="94"/>
      <c r="TGB1880" s="94"/>
      <c r="TGC1880" s="94"/>
      <c r="TGD1880" s="94"/>
      <c r="TGE1880" s="94"/>
      <c r="TGF1880" s="94"/>
      <c r="TGG1880" s="94"/>
      <c r="TGH1880" s="94"/>
      <c r="TGI1880" s="94"/>
      <c r="TGJ1880" s="94"/>
      <c r="TGK1880" s="94"/>
      <c r="TGL1880" s="94"/>
      <c r="TGM1880" s="94"/>
      <c r="TGN1880" s="94"/>
      <c r="TGO1880" s="94"/>
      <c r="TGP1880" s="94"/>
      <c r="TGQ1880" s="94"/>
      <c r="TGR1880" s="94"/>
      <c r="TGS1880" s="94"/>
      <c r="TGT1880" s="94"/>
      <c r="TGU1880" s="94"/>
      <c r="TGV1880" s="94"/>
      <c r="TGW1880" s="94"/>
      <c r="TGX1880" s="94"/>
      <c r="TGY1880" s="94"/>
      <c r="TGZ1880" s="94"/>
      <c r="THA1880" s="94"/>
      <c r="THB1880" s="94"/>
      <c r="THC1880" s="94"/>
      <c r="THD1880" s="94"/>
      <c r="THE1880" s="94"/>
      <c r="THF1880" s="94"/>
      <c r="THG1880" s="94"/>
      <c r="THH1880" s="94"/>
      <c r="THI1880" s="94"/>
      <c r="THJ1880" s="94"/>
      <c r="THK1880" s="94"/>
      <c r="THL1880" s="94"/>
      <c r="THM1880" s="94"/>
      <c r="THN1880" s="94"/>
      <c r="THO1880" s="94"/>
      <c r="THP1880" s="94"/>
      <c r="THQ1880" s="94"/>
      <c r="THR1880" s="94"/>
      <c r="THS1880" s="94"/>
      <c r="THT1880" s="94"/>
      <c r="THU1880" s="94"/>
      <c r="THV1880" s="94"/>
      <c r="THW1880" s="94"/>
      <c r="THX1880" s="94"/>
      <c r="THY1880" s="94"/>
      <c r="THZ1880" s="94"/>
      <c r="TIA1880" s="94"/>
      <c r="TIB1880" s="94"/>
      <c r="TIC1880" s="94"/>
      <c r="TID1880" s="94"/>
      <c r="TIE1880" s="94"/>
      <c r="TIF1880" s="94"/>
      <c r="TIG1880" s="94"/>
      <c r="TIH1880" s="94"/>
      <c r="TII1880" s="94"/>
      <c r="TIJ1880" s="94"/>
      <c r="TIK1880" s="94"/>
      <c r="TIL1880" s="94"/>
      <c r="TIM1880" s="94"/>
      <c r="TIN1880" s="94"/>
      <c r="TIO1880" s="94"/>
      <c r="TIP1880" s="94"/>
      <c r="TIQ1880" s="94"/>
      <c r="TIR1880" s="94"/>
      <c r="TIS1880" s="94"/>
      <c r="TIT1880" s="94"/>
      <c r="TIU1880" s="94"/>
      <c r="TIV1880" s="94"/>
      <c r="TIW1880" s="94"/>
      <c r="TIX1880" s="94"/>
      <c r="TIY1880" s="94"/>
      <c r="TIZ1880" s="94"/>
      <c r="TJA1880" s="94"/>
      <c r="TJB1880" s="94"/>
      <c r="TJC1880" s="94"/>
      <c r="TJD1880" s="94"/>
      <c r="TJE1880" s="94"/>
      <c r="TJF1880" s="94"/>
      <c r="TJG1880" s="94"/>
      <c r="TJH1880" s="94"/>
      <c r="TJI1880" s="94"/>
      <c r="TJJ1880" s="94"/>
      <c r="TJK1880" s="94"/>
      <c r="TJL1880" s="94"/>
      <c r="TJM1880" s="94"/>
      <c r="TJN1880" s="94"/>
      <c r="TJO1880" s="94"/>
      <c r="TJP1880" s="94"/>
      <c r="TJQ1880" s="94"/>
      <c r="TJR1880" s="94"/>
      <c r="TJS1880" s="94"/>
      <c r="TJT1880" s="94"/>
      <c r="TJU1880" s="94"/>
      <c r="TJV1880" s="94"/>
      <c r="TJW1880" s="94"/>
      <c r="TJX1880" s="94"/>
      <c r="TJY1880" s="94"/>
      <c r="TJZ1880" s="94"/>
      <c r="TKA1880" s="94"/>
      <c r="TKB1880" s="94"/>
      <c r="TKC1880" s="94"/>
      <c r="TKD1880" s="94"/>
      <c r="TKE1880" s="94"/>
      <c r="TKF1880" s="94"/>
      <c r="TKG1880" s="94"/>
      <c r="TKH1880" s="94"/>
      <c r="TKI1880" s="94"/>
      <c r="TKJ1880" s="94"/>
      <c r="TKK1880" s="94"/>
      <c r="TKL1880" s="94"/>
      <c r="TKM1880" s="94"/>
      <c r="TKN1880" s="94"/>
      <c r="TKO1880" s="94"/>
      <c r="TKP1880" s="94"/>
      <c r="TKQ1880" s="94"/>
      <c r="TKR1880" s="94"/>
      <c r="TKS1880" s="94"/>
      <c r="TKT1880" s="94"/>
      <c r="TKU1880" s="94"/>
      <c r="TKV1880" s="94"/>
      <c r="TKW1880" s="94"/>
      <c r="TKX1880" s="94"/>
      <c r="TKY1880" s="94"/>
      <c r="TKZ1880" s="94"/>
      <c r="TLA1880" s="94"/>
      <c r="TLB1880" s="94"/>
      <c r="TLC1880" s="94"/>
      <c r="TLD1880" s="94"/>
      <c r="TLE1880" s="94"/>
      <c r="TLF1880" s="94"/>
      <c r="TLG1880" s="94"/>
      <c r="TLH1880" s="94"/>
      <c r="TLI1880" s="94"/>
      <c r="TLJ1880" s="94"/>
      <c r="TLK1880" s="94"/>
      <c r="TLL1880" s="94"/>
      <c r="TLM1880" s="94"/>
      <c r="TLN1880" s="94"/>
      <c r="TLO1880" s="94"/>
      <c r="TLP1880" s="94"/>
      <c r="TLQ1880" s="94"/>
      <c r="TLR1880" s="94"/>
      <c r="TLS1880" s="94"/>
      <c r="TLT1880" s="94"/>
      <c r="TLU1880" s="94"/>
      <c r="TLV1880" s="94"/>
      <c r="TLW1880" s="94"/>
      <c r="TLX1880" s="94"/>
      <c r="TLY1880" s="94"/>
      <c r="TLZ1880" s="94"/>
      <c r="TMA1880" s="94"/>
      <c r="TMB1880" s="94"/>
      <c r="TMC1880" s="94"/>
      <c r="TMD1880" s="94"/>
      <c r="TME1880" s="94"/>
      <c r="TMF1880" s="94"/>
      <c r="TMG1880" s="94"/>
      <c r="TMH1880" s="94"/>
      <c r="TMI1880" s="94"/>
      <c r="TMJ1880" s="94"/>
      <c r="TMK1880" s="94"/>
      <c r="TML1880" s="94"/>
      <c r="TMM1880" s="94"/>
      <c r="TMN1880" s="94"/>
      <c r="TMO1880" s="94"/>
      <c r="TMP1880" s="94"/>
      <c r="TMQ1880" s="94"/>
      <c r="TMR1880" s="94"/>
      <c r="TMS1880" s="94"/>
      <c r="TMT1880" s="94"/>
      <c r="TMU1880" s="94"/>
      <c r="TMV1880" s="94"/>
      <c r="TMW1880" s="94"/>
      <c r="TMX1880" s="94"/>
      <c r="TMY1880" s="94"/>
      <c r="TMZ1880" s="94"/>
      <c r="TNA1880" s="94"/>
      <c r="TNB1880" s="94"/>
      <c r="TNC1880" s="94"/>
      <c r="TND1880" s="94"/>
      <c r="TNE1880" s="94"/>
      <c r="TNF1880" s="94"/>
      <c r="TNG1880" s="94"/>
      <c r="TNH1880" s="94"/>
      <c r="TNI1880" s="94"/>
      <c r="TNJ1880" s="94"/>
      <c r="TNK1880" s="94"/>
      <c r="TNL1880" s="94"/>
      <c r="TNM1880" s="94"/>
      <c r="TNN1880" s="94"/>
      <c r="TNO1880" s="94"/>
      <c r="TNP1880" s="94"/>
      <c r="TNQ1880" s="94"/>
      <c r="TNR1880" s="94"/>
      <c r="TNS1880" s="94"/>
      <c r="TNT1880" s="94"/>
      <c r="TNU1880" s="94"/>
      <c r="TNV1880" s="94"/>
      <c r="TNW1880" s="94"/>
      <c r="TNX1880" s="94"/>
      <c r="TNY1880" s="94"/>
      <c r="TNZ1880" s="94"/>
      <c r="TOA1880" s="94"/>
      <c r="TOB1880" s="94"/>
      <c r="TOC1880" s="94"/>
      <c r="TOD1880" s="94"/>
      <c r="TOE1880" s="94"/>
      <c r="TOF1880" s="94"/>
      <c r="TOG1880" s="94"/>
      <c r="TOH1880" s="94"/>
      <c r="TOI1880" s="94"/>
      <c r="TOJ1880" s="94"/>
      <c r="TOK1880" s="94"/>
      <c r="TOL1880" s="94"/>
      <c r="TOM1880" s="94"/>
      <c r="TON1880" s="94"/>
      <c r="TOO1880" s="94"/>
      <c r="TOP1880" s="94"/>
      <c r="TOQ1880" s="94"/>
      <c r="TOR1880" s="94"/>
      <c r="TOS1880" s="94"/>
      <c r="TOT1880" s="94"/>
      <c r="TOU1880" s="94"/>
      <c r="TOV1880" s="94"/>
      <c r="TOW1880" s="94"/>
      <c r="TOX1880" s="94"/>
      <c r="TOY1880" s="94"/>
      <c r="TOZ1880" s="94"/>
      <c r="TPA1880" s="94"/>
      <c r="TPB1880" s="94"/>
      <c r="TPC1880" s="94"/>
      <c r="TPD1880" s="94"/>
      <c r="TPE1880" s="94"/>
      <c r="TPF1880" s="94"/>
      <c r="TPG1880" s="94"/>
      <c r="TPH1880" s="94"/>
      <c r="TPI1880" s="94"/>
      <c r="TPJ1880" s="94"/>
      <c r="TPK1880" s="94"/>
      <c r="TPL1880" s="94"/>
      <c r="TPM1880" s="94"/>
      <c r="TPN1880" s="94"/>
      <c r="TPO1880" s="94"/>
      <c r="TPP1880" s="94"/>
      <c r="TPQ1880" s="94"/>
      <c r="TPR1880" s="94"/>
      <c r="TPS1880" s="94"/>
      <c r="TPT1880" s="94"/>
      <c r="TPU1880" s="94"/>
      <c r="TPV1880" s="94"/>
      <c r="TPW1880" s="94"/>
      <c r="TPX1880" s="94"/>
      <c r="TPY1880" s="94"/>
      <c r="TPZ1880" s="94"/>
      <c r="TQA1880" s="94"/>
      <c r="TQB1880" s="94"/>
      <c r="TQC1880" s="94"/>
      <c r="TQD1880" s="94"/>
      <c r="TQE1880" s="94"/>
      <c r="TQF1880" s="94"/>
      <c r="TQG1880" s="94"/>
      <c r="TQH1880" s="94"/>
      <c r="TQI1880" s="94"/>
      <c r="TQJ1880" s="94"/>
      <c r="TQK1880" s="94"/>
      <c r="TQL1880" s="94"/>
      <c r="TQM1880" s="94"/>
      <c r="TQN1880" s="94"/>
      <c r="TQO1880" s="94"/>
      <c r="TQP1880" s="94"/>
      <c r="TQQ1880" s="94"/>
      <c r="TQR1880" s="94"/>
      <c r="TQS1880" s="94"/>
      <c r="TQT1880" s="94"/>
      <c r="TQU1880" s="94"/>
      <c r="TQV1880" s="94"/>
      <c r="TQW1880" s="94"/>
      <c r="TQX1880" s="94"/>
      <c r="TQY1880" s="94"/>
      <c r="TQZ1880" s="94"/>
      <c r="TRA1880" s="94"/>
      <c r="TRB1880" s="94"/>
      <c r="TRC1880" s="94"/>
      <c r="TRD1880" s="94"/>
      <c r="TRE1880" s="94"/>
      <c r="TRF1880" s="94"/>
      <c r="TRG1880" s="94"/>
      <c r="TRH1880" s="94"/>
      <c r="TRI1880" s="94"/>
      <c r="TRJ1880" s="94"/>
      <c r="TRK1880" s="94"/>
      <c r="TRL1880" s="94"/>
      <c r="TRM1880" s="94"/>
      <c r="TRN1880" s="94"/>
      <c r="TRO1880" s="94"/>
      <c r="TRP1880" s="94"/>
      <c r="TRQ1880" s="94"/>
      <c r="TRR1880" s="94"/>
      <c r="TRS1880" s="94"/>
      <c r="TRT1880" s="94"/>
      <c r="TRU1880" s="94"/>
      <c r="TRV1880" s="94"/>
      <c r="TRW1880" s="94"/>
      <c r="TRX1880" s="94"/>
      <c r="TRY1880" s="94"/>
      <c r="TRZ1880" s="94"/>
      <c r="TSA1880" s="94"/>
      <c r="TSB1880" s="94"/>
      <c r="TSC1880" s="94"/>
      <c r="TSD1880" s="94"/>
      <c r="TSE1880" s="94"/>
      <c r="TSF1880" s="94"/>
      <c r="TSG1880" s="94"/>
      <c r="TSH1880" s="94"/>
      <c r="TSI1880" s="94"/>
      <c r="TSJ1880" s="94"/>
      <c r="TSK1880" s="94"/>
      <c r="TSL1880" s="94"/>
      <c r="TSM1880" s="94"/>
      <c r="TSN1880" s="94"/>
      <c r="TSO1880" s="94"/>
      <c r="TSP1880" s="94"/>
      <c r="TSQ1880" s="94"/>
      <c r="TSR1880" s="94"/>
      <c r="TSS1880" s="94"/>
      <c r="TST1880" s="94"/>
      <c r="TSU1880" s="94"/>
      <c r="TSV1880" s="94"/>
      <c r="TSW1880" s="94"/>
      <c r="TSX1880" s="94"/>
      <c r="TSY1880" s="94"/>
      <c r="TSZ1880" s="94"/>
      <c r="TTA1880" s="94"/>
      <c r="TTB1880" s="94"/>
      <c r="TTC1880" s="94"/>
      <c r="TTD1880" s="94"/>
      <c r="TTE1880" s="94"/>
      <c r="TTF1880" s="94"/>
      <c r="TTG1880" s="94"/>
      <c r="TTH1880" s="94"/>
      <c r="TTI1880" s="94"/>
      <c r="TTJ1880" s="94"/>
      <c r="TTK1880" s="94"/>
      <c r="TTL1880" s="94"/>
      <c r="TTM1880" s="94"/>
      <c r="TTN1880" s="94"/>
      <c r="TTO1880" s="94"/>
      <c r="TTP1880" s="94"/>
      <c r="TTQ1880" s="94"/>
      <c r="TTR1880" s="94"/>
      <c r="TTS1880" s="94"/>
      <c r="TTT1880" s="94"/>
      <c r="TTU1880" s="94"/>
      <c r="TTV1880" s="94"/>
      <c r="TTW1880" s="94"/>
      <c r="TTX1880" s="94"/>
      <c r="TTY1880" s="94"/>
      <c r="TTZ1880" s="94"/>
      <c r="TUA1880" s="94"/>
      <c r="TUB1880" s="94"/>
      <c r="TUC1880" s="94"/>
      <c r="TUD1880" s="94"/>
      <c r="TUE1880" s="94"/>
      <c r="TUF1880" s="94"/>
      <c r="TUG1880" s="94"/>
      <c r="TUH1880" s="94"/>
      <c r="TUI1880" s="94"/>
      <c r="TUJ1880" s="94"/>
      <c r="TUK1880" s="94"/>
      <c r="TUL1880" s="94"/>
      <c r="TUM1880" s="94"/>
      <c r="TUN1880" s="94"/>
      <c r="TUO1880" s="94"/>
      <c r="TUP1880" s="94"/>
      <c r="TUQ1880" s="94"/>
      <c r="TUR1880" s="94"/>
      <c r="TUS1880" s="94"/>
      <c r="TUT1880" s="94"/>
      <c r="TUU1880" s="94"/>
      <c r="TUV1880" s="94"/>
      <c r="TUW1880" s="94"/>
      <c r="TUX1880" s="94"/>
      <c r="TUY1880" s="94"/>
      <c r="TUZ1880" s="94"/>
      <c r="TVA1880" s="94"/>
      <c r="TVB1880" s="94"/>
      <c r="TVC1880" s="94"/>
      <c r="TVD1880" s="94"/>
      <c r="TVE1880" s="94"/>
      <c r="TVF1880" s="94"/>
      <c r="TVG1880" s="94"/>
      <c r="TVH1880" s="94"/>
      <c r="TVI1880" s="94"/>
      <c r="TVJ1880" s="94"/>
      <c r="TVK1880" s="94"/>
      <c r="TVL1880" s="94"/>
      <c r="TVM1880" s="94"/>
      <c r="TVN1880" s="94"/>
      <c r="TVO1880" s="94"/>
      <c r="TVP1880" s="94"/>
      <c r="TVQ1880" s="94"/>
      <c r="TVR1880" s="94"/>
      <c r="TVS1880" s="94"/>
      <c r="TVT1880" s="94"/>
      <c r="TVU1880" s="94"/>
      <c r="TVV1880" s="94"/>
      <c r="TVW1880" s="94"/>
      <c r="TVX1880" s="94"/>
      <c r="TVY1880" s="94"/>
      <c r="TVZ1880" s="94"/>
      <c r="TWA1880" s="94"/>
      <c r="TWB1880" s="94"/>
      <c r="TWC1880" s="94"/>
      <c r="TWD1880" s="94"/>
      <c r="TWE1880" s="94"/>
      <c r="TWF1880" s="94"/>
      <c r="TWG1880" s="94"/>
      <c r="TWH1880" s="94"/>
      <c r="TWI1880" s="94"/>
      <c r="TWJ1880" s="94"/>
      <c r="TWK1880" s="94"/>
      <c r="TWL1880" s="94"/>
      <c r="TWM1880" s="94"/>
      <c r="TWN1880" s="94"/>
      <c r="TWO1880" s="94"/>
      <c r="TWP1880" s="94"/>
      <c r="TWQ1880" s="94"/>
      <c r="TWR1880" s="94"/>
      <c r="TWS1880" s="94"/>
      <c r="TWT1880" s="94"/>
      <c r="TWU1880" s="94"/>
      <c r="TWV1880" s="94"/>
      <c r="TWW1880" s="94"/>
      <c r="TWX1880" s="94"/>
      <c r="TWY1880" s="94"/>
      <c r="TWZ1880" s="94"/>
      <c r="TXA1880" s="94"/>
      <c r="TXB1880" s="94"/>
      <c r="TXC1880" s="94"/>
      <c r="TXD1880" s="94"/>
      <c r="TXE1880" s="94"/>
      <c r="TXF1880" s="94"/>
      <c r="TXG1880" s="94"/>
      <c r="TXH1880" s="94"/>
      <c r="TXI1880" s="94"/>
      <c r="TXJ1880" s="94"/>
      <c r="TXK1880" s="94"/>
      <c r="TXL1880" s="94"/>
      <c r="TXM1880" s="94"/>
      <c r="TXN1880" s="94"/>
      <c r="TXO1880" s="94"/>
      <c r="TXP1880" s="94"/>
      <c r="TXQ1880" s="94"/>
      <c r="TXR1880" s="94"/>
      <c r="TXS1880" s="94"/>
      <c r="TXT1880" s="94"/>
      <c r="TXU1880" s="94"/>
      <c r="TXV1880" s="94"/>
      <c r="TXW1880" s="94"/>
      <c r="TXX1880" s="94"/>
      <c r="TXY1880" s="94"/>
      <c r="TXZ1880" s="94"/>
      <c r="TYA1880" s="94"/>
      <c r="TYB1880" s="94"/>
      <c r="TYC1880" s="94"/>
      <c r="TYD1880" s="94"/>
      <c r="TYE1880" s="94"/>
      <c r="TYF1880" s="94"/>
      <c r="TYG1880" s="94"/>
      <c r="TYH1880" s="94"/>
      <c r="TYI1880" s="94"/>
      <c r="TYJ1880" s="94"/>
      <c r="TYK1880" s="94"/>
      <c r="TYL1880" s="94"/>
      <c r="TYM1880" s="94"/>
      <c r="TYN1880" s="94"/>
      <c r="TYO1880" s="94"/>
      <c r="TYP1880" s="94"/>
      <c r="TYQ1880" s="94"/>
      <c r="TYR1880" s="94"/>
      <c r="TYS1880" s="94"/>
      <c r="TYT1880" s="94"/>
      <c r="TYU1880" s="94"/>
      <c r="TYV1880" s="94"/>
      <c r="TYW1880" s="94"/>
      <c r="TYX1880" s="94"/>
      <c r="TYY1880" s="94"/>
      <c r="TYZ1880" s="94"/>
      <c r="TZA1880" s="94"/>
      <c r="TZB1880" s="94"/>
      <c r="TZC1880" s="94"/>
      <c r="TZD1880" s="94"/>
      <c r="TZE1880" s="94"/>
      <c r="TZF1880" s="94"/>
      <c r="TZG1880" s="94"/>
      <c r="TZH1880" s="94"/>
      <c r="TZI1880" s="94"/>
      <c r="TZJ1880" s="94"/>
      <c r="TZK1880" s="94"/>
      <c r="TZL1880" s="94"/>
      <c r="TZM1880" s="94"/>
      <c r="TZN1880" s="94"/>
      <c r="TZO1880" s="94"/>
      <c r="TZP1880" s="94"/>
      <c r="TZQ1880" s="94"/>
      <c r="TZR1880" s="94"/>
      <c r="TZS1880" s="94"/>
      <c r="TZT1880" s="94"/>
      <c r="TZU1880" s="94"/>
      <c r="TZV1880" s="94"/>
      <c r="TZW1880" s="94"/>
      <c r="TZX1880" s="94"/>
      <c r="TZY1880" s="94"/>
      <c r="TZZ1880" s="94"/>
      <c r="UAA1880" s="94"/>
      <c r="UAB1880" s="94"/>
      <c r="UAC1880" s="94"/>
      <c r="UAD1880" s="94"/>
      <c r="UAE1880" s="94"/>
      <c r="UAF1880" s="94"/>
      <c r="UAG1880" s="94"/>
      <c r="UAH1880" s="94"/>
      <c r="UAI1880" s="94"/>
      <c r="UAJ1880" s="94"/>
      <c r="UAK1880" s="94"/>
      <c r="UAL1880" s="94"/>
      <c r="UAM1880" s="94"/>
      <c r="UAN1880" s="94"/>
      <c r="UAO1880" s="94"/>
      <c r="UAP1880" s="94"/>
      <c r="UAQ1880" s="94"/>
      <c r="UAR1880" s="94"/>
      <c r="UAS1880" s="94"/>
      <c r="UAT1880" s="94"/>
      <c r="UAU1880" s="94"/>
      <c r="UAV1880" s="94"/>
      <c r="UAW1880" s="94"/>
      <c r="UAX1880" s="94"/>
      <c r="UAY1880" s="94"/>
      <c r="UAZ1880" s="94"/>
      <c r="UBA1880" s="94"/>
      <c r="UBB1880" s="94"/>
      <c r="UBC1880" s="94"/>
      <c r="UBD1880" s="94"/>
      <c r="UBE1880" s="94"/>
      <c r="UBF1880" s="94"/>
      <c r="UBG1880" s="94"/>
      <c r="UBH1880" s="94"/>
      <c r="UBI1880" s="94"/>
      <c r="UBJ1880" s="94"/>
      <c r="UBK1880" s="94"/>
      <c r="UBL1880" s="94"/>
      <c r="UBM1880" s="94"/>
      <c r="UBN1880" s="94"/>
      <c r="UBO1880" s="94"/>
      <c r="UBP1880" s="94"/>
      <c r="UBQ1880" s="94"/>
      <c r="UBR1880" s="94"/>
      <c r="UBS1880" s="94"/>
      <c r="UBT1880" s="94"/>
      <c r="UBU1880" s="94"/>
      <c r="UBV1880" s="94"/>
      <c r="UBW1880" s="94"/>
      <c r="UBX1880" s="94"/>
      <c r="UBY1880" s="94"/>
      <c r="UBZ1880" s="94"/>
      <c r="UCA1880" s="94"/>
      <c r="UCB1880" s="94"/>
      <c r="UCC1880" s="94"/>
      <c r="UCD1880" s="94"/>
      <c r="UCE1880" s="94"/>
      <c r="UCF1880" s="94"/>
      <c r="UCG1880" s="94"/>
      <c r="UCH1880" s="94"/>
      <c r="UCI1880" s="94"/>
      <c r="UCJ1880" s="94"/>
      <c r="UCK1880" s="94"/>
      <c r="UCL1880" s="94"/>
      <c r="UCM1880" s="94"/>
      <c r="UCN1880" s="94"/>
      <c r="UCO1880" s="94"/>
      <c r="UCP1880" s="94"/>
      <c r="UCQ1880" s="94"/>
      <c r="UCR1880" s="94"/>
      <c r="UCS1880" s="94"/>
      <c r="UCT1880" s="94"/>
      <c r="UCU1880" s="94"/>
      <c r="UCV1880" s="94"/>
      <c r="UCW1880" s="94"/>
      <c r="UCX1880" s="94"/>
      <c r="UCY1880" s="94"/>
      <c r="UCZ1880" s="94"/>
      <c r="UDA1880" s="94"/>
      <c r="UDB1880" s="94"/>
      <c r="UDC1880" s="94"/>
      <c r="UDD1880" s="94"/>
      <c r="UDE1880" s="94"/>
      <c r="UDF1880" s="94"/>
      <c r="UDG1880" s="94"/>
      <c r="UDH1880" s="94"/>
      <c r="UDI1880" s="94"/>
      <c r="UDJ1880" s="94"/>
      <c r="UDK1880" s="94"/>
      <c r="UDL1880" s="94"/>
      <c r="UDM1880" s="94"/>
      <c r="UDN1880" s="94"/>
      <c r="UDO1880" s="94"/>
      <c r="UDP1880" s="94"/>
      <c r="UDQ1880" s="94"/>
      <c r="UDR1880" s="94"/>
      <c r="UDS1880" s="94"/>
      <c r="UDT1880" s="94"/>
      <c r="UDU1880" s="94"/>
      <c r="UDV1880" s="94"/>
      <c r="UDW1880" s="94"/>
      <c r="UDX1880" s="94"/>
      <c r="UDY1880" s="94"/>
      <c r="UDZ1880" s="94"/>
      <c r="UEA1880" s="94"/>
      <c r="UEB1880" s="94"/>
      <c r="UEC1880" s="94"/>
      <c r="UED1880" s="94"/>
      <c r="UEE1880" s="94"/>
      <c r="UEF1880" s="94"/>
      <c r="UEG1880" s="94"/>
      <c r="UEH1880" s="94"/>
      <c r="UEI1880" s="94"/>
      <c r="UEJ1880" s="94"/>
      <c r="UEK1880" s="94"/>
      <c r="UEL1880" s="94"/>
      <c r="UEM1880" s="94"/>
      <c r="UEN1880" s="94"/>
      <c r="UEO1880" s="94"/>
      <c r="UEP1880" s="94"/>
      <c r="UEQ1880" s="94"/>
      <c r="UER1880" s="94"/>
      <c r="UES1880" s="94"/>
      <c r="UET1880" s="94"/>
      <c r="UEU1880" s="94"/>
      <c r="UEV1880" s="94"/>
      <c r="UEW1880" s="94"/>
      <c r="UEX1880" s="94"/>
      <c r="UEY1880" s="94"/>
      <c r="UEZ1880" s="94"/>
      <c r="UFA1880" s="94"/>
      <c r="UFB1880" s="94"/>
      <c r="UFC1880" s="94"/>
      <c r="UFD1880" s="94"/>
      <c r="UFE1880" s="94"/>
      <c r="UFF1880" s="94"/>
      <c r="UFG1880" s="94"/>
      <c r="UFH1880" s="94"/>
      <c r="UFI1880" s="94"/>
      <c r="UFJ1880" s="94"/>
      <c r="UFK1880" s="94"/>
      <c r="UFL1880" s="94"/>
      <c r="UFM1880" s="94"/>
      <c r="UFN1880" s="94"/>
      <c r="UFO1880" s="94"/>
      <c r="UFP1880" s="94"/>
      <c r="UFQ1880" s="94"/>
      <c r="UFR1880" s="94"/>
      <c r="UFS1880" s="94"/>
      <c r="UFT1880" s="94"/>
      <c r="UFU1880" s="94"/>
      <c r="UFV1880" s="94"/>
      <c r="UFW1880" s="94"/>
      <c r="UFX1880" s="94"/>
      <c r="UFY1880" s="94"/>
      <c r="UFZ1880" s="94"/>
      <c r="UGA1880" s="94"/>
      <c r="UGB1880" s="94"/>
      <c r="UGC1880" s="94"/>
      <c r="UGD1880" s="94"/>
      <c r="UGE1880" s="94"/>
      <c r="UGF1880" s="94"/>
      <c r="UGG1880" s="94"/>
      <c r="UGH1880" s="94"/>
      <c r="UGI1880" s="94"/>
      <c r="UGJ1880" s="94"/>
      <c r="UGK1880" s="94"/>
      <c r="UGL1880" s="94"/>
      <c r="UGM1880" s="94"/>
      <c r="UGN1880" s="94"/>
      <c r="UGO1880" s="94"/>
      <c r="UGP1880" s="94"/>
      <c r="UGQ1880" s="94"/>
      <c r="UGR1880" s="94"/>
      <c r="UGS1880" s="94"/>
      <c r="UGT1880" s="94"/>
      <c r="UGU1880" s="94"/>
      <c r="UGV1880" s="94"/>
      <c r="UGW1880" s="94"/>
      <c r="UGX1880" s="94"/>
      <c r="UGY1880" s="94"/>
      <c r="UGZ1880" s="94"/>
      <c r="UHA1880" s="94"/>
      <c r="UHB1880" s="94"/>
      <c r="UHC1880" s="94"/>
      <c r="UHD1880" s="94"/>
      <c r="UHE1880" s="94"/>
      <c r="UHF1880" s="94"/>
      <c r="UHG1880" s="94"/>
      <c r="UHH1880" s="94"/>
      <c r="UHI1880" s="94"/>
      <c r="UHJ1880" s="94"/>
      <c r="UHK1880" s="94"/>
      <c r="UHL1880" s="94"/>
      <c r="UHM1880" s="94"/>
      <c r="UHN1880" s="94"/>
      <c r="UHO1880" s="94"/>
      <c r="UHP1880" s="94"/>
      <c r="UHQ1880" s="94"/>
      <c r="UHR1880" s="94"/>
      <c r="UHS1880" s="94"/>
      <c r="UHT1880" s="94"/>
      <c r="UHU1880" s="94"/>
      <c r="UHV1880" s="94"/>
      <c r="UHW1880" s="94"/>
      <c r="UHX1880" s="94"/>
      <c r="UHY1880" s="94"/>
      <c r="UHZ1880" s="94"/>
      <c r="UIA1880" s="94"/>
      <c r="UIB1880" s="94"/>
      <c r="UIC1880" s="94"/>
      <c r="UID1880" s="94"/>
      <c r="UIE1880" s="94"/>
      <c r="UIF1880" s="94"/>
      <c r="UIG1880" s="94"/>
      <c r="UIH1880" s="94"/>
      <c r="UII1880" s="94"/>
      <c r="UIJ1880" s="94"/>
      <c r="UIK1880" s="94"/>
      <c r="UIL1880" s="94"/>
      <c r="UIM1880" s="94"/>
      <c r="UIN1880" s="94"/>
      <c r="UIO1880" s="94"/>
      <c r="UIP1880" s="94"/>
      <c r="UIQ1880" s="94"/>
      <c r="UIR1880" s="94"/>
      <c r="UIS1880" s="94"/>
      <c r="UIT1880" s="94"/>
      <c r="UIU1880" s="94"/>
      <c r="UIV1880" s="94"/>
      <c r="UIW1880" s="94"/>
      <c r="UIX1880" s="94"/>
      <c r="UIY1880" s="94"/>
      <c r="UIZ1880" s="94"/>
      <c r="UJA1880" s="94"/>
      <c r="UJB1880" s="94"/>
      <c r="UJC1880" s="94"/>
      <c r="UJD1880" s="94"/>
      <c r="UJE1880" s="94"/>
      <c r="UJF1880" s="94"/>
      <c r="UJG1880" s="94"/>
      <c r="UJH1880" s="94"/>
      <c r="UJI1880" s="94"/>
      <c r="UJJ1880" s="94"/>
      <c r="UJK1880" s="94"/>
      <c r="UJL1880" s="94"/>
      <c r="UJM1880" s="94"/>
      <c r="UJN1880" s="94"/>
      <c r="UJO1880" s="94"/>
      <c r="UJP1880" s="94"/>
      <c r="UJQ1880" s="94"/>
      <c r="UJR1880" s="94"/>
      <c r="UJS1880" s="94"/>
      <c r="UJT1880" s="94"/>
      <c r="UJU1880" s="94"/>
      <c r="UJV1880" s="94"/>
      <c r="UJW1880" s="94"/>
      <c r="UJX1880" s="94"/>
      <c r="UJY1880" s="94"/>
      <c r="UJZ1880" s="94"/>
      <c r="UKA1880" s="94"/>
      <c r="UKB1880" s="94"/>
      <c r="UKC1880" s="94"/>
      <c r="UKD1880" s="94"/>
      <c r="UKE1880" s="94"/>
      <c r="UKF1880" s="94"/>
      <c r="UKG1880" s="94"/>
      <c r="UKH1880" s="94"/>
      <c r="UKI1880" s="94"/>
      <c r="UKJ1880" s="94"/>
      <c r="UKK1880" s="94"/>
      <c r="UKL1880" s="94"/>
      <c r="UKM1880" s="94"/>
      <c r="UKN1880" s="94"/>
      <c r="UKO1880" s="94"/>
      <c r="UKP1880" s="94"/>
      <c r="UKQ1880" s="94"/>
      <c r="UKR1880" s="94"/>
      <c r="UKS1880" s="94"/>
      <c r="UKT1880" s="94"/>
      <c r="UKU1880" s="94"/>
      <c r="UKV1880" s="94"/>
      <c r="UKW1880" s="94"/>
      <c r="UKX1880" s="94"/>
      <c r="UKY1880" s="94"/>
      <c r="UKZ1880" s="94"/>
      <c r="ULA1880" s="94"/>
      <c r="ULB1880" s="94"/>
      <c r="ULC1880" s="94"/>
      <c r="ULD1880" s="94"/>
      <c r="ULE1880" s="94"/>
      <c r="ULF1880" s="94"/>
      <c r="ULG1880" s="94"/>
      <c r="ULH1880" s="94"/>
      <c r="ULI1880" s="94"/>
      <c r="ULJ1880" s="94"/>
      <c r="ULK1880" s="94"/>
      <c r="ULL1880" s="94"/>
      <c r="ULM1880" s="94"/>
      <c r="ULN1880" s="94"/>
      <c r="ULO1880" s="94"/>
      <c r="ULP1880" s="94"/>
      <c r="ULQ1880" s="94"/>
      <c r="ULR1880" s="94"/>
      <c r="ULS1880" s="94"/>
      <c r="ULT1880" s="94"/>
      <c r="ULU1880" s="94"/>
      <c r="ULV1880" s="94"/>
      <c r="ULW1880" s="94"/>
      <c r="ULX1880" s="94"/>
      <c r="ULY1880" s="94"/>
      <c r="ULZ1880" s="94"/>
      <c r="UMA1880" s="94"/>
      <c r="UMB1880" s="94"/>
      <c r="UMC1880" s="94"/>
      <c r="UMD1880" s="94"/>
      <c r="UME1880" s="94"/>
      <c r="UMF1880" s="94"/>
      <c r="UMG1880" s="94"/>
      <c r="UMH1880" s="94"/>
      <c r="UMI1880" s="94"/>
      <c r="UMJ1880" s="94"/>
      <c r="UMK1880" s="94"/>
      <c r="UML1880" s="94"/>
      <c r="UMM1880" s="94"/>
      <c r="UMN1880" s="94"/>
      <c r="UMO1880" s="94"/>
      <c r="UMP1880" s="94"/>
      <c r="UMQ1880" s="94"/>
      <c r="UMR1880" s="94"/>
      <c r="UMS1880" s="94"/>
      <c r="UMT1880" s="94"/>
      <c r="UMU1880" s="94"/>
      <c r="UMV1880" s="94"/>
      <c r="UMW1880" s="94"/>
      <c r="UMX1880" s="94"/>
      <c r="UMY1880" s="94"/>
      <c r="UMZ1880" s="94"/>
      <c r="UNA1880" s="94"/>
      <c r="UNB1880" s="94"/>
      <c r="UNC1880" s="94"/>
      <c r="UND1880" s="94"/>
      <c r="UNE1880" s="94"/>
      <c r="UNF1880" s="94"/>
      <c r="UNG1880" s="94"/>
      <c r="UNH1880" s="94"/>
      <c r="UNI1880" s="94"/>
      <c r="UNJ1880" s="94"/>
      <c r="UNK1880" s="94"/>
      <c r="UNL1880" s="94"/>
      <c r="UNM1880" s="94"/>
      <c r="UNN1880" s="94"/>
      <c r="UNO1880" s="94"/>
      <c r="UNP1880" s="94"/>
      <c r="UNQ1880" s="94"/>
      <c r="UNR1880" s="94"/>
      <c r="UNS1880" s="94"/>
      <c r="UNT1880" s="94"/>
      <c r="UNU1880" s="94"/>
      <c r="UNV1880" s="94"/>
      <c r="UNW1880" s="94"/>
      <c r="UNX1880" s="94"/>
      <c r="UNY1880" s="94"/>
      <c r="UNZ1880" s="94"/>
      <c r="UOA1880" s="94"/>
      <c r="UOB1880" s="94"/>
      <c r="UOC1880" s="94"/>
      <c r="UOD1880" s="94"/>
      <c r="UOE1880" s="94"/>
      <c r="UOF1880" s="94"/>
      <c r="UOG1880" s="94"/>
      <c r="UOH1880" s="94"/>
      <c r="UOI1880" s="94"/>
      <c r="UOJ1880" s="94"/>
      <c r="UOK1880" s="94"/>
      <c r="UOL1880" s="94"/>
      <c r="UOM1880" s="94"/>
      <c r="UON1880" s="94"/>
      <c r="UOO1880" s="94"/>
      <c r="UOP1880" s="94"/>
      <c r="UOQ1880" s="94"/>
      <c r="UOR1880" s="94"/>
      <c r="UOS1880" s="94"/>
      <c r="UOT1880" s="94"/>
      <c r="UOU1880" s="94"/>
      <c r="UOV1880" s="94"/>
      <c r="UOW1880" s="94"/>
      <c r="UOX1880" s="94"/>
      <c r="UOY1880" s="94"/>
      <c r="UOZ1880" s="94"/>
      <c r="UPA1880" s="94"/>
      <c r="UPB1880" s="94"/>
      <c r="UPC1880" s="94"/>
      <c r="UPD1880" s="94"/>
      <c r="UPE1880" s="94"/>
      <c r="UPF1880" s="94"/>
      <c r="UPG1880" s="94"/>
      <c r="UPH1880" s="94"/>
      <c r="UPI1880" s="94"/>
      <c r="UPJ1880" s="94"/>
      <c r="UPK1880" s="94"/>
      <c r="UPL1880" s="94"/>
      <c r="UPM1880" s="94"/>
      <c r="UPN1880" s="94"/>
      <c r="UPO1880" s="94"/>
      <c r="UPP1880" s="94"/>
      <c r="UPQ1880" s="94"/>
      <c r="UPR1880" s="94"/>
      <c r="UPS1880" s="94"/>
      <c r="UPT1880" s="94"/>
      <c r="UPU1880" s="94"/>
      <c r="UPV1880" s="94"/>
      <c r="UPW1880" s="94"/>
      <c r="UPX1880" s="94"/>
      <c r="UPY1880" s="94"/>
      <c r="UPZ1880" s="94"/>
      <c r="UQA1880" s="94"/>
      <c r="UQB1880" s="94"/>
      <c r="UQC1880" s="94"/>
      <c r="UQD1880" s="94"/>
      <c r="UQE1880" s="94"/>
      <c r="UQF1880" s="94"/>
      <c r="UQG1880" s="94"/>
      <c r="UQH1880" s="94"/>
      <c r="UQI1880" s="94"/>
      <c r="UQJ1880" s="94"/>
      <c r="UQK1880" s="94"/>
      <c r="UQL1880" s="94"/>
      <c r="UQM1880" s="94"/>
      <c r="UQN1880" s="94"/>
      <c r="UQO1880" s="94"/>
      <c r="UQP1880" s="94"/>
      <c r="UQQ1880" s="94"/>
      <c r="UQR1880" s="94"/>
      <c r="UQS1880" s="94"/>
      <c r="UQT1880" s="94"/>
      <c r="UQU1880" s="94"/>
      <c r="UQV1880" s="94"/>
      <c r="UQW1880" s="94"/>
      <c r="UQX1880" s="94"/>
      <c r="UQY1880" s="94"/>
      <c r="UQZ1880" s="94"/>
      <c r="URA1880" s="94"/>
      <c r="URB1880" s="94"/>
      <c r="URC1880" s="94"/>
      <c r="URD1880" s="94"/>
      <c r="URE1880" s="94"/>
      <c r="URF1880" s="94"/>
      <c r="URG1880" s="94"/>
      <c r="URH1880" s="94"/>
      <c r="URI1880" s="94"/>
      <c r="URJ1880" s="94"/>
      <c r="URK1880" s="94"/>
      <c r="URL1880" s="94"/>
      <c r="URM1880" s="94"/>
      <c r="URN1880" s="94"/>
      <c r="URO1880" s="94"/>
      <c r="URP1880" s="94"/>
      <c r="URQ1880" s="94"/>
      <c r="URR1880" s="94"/>
      <c r="URS1880" s="94"/>
      <c r="URT1880" s="94"/>
      <c r="URU1880" s="94"/>
      <c r="URV1880" s="94"/>
      <c r="URW1880" s="94"/>
      <c r="URX1880" s="94"/>
      <c r="URY1880" s="94"/>
      <c r="URZ1880" s="94"/>
      <c r="USA1880" s="94"/>
      <c r="USB1880" s="94"/>
      <c r="USC1880" s="94"/>
      <c r="USD1880" s="94"/>
      <c r="USE1880" s="94"/>
      <c r="USF1880" s="94"/>
      <c r="USG1880" s="94"/>
      <c r="USH1880" s="94"/>
      <c r="USI1880" s="94"/>
      <c r="USJ1880" s="94"/>
      <c r="USK1880" s="94"/>
      <c r="USL1880" s="94"/>
      <c r="USM1880" s="94"/>
      <c r="USN1880" s="94"/>
      <c r="USO1880" s="94"/>
      <c r="USP1880" s="94"/>
      <c r="USQ1880" s="94"/>
      <c r="USR1880" s="94"/>
      <c r="USS1880" s="94"/>
      <c r="UST1880" s="94"/>
      <c r="USU1880" s="94"/>
      <c r="USV1880" s="94"/>
      <c r="USW1880" s="94"/>
      <c r="USX1880" s="94"/>
      <c r="USY1880" s="94"/>
      <c r="USZ1880" s="94"/>
      <c r="UTA1880" s="94"/>
      <c r="UTB1880" s="94"/>
      <c r="UTC1880" s="94"/>
      <c r="UTD1880" s="94"/>
      <c r="UTE1880" s="94"/>
      <c r="UTF1880" s="94"/>
      <c r="UTG1880" s="94"/>
      <c r="UTH1880" s="94"/>
      <c r="UTI1880" s="94"/>
      <c r="UTJ1880" s="94"/>
      <c r="UTK1880" s="94"/>
      <c r="UTL1880" s="94"/>
      <c r="UTM1880" s="94"/>
      <c r="UTN1880" s="94"/>
      <c r="UTO1880" s="94"/>
      <c r="UTP1880" s="94"/>
      <c r="UTQ1880" s="94"/>
      <c r="UTR1880" s="94"/>
      <c r="UTS1880" s="94"/>
      <c r="UTT1880" s="94"/>
      <c r="UTU1880" s="94"/>
      <c r="UTV1880" s="94"/>
      <c r="UTW1880" s="94"/>
      <c r="UTX1880" s="94"/>
      <c r="UTY1880" s="94"/>
      <c r="UTZ1880" s="94"/>
      <c r="UUA1880" s="94"/>
      <c r="UUB1880" s="94"/>
      <c r="UUC1880" s="94"/>
      <c r="UUD1880" s="94"/>
      <c r="UUE1880" s="94"/>
      <c r="UUF1880" s="94"/>
      <c r="UUG1880" s="94"/>
      <c r="UUH1880" s="94"/>
      <c r="UUI1880" s="94"/>
      <c r="UUJ1880" s="94"/>
      <c r="UUK1880" s="94"/>
      <c r="UUL1880" s="94"/>
      <c r="UUM1880" s="94"/>
      <c r="UUN1880" s="94"/>
      <c r="UUO1880" s="94"/>
      <c r="UUP1880" s="94"/>
      <c r="UUQ1880" s="94"/>
      <c r="UUR1880" s="94"/>
      <c r="UUS1880" s="94"/>
      <c r="UUT1880" s="94"/>
      <c r="UUU1880" s="94"/>
      <c r="UUV1880" s="94"/>
      <c r="UUW1880" s="94"/>
      <c r="UUX1880" s="94"/>
      <c r="UUY1880" s="94"/>
      <c r="UUZ1880" s="94"/>
      <c r="UVA1880" s="94"/>
      <c r="UVB1880" s="94"/>
      <c r="UVC1880" s="94"/>
      <c r="UVD1880" s="94"/>
      <c r="UVE1880" s="94"/>
      <c r="UVF1880" s="94"/>
      <c r="UVG1880" s="94"/>
      <c r="UVH1880" s="94"/>
      <c r="UVI1880" s="94"/>
      <c r="UVJ1880" s="94"/>
      <c r="UVK1880" s="94"/>
      <c r="UVL1880" s="94"/>
      <c r="UVM1880" s="94"/>
      <c r="UVN1880" s="94"/>
      <c r="UVO1880" s="94"/>
      <c r="UVP1880" s="94"/>
      <c r="UVQ1880" s="94"/>
      <c r="UVR1880" s="94"/>
      <c r="UVS1880" s="94"/>
      <c r="UVT1880" s="94"/>
      <c r="UVU1880" s="94"/>
      <c r="UVV1880" s="94"/>
      <c r="UVW1880" s="94"/>
      <c r="UVX1880" s="94"/>
      <c r="UVY1880" s="94"/>
      <c r="UVZ1880" s="94"/>
      <c r="UWA1880" s="94"/>
      <c r="UWB1880" s="94"/>
      <c r="UWC1880" s="94"/>
      <c r="UWD1880" s="94"/>
      <c r="UWE1880" s="94"/>
      <c r="UWF1880" s="94"/>
      <c r="UWG1880" s="94"/>
      <c r="UWH1880" s="94"/>
      <c r="UWI1880" s="94"/>
      <c r="UWJ1880" s="94"/>
      <c r="UWK1880" s="94"/>
      <c r="UWL1880" s="94"/>
      <c r="UWM1880" s="94"/>
      <c r="UWN1880" s="94"/>
      <c r="UWO1880" s="94"/>
      <c r="UWP1880" s="94"/>
      <c r="UWQ1880" s="94"/>
      <c r="UWR1880" s="94"/>
      <c r="UWS1880" s="94"/>
      <c r="UWT1880" s="94"/>
      <c r="UWU1880" s="94"/>
      <c r="UWV1880" s="94"/>
      <c r="UWW1880" s="94"/>
      <c r="UWX1880" s="94"/>
      <c r="UWY1880" s="94"/>
      <c r="UWZ1880" s="94"/>
      <c r="UXA1880" s="94"/>
      <c r="UXB1880" s="94"/>
      <c r="UXC1880" s="94"/>
      <c r="UXD1880" s="94"/>
      <c r="UXE1880" s="94"/>
      <c r="UXF1880" s="94"/>
      <c r="UXG1880" s="94"/>
      <c r="UXH1880" s="94"/>
      <c r="UXI1880" s="94"/>
      <c r="UXJ1880" s="94"/>
      <c r="UXK1880" s="94"/>
      <c r="UXL1880" s="94"/>
      <c r="UXM1880" s="94"/>
      <c r="UXN1880" s="94"/>
      <c r="UXO1880" s="94"/>
      <c r="UXP1880" s="94"/>
      <c r="UXQ1880" s="94"/>
      <c r="UXR1880" s="94"/>
      <c r="UXS1880" s="94"/>
      <c r="UXT1880" s="94"/>
      <c r="UXU1880" s="94"/>
      <c r="UXV1880" s="94"/>
      <c r="UXW1880" s="94"/>
      <c r="UXX1880" s="94"/>
      <c r="UXY1880" s="94"/>
      <c r="UXZ1880" s="94"/>
      <c r="UYA1880" s="94"/>
      <c r="UYB1880" s="94"/>
      <c r="UYC1880" s="94"/>
      <c r="UYD1880" s="94"/>
      <c r="UYE1880" s="94"/>
      <c r="UYF1880" s="94"/>
      <c r="UYG1880" s="94"/>
      <c r="UYH1880" s="94"/>
      <c r="UYI1880" s="94"/>
      <c r="UYJ1880" s="94"/>
      <c r="UYK1880" s="94"/>
      <c r="UYL1880" s="94"/>
      <c r="UYM1880" s="94"/>
      <c r="UYN1880" s="94"/>
      <c r="UYO1880" s="94"/>
      <c r="UYP1880" s="94"/>
      <c r="UYQ1880" s="94"/>
      <c r="UYR1880" s="94"/>
      <c r="UYS1880" s="94"/>
      <c r="UYT1880" s="94"/>
      <c r="UYU1880" s="94"/>
      <c r="UYV1880" s="94"/>
      <c r="UYW1880" s="94"/>
      <c r="UYX1880" s="94"/>
      <c r="UYY1880" s="94"/>
      <c r="UYZ1880" s="94"/>
      <c r="UZA1880" s="94"/>
      <c r="UZB1880" s="94"/>
      <c r="UZC1880" s="94"/>
      <c r="UZD1880" s="94"/>
      <c r="UZE1880" s="94"/>
      <c r="UZF1880" s="94"/>
      <c r="UZG1880" s="94"/>
      <c r="UZH1880" s="94"/>
      <c r="UZI1880" s="94"/>
      <c r="UZJ1880" s="94"/>
      <c r="UZK1880" s="94"/>
      <c r="UZL1880" s="94"/>
      <c r="UZM1880" s="94"/>
      <c r="UZN1880" s="94"/>
      <c r="UZO1880" s="94"/>
      <c r="UZP1880" s="94"/>
      <c r="UZQ1880" s="94"/>
      <c r="UZR1880" s="94"/>
      <c r="UZS1880" s="94"/>
      <c r="UZT1880" s="94"/>
      <c r="UZU1880" s="94"/>
      <c r="UZV1880" s="94"/>
      <c r="UZW1880" s="94"/>
      <c r="UZX1880" s="94"/>
      <c r="UZY1880" s="94"/>
      <c r="UZZ1880" s="94"/>
      <c r="VAA1880" s="94"/>
      <c r="VAB1880" s="94"/>
      <c r="VAC1880" s="94"/>
      <c r="VAD1880" s="94"/>
      <c r="VAE1880" s="94"/>
      <c r="VAF1880" s="94"/>
      <c r="VAG1880" s="94"/>
      <c r="VAH1880" s="94"/>
      <c r="VAI1880" s="94"/>
      <c r="VAJ1880" s="94"/>
      <c r="VAK1880" s="94"/>
      <c r="VAL1880" s="94"/>
      <c r="VAM1880" s="94"/>
      <c r="VAN1880" s="94"/>
      <c r="VAO1880" s="94"/>
      <c r="VAP1880" s="94"/>
      <c r="VAQ1880" s="94"/>
      <c r="VAR1880" s="94"/>
      <c r="VAS1880" s="94"/>
      <c r="VAT1880" s="94"/>
      <c r="VAU1880" s="94"/>
      <c r="VAV1880" s="94"/>
      <c r="VAW1880" s="94"/>
      <c r="VAX1880" s="94"/>
      <c r="VAY1880" s="94"/>
      <c r="VAZ1880" s="94"/>
      <c r="VBA1880" s="94"/>
      <c r="VBB1880" s="94"/>
      <c r="VBC1880" s="94"/>
      <c r="VBD1880" s="94"/>
      <c r="VBE1880" s="94"/>
      <c r="VBF1880" s="94"/>
      <c r="VBG1880" s="94"/>
      <c r="VBH1880" s="94"/>
      <c r="VBI1880" s="94"/>
      <c r="VBJ1880" s="94"/>
      <c r="VBK1880" s="94"/>
      <c r="VBL1880" s="94"/>
      <c r="VBM1880" s="94"/>
      <c r="VBN1880" s="94"/>
      <c r="VBO1880" s="94"/>
      <c r="VBP1880" s="94"/>
      <c r="VBQ1880" s="94"/>
      <c r="VBR1880" s="94"/>
      <c r="VBS1880" s="94"/>
      <c r="VBT1880" s="94"/>
      <c r="VBU1880" s="94"/>
      <c r="VBV1880" s="94"/>
      <c r="VBW1880" s="94"/>
      <c r="VBX1880" s="94"/>
      <c r="VBY1880" s="94"/>
      <c r="VBZ1880" s="94"/>
      <c r="VCA1880" s="94"/>
      <c r="VCB1880" s="94"/>
      <c r="VCC1880" s="94"/>
      <c r="VCD1880" s="94"/>
      <c r="VCE1880" s="94"/>
      <c r="VCF1880" s="94"/>
      <c r="VCG1880" s="94"/>
      <c r="VCH1880" s="94"/>
      <c r="VCI1880" s="94"/>
      <c r="VCJ1880" s="94"/>
      <c r="VCK1880" s="94"/>
      <c r="VCL1880" s="94"/>
      <c r="VCM1880" s="94"/>
      <c r="VCN1880" s="94"/>
      <c r="VCO1880" s="94"/>
      <c r="VCP1880" s="94"/>
      <c r="VCQ1880" s="94"/>
      <c r="VCR1880" s="94"/>
      <c r="VCS1880" s="94"/>
      <c r="VCT1880" s="94"/>
      <c r="VCU1880" s="94"/>
      <c r="VCV1880" s="94"/>
      <c r="VCW1880" s="94"/>
      <c r="VCX1880" s="94"/>
      <c r="VCY1880" s="94"/>
      <c r="VCZ1880" s="94"/>
      <c r="VDA1880" s="94"/>
      <c r="VDB1880" s="94"/>
      <c r="VDC1880" s="94"/>
      <c r="VDD1880" s="94"/>
      <c r="VDE1880" s="94"/>
      <c r="VDF1880" s="94"/>
      <c r="VDG1880" s="94"/>
      <c r="VDH1880" s="94"/>
      <c r="VDI1880" s="94"/>
      <c r="VDJ1880" s="94"/>
      <c r="VDK1880" s="94"/>
      <c r="VDL1880" s="94"/>
      <c r="VDM1880" s="94"/>
      <c r="VDN1880" s="94"/>
      <c r="VDO1880" s="94"/>
      <c r="VDP1880" s="94"/>
      <c r="VDQ1880" s="94"/>
      <c r="VDR1880" s="94"/>
      <c r="VDS1880" s="94"/>
      <c r="VDT1880" s="94"/>
      <c r="VDU1880" s="94"/>
      <c r="VDV1880" s="94"/>
      <c r="VDW1880" s="94"/>
      <c r="VDX1880" s="94"/>
      <c r="VDY1880" s="94"/>
      <c r="VDZ1880" s="94"/>
      <c r="VEA1880" s="94"/>
      <c r="VEB1880" s="94"/>
      <c r="VEC1880" s="94"/>
      <c r="VED1880" s="94"/>
      <c r="VEE1880" s="94"/>
      <c r="VEF1880" s="94"/>
      <c r="VEG1880" s="94"/>
      <c r="VEH1880" s="94"/>
      <c r="VEI1880" s="94"/>
      <c r="VEJ1880" s="94"/>
      <c r="VEK1880" s="94"/>
      <c r="VEL1880" s="94"/>
      <c r="VEM1880" s="94"/>
      <c r="VEN1880" s="94"/>
      <c r="VEO1880" s="94"/>
      <c r="VEP1880" s="94"/>
      <c r="VEQ1880" s="94"/>
      <c r="VER1880" s="94"/>
      <c r="VES1880" s="94"/>
      <c r="VET1880" s="94"/>
      <c r="VEU1880" s="94"/>
      <c r="VEV1880" s="94"/>
      <c r="VEW1880" s="94"/>
      <c r="VEX1880" s="94"/>
      <c r="VEY1880" s="94"/>
      <c r="VEZ1880" s="94"/>
      <c r="VFA1880" s="94"/>
      <c r="VFB1880" s="94"/>
      <c r="VFC1880" s="94"/>
      <c r="VFD1880" s="94"/>
      <c r="VFE1880" s="94"/>
      <c r="VFF1880" s="94"/>
      <c r="VFG1880" s="94"/>
      <c r="VFH1880" s="94"/>
      <c r="VFI1880" s="94"/>
      <c r="VFJ1880" s="94"/>
      <c r="VFK1880" s="94"/>
      <c r="VFL1880" s="94"/>
      <c r="VFM1880" s="94"/>
      <c r="VFN1880" s="94"/>
      <c r="VFO1880" s="94"/>
      <c r="VFP1880" s="94"/>
      <c r="VFQ1880" s="94"/>
      <c r="VFR1880" s="94"/>
      <c r="VFS1880" s="94"/>
      <c r="VFT1880" s="94"/>
      <c r="VFU1880" s="94"/>
      <c r="VFV1880" s="94"/>
      <c r="VFW1880" s="94"/>
      <c r="VFX1880" s="94"/>
      <c r="VFY1880" s="94"/>
      <c r="VFZ1880" s="94"/>
      <c r="VGA1880" s="94"/>
      <c r="VGB1880" s="94"/>
      <c r="VGC1880" s="94"/>
      <c r="VGD1880" s="94"/>
      <c r="VGE1880" s="94"/>
      <c r="VGF1880" s="94"/>
      <c r="VGG1880" s="94"/>
      <c r="VGH1880" s="94"/>
      <c r="VGI1880" s="94"/>
      <c r="VGJ1880" s="94"/>
      <c r="VGK1880" s="94"/>
      <c r="VGL1880" s="94"/>
      <c r="VGM1880" s="94"/>
      <c r="VGN1880" s="94"/>
      <c r="VGO1880" s="94"/>
      <c r="VGP1880" s="94"/>
      <c r="VGQ1880" s="94"/>
      <c r="VGR1880" s="94"/>
      <c r="VGS1880" s="94"/>
      <c r="VGT1880" s="94"/>
      <c r="VGU1880" s="94"/>
      <c r="VGV1880" s="94"/>
      <c r="VGW1880" s="94"/>
      <c r="VGX1880" s="94"/>
      <c r="VGY1880" s="94"/>
      <c r="VGZ1880" s="94"/>
      <c r="VHA1880" s="94"/>
      <c r="VHB1880" s="94"/>
      <c r="VHC1880" s="94"/>
      <c r="VHD1880" s="94"/>
      <c r="VHE1880" s="94"/>
      <c r="VHF1880" s="94"/>
      <c r="VHG1880" s="94"/>
      <c r="VHH1880" s="94"/>
      <c r="VHI1880" s="94"/>
      <c r="VHJ1880" s="94"/>
      <c r="VHK1880" s="94"/>
      <c r="VHL1880" s="94"/>
      <c r="VHM1880" s="94"/>
      <c r="VHN1880" s="94"/>
      <c r="VHO1880" s="94"/>
      <c r="VHP1880" s="94"/>
      <c r="VHQ1880" s="94"/>
      <c r="VHR1880" s="94"/>
      <c r="VHS1880" s="94"/>
      <c r="VHT1880" s="94"/>
      <c r="VHU1880" s="94"/>
      <c r="VHV1880" s="94"/>
      <c r="VHW1880" s="94"/>
      <c r="VHX1880" s="94"/>
      <c r="VHY1880" s="94"/>
      <c r="VHZ1880" s="94"/>
      <c r="VIA1880" s="94"/>
      <c r="VIB1880" s="94"/>
      <c r="VIC1880" s="94"/>
      <c r="VID1880" s="94"/>
      <c r="VIE1880" s="94"/>
      <c r="VIF1880" s="94"/>
      <c r="VIG1880" s="94"/>
      <c r="VIH1880" s="94"/>
      <c r="VII1880" s="94"/>
      <c r="VIJ1880" s="94"/>
      <c r="VIK1880" s="94"/>
      <c r="VIL1880" s="94"/>
      <c r="VIM1880" s="94"/>
      <c r="VIN1880" s="94"/>
      <c r="VIO1880" s="94"/>
      <c r="VIP1880" s="94"/>
      <c r="VIQ1880" s="94"/>
      <c r="VIR1880" s="94"/>
      <c r="VIS1880" s="94"/>
      <c r="VIT1880" s="94"/>
      <c r="VIU1880" s="94"/>
      <c r="VIV1880" s="94"/>
      <c r="VIW1880" s="94"/>
      <c r="VIX1880" s="94"/>
      <c r="VIY1880" s="94"/>
      <c r="VIZ1880" s="94"/>
      <c r="VJA1880" s="94"/>
      <c r="VJB1880" s="94"/>
      <c r="VJC1880" s="94"/>
      <c r="VJD1880" s="94"/>
      <c r="VJE1880" s="94"/>
      <c r="VJF1880" s="94"/>
      <c r="VJG1880" s="94"/>
      <c r="VJH1880" s="94"/>
      <c r="VJI1880" s="94"/>
      <c r="VJJ1880" s="94"/>
      <c r="VJK1880" s="94"/>
      <c r="VJL1880" s="94"/>
      <c r="VJM1880" s="94"/>
      <c r="VJN1880" s="94"/>
      <c r="VJO1880" s="94"/>
      <c r="VJP1880" s="94"/>
      <c r="VJQ1880" s="94"/>
      <c r="VJR1880" s="94"/>
      <c r="VJS1880" s="94"/>
      <c r="VJT1880" s="94"/>
      <c r="VJU1880" s="94"/>
      <c r="VJV1880" s="94"/>
      <c r="VJW1880" s="94"/>
      <c r="VJX1880" s="94"/>
      <c r="VJY1880" s="94"/>
      <c r="VJZ1880" s="94"/>
      <c r="VKA1880" s="94"/>
      <c r="VKB1880" s="94"/>
      <c r="VKC1880" s="94"/>
      <c r="VKD1880" s="94"/>
      <c r="VKE1880" s="94"/>
      <c r="VKF1880" s="94"/>
      <c r="VKG1880" s="94"/>
      <c r="VKH1880" s="94"/>
      <c r="VKI1880" s="94"/>
      <c r="VKJ1880" s="94"/>
      <c r="VKK1880" s="94"/>
      <c r="VKL1880" s="94"/>
      <c r="VKM1880" s="94"/>
      <c r="VKN1880" s="94"/>
      <c r="VKO1880" s="94"/>
      <c r="VKP1880" s="94"/>
      <c r="VKQ1880" s="94"/>
      <c r="VKR1880" s="94"/>
      <c r="VKS1880" s="94"/>
      <c r="VKT1880" s="94"/>
      <c r="VKU1880" s="94"/>
      <c r="VKV1880" s="94"/>
      <c r="VKW1880" s="94"/>
      <c r="VKX1880" s="94"/>
      <c r="VKY1880" s="94"/>
      <c r="VKZ1880" s="94"/>
      <c r="VLA1880" s="94"/>
      <c r="VLB1880" s="94"/>
      <c r="VLC1880" s="94"/>
      <c r="VLD1880" s="94"/>
      <c r="VLE1880" s="94"/>
      <c r="VLF1880" s="94"/>
      <c r="VLG1880" s="94"/>
      <c r="VLH1880" s="94"/>
      <c r="VLI1880" s="94"/>
      <c r="VLJ1880" s="94"/>
      <c r="VLK1880" s="94"/>
      <c r="VLL1880" s="94"/>
      <c r="VLM1880" s="94"/>
      <c r="VLN1880" s="94"/>
      <c r="VLO1880" s="94"/>
      <c r="VLP1880" s="94"/>
      <c r="VLQ1880" s="94"/>
      <c r="VLR1880" s="94"/>
      <c r="VLS1880" s="94"/>
      <c r="VLT1880" s="94"/>
      <c r="VLU1880" s="94"/>
      <c r="VLV1880" s="94"/>
      <c r="VLW1880" s="94"/>
      <c r="VLX1880" s="94"/>
      <c r="VLY1880" s="94"/>
      <c r="VLZ1880" s="94"/>
      <c r="VMA1880" s="94"/>
      <c r="VMB1880" s="94"/>
      <c r="VMC1880" s="94"/>
      <c r="VMD1880" s="94"/>
      <c r="VME1880" s="94"/>
      <c r="VMF1880" s="94"/>
      <c r="VMG1880" s="94"/>
      <c r="VMH1880" s="94"/>
      <c r="VMI1880" s="94"/>
      <c r="VMJ1880" s="94"/>
      <c r="VMK1880" s="94"/>
      <c r="VML1880" s="94"/>
      <c r="VMM1880" s="94"/>
      <c r="VMN1880" s="94"/>
      <c r="VMO1880" s="94"/>
      <c r="VMP1880" s="94"/>
      <c r="VMQ1880" s="94"/>
      <c r="VMR1880" s="94"/>
      <c r="VMS1880" s="94"/>
      <c r="VMT1880" s="94"/>
      <c r="VMU1880" s="94"/>
      <c r="VMV1880" s="94"/>
      <c r="VMW1880" s="94"/>
      <c r="VMX1880" s="94"/>
      <c r="VMY1880" s="94"/>
      <c r="VMZ1880" s="94"/>
      <c r="VNA1880" s="94"/>
      <c r="VNB1880" s="94"/>
      <c r="VNC1880" s="94"/>
      <c r="VND1880" s="94"/>
      <c r="VNE1880" s="94"/>
      <c r="VNF1880" s="94"/>
      <c r="VNG1880" s="94"/>
      <c r="VNH1880" s="94"/>
      <c r="VNI1880" s="94"/>
      <c r="VNJ1880" s="94"/>
      <c r="VNK1880" s="94"/>
      <c r="VNL1880" s="94"/>
      <c r="VNM1880" s="94"/>
      <c r="VNN1880" s="94"/>
      <c r="VNO1880" s="94"/>
      <c r="VNP1880" s="94"/>
      <c r="VNQ1880" s="94"/>
      <c r="VNR1880" s="94"/>
      <c r="VNS1880" s="94"/>
      <c r="VNT1880" s="94"/>
      <c r="VNU1880" s="94"/>
      <c r="VNV1880" s="94"/>
      <c r="VNW1880" s="94"/>
      <c r="VNX1880" s="94"/>
      <c r="VNY1880" s="94"/>
      <c r="VNZ1880" s="94"/>
      <c r="VOA1880" s="94"/>
      <c r="VOB1880" s="94"/>
      <c r="VOC1880" s="94"/>
      <c r="VOD1880" s="94"/>
      <c r="VOE1880" s="94"/>
      <c r="VOF1880" s="94"/>
      <c r="VOG1880" s="94"/>
      <c r="VOH1880" s="94"/>
      <c r="VOI1880" s="94"/>
      <c r="VOJ1880" s="94"/>
      <c r="VOK1880" s="94"/>
      <c r="VOL1880" s="94"/>
      <c r="VOM1880" s="94"/>
      <c r="VON1880" s="94"/>
      <c r="VOO1880" s="94"/>
      <c r="VOP1880" s="94"/>
      <c r="VOQ1880" s="94"/>
      <c r="VOR1880" s="94"/>
      <c r="VOS1880" s="94"/>
      <c r="VOT1880" s="94"/>
      <c r="VOU1880" s="94"/>
      <c r="VOV1880" s="94"/>
      <c r="VOW1880" s="94"/>
      <c r="VOX1880" s="94"/>
      <c r="VOY1880" s="94"/>
      <c r="VOZ1880" s="94"/>
      <c r="VPA1880" s="94"/>
      <c r="VPB1880" s="94"/>
      <c r="VPC1880" s="94"/>
      <c r="VPD1880" s="94"/>
      <c r="VPE1880" s="94"/>
      <c r="VPF1880" s="94"/>
      <c r="VPG1880" s="94"/>
      <c r="VPH1880" s="94"/>
      <c r="VPI1880" s="94"/>
      <c r="VPJ1880" s="94"/>
      <c r="VPK1880" s="94"/>
      <c r="VPL1880" s="94"/>
      <c r="VPM1880" s="94"/>
      <c r="VPN1880" s="94"/>
      <c r="VPO1880" s="94"/>
      <c r="VPP1880" s="94"/>
      <c r="VPQ1880" s="94"/>
      <c r="VPR1880" s="94"/>
      <c r="VPS1880" s="94"/>
      <c r="VPT1880" s="94"/>
      <c r="VPU1880" s="94"/>
      <c r="VPV1880" s="94"/>
      <c r="VPW1880" s="94"/>
      <c r="VPX1880" s="94"/>
      <c r="VPY1880" s="94"/>
      <c r="VPZ1880" s="94"/>
      <c r="VQA1880" s="94"/>
      <c r="VQB1880" s="94"/>
      <c r="VQC1880" s="94"/>
      <c r="VQD1880" s="94"/>
      <c r="VQE1880" s="94"/>
      <c r="VQF1880" s="94"/>
      <c r="VQG1880" s="94"/>
      <c r="VQH1880" s="94"/>
      <c r="VQI1880" s="94"/>
      <c r="VQJ1880" s="94"/>
      <c r="VQK1880" s="94"/>
      <c r="VQL1880" s="94"/>
      <c r="VQM1880" s="94"/>
      <c r="VQN1880" s="94"/>
      <c r="VQO1880" s="94"/>
      <c r="VQP1880" s="94"/>
      <c r="VQQ1880" s="94"/>
      <c r="VQR1880" s="94"/>
      <c r="VQS1880" s="94"/>
      <c r="VQT1880" s="94"/>
      <c r="VQU1880" s="94"/>
      <c r="VQV1880" s="94"/>
      <c r="VQW1880" s="94"/>
      <c r="VQX1880" s="94"/>
      <c r="VQY1880" s="94"/>
      <c r="VQZ1880" s="94"/>
      <c r="VRA1880" s="94"/>
      <c r="VRB1880" s="94"/>
      <c r="VRC1880" s="94"/>
      <c r="VRD1880" s="94"/>
      <c r="VRE1880" s="94"/>
      <c r="VRF1880" s="94"/>
      <c r="VRG1880" s="94"/>
      <c r="VRH1880" s="94"/>
      <c r="VRI1880" s="94"/>
      <c r="VRJ1880" s="94"/>
      <c r="VRK1880" s="94"/>
      <c r="VRL1880" s="94"/>
      <c r="VRM1880" s="94"/>
      <c r="VRN1880" s="94"/>
      <c r="VRO1880" s="94"/>
      <c r="VRP1880" s="94"/>
      <c r="VRQ1880" s="94"/>
      <c r="VRR1880" s="94"/>
      <c r="VRS1880" s="94"/>
      <c r="VRT1880" s="94"/>
      <c r="VRU1880" s="94"/>
      <c r="VRV1880" s="94"/>
      <c r="VRW1880" s="94"/>
      <c r="VRX1880" s="94"/>
      <c r="VRY1880" s="94"/>
      <c r="VRZ1880" s="94"/>
      <c r="VSA1880" s="94"/>
      <c r="VSB1880" s="94"/>
      <c r="VSC1880" s="94"/>
      <c r="VSD1880" s="94"/>
      <c r="VSE1880" s="94"/>
      <c r="VSF1880" s="94"/>
      <c r="VSG1880" s="94"/>
      <c r="VSH1880" s="94"/>
      <c r="VSI1880" s="94"/>
      <c r="VSJ1880" s="94"/>
      <c r="VSK1880" s="94"/>
      <c r="VSL1880" s="94"/>
      <c r="VSM1880" s="94"/>
      <c r="VSN1880" s="94"/>
      <c r="VSO1880" s="94"/>
      <c r="VSP1880" s="94"/>
      <c r="VSQ1880" s="94"/>
      <c r="VSR1880" s="94"/>
      <c r="VSS1880" s="94"/>
      <c r="VST1880" s="94"/>
      <c r="VSU1880" s="94"/>
      <c r="VSV1880" s="94"/>
      <c r="VSW1880" s="94"/>
      <c r="VSX1880" s="94"/>
      <c r="VSY1880" s="94"/>
      <c r="VSZ1880" s="94"/>
      <c r="VTA1880" s="94"/>
      <c r="VTB1880" s="94"/>
      <c r="VTC1880" s="94"/>
      <c r="VTD1880" s="94"/>
      <c r="VTE1880" s="94"/>
      <c r="VTF1880" s="94"/>
      <c r="VTG1880" s="94"/>
      <c r="VTH1880" s="94"/>
      <c r="VTI1880" s="94"/>
      <c r="VTJ1880" s="94"/>
      <c r="VTK1880" s="94"/>
      <c r="VTL1880" s="94"/>
      <c r="VTM1880" s="94"/>
      <c r="VTN1880" s="94"/>
      <c r="VTO1880" s="94"/>
      <c r="VTP1880" s="94"/>
      <c r="VTQ1880" s="94"/>
      <c r="VTR1880" s="94"/>
      <c r="VTS1880" s="94"/>
      <c r="VTT1880" s="94"/>
      <c r="VTU1880" s="94"/>
      <c r="VTV1880" s="94"/>
      <c r="VTW1880" s="94"/>
      <c r="VTX1880" s="94"/>
      <c r="VTY1880" s="94"/>
      <c r="VTZ1880" s="94"/>
      <c r="VUA1880" s="94"/>
      <c r="VUB1880" s="94"/>
      <c r="VUC1880" s="94"/>
      <c r="VUD1880" s="94"/>
      <c r="VUE1880" s="94"/>
      <c r="VUF1880" s="94"/>
      <c r="VUG1880" s="94"/>
      <c r="VUH1880" s="94"/>
      <c r="VUI1880" s="94"/>
      <c r="VUJ1880" s="94"/>
      <c r="VUK1880" s="94"/>
      <c r="VUL1880" s="94"/>
      <c r="VUM1880" s="94"/>
      <c r="VUN1880" s="94"/>
      <c r="VUO1880" s="94"/>
      <c r="VUP1880" s="94"/>
      <c r="VUQ1880" s="94"/>
      <c r="VUR1880" s="94"/>
      <c r="VUS1880" s="94"/>
      <c r="VUT1880" s="94"/>
      <c r="VUU1880" s="94"/>
      <c r="VUV1880" s="94"/>
      <c r="VUW1880" s="94"/>
      <c r="VUX1880" s="94"/>
      <c r="VUY1880" s="94"/>
      <c r="VUZ1880" s="94"/>
      <c r="VVA1880" s="94"/>
      <c r="VVB1880" s="94"/>
      <c r="VVC1880" s="94"/>
      <c r="VVD1880" s="94"/>
      <c r="VVE1880" s="94"/>
      <c r="VVF1880" s="94"/>
      <c r="VVG1880" s="94"/>
      <c r="VVH1880" s="94"/>
      <c r="VVI1880" s="94"/>
      <c r="VVJ1880" s="94"/>
      <c r="VVK1880" s="94"/>
      <c r="VVL1880" s="94"/>
      <c r="VVM1880" s="94"/>
      <c r="VVN1880" s="94"/>
      <c r="VVO1880" s="94"/>
      <c r="VVP1880" s="94"/>
      <c r="VVQ1880" s="94"/>
      <c r="VVR1880" s="94"/>
      <c r="VVS1880" s="94"/>
      <c r="VVT1880" s="94"/>
      <c r="VVU1880" s="94"/>
      <c r="VVV1880" s="94"/>
      <c r="VVW1880" s="94"/>
      <c r="VVX1880" s="94"/>
      <c r="VVY1880" s="94"/>
      <c r="VVZ1880" s="94"/>
      <c r="VWA1880" s="94"/>
      <c r="VWB1880" s="94"/>
      <c r="VWC1880" s="94"/>
      <c r="VWD1880" s="94"/>
      <c r="VWE1880" s="94"/>
      <c r="VWF1880" s="94"/>
      <c r="VWG1880" s="94"/>
      <c r="VWH1880" s="94"/>
      <c r="VWI1880" s="94"/>
      <c r="VWJ1880" s="94"/>
      <c r="VWK1880" s="94"/>
      <c r="VWL1880" s="94"/>
      <c r="VWM1880" s="94"/>
      <c r="VWN1880" s="94"/>
      <c r="VWO1880" s="94"/>
      <c r="VWP1880" s="94"/>
      <c r="VWQ1880" s="94"/>
      <c r="VWR1880" s="94"/>
      <c r="VWS1880" s="94"/>
      <c r="VWT1880" s="94"/>
      <c r="VWU1880" s="94"/>
      <c r="VWV1880" s="94"/>
      <c r="VWW1880" s="94"/>
      <c r="VWX1880" s="94"/>
      <c r="VWY1880" s="94"/>
      <c r="VWZ1880" s="94"/>
      <c r="VXA1880" s="94"/>
      <c r="VXB1880" s="94"/>
      <c r="VXC1880" s="94"/>
      <c r="VXD1880" s="94"/>
      <c r="VXE1880" s="94"/>
      <c r="VXF1880" s="94"/>
      <c r="VXG1880" s="94"/>
      <c r="VXH1880" s="94"/>
      <c r="VXI1880" s="94"/>
      <c r="VXJ1880" s="94"/>
      <c r="VXK1880" s="94"/>
      <c r="VXL1880" s="94"/>
      <c r="VXM1880" s="94"/>
      <c r="VXN1880" s="94"/>
      <c r="VXO1880" s="94"/>
      <c r="VXP1880" s="94"/>
      <c r="VXQ1880" s="94"/>
      <c r="VXR1880" s="94"/>
      <c r="VXS1880" s="94"/>
      <c r="VXT1880" s="94"/>
      <c r="VXU1880" s="94"/>
      <c r="VXV1880" s="94"/>
      <c r="VXW1880" s="94"/>
      <c r="VXX1880" s="94"/>
      <c r="VXY1880" s="94"/>
      <c r="VXZ1880" s="94"/>
      <c r="VYA1880" s="94"/>
      <c r="VYB1880" s="94"/>
      <c r="VYC1880" s="94"/>
      <c r="VYD1880" s="94"/>
      <c r="VYE1880" s="94"/>
      <c r="VYF1880" s="94"/>
      <c r="VYG1880" s="94"/>
      <c r="VYH1880" s="94"/>
      <c r="VYI1880" s="94"/>
      <c r="VYJ1880" s="94"/>
      <c r="VYK1880" s="94"/>
      <c r="VYL1880" s="94"/>
      <c r="VYM1880" s="94"/>
      <c r="VYN1880" s="94"/>
      <c r="VYO1880" s="94"/>
      <c r="VYP1880" s="94"/>
      <c r="VYQ1880" s="94"/>
      <c r="VYR1880" s="94"/>
      <c r="VYS1880" s="94"/>
      <c r="VYT1880" s="94"/>
      <c r="VYU1880" s="94"/>
      <c r="VYV1880" s="94"/>
      <c r="VYW1880" s="94"/>
      <c r="VYX1880" s="94"/>
      <c r="VYY1880" s="94"/>
      <c r="VYZ1880" s="94"/>
      <c r="VZA1880" s="94"/>
      <c r="VZB1880" s="94"/>
      <c r="VZC1880" s="94"/>
      <c r="VZD1880" s="94"/>
      <c r="VZE1880" s="94"/>
      <c r="VZF1880" s="94"/>
      <c r="VZG1880" s="94"/>
      <c r="VZH1880" s="94"/>
      <c r="VZI1880" s="94"/>
      <c r="VZJ1880" s="94"/>
      <c r="VZK1880" s="94"/>
      <c r="VZL1880" s="94"/>
      <c r="VZM1880" s="94"/>
      <c r="VZN1880" s="94"/>
      <c r="VZO1880" s="94"/>
      <c r="VZP1880" s="94"/>
      <c r="VZQ1880" s="94"/>
      <c r="VZR1880" s="94"/>
      <c r="VZS1880" s="94"/>
      <c r="VZT1880" s="94"/>
      <c r="VZU1880" s="94"/>
      <c r="VZV1880" s="94"/>
      <c r="VZW1880" s="94"/>
      <c r="VZX1880" s="94"/>
      <c r="VZY1880" s="94"/>
      <c r="VZZ1880" s="94"/>
      <c r="WAA1880" s="94"/>
      <c r="WAB1880" s="94"/>
      <c r="WAC1880" s="94"/>
      <c r="WAD1880" s="94"/>
      <c r="WAE1880" s="94"/>
      <c r="WAF1880" s="94"/>
      <c r="WAG1880" s="94"/>
      <c r="WAH1880" s="94"/>
      <c r="WAI1880" s="94"/>
      <c r="WAJ1880" s="94"/>
      <c r="WAK1880" s="94"/>
      <c r="WAL1880" s="94"/>
      <c r="WAM1880" s="94"/>
      <c r="WAN1880" s="94"/>
      <c r="WAO1880" s="94"/>
      <c r="WAP1880" s="94"/>
      <c r="WAQ1880" s="94"/>
      <c r="WAR1880" s="94"/>
      <c r="WAS1880" s="94"/>
      <c r="WAT1880" s="94"/>
      <c r="WAU1880" s="94"/>
      <c r="WAV1880" s="94"/>
      <c r="WAW1880" s="94"/>
      <c r="WAX1880" s="94"/>
      <c r="WAY1880" s="94"/>
      <c r="WAZ1880" s="94"/>
      <c r="WBA1880" s="94"/>
      <c r="WBB1880" s="94"/>
      <c r="WBC1880" s="94"/>
      <c r="WBD1880" s="94"/>
      <c r="WBE1880" s="94"/>
      <c r="WBF1880" s="94"/>
      <c r="WBG1880" s="94"/>
      <c r="WBH1880" s="94"/>
      <c r="WBI1880" s="94"/>
      <c r="WBJ1880" s="94"/>
      <c r="WBK1880" s="94"/>
      <c r="WBL1880" s="94"/>
      <c r="WBM1880" s="94"/>
      <c r="WBN1880" s="94"/>
      <c r="WBO1880" s="94"/>
      <c r="WBP1880" s="94"/>
      <c r="WBQ1880" s="94"/>
      <c r="WBR1880" s="94"/>
      <c r="WBS1880" s="94"/>
      <c r="WBT1880" s="94"/>
      <c r="WBU1880" s="94"/>
      <c r="WBV1880" s="94"/>
      <c r="WBW1880" s="94"/>
      <c r="WBX1880" s="94"/>
      <c r="WBY1880" s="94"/>
      <c r="WBZ1880" s="94"/>
      <c r="WCA1880" s="94"/>
      <c r="WCB1880" s="94"/>
      <c r="WCC1880" s="94"/>
      <c r="WCD1880" s="94"/>
      <c r="WCE1880" s="94"/>
      <c r="WCF1880" s="94"/>
      <c r="WCG1880" s="94"/>
      <c r="WCH1880" s="94"/>
      <c r="WCI1880" s="94"/>
      <c r="WCJ1880" s="94"/>
      <c r="WCK1880" s="94"/>
      <c r="WCL1880" s="94"/>
      <c r="WCM1880" s="94"/>
      <c r="WCN1880" s="94"/>
      <c r="WCO1880" s="94"/>
      <c r="WCP1880" s="94"/>
      <c r="WCQ1880" s="94"/>
      <c r="WCR1880" s="94"/>
      <c r="WCS1880" s="94"/>
      <c r="WCT1880" s="94"/>
      <c r="WCU1880" s="94"/>
      <c r="WCV1880" s="94"/>
      <c r="WCW1880" s="94"/>
      <c r="WCX1880" s="94"/>
      <c r="WCY1880" s="94"/>
      <c r="WCZ1880" s="94"/>
      <c r="WDA1880" s="94"/>
      <c r="WDB1880" s="94"/>
      <c r="WDC1880" s="94"/>
      <c r="WDD1880" s="94"/>
      <c r="WDE1880" s="94"/>
      <c r="WDF1880" s="94"/>
      <c r="WDG1880" s="94"/>
      <c r="WDH1880" s="94"/>
      <c r="WDI1880" s="94"/>
      <c r="WDJ1880" s="94"/>
      <c r="WDK1880" s="94"/>
      <c r="WDL1880" s="94"/>
      <c r="WDM1880" s="94"/>
      <c r="WDN1880" s="94"/>
      <c r="WDO1880" s="94"/>
      <c r="WDP1880" s="94"/>
      <c r="WDQ1880" s="94"/>
      <c r="WDR1880" s="94"/>
      <c r="WDS1880" s="94"/>
      <c r="WDT1880" s="94"/>
      <c r="WDU1880" s="94"/>
      <c r="WDV1880" s="94"/>
      <c r="WDW1880" s="94"/>
      <c r="WDX1880" s="94"/>
      <c r="WDY1880" s="94"/>
      <c r="WDZ1880" s="94"/>
      <c r="WEA1880" s="94"/>
      <c r="WEB1880" s="94"/>
      <c r="WEC1880" s="94"/>
      <c r="WED1880" s="94"/>
      <c r="WEE1880" s="94"/>
      <c r="WEF1880" s="94"/>
      <c r="WEG1880" s="94"/>
      <c r="WEH1880" s="94"/>
      <c r="WEI1880" s="94"/>
      <c r="WEJ1880" s="94"/>
      <c r="WEK1880" s="94"/>
      <c r="WEL1880" s="94"/>
      <c r="WEM1880" s="94"/>
      <c r="WEN1880" s="94"/>
      <c r="WEO1880" s="94"/>
      <c r="WEP1880" s="94"/>
      <c r="WEQ1880" s="94"/>
      <c r="WER1880" s="94"/>
      <c r="WES1880" s="94"/>
      <c r="WET1880" s="94"/>
      <c r="WEU1880" s="94"/>
      <c r="WEV1880" s="94"/>
      <c r="WEW1880" s="94"/>
      <c r="WEX1880" s="94"/>
      <c r="WEY1880" s="94"/>
      <c r="WEZ1880" s="94"/>
      <c r="WFA1880" s="94"/>
      <c r="WFB1880" s="94"/>
      <c r="WFC1880" s="94"/>
      <c r="WFD1880" s="94"/>
      <c r="WFE1880" s="94"/>
      <c r="WFF1880" s="94"/>
      <c r="WFG1880" s="94"/>
      <c r="WFH1880" s="94"/>
      <c r="WFI1880" s="94"/>
      <c r="WFJ1880" s="94"/>
      <c r="WFK1880" s="94"/>
      <c r="WFL1880" s="94"/>
      <c r="WFM1880" s="94"/>
      <c r="WFN1880" s="94"/>
      <c r="WFO1880" s="94"/>
      <c r="WFP1880" s="94"/>
      <c r="WFQ1880" s="94"/>
      <c r="WFR1880" s="94"/>
      <c r="WFS1880" s="94"/>
      <c r="WFT1880" s="94"/>
      <c r="WFU1880" s="94"/>
      <c r="WFV1880" s="94"/>
      <c r="WFW1880" s="94"/>
      <c r="WFX1880" s="94"/>
      <c r="WFY1880" s="94"/>
      <c r="WFZ1880" s="94"/>
      <c r="WGA1880" s="94"/>
      <c r="WGB1880" s="94"/>
      <c r="WGC1880" s="94"/>
      <c r="WGD1880" s="94"/>
      <c r="WGE1880" s="94"/>
      <c r="WGF1880" s="94"/>
      <c r="WGG1880" s="94"/>
      <c r="WGH1880" s="94"/>
      <c r="WGI1880" s="94"/>
      <c r="WGJ1880" s="94"/>
      <c r="WGK1880" s="94"/>
      <c r="WGL1880" s="94"/>
      <c r="WGM1880" s="94"/>
      <c r="WGN1880" s="94"/>
      <c r="WGO1880" s="94"/>
      <c r="WGP1880" s="94"/>
      <c r="WGQ1880" s="94"/>
      <c r="WGR1880" s="94"/>
      <c r="WGS1880" s="94"/>
      <c r="WGT1880" s="94"/>
      <c r="WGU1880" s="94"/>
      <c r="WGV1880" s="94"/>
      <c r="WGW1880" s="94"/>
      <c r="WGX1880" s="94"/>
      <c r="WGY1880" s="94"/>
      <c r="WGZ1880" s="94"/>
      <c r="WHA1880" s="94"/>
      <c r="WHB1880" s="94"/>
      <c r="WHC1880" s="94"/>
      <c r="WHD1880" s="94"/>
      <c r="WHE1880" s="94"/>
      <c r="WHF1880" s="94"/>
      <c r="WHG1880" s="94"/>
      <c r="WHH1880" s="94"/>
      <c r="WHI1880" s="94"/>
      <c r="WHJ1880" s="94"/>
      <c r="WHK1880" s="94"/>
      <c r="WHL1880" s="94"/>
      <c r="WHM1880" s="94"/>
      <c r="WHN1880" s="94"/>
      <c r="WHO1880" s="94"/>
      <c r="WHP1880" s="94"/>
      <c r="WHQ1880" s="94"/>
      <c r="WHR1880" s="94"/>
      <c r="WHS1880" s="94"/>
      <c r="WHT1880" s="94"/>
      <c r="WHU1880" s="94"/>
      <c r="WHV1880" s="94"/>
      <c r="WHW1880" s="94"/>
      <c r="WHX1880" s="94"/>
      <c r="WHY1880" s="94"/>
      <c r="WHZ1880" s="94"/>
      <c r="WIA1880" s="94"/>
      <c r="WIB1880" s="94"/>
      <c r="WIC1880" s="94"/>
      <c r="WID1880" s="94"/>
      <c r="WIE1880" s="94"/>
      <c r="WIF1880" s="94"/>
      <c r="WIG1880" s="94"/>
      <c r="WIH1880" s="94"/>
      <c r="WII1880" s="94"/>
      <c r="WIJ1880" s="94"/>
      <c r="WIK1880" s="94"/>
      <c r="WIL1880" s="94"/>
      <c r="WIM1880" s="94"/>
      <c r="WIN1880" s="94"/>
      <c r="WIO1880" s="94"/>
      <c r="WIP1880" s="94"/>
      <c r="WIQ1880" s="94"/>
      <c r="WIR1880" s="94"/>
      <c r="WIS1880" s="94"/>
      <c r="WIT1880" s="94"/>
      <c r="WIU1880" s="94"/>
      <c r="WIV1880" s="94"/>
      <c r="WIW1880" s="94"/>
      <c r="WIX1880" s="94"/>
      <c r="WIY1880" s="94"/>
      <c r="WIZ1880" s="94"/>
      <c r="WJA1880" s="94"/>
      <c r="WJB1880" s="94"/>
      <c r="WJC1880" s="94"/>
      <c r="WJD1880" s="94"/>
      <c r="WJE1880" s="94"/>
      <c r="WJF1880" s="94"/>
      <c r="WJG1880" s="94"/>
      <c r="WJH1880" s="94"/>
      <c r="WJI1880" s="94"/>
      <c r="WJJ1880" s="94"/>
      <c r="WJK1880" s="94"/>
      <c r="WJL1880" s="94"/>
      <c r="WJM1880" s="94"/>
      <c r="WJN1880" s="94"/>
      <c r="WJO1880" s="94"/>
      <c r="WJP1880" s="94"/>
      <c r="WJQ1880" s="94"/>
      <c r="WJR1880" s="94"/>
      <c r="WJS1880" s="94"/>
      <c r="WJT1880" s="94"/>
      <c r="WJU1880" s="94"/>
      <c r="WJV1880" s="94"/>
      <c r="WJW1880" s="94"/>
      <c r="WJX1880" s="94"/>
      <c r="WJY1880" s="94"/>
      <c r="WJZ1880" s="94"/>
      <c r="WKA1880" s="94"/>
      <c r="WKB1880" s="94"/>
      <c r="WKC1880" s="94"/>
      <c r="WKD1880" s="94"/>
      <c r="WKE1880" s="94"/>
      <c r="WKF1880" s="94"/>
      <c r="WKG1880" s="94"/>
      <c r="WKH1880" s="94"/>
      <c r="WKI1880" s="94"/>
      <c r="WKJ1880" s="94"/>
      <c r="WKK1880" s="94"/>
      <c r="WKL1880" s="94"/>
      <c r="WKM1880" s="94"/>
      <c r="WKN1880" s="94"/>
      <c r="WKO1880" s="94"/>
      <c r="WKP1880" s="94"/>
      <c r="WKQ1880" s="94"/>
      <c r="WKR1880" s="94"/>
      <c r="WKS1880" s="94"/>
      <c r="WKT1880" s="94"/>
      <c r="WKU1880" s="94"/>
      <c r="WKV1880" s="94"/>
      <c r="WKW1880" s="94"/>
      <c r="WKX1880" s="94"/>
      <c r="WKY1880" s="94"/>
      <c r="WKZ1880" s="94"/>
      <c r="WLA1880" s="94"/>
      <c r="WLB1880" s="94"/>
      <c r="WLC1880" s="94"/>
      <c r="WLD1880" s="94"/>
      <c r="WLE1880" s="94"/>
      <c r="WLF1880" s="94"/>
      <c r="WLG1880" s="94"/>
      <c r="WLH1880" s="94"/>
      <c r="WLI1880" s="94"/>
      <c r="WLJ1880" s="94"/>
      <c r="WLK1880" s="94"/>
      <c r="WLL1880" s="94"/>
      <c r="WLM1880" s="94"/>
      <c r="WLN1880" s="94"/>
      <c r="WLO1880" s="94"/>
      <c r="WLP1880" s="94"/>
      <c r="WLQ1880" s="94"/>
      <c r="WLR1880" s="94"/>
      <c r="WLS1880" s="94"/>
      <c r="WLT1880" s="94"/>
      <c r="WLU1880" s="94"/>
      <c r="WLV1880" s="94"/>
      <c r="WLW1880" s="94"/>
      <c r="WLX1880" s="94"/>
      <c r="WLY1880" s="94"/>
      <c r="WLZ1880" s="94"/>
      <c r="WMA1880" s="94"/>
      <c r="WMB1880" s="94"/>
      <c r="WMC1880" s="94"/>
      <c r="WMD1880" s="94"/>
      <c r="WME1880" s="94"/>
      <c r="WMF1880" s="94"/>
      <c r="WMG1880" s="94"/>
      <c r="WMH1880" s="94"/>
      <c r="WMI1880" s="94"/>
      <c r="WMJ1880" s="94"/>
      <c r="WMK1880" s="94"/>
      <c r="WML1880" s="94"/>
      <c r="WMM1880" s="94"/>
      <c r="WMN1880" s="94"/>
      <c r="WMO1880" s="94"/>
      <c r="WMP1880" s="94"/>
      <c r="WMQ1880" s="94"/>
      <c r="WMR1880" s="94"/>
      <c r="WMS1880" s="94"/>
      <c r="WMT1880" s="94"/>
      <c r="WMU1880" s="94"/>
      <c r="WMV1880" s="94"/>
      <c r="WMW1880" s="94"/>
      <c r="WMX1880" s="94"/>
      <c r="WMY1880" s="94"/>
      <c r="WMZ1880" s="94"/>
      <c r="WNA1880" s="94"/>
      <c r="WNB1880" s="94"/>
      <c r="WNC1880" s="94"/>
      <c r="WND1880" s="94"/>
      <c r="WNE1880" s="94"/>
      <c r="WNF1880" s="94"/>
      <c r="WNG1880" s="94"/>
      <c r="WNH1880" s="94"/>
      <c r="WNI1880" s="94"/>
      <c r="WNJ1880" s="94"/>
      <c r="WNK1880" s="94"/>
      <c r="WNL1880" s="94"/>
      <c r="WNM1880" s="94"/>
      <c r="WNN1880" s="94"/>
      <c r="WNO1880" s="94"/>
      <c r="WNP1880" s="94"/>
      <c r="WNQ1880" s="94"/>
      <c r="WNR1880" s="94"/>
      <c r="WNS1880" s="94"/>
      <c r="WNT1880" s="94"/>
      <c r="WNU1880" s="94"/>
      <c r="WNV1880" s="94"/>
      <c r="WNW1880" s="94"/>
      <c r="WNX1880" s="94"/>
      <c r="WNY1880" s="94"/>
      <c r="WNZ1880" s="94"/>
      <c r="WOA1880" s="94"/>
      <c r="WOB1880" s="94"/>
      <c r="WOC1880" s="94"/>
      <c r="WOD1880" s="94"/>
      <c r="WOE1880" s="94"/>
      <c r="WOF1880" s="94"/>
      <c r="WOG1880" s="94"/>
      <c r="WOH1880" s="94"/>
      <c r="WOI1880" s="94"/>
      <c r="WOJ1880" s="94"/>
      <c r="WOK1880" s="94"/>
      <c r="WOL1880" s="94"/>
      <c r="WOM1880" s="94"/>
      <c r="WON1880" s="94"/>
      <c r="WOO1880" s="94"/>
      <c r="WOP1880" s="94"/>
      <c r="WOQ1880" s="94"/>
      <c r="WOR1880" s="94"/>
      <c r="WOS1880" s="94"/>
      <c r="WOT1880" s="94"/>
      <c r="WOU1880" s="94"/>
      <c r="WOV1880" s="94"/>
      <c r="WOW1880" s="94"/>
      <c r="WOX1880" s="94"/>
      <c r="WOY1880" s="94"/>
      <c r="WOZ1880" s="94"/>
      <c r="WPA1880" s="94"/>
      <c r="WPB1880" s="94"/>
      <c r="WPC1880" s="94"/>
      <c r="WPD1880" s="94"/>
      <c r="WPE1880" s="94"/>
      <c r="WPF1880" s="94"/>
      <c r="WPG1880" s="94"/>
      <c r="WPH1880" s="94"/>
      <c r="WPI1880" s="94"/>
      <c r="WPJ1880" s="94"/>
      <c r="WPK1880" s="94"/>
      <c r="WPL1880" s="94"/>
      <c r="WPM1880" s="94"/>
      <c r="WPN1880" s="94"/>
      <c r="WPO1880" s="94"/>
      <c r="WPP1880" s="94"/>
      <c r="WPQ1880" s="94"/>
      <c r="WPR1880" s="94"/>
      <c r="WPS1880" s="94"/>
      <c r="WPT1880" s="94"/>
      <c r="WPU1880" s="94"/>
      <c r="WPV1880" s="94"/>
      <c r="WPW1880" s="94"/>
      <c r="WPX1880" s="94"/>
      <c r="WPY1880" s="94"/>
      <c r="WPZ1880" s="94"/>
      <c r="WQA1880" s="94"/>
      <c r="WQB1880" s="94"/>
      <c r="WQC1880" s="94"/>
      <c r="WQD1880" s="94"/>
      <c r="WQE1880" s="94"/>
      <c r="WQF1880" s="94"/>
      <c r="WQG1880" s="94"/>
      <c r="WQH1880" s="94"/>
      <c r="WQI1880" s="94"/>
      <c r="WQJ1880" s="94"/>
      <c r="WQK1880" s="94"/>
      <c r="WQL1880" s="94"/>
      <c r="WQM1880" s="94"/>
      <c r="WQN1880" s="94"/>
      <c r="WQO1880" s="94"/>
      <c r="WQP1880" s="94"/>
      <c r="WQQ1880" s="94"/>
      <c r="WQR1880" s="94"/>
      <c r="WQS1880" s="94"/>
      <c r="WQT1880" s="94"/>
      <c r="WQU1880" s="94"/>
      <c r="WQV1880" s="94"/>
      <c r="WQW1880" s="94"/>
      <c r="WQX1880" s="94"/>
      <c r="WQY1880" s="94"/>
      <c r="WQZ1880" s="94"/>
      <c r="WRA1880" s="94"/>
      <c r="WRB1880" s="94"/>
      <c r="WRC1880" s="94"/>
      <c r="WRD1880" s="94"/>
      <c r="WRE1880" s="94"/>
      <c r="WRF1880" s="94"/>
      <c r="WRG1880" s="94"/>
      <c r="WRH1880" s="94"/>
      <c r="WRI1880" s="94"/>
      <c r="WRJ1880" s="94"/>
      <c r="WRK1880" s="94"/>
      <c r="WRL1880" s="94"/>
      <c r="WRM1880" s="94"/>
      <c r="WRN1880" s="94"/>
      <c r="WRO1880" s="94"/>
      <c r="WRP1880" s="94"/>
      <c r="WRQ1880" s="94"/>
      <c r="WRR1880" s="94"/>
      <c r="WRS1880" s="94"/>
      <c r="WRT1880" s="94"/>
      <c r="WRU1880" s="94"/>
      <c r="WRV1880" s="94"/>
      <c r="WRW1880" s="94"/>
      <c r="WRX1880" s="94"/>
      <c r="WRY1880" s="94"/>
      <c r="WRZ1880" s="94"/>
      <c r="WSA1880" s="94"/>
      <c r="WSB1880" s="94"/>
      <c r="WSC1880" s="94"/>
      <c r="WSD1880" s="94"/>
      <c r="WSE1880" s="94"/>
      <c r="WSF1880" s="94"/>
      <c r="WSG1880" s="94"/>
      <c r="WSH1880" s="94"/>
      <c r="WSI1880" s="94"/>
      <c r="WSJ1880" s="94"/>
      <c r="WSK1880" s="94"/>
      <c r="WSL1880" s="94"/>
      <c r="WSM1880" s="94"/>
      <c r="WSN1880" s="94"/>
      <c r="WSO1880" s="94"/>
      <c r="WSP1880" s="94"/>
      <c r="WSQ1880" s="94"/>
      <c r="WSR1880" s="94"/>
      <c r="WSS1880" s="94"/>
      <c r="WST1880" s="94"/>
      <c r="WSU1880" s="94"/>
      <c r="WSV1880" s="94"/>
      <c r="WSW1880" s="94"/>
      <c r="WSX1880" s="94"/>
      <c r="WSY1880" s="94"/>
      <c r="WSZ1880" s="94"/>
      <c r="WTA1880" s="94"/>
      <c r="WTB1880" s="94"/>
      <c r="WTC1880" s="94"/>
      <c r="WTD1880" s="94"/>
      <c r="WTE1880" s="94"/>
      <c r="WTF1880" s="94"/>
      <c r="WTG1880" s="94"/>
      <c r="WTH1880" s="94"/>
      <c r="WTI1880" s="94"/>
      <c r="WTJ1880" s="94"/>
      <c r="WTK1880" s="94"/>
      <c r="WTL1880" s="94"/>
      <c r="WTM1880" s="94"/>
      <c r="WTN1880" s="94"/>
      <c r="WTO1880" s="94"/>
      <c r="WTP1880" s="94"/>
      <c r="WTQ1880" s="94"/>
      <c r="WTR1880" s="94"/>
      <c r="WTS1880" s="94"/>
      <c r="WTT1880" s="94"/>
      <c r="WTU1880" s="94"/>
      <c r="WTV1880" s="94"/>
      <c r="WTW1880" s="94"/>
      <c r="WTX1880" s="94"/>
      <c r="WTY1880" s="94"/>
      <c r="WTZ1880" s="94"/>
      <c r="WUA1880" s="94"/>
      <c r="WUB1880" s="94"/>
      <c r="WUC1880" s="94"/>
      <c r="WUD1880" s="94"/>
      <c r="WUE1880" s="94"/>
      <c r="WUF1880" s="94"/>
      <c r="WUG1880" s="94"/>
      <c r="WUH1880" s="94"/>
      <c r="WUI1880" s="94"/>
      <c r="WUJ1880" s="94"/>
      <c r="WUK1880" s="94"/>
      <c r="WUL1880" s="94"/>
      <c r="WUM1880" s="94"/>
      <c r="WUN1880" s="94"/>
      <c r="WUO1880" s="94"/>
      <c r="WUP1880" s="94"/>
      <c r="WUQ1880" s="94"/>
      <c r="WUR1880" s="94"/>
      <c r="WUS1880" s="94"/>
      <c r="WUT1880" s="94"/>
      <c r="WUU1880" s="94"/>
      <c r="WUV1880" s="94"/>
      <c r="WUW1880" s="94"/>
      <c r="WUX1880" s="94"/>
      <c r="WUY1880" s="94"/>
      <c r="WUZ1880" s="94"/>
      <c r="WVA1880" s="94"/>
      <c r="WVB1880" s="94"/>
      <c r="WVC1880" s="94"/>
      <c r="WVD1880" s="94"/>
      <c r="WVE1880" s="94"/>
      <c r="WVF1880" s="94"/>
      <c r="WVG1880" s="94"/>
      <c r="WVH1880" s="94"/>
      <c r="WVI1880" s="94"/>
      <c r="WVJ1880" s="94"/>
      <c r="WVK1880" s="94"/>
      <c r="WVL1880" s="94"/>
      <c r="WVM1880" s="94"/>
      <c r="WVN1880" s="94"/>
      <c r="WVO1880" s="94"/>
      <c r="WVP1880" s="94"/>
      <c r="WVQ1880" s="94"/>
      <c r="WVR1880" s="94"/>
      <c r="WVS1880" s="94"/>
      <c r="WVT1880" s="94"/>
      <c r="WVU1880" s="94"/>
      <c r="WVV1880" s="94"/>
      <c r="WVW1880" s="94"/>
      <c r="WVX1880" s="94"/>
      <c r="WVY1880" s="94"/>
      <c r="WVZ1880" s="94"/>
      <c r="WWA1880" s="94"/>
      <c r="WWB1880" s="94"/>
      <c r="WWC1880" s="94"/>
      <c r="WWD1880" s="94"/>
      <c r="WWE1880" s="94"/>
      <c r="WWF1880" s="94"/>
      <c r="WWG1880" s="94"/>
      <c r="WWH1880" s="94"/>
      <c r="WWI1880" s="94"/>
      <c r="WWJ1880" s="94"/>
      <c r="WWK1880" s="94"/>
      <c r="WWL1880" s="94"/>
      <c r="WWM1880" s="94"/>
      <c r="WWN1880" s="94"/>
      <c r="WWO1880" s="94"/>
      <c r="WWP1880" s="94"/>
      <c r="WWQ1880" s="94"/>
      <c r="WWR1880" s="94"/>
      <c r="WWS1880" s="94"/>
      <c r="WWT1880" s="94"/>
      <c r="WWU1880" s="94"/>
      <c r="WWV1880" s="94"/>
      <c r="WWW1880" s="94"/>
      <c r="WWX1880" s="94"/>
      <c r="WWY1880" s="94"/>
      <c r="WWZ1880" s="94"/>
      <c r="WXA1880" s="94"/>
      <c r="WXB1880" s="94"/>
      <c r="WXC1880" s="94"/>
      <c r="WXD1880" s="94"/>
      <c r="WXE1880" s="94"/>
      <c r="WXF1880" s="94"/>
      <c r="WXG1880" s="94"/>
      <c r="WXH1880" s="94"/>
      <c r="WXI1880" s="94"/>
      <c r="WXJ1880" s="94"/>
      <c r="WXK1880" s="94"/>
      <c r="WXL1880" s="94"/>
      <c r="WXM1880" s="94"/>
      <c r="WXN1880" s="94"/>
      <c r="WXO1880" s="94"/>
      <c r="WXP1880" s="94"/>
      <c r="WXQ1880" s="94"/>
      <c r="WXR1880" s="94"/>
      <c r="WXS1880" s="94"/>
      <c r="WXT1880" s="94"/>
      <c r="WXU1880" s="94"/>
      <c r="WXV1880" s="94"/>
      <c r="WXW1880" s="94"/>
      <c r="WXX1880" s="94"/>
      <c r="WXY1880" s="94"/>
      <c r="WXZ1880" s="94"/>
      <c r="WYA1880" s="94"/>
      <c r="WYB1880" s="94"/>
      <c r="WYC1880" s="94"/>
      <c r="WYD1880" s="94"/>
      <c r="WYE1880" s="94"/>
      <c r="WYF1880" s="94"/>
      <c r="WYG1880" s="94"/>
      <c r="WYH1880" s="94"/>
      <c r="WYI1880" s="94"/>
      <c r="WYJ1880" s="94"/>
      <c r="WYK1880" s="94"/>
      <c r="WYL1880" s="94"/>
      <c r="WYM1880" s="94"/>
      <c r="WYN1880" s="94"/>
      <c r="WYO1880" s="94"/>
      <c r="WYP1880" s="94"/>
      <c r="WYQ1880" s="94"/>
      <c r="WYR1880" s="94"/>
      <c r="WYS1880" s="94"/>
      <c r="WYT1880" s="94"/>
      <c r="WYU1880" s="94"/>
      <c r="WYV1880" s="94"/>
      <c r="WYW1880" s="94"/>
      <c r="WYX1880" s="94"/>
      <c r="WYY1880" s="94"/>
      <c r="WYZ1880" s="94"/>
      <c r="WZA1880" s="94"/>
      <c r="WZB1880" s="94"/>
      <c r="WZC1880" s="94"/>
      <c r="WZD1880" s="94"/>
      <c r="WZE1880" s="94"/>
      <c r="WZF1880" s="94"/>
      <c r="WZG1880" s="94"/>
      <c r="WZH1880" s="94"/>
      <c r="WZI1880" s="94"/>
      <c r="WZJ1880" s="94"/>
      <c r="WZK1880" s="94"/>
      <c r="WZL1880" s="94"/>
      <c r="WZM1880" s="94"/>
      <c r="WZN1880" s="94"/>
      <c r="WZO1880" s="94"/>
      <c r="WZP1880" s="94"/>
      <c r="WZQ1880" s="94"/>
      <c r="WZR1880" s="94"/>
      <c r="WZS1880" s="94"/>
      <c r="WZT1880" s="94"/>
      <c r="WZU1880" s="94"/>
      <c r="WZV1880" s="94"/>
      <c r="WZW1880" s="94"/>
      <c r="WZX1880" s="94"/>
      <c r="WZY1880" s="94"/>
      <c r="WZZ1880" s="94"/>
      <c r="XAA1880" s="94"/>
      <c r="XAB1880" s="94"/>
      <c r="XAC1880" s="94"/>
      <c r="XAD1880" s="94"/>
      <c r="XAE1880" s="94"/>
      <c r="XAF1880" s="94"/>
      <c r="XAG1880" s="94"/>
      <c r="XAH1880" s="94"/>
      <c r="XAI1880" s="94"/>
      <c r="XAJ1880" s="94"/>
      <c r="XAK1880" s="94"/>
      <c r="XAL1880" s="94"/>
      <c r="XAM1880" s="94"/>
      <c r="XAN1880" s="94"/>
      <c r="XAO1880" s="94"/>
      <c r="XAP1880" s="94"/>
      <c r="XAQ1880" s="94"/>
      <c r="XAR1880" s="94"/>
      <c r="XAS1880" s="94"/>
      <c r="XAT1880" s="94"/>
      <c r="XAU1880" s="94"/>
      <c r="XAV1880" s="94"/>
      <c r="XAW1880" s="94"/>
      <c r="XAX1880" s="94"/>
      <c r="XAY1880" s="94"/>
      <c r="XAZ1880" s="94"/>
      <c r="XBA1880" s="94"/>
      <c r="XBB1880" s="94"/>
      <c r="XBC1880" s="94"/>
      <c r="XBD1880" s="94"/>
      <c r="XBE1880" s="94"/>
      <c r="XBF1880" s="94"/>
      <c r="XBG1880" s="94"/>
      <c r="XBH1880" s="94"/>
      <c r="XBI1880" s="94"/>
      <c r="XBJ1880" s="94"/>
      <c r="XBK1880" s="94"/>
      <c r="XBL1880" s="94"/>
      <c r="XBM1880" s="94"/>
      <c r="XBN1880" s="94"/>
      <c r="XBO1880" s="94"/>
      <c r="XBP1880" s="94"/>
      <c r="XBQ1880" s="94"/>
      <c r="XBR1880" s="94"/>
      <c r="XBS1880" s="94"/>
      <c r="XBT1880" s="94"/>
      <c r="XBU1880" s="94"/>
      <c r="XBV1880" s="94"/>
      <c r="XBW1880" s="94"/>
      <c r="XBX1880" s="94"/>
      <c r="XBY1880" s="94"/>
      <c r="XBZ1880" s="94"/>
      <c r="XCA1880" s="94"/>
      <c r="XCB1880" s="94"/>
      <c r="XCC1880" s="94"/>
      <c r="XCD1880" s="94"/>
      <c r="XCE1880" s="94"/>
      <c r="XCF1880" s="94"/>
      <c r="XCG1880" s="94"/>
      <c r="XCH1880" s="94"/>
      <c r="XCI1880" s="94"/>
      <c r="XCJ1880" s="94"/>
      <c r="XCK1880" s="94"/>
      <c r="XCL1880" s="94"/>
      <c r="XCM1880" s="94"/>
      <c r="XCN1880" s="94"/>
      <c r="XCO1880" s="94"/>
      <c r="XCP1880" s="94"/>
      <c r="XCQ1880" s="94"/>
      <c r="XCR1880" s="94"/>
      <c r="XCS1880" s="94"/>
      <c r="XCT1880" s="94"/>
      <c r="XCU1880" s="94"/>
      <c r="XCV1880" s="94"/>
      <c r="XCW1880" s="94"/>
      <c r="XCX1880" s="94"/>
      <c r="XCY1880" s="94"/>
      <c r="XCZ1880" s="94"/>
      <c r="XDA1880" s="94"/>
      <c r="XDB1880" s="94"/>
      <c r="XDC1880" s="94"/>
      <c r="XDD1880" s="94"/>
      <c r="XDE1880" s="94"/>
      <c r="XDF1880" s="94"/>
      <c r="XDG1880" s="94"/>
      <c r="XDH1880" s="94"/>
      <c r="XDI1880" s="94"/>
      <c r="XDJ1880" s="94"/>
      <c r="XDK1880" s="94"/>
      <c r="XDL1880" s="94"/>
      <c r="XDM1880" s="94"/>
      <c r="XDN1880" s="94"/>
      <c r="XDO1880" s="94"/>
      <c r="XDP1880" s="94"/>
      <c r="XDQ1880" s="94"/>
      <c r="XDR1880" s="94"/>
      <c r="XDS1880" s="94"/>
      <c r="XDT1880" s="94"/>
      <c r="XDU1880" s="94"/>
      <c r="XDV1880" s="94"/>
      <c r="XDW1880" s="94"/>
      <c r="XDX1880" s="94"/>
      <c r="XDY1880" s="94"/>
      <c r="XDZ1880" s="94"/>
      <c r="XEA1880" s="94"/>
      <c r="XEB1880" s="94"/>
      <c r="XEC1880" s="94"/>
      <c r="XED1880" s="94"/>
      <c r="XEE1880" s="94"/>
      <c r="XEF1880" s="94"/>
      <c r="XEG1880" s="94"/>
      <c r="XEH1880" s="94"/>
      <c r="XEI1880" s="94"/>
      <c r="XEJ1880" s="94"/>
      <c r="XEK1880" s="94"/>
      <c r="XEL1880" s="94"/>
      <c r="XEM1880" s="94"/>
      <c r="XEN1880" s="94"/>
      <c r="XEO1880" s="94"/>
      <c r="XEP1880" s="94"/>
      <c r="XEQ1880" s="94"/>
      <c r="XER1880" s="94"/>
      <c r="XES1880" s="94"/>
      <c r="XET1880" s="94"/>
      <c r="XEU1880" s="94"/>
      <c r="XEV1880" s="94"/>
      <c r="XEW1880" s="94"/>
      <c r="XEX1880" s="94"/>
      <c r="XEY1880" s="94"/>
      <c r="XEZ1880" s="94"/>
      <c r="XFA1880" s="94"/>
      <c r="XFB1880" s="94"/>
      <c r="XFC1880" s="94"/>
      <c r="XFD1880" s="94"/>
    </row>
    <row r="1881" spans="1:16384" ht="11.25" hidden="1" customHeight="1">
      <c r="A1881" s="239"/>
      <c r="C1881" s="517"/>
      <c r="D1881" s="517"/>
      <c r="E1881" s="545" t="s">
        <v>428</v>
      </c>
      <c r="F1881" s="276">
        <f t="shared" ref="F1881:L1882" si="762">+F10</f>
        <v>539291371</v>
      </c>
      <c r="G1881" s="276">
        <f t="shared" si="762"/>
        <v>11821875629</v>
      </c>
      <c r="H1881" s="276">
        <f t="shared" si="762"/>
        <v>11017892000</v>
      </c>
      <c r="I1881" s="276">
        <f>SUM(F1881:H1881)</f>
        <v>23379059000</v>
      </c>
      <c r="J1881" s="276">
        <f t="shared" si="762"/>
        <v>444139018.09000003</v>
      </c>
      <c r="K1881" s="276">
        <f t="shared" si="762"/>
        <v>5604845475.2300005</v>
      </c>
      <c r="L1881" s="276">
        <f t="shared" si="762"/>
        <v>1210608291.3899992</v>
      </c>
      <c r="M1881" s="276">
        <f t="shared" si="753"/>
        <v>7259592784.71</v>
      </c>
      <c r="N1881" s="276">
        <f t="shared" si="754"/>
        <v>95152352.909999967</v>
      </c>
      <c r="O1881" s="276">
        <f t="shared" si="754"/>
        <v>6217030153.7699995</v>
      </c>
      <c r="P1881" s="276">
        <f t="shared" si="754"/>
        <v>9807283708.6100006</v>
      </c>
      <c r="Q1881" s="276">
        <f t="shared" si="755"/>
        <v>16119466215.290001</v>
      </c>
      <c r="R1881" s="236"/>
      <c r="W1881" s="236"/>
    </row>
    <row r="1882" spans="1:16384" ht="11.25" hidden="1" customHeight="1">
      <c r="A1882" s="239"/>
      <c r="C1882" s="517"/>
      <c r="D1882" s="517"/>
      <c r="E1882" s="545" t="s">
        <v>50</v>
      </c>
      <c r="F1882" s="276">
        <f t="shared" si="762"/>
        <v>-827006</v>
      </c>
      <c r="G1882" s="276">
        <f t="shared" si="762"/>
        <v>-3959941354.46</v>
      </c>
      <c r="H1882" s="276">
        <f t="shared" si="762"/>
        <v>-5745606586.1000004</v>
      </c>
      <c r="I1882" s="276">
        <f t="shared" ref="I1882:I1886" si="763">SUM(F1882:H1882)</f>
        <v>-9706374946.5600014</v>
      </c>
      <c r="J1882" s="276">
        <f t="shared" si="762"/>
        <v>0</v>
      </c>
      <c r="K1882" s="276">
        <f t="shared" si="762"/>
        <v>0</v>
      </c>
      <c r="L1882" s="276">
        <f t="shared" si="762"/>
        <v>0</v>
      </c>
      <c r="M1882" s="276">
        <f t="shared" si="753"/>
        <v>0</v>
      </c>
      <c r="N1882" s="276">
        <f t="shared" si="754"/>
        <v>-827006</v>
      </c>
      <c r="O1882" s="276">
        <f t="shared" si="754"/>
        <v>-3959941354.46</v>
      </c>
      <c r="P1882" s="276">
        <f t="shared" si="754"/>
        <v>-5745606586.1000004</v>
      </c>
      <c r="Q1882" s="276">
        <f t="shared" si="755"/>
        <v>-9706374946.5600014</v>
      </c>
      <c r="R1882" s="236"/>
      <c r="W1882" s="236"/>
    </row>
    <row r="1883" spans="1:16384" ht="11.25" hidden="1" customHeight="1">
      <c r="A1883" s="239"/>
      <c r="C1883" s="517"/>
      <c r="D1883" s="517"/>
      <c r="E1883" s="545" t="s">
        <v>429</v>
      </c>
      <c r="F1883" s="276">
        <f t="shared" ref="F1883:L1883" si="764">+F38</f>
        <v>0</v>
      </c>
      <c r="G1883" s="276">
        <f t="shared" si="764"/>
        <v>223684000</v>
      </c>
      <c r="H1883" s="276">
        <f t="shared" si="764"/>
        <v>46176000</v>
      </c>
      <c r="I1883" s="276">
        <f t="shared" si="763"/>
        <v>269860000</v>
      </c>
      <c r="J1883" s="276">
        <f t="shared" si="764"/>
        <v>0</v>
      </c>
      <c r="K1883" s="276">
        <f t="shared" si="764"/>
        <v>32337772.780000001</v>
      </c>
      <c r="L1883" s="276">
        <f t="shared" si="764"/>
        <v>0</v>
      </c>
      <c r="M1883" s="276">
        <f t="shared" si="753"/>
        <v>32337772.780000001</v>
      </c>
      <c r="N1883" s="276">
        <f t="shared" si="754"/>
        <v>0</v>
      </c>
      <c r="O1883" s="276">
        <f t="shared" si="754"/>
        <v>191346227.22</v>
      </c>
      <c r="P1883" s="276">
        <f t="shared" si="754"/>
        <v>46176000</v>
      </c>
      <c r="Q1883" s="276">
        <f t="shared" si="755"/>
        <v>237522227.22</v>
      </c>
      <c r="R1883" s="276"/>
      <c r="W1883" s="236"/>
    </row>
    <row r="1884" spans="1:16384" s="239" customFormat="1" ht="12" hidden="1" customHeight="1" thickBot="1">
      <c r="A1884" s="316"/>
      <c r="C1884" s="1062"/>
      <c r="D1884" s="741"/>
      <c r="E1884" s="1073" t="s">
        <v>458</v>
      </c>
      <c r="F1884" s="1064">
        <f>SUM(F1881:F1883)</f>
        <v>538464365</v>
      </c>
      <c r="G1884" s="1064">
        <f t="shared" ref="G1884:Q1884" si="765">SUM(G1881:G1883)</f>
        <v>8085618274.54</v>
      </c>
      <c r="H1884" s="1064">
        <f t="shared" si="765"/>
        <v>5318461413.8999996</v>
      </c>
      <c r="I1884" s="1064">
        <f t="shared" si="763"/>
        <v>13942544053.440001</v>
      </c>
      <c r="J1884" s="1064">
        <f t="shared" si="765"/>
        <v>444139018.09000003</v>
      </c>
      <c r="K1884" s="1064">
        <f t="shared" si="765"/>
        <v>5637183248.0100002</v>
      </c>
      <c r="L1884" s="1064">
        <f t="shared" si="765"/>
        <v>1210608291.3899992</v>
      </c>
      <c r="M1884" s="1064">
        <f t="shared" si="765"/>
        <v>7291930557.4899998</v>
      </c>
      <c r="N1884" s="1064">
        <f t="shared" si="765"/>
        <v>94325346.909999967</v>
      </c>
      <c r="O1884" s="1064">
        <f t="shared" si="765"/>
        <v>2448435026.5299993</v>
      </c>
      <c r="P1884" s="1064">
        <f t="shared" si="765"/>
        <v>4107853122.5100002</v>
      </c>
      <c r="Q1884" s="1064">
        <f t="shared" si="765"/>
        <v>6650613495.9499998</v>
      </c>
      <c r="S1884" s="1065">
        <f>IF(F1884=0,"",J1884/F1884)</f>
        <v>0.82482527528075145</v>
      </c>
      <c r="T1884" s="1065">
        <f>IF(G1884=0,"",K1884/G1884)</f>
        <v>0.69718641872574749</v>
      </c>
      <c r="U1884" s="1065">
        <f>IF(H1884=0,"",L1884/H1884)</f>
        <v>0.22762378010791404</v>
      </c>
      <c r="V1884" s="1065">
        <f>IF(I1884=0,"",M1884/I1884)</f>
        <v>0.52299856679964263</v>
      </c>
      <c r="W1884" s="318"/>
      <c r="X1884" s="237"/>
      <c r="Y1884" s="1066"/>
      <c r="Z1884" s="849"/>
    </row>
    <row r="1885" spans="1:16384" ht="11.25" hidden="1" customHeight="1">
      <c r="A1885" s="239"/>
      <c r="C1885" s="517"/>
      <c r="D1885" s="517"/>
      <c r="E1885" s="517"/>
      <c r="F1885" s="276"/>
      <c r="G1885" s="276"/>
      <c r="H1885" s="276"/>
      <c r="I1885" s="276"/>
      <c r="J1885" s="276"/>
      <c r="K1885" s="276"/>
      <c r="L1885" s="276"/>
      <c r="M1885" s="276"/>
      <c r="N1885" s="276"/>
      <c r="O1885" s="276"/>
      <c r="P1885" s="276"/>
      <c r="Q1885" s="276"/>
      <c r="R1885" s="276"/>
      <c r="W1885" s="236"/>
    </row>
    <row r="1886" spans="1:16384" ht="11.25" hidden="1" customHeight="1">
      <c r="A1886" s="239"/>
      <c r="C1886" s="517"/>
      <c r="D1886" s="517"/>
      <c r="E1886" s="740" t="s">
        <v>754</v>
      </c>
      <c r="F1886" s="276">
        <f>+F15+F25+F29+F19+F20+F26+F27</f>
        <v>362619054</v>
      </c>
      <c r="G1886" s="276">
        <f t="shared" ref="G1886:H1886" si="766">+G15+G25+G29+G19+G20+G26+G27</f>
        <v>115128445</v>
      </c>
      <c r="H1886" s="276">
        <f t="shared" si="766"/>
        <v>22473109</v>
      </c>
      <c r="I1886" s="276">
        <f t="shared" si="763"/>
        <v>500220608</v>
      </c>
      <c r="J1886" s="276">
        <f>+J15+J25+J29+J19+J20+J26+J27</f>
        <v>60528639.560000002</v>
      </c>
      <c r="K1886" s="276">
        <f t="shared" ref="K1886:L1886" si="767">+K15+K25+K29+K19+K20+K26+K27</f>
        <v>107938444.55</v>
      </c>
      <c r="L1886" s="276">
        <f t="shared" si="767"/>
        <v>0</v>
      </c>
      <c r="M1886" s="276">
        <f t="shared" ref="M1886" si="768">+M15+M25+M29+M19+M20+M26</f>
        <v>168467084.11000001</v>
      </c>
      <c r="N1886" s="563">
        <f t="shared" ref="N1886:P1886" si="769">+F1886-J1886</f>
        <v>302090414.44</v>
      </c>
      <c r="O1886" s="563">
        <f t="shared" si="769"/>
        <v>7190000.450000003</v>
      </c>
      <c r="P1886" s="563">
        <f t="shared" si="769"/>
        <v>22473109</v>
      </c>
      <c r="Q1886" s="276">
        <f t="shared" ref="Q1886" si="770">SUM(N1886:P1886)</f>
        <v>331753523.88999999</v>
      </c>
      <c r="R1886" s="94"/>
      <c r="W1886" s="236"/>
    </row>
    <row r="1887" spans="1:16384" ht="11.25" hidden="1" customHeight="1">
      <c r="A1887" s="239"/>
      <c r="C1887" s="517"/>
      <c r="D1887" s="517"/>
      <c r="E1887" s="545" t="s">
        <v>50</v>
      </c>
      <c r="F1887" s="276">
        <f>+F1743+F1759</f>
        <v>-218264160</v>
      </c>
      <c r="G1887" s="276">
        <f>+G1743+G1759</f>
        <v>0</v>
      </c>
      <c r="H1887" s="276">
        <f>+H1743+H1759</f>
        <v>0</v>
      </c>
      <c r="I1887" s="276">
        <f>SUM(F1887:H1887)</f>
        <v>-218264160</v>
      </c>
      <c r="J1887" s="276">
        <f>+J1743+J1759</f>
        <v>0</v>
      </c>
      <c r="K1887" s="276">
        <f>+K1743+K1759</f>
        <v>0</v>
      </c>
      <c r="L1887" s="276">
        <f>+L1743+L1759</f>
        <v>0</v>
      </c>
      <c r="M1887" s="276">
        <f t="shared" si="753"/>
        <v>0</v>
      </c>
      <c r="N1887" s="563">
        <f t="shared" si="754"/>
        <v>-218264160</v>
      </c>
      <c r="O1887" s="563">
        <f t="shared" si="754"/>
        <v>0</v>
      </c>
      <c r="P1887" s="563">
        <f t="shared" si="754"/>
        <v>0</v>
      </c>
      <c r="Q1887" s="276">
        <f t="shared" si="755"/>
        <v>-218264160</v>
      </c>
      <c r="R1887" s="276"/>
      <c r="W1887" s="236"/>
    </row>
    <row r="1888" spans="1:16384" ht="11.25" hidden="1" customHeight="1">
      <c r="A1888" s="239"/>
      <c r="C1888" s="517"/>
      <c r="D1888" s="517"/>
      <c r="E1888" s="740" t="s">
        <v>713</v>
      </c>
      <c r="F1888" s="276">
        <f>+F21+F22</f>
        <v>0</v>
      </c>
      <c r="G1888" s="276">
        <f>+G21+G22</f>
        <v>283907305.34000003</v>
      </c>
      <c r="H1888" s="276">
        <f>+H21+H22</f>
        <v>0</v>
      </c>
      <c r="I1888" s="544">
        <f>SUM(F1888:H1888)</f>
        <v>283907305.34000003</v>
      </c>
      <c r="J1888" s="276">
        <f>+J21+J22</f>
        <v>0</v>
      </c>
      <c r="K1888" s="276">
        <f>+K21+K22</f>
        <v>71682042.030000001</v>
      </c>
      <c r="L1888" s="276">
        <f>+L21+L22</f>
        <v>0</v>
      </c>
      <c r="M1888" s="544">
        <f t="shared" si="753"/>
        <v>71682042.030000001</v>
      </c>
      <c r="N1888" s="544">
        <f t="shared" si="754"/>
        <v>0</v>
      </c>
      <c r="O1888" s="544">
        <f t="shared" si="754"/>
        <v>212225263.31000003</v>
      </c>
      <c r="P1888" s="544">
        <f t="shared" si="754"/>
        <v>0</v>
      </c>
      <c r="Q1888" s="544">
        <f t="shared" si="755"/>
        <v>212225263.31000003</v>
      </c>
      <c r="R1888" s="93"/>
      <c r="W1888" s="236"/>
    </row>
    <row r="1889" spans="1:26" s="239" customFormat="1" ht="12" hidden="1" customHeight="1" thickBot="1">
      <c r="A1889" s="316"/>
      <c r="C1889" s="1062"/>
      <c r="D1889" s="741"/>
      <c r="E1889" s="1063" t="s">
        <v>61</v>
      </c>
      <c r="F1889" s="1064">
        <f>SUM(F1884:F1888)</f>
        <v>682819259</v>
      </c>
      <c r="G1889" s="1064">
        <f t="shared" ref="G1889:Q1889" si="771">SUM(G1884:G1888)</f>
        <v>8484654024.8800001</v>
      </c>
      <c r="H1889" s="1064">
        <f t="shared" si="771"/>
        <v>5340934522.8999996</v>
      </c>
      <c r="I1889" s="1064">
        <f t="shared" si="771"/>
        <v>14508407806.780001</v>
      </c>
      <c r="J1889" s="1064">
        <f t="shared" si="771"/>
        <v>504667657.65000004</v>
      </c>
      <c r="K1889" s="1064">
        <f t="shared" si="771"/>
        <v>5816803734.5900002</v>
      </c>
      <c r="L1889" s="1064">
        <f t="shared" si="771"/>
        <v>1210608291.3899992</v>
      </c>
      <c r="M1889" s="1064">
        <f t="shared" si="771"/>
        <v>7532079683.6299992</v>
      </c>
      <c r="N1889" s="1064">
        <f t="shared" si="771"/>
        <v>178151601.34999996</v>
      </c>
      <c r="O1889" s="1064">
        <f t="shared" si="771"/>
        <v>2667850290.289999</v>
      </c>
      <c r="P1889" s="1064">
        <f t="shared" si="771"/>
        <v>4130326231.5100002</v>
      </c>
      <c r="Q1889" s="1064">
        <f t="shared" si="771"/>
        <v>6976328123.1500006</v>
      </c>
      <c r="R1889" s="563"/>
      <c r="S1889" s="1065">
        <f>IF(F1889=0,"",J1889/F1889)</f>
        <v>0.73909405893016855</v>
      </c>
      <c r="T1889" s="1065">
        <f>IF(G1889=0,"",K1889/G1889)</f>
        <v>0.68556758089759218</v>
      </c>
      <c r="U1889" s="1065">
        <f>IF(H1889=0,"",L1889/H1889)</f>
        <v>0.22666600502203271</v>
      </c>
      <c r="V1889" s="1065">
        <f>IF(I1889=0,"",M1889/I1889)</f>
        <v>0.5191527412201733</v>
      </c>
      <c r="W1889" s="318"/>
      <c r="X1889" s="237"/>
      <c r="Y1889" s="1066"/>
      <c r="Z1889" s="849"/>
    </row>
    <row r="1890" spans="1:26" ht="12" hidden="1" customHeight="1">
      <c r="A1890" s="239"/>
      <c r="C1890" s="517"/>
      <c r="D1890" s="517"/>
      <c r="E1890" s="322"/>
      <c r="M1890" s="236">
        <f t="shared" si="753"/>
        <v>0</v>
      </c>
      <c r="N1890" s="236">
        <f t="shared" si="754"/>
        <v>0</v>
      </c>
      <c r="O1890" s="236">
        <f t="shared" si="754"/>
        <v>0</v>
      </c>
      <c r="P1890" s="236">
        <f t="shared" si="754"/>
        <v>0</v>
      </c>
      <c r="Q1890" s="236">
        <f t="shared" si="755"/>
        <v>0</v>
      </c>
      <c r="R1890" s="236"/>
      <c r="W1890" s="236"/>
    </row>
    <row r="1891" spans="1:26" s="93" customFormat="1" ht="11.25" hidden="1" customHeight="1">
      <c r="A1891" s="316"/>
      <c r="B1891" s="316"/>
      <c r="C1891" s="755"/>
      <c r="D1891" s="755"/>
      <c r="E1891" s="756"/>
      <c r="F1891" s="94">
        <f t="shared" ref="F1891:L1891" si="772">+F1889+F1871-F1850</f>
        <v>0</v>
      </c>
      <c r="G1891" s="94">
        <f t="shared" si="772"/>
        <v>0</v>
      </c>
      <c r="H1891" s="94">
        <f t="shared" si="772"/>
        <v>0</v>
      </c>
      <c r="I1891" s="94">
        <f t="shared" si="772"/>
        <v>0</v>
      </c>
      <c r="J1891" s="94">
        <f t="shared" si="772"/>
        <v>0</v>
      </c>
      <c r="K1891" s="94">
        <f t="shared" si="772"/>
        <v>0</v>
      </c>
      <c r="L1891" s="94">
        <f t="shared" si="772"/>
        <v>0</v>
      </c>
      <c r="M1891" s="94">
        <f t="shared" si="753"/>
        <v>0</v>
      </c>
      <c r="N1891" s="94">
        <f t="shared" si="754"/>
        <v>0</v>
      </c>
      <c r="O1891" s="94">
        <f t="shared" si="754"/>
        <v>0</v>
      </c>
      <c r="P1891" s="94">
        <f t="shared" si="754"/>
        <v>0</v>
      </c>
      <c r="Q1891" s="94">
        <f t="shared" si="755"/>
        <v>0</v>
      </c>
      <c r="R1891" s="94"/>
      <c r="S1891" s="140"/>
      <c r="T1891" s="140"/>
      <c r="U1891" s="140"/>
      <c r="V1891" s="140"/>
      <c r="X1891" s="247"/>
      <c r="Y1891" s="626"/>
      <c r="Z1891" s="136"/>
    </row>
    <row r="1892" spans="1:26" s="93" customFormat="1" ht="11.25" hidden="1" customHeight="1">
      <c r="A1892" s="316"/>
      <c r="B1892" s="316"/>
      <c r="C1892" s="755"/>
      <c r="D1892" s="755"/>
      <c r="E1892" s="756"/>
      <c r="F1892" s="94"/>
      <c r="S1892" s="140"/>
      <c r="T1892" s="140"/>
      <c r="U1892" s="140"/>
      <c r="V1892" s="140"/>
      <c r="X1892" s="247"/>
      <c r="Y1892" s="626"/>
      <c r="Z1892" s="136"/>
    </row>
    <row r="1893" spans="1:26" s="93" customFormat="1" ht="11.25" hidden="1" customHeight="1">
      <c r="A1893" s="316"/>
      <c r="B1893" s="316"/>
      <c r="C1893" s="755"/>
      <c r="D1893" s="755"/>
      <c r="E1893" s="756"/>
      <c r="I1893" s="94"/>
      <c r="Q1893" s="94"/>
      <c r="S1893" s="140"/>
      <c r="T1893" s="140"/>
      <c r="U1893" s="140"/>
      <c r="V1893" s="140"/>
      <c r="X1893" s="247"/>
      <c r="Y1893" s="626"/>
      <c r="Z1893" s="136"/>
    </row>
    <row r="1894" spans="1:26" s="1078" customFormat="1" ht="11.25" hidden="1" customHeight="1">
      <c r="A1894" s="323"/>
      <c r="B1894" s="1074"/>
      <c r="C1894" s="1075"/>
      <c r="D1894" s="324"/>
      <c r="E1894" s="1076" t="s">
        <v>865</v>
      </c>
      <c r="F1894" s="1077">
        <f>+F1708+F1716+F1720+F1725+F1732+F1736+F1743+F1759+F1768+F1780+F1792+F1805+F1814+F1818</f>
        <v>0</v>
      </c>
      <c r="G1894" s="1077">
        <f t="shared" ref="G1894:I1894" si="773">+G1708+G1716+G1720+G1725+G1732+G1736+G1743+G1759+G1768+G1780+G1792+G1805+G1814+G1818</f>
        <v>0</v>
      </c>
      <c r="H1894" s="1077">
        <f t="shared" si="773"/>
        <v>-4.76837158203125E-7</v>
      </c>
      <c r="I1894" s="1077">
        <f t="shared" si="773"/>
        <v>-9.5367431640625E-7</v>
      </c>
      <c r="J1894" s="1077"/>
      <c r="K1894" s="1077"/>
      <c r="L1894" s="1077"/>
      <c r="M1894" s="1077"/>
      <c r="N1894" s="1077"/>
      <c r="O1894" s="1077"/>
      <c r="P1894" s="1077"/>
      <c r="Q1894" s="1077"/>
      <c r="S1894" s="1079"/>
      <c r="T1894" s="1079"/>
      <c r="U1894" s="1079"/>
      <c r="V1894" s="1079"/>
      <c r="W1894" s="325"/>
    </row>
    <row r="1895" spans="1:26" s="93" customFormat="1" ht="18" hidden="1" customHeight="1">
      <c r="A1895" s="316"/>
      <c r="B1895" s="316"/>
      <c r="C1895" s="755"/>
      <c r="D1895" s="755"/>
      <c r="E1895" s="756"/>
      <c r="S1895" s="140"/>
      <c r="T1895" s="140"/>
      <c r="U1895" s="140"/>
      <c r="V1895" s="140"/>
      <c r="X1895" s="247"/>
      <c r="Y1895" s="626"/>
      <c r="Z1895" s="136"/>
    </row>
    <row r="1896" spans="1:26" s="93" customFormat="1" ht="11.25" hidden="1" customHeight="1">
      <c r="A1896" s="316"/>
      <c r="B1896" s="316"/>
      <c r="C1896" s="755"/>
      <c r="D1896" s="755"/>
      <c r="E1896" s="756" t="s">
        <v>880</v>
      </c>
      <c r="F1896" s="94">
        <f>+F1716+F1720+F1725+F1732+F1736+F1768+F1780+F1792+F1805+F1814+F1818</f>
        <v>219091166</v>
      </c>
      <c r="G1896" s="94">
        <f t="shared" ref="G1896:I1896" si="774">+G1716+G1720+G1725+G1732+G1736+G1768+G1780+G1792+G1805+G1814+G1818</f>
        <v>3959941354.46</v>
      </c>
      <c r="H1896" s="94">
        <f t="shared" si="774"/>
        <v>5745606586.1000004</v>
      </c>
      <c r="I1896" s="94">
        <f t="shared" si="774"/>
        <v>9924639106.5599995</v>
      </c>
      <c r="Q1896" s="94">
        <f>+Q1889-Q39</f>
        <v>0</v>
      </c>
      <c r="S1896" s="140"/>
      <c r="T1896" s="140"/>
      <c r="U1896" s="140"/>
      <c r="V1896" s="140"/>
      <c r="X1896" s="247"/>
      <c r="Y1896" s="626"/>
      <c r="Z1896" s="136"/>
    </row>
    <row r="1897" spans="1:26" s="93" customFormat="1" ht="11.25" hidden="1" customHeight="1">
      <c r="A1897" s="316"/>
      <c r="B1897" s="316"/>
      <c r="C1897" s="755"/>
      <c r="D1897" s="755"/>
      <c r="E1897" s="756"/>
      <c r="S1897" s="140"/>
      <c r="T1897" s="140"/>
      <c r="U1897" s="140"/>
      <c r="V1897" s="140"/>
      <c r="X1897" s="247"/>
      <c r="Y1897" s="626"/>
      <c r="Z1897" s="136"/>
    </row>
    <row r="1898" spans="1:26" s="93" customFormat="1" ht="11.25" hidden="1" customHeight="1">
      <c r="C1898" s="755"/>
      <c r="D1898" s="755"/>
      <c r="E1898" s="756"/>
      <c r="F1898" s="94">
        <f>+F1896+F11+F16+F30</f>
        <v>0</v>
      </c>
      <c r="G1898" s="94">
        <f>+G1896+G11+G16+G30</f>
        <v>0</v>
      </c>
      <c r="H1898" s="94">
        <f>+H1896+H11+H16+H30</f>
        <v>0</v>
      </c>
      <c r="I1898" s="94">
        <f>+I1896+I11+I16+I30</f>
        <v>-1.9073486328125E-6</v>
      </c>
      <c r="S1898" s="140"/>
      <c r="T1898" s="140"/>
      <c r="U1898" s="140"/>
      <c r="V1898" s="140"/>
      <c r="X1898" s="247"/>
      <c r="Y1898" s="626"/>
      <c r="Z1898" s="136"/>
    </row>
    <row r="1899" spans="1:26" s="93" customFormat="1" ht="11.25" hidden="1" customHeight="1">
      <c r="C1899" s="755"/>
      <c r="D1899" s="755"/>
      <c r="E1899" s="756"/>
      <c r="G1899" s="94"/>
      <c r="S1899" s="140"/>
      <c r="T1899" s="140"/>
      <c r="U1899" s="140"/>
      <c r="V1899" s="140"/>
      <c r="X1899" s="247"/>
      <c r="Y1899" s="626"/>
      <c r="Z1899" s="136"/>
    </row>
    <row r="1900" spans="1:26" s="93" customFormat="1" ht="11.25" hidden="1" customHeight="1">
      <c r="C1900" s="755"/>
      <c r="D1900" s="755"/>
      <c r="E1900" s="756"/>
      <c r="F1900" s="94">
        <f>+F1896+F11+F30+F16</f>
        <v>0</v>
      </c>
      <c r="G1900" s="94">
        <f t="shared" ref="G1900:I1900" si="775">+G1896+G11+G30+G16</f>
        <v>0</v>
      </c>
      <c r="H1900" s="94">
        <f t="shared" si="775"/>
        <v>0</v>
      </c>
      <c r="I1900" s="94">
        <f t="shared" si="775"/>
        <v>-1.9073486328125E-6</v>
      </c>
      <c r="J1900" s="93" t="s">
        <v>1100</v>
      </c>
      <c r="S1900" s="140"/>
      <c r="T1900" s="140"/>
      <c r="U1900" s="140"/>
      <c r="V1900" s="140"/>
      <c r="X1900" s="247"/>
      <c r="Y1900" s="626"/>
      <c r="Z1900" s="136"/>
    </row>
    <row r="1901" spans="1:26" s="240" customFormat="1" ht="11.25" hidden="1" customHeight="1">
      <c r="E1901" s="516" t="s">
        <v>1077</v>
      </c>
      <c r="R1901" s="1080"/>
      <c r="S1901" s="139"/>
      <c r="T1901" s="139"/>
      <c r="U1901" s="139"/>
      <c r="V1901" s="139"/>
      <c r="X1901" s="520"/>
      <c r="Y1901" s="833"/>
      <c r="Z1901" s="241"/>
    </row>
    <row r="1902" spans="1:26" ht="11.25" hidden="1" customHeight="1">
      <c r="A1902" s="236"/>
      <c r="B1902" s="236"/>
      <c r="C1902" s="240"/>
      <c r="D1902" s="236"/>
      <c r="E1902" s="517"/>
      <c r="R1902" s="1081"/>
      <c r="W1902" s="236"/>
      <c r="Y1902" s="837"/>
    </row>
    <row r="1903" spans="1:26" ht="11.25" hidden="1" customHeight="1">
      <c r="A1903" s="236"/>
      <c r="B1903" s="236"/>
      <c r="C1903" s="240"/>
      <c r="D1903" s="236"/>
      <c r="E1903" s="517" t="s">
        <v>1078</v>
      </c>
      <c r="F1903" s="276">
        <f>+F1706+F1710+F1740</f>
        <v>682819259</v>
      </c>
      <c r="G1903" s="276">
        <f t="shared" ref="G1903:Q1903" si="776">+G1706+G1710+G1740</f>
        <v>8484654024.8800001</v>
      </c>
      <c r="H1903" s="276">
        <f t="shared" si="776"/>
        <v>5340934522.8999996</v>
      </c>
      <c r="I1903" s="276">
        <f t="shared" si="776"/>
        <v>14508407806.779999</v>
      </c>
      <c r="J1903" s="276">
        <f t="shared" si="776"/>
        <v>504667657.65000004</v>
      </c>
      <c r="K1903" s="276">
        <f t="shared" si="776"/>
        <v>5816803734.5900002</v>
      </c>
      <c r="L1903" s="276">
        <f t="shared" si="776"/>
        <v>1210608291.3899992</v>
      </c>
      <c r="M1903" s="276">
        <f t="shared" si="776"/>
        <v>7532079683.6300001</v>
      </c>
      <c r="N1903" s="276">
        <f t="shared" si="776"/>
        <v>178151601.34999996</v>
      </c>
      <c r="O1903" s="276">
        <f t="shared" si="776"/>
        <v>2667850290.2899995</v>
      </c>
      <c r="P1903" s="276">
        <f t="shared" si="776"/>
        <v>4130326231.5100002</v>
      </c>
      <c r="Q1903" s="276">
        <f t="shared" si="776"/>
        <v>6976328123.1499996</v>
      </c>
      <c r="R1903" s="1081"/>
      <c r="W1903" s="236"/>
      <c r="Y1903" s="837"/>
    </row>
    <row r="1904" spans="1:26" ht="11.25" hidden="1" customHeight="1">
      <c r="A1904" s="236"/>
      <c r="B1904" s="236"/>
      <c r="C1904" s="240"/>
      <c r="D1904" s="236"/>
      <c r="E1904" s="517" t="s">
        <v>296</v>
      </c>
      <c r="F1904" s="276">
        <f>+F1723+F1734+F1786+F1811</f>
        <v>7943122102.6000004</v>
      </c>
      <c r="G1904" s="276">
        <f t="shared" ref="G1904:Q1904" si="777">+G1723+G1734+G1786+G1811</f>
        <v>4623577580.0599995</v>
      </c>
      <c r="H1904" s="276">
        <f t="shared" si="777"/>
        <v>4697068495.1000004</v>
      </c>
      <c r="I1904" s="276">
        <f t="shared" si="777"/>
        <v>17263768177.759998</v>
      </c>
      <c r="J1904" s="276">
        <f t="shared" si="777"/>
        <v>7339423472.960001</v>
      </c>
      <c r="K1904" s="276">
        <f t="shared" si="777"/>
        <v>3830008328.480001</v>
      </c>
      <c r="L1904" s="276">
        <f t="shared" si="777"/>
        <v>3041337438.1199999</v>
      </c>
      <c r="M1904" s="276">
        <f t="shared" si="777"/>
        <v>14210769239.560001</v>
      </c>
      <c r="N1904" s="276">
        <f t="shared" si="777"/>
        <v>603698629.63999891</v>
      </c>
      <c r="O1904" s="276">
        <f t="shared" si="777"/>
        <v>793569251.57999945</v>
      </c>
      <c r="P1904" s="276">
        <f t="shared" si="777"/>
        <v>1655731056.98</v>
      </c>
      <c r="Q1904" s="276">
        <f t="shared" si="777"/>
        <v>3052998938.1999979</v>
      </c>
      <c r="R1904" s="1081"/>
      <c r="W1904" s="236"/>
      <c r="Y1904" s="837"/>
    </row>
    <row r="1905" spans="1:26" ht="11.25" hidden="1" customHeight="1">
      <c r="A1905" s="236"/>
      <c r="B1905" s="236"/>
      <c r="C1905" s="240"/>
      <c r="D1905" s="236"/>
      <c r="E1905" s="517" t="s">
        <v>295</v>
      </c>
      <c r="F1905" s="1082">
        <f>+F1727+F1799</f>
        <v>1516110724</v>
      </c>
      <c r="G1905" s="1082">
        <f t="shared" ref="G1905:Q1905" si="778">+G1727+G1799</f>
        <v>5164035606.3999996</v>
      </c>
      <c r="H1905" s="1082">
        <f t="shared" si="778"/>
        <v>1055388091</v>
      </c>
      <c r="I1905" s="1082">
        <f t="shared" si="778"/>
        <v>7735534421.3999996</v>
      </c>
      <c r="J1905" s="1082">
        <f t="shared" si="778"/>
        <v>1324977344.05</v>
      </c>
      <c r="K1905" s="1082">
        <f t="shared" si="778"/>
        <v>3688105207.5299997</v>
      </c>
      <c r="L1905" s="1082">
        <f t="shared" si="778"/>
        <v>835664623.32999992</v>
      </c>
      <c r="M1905" s="1082">
        <f t="shared" si="778"/>
        <v>5848747174.9099998</v>
      </c>
      <c r="N1905" s="1082">
        <f t="shared" si="778"/>
        <v>191133379.94999987</v>
      </c>
      <c r="O1905" s="1082">
        <f t="shared" si="778"/>
        <v>1475930398.8700004</v>
      </c>
      <c r="P1905" s="1082">
        <f t="shared" si="778"/>
        <v>219723467.67000008</v>
      </c>
      <c r="Q1905" s="1082">
        <f t="shared" si="778"/>
        <v>1886787246.4900002</v>
      </c>
      <c r="R1905" s="1081"/>
      <c r="W1905" s="236"/>
      <c r="Y1905" s="837"/>
    </row>
    <row r="1906" spans="1:26" ht="11.25" hidden="1" customHeight="1">
      <c r="A1906" s="236"/>
      <c r="B1906" s="236"/>
      <c r="C1906" s="240"/>
      <c r="D1906" s="236"/>
      <c r="E1906" s="517" t="s">
        <v>1079</v>
      </c>
      <c r="F1906" s="276">
        <f>+F1714+F1718+F1762+F1774</f>
        <v>249497899</v>
      </c>
      <c r="G1906" s="276">
        <f t="shared" ref="G1906:Q1906" si="779">+G1714+G1718+G1762+G1774</f>
        <v>164412000</v>
      </c>
      <c r="H1906" s="276">
        <f t="shared" si="779"/>
        <v>22000000</v>
      </c>
      <c r="I1906" s="276">
        <f t="shared" si="779"/>
        <v>435909899</v>
      </c>
      <c r="J1906" s="276">
        <f t="shared" si="779"/>
        <v>233062104.73000002</v>
      </c>
      <c r="K1906" s="276">
        <f t="shared" si="779"/>
        <v>127557862.81</v>
      </c>
      <c r="L1906" s="276">
        <f t="shared" si="779"/>
        <v>8121591.8600000003</v>
      </c>
      <c r="M1906" s="276">
        <f t="shared" si="779"/>
        <v>368741559.39999998</v>
      </c>
      <c r="N1906" s="276">
        <f t="shared" si="779"/>
        <v>16435794.27</v>
      </c>
      <c r="O1906" s="276">
        <f t="shared" si="779"/>
        <v>36854137.189999998</v>
      </c>
      <c r="P1906" s="276">
        <f t="shared" si="779"/>
        <v>13878408.140000001</v>
      </c>
      <c r="Q1906" s="276">
        <f t="shared" si="779"/>
        <v>67168339.599999994</v>
      </c>
      <c r="R1906" s="1081"/>
      <c r="W1906" s="236"/>
      <c r="Y1906" s="837"/>
    </row>
    <row r="1907" spans="1:26" s="241" customFormat="1" ht="11.25" hidden="1" customHeight="1">
      <c r="E1907" s="1083" t="s">
        <v>4</v>
      </c>
      <c r="F1907" s="1084">
        <f>SUM(F1903:F1906)</f>
        <v>10391549984.6</v>
      </c>
      <c r="G1907" s="1084">
        <f t="shared" ref="G1907:Q1907" si="780">SUM(G1903:G1906)</f>
        <v>18436679211.339996</v>
      </c>
      <c r="H1907" s="1084">
        <f t="shared" si="780"/>
        <v>11115391109</v>
      </c>
      <c r="I1907" s="1084">
        <f t="shared" si="780"/>
        <v>39943620304.939995</v>
      </c>
      <c r="J1907" s="1084">
        <f t="shared" si="780"/>
        <v>9402130579.3899994</v>
      </c>
      <c r="K1907" s="1084">
        <f t="shared" si="780"/>
        <v>13462475133.410002</v>
      </c>
      <c r="L1907" s="1084">
        <f t="shared" si="780"/>
        <v>5095731944.6999989</v>
      </c>
      <c r="M1907" s="1084">
        <f t="shared" si="780"/>
        <v>27960337657.500004</v>
      </c>
      <c r="N1907" s="1084">
        <f t="shared" si="780"/>
        <v>989419405.20999861</v>
      </c>
      <c r="O1907" s="1084">
        <f t="shared" si="780"/>
        <v>4974204077.9299994</v>
      </c>
      <c r="P1907" s="1084">
        <f t="shared" si="780"/>
        <v>6019659164.3000002</v>
      </c>
      <c r="Q1907" s="1084">
        <f t="shared" si="780"/>
        <v>11983282647.439999</v>
      </c>
      <c r="R1907" s="1085"/>
      <c r="S1907" s="1086"/>
      <c r="T1907" s="1086"/>
      <c r="U1907" s="1086"/>
      <c r="V1907" s="1086"/>
    </row>
    <row r="1908" spans="1:26" ht="11.25" hidden="1" customHeight="1">
      <c r="A1908" s="236"/>
      <c r="B1908" s="236"/>
      <c r="C1908" s="240"/>
      <c r="D1908" s="236"/>
      <c r="E1908" s="517"/>
      <c r="F1908" s="276">
        <f>+F1907-F1850</f>
        <v>0</v>
      </c>
      <c r="G1908" s="276">
        <f t="shared" ref="G1908:Q1908" si="781">+G1907-G1850</f>
        <v>0</v>
      </c>
      <c r="H1908" s="276">
        <f t="shared" si="781"/>
        <v>0</v>
      </c>
      <c r="I1908" s="276">
        <f t="shared" si="781"/>
        <v>0</v>
      </c>
      <c r="J1908" s="276">
        <f t="shared" si="781"/>
        <v>0</v>
      </c>
      <c r="K1908" s="276">
        <f t="shared" si="781"/>
        <v>0</v>
      </c>
      <c r="L1908" s="276">
        <f t="shared" si="781"/>
        <v>0</v>
      </c>
      <c r="M1908" s="276">
        <f t="shared" si="781"/>
        <v>0</v>
      </c>
      <c r="N1908" s="276">
        <f t="shared" si="781"/>
        <v>0</v>
      </c>
      <c r="O1908" s="276">
        <f t="shared" si="781"/>
        <v>0</v>
      </c>
      <c r="P1908" s="276">
        <f t="shared" si="781"/>
        <v>0</v>
      </c>
      <c r="Q1908" s="276">
        <f t="shared" si="781"/>
        <v>0</v>
      </c>
      <c r="R1908" s="1081"/>
      <c r="W1908" s="236"/>
      <c r="Y1908" s="837"/>
    </row>
    <row r="1909" spans="1:26" s="93" customFormat="1" ht="11.25" hidden="1" customHeight="1">
      <c r="C1909" s="755"/>
      <c r="D1909" s="755"/>
      <c r="E1909" s="756"/>
      <c r="S1909" s="140"/>
      <c r="T1909" s="140"/>
      <c r="U1909" s="140"/>
      <c r="V1909" s="140"/>
      <c r="X1909" s="247"/>
      <c r="Y1909" s="626"/>
      <c r="Z1909" s="136"/>
    </row>
    <row r="1910" spans="1:26" s="93" customFormat="1" ht="11.25" hidden="1" customHeight="1">
      <c r="C1910" s="755"/>
      <c r="D1910" s="755"/>
      <c r="E1910" s="756"/>
      <c r="S1910" s="140"/>
      <c r="T1910" s="140"/>
      <c r="U1910" s="140"/>
      <c r="V1910" s="140"/>
      <c r="X1910" s="247"/>
      <c r="Y1910" s="626"/>
      <c r="Z1910" s="136"/>
    </row>
    <row r="1911" spans="1:26" s="93" customFormat="1" ht="11.25" hidden="1" customHeight="1">
      <c r="C1911" s="755"/>
      <c r="D1911" s="755"/>
      <c r="E1911" s="756"/>
      <c r="S1911" s="140"/>
      <c r="T1911" s="140"/>
      <c r="U1911" s="140"/>
      <c r="V1911" s="140"/>
      <c r="X1911" s="247"/>
      <c r="Y1911" s="626"/>
      <c r="Z1911" s="136"/>
    </row>
    <row r="1912" spans="1:26" s="93" customFormat="1" ht="11.25" hidden="1" customHeight="1">
      <c r="C1912" s="755"/>
      <c r="D1912" s="755"/>
      <c r="E1912" s="756"/>
      <c r="S1912" s="140"/>
      <c r="T1912" s="140"/>
      <c r="U1912" s="140"/>
      <c r="V1912" s="140"/>
      <c r="X1912" s="247"/>
      <c r="Y1912" s="626"/>
      <c r="Z1912" s="136"/>
    </row>
    <row r="1913" spans="1:26" s="93" customFormat="1" ht="11.25" hidden="1" customHeight="1">
      <c r="C1913" s="755"/>
      <c r="D1913" s="755"/>
      <c r="E1913" s="756"/>
      <c r="S1913" s="140"/>
      <c r="T1913" s="140"/>
      <c r="U1913" s="140"/>
      <c r="V1913" s="140"/>
      <c r="X1913" s="247"/>
      <c r="Y1913" s="626"/>
      <c r="Z1913" s="136"/>
    </row>
    <row r="1914" spans="1:26" s="93" customFormat="1" ht="11.25" hidden="1" customHeight="1">
      <c r="A1914" s="316"/>
      <c r="B1914" s="316"/>
      <c r="C1914" s="755"/>
      <c r="D1914" s="755"/>
      <c r="E1914" s="756"/>
      <c r="S1914" s="140"/>
      <c r="T1914" s="140"/>
      <c r="U1914" s="140"/>
      <c r="V1914" s="140"/>
      <c r="X1914" s="247"/>
      <c r="Y1914" s="626"/>
      <c r="Z1914" s="136"/>
    </row>
    <row r="1915" spans="1:26" s="93" customFormat="1" ht="11.25" hidden="1" customHeight="1">
      <c r="A1915" s="316"/>
      <c r="B1915" s="316"/>
      <c r="C1915" s="755"/>
      <c r="D1915" s="755"/>
      <c r="E1915" s="756"/>
      <c r="S1915" s="140"/>
      <c r="T1915" s="140"/>
      <c r="U1915" s="140"/>
      <c r="V1915" s="140"/>
      <c r="X1915" s="247"/>
      <c r="Y1915" s="626"/>
      <c r="Z1915" s="136"/>
    </row>
    <row r="1916" spans="1:26" s="93" customFormat="1" ht="11.25" hidden="1" customHeight="1">
      <c r="A1916" s="316"/>
      <c r="B1916" s="316"/>
      <c r="C1916" s="755"/>
      <c r="D1916" s="755"/>
      <c r="E1916" s="756"/>
      <c r="S1916" s="140"/>
      <c r="T1916" s="140"/>
      <c r="U1916" s="140"/>
      <c r="V1916" s="140"/>
      <c r="X1916" s="247"/>
      <c r="Y1916" s="626"/>
      <c r="Z1916" s="136"/>
    </row>
    <row r="1917" spans="1:26" s="93" customFormat="1" ht="11.25" hidden="1" customHeight="1">
      <c r="A1917" s="316"/>
      <c r="B1917" s="316"/>
      <c r="C1917" s="755"/>
      <c r="D1917" s="755"/>
      <c r="E1917" s="756"/>
      <c r="S1917" s="140"/>
      <c r="T1917" s="140"/>
      <c r="U1917" s="140"/>
      <c r="V1917" s="140"/>
      <c r="X1917" s="247"/>
      <c r="Y1917" s="626"/>
      <c r="Z1917" s="136"/>
    </row>
    <row r="1918" spans="1:26" s="93" customFormat="1" ht="11.25" hidden="1" customHeight="1">
      <c r="A1918" s="316"/>
      <c r="B1918" s="316"/>
      <c r="C1918" s="755"/>
      <c r="D1918" s="755"/>
      <c r="E1918" s="756"/>
      <c r="S1918" s="140"/>
      <c r="T1918" s="140"/>
      <c r="U1918" s="140"/>
      <c r="V1918" s="140"/>
      <c r="X1918" s="247"/>
      <c r="Y1918" s="626"/>
      <c r="Z1918" s="136"/>
    </row>
    <row r="1919" spans="1:26" s="93" customFormat="1" ht="11.25" hidden="1" customHeight="1">
      <c r="A1919" s="316"/>
      <c r="B1919" s="316"/>
      <c r="C1919" s="755"/>
      <c r="D1919" s="755"/>
      <c r="E1919" s="756"/>
      <c r="S1919" s="140"/>
      <c r="T1919" s="140"/>
      <c r="U1919" s="140"/>
      <c r="V1919" s="140"/>
      <c r="X1919" s="247"/>
      <c r="Y1919" s="626"/>
      <c r="Z1919" s="136"/>
    </row>
    <row r="1920" spans="1:26" s="93" customFormat="1" ht="11.25" hidden="1" customHeight="1">
      <c r="A1920" s="316"/>
      <c r="B1920" s="316"/>
      <c r="C1920" s="755"/>
      <c r="D1920" s="755"/>
      <c r="E1920" s="756"/>
      <c r="S1920" s="140"/>
      <c r="T1920" s="140"/>
      <c r="U1920" s="140"/>
      <c r="V1920" s="140"/>
      <c r="X1920" s="247"/>
      <c r="Y1920" s="626"/>
      <c r="Z1920" s="136"/>
    </row>
    <row r="1921" spans="1:26" s="93" customFormat="1" ht="11.25" hidden="1" customHeight="1">
      <c r="A1921" s="316"/>
      <c r="B1921" s="316"/>
      <c r="C1921" s="755"/>
      <c r="D1921" s="755"/>
      <c r="E1921" s="756"/>
      <c r="S1921" s="140"/>
      <c r="T1921" s="140"/>
      <c r="U1921" s="140"/>
      <c r="V1921" s="140"/>
      <c r="X1921" s="247"/>
      <c r="Y1921" s="626"/>
      <c r="Z1921" s="136"/>
    </row>
    <row r="1922" spans="1:26" s="93" customFormat="1" ht="11.25" hidden="1" customHeight="1">
      <c r="A1922" s="316"/>
      <c r="B1922" s="316"/>
      <c r="C1922" s="755"/>
      <c r="D1922" s="755"/>
      <c r="E1922" s="756"/>
      <c r="S1922" s="140"/>
      <c r="T1922" s="140"/>
      <c r="U1922" s="140"/>
      <c r="V1922" s="140"/>
      <c r="X1922" s="247"/>
      <c r="Y1922" s="626"/>
      <c r="Z1922" s="136"/>
    </row>
    <row r="1923" spans="1:26" s="93" customFormat="1" ht="11.25" hidden="1" customHeight="1">
      <c r="A1923" s="316"/>
      <c r="B1923" s="316"/>
      <c r="C1923" s="755"/>
      <c r="D1923" s="755"/>
      <c r="E1923" s="756"/>
      <c r="S1923" s="140"/>
      <c r="T1923" s="140"/>
      <c r="U1923" s="140"/>
      <c r="V1923" s="140"/>
      <c r="X1923" s="247"/>
      <c r="Y1923" s="626"/>
      <c r="Z1923" s="136"/>
    </row>
    <row r="1924" spans="1:26" s="522" customFormat="1" ht="11.25" hidden="1" customHeight="1">
      <c r="A1924" s="316"/>
      <c r="B1924" s="316"/>
      <c r="C1924" s="757"/>
      <c r="D1924" s="757"/>
      <c r="E1924" s="758"/>
      <c r="S1924" s="1401"/>
      <c r="T1924" s="1401"/>
      <c r="U1924" s="1401"/>
      <c r="V1924" s="1401"/>
      <c r="W1924" s="93"/>
      <c r="X1924" s="326"/>
      <c r="Y1924" s="759"/>
      <c r="Z1924" s="248"/>
    </row>
    <row r="1925" spans="1:26" s="522" customFormat="1" ht="11.25" hidden="1" customHeight="1">
      <c r="A1925" s="316"/>
      <c r="B1925" s="316"/>
      <c r="C1925" s="757"/>
      <c r="D1925" s="757"/>
      <c r="E1925" s="758"/>
      <c r="S1925" s="1401"/>
      <c r="T1925" s="1401"/>
      <c r="U1925" s="1401"/>
      <c r="V1925" s="1401"/>
      <c r="W1925" s="93"/>
      <c r="X1925" s="326"/>
      <c r="Y1925" s="759"/>
      <c r="Z1925" s="248"/>
    </row>
    <row r="1926" spans="1:26" s="522" customFormat="1" ht="11.25" hidden="1" customHeight="1">
      <c r="A1926" s="316"/>
      <c r="B1926" s="316"/>
      <c r="C1926" s="757"/>
      <c r="D1926" s="757"/>
      <c r="E1926" s="758"/>
      <c r="S1926" s="1401"/>
      <c r="T1926" s="1401"/>
      <c r="U1926" s="1401"/>
      <c r="V1926" s="1401"/>
      <c r="W1926" s="93"/>
      <c r="X1926" s="326"/>
      <c r="Y1926" s="759"/>
      <c r="Z1926" s="248"/>
    </row>
    <row r="1927" spans="1:26" s="522" customFormat="1" ht="11.25" hidden="1" customHeight="1">
      <c r="A1927" s="316"/>
      <c r="B1927" s="316"/>
      <c r="C1927" s="757"/>
      <c r="D1927" s="757"/>
      <c r="E1927" s="758"/>
      <c r="S1927" s="1401"/>
      <c r="T1927" s="1401"/>
      <c r="U1927" s="1401"/>
      <c r="V1927" s="1401"/>
      <c r="W1927" s="93"/>
      <c r="X1927" s="326"/>
      <c r="Y1927" s="759"/>
      <c r="Z1927" s="248"/>
    </row>
    <row r="1928" spans="1:26" s="522" customFormat="1" ht="11.25" hidden="1" customHeight="1">
      <c r="A1928" s="316"/>
      <c r="B1928" s="316"/>
      <c r="C1928" s="757"/>
      <c r="D1928" s="757"/>
      <c r="E1928" s="758"/>
      <c r="S1928" s="1401"/>
      <c r="T1928" s="1401"/>
      <c r="U1928" s="1401"/>
      <c r="V1928" s="1401"/>
      <c r="W1928" s="93"/>
      <c r="X1928" s="326"/>
      <c r="Y1928" s="759"/>
      <c r="Z1928" s="248"/>
    </row>
    <row r="1929" spans="1:26" s="522" customFormat="1" ht="11.25" hidden="1" customHeight="1">
      <c r="A1929" s="316"/>
      <c r="B1929" s="316"/>
      <c r="C1929" s="757"/>
      <c r="D1929" s="757"/>
      <c r="E1929" s="758"/>
      <c r="S1929" s="1401"/>
      <c r="T1929" s="1401"/>
      <c r="U1929" s="1401"/>
      <c r="V1929" s="1401"/>
      <c r="W1929" s="93"/>
      <c r="X1929" s="326"/>
      <c r="Y1929" s="759"/>
      <c r="Z1929" s="248"/>
    </row>
    <row r="1930" spans="1:26" s="522" customFormat="1" ht="11.25" hidden="1" customHeight="1">
      <c r="A1930" s="316"/>
      <c r="B1930" s="316"/>
      <c r="C1930" s="757"/>
      <c r="D1930" s="757"/>
      <c r="E1930" s="758"/>
      <c r="S1930" s="1401"/>
      <c r="T1930" s="1401"/>
      <c r="U1930" s="1401"/>
      <c r="V1930" s="1401"/>
      <c r="W1930" s="93"/>
      <c r="X1930" s="326"/>
      <c r="Y1930" s="759"/>
      <c r="Z1930" s="248"/>
    </row>
    <row r="1931" spans="1:26" s="522" customFormat="1" ht="11.25" hidden="1" customHeight="1">
      <c r="A1931" s="316"/>
      <c r="B1931" s="316"/>
      <c r="C1931" s="757"/>
      <c r="D1931" s="757"/>
      <c r="E1931" s="758"/>
      <c r="S1931" s="1401"/>
      <c r="T1931" s="1401"/>
      <c r="U1931" s="1401"/>
      <c r="V1931" s="1401"/>
      <c r="W1931" s="93"/>
      <c r="X1931" s="326"/>
      <c r="Y1931" s="759"/>
      <c r="Z1931" s="248"/>
    </row>
    <row r="1932" spans="1:26" s="522" customFormat="1" ht="11.25" hidden="1" customHeight="1">
      <c r="A1932" s="316"/>
      <c r="B1932" s="316"/>
      <c r="C1932" s="757"/>
      <c r="D1932" s="757"/>
      <c r="E1932" s="758"/>
      <c r="S1932" s="1401"/>
      <c r="T1932" s="1401"/>
      <c r="U1932" s="1401"/>
      <c r="V1932" s="1401"/>
      <c r="W1932" s="93"/>
      <c r="X1932" s="326"/>
      <c r="Y1932" s="759"/>
      <c r="Z1932" s="248"/>
    </row>
    <row r="1933" spans="1:26" s="522" customFormat="1" ht="11.25" hidden="1" customHeight="1">
      <c r="A1933" s="316"/>
      <c r="B1933" s="316"/>
      <c r="C1933" s="757"/>
      <c r="D1933" s="757"/>
      <c r="E1933" s="758"/>
      <c r="S1933" s="1401"/>
      <c r="T1933" s="1401"/>
      <c r="U1933" s="1401"/>
      <c r="V1933" s="1401"/>
      <c r="W1933" s="93"/>
      <c r="X1933" s="326"/>
      <c r="Y1933" s="759"/>
      <c r="Z1933" s="248"/>
    </row>
    <row r="1934" spans="1:26" s="522" customFormat="1" ht="11.25" hidden="1" customHeight="1">
      <c r="A1934" s="316"/>
      <c r="B1934" s="316"/>
      <c r="C1934" s="757"/>
      <c r="D1934" s="757"/>
      <c r="E1934" s="758"/>
      <c r="S1934" s="1401"/>
      <c r="T1934" s="1401"/>
      <c r="U1934" s="1401"/>
      <c r="V1934" s="1401"/>
      <c r="W1934" s="93"/>
      <c r="X1934" s="326"/>
      <c r="Y1934" s="759"/>
      <c r="Z1934" s="248"/>
    </row>
    <row r="1935" spans="1:26" s="522" customFormat="1" ht="11.25" hidden="1" customHeight="1">
      <c r="A1935" s="316"/>
      <c r="B1935" s="316"/>
      <c r="C1935" s="757"/>
      <c r="D1935" s="757"/>
      <c r="E1935" s="758"/>
      <c r="S1935" s="1401"/>
      <c r="T1935" s="1401"/>
      <c r="U1935" s="1401"/>
      <c r="V1935" s="1401"/>
      <c r="W1935" s="93"/>
      <c r="X1935" s="326"/>
      <c r="Y1935" s="759"/>
      <c r="Z1935" s="248"/>
    </row>
    <row r="1936" spans="1:26" s="522" customFormat="1" ht="11.25" hidden="1" customHeight="1">
      <c r="A1936" s="316"/>
      <c r="B1936" s="316"/>
      <c r="C1936" s="757"/>
      <c r="D1936" s="757"/>
      <c r="E1936" s="758"/>
      <c r="S1936" s="1401"/>
      <c r="T1936" s="1401"/>
      <c r="U1936" s="1401"/>
      <c r="V1936" s="1401"/>
      <c r="W1936" s="93"/>
      <c r="X1936" s="326"/>
      <c r="Y1936" s="759"/>
      <c r="Z1936" s="248"/>
    </row>
    <row r="1937" spans="1:26" s="522" customFormat="1" ht="11.25" hidden="1" customHeight="1">
      <c r="A1937" s="316"/>
      <c r="B1937" s="316"/>
      <c r="C1937" s="757"/>
      <c r="D1937" s="757"/>
      <c r="E1937" s="758"/>
      <c r="S1937" s="1401"/>
      <c r="T1937" s="1401"/>
      <c r="U1937" s="1401"/>
      <c r="V1937" s="1401"/>
      <c r="W1937" s="93"/>
      <c r="X1937" s="326"/>
      <c r="Y1937" s="759"/>
      <c r="Z1937" s="248"/>
    </row>
    <row r="1938" spans="1:26" s="522" customFormat="1" ht="11.25" hidden="1" customHeight="1">
      <c r="A1938" s="316"/>
      <c r="B1938" s="316"/>
      <c r="C1938" s="757"/>
      <c r="D1938" s="757"/>
      <c r="E1938" s="758"/>
      <c r="S1938" s="1401"/>
      <c r="T1938" s="1401"/>
      <c r="U1938" s="1401"/>
      <c r="V1938" s="1401"/>
      <c r="W1938" s="93"/>
      <c r="X1938" s="326"/>
      <c r="Y1938" s="759"/>
      <c r="Z1938" s="248"/>
    </row>
    <row r="1939" spans="1:26" s="522" customFormat="1" ht="11.25" hidden="1" customHeight="1">
      <c r="A1939" s="316"/>
      <c r="B1939" s="316"/>
      <c r="C1939" s="757"/>
      <c r="D1939" s="757"/>
      <c r="E1939" s="758"/>
      <c r="S1939" s="1401"/>
      <c r="T1939" s="1401"/>
      <c r="U1939" s="1401"/>
      <c r="V1939" s="1401"/>
      <c r="W1939" s="93"/>
      <c r="X1939" s="326"/>
      <c r="Y1939" s="759"/>
      <c r="Z1939" s="248"/>
    </row>
    <row r="1940" spans="1:26" s="522" customFormat="1" ht="11.25" hidden="1" customHeight="1">
      <c r="A1940" s="316"/>
      <c r="B1940" s="316"/>
      <c r="C1940" s="757"/>
      <c r="D1940" s="757"/>
      <c r="E1940" s="758"/>
      <c r="S1940" s="1401"/>
      <c r="T1940" s="1401"/>
      <c r="U1940" s="1401"/>
      <c r="V1940" s="1401"/>
      <c r="W1940" s="93"/>
      <c r="X1940" s="326"/>
      <c r="Y1940" s="759"/>
      <c r="Z1940" s="248"/>
    </row>
    <row r="1941" spans="1:26" s="522" customFormat="1" ht="11.25" hidden="1" customHeight="1">
      <c r="A1941" s="316"/>
      <c r="B1941" s="316"/>
      <c r="C1941" s="757"/>
      <c r="D1941" s="757"/>
      <c r="E1941" s="758"/>
      <c r="S1941" s="1401"/>
      <c r="T1941" s="1401"/>
      <c r="U1941" s="1401"/>
      <c r="V1941" s="1401"/>
      <c r="W1941" s="93"/>
      <c r="X1941" s="326"/>
      <c r="Y1941" s="759"/>
      <c r="Z1941" s="248"/>
    </row>
    <row r="1942" spans="1:26" s="522" customFormat="1" ht="11.25" hidden="1" customHeight="1">
      <c r="A1942" s="316"/>
      <c r="B1942" s="316"/>
      <c r="C1942" s="757"/>
      <c r="D1942" s="757"/>
      <c r="E1942" s="758"/>
      <c r="S1942" s="1401"/>
      <c r="T1942" s="1401"/>
      <c r="U1942" s="1401"/>
      <c r="V1942" s="1401"/>
      <c r="W1942" s="93"/>
      <c r="X1942" s="326"/>
      <c r="Y1942" s="759"/>
      <c r="Z1942" s="248"/>
    </row>
    <row r="1943" spans="1:26" s="522" customFormat="1" ht="11.25" hidden="1" customHeight="1">
      <c r="A1943" s="316"/>
      <c r="B1943" s="316"/>
      <c r="C1943" s="757"/>
      <c r="D1943" s="757"/>
      <c r="E1943" s="758"/>
      <c r="S1943" s="1401"/>
      <c r="T1943" s="1401"/>
      <c r="U1943" s="1401"/>
      <c r="V1943" s="1401"/>
      <c r="W1943" s="93"/>
      <c r="X1943" s="326"/>
      <c r="Y1943" s="759"/>
      <c r="Z1943" s="248"/>
    </row>
    <row r="1944" spans="1:26" s="522" customFormat="1" ht="11.25" hidden="1" customHeight="1">
      <c r="A1944" s="316"/>
      <c r="B1944" s="316"/>
      <c r="C1944" s="757"/>
      <c r="D1944" s="757"/>
      <c r="E1944" s="758"/>
      <c r="S1944" s="1401"/>
      <c r="T1944" s="1401"/>
      <c r="U1944" s="1401"/>
      <c r="V1944" s="1401"/>
      <c r="W1944" s="93"/>
      <c r="X1944" s="326"/>
      <c r="Y1944" s="759"/>
      <c r="Z1944" s="248"/>
    </row>
    <row r="1945" spans="1:26" s="522" customFormat="1" ht="11.25" hidden="1" customHeight="1">
      <c r="A1945" s="316"/>
      <c r="B1945" s="316"/>
      <c r="C1945" s="757"/>
      <c r="D1945" s="757"/>
      <c r="E1945" s="758"/>
      <c r="S1945" s="1401"/>
      <c r="T1945" s="1401"/>
      <c r="U1945" s="1401"/>
      <c r="V1945" s="1401"/>
      <c r="W1945" s="93"/>
      <c r="X1945" s="326"/>
      <c r="Y1945" s="759"/>
      <c r="Z1945" s="248"/>
    </row>
    <row r="1946" spans="1:26" s="522" customFormat="1" ht="11.25" hidden="1" customHeight="1">
      <c r="A1946" s="316"/>
      <c r="B1946" s="316"/>
      <c r="C1946" s="757"/>
      <c r="D1946" s="757"/>
      <c r="E1946" s="758"/>
      <c r="S1946" s="1401"/>
      <c r="T1946" s="1401"/>
      <c r="U1946" s="1401"/>
      <c r="V1946" s="1401"/>
      <c r="W1946" s="93"/>
      <c r="X1946" s="326"/>
      <c r="Y1946" s="759"/>
      <c r="Z1946" s="248"/>
    </row>
    <row r="1947" spans="1:26" s="522" customFormat="1" ht="11.25" hidden="1" customHeight="1">
      <c r="A1947" s="316"/>
      <c r="B1947" s="316"/>
      <c r="C1947" s="757"/>
      <c r="D1947" s="757"/>
      <c r="E1947" s="758"/>
      <c r="S1947" s="1401"/>
      <c r="T1947" s="1401"/>
      <c r="U1947" s="1401"/>
      <c r="V1947" s="1401"/>
      <c r="W1947" s="93"/>
      <c r="X1947" s="326"/>
      <c r="Y1947" s="759"/>
      <c r="Z1947" s="248"/>
    </row>
    <row r="1948" spans="1:26" s="522" customFormat="1" ht="11.25" hidden="1" customHeight="1">
      <c r="A1948" s="316"/>
      <c r="B1948" s="316"/>
      <c r="C1948" s="757"/>
      <c r="D1948" s="757"/>
      <c r="E1948" s="758"/>
      <c r="S1948" s="1401"/>
      <c r="T1948" s="1401"/>
      <c r="U1948" s="1401"/>
      <c r="V1948" s="1401"/>
      <c r="W1948" s="93"/>
      <c r="X1948" s="326"/>
      <c r="Y1948" s="759"/>
      <c r="Z1948" s="248"/>
    </row>
    <row r="1949" spans="1:26" s="522" customFormat="1" ht="11.25" hidden="1" customHeight="1">
      <c r="A1949" s="316"/>
      <c r="B1949" s="316"/>
      <c r="C1949" s="757"/>
      <c r="D1949" s="757"/>
      <c r="E1949" s="758"/>
      <c r="S1949" s="1401"/>
      <c r="T1949" s="1401"/>
      <c r="U1949" s="1401"/>
      <c r="V1949" s="1401"/>
      <c r="W1949" s="93"/>
      <c r="X1949" s="326"/>
      <c r="Y1949" s="759"/>
      <c r="Z1949" s="248"/>
    </row>
    <row r="1950" spans="1:26" s="522" customFormat="1" ht="11.25" hidden="1" customHeight="1">
      <c r="A1950" s="316"/>
      <c r="B1950" s="316"/>
      <c r="C1950" s="757"/>
      <c r="D1950" s="757"/>
      <c r="E1950" s="758"/>
      <c r="S1950" s="1401"/>
      <c r="T1950" s="1401"/>
      <c r="U1950" s="1401"/>
      <c r="V1950" s="1401"/>
      <c r="W1950" s="93"/>
      <c r="X1950" s="326"/>
      <c r="Y1950" s="759"/>
      <c r="Z1950" s="248"/>
    </row>
    <row r="1951" spans="1:26" s="522" customFormat="1" ht="11.25" hidden="1" customHeight="1">
      <c r="A1951" s="316"/>
      <c r="B1951" s="316"/>
      <c r="C1951" s="757"/>
      <c r="D1951" s="757"/>
      <c r="E1951" s="758"/>
      <c r="S1951" s="1401"/>
      <c r="T1951" s="1401"/>
      <c r="U1951" s="1401"/>
      <c r="V1951" s="1401"/>
      <c r="W1951" s="93"/>
      <c r="X1951" s="326"/>
      <c r="Y1951" s="759"/>
      <c r="Z1951" s="248"/>
    </row>
    <row r="1952" spans="1:26" s="522" customFormat="1" ht="11.25" hidden="1" customHeight="1">
      <c r="A1952" s="316"/>
      <c r="B1952" s="316"/>
      <c r="C1952" s="757"/>
      <c r="D1952" s="757"/>
      <c r="E1952" s="758"/>
      <c r="S1952" s="1401"/>
      <c r="T1952" s="1401"/>
      <c r="U1952" s="1401"/>
      <c r="V1952" s="1401"/>
      <c r="W1952" s="93"/>
      <c r="X1952" s="326"/>
      <c r="Y1952" s="759"/>
      <c r="Z1952" s="248"/>
    </row>
    <row r="1953" spans="1:26" s="522" customFormat="1" ht="11.25" hidden="1" customHeight="1">
      <c r="A1953" s="316"/>
      <c r="B1953" s="316"/>
      <c r="C1953" s="757"/>
      <c r="D1953" s="757"/>
      <c r="E1953" s="758"/>
      <c r="S1953" s="1401"/>
      <c r="T1953" s="1401"/>
      <c r="U1953" s="1401"/>
      <c r="V1953" s="1401"/>
      <c r="W1953" s="93"/>
      <c r="X1953" s="326"/>
      <c r="Y1953" s="759"/>
      <c r="Z1953" s="248"/>
    </row>
    <row r="1954" spans="1:26" s="522" customFormat="1" ht="11.25" hidden="1" customHeight="1">
      <c r="A1954" s="316"/>
      <c r="B1954" s="316"/>
      <c r="C1954" s="757"/>
      <c r="D1954" s="757"/>
      <c r="E1954" s="758"/>
      <c r="S1954" s="1401"/>
      <c r="T1954" s="1401"/>
      <c r="U1954" s="1401"/>
      <c r="V1954" s="1401"/>
      <c r="W1954" s="93"/>
      <c r="X1954" s="326"/>
      <c r="Y1954" s="759"/>
      <c r="Z1954" s="248"/>
    </row>
    <row r="1955" spans="1:26" s="522" customFormat="1" ht="11.25" hidden="1" customHeight="1">
      <c r="A1955" s="316"/>
      <c r="B1955" s="316"/>
      <c r="C1955" s="757"/>
      <c r="D1955" s="757"/>
      <c r="E1955" s="758"/>
      <c r="S1955" s="1401"/>
      <c r="T1955" s="1401"/>
      <c r="U1955" s="1401"/>
      <c r="V1955" s="1401"/>
      <c r="W1955" s="93"/>
      <c r="X1955" s="326"/>
      <c r="Y1955" s="759"/>
      <c r="Z1955" s="248"/>
    </row>
    <row r="1956" spans="1:26" s="522" customFormat="1" ht="11.25" hidden="1" customHeight="1">
      <c r="A1956" s="316"/>
      <c r="B1956" s="316"/>
      <c r="C1956" s="757"/>
      <c r="D1956" s="757"/>
      <c r="E1956" s="758"/>
      <c r="S1956" s="1401"/>
      <c r="T1956" s="1401"/>
      <c r="U1956" s="1401"/>
      <c r="V1956" s="1401"/>
      <c r="W1956" s="93"/>
      <c r="X1956" s="326"/>
      <c r="Y1956" s="759"/>
      <c r="Z1956" s="248"/>
    </row>
    <row r="1957" spans="1:26" s="522" customFormat="1" ht="11.25" hidden="1" customHeight="1">
      <c r="A1957" s="316"/>
      <c r="B1957" s="316"/>
      <c r="C1957" s="757"/>
      <c r="D1957" s="757"/>
      <c r="E1957" s="758"/>
      <c r="S1957" s="1401"/>
      <c r="T1957" s="1401"/>
      <c r="U1957" s="1401"/>
      <c r="V1957" s="1401"/>
      <c r="W1957" s="93"/>
      <c r="X1957" s="326"/>
      <c r="Y1957" s="759"/>
      <c r="Z1957" s="248"/>
    </row>
    <row r="1958" spans="1:26" s="522" customFormat="1" ht="11.25" hidden="1" customHeight="1">
      <c r="A1958" s="316"/>
      <c r="B1958" s="316"/>
      <c r="C1958" s="757"/>
      <c r="D1958" s="757"/>
      <c r="E1958" s="758"/>
      <c r="S1958" s="1401"/>
      <c r="T1958" s="1401"/>
      <c r="U1958" s="1401"/>
      <c r="V1958" s="1401"/>
      <c r="W1958" s="93"/>
      <c r="X1958" s="326"/>
      <c r="Y1958" s="759"/>
      <c r="Z1958" s="248"/>
    </row>
    <row r="1959" spans="1:26" s="522" customFormat="1" ht="11.25" hidden="1" customHeight="1">
      <c r="A1959" s="316"/>
      <c r="B1959" s="316"/>
      <c r="C1959" s="757"/>
      <c r="D1959" s="757"/>
      <c r="E1959" s="758"/>
      <c r="S1959" s="1401"/>
      <c r="T1959" s="1401"/>
      <c r="U1959" s="1401"/>
      <c r="V1959" s="1401"/>
      <c r="W1959" s="93"/>
      <c r="X1959" s="326"/>
      <c r="Y1959" s="759"/>
      <c r="Z1959" s="248"/>
    </row>
    <row r="1960" spans="1:26" s="522" customFormat="1" ht="11.25" hidden="1" customHeight="1">
      <c r="A1960" s="316"/>
      <c r="B1960" s="316"/>
      <c r="C1960" s="757"/>
      <c r="D1960" s="757"/>
      <c r="E1960" s="758"/>
      <c r="S1960" s="1401"/>
      <c r="T1960" s="1401"/>
      <c r="U1960" s="1401"/>
      <c r="V1960" s="1401"/>
      <c r="W1960" s="93"/>
      <c r="X1960" s="326"/>
      <c r="Y1960" s="759"/>
      <c r="Z1960" s="248"/>
    </row>
    <row r="1961" spans="1:26" s="522" customFormat="1" ht="11.25" hidden="1" customHeight="1">
      <c r="A1961" s="316"/>
      <c r="B1961" s="316"/>
      <c r="C1961" s="757"/>
      <c r="D1961" s="757"/>
      <c r="E1961" s="758"/>
      <c r="S1961" s="1401"/>
      <c r="T1961" s="1401"/>
      <c r="U1961" s="1401"/>
      <c r="V1961" s="1401"/>
      <c r="W1961" s="93"/>
      <c r="X1961" s="326"/>
      <c r="Y1961" s="759"/>
      <c r="Z1961" s="248"/>
    </row>
    <row r="1962" spans="1:26" s="522" customFormat="1" ht="11.25" hidden="1" customHeight="1">
      <c r="A1962" s="316"/>
      <c r="B1962" s="316"/>
      <c r="C1962" s="757"/>
      <c r="D1962" s="757"/>
      <c r="E1962" s="758"/>
      <c r="S1962" s="1401"/>
      <c r="T1962" s="1401"/>
      <c r="U1962" s="1401"/>
      <c r="V1962" s="1401"/>
      <c r="W1962" s="93"/>
      <c r="X1962" s="326"/>
      <c r="Y1962" s="759"/>
      <c r="Z1962" s="248"/>
    </row>
    <row r="1963" spans="1:26" s="522" customFormat="1" ht="11.25" hidden="1" customHeight="1">
      <c r="A1963" s="316"/>
      <c r="B1963" s="316"/>
      <c r="C1963" s="757"/>
      <c r="D1963" s="757"/>
      <c r="E1963" s="758"/>
      <c r="S1963" s="1401"/>
      <c r="T1963" s="1401"/>
      <c r="U1963" s="1401"/>
      <c r="V1963" s="1401"/>
      <c r="W1963" s="93"/>
      <c r="X1963" s="326"/>
      <c r="Y1963" s="759"/>
      <c r="Z1963" s="248"/>
    </row>
    <row r="1964" spans="1:26" s="522" customFormat="1" ht="11.25" hidden="1" customHeight="1">
      <c r="A1964" s="316"/>
      <c r="B1964" s="316"/>
      <c r="C1964" s="757"/>
      <c r="D1964" s="757"/>
      <c r="E1964" s="758"/>
      <c r="S1964" s="1401"/>
      <c r="T1964" s="1401"/>
      <c r="U1964" s="1401"/>
      <c r="V1964" s="1401"/>
      <c r="W1964" s="93"/>
      <c r="X1964" s="326"/>
      <c r="Y1964" s="759"/>
      <c r="Z1964" s="248"/>
    </row>
    <row r="1965" spans="1:26" s="522" customFormat="1" ht="11.25" hidden="1" customHeight="1">
      <c r="A1965" s="316"/>
      <c r="B1965" s="316"/>
      <c r="C1965" s="757"/>
      <c r="D1965" s="757"/>
      <c r="E1965" s="758"/>
      <c r="S1965" s="1401"/>
      <c r="T1965" s="1401"/>
      <c r="U1965" s="1401"/>
      <c r="V1965" s="1401"/>
      <c r="W1965" s="93"/>
      <c r="X1965" s="326"/>
      <c r="Y1965" s="759"/>
      <c r="Z1965" s="248"/>
    </row>
    <row r="1966" spans="1:26" s="522" customFormat="1" ht="11.25" hidden="1" customHeight="1">
      <c r="A1966" s="316"/>
      <c r="B1966" s="316"/>
      <c r="C1966" s="757"/>
      <c r="D1966" s="757"/>
      <c r="E1966" s="758"/>
      <c r="S1966" s="1401"/>
      <c r="T1966" s="1401"/>
      <c r="U1966" s="1401"/>
      <c r="V1966" s="1401"/>
      <c r="W1966" s="93"/>
      <c r="X1966" s="326"/>
      <c r="Y1966" s="759"/>
      <c r="Z1966" s="248"/>
    </row>
    <row r="1967" spans="1:26" s="522" customFormat="1" ht="11.25" hidden="1" customHeight="1">
      <c r="A1967" s="316"/>
      <c r="B1967" s="316"/>
      <c r="C1967" s="757"/>
      <c r="D1967" s="757"/>
      <c r="E1967" s="758"/>
      <c r="S1967" s="1401"/>
      <c r="T1967" s="1401"/>
      <c r="U1967" s="1401"/>
      <c r="V1967" s="1401"/>
      <c r="W1967" s="93"/>
      <c r="X1967" s="326"/>
      <c r="Y1967" s="759"/>
      <c r="Z1967" s="248"/>
    </row>
    <row r="1968" spans="1:26" s="522" customFormat="1" ht="11.25" hidden="1" customHeight="1">
      <c r="A1968" s="316"/>
      <c r="B1968" s="316"/>
      <c r="C1968" s="757"/>
      <c r="D1968" s="757"/>
      <c r="E1968" s="758"/>
      <c r="S1968" s="1401"/>
      <c r="T1968" s="1401"/>
      <c r="U1968" s="1401"/>
      <c r="V1968" s="1401"/>
      <c r="W1968" s="93"/>
      <c r="X1968" s="326"/>
      <c r="Y1968" s="759"/>
      <c r="Z1968" s="248"/>
    </row>
    <row r="1969" spans="1:26" s="522" customFormat="1" ht="11.25" hidden="1" customHeight="1">
      <c r="A1969" s="316"/>
      <c r="B1969" s="316"/>
      <c r="C1969" s="757"/>
      <c r="D1969" s="757"/>
      <c r="E1969" s="758"/>
      <c r="S1969" s="1401"/>
      <c r="T1969" s="1401"/>
      <c r="U1969" s="1401"/>
      <c r="V1969" s="1401"/>
      <c r="W1969" s="93"/>
      <c r="X1969" s="326"/>
      <c r="Y1969" s="759"/>
      <c r="Z1969" s="248"/>
    </row>
    <row r="1970" spans="1:26" s="522" customFormat="1" ht="11.25" hidden="1" customHeight="1">
      <c r="A1970" s="316"/>
      <c r="B1970" s="316"/>
      <c r="C1970" s="757"/>
      <c r="D1970" s="757"/>
      <c r="E1970" s="758"/>
      <c r="S1970" s="1401"/>
      <c r="T1970" s="1401"/>
      <c r="U1970" s="1401"/>
      <c r="V1970" s="1401"/>
      <c r="W1970" s="93"/>
      <c r="X1970" s="326"/>
      <c r="Y1970" s="759"/>
      <c r="Z1970" s="248"/>
    </row>
    <row r="1971" spans="1:26" s="522" customFormat="1" ht="11.25" hidden="1" customHeight="1">
      <c r="A1971" s="316"/>
      <c r="B1971" s="316"/>
      <c r="C1971" s="757"/>
      <c r="D1971" s="757"/>
      <c r="E1971" s="758"/>
      <c r="S1971" s="1401"/>
      <c r="T1971" s="1401"/>
      <c r="U1971" s="1401"/>
      <c r="V1971" s="1401"/>
      <c r="W1971" s="93"/>
      <c r="X1971" s="326"/>
      <c r="Y1971" s="759"/>
      <c r="Z1971" s="248"/>
    </row>
    <row r="1972" spans="1:26" s="522" customFormat="1" ht="11.25" hidden="1" customHeight="1">
      <c r="A1972" s="316"/>
      <c r="B1972" s="316"/>
      <c r="C1972" s="757"/>
      <c r="D1972" s="757"/>
      <c r="E1972" s="758"/>
      <c r="S1972" s="1401"/>
      <c r="T1972" s="1401"/>
      <c r="U1972" s="1401"/>
      <c r="V1972" s="1401"/>
      <c r="W1972" s="93"/>
      <c r="X1972" s="326"/>
      <c r="Y1972" s="759"/>
      <c r="Z1972" s="248"/>
    </row>
    <row r="1973" spans="1:26" s="522" customFormat="1" ht="11.25" hidden="1" customHeight="1">
      <c r="A1973" s="316"/>
      <c r="B1973" s="316"/>
      <c r="C1973" s="757"/>
      <c r="D1973" s="757"/>
      <c r="E1973" s="758"/>
      <c r="S1973" s="1401"/>
      <c r="T1973" s="1401"/>
      <c r="U1973" s="1401"/>
      <c r="V1973" s="1401"/>
      <c r="W1973" s="93"/>
      <c r="X1973" s="326"/>
      <c r="Y1973" s="759"/>
      <c r="Z1973" s="248"/>
    </row>
    <row r="1974" spans="1:26" s="522" customFormat="1" ht="11.25" hidden="1" customHeight="1">
      <c r="A1974" s="316"/>
      <c r="B1974" s="316"/>
      <c r="C1974" s="757"/>
      <c r="D1974" s="757"/>
      <c r="E1974" s="758"/>
      <c r="S1974" s="1401"/>
      <c r="T1974" s="1401"/>
      <c r="U1974" s="1401"/>
      <c r="V1974" s="1401"/>
      <c r="W1974" s="93"/>
      <c r="X1974" s="326"/>
      <c r="Y1974" s="759"/>
      <c r="Z1974" s="248"/>
    </row>
    <row r="1975" spans="1:26" s="522" customFormat="1" ht="11.25" hidden="1" customHeight="1">
      <c r="A1975" s="316"/>
      <c r="B1975" s="316"/>
      <c r="C1975" s="757"/>
      <c r="D1975" s="757"/>
      <c r="E1975" s="758"/>
      <c r="S1975" s="1401"/>
      <c r="T1975" s="1401"/>
      <c r="U1975" s="1401"/>
      <c r="V1975" s="1401"/>
      <c r="W1975" s="93"/>
      <c r="X1975" s="326"/>
      <c r="Y1975" s="759"/>
      <c r="Z1975" s="248"/>
    </row>
    <row r="1976" spans="1:26" s="522" customFormat="1" ht="11.25" hidden="1" customHeight="1">
      <c r="A1976" s="316"/>
      <c r="B1976" s="316"/>
      <c r="C1976" s="757"/>
      <c r="D1976" s="757"/>
      <c r="E1976" s="758"/>
      <c r="S1976" s="1401"/>
      <c r="T1976" s="1401"/>
      <c r="U1976" s="1401"/>
      <c r="V1976" s="1401"/>
      <c r="W1976" s="93"/>
      <c r="X1976" s="326"/>
      <c r="Y1976" s="759"/>
      <c r="Z1976" s="248"/>
    </row>
    <row r="1977" spans="1:26" s="522" customFormat="1" ht="11.25" hidden="1" customHeight="1">
      <c r="A1977" s="316"/>
      <c r="B1977" s="316"/>
      <c r="C1977" s="757"/>
      <c r="D1977" s="757"/>
      <c r="E1977" s="758"/>
      <c r="S1977" s="1401"/>
      <c r="T1977" s="1401"/>
      <c r="U1977" s="1401"/>
      <c r="V1977" s="1401"/>
      <c r="W1977" s="93"/>
      <c r="X1977" s="326"/>
      <c r="Y1977" s="759"/>
      <c r="Z1977" s="248"/>
    </row>
    <row r="1978" spans="1:26" s="522" customFormat="1" ht="11.25" hidden="1" customHeight="1">
      <c r="A1978" s="316"/>
      <c r="B1978" s="316"/>
      <c r="C1978" s="757"/>
      <c r="D1978" s="757"/>
      <c r="E1978" s="758"/>
      <c r="S1978" s="1401"/>
      <c r="T1978" s="1401"/>
      <c r="U1978" s="1401"/>
      <c r="V1978" s="1401"/>
      <c r="W1978" s="93"/>
      <c r="X1978" s="326"/>
      <c r="Y1978" s="759"/>
      <c r="Z1978" s="248"/>
    </row>
    <row r="1979" spans="1:26" s="522" customFormat="1" ht="11.25" hidden="1" customHeight="1">
      <c r="A1979" s="316"/>
      <c r="B1979" s="316"/>
      <c r="C1979" s="757"/>
      <c r="D1979" s="757"/>
      <c r="E1979" s="758"/>
      <c r="S1979" s="1401"/>
      <c r="T1979" s="1401"/>
      <c r="U1979" s="1401"/>
      <c r="V1979" s="1401"/>
      <c r="W1979" s="93"/>
      <c r="X1979" s="326"/>
      <c r="Y1979" s="759"/>
      <c r="Z1979" s="248"/>
    </row>
    <row r="1980" spans="1:26" s="522" customFormat="1" ht="11.25" hidden="1" customHeight="1">
      <c r="A1980" s="316"/>
      <c r="B1980" s="316"/>
      <c r="C1980" s="757"/>
      <c r="D1980" s="757"/>
      <c r="E1980" s="758"/>
      <c r="S1980" s="1401"/>
      <c r="T1980" s="1401"/>
      <c r="U1980" s="1401"/>
      <c r="V1980" s="1401"/>
      <c r="W1980" s="93"/>
      <c r="X1980" s="326"/>
      <c r="Y1980" s="759"/>
      <c r="Z1980" s="248"/>
    </row>
    <row r="1981" spans="1:26" s="522" customFormat="1" ht="11.25" hidden="1" customHeight="1">
      <c r="A1981" s="316"/>
      <c r="B1981" s="316"/>
      <c r="C1981" s="757"/>
      <c r="D1981" s="757"/>
      <c r="E1981" s="758"/>
      <c r="S1981" s="1401"/>
      <c r="T1981" s="1401"/>
      <c r="U1981" s="1401"/>
      <c r="V1981" s="1401"/>
      <c r="W1981" s="93"/>
      <c r="X1981" s="326"/>
      <c r="Y1981" s="759"/>
      <c r="Z1981" s="248"/>
    </row>
    <row r="1982" spans="1:26" s="522" customFormat="1" ht="11.25" hidden="1" customHeight="1">
      <c r="A1982" s="316"/>
      <c r="B1982" s="316"/>
      <c r="C1982" s="757"/>
      <c r="D1982" s="757"/>
      <c r="E1982" s="758"/>
      <c r="S1982" s="1401"/>
      <c r="T1982" s="1401"/>
      <c r="U1982" s="1401"/>
      <c r="V1982" s="1401"/>
      <c r="W1982" s="93"/>
      <c r="X1982" s="326"/>
      <c r="Y1982" s="759"/>
      <c r="Z1982" s="248"/>
    </row>
    <row r="1983" spans="1:26" s="522" customFormat="1" ht="11.25" hidden="1" customHeight="1">
      <c r="A1983" s="316"/>
      <c r="B1983" s="316"/>
      <c r="C1983" s="757"/>
      <c r="D1983" s="757"/>
      <c r="E1983" s="758"/>
      <c r="S1983" s="1401"/>
      <c r="T1983" s="1401"/>
      <c r="U1983" s="1401"/>
      <c r="V1983" s="1401"/>
      <c r="W1983" s="93"/>
      <c r="X1983" s="326"/>
      <c r="Y1983" s="759"/>
      <c r="Z1983" s="248"/>
    </row>
    <row r="1984" spans="1:26" s="522" customFormat="1" ht="11.25" hidden="1" customHeight="1">
      <c r="A1984" s="316"/>
      <c r="B1984" s="316"/>
      <c r="C1984" s="757"/>
      <c r="D1984" s="757"/>
      <c r="E1984" s="758"/>
      <c r="S1984" s="1401"/>
      <c r="T1984" s="1401"/>
      <c r="U1984" s="1401"/>
      <c r="V1984" s="1401"/>
      <c r="W1984" s="93"/>
      <c r="X1984" s="326"/>
      <c r="Y1984" s="759"/>
      <c r="Z1984" s="248"/>
    </row>
    <row r="1985" spans="1:26" s="522" customFormat="1" ht="11.25" hidden="1" customHeight="1">
      <c r="A1985" s="316"/>
      <c r="B1985" s="316"/>
      <c r="C1985" s="757"/>
      <c r="D1985" s="757"/>
      <c r="E1985" s="758"/>
      <c r="S1985" s="1401"/>
      <c r="T1985" s="1401"/>
      <c r="U1985" s="1401"/>
      <c r="V1985" s="1401"/>
      <c r="W1985" s="93"/>
      <c r="X1985" s="326"/>
      <c r="Y1985" s="759"/>
      <c r="Z1985" s="248"/>
    </row>
    <row r="1986" spans="1:26" s="522" customFormat="1" ht="11.25" hidden="1" customHeight="1">
      <c r="A1986" s="316"/>
      <c r="B1986" s="316"/>
      <c r="C1986" s="757"/>
      <c r="D1986" s="757"/>
      <c r="E1986" s="758"/>
      <c r="S1986" s="1401"/>
      <c r="T1986" s="1401"/>
      <c r="U1986" s="1401"/>
      <c r="V1986" s="1401"/>
      <c r="W1986" s="93"/>
      <c r="X1986" s="326"/>
      <c r="Y1986" s="759"/>
      <c r="Z1986" s="248"/>
    </row>
    <row r="1987" spans="1:26" s="522" customFormat="1" ht="11.25" hidden="1" customHeight="1">
      <c r="A1987" s="316"/>
      <c r="B1987" s="316"/>
      <c r="C1987" s="757"/>
      <c r="D1987" s="757"/>
      <c r="E1987" s="758"/>
      <c r="S1987" s="1401"/>
      <c r="T1987" s="1401"/>
      <c r="U1987" s="1401"/>
      <c r="V1987" s="1401"/>
      <c r="W1987" s="93"/>
      <c r="X1987" s="326"/>
      <c r="Y1987" s="759"/>
      <c r="Z1987" s="248"/>
    </row>
    <row r="1988" spans="1:26" s="522" customFormat="1" ht="11.25" hidden="1" customHeight="1">
      <c r="A1988" s="316"/>
      <c r="B1988" s="316"/>
      <c r="C1988" s="757"/>
      <c r="D1988" s="757"/>
      <c r="E1988" s="758"/>
      <c r="S1988" s="1401"/>
      <c r="T1988" s="1401"/>
      <c r="U1988" s="1401"/>
      <c r="V1988" s="1401"/>
      <c r="W1988" s="93"/>
      <c r="X1988" s="326"/>
      <c r="Y1988" s="759"/>
      <c r="Z1988" s="248"/>
    </row>
    <row r="1989" spans="1:26" s="522" customFormat="1" ht="11.25" hidden="1" customHeight="1">
      <c r="A1989" s="316"/>
      <c r="B1989" s="316"/>
      <c r="C1989" s="757"/>
      <c r="D1989" s="757"/>
      <c r="E1989" s="758"/>
      <c r="S1989" s="1401"/>
      <c r="T1989" s="1401"/>
      <c r="U1989" s="1401"/>
      <c r="V1989" s="1401"/>
      <c r="W1989" s="93"/>
      <c r="X1989" s="326"/>
      <c r="Y1989" s="759"/>
      <c r="Z1989" s="248"/>
    </row>
    <row r="1990" spans="1:26" s="522" customFormat="1" ht="11.25" hidden="1" customHeight="1">
      <c r="A1990" s="316"/>
      <c r="B1990" s="316"/>
      <c r="C1990" s="757"/>
      <c r="D1990" s="757"/>
      <c r="E1990" s="758"/>
      <c r="S1990" s="1401"/>
      <c r="T1990" s="1401"/>
      <c r="U1990" s="1401"/>
      <c r="V1990" s="1401"/>
      <c r="W1990" s="93"/>
      <c r="X1990" s="326"/>
      <c r="Y1990" s="759"/>
      <c r="Z1990" s="248"/>
    </row>
    <row r="1991" spans="1:26" s="522" customFormat="1" ht="11.25" hidden="1" customHeight="1">
      <c r="A1991" s="316"/>
      <c r="B1991" s="316"/>
      <c r="C1991" s="757"/>
      <c r="D1991" s="757"/>
      <c r="E1991" s="758"/>
      <c r="S1991" s="1401"/>
      <c r="T1991" s="1401"/>
      <c r="U1991" s="1401"/>
      <c r="V1991" s="1401"/>
      <c r="W1991" s="93"/>
      <c r="X1991" s="326"/>
      <c r="Y1991" s="759"/>
      <c r="Z1991" s="248"/>
    </row>
    <row r="1992" spans="1:26" s="522" customFormat="1" ht="11.25" hidden="1" customHeight="1">
      <c r="A1992" s="316"/>
      <c r="B1992" s="316"/>
      <c r="C1992" s="757"/>
      <c r="D1992" s="757"/>
      <c r="E1992" s="758"/>
      <c r="S1992" s="1401"/>
      <c r="T1992" s="1401"/>
      <c r="U1992" s="1401"/>
      <c r="V1992" s="1401"/>
      <c r="W1992" s="93"/>
      <c r="X1992" s="326"/>
      <c r="Y1992" s="759"/>
      <c r="Z1992" s="248"/>
    </row>
    <row r="1993" spans="1:26" s="522" customFormat="1" ht="11.25" hidden="1" customHeight="1">
      <c r="A1993" s="316"/>
      <c r="B1993" s="316"/>
      <c r="C1993" s="757"/>
      <c r="D1993" s="757"/>
      <c r="E1993" s="758"/>
      <c r="S1993" s="1401"/>
      <c r="T1993" s="1401"/>
      <c r="U1993" s="1401"/>
      <c r="V1993" s="1401"/>
      <c r="W1993" s="93"/>
      <c r="X1993" s="326"/>
      <c r="Y1993" s="759"/>
      <c r="Z1993" s="248"/>
    </row>
    <row r="1994" spans="1:26" s="522" customFormat="1" ht="11.25" hidden="1" customHeight="1">
      <c r="A1994" s="316"/>
      <c r="B1994" s="316"/>
      <c r="C1994" s="757"/>
      <c r="D1994" s="757"/>
      <c r="E1994" s="758"/>
      <c r="S1994" s="1401"/>
      <c r="T1994" s="1401"/>
      <c r="U1994" s="1401"/>
      <c r="V1994" s="1401"/>
      <c r="W1994" s="93"/>
      <c r="X1994" s="326"/>
      <c r="Y1994" s="759"/>
      <c r="Z1994" s="248"/>
    </row>
    <row r="1995" spans="1:26" s="522" customFormat="1" ht="11.25" hidden="1" customHeight="1">
      <c r="A1995" s="316"/>
      <c r="B1995" s="316"/>
      <c r="C1995" s="757"/>
      <c r="D1995" s="757"/>
      <c r="E1995" s="758"/>
      <c r="S1995" s="1401"/>
      <c r="T1995" s="1401"/>
      <c r="U1995" s="1401"/>
      <c r="V1995" s="1401"/>
      <c r="W1995" s="93"/>
      <c r="X1995" s="326"/>
      <c r="Y1995" s="759"/>
      <c r="Z1995" s="248"/>
    </row>
    <row r="1996" spans="1:26" s="522" customFormat="1" ht="11.25" hidden="1" customHeight="1">
      <c r="A1996" s="316"/>
      <c r="B1996" s="316"/>
      <c r="C1996" s="757"/>
      <c r="D1996" s="757"/>
      <c r="E1996" s="758"/>
      <c r="S1996" s="1401"/>
      <c r="T1996" s="1401"/>
      <c r="U1996" s="1401"/>
      <c r="V1996" s="1401"/>
      <c r="W1996" s="93"/>
      <c r="X1996" s="326"/>
      <c r="Y1996" s="759"/>
      <c r="Z1996" s="248"/>
    </row>
    <row r="1997" spans="1:26" s="522" customFormat="1" ht="11.25" hidden="1" customHeight="1">
      <c r="A1997" s="316"/>
      <c r="B1997" s="316"/>
      <c r="C1997" s="757"/>
      <c r="D1997" s="757"/>
      <c r="E1997" s="758"/>
      <c r="S1997" s="1401"/>
      <c r="T1997" s="1401"/>
      <c r="U1997" s="1401"/>
      <c r="V1997" s="1401"/>
      <c r="W1997" s="93"/>
      <c r="X1997" s="326"/>
      <c r="Y1997" s="759"/>
      <c r="Z1997" s="248"/>
    </row>
    <row r="1998" spans="1:26" s="522" customFormat="1" ht="11.25" hidden="1" customHeight="1">
      <c r="A1998" s="316"/>
      <c r="B1998" s="316"/>
      <c r="C1998" s="757"/>
      <c r="D1998" s="757"/>
      <c r="E1998" s="758"/>
      <c r="S1998" s="1401"/>
      <c r="T1998" s="1401"/>
      <c r="U1998" s="1401"/>
      <c r="V1998" s="1401"/>
      <c r="W1998" s="93"/>
      <c r="X1998" s="326"/>
      <c r="Y1998" s="759"/>
      <c r="Z1998" s="248"/>
    </row>
    <row r="1999" spans="1:26" s="522" customFormat="1" ht="11.25" hidden="1" customHeight="1">
      <c r="A1999" s="316"/>
      <c r="B1999" s="316"/>
      <c r="C1999" s="757"/>
      <c r="D1999" s="757"/>
      <c r="E1999" s="758"/>
      <c r="S1999" s="1401"/>
      <c r="T1999" s="1401"/>
      <c r="U1999" s="1401"/>
      <c r="V1999" s="1401"/>
      <c r="W1999" s="93"/>
      <c r="X1999" s="326"/>
      <c r="Y1999" s="759"/>
      <c r="Z1999" s="248"/>
    </row>
    <row r="2000" spans="1:26" s="522" customFormat="1" ht="11.25" hidden="1" customHeight="1">
      <c r="A2000" s="316"/>
      <c r="B2000" s="316"/>
      <c r="C2000" s="757"/>
      <c r="D2000" s="757"/>
      <c r="E2000" s="758"/>
      <c r="S2000" s="1401"/>
      <c r="T2000" s="1401"/>
      <c r="U2000" s="1401"/>
      <c r="V2000" s="1401"/>
      <c r="W2000" s="93"/>
      <c r="X2000" s="326"/>
      <c r="Y2000" s="759"/>
      <c r="Z2000" s="248"/>
    </row>
    <row r="2001" spans="1:26" s="522" customFormat="1" ht="11.25" hidden="1" customHeight="1">
      <c r="A2001" s="316"/>
      <c r="B2001" s="316"/>
      <c r="C2001" s="757"/>
      <c r="D2001" s="757"/>
      <c r="E2001" s="758"/>
      <c r="S2001" s="1401"/>
      <c r="T2001" s="1401"/>
      <c r="U2001" s="1401"/>
      <c r="V2001" s="1401"/>
      <c r="W2001" s="93"/>
      <c r="X2001" s="326"/>
      <c r="Y2001" s="759"/>
      <c r="Z2001" s="248"/>
    </row>
    <row r="2002" spans="1:26" s="522" customFormat="1" ht="11.25" hidden="1" customHeight="1">
      <c r="A2002" s="316"/>
      <c r="B2002" s="316"/>
      <c r="C2002" s="757"/>
      <c r="D2002" s="757"/>
      <c r="E2002" s="758"/>
      <c r="S2002" s="1401"/>
      <c r="T2002" s="1401"/>
      <c r="U2002" s="1401"/>
      <c r="V2002" s="1401"/>
      <c r="W2002" s="93"/>
      <c r="X2002" s="326"/>
      <c r="Y2002" s="759"/>
      <c r="Z2002" s="248"/>
    </row>
    <row r="2003" spans="1:26" s="522" customFormat="1" ht="11.25" hidden="1" customHeight="1">
      <c r="A2003" s="316"/>
      <c r="B2003" s="316"/>
      <c r="C2003" s="757"/>
      <c r="D2003" s="757"/>
      <c r="E2003" s="758"/>
      <c r="S2003" s="1401"/>
      <c r="T2003" s="1401"/>
      <c r="U2003" s="1401"/>
      <c r="V2003" s="1401"/>
      <c r="W2003" s="93"/>
      <c r="X2003" s="326"/>
      <c r="Y2003" s="759"/>
      <c r="Z2003" s="248"/>
    </row>
    <row r="2004" spans="1:26" s="522" customFormat="1" ht="11.25" hidden="1" customHeight="1">
      <c r="A2004" s="316"/>
      <c r="B2004" s="316"/>
      <c r="C2004" s="757"/>
      <c r="D2004" s="757"/>
      <c r="E2004" s="758"/>
      <c r="S2004" s="1401"/>
      <c r="T2004" s="1401"/>
      <c r="U2004" s="1401"/>
      <c r="V2004" s="1401"/>
      <c r="W2004" s="93"/>
      <c r="X2004" s="326"/>
      <c r="Y2004" s="759"/>
      <c r="Z2004" s="248"/>
    </row>
    <row r="2005" spans="1:26" s="522" customFormat="1" ht="11.25" hidden="1" customHeight="1">
      <c r="A2005" s="316"/>
      <c r="B2005" s="316"/>
      <c r="C2005" s="757"/>
      <c r="D2005" s="757"/>
      <c r="E2005" s="758"/>
      <c r="S2005" s="1401"/>
      <c r="T2005" s="1401"/>
      <c r="U2005" s="1401"/>
      <c r="V2005" s="1401"/>
      <c r="W2005" s="93"/>
      <c r="X2005" s="326"/>
      <c r="Y2005" s="759"/>
      <c r="Z2005" s="248"/>
    </row>
    <row r="2006" spans="1:26" s="522" customFormat="1" ht="11.25" hidden="1" customHeight="1">
      <c r="A2006" s="316"/>
      <c r="B2006" s="316"/>
      <c r="C2006" s="757"/>
      <c r="D2006" s="757"/>
      <c r="E2006" s="758"/>
      <c r="S2006" s="1401"/>
      <c r="T2006" s="1401"/>
      <c r="U2006" s="1401"/>
      <c r="V2006" s="1401"/>
      <c r="W2006" s="93"/>
      <c r="X2006" s="326"/>
      <c r="Y2006" s="759"/>
      <c r="Z2006" s="248"/>
    </row>
    <row r="2007" spans="1:26" s="522" customFormat="1" ht="11.25" hidden="1" customHeight="1">
      <c r="A2007" s="316"/>
      <c r="B2007" s="316"/>
      <c r="C2007" s="757"/>
      <c r="D2007" s="757"/>
      <c r="E2007" s="758"/>
      <c r="S2007" s="1401"/>
      <c r="T2007" s="1401"/>
      <c r="U2007" s="1401"/>
      <c r="V2007" s="1401"/>
      <c r="W2007" s="93"/>
      <c r="X2007" s="326"/>
      <c r="Y2007" s="759"/>
      <c r="Z2007" s="248"/>
    </row>
    <row r="2008" spans="1:26" s="522" customFormat="1" ht="11.25" hidden="1" customHeight="1">
      <c r="A2008" s="316"/>
      <c r="B2008" s="316"/>
      <c r="C2008" s="757"/>
      <c r="D2008" s="757"/>
      <c r="E2008" s="758"/>
      <c r="S2008" s="1401"/>
      <c r="T2008" s="1401"/>
      <c r="U2008" s="1401"/>
      <c r="V2008" s="1401"/>
      <c r="W2008" s="93"/>
      <c r="X2008" s="326"/>
      <c r="Y2008" s="759"/>
      <c r="Z2008" s="248"/>
    </row>
    <row r="2009" spans="1:26" s="522" customFormat="1" ht="11.25" hidden="1" customHeight="1">
      <c r="A2009" s="316"/>
      <c r="B2009" s="316"/>
      <c r="C2009" s="757"/>
      <c r="D2009" s="757"/>
      <c r="E2009" s="758"/>
      <c r="S2009" s="1401"/>
      <c r="T2009" s="1401"/>
      <c r="U2009" s="1401"/>
      <c r="V2009" s="1401"/>
      <c r="W2009" s="93"/>
      <c r="X2009" s="326"/>
      <c r="Y2009" s="759"/>
      <c r="Z2009" s="248"/>
    </row>
    <row r="2010" spans="1:26" s="522" customFormat="1" ht="11.25" hidden="1" customHeight="1">
      <c r="A2010" s="316"/>
      <c r="B2010" s="316"/>
      <c r="C2010" s="757"/>
      <c r="D2010" s="757"/>
      <c r="E2010" s="758"/>
      <c r="S2010" s="1401"/>
      <c r="T2010" s="1401"/>
      <c r="U2010" s="1401"/>
      <c r="V2010" s="1401"/>
      <c r="W2010" s="93"/>
      <c r="X2010" s="326"/>
      <c r="Y2010" s="759"/>
      <c r="Z2010" s="248"/>
    </row>
    <row r="2011" spans="1:26" s="522" customFormat="1" ht="11.25" hidden="1" customHeight="1">
      <c r="A2011" s="316"/>
      <c r="B2011" s="316"/>
      <c r="C2011" s="757"/>
      <c r="D2011" s="757"/>
      <c r="E2011" s="758"/>
      <c r="S2011" s="1401"/>
      <c r="T2011" s="1401"/>
      <c r="U2011" s="1401"/>
      <c r="V2011" s="1401"/>
      <c r="W2011" s="93"/>
      <c r="X2011" s="326"/>
      <c r="Y2011" s="759"/>
      <c r="Z2011" s="248"/>
    </row>
    <row r="2012" spans="1:26" s="522" customFormat="1" ht="11.25" hidden="1" customHeight="1">
      <c r="A2012" s="316"/>
      <c r="B2012" s="316"/>
      <c r="C2012" s="757"/>
      <c r="D2012" s="757"/>
      <c r="E2012" s="758"/>
      <c r="S2012" s="1401"/>
      <c r="T2012" s="1401"/>
      <c r="U2012" s="1401"/>
      <c r="V2012" s="1401"/>
      <c r="W2012" s="93"/>
      <c r="X2012" s="326"/>
      <c r="Y2012" s="759"/>
      <c r="Z2012" s="248"/>
    </row>
    <row r="2013" spans="1:26" s="522" customFormat="1" ht="11.25" hidden="1" customHeight="1">
      <c r="A2013" s="316"/>
      <c r="B2013" s="316"/>
      <c r="C2013" s="757"/>
      <c r="D2013" s="757"/>
      <c r="E2013" s="758"/>
      <c r="S2013" s="1401"/>
      <c r="T2013" s="1401"/>
      <c r="U2013" s="1401"/>
      <c r="V2013" s="1401"/>
      <c r="W2013" s="93"/>
      <c r="X2013" s="326"/>
      <c r="Y2013" s="759"/>
      <c r="Z2013" s="248"/>
    </row>
    <row r="2014" spans="1:26" s="522" customFormat="1" ht="11.25" hidden="1" customHeight="1">
      <c r="A2014" s="316"/>
      <c r="B2014" s="316"/>
      <c r="C2014" s="757"/>
      <c r="D2014" s="757"/>
      <c r="E2014" s="758"/>
      <c r="S2014" s="1401"/>
      <c r="T2014" s="1401"/>
      <c r="U2014" s="1401"/>
      <c r="V2014" s="1401"/>
      <c r="W2014" s="93"/>
      <c r="X2014" s="326"/>
      <c r="Y2014" s="759"/>
      <c r="Z2014" s="248"/>
    </row>
    <row r="2015" spans="1:26" s="522" customFormat="1" ht="11.25" hidden="1" customHeight="1">
      <c r="A2015" s="316"/>
      <c r="B2015" s="316"/>
      <c r="C2015" s="757"/>
      <c r="D2015" s="757"/>
      <c r="E2015" s="758"/>
      <c r="S2015" s="1401"/>
      <c r="T2015" s="1401"/>
      <c r="U2015" s="1401"/>
      <c r="V2015" s="1401"/>
      <c r="W2015" s="93"/>
      <c r="X2015" s="326"/>
      <c r="Y2015" s="759"/>
      <c r="Z2015" s="248"/>
    </row>
    <row r="2016" spans="1:26" s="522" customFormat="1" ht="11.25" hidden="1" customHeight="1">
      <c r="A2016" s="316"/>
      <c r="B2016" s="316"/>
      <c r="C2016" s="757"/>
      <c r="D2016" s="757"/>
      <c r="E2016" s="758"/>
      <c r="S2016" s="1401"/>
      <c r="T2016" s="1401"/>
      <c r="U2016" s="1401"/>
      <c r="V2016" s="1401"/>
      <c r="W2016" s="93"/>
      <c r="X2016" s="326"/>
      <c r="Y2016" s="759"/>
      <c r="Z2016" s="248"/>
    </row>
    <row r="2017" spans="1:26" s="522" customFormat="1" ht="11.25" hidden="1" customHeight="1">
      <c r="A2017" s="316"/>
      <c r="B2017" s="316"/>
      <c r="C2017" s="757"/>
      <c r="D2017" s="757"/>
      <c r="E2017" s="758"/>
      <c r="S2017" s="1401"/>
      <c r="T2017" s="1401"/>
      <c r="U2017" s="1401"/>
      <c r="V2017" s="1401"/>
      <c r="W2017" s="93"/>
      <c r="X2017" s="326"/>
      <c r="Y2017" s="759"/>
      <c r="Z2017" s="248"/>
    </row>
    <row r="2018" spans="1:26" s="522" customFormat="1" ht="11.25" hidden="1" customHeight="1">
      <c r="A2018" s="316"/>
      <c r="B2018" s="316"/>
      <c r="C2018" s="757"/>
      <c r="D2018" s="757"/>
      <c r="E2018" s="758"/>
      <c r="S2018" s="1401"/>
      <c r="T2018" s="1401"/>
      <c r="U2018" s="1401"/>
      <c r="V2018" s="1401"/>
      <c r="W2018" s="93"/>
      <c r="X2018" s="326"/>
      <c r="Y2018" s="759"/>
      <c r="Z2018" s="248"/>
    </row>
    <row r="2019" spans="1:26" s="522" customFormat="1" ht="11.25" hidden="1" customHeight="1">
      <c r="A2019" s="316"/>
      <c r="B2019" s="316"/>
      <c r="C2019" s="757"/>
      <c r="D2019" s="757"/>
      <c r="E2019" s="758"/>
      <c r="S2019" s="1401"/>
      <c r="T2019" s="1401"/>
      <c r="U2019" s="1401"/>
      <c r="V2019" s="1401"/>
      <c r="W2019" s="93"/>
      <c r="X2019" s="326"/>
      <c r="Y2019" s="759"/>
      <c r="Z2019" s="248"/>
    </row>
    <row r="2020" spans="1:26" s="522" customFormat="1" ht="11.25" hidden="1" customHeight="1">
      <c r="A2020" s="316"/>
      <c r="B2020" s="316"/>
      <c r="C2020" s="757"/>
      <c r="D2020" s="757"/>
      <c r="E2020" s="758"/>
      <c r="S2020" s="1401"/>
      <c r="T2020" s="1401"/>
      <c r="U2020" s="1401"/>
      <c r="V2020" s="1401"/>
      <c r="W2020" s="93"/>
      <c r="X2020" s="326"/>
      <c r="Y2020" s="759"/>
      <c r="Z2020" s="248"/>
    </row>
    <row r="2021" spans="1:26" s="522" customFormat="1" ht="11.25" hidden="1" customHeight="1">
      <c r="A2021" s="316"/>
      <c r="B2021" s="316"/>
      <c r="C2021" s="757"/>
      <c r="D2021" s="757"/>
      <c r="E2021" s="758"/>
      <c r="S2021" s="1401"/>
      <c r="T2021" s="1401"/>
      <c r="U2021" s="1401"/>
      <c r="V2021" s="1401"/>
      <c r="W2021" s="93"/>
      <c r="X2021" s="326"/>
      <c r="Y2021" s="759"/>
      <c r="Z2021" s="248"/>
    </row>
    <row r="2022" spans="1:26" s="522" customFormat="1" ht="11.25" hidden="1" customHeight="1">
      <c r="A2022" s="316"/>
      <c r="B2022" s="316"/>
      <c r="C2022" s="757"/>
      <c r="D2022" s="757"/>
      <c r="E2022" s="758"/>
      <c r="S2022" s="1401"/>
      <c r="T2022" s="1401"/>
      <c r="U2022" s="1401"/>
      <c r="V2022" s="1401"/>
      <c r="W2022" s="93"/>
      <c r="X2022" s="326"/>
      <c r="Y2022" s="759"/>
      <c r="Z2022" s="248"/>
    </row>
    <row r="2023" spans="1:26" s="522" customFormat="1" ht="11.25" hidden="1" customHeight="1">
      <c r="A2023" s="316"/>
      <c r="B2023" s="316"/>
      <c r="C2023" s="757"/>
      <c r="D2023" s="757"/>
      <c r="E2023" s="758"/>
      <c r="S2023" s="1401"/>
      <c r="T2023" s="1401"/>
      <c r="U2023" s="1401"/>
      <c r="V2023" s="1401"/>
      <c r="W2023" s="93"/>
      <c r="X2023" s="326"/>
      <c r="Y2023" s="759"/>
      <c r="Z2023" s="248"/>
    </row>
    <row r="2024" spans="1:26" s="522" customFormat="1" ht="11.25" hidden="1" customHeight="1">
      <c r="A2024" s="316"/>
      <c r="B2024" s="316"/>
      <c r="C2024" s="757"/>
      <c r="D2024" s="757"/>
      <c r="E2024" s="758"/>
      <c r="S2024" s="1401"/>
      <c r="T2024" s="1401"/>
      <c r="U2024" s="1401"/>
      <c r="V2024" s="1401"/>
      <c r="W2024" s="93"/>
      <c r="X2024" s="326"/>
      <c r="Y2024" s="759"/>
      <c r="Z2024" s="248"/>
    </row>
    <row r="2025" spans="1:26" s="522" customFormat="1" ht="11.25" hidden="1" customHeight="1">
      <c r="A2025" s="316"/>
      <c r="B2025" s="316"/>
      <c r="C2025" s="757"/>
      <c r="D2025" s="757"/>
      <c r="E2025" s="758"/>
      <c r="S2025" s="1401"/>
      <c r="T2025" s="1401"/>
      <c r="U2025" s="1401"/>
      <c r="V2025" s="1401"/>
      <c r="W2025" s="93"/>
      <c r="X2025" s="326"/>
      <c r="Y2025" s="759"/>
      <c r="Z2025" s="248"/>
    </row>
    <row r="2026" spans="1:26" s="522" customFormat="1" ht="11.25" hidden="1" customHeight="1">
      <c r="A2026" s="316"/>
      <c r="B2026" s="316"/>
      <c r="C2026" s="757"/>
      <c r="D2026" s="757"/>
      <c r="E2026" s="758"/>
      <c r="S2026" s="1401"/>
      <c r="T2026" s="1401"/>
      <c r="U2026" s="1401"/>
      <c r="V2026" s="1401"/>
      <c r="W2026" s="93"/>
      <c r="X2026" s="326"/>
      <c r="Y2026" s="759"/>
      <c r="Z2026" s="248"/>
    </row>
    <row r="2027" spans="1:26" s="522" customFormat="1" ht="11.25" hidden="1" customHeight="1">
      <c r="A2027" s="316"/>
      <c r="B2027" s="316"/>
      <c r="C2027" s="757"/>
      <c r="D2027" s="757"/>
      <c r="E2027" s="758"/>
      <c r="S2027" s="1401"/>
      <c r="T2027" s="1401"/>
      <c r="U2027" s="1401"/>
      <c r="V2027" s="1401"/>
      <c r="W2027" s="93"/>
      <c r="X2027" s="326"/>
      <c r="Y2027" s="759"/>
      <c r="Z2027" s="248"/>
    </row>
    <row r="2028" spans="1:26" s="522" customFormat="1" ht="11.25" hidden="1" customHeight="1">
      <c r="A2028" s="316"/>
      <c r="B2028" s="316"/>
      <c r="C2028" s="757"/>
      <c r="D2028" s="757"/>
      <c r="E2028" s="758"/>
      <c r="S2028" s="1401"/>
      <c r="T2028" s="1401"/>
      <c r="U2028" s="1401"/>
      <c r="V2028" s="1401"/>
      <c r="W2028" s="93"/>
      <c r="X2028" s="326"/>
      <c r="Y2028" s="759"/>
      <c r="Z2028" s="248"/>
    </row>
    <row r="2029" spans="1:26" s="522" customFormat="1" ht="11.25" hidden="1" customHeight="1">
      <c r="A2029" s="316"/>
      <c r="B2029" s="316"/>
      <c r="C2029" s="757"/>
      <c r="D2029" s="757"/>
      <c r="E2029" s="758"/>
      <c r="S2029" s="1401"/>
      <c r="T2029" s="1401"/>
      <c r="U2029" s="1401"/>
      <c r="V2029" s="1401"/>
      <c r="W2029" s="93"/>
      <c r="X2029" s="326"/>
      <c r="Y2029" s="759"/>
      <c r="Z2029" s="248"/>
    </row>
    <row r="2030" spans="1:26" s="522" customFormat="1" ht="11.25" hidden="1" customHeight="1">
      <c r="A2030" s="316"/>
      <c r="B2030" s="316"/>
      <c r="C2030" s="757"/>
      <c r="D2030" s="757"/>
      <c r="E2030" s="758"/>
      <c r="S2030" s="1401"/>
      <c r="T2030" s="1401"/>
      <c r="U2030" s="1401"/>
      <c r="V2030" s="1401"/>
      <c r="W2030" s="93"/>
      <c r="X2030" s="326"/>
      <c r="Y2030" s="759"/>
      <c r="Z2030" s="248"/>
    </row>
    <row r="2031" spans="1:26" s="522" customFormat="1" ht="11.25" hidden="1" customHeight="1">
      <c r="A2031" s="316"/>
      <c r="B2031" s="316"/>
      <c r="C2031" s="757"/>
      <c r="D2031" s="757"/>
      <c r="E2031" s="758"/>
      <c r="S2031" s="1401"/>
      <c r="T2031" s="1401"/>
      <c r="U2031" s="1401"/>
      <c r="V2031" s="1401"/>
      <c r="W2031" s="93"/>
      <c r="X2031" s="326"/>
      <c r="Y2031" s="759"/>
      <c r="Z2031" s="248"/>
    </row>
    <row r="2032" spans="1:26" s="522" customFormat="1" ht="11.25" hidden="1" customHeight="1">
      <c r="A2032" s="316"/>
      <c r="B2032" s="316"/>
      <c r="C2032" s="757"/>
      <c r="D2032" s="757"/>
      <c r="E2032" s="758"/>
      <c r="S2032" s="1401"/>
      <c r="T2032" s="1401"/>
      <c r="U2032" s="1401"/>
      <c r="V2032" s="1401"/>
      <c r="W2032" s="93"/>
      <c r="X2032" s="326"/>
      <c r="Y2032" s="759"/>
      <c r="Z2032" s="248"/>
    </row>
    <row r="2033" spans="1:26" s="522" customFormat="1" ht="11.25" hidden="1" customHeight="1">
      <c r="A2033" s="316"/>
      <c r="B2033" s="316"/>
      <c r="C2033" s="757"/>
      <c r="D2033" s="757"/>
      <c r="E2033" s="758"/>
      <c r="S2033" s="1401"/>
      <c r="T2033" s="1401"/>
      <c r="U2033" s="1401"/>
      <c r="V2033" s="1401"/>
      <c r="W2033" s="93"/>
      <c r="X2033" s="326"/>
      <c r="Y2033" s="759"/>
      <c r="Z2033" s="248"/>
    </row>
    <row r="2034" spans="1:26" s="522" customFormat="1" ht="11.25" hidden="1" customHeight="1">
      <c r="A2034" s="316"/>
      <c r="B2034" s="316"/>
      <c r="C2034" s="757"/>
      <c r="D2034" s="757"/>
      <c r="E2034" s="758"/>
      <c r="S2034" s="1401"/>
      <c r="T2034" s="1401"/>
      <c r="U2034" s="1401"/>
      <c r="V2034" s="1401"/>
      <c r="W2034" s="93"/>
      <c r="X2034" s="326"/>
      <c r="Y2034" s="759"/>
      <c r="Z2034" s="248"/>
    </row>
    <row r="2035" spans="1:26" s="522" customFormat="1" ht="11.25" hidden="1" customHeight="1">
      <c r="A2035" s="316"/>
      <c r="B2035" s="316"/>
      <c r="C2035" s="757"/>
      <c r="D2035" s="757"/>
      <c r="E2035" s="758"/>
      <c r="S2035" s="1401"/>
      <c r="T2035" s="1401"/>
      <c r="U2035" s="1401"/>
      <c r="V2035" s="1401"/>
      <c r="W2035" s="93"/>
      <c r="X2035" s="326"/>
      <c r="Y2035" s="759"/>
      <c r="Z2035" s="248"/>
    </row>
    <row r="2036" spans="1:26" s="522" customFormat="1" ht="11.25" hidden="1" customHeight="1">
      <c r="A2036" s="316"/>
      <c r="B2036" s="316"/>
      <c r="C2036" s="757"/>
      <c r="D2036" s="757"/>
      <c r="E2036" s="758"/>
      <c r="S2036" s="1401"/>
      <c r="T2036" s="1401"/>
      <c r="U2036" s="1401"/>
      <c r="V2036" s="1401"/>
      <c r="W2036" s="93"/>
      <c r="X2036" s="326"/>
      <c r="Y2036" s="759"/>
      <c r="Z2036" s="248"/>
    </row>
    <row r="2037" spans="1:26" s="522" customFormat="1" ht="11.25" hidden="1" customHeight="1">
      <c r="A2037" s="316"/>
      <c r="B2037" s="316"/>
      <c r="C2037" s="757"/>
      <c r="D2037" s="757"/>
      <c r="E2037" s="758"/>
      <c r="S2037" s="1401"/>
      <c r="T2037" s="1401"/>
      <c r="U2037" s="1401"/>
      <c r="V2037" s="1401"/>
      <c r="W2037" s="93"/>
      <c r="X2037" s="326"/>
      <c r="Y2037" s="759"/>
      <c r="Z2037" s="248"/>
    </row>
    <row r="2038" spans="1:26" s="522" customFormat="1" ht="11.25" hidden="1" customHeight="1">
      <c r="A2038" s="316"/>
      <c r="B2038" s="316"/>
      <c r="C2038" s="757"/>
      <c r="D2038" s="757"/>
      <c r="E2038" s="758"/>
      <c r="S2038" s="1401"/>
      <c r="T2038" s="1401"/>
      <c r="U2038" s="1401"/>
      <c r="V2038" s="1401"/>
      <c r="W2038" s="93"/>
      <c r="X2038" s="326"/>
      <c r="Y2038" s="759"/>
      <c r="Z2038" s="248"/>
    </row>
    <row r="2039" spans="1:26" s="240" customFormat="1" ht="11.25" hidden="1" customHeight="1">
      <c r="A2039" s="316"/>
      <c r="B2039" s="239"/>
      <c r="C2039" s="516"/>
      <c r="D2039" s="757"/>
      <c r="E2039" s="518"/>
      <c r="R2039" s="110"/>
      <c r="S2039" s="139"/>
      <c r="T2039" s="139"/>
      <c r="U2039" s="139"/>
      <c r="V2039" s="139"/>
      <c r="W2039" s="93"/>
      <c r="X2039" s="520"/>
      <c r="Y2039" s="612"/>
      <c r="Z2039" s="241"/>
    </row>
    <row r="2040" spans="1:26" s="240" customFormat="1" hidden="1">
      <c r="A2040" s="316"/>
      <c r="B2040" s="239"/>
      <c r="C2040" s="516"/>
      <c r="D2040" s="757"/>
      <c r="E2040" s="518"/>
      <c r="R2040" s="110"/>
      <c r="S2040" s="139"/>
      <c r="T2040" s="139"/>
      <c r="U2040" s="139"/>
      <c r="V2040" s="139"/>
      <c r="W2040" s="93"/>
      <c r="X2040" s="520"/>
      <c r="Y2040" s="612"/>
      <c r="Z2040" s="241"/>
    </row>
    <row r="2041" spans="1:26" s="240" customFormat="1" hidden="1">
      <c r="A2041" s="316"/>
      <c r="B2041" s="239"/>
      <c r="C2041" s="516"/>
      <c r="D2041" s="757"/>
      <c r="E2041" s="518"/>
      <c r="R2041" s="110"/>
      <c r="S2041" s="139"/>
      <c r="T2041" s="139"/>
      <c r="U2041" s="139"/>
      <c r="V2041" s="139"/>
      <c r="W2041" s="93"/>
      <c r="X2041" s="520"/>
      <c r="Y2041" s="612"/>
      <c r="Z2041" s="241"/>
    </row>
    <row r="2042" spans="1:26" s="240" customFormat="1" hidden="1">
      <c r="A2042" s="316"/>
      <c r="B2042" s="239"/>
      <c r="C2042" s="516"/>
      <c r="D2042" s="757"/>
      <c r="E2042" s="518"/>
      <c r="R2042" s="110"/>
      <c r="S2042" s="139"/>
      <c r="T2042" s="139"/>
      <c r="U2042" s="139"/>
      <c r="V2042" s="139"/>
      <c r="W2042" s="93"/>
      <c r="X2042" s="520"/>
      <c r="Y2042" s="612"/>
      <c r="Z2042" s="241"/>
    </row>
    <row r="2043" spans="1:26" s="240" customFormat="1" hidden="1">
      <c r="A2043" s="316"/>
      <c r="B2043" s="239"/>
      <c r="C2043" s="516"/>
      <c r="D2043" s="757"/>
      <c r="E2043" s="518"/>
      <c r="R2043" s="110"/>
      <c r="S2043" s="139"/>
      <c r="T2043" s="139"/>
      <c r="U2043" s="139"/>
      <c r="V2043" s="139"/>
      <c r="W2043" s="93"/>
      <c r="X2043" s="520"/>
      <c r="Y2043" s="612"/>
      <c r="Z2043" s="241"/>
    </row>
    <row r="2044" spans="1:26" s="240" customFormat="1" hidden="1">
      <c r="A2044" s="316"/>
      <c r="B2044" s="239"/>
      <c r="C2044" s="516"/>
      <c r="D2044" s="757"/>
      <c r="E2044" s="518"/>
      <c r="R2044" s="110"/>
      <c r="S2044" s="139"/>
      <c r="T2044" s="139"/>
      <c r="U2044" s="139"/>
      <c r="V2044" s="139"/>
      <c r="W2044" s="93"/>
      <c r="X2044" s="520"/>
      <c r="Y2044" s="612"/>
      <c r="Z2044" s="241"/>
    </row>
    <row r="2045" spans="1:26" s="240" customFormat="1" hidden="1">
      <c r="A2045" s="316"/>
      <c r="B2045" s="239"/>
      <c r="C2045" s="516"/>
      <c r="D2045" s="757"/>
      <c r="E2045" s="518"/>
      <c r="R2045" s="110"/>
      <c r="S2045" s="139"/>
      <c r="T2045" s="139"/>
      <c r="U2045" s="139"/>
      <c r="V2045" s="139"/>
      <c r="W2045" s="93"/>
      <c r="X2045" s="520"/>
      <c r="Y2045" s="612"/>
      <c r="Z2045" s="241"/>
    </row>
    <row r="2046" spans="1:26" s="240" customFormat="1" hidden="1">
      <c r="A2046" s="316"/>
      <c r="B2046" s="239"/>
      <c r="C2046" s="516"/>
      <c r="D2046" s="757"/>
      <c r="E2046" s="518"/>
      <c r="R2046" s="110"/>
      <c r="S2046" s="139"/>
      <c r="T2046" s="139"/>
      <c r="U2046" s="139"/>
      <c r="V2046" s="139"/>
      <c r="W2046" s="93"/>
      <c r="X2046" s="520"/>
      <c r="Y2046" s="612"/>
      <c r="Z2046" s="241"/>
    </row>
    <row r="2047" spans="1:26" s="240" customFormat="1" hidden="1">
      <c r="A2047" s="316"/>
      <c r="B2047" s="239"/>
      <c r="C2047" s="516"/>
      <c r="D2047" s="757"/>
      <c r="E2047" s="518"/>
      <c r="R2047" s="110"/>
      <c r="S2047" s="139"/>
      <c r="T2047" s="139"/>
      <c r="U2047" s="139"/>
      <c r="V2047" s="139"/>
      <c r="W2047" s="93"/>
      <c r="X2047" s="520"/>
      <c r="Y2047" s="612"/>
      <c r="Z2047" s="241"/>
    </row>
    <row r="2048" spans="1:26" s="240" customFormat="1" hidden="1">
      <c r="A2048" s="316"/>
      <c r="B2048" s="239"/>
      <c r="C2048" s="516"/>
      <c r="D2048" s="757"/>
      <c r="E2048" s="518"/>
      <c r="R2048" s="110"/>
      <c r="S2048" s="139"/>
      <c r="T2048" s="139"/>
      <c r="U2048" s="139"/>
      <c r="V2048" s="139"/>
      <c r="W2048" s="93"/>
      <c r="X2048" s="520"/>
      <c r="Y2048" s="612"/>
      <c r="Z2048" s="241"/>
    </row>
    <row r="2049" spans="1:26" s="240" customFormat="1" hidden="1">
      <c r="A2049" s="316"/>
      <c r="B2049" s="239"/>
      <c r="C2049" s="516"/>
      <c r="D2049" s="757"/>
      <c r="E2049" s="518"/>
      <c r="R2049" s="110"/>
      <c r="S2049" s="139"/>
      <c r="T2049" s="139"/>
      <c r="U2049" s="139"/>
      <c r="V2049" s="139"/>
      <c r="W2049" s="93"/>
      <c r="X2049" s="520"/>
      <c r="Y2049" s="612"/>
      <c r="Z2049" s="241"/>
    </row>
    <row r="2050" spans="1:26" s="240" customFormat="1" hidden="1">
      <c r="A2050" s="316"/>
      <c r="B2050" s="239"/>
      <c r="C2050" s="516"/>
      <c r="D2050" s="757"/>
      <c r="E2050" s="518"/>
      <c r="R2050" s="110"/>
      <c r="S2050" s="139"/>
      <c r="T2050" s="139"/>
      <c r="U2050" s="139"/>
      <c r="V2050" s="139"/>
      <c r="W2050" s="93"/>
      <c r="X2050" s="520"/>
      <c r="Y2050" s="612"/>
      <c r="Z2050" s="241"/>
    </row>
    <row r="2051" spans="1:26" s="240" customFormat="1" hidden="1">
      <c r="A2051" s="316"/>
      <c r="B2051" s="239"/>
      <c r="C2051" s="516"/>
      <c r="D2051" s="757"/>
      <c r="E2051" s="518"/>
      <c r="R2051" s="110"/>
      <c r="S2051" s="139"/>
      <c r="T2051" s="139"/>
      <c r="U2051" s="139"/>
      <c r="V2051" s="139"/>
      <c r="W2051" s="93"/>
      <c r="X2051" s="520"/>
      <c r="Y2051" s="612"/>
      <c r="Z2051" s="241"/>
    </row>
    <row r="2052" spans="1:26" s="240" customFormat="1" hidden="1">
      <c r="A2052" s="316"/>
      <c r="B2052" s="239"/>
      <c r="C2052" s="516"/>
      <c r="D2052" s="757"/>
      <c r="E2052" s="518"/>
      <c r="R2052" s="110"/>
      <c r="S2052" s="139"/>
      <c r="T2052" s="139"/>
      <c r="U2052" s="139"/>
      <c r="V2052" s="139"/>
      <c r="W2052" s="93"/>
      <c r="X2052" s="520"/>
      <c r="Y2052" s="612"/>
      <c r="Z2052" s="241"/>
    </row>
    <row r="2053" spans="1:26" s="240" customFormat="1" hidden="1">
      <c r="A2053" s="316"/>
      <c r="B2053" s="239"/>
      <c r="C2053" s="516"/>
      <c r="D2053" s="757"/>
      <c r="E2053" s="518"/>
      <c r="R2053" s="110"/>
      <c r="S2053" s="139"/>
      <c r="T2053" s="139"/>
      <c r="U2053" s="139"/>
      <c r="V2053" s="139"/>
      <c r="W2053" s="93"/>
      <c r="X2053" s="520"/>
      <c r="Y2053" s="612"/>
      <c r="Z2053" s="241"/>
    </row>
    <row r="2054" spans="1:26" s="240" customFormat="1" hidden="1">
      <c r="A2054" s="316"/>
      <c r="B2054" s="239"/>
      <c r="C2054" s="516"/>
      <c r="D2054" s="757"/>
      <c r="E2054" s="518"/>
      <c r="R2054" s="110"/>
      <c r="S2054" s="139"/>
      <c r="T2054" s="139"/>
      <c r="U2054" s="139"/>
      <c r="V2054" s="139"/>
      <c r="W2054" s="93"/>
      <c r="X2054" s="520"/>
      <c r="Y2054" s="612"/>
      <c r="Z2054" s="241"/>
    </row>
    <row r="2055" spans="1:26" s="240" customFormat="1" hidden="1">
      <c r="A2055" s="316"/>
      <c r="B2055" s="239"/>
      <c r="C2055" s="516"/>
      <c r="D2055" s="757"/>
      <c r="E2055" s="518"/>
      <c r="R2055" s="110"/>
      <c r="S2055" s="139"/>
      <c r="T2055" s="139"/>
      <c r="U2055" s="139"/>
      <c r="V2055" s="139"/>
      <c r="W2055" s="93"/>
      <c r="X2055" s="520"/>
      <c r="Y2055" s="612"/>
      <c r="Z2055" s="241"/>
    </row>
    <row r="2056" spans="1:26" s="240" customFormat="1" hidden="1">
      <c r="A2056" s="316"/>
      <c r="B2056" s="239"/>
      <c r="C2056" s="516"/>
      <c r="D2056" s="757"/>
      <c r="E2056" s="518"/>
      <c r="R2056" s="110"/>
      <c r="S2056" s="139"/>
      <c r="T2056" s="139"/>
      <c r="U2056" s="139"/>
      <c r="V2056" s="139"/>
      <c r="W2056" s="93"/>
      <c r="X2056" s="520"/>
      <c r="Y2056" s="612"/>
      <c r="Z2056" s="241"/>
    </row>
    <row r="2057" spans="1:26" s="240" customFormat="1" hidden="1">
      <c r="A2057" s="316"/>
      <c r="B2057" s="239"/>
      <c r="C2057" s="516"/>
      <c r="D2057" s="757"/>
      <c r="E2057" s="518"/>
      <c r="R2057" s="110"/>
      <c r="S2057" s="139"/>
      <c r="T2057" s="139"/>
      <c r="U2057" s="139"/>
      <c r="V2057" s="139"/>
      <c r="W2057" s="93"/>
      <c r="X2057" s="520"/>
      <c r="Y2057" s="612"/>
      <c r="Z2057" s="241"/>
    </row>
    <row r="2058" spans="1:26" s="240" customFormat="1" hidden="1">
      <c r="A2058" s="316"/>
      <c r="B2058" s="239"/>
      <c r="C2058" s="516"/>
      <c r="D2058" s="757"/>
      <c r="E2058" s="518"/>
      <c r="R2058" s="110"/>
      <c r="S2058" s="139"/>
      <c r="T2058" s="139"/>
      <c r="U2058" s="139"/>
      <c r="V2058" s="139"/>
      <c r="W2058" s="93"/>
      <c r="X2058" s="520"/>
      <c r="Y2058" s="612"/>
      <c r="Z2058" s="241"/>
    </row>
    <row r="2059" spans="1:26" s="240" customFormat="1" hidden="1">
      <c r="A2059" s="316"/>
      <c r="B2059" s="239"/>
      <c r="C2059" s="516"/>
      <c r="D2059" s="757"/>
      <c r="E2059" s="518"/>
      <c r="R2059" s="110"/>
      <c r="S2059" s="139"/>
      <c r="T2059" s="139"/>
      <c r="U2059" s="139"/>
      <c r="V2059" s="139"/>
      <c r="W2059" s="93"/>
      <c r="X2059" s="520"/>
      <c r="Y2059" s="612"/>
      <c r="Z2059" s="241"/>
    </row>
    <row r="2060" spans="1:26" s="240" customFormat="1" hidden="1">
      <c r="A2060" s="316"/>
      <c r="B2060" s="239"/>
      <c r="C2060" s="516"/>
      <c r="D2060" s="757"/>
      <c r="E2060" s="518"/>
      <c r="R2060" s="110"/>
      <c r="S2060" s="139"/>
      <c r="T2060" s="139"/>
      <c r="U2060" s="139"/>
      <c r="V2060" s="139"/>
      <c r="W2060" s="93"/>
      <c r="X2060" s="520"/>
      <c r="Y2060" s="612"/>
      <c r="Z2060" s="241"/>
    </row>
    <row r="2061" spans="1:26" s="240" customFormat="1" hidden="1">
      <c r="A2061" s="316"/>
      <c r="B2061" s="239"/>
      <c r="C2061" s="516"/>
      <c r="D2061" s="757"/>
      <c r="E2061" s="518"/>
      <c r="R2061" s="110"/>
      <c r="S2061" s="139"/>
      <c r="T2061" s="139"/>
      <c r="U2061" s="139"/>
      <c r="V2061" s="139"/>
      <c r="W2061" s="93"/>
      <c r="X2061" s="520"/>
      <c r="Y2061" s="612"/>
      <c r="Z2061" s="241"/>
    </row>
    <row r="2062" spans="1:26" s="240" customFormat="1" hidden="1">
      <c r="A2062" s="316"/>
      <c r="B2062" s="239"/>
      <c r="C2062" s="516"/>
      <c r="D2062" s="757"/>
      <c r="E2062" s="518"/>
      <c r="R2062" s="110"/>
      <c r="S2062" s="139"/>
      <c r="T2062" s="139"/>
      <c r="U2062" s="139"/>
      <c r="V2062" s="139"/>
      <c r="W2062" s="93"/>
      <c r="X2062" s="520"/>
      <c r="Y2062" s="612"/>
      <c r="Z2062" s="241"/>
    </row>
    <row r="2063" spans="1:26" s="240" customFormat="1" hidden="1">
      <c r="A2063" s="316"/>
      <c r="B2063" s="239"/>
      <c r="C2063" s="516"/>
      <c r="D2063" s="757"/>
      <c r="E2063" s="518"/>
      <c r="R2063" s="110"/>
      <c r="S2063" s="139"/>
      <c r="T2063" s="139"/>
      <c r="U2063" s="139"/>
      <c r="V2063" s="139"/>
      <c r="W2063" s="93"/>
      <c r="X2063" s="520"/>
      <c r="Y2063" s="612"/>
      <c r="Z2063" s="241"/>
    </row>
    <row r="2064" spans="1:26" s="240" customFormat="1" hidden="1">
      <c r="A2064" s="316"/>
      <c r="B2064" s="239"/>
      <c r="C2064" s="516"/>
      <c r="D2064" s="757"/>
      <c r="E2064" s="518"/>
      <c r="R2064" s="110"/>
      <c r="S2064" s="139"/>
      <c r="T2064" s="139"/>
      <c r="U2064" s="139"/>
      <c r="V2064" s="139"/>
      <c r="W2064" s="93"/>
      <c r="X2064" s="520"/>
      <c r="Y2064" s="612"/>
      <c r="Z2064" s="241"/>
    </row>
    <row r="2065" spans="1:26" s="240" customFormat="1" hidden="1">
      <c r="A2065" s="316"/>
      <c r="B2065" s="239"/>
      <c r="C2065" s="516"/>
      <c r="D2065" s="757"/>
      <c r="E2065" s="518"/>
      <c r="R2065" s="110"/>
      <c r="S2065" s="139"/>
      <c r="T2065" s="139"/>
      <c r="U2065" s="139"/>
      <c r="V2065" s="139"/>
      <c r="W2065" s="93"/>
      <c r="X2065" s="520"/>
      <c r="Y2065" s="612"/>
      <c r="Z2065" s="241"/>
    </row>
    <row r="2066" spans="1:26" s="240" customFormat="1">
      <c r="A2066" s="316"/>
      <c r="B2066" s="239"/>
      <c r="C2066" s="516"/>
      <c r="D2066" s="757"/>
      <c r="E2066" s="518"/>
      <c r="R2066" s="110"/>
      <c r="S2066" s="139"/>
      <c r="T2066" s="139"/>
      <c r="U2066" s="139"/>
      <c r="V2066" s="139"/>
      <c r="W2066" s="93"/>
      <c r="X2066" s="520"/>
      <c r="Y2066" s="612"/>
      <c r="Z2066" s="241"/>
    </row>
    <row r="2067" spans="1:26" s="240" customFormat="1">
      <c r="A2067" s="316"/>
      <c r="B2067" s="239"/>
      <c r="C2067" s="516"/>
      <c r="D2067" s="757"/>
      <c r="E2067" s="518"/>
      <c r="R2067" s="110"/>
      <c r="S2067" s="139"/>
      <c r="T2067" s="139"/>
      <c r="U2067" s="139"/>
      <c r="V2067" s="139"/>
      <c r="W2067" s="93"/>
      <c r="X2067" s="520"/>
      <c r="Y2067" s="612"/>
      <c r="Z2067" s="241"/>
    </row>
    <row r="2068" spans="1:26" s="240" customFormat="1">
      <c r="A2068" s="316"/>
      <c r="B2068" s="239"/>
      <c r="C2068" s="516"/>
      <c r="D2068" s="757"/>
      <c r="E2068" s="518"/>
      <c r="R2068" s="110"/>
      <c r="S2068" s="139"/>
      <c r="T2068" s="139"/>
      <c r="U2068" s="139"/>
      <c r="V2068" s="139"/>
      <c r="W2068" s="93"/>
      <c r="X2068" s="520"/>
      <c r="Y2068" s="612"/>
      <c r="Z2068" s="241"/>
    </row>
    <row r="2069" spans="1:26" s="240" customFormat="1">
      <c r="A2069" s="316"/>
      <c r="B2069" s="239"/>
      <c r="C2069" s="516"/>
      <c r="D2069" s="757"/>
      <c r="E2069" s="518"/>
      <c r="R2069" s="110"/>
      <c r="S2069" s="139"/>
      <c r="T2069" s="139"/>
      <c r="U2069" s="139"/>
      <c r="V2069" s="139"/>
      <c r="W2069" s="93"/>
      <c r="X2069" s="520"/>
      <c r="Y2069" s="612"/>
      <c r="Z2069" s="241"/>
    </row>
    <row r="2070" spans="1:26" s="240" customFormat="1">
      <c r="A2070" s="316"/>
      <c r="B2070" s="239"/>
      <c r="C2070" s="516"/>
      <c r="D2070" s="757"/>
      <c r="E2070" s="518"/>
      <c r="R2070" s="110"/>
      <c r="S2070" s="139"/>
      <c r="T2070" s="139"/>
      <c r="U2070" s="139"/>
      <c r="V2070" s="139"/>
      <c r="W2070" s="93"/>
      <c r="X2070" s="520"/>
      <c r="Y2070" s="612"/>
      <c r="Z2070" s="241"/>
    </row>
    <row r="2071" spans="1:26" s="240" customFormat="1">
      <c r="A2071" s="316"/>
      <c r="B2071" s="239"/>
      <c r="C2071" s="516"/>
      <c r="D2071" s="757"/>
      <c r="E2071" s="518"/>
      <c r="R2071" s="110"/>
      <c r="S2071" s="139"/>
      <c r="T2071" s="139"/>
      <c r="U2071" s="139"/>
      <c r="V2071" s="139"/>
      <c r="W2071" s="93"/>
      <c r="X2071" s="520"/>
      <c r="Y2071" s="612"/>
      <c r="Z2071" s="241"/>
    </row>
    <row r="2072" spans="1:26" s="240" customFormat="1">
      <c r="A2072" s="316"/>
      <c r="B2072" s="239"/>
      <c r="C2072" s="516"/>
      <c r="D2072" s="757"/>
      <c r="E2072" s="518"/>
      <c r="R2072" s="110"/>
      <c r="S2072" s="139"/>
      <c r="T2072" s="139"/>
      <c r="U2072" s="139"/>
      <c r="V2072" s="139"/>
      <c r="W2072" s="93"/>
      <c r="X2072" s="520"/>
      <c r="Y2072" s="612"/>
      <c r="Z2072" s="241"/>
    </row>
    <row r="2073" spans="1:26" s="240" customFormat="1">
      <c r="A2073" s="316"/>
      <c r="B2073" s="239"/>
      <c r="C2073" s="516"/>
      <c r="D2073" s="757"/>
      <c r="E2073" s="518"/>
      <c r="R2073" s="110"/>
      <c r="S2073" s="139"/>
      <c r="T2073" s="139"/>
      <c r="U2073" s="139"/>
      <c r="V2073" s="139"/>
      <c r="W2073" s="93"/>
      <c r="X2073" s="520"/>
      <c r="Y2073" s="612"/>
      <c r="Z2073" s="241"/>
    </row>
    <row r="2074" spans="1:26" s="240" customFormat="1">
      <c r="A2074" s="316"/>
      <c r="B2074" s="239"/>
      <c r="C2074" s="516"/>
      <c r="D2074" s="757"/>
      <c r="E2074" s="518"/>
      <c r="R2074" s="110"/>
      <c r="S2074" s="139"/>
      <c r="T2074" s="139"/>
      <c r="U2074" s="139"/>
      <c r="V2074" s="139"/>
      <c r="W2074" s="93"/>
      <c r="X2074" s="520"/>
      <c r="Y2074" s="612"/>
      <c r="Z2074" s="241"/>
    </row>
    <row r="2075" spans="1:26" s="240" customFormat="1">
      <c r="A2075" s="316"/>
      <c r="B2075" s="239"/>
      <c r="C2075" s="516"/>
      <c r="D2075" s="757"/>
      <c r="E2075" s="518"/>
      <c r="R2075" s="110"/>
      <c r="S2075" s="139"/>
      <c r="T2075" s="139"/>
      <c r="U2075" s="139"/>
      <c r="V2075" s="139"/>
      <c r="W2075" s="93"/>
      <c r="X2075" s="520"/>
      <c r="Y2075" s="612"/>
      <c r="Z2075" s="241"/>
    </row>
    <row r="2076" spans="1:26" s="240" customFormat="1">
      <c r="A2076" s="316"/>
      <c r="B2076" s="239"/>
      <c r="C2076" s="516"/>
      <c r="D2076" s="757"/>
      <c r="E2076" s="518"/>
      <c r="R2076" s="110"/>
      <c r="S2076" s="139"/>
      <c r="T2076" s="139"/>
      <c r="U2076" s="139"/>
      <c r="V2076" s="139"/>
      <c r="W2076" s="93"/>
      <c r="X2076" s="520"/>
      <c r="Y2076" s="612"/>
      <c r="Z2076" s="241"/>
    </row>
    <row r="2077" spans="1:26" s="240" customFormat="1">
      <c r="A2077" s="316"/>
      <c r="B2077" s="239"/>
      <c r="C2077" s="516"/>
      <c r="D2077" s="757"/>
      <c r="E2077" s="518"/>
      <c r="R2077" s="110"/>
      <c r="S2077" s="139"/>
      <c r="T2077" s="139"/>
      <c r="U2077" s="139"/>
      <c r="V2077" s="139"/>
      <c r="W2077" s="93"/>
      <c r="X2077" s="520"/>
      <c r="Y2077" s="612"/>
      <c r="Z2077" s="241"/>
    </row>
    <row r="2078" spans="1:26" s="240" customFormat="1">
      <c r="A2078" s="316"/>
      <c r="B2078" s="239"/>
      <c r="C2078" s="516"/>
      <c r="D2078" s="757"/>
      <c r="E2078" s="518"/>
      <c r="R2078" s="110"/>
      <c r="S2078" s="139"/>
      <c r="T2078" s="139"/>
      <c r="U2078" s="139"/>
      <c r="V2078" s="139"/>
      <c r="W2078" s="93"/>
      <c r="X2078" s="520"/>
      <c r="Y2078" s="612"/>
      <c r="Z2078" s="241"/>
    </row>
    <row r="2079" spans="1:26" s="240" customFormat="1">
      <c r="A2079" s="316"/>
      <c r="B2079" s="239"/>
      <c r="C2079" s="516"/>
      <c r="D2079" s="757"/>
      <c r="E2079" s="518"/>
      <c r="R2079" s="110"/>
      <c r="S2079" s="139"/>
      <c r="T2079" s="139"/>
      <c r="U2079" s="139"/>
      <c r="V2079" s="139"/>
      <c r="W2079" s="93"/>
      <c r="X2079" s="520"/>
      <c r="Y2079" s="612"/>
      <c r="Z2079" s="241"/>
    </row>
    <row r="2080" spans="1:26" s="240" customFormat="1">
      <c r="A2080" s="316"/>
      <c r="B2080" s="239"/>
      <c r="C2080" s="516"/>
      <c r="D2080" s="757"/>
      <c r="E2080" s="518"/>
      <c r="R2080" s="110"/>
      <c r="S2080" s="139"/>
      <c r="T2080" s="139"/>
      <c r="U2080" s="139"/>
      <c r="V2080" s="139"/>
      <c r="W2080" s="93"/>
      <c r="X2080" s="520"/>
      <c r="Y2080" s="612"/>
      <c r="Z2080" s="241"/>
    </row>
    <row r="2081" spans="1:26" s="240" customFormat="1">
      <c r="A2081" s="316"/>
      <c r="B2081" s="239"/>
      <c r="C2081" s="516"/>
      <c r="D2081" s="757"/>
      <c r="E2081" s="518"/>
      <c r="R2081" s="110"/>
      <c r="S2081" s="139"/>
      <c r="T2081" s="139"/>
      <c r="U2081" s="139"/>
      <c r="V2081" s="139"/>
      <c r="W2081" s="93"/>
      <c r="X2081" s="520"/>
      <c r="Y2081" s="612"/>
      <c r="Z2081" s="241"/>
    </row>
    <row r="2082" spans="1:26" s="240" customFormat="1">
      <c r="A2082" s="316"/>
      <c r="B2082" s="239"/>
      <c r="C2082" s="516"/>
      <c r="D2082" s="757"/>
      <c r="E2082" s="518"/>
      <c r="R2082" s="110"/>
      <c r="S2082" s="139"/>
      <c r="T2082" s="139"/>
      <c r="U2082" s="139"/>
      <c r="V2082" s="139"/>
      <c r="W2082" s="93"/>
      <c r="X2082" s="520"/>
      <c r="Y2082" s="612"/>
      <c r="Z2082" s="241"/>
    </row>
    <row r="2083" spans="1:26" s="240" customFormat="1">
      <c r="A2083" s="316"/>
      <c r="B2083" s="239"/>
      <c r="C2083" s="516"/>
      <c r="D2083" s="757"/>
      <c r="E2083" s="518"/>
      <c r="R2083" s="110"/>
      <c r="S2083" s="139"/>
      <c r="T2083" s="139"/>
      <c r="U2083" s="139"/>
      <c r="V2083" s="139"/>
      <c r="W2083" s="93"/>
      <c r="X2083" s="520"/>
      <c r="Y2083" s="612"/>
      <c r="Z2083" s="241"/>
    </row>
    <row r="2084" spans="1:26" s="240" customFormat="1">
      <c r="A2084" s="316"/>
      <c r="B2084" s="239"/>
      <c r="C2084" s="516"/>
      <c r="D2084" s="757"/>
      <c r="E2084" s="518"/>
      <c r="R2084" s="110"/>
      <c r="S2084" s="139"/>
      <c r="T2084" s="139"/>
      <c r="U2084" s="139"/>
      <c r="V2084" s="139"/>
      <c r="W2084" s="93"/>
      <c r="X2084" s="520"/>
      <c r="Y2084" s="612"/>
      <c r="Z2084" s="241"/>
    </row>
    <row r="2085" spans="1:26" s="240" customFormat="1">
      <c r="A2085" s="316"/>
      <c r="B2085" s="239"/>
      <c r="C2085" s="516"/>
      <c r="D2085" s="757"/>
      <c r="E2085" s="518"/>
      <c r="R2085" s="110"/>
      <c r="S2085" s="139"/>
      <c r="T2085" s="139"/>
      <c r="U2085" s="139"/>
      <c r="V2085" s="139"/>
      <c r="W2085" s="93"/>
      <c r="X2085" s="520"/>
      <c r="Y2085" s="612"/>
      <c r="Z2085" s="241"/>
    </row>
    <row r="2086" spans="1:26" s="240" customFormat="1">
      <c r="A2086" s="316"/>
      <c r="B2086" s="239"/>
      <c r="C2086" s="516"/>
      <c r="D2086" s="757"/>
      <c r="E2086" s="518"/>
      <c r="R2086" s="110"/>
      <c r="S2086" s="139"/>
      <c r="T2086" s="139"/>
      <c r="U2086" s="139"/>
      <c r="V2086" s="139"/>
      <c r="W2086" s="93"/>
      <c r="X2086" s="520"/>
      <c r="Y2086" s="612"/>
      <c r="Z2086" s="241"/>
    </row>
    <row r="2087" spans="1:26" s="240" customFormat="1">
      <c r="A2087" s="316"/>
      <c r="B2087" s="239"/>
      <c r="C2087" s="516"/>
      <c r="D2087" s="757"/>
      <c r="E2087" s="518"/>
      <c r="R2087" s="110"/>
      <c r="S2087" s="139"/>
      <c r="T2087" s="139"/>
      <c r="U2087" s="139"/>
      <c r="V2087" s="139"/>
      <c r="W2087" s="93"/>
      <c r="X2087" s="520"/>
      <c r="Y2087" s="612"/>
      <c r="Z2087" s="241"/>
    </row>
    <row r="2088" spans="1:26" s="240" customFormat="1">
      <c r="A2088" s="316"/>
      <c r="B2088" s="239"/>
      <c r="C2088" s="516"/>
      <c r="D2088" s="757"/>
      <c r="E2088" s="518"/>
      <c r="R2088" s="110"/>
      <c r="S2088" s="139"/>
      <c r="T2088" s="139"/>
      <c r="U2088" s="139"/>
      <c r="V2088" s="139"/>
      <c r="W2088" s="93"/>
      <c r="X2088" s="520"/>
      <c r="Y2088" s="612"/>
      <c r="Z2088" s="241"/>
    </row>
    <row r="2089" spans="1:26" s="240" customFormat="1">
      <c r="A2089" s="316"/>
      <c r="B2089" s="239"/>
      <c r="C2089" s="516"/>
      <c r="D2089" s="757"/>
      <c r="E2089" s="518"/>
      <c r="R2089" s="110"/>
      <c r="S2089" s="139"/>
      <c r="T2089" s="139"/>
      <c r="U2089" s="139"/>
      <c r="V2089" s="139"/>
      <c r="W2089" s="93"/>
      <c r="X2089" s="520"/>
      <c r="Y2089" s="612"/>
      <c r="Z2089" s="241"/>
    </row>
    <row r="2090" spans="1:26" s="240" customFormat="1">
      <c r="A2090" s="316"/>
      <c r="B2090" s="239"/>
      <c r="C2090" s="516"/>
      <c r="D2090" s="757"/>
      <c r="E2090" s="518"/>
      <c r="R2090" s="110"/>
      <c r="S2090" s="139"/>
      <c r="T2090" s="139"/>
      <c r="U2090" s="139"/>
      <c r="V2090" s="139"/>
      <c r="W2090" s="93"/>
      <c r="X2090" s="520"/>
      <c r="Y2090" s="612"/>
      <c r="Z2090" s="241"/>
    </row>
    <row r="2091" spans="1:26" s="240" customFormat="1">
      <c r="A2091" s="316"/>
      <c r="B2091" s="239"/>
      <c r="C2091" s="516"/>
      <c r="D2091" s="757"/>
      <c r="E2091" s="518"/>
      <c r="R2091" s="110"/>
      <c r="S2091" s="139"/>
      <c r="T2091" s="139"/>
      <c r="U2091" s="139"/>
      <c r="V2091" s="139"/>
      <c r="W2091" s="93"/>
      <c r="X2091" s="520"/>
      <c r="Y2091" s="612"/>
      <c r="Z2091" s="241"/>
    </row>
    <row r="2092" spans="1:26" s="240" customFormat="1">
      <c r="A2092" s="316"/>
      <c r="B2092" s="239"/>
      <c r="C2092" s="516"/>
      <c r="D2092" s="757"/>
      <c r="E2092" s="518"/>
      <c r="R2092" s="110"/>
      <c r="S2092" s="139"/>
      <c r="T2092" s="139"/>
      <c r="U2092" s="139"/>
      <c r="V2092" s="139"/>
      <c r="W2092" s="93"/>
      <c r="X2092" s="520"/>
      <c r="Y2092" s="612"/>
      <c r="Z2092" s="241"/>
    </row>
    <row r="2093" spans="1:26" s="240" customFormat="1">
      <c r="A2093" s="316"/>
      <c r="B2093" s="239"/>
      <c r="C2093" s="516"/>
      <c r="D2093" s="757"/>
      <c r="E2093" s="518"/>
      <c r="R2093" s="110"/>
      <c r="S2093" s="139"/>
      <c r="T2093" s="139"/>
      <c r="U2093" s="139"/>
      <c r="V2093" s="139"/>
      <c r="W2093" s="93"/>
      <c r="X2093" s="520"/>
      <c r="Y2093" s="612"/>
      <c r="Z2093" s="241"/>
    </row>
    <row r="2094" spans="1:26" s="240" customFormat="1">
      <c r="A2094" s="316"/>
      <c r="B2094" s="239"/>
      <c r="C2094" s="516"/>
      <c r="D2094" s="757"/>
      <c r="E2094" s="518"/>
      <c r="R2094" s="110"/>
      <c r="S2094" s="139"/>
      <c r="T2094" s="139"/>
      <c r="U2094" s="139"/>
      <c r="V2094" s="139"/>
      <c r="W2094" s="93"/>
      <c r="X2094" s="520"/>
      <c r="Y2094" s="612"/>
      <c r="Z2094" s="241"/>
    </row>
    <row r="2095" spans="1:26" s="240" customFormat="1">
      <c r="A2095" s="316"/>
      <c r="B2095" s="239"/>
      <c r="C2095" s="516"/>
      <c r="D2095" s="757"/>
      <c r="E2095" s="518"/>
      <c r="R2095" s="110"/>
      <c r="S2095" s="139"/>
      <c r="T2095" s="139"/>
      <c r="U2095" s="139"/>
      <c r="V2095" s="139"/>
      <c r="W2095" s="93"/>
      <c r="X2095" s="520"/>
      <c r="Y2095" s="612"/>
      <c r="Z2095" s="241"/>
    </row>
    <row r="2096" spans="1:26" s="240" customFormat="1">
      <c r="A2096" s="316"/>
      <c r="B2096" s="239"/>
      <c r="C2096" s="516"/>
      <c r="D2096" s="757"/>
      <c r="E2096" s="518"/>
      <c r="R2096" s="110"/>
      <c r="S2096" s="139"/>
      <c r="T2096" s="139"/>
      <c r="U2096" s="139"/>
      <c r="V2096" s="139"/>
      <c r="W2096" s="93"/>
      <c r="X2096" s="520"/>
      <c r="Y2096" s="612"/>
      <c r="Z2096" s="241"/>
    </row>
    <row r="2097" spans="1:26" s="240" customFormat="1">
      <c r="A2097" s="316"/>
      <c r="B2097" s="239"/>
      <c r="C2097" s="516"/>
      <c r="D2097" s="757"/>
      <c r="E2097" s="518"/>
      <c r="R2097" s="110"/>
      <c r="S2097" s="139"/>
      <c r="T2097" s="139"/>
      <c r="U2097" s="139"/>
      <c r="V2097" s="139"/>
      <c r="W2097" s="93"/>
      <c r="X2097" s="520"/>
      <c r="Y2097" s="612"/>
      <c r="Z2097" s="241"/>
    </row>
    <row r="2098" spans="1:26" s="240" customFormat="1">
      <c r="A2098" s="316"/>
      <c r="B2098" s="239"/>
      <c r="C2098" s="516"/>
      <c r="D2098" s="757"/>
      <c r="E2098" s="518"/>
      <c r="R2098" s="110"/>
      <c r="S2098" s="139"/>
      <c r="T2098" s="139"/>
      <c r="U2098" s="139"/>
      <c r="V2098" s="139"/>
      <c r="W2098" s="93"/>
      <c r="X2098" s="520"/>
      <c r="Y2098" s="612"/>
      <c r="Z2098" s="241"/>
    </row>
    <row r="2099" spans="1:26" s="240" customFormat="1">
      <c r="A2099" s="316"/>
      <c r="B2099" s="239"/>
      <c r="C2099" s="516"/>
      <c r="D2099" s="757"/>
      <c r="E2099" s="518"/>
      <c r="R2099" s="110"/>
      <c r="S2099" s="139"/>
      <c r="T2099" s="139"/>
      <c r="U2099" s="139"/>
      <c r="V2099" s="139"/>
      <c r="W2099" s="93"/>
      <c r="X2099" s="520"/>
      <c r="Y2099" s="612"/>
      <c r="Z2099" s="241"/>
    </row>
    <row r="2100" spans="1:26" s="240" customFormat="1">
      <c r="A2100" s="316"/>
      <c r="B2100" s="239"/>
      <c r="C2100" s="516"/>
      <c r="D2100" s="757"/>
      <c r="E2100" s="518"/>
      <c r="R2100" s="110"/>
      <c r="S2100" s="139"/>
      <c r="T2100" s="139"/>
      <c r="U2100" s="139"/>
      <c r="V2100" s="139"/>
      <c r="W2100" s="93"/>
      <c r="X2100" s="520"/>
      <c r="Y2100" s="612"/>
      <c r="Z2100" s="241"/>
    </row>
    <row r="2101" spans="1:26" s="240" customFormat="1">
      <c r="A2101" s="316"/>
      <c r="B2101" s="239"/>
      <c r="C2101" s="516"/>
      <c r="D2101" s="757"/>
      <c r="E2101" s="518"/>
      <c r="R2101" s="110"/>
      <c r="S2101" s="139"/>
      <c r="T2101" s="139"/>
      <c r="U2101" s="139"/>
      <c r="V2101" s="139"/>
      <c r="W2101" s="93"/>
      <c r="X2101" s="520"/>
      <c r="Y2101" s="612"/>
      <c r="Z2101" s="241"/>
    </row>
    <row r="2102" spans="1:26" s="240" customFormat="1">
      <c r="A2102" s="316"/>
      <c r="B2102" s="239"/>
      <c r="C2102" s="516"/>
      <c r="D2102" s="757"/>
      <c r="E2102" s="518"/>
      <c r="R2102" s="110"/>
      <c r="S2102" s="139"/>
      <c r="T2102" s="139"/>
      <c r="U2102" s="139"/>
      <c r="V2102" s="139"/>
      <c r="W2102" s="93"/>
      <c r="X2102" s="520"/>
      <c r="Y2102" s="612"/>
      <c r="Z2102" s="241"/>
    </row>
    <row r="2103" spans="1:26" s="240" customFormat="1">
      <c r="A2103" s="316"/>
      <c r="B2103" s="239"/>
      <c r="C2103" s="516"/>
      <c r="D2103" s="757"/>
      <c r="E2103" s="518"/>
      <c r="R2103" s="110"/>
      <c r="S2103" s="139"/>
      <c r="T2103" s="139"/>
      <c r="U2103" s="139"/>
      <c r="V2103" s="139"/>
      <c r="W2103" s="93"/>
      <c r="X2103" s="520"/>
      <c r="Y2103" s="612"/>
      <c r="Z2103" s="241"/>
    </row>
    <row r="2104" spans="1:26" s="240" customFormat="1">
      <c r="A2104" s="316"/>
      <c r="B2104" s="239"/>
      <c r="C2104" s="516"/>
      <c r="D2104" s="757"/>
      <c r="E2104" s="518"/>
      <c r="R2104" s="110"/>
      <c r="S2104" s="139"/>
      <c r="T2104" s="139"/>
      <c r="U2104" s="139"/>
      <c r="V2104" s="139"/>
      <c r="W2104" s="93"/>
      <c r="X2104" s="520"/>
      <c r="Y2104" s="612"/>
      <c r="Z2104" s="241"/>
    </row>
    <row r="2105" spans="1:26" s="240" customFormat="1">
      <c r="A2105" s="316"/>
      <c r="B2105" s="239"/>
      <c r="C2105" s="516"/>
      <c r="D2105" s="757"/>
      <c r="E2105" s="518"/>
      <c r="R2105" s="110"/>
      <c r="S2105" s="139"/>
      <c r="T2105" s="139"/>
      <c r="U2105" s="139"/>
      <c r="V2105" s="139"/>
      <c r="W2105" s="93"/>
      <c r="X2105" s="520"/>
      <c r="Y2105" s="612"/>
      <c r="Z2105" s="241"/>
    </row>
    <row r="2106" spans="1:26" s="240" customFormat="1">
      <c r="A2106" s="316"/>
      <c r="B2106" s="239"/>
      <c r="C2106" s="516"/>
      <c r="D2106" s="757"/>
      <c r="E2106" s="518"/>
      <c r="R2106" s="110"/>
      <c r="S2106" s="139"/>
      <c r="T2106" s="139"/>
      <c r="U2106" s="139"/>
      <c r="V2106" s="139"/>
      <c r="W2106" s="93"/>
      <c r="X2106" s="520"/>
      <c r="Y2106" s="612"/>
      <c r="Z2106" s="241"/>
    </row>
    <row r="2107" spans="1:26" s="240" customFormat="1">
      <c r="A2107" s="316"/>
      <c r="B2107" s="239"/>
      <c r="C2107" s="516"/>
      <c r="D2107" s="757"/>
      <c r="E2107" s="518"/>
      <c r="R2107" s="110"/>
      <c r="S2107" s="139"/>
      <c r="T2107" s="139"/>
      <c r="U2107" s="139"/>
      <c r="V2107" s="139"/>
      <c r="W2107" s="93"/>
      <c r="X2107" s="520"/>
      <c r="Y2107" s="612"/>
      <c r="Z2107" s="241"/>
    </row>
    <row r="2108" spans="1:26" s="240" customFormat="1">
      <c r="A2108" s="316"/>
      <c r="B2108" s="239"/>
      <c r="C2108" s="516"/>
      <c r="D2108" s="757"/>
      <c r="E2108" s="518"/>
      <c r="R2108" s="110"/>
      <c r="S2108" s="139"/>
      <c r="T2108" s="139"/>
      <c r="U2108" s="139"/>
      <c r="V2108" s="139"/>
      <c r="W2108" s="93"/>
      <c r="X2108" s="520"/>
      <c r="Y2108" s="612"/>
      <c r="Z2108" s="241"/>
    </row>
    <row r="2109" spans="1:26" s="240" customFormat="1">
      <c r="A2109" s="316"/>
      <c r="B2109" s="239"/>
      <c r="C2109" s="516"/>
      <c r="D2109" s="757"/>
      <c r="E2109" s="518"/>
      <c r="R2109" s="110"/>
      <c r="S2109" s="139"/>
      <c r="T2109" s="139"/>
      <c r="U2109" s="139"/>
      <c r="V2109" s="139"/>
      <c r="W2109" s="93"/>
      <c r="X2109" s="520"/>
      <c r="Y2109" s="612"/>
      <c r="Z2109" s="241"/>
    </row>
    <row r="2110" spans="1:26" s="240" customFormat="1">
      <c r="A2110" s="316"/>
      <c r="B2110" s="239"/>
      <c r="C2110" s="516"/>
      <c r="D2110" s="757"/>
      <c r="E2110" s="518"/>
      <c r="R2110" s="110"/>
      <c r="S2110" s="139"/>
      <c r="T2110" s="139"/>
      <c r="U2110" s="139"/>
      <c r="V2110" s="139"/>
      <c r="W2110" s="93"/>
      <c r="X2110" s="520"/>
      <c r="Y2110" s="612"/>
      <c r="Z2110" s="241"/>
    </row>
    <row r="2111" spans="1:26" s="240" customFormat="1">
      <c r="A2111" s="316"/>
      <c r="B2111" s="239"/>
      <c r="C2111" s="516"/>
      <c r="D2111" s="757"/>
      <c r="E2111" s="518"/>
      <c r="R2111" s="110"/>
      <c r="S2111" s="139"/>
      <c r="T2111" s="139"/>
      <c r="U2111" s="139"/>
      <c r="V2111" s="139"/>
      <c r="W2111" s="93"/>
      <c r="X2111" s="520"/>
      <c r="Y2111" s="612"/>
      <c r="Z2111" s="241"/>
    </row>
    <row r="2112" spans="1:26" s="240" customFormat="1">
      <c r="A2112" s="316"/>
      <c r="B2112" s="239"/>
      <c r="C2112" s="516"/>
      <c r="D2112" s="757"/>
      <c r="E2112" s="518"/>
      <c r="R2112" s="110"/>
      <c r="S2112" s="139"/>
      <c r="T2112" s="139"/>
      <c r="U2112" s="139"/>
      <c r="V2112" s="139"/>
      <c r="W2112" s="93"/>
      <c r="X2112" s="520"/>
      <c r="Y2112" s="612"/>
      <c r="Z2112" s="241"/>
    </row>
    <row r="2113" spans="1:26" s="240" customFormat="1">
      <c r="A2113" s="316"/>
      <c r="B2113" s="239"/>
      <c r="C2113" s="516"/>
      <c r="D2113" s="757"/>
      <c r="E2113" s="518"/>
      <c r="R2113" s="110"/>
      <c r="S2113" s="139"/>
      <c r="T2113" s="139"/>
      <c r="U2113" s="139"/>
      <c r="V2113" s="139"/>
      <c r="W2113" s="93"/>
      <c r="X2113" s="520"/>
      <c r="Y2113" s="612"/>
      <c r="Z2113" s="241"/>
    </row>
    <row r="2114" spans="1:26" s="240" customFormat="1">
      <c r="A2114" s="316"/>
      <c r="B2114" s="239"/>
      <c r="C2114" s="516"/>
      <c r="D2114" s="757"/>
      <c r="E2114" s="518"/>
      <c r="R2114" s="110"/>
      <c r="S2114" s="139"/>
      <c r="T2114" s="139"/>
      <c r="U2114" s="139"/>
      <c r="V2114" s="139"/>
      <c r="W2114" s="93"/>
      <c r="X2114" s="520"/>
      <c r="Y2114" s="612"/>
      <c r="Z2114" s="241"/>
    </row>
    <row r="2115" spans="1:26" s="240" customFormat="1">
      <c r="A2115" s="316"/>
      <c r="B2115" s="239"/>
      <c r="C2115" s="516"/>
      <c r="D2115" s="757"/>
      <c r="E2115" s="518"/>
      <c r="R2115" s="110"/>
      <c r="S2115" s="139"/>
      <c r="T2115" s="139"/>
      <c r="U2115" s="139"/>
      <c r="V2115" s="139"/>
      <c r="W2115" s="93"/>
      <c r="X2115" s="520"/>
      <c r="Y2115" s="612"/>
      <c r="Z2115" s="241"/>
    </row>
    <row r="2116" spans="1:26" s="240" customFormat="1">
      <c r="A2116" s="316"/>
      <c r="B2116" s="239"/>
      <c r="C2116" s="516"/>
      <c r="D2116" s="757"/>
      <c r="E2116" s="518"/>
      <c r="R2116" s="110"/>
      <c r="S2116" s="139"/>
      <c r="T2116" s="139"/>
      <c r="U2116" s="139"/>
      <c r="V2116" s="139"/>
      <c r="W2116" s="93"/>
      <c r="X2116" s="520"/>
      <c r="Y2116" s="612"/>
      <c r="Z2116" s="241"/>
    </row>
    <row r="2117" spans="1:26" s="240" customFormat="1">
      <c r="A2117" s="316"/>
      <c r="B2117" s="239"/>
      <c r="C2117" s="516"/>
      <c r="D2117" s="757"/>
      <c r="E2117" s="518"/>
      <c r="R2117" s="110"/>
      <c r="S2117" s="139"/>
      <c r="T2117" s="139"/>
      <c r="U2117" s="139"/>
      <c r="V2117" s="139"/>
      <c r="W2117" s="93"/>
      <c r="X2117" s="520"/>
      <c r="Y2117" s="612"/>
      <c r="Z2117" s="241"/>
    </row>
    <row r="2118" spans="1:26" s="240" customFormat="1">
      <c r="A2118" s="316"/>
      <c r="B2118" s="239"/>
      <c r="C2118" s="516"/>
      <c r="D2118" s="757"/>
      <c r="E2118" s="518"/>
      <c r="R2118" s="110"/>
      <c r="S2118" s="139"/>
      <c r="T2118" s="139"/>
      <c r="U2118" s="139"/>
      <c r="V2118" s="139"/>
      <c r="W2118" s="93"/>
      <c r="X2118" s="520"/>
      <c r="Y2118" s="612"/>
      <c r="Z2118" s="241"/>
    </row>
    <row r="2119" spans="1:26" s="240" customFormat="1">
      <c r="A2119" s="316"/>
      <c r="B2119" s="239"/>
      <c r="C2119" s="516"/>
      <c r="D2119" s="757"/>
      <c r="E2119" s="518"/>
      <c r="R2119" s="110"/>
      <c r="S2119" s="139"/>
      <c r="T2119" s="139"/>
      <c r="U2119" s="139"/>
      <c r="V2119" s="139"/>
      <c r="W2119" s="93"/>
      <c r="X2119" s="520"/>
      <c r="Y2119" s="612"/>
      <c r="Z2119" s="241"/>
    </row>
    <row r="2120" spans="1:26" s="240" customFormat="1">
      <c r="A2120" s="316"/>
      <c r="B2120" s="239"/>
      <c r="C2120" s="516"/>
      <c r="D2120" s="757"/>
      <c r="E2120" s="518"/>
      <c r="R2120" s="110"/>
      <c r="S2120" s="139"/>
      <c r="T2120" s="139"/>
      <c r="U2120" s="139"/>
      <c r="V2120" s="139"/>
      <c r="W2120" s="93"/>
      <c r="X2120" s="520"/>
      <c r="Y2120" s="612"/>
      <c r="Z2120" s="241"/>
    </row>
    <row r="2121" spans="1:26" s="240" customFormat="1">
      <c r="A2121" s="316"/>
      <c r="B2121" s="239"/>
      <c r="C2121" s="516"/>
      <c r="D2121" s="757"/>
      <c r="E2121" s="518"/>
      <c r="R2121" s="110"/>
      <c r="S2121" s="139"/>
      <c r="T2121" s="139"/>
      <c r="U2121" s="139"/>
      <c r="V2121" s="139"/>
      <c r="W2121" s="93"/>
      <c r="X2121" s="520"/>
      <c r="Y2121" s="612"/>
      <c r="Z2121" s="241"/>
    </row>
    <row r="2122" spans="1:26" s="240" customFormat="1">
      <c r="A2122" s="316"/>
      <c r="B2122" s="239"/>
      <c r="C2122" s="516"/>
      <c r="D2122" s="757"/>
      <c r="E2122" s="518"/>
      <c r="R2122" s="110"/>
      <c r="S2122" s="139"/>
      <c r="T2122" s="139"/>
      <c r="U2122" s="139"/>
      <c r="V2122" s="139"/>
      <c r="W2122" s="93"/>
      <c r="X2122" s="520"/>
      <c r="Y2122" s="612"/>
      <c r="Z2122" s="241"/>
    </row>
    <row r="2123" spans="1:26" s="240" customFormat="1">
      <c r="A2123" s="316"/>
      <c r="B2123" s="239"/>
      <c r="C2123" s="516"/>
      <c r="D2123" s="757"/>
      <c r="E2123" s="518"/>
      <c r="R2123" s="110"/>
      <c r="S2123" s="139"/>
      <c r="T2123" s="139"/>
      <c r="U2123" s="139"/>
      <c r="V2123" s="139"/>
      <c r="W2123" s="93"/>
      <c r="X2123" s="520"/>
      <c r="Y2123" s="612"/>
      <c r="Z2123" s="241"/>
    </row>
    <row r="2124" spans="1:26" s="240" customFormat="1">
      <c r="A2124" s="316"/>
      <c r="B2124" s="239"/>
      <c r="C2124" s="516"/>
      <c r="D2124" s="757"/>
      <c r="E2124" s="518"/>
      <c r="R2124" s="110"/>
      <c r="S2124" s="139"/>
      <c r="T2124" s="139"/>
      <c r="U2124" s="139"/>
      <c r="V2124" s="139"/>
      <c r="W2124" s="93"/>
      <c r="X2124" s="520"/>
      <c r="Y2124" s="612"/>
      <c r="Z2124" s="241"/>
    </row>
    <row r="2125" spans="1:26" s="240" customFormat="1">
      <c r="A2125" s="316"/>
      <c r="B2125" s="239"/>
      <c r="C2125" s="516"/>
      <c r="D2125" s="757"/>
      <c r="E2125" s="518"/>
      <c r="R2125" s="110"/>
      <c r="S2125" s="139"/>
      <c r="T2125" s="139"/>
      <c r="U2125" s="139"/>
      <c r="V2125" s="139"/>
      <c r="W2125" s="93"/>
      <c r="X2125" s="520"/>
      <c r="Y2125" s="612"/>
      <c r="Z2125" s="241"/>
    </row>
    <row r="2126" spans="1:26" s="240" customFormat="1">
      <c r="A2126" s="316"/>
      <c r="B2126" s="239"/>
      <c r="C2126" s="516"/>
      <c r="D2126" s="757"/>
      <c r="E2126" s="518"/>
      <c r="R2126" s="110"/>
      <c r="S2126" s="139"/>
      <c r="T2126" s="139"/>
      <c r="U2126" s="139"/>
      <c r="V2126" s="139"/>
      <c r="W2126" s="93"/>
      <c r="X2126" s="520"/>
      <c r="Y2126" s="612"/>
      <c r="Z2126" s="241"/>
    </row>
    <row r="2127" spans="1:26" s="240" customFormat="1">
      <c r="A2127" s="316"/>
      <c r="B2127" s="239"/>
      <c r="C2127" s="516"/>
      <c r="D2127" s="757"/>
      <c r="E2127" s="518"/>
      <c r="R2127" s="110"/>
      <c r="S2127" s="139"/>
      <c r="T2127" s="139"/>
      <c r="U2127" s="139"/>
      <c r="V2127" s="139"/>
      <c r="W2127" s="93"/>
      <c r="X2127" s="520"/>
      <c r="Y2127" s="612"/>
      <c r="Z2127" s="241"/>
    </row>
    <row r="2128" spans="1:26" s="240" customFormat="1">
      <c r="A2128" s="316"/>
      <c r="B2128" s="239"/>
      <c r="C2128" s="516"/>
      <c r="D2128" s="757"/>
      <c r="E2128" s="518"/>
      <c r="R2128" s="110"/>
      <c r="S2128" s="139"/>
      <c r="T2128" s="139"/>
      <c r="U2128" s="139"/>
      <c r="V2128" s="139"/>
      <c r="W2128" s="93"/>
      <c r="X2128" s="520"/>
      <c r="Y2128" s="612"/>
      <c r="Z2128" s="241"/>
    </row>
    <row r="2129" spans="1:26" s="240" customFormat="1">
      <c r="A2129" s="316"/>
      <c r="B2129" s="239"/>
      <c r="C2129" s="516"/>
      <c r="D2129" s="757"/>
      <c r="E2129" s="518"/>
      <c r="R2129" s="110"/>
      <c r="S2129" s="139"/>
      <c r="T2129" s="139"/>
      <c r="U2129" s="139"/>
      <c r="V2129" s="139"/>
      <c r="W2129" s="93"/>
      <c r="X2129" s="520"/>
      <c r="Y2129" s="612"/>
      <c r="Z2129" s="241"/>
    </row>
    <row r="2130" spans="1:26" s="240" customFormat="1">
      <c r="A2130" s="316"/>
      <c r="B2130" s="239"/>
      <c r="C2130" s="516"/>
      <c r="D2130" s="757"/>
      <c r="E2130" s="518"/>
      <c r="R2130" s="110"/>
      <c r="S2130" s="139"/>
      <c r="T2130" s="139"/>
      <c r="U2130" s="139"/>
      <c r="V2130" s="139"/>
      <c r="W2130" s="93"/>
      <c r="X2130" s="520"/>
      <c r="Y2130" s="612"/>
      <c r="Z2130" s="241"/>
    </row>
    <row r="2131" spans="1:26" s="240" customFormat="1">
      <c r="A2131" s="316"/>
      <c r="B2131" s="239"/>
      <c r="C2131" s="516"/>
      <c r="D2131" s="757"/>
      <c r="E2131" s="518"/>
      <c r="R2131" s="110"/>
      <c r="S2131" s="139"/>
      <c r="T2131" s="139"/>
      <c r="U2131" s="139"/>
      <c r="V2131" s="139"/>
      <c r="W2131" s="93"/>
      <c r="X2131" s="520"/>
      <c r="Y2131" s="612"/>
      <c r="Z2131" s="241"/>
    </row>
    <row r="2132" spans="1:26" s="240" customFormat="1">
      <c r="A2132" s="316"/>
      <c r="B2132" s="239"/>
      <c r="C2132" s="516"/>
      <c r="D2132" s="757"/>
      <c r="E2132" s="518"/>
      <c r="R2132" s="110"/>
      <c r="S2132" s="139"/>
      <c r="T2132" s="139"/>
      <c r="U2132" s="139"/>
      <c r="V2132" s="139"/>
      <c r="W2132" s="93"/>
      <c r="X2132" s="520"/>
      <c r="Y2132" s="612"/>
      <c r="Z2132" s="241"/>
    </row>
  </sheetData>
  <protectedRanges>
    <protectedRange sqref="C1:H3 J1:L3 N1:P3 S1:U3" name="Range1_2_1"/>
    <protectedRange sqref="J4:L4 N4:P4 S4:U4 F4:H4" name="Range2_2_1_1"/>
    <protectedRange sqref="J4:L4 N4:P4 S4:U4 F4:H4" name="Range1_5_1_1"/>
    <protectedRange sqref="B1:B3" name="Range1_1_1_2_1"/>
    <protectedRange sqref="B4" name="Range2_2_1_1_1_1_2_1"/>
    <protectedRange sqref="B4" name="Range1_5_1_1_1_1_2_1"/>
    <protectedRange sqref="C4" name="Range2_2_1_3_1_1_1"/>
    <protectedRange sqref="C4" name="Range1_5_1_3_1_1_1"/>
  </protectedRanges>
  <autoFilter ref="A7:AK2065">
    <filterColumn colId="24">
      <customFilters>
        <customFilter operator="notEqual" val=" "/>
      </customFilters>
    </filterColumn>
    <filterColumn colId="25"/>
  </autoFilter>
  <mergeCells count="80">
    <mergeCell ref="C8:E8"/>
    <mergeCell ref="C32:E32"/>
    <mergeCell ref="C38:E38"/>
    <mergeCell ref="C39:E39"/>
    <mergeCell ref="C41:E41"/>
    <mergeCell ref="C1762:E1762"/>
    <mergeCell ref="C809:E809"/>
    <mergeCell ref="C934:E934"/>
    <mergeCell ref="C999:E999"/>
    <mergeCell ref="C1154:E1154"/>
    <mergeCell ref="C1234:E1234"/>
    <mergeCell ref="C1299:E1299"/>
    <mergeCell ref="C1139:E1139"/>
    <mergeCell ref="C1172:E1172"/>
    <mergeCell ref="C1219:E1219"/>
    <mergeCell ref="C1252:E1252"/>
    <mergeCell ref="C1723:E1723"/>
    <mergeCell ref="C1727:E1727"/>
    <mergeCell ref="C1734:E1734"/>
    <mergeCell ref="C1737:E1737"/>
    <mergeCell ref="C1740:E1740"/>
    <mergeCell ref="C1710:E1710"/>
    <mergeCell ref="C1714:E1714"/>
    <mergeCell ref="C1718:E1718"/>
    <mergeCell ref="C1317:E1317"/>
    <mergeCell ref="C1414:E1414"/>
    <mergeCell ref="C1686:E1686"/>
    <mergeCell ref="C1701:E1701"/>
    <mergeCell ref="C1284:E1284"/>
    <mergeCell ref="C1706:E1706"/>
    <mergeCell ref="C1349:E1349"/>
    <mergeCell ref="C1382:E1382"/>
    <mergeCell ref="C1364:E1364"/>
    <mergeCell ref="C1429:E1429"/>
    <mergeCell ref="C1627:E1627"/>
    <mergeCell ref="C1684:E1684"/>
    <mergeCell ref="C1704:E1704"/>
    <mergeCell ref="C1017:E1017"/>
    <mergeCell ref="C391:E391"/>
    <mergeCell ref="C424:E424"/>
    <mergeCell ref="C329:E329"/>
    <mergeCell ref="C952:E952"/>
    <mergeCell ref="C504:E504"/>
    <mergeCell ref="C538:E538"/>
    <mergeCell ref="C984:E984"/>
    <mergeCell ref="C714:E714"/>
    <mergeCell ref="C699:E699"/>
    <mergeCell ref="C121:E121"/>
    <mergeCell ref="C154:E154"/>
    <mergeCell ref="C216:E216"/>
    <mergeCell ref="C249:E249"/>
    <mergeCell ref="C296:E296"/>
    <mergeCell ref="F6:I6"/>
    <mergeCell ref="J6:M6"/>
    <mergeCell ref="N6:Q6"/>
    <mergeCell ref="S6:V6"/>
    <mergeCell ref="S1873:U1873"/>
    <mergeCell ref="C59:E59"/>
    <mergeCell ref="C732:E732"/>
    <mergeCell ref="C794:E794"/>
    <mergeCell ref="C827:E827"/>
    <mergeCell ref="C919:E919"/>
    <mergeCell ref="C136:E136"/>
    <mergeCell ref="C231:E231"/>
    <mergeCell ref="C587:E587"/>
    <mergeCell ref="C311:E311"/>
    <mergeCell ref="C406:E406"/>
    <mergeCell ref="C520:E520"/>
    <mergeCell ref="C619:E619"/>
    <mergeCell ref="C652:E652"/>
    <mergeCell ref="C554:E554"/>
    <mergeCell ref="C569:E569"/>
    <mergeCell ref="C634:E634"/>
    <mergeCell ref="C1831:E1831"/>
    <mergeCell ref="C1849:E1849"/>
    <mergeCell ref="C1774:E1774"/>
    <mergeCell ref="C1786:E1786"/>
    <mergeCell ref="C1799:E1799"/>
    <mergeCell ref="C1811:E1811"/>
    <mergeCell ref="C1823:E1823"/>
  </mergeCells>
  <pageMargins left="1.1000000000000001" right="0.2" top="0.18" bottom="0.32" header="0.17" footer="0.16"/>
  <pageSetup paperSize="5" scale="70" fitToHeight="20" orientation="landscape" horizontalDpi="300" verticalDpi="300" r:id="rId1"/>
  <headerFooter>
    <oddFooter>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6">
    <tabColor rgb="FF92D050"/>
  </sheetPr>
  <dimension ref="A1:BA47"/>
  <sheetViews>
    <sheetView workbookViewId="0">
      <pane xSplit="1" ySplit="7" topLeftCell="AN32" activePane="bottomRight" state="frozen"/>
      <selection pane="topRight" activeCell="B1" sqref="B1"/>
      <selection pane="bottomLeft" activeCell="A8" sqref="A8"/>
      <selection pane="bottomRight" activeCell="AX46" sqref="AX46"/>
    </sheetView>
  </sheetViews>
  <sheetFormatPr defaultRowHeight="15"/>
  <cols>
    <col min="1" max="1" width="44.28515625" style="17" customWidth="1"/>
    <col min="2" max="2" width="18.28515625" style="852" customWidth="1"/>
    <col min="3" max="3" width="18" style="852" customWidth="1"/>
    <col min="4" max="4" width="17.85546875" style="852" customWidth="1"/>
    <col min="5" max="5" width="18.5703125" style="852" bestFit="1" customWidth="1"/>
    <col min="6" max="6" width="5.7109375" style="852" hidden="1" customWidth="1"/>
    <col min="7" max="7" width="7.7109375" style="852" hidden="1" customWidth="1"/>
    <col min="8" max="8" width="5.7109375" style="852" hidden="1" customWidth="1"/>
    <col min="9" max="9" width="8.28515625" style="852" hidden="1" customWidth="1"/>
    <col min="10" max="10" width="17.5703125" style="852" hidden="1" customWidth="1"/>
    <col min="11" max="13" width="18.5703125" style="852" hidden="1" customWidth="1"/>
    <col min="14" max="14" width="17.5703125" style="852" bestFit="1" customWidth="1"/>
    <col min="15" max="16" width="18.5703125" style="852" customWidth="1"/>
    <col min="17" max="17" width="18.5703125" style="852" bestFit="1" customWidth="1"/>
    <col min="18" max="18" width="5.7109375" style="852" hidden="1" customWidth="1"/>
    <col min="19" max="19" width="7.7109375" style="852" hidden="1" customWidth="1"/>
    <col min="20" max="20" width="5.7109375" style="852" hidden="1" customWidth="1"/>
    <col min="21" max="21" width="8.28515625" style="852" hidden="1" customWidth="1"/>
    <col min="22" max="22" width="12.85546875" style="852" bestFit="1" customWidth="1"/>
    <col min="23" max="25" width="18.28515625" style="852" bestFit="1" customWidth="1"/>
    <col min="26" max="26" width="17.5703125" style="852" bestFit="1" customWidth="1"/>
    <col min="27" max="29" width="18.5703125" style="852" bestFit="1" customWidth="1"/>
    <col min="30" max="32" width="17.5703125" style="852" hidden="1" customWidth="1"/>
    <col min="33" max="33" width="18.5703125" style="852" hidden="1" customWidth="1"/>
    <col min="34" max="34" width="12.140625" style="852" hidden="1" customWidth="1"/>
    <col min="35" max="37" width="17.5703125" style="852" hidden="1" customWidth="1"/>
    <col min="38" max="38" width="17.7109375" style="852" bestFit="1" customWidth="1"/>
    <col min="39" max="40" width="17.5703125" style="852" bestFit="1" customWidth="1"/>
    <col min="41" max="41" width="18.5703125" style="852" bestFit="1" customWidth="1"/>
    <col min="42" max="44" width="17.5703125" style="852" bestFit="1" customWidth="1"/>
    <col min="45" max="45" width="18.5703125" style="852" bestFit="1" customWidth="1"/>
    <col min="46" max="46" width="5.140625" style="879" bestFit="1" customWidth="1"/>
    <col min="47" max="47" width="7.5703125" style="879" bestFit="1" customWidth="1"/>
    <col min="48" max="48" width="7.28515625" style="879" customWidth="1"/>
    <col min="49" max="49" width="7.140625" style="879" bestFit="1" customWidth="1"/>
    <col min="50" max="50" width="5.7109375" style="17" bestFit="1" customWidth="1"/>
    <col min="51" max="51" width="14.85546875" style="17" bestFit="1" customWidth="1"/>
    <col min="52" max="52" width="5.7109375" style="17" bestFit="1" customWidth="1"/>
    <col min="53" max="53" width="14.85546875" style="17" bestFit="1" customWidth="1"/>
    <col min="54" max="54" width="20" style="17" customWidth="1"/>
    <col min="55" max="55" width="5.7109375" style="17" bestFit="1" customWidth="1"/>
    <col min="56" max="16384" width="9.140625" style="17"/>
  </cols>
  <sheetData>
    <row r="1" spans="1:53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910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3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3">
      <c r="A3" s="15" t="s">
        <v>1098</v>
      </c>
      <c r="B3" s="189"/>
      <c r="C3" s="908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3">
      <c r="A4" s="16"/>
      <c r="B4" s="189"/>
      <c r="C4" s="90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3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535" t="s">
        <v>52</v>
      </c>
      <c r="AU5" s="1536"/>
      <c r="AV5" s="1536"/>
      <c r="AW5" s="1537"/>
      <c r="AX5" s="1499" t="s">
        <v>58</v>
      </c>
      <c r="AY5" s="1500"/>
      <c r="AZ5" s="1500"/>
      <c r="BA5" s="1501"/>
    </row>
    <row r="6" spans="1:53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880"/>
      <c r="AU6" s="881"/>
      <c r="AV6" s="881"/>
      <c r="AW6" s="882"/>
      <c r="AX6" s="913"/>
      <c r="AY6" s="914"/>
      <c r="AZ6" s="914"/>
      <c r="BA6" s="915"/>
    </row>
    <row r="7" spans="1:53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883" t="s">
        <v>1</v>
      </c>
      <c r="AU7" s="883" t="s">
        <v>2</v>
      </c>
      <c r="AV7" s="883" t="s">
        <v>3</v>
      </c>
      <c r="AW7" s="883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3" s="903" customFormat="1" ht="16.5">
      <c r="A8" s="901" t="s">
        <v>441</v>
      </c>
      <c r="B8" s="868">
        <f>SUM(B9:B20)</f>
        <v>2881546000</v>
      </c>
      <c r="C8" s="868">
        <f t="shared" ref="C8:AN8" si="0">SUM(C9:C20)</f>
        <v>1198130000</v>
      </c>
      <c r="D8" s="868">
        <f t="shared" si="0"/>
        <v>0</v>
      </c>
      <c r="E8" s="868">
        <f t="shared" ref="E8:E42" si="1">SUM(B8:D8)</f>
        <v>4079676000</v>
      </c>
      <c r="F8" s="868">
        <f t="shared" si="0"/>
        <v>49040671</v>
      </c>
      <c r="G8" s="868">
        <f t="shared" si="0"/>
        <v>-49040671</v>
      </c>
      <c r="H8" s="868">
        <f t="shared" si="0"/>
        <v>0</v>
      </c>
      <c r="I8" s="868">
        <f t="shared" si="0"/>
        <v>0</v>
      </c>
      <c r="J8" s="868">
        <f t="shared" si="0"/>
        <v>2930586671</v>
      </c>
      <c r="K8" s="868">
        <f t="shared" si="0"/>
        <v>1149089329</v>
      </c>
      <c r="L8" s="868">
        <f t="shared" si="0"/>
        <v>0</v>
      </c>
      <c r="M8" s="868">
        <f t="shared" si="0"/>
        <v>4079676000</v>
      </c>
      <c r="N8" s="868">
        <f t="shared" si="0"/>
        <v>2930586671</v>
      </c>
      <c r="O8" s="868">
        <f t="shared" si="0"/>
        <v>1149089329</v>
      </c>
      <c r="P8" s="868">
        <f t="shared" si="0"/>
        <v>0</v>
      </c>
      <c r="Q8" s="868">
        <f t="shared" ref="Q8:Q42" si="2">SUM(N8:P8)</f>
        <v>4079676000</v>
      </c>
      <c r="R8" s="868">
        <f t="shared" si="0"/>
        <v>0</v>
      </c>
      <c r="S8" s="868">
        <f t="shared" si="0"/>
        <v>0</v>
      </c>
      <c r="T8" s="868">
        <f t="shared" si="0"/>
        <v>0</v>
      </c>
      <c r="U8" s="868">
        <f t="shared" si="0"/>
        <v>0</v>
      </c>
      <c r="V8" s="868">
        <f t="shared" si="0"/>
        <v>0</v>
      </c>
      <c r="W8" s="868">
        <f t="shared" si="0"/>
        <v>656279868</v>
      </c>
      <c r="X8" s="868">
        <f t="shared" si="0"/>
        <v>1991669435.0999999</v>
      </c>
      <c r="Y8" s="868">
        <f t="shared" ref="Y8:Y42" si="3">SUM(V8:X8)</f>
        <v>2647949303.0999999</v>
      </c>
      <c r="Z8" s="868">
        <f t="shared" si="0"/>
        <v>2930586671</v>
      </c>
      <c r="AA8" s="868">
        <f t="shared" si="0"/>
        <v>1805369197</v>
      </c>
      <c r="AB8" s="868">
        <f t="shared" si="0"/>
        <v>1991669435.0999999</v>
      </c>
      <c r="AC8" s="868">
        <f t="shared" ref="AC8:AC42" si="4">SUM(Z8:AB8)</f>
        <v>6727625303.1000004</v>
      </c>
      <c r="AD8" s="868">
        <f t="shared" si="0"/>
        <v>2743308772.8400002</v>
      </c>
      <c r="AE8" s="868">
        <f t="shared" si="0"/>
        <v>990988297.47000003</v>
      </c>
      <c r="AF8" s="868">
        <f t="shared" si="0"/>
        <v>0</v>
      </c>
      <c r="AG8" s="868">
        <f t="shared" si="0"/>
        <v>3734297070.3100004</v>
      </c>
      <c r="AH8" s="868">
        <f t="shared" si="0"/>
        <v>0</v>
      </c>
      <c r="AI8" s="868">
        <f t="shared" si="0"/>
        <v>501760548.38000005</v>
      </c>
      <c r="AJ8" s="868">
        <f t="shared" si="0"/>
        <v>668343608.60000002</v>
      </c>
      <c r="AK8" s="868">
        <f t="shared" si="0"/>
        <v>1170104156.9799998</v>
      </c>
      <c r="AL8" s="868">
        <f t="shared" si="0"/>
        <v>2743308772.8400002</v>
      </c>
      <c r="AM8" s="868">
        <f t="shared" si="0"/>
        <v>1492748845.8499999</v>
      </c>
      <c r="AN8" s="868">
        <f t="shared" si="0"/>
        <v>668343608.60000002</v>
      </c>
      <c r="AO8" s="868">
        <f t="shared" ref="AO8:AO42" si="5">SUM(AL8:AN8)</f>
        <v>4904401227.29</v>
      </c>
      <c r="AP8" s="868">
        <f t="shared" ref="AP8:AR13" si="6">+Z8-AL8</f>
        <v>187277898.15999985</v>
      </c>
      <c r="AQ8" s="868">
        <f t="shared" si="6"/>
        <v>312620351.1500001</v>
      </c>
      <c r="AR8" s="868">
        <f t="shared" si="6"/>
        <v>1323325826.5</v>
      </c>
      <c r="AS8" s="868">
        <f t="shared" ref="AS8:AS42" si="7">SUM(AP8:AR8)</f>
        <v>1823224075.8099999</v>
      </c>
      <c r="AT8" s="911">
        <f t="shared" ref="AT8:AW42" si="8">IF(Z8=0," ",AL8/Z8)</f>
        <v>0.9360954241643038</v>
      </c>
      <c r="AU8" s="911">
        <f t="shared" si="8"/>
        <v>0.82683854822078251</v>
      </c>
      <c r="AV8" s="911">
        <f t="shared" si="8"/>
        <v>0.33556954624171509</v>
      </c>
      <c r="AW8" s="911">
        <f t="shared" si="8"/>
        <v>0.7289944083286144</v>
      </c>
      <c r="AX8" s="22">
        <f t="shared" ref="AX8:AZ13" si="9">+J8-N8</f>
        <v>0</v>
      </c>
      <c r="AY8" s="22">
        <f t="shared" si="9"/>
        <v>0</v>
      </c>
      <c r="AZ8" s="22">
        <f t="shared" si="9"/>
        <v>0</v>
      </c>
      <c r="BA8" s="22">
        <f t="shared" ref="BA8:BA42" si="10">SUM(AX8:AZ8)</f>
        <v>0</v>
      </c>
    </row>
    <row r="9" spans="1:53" s="16" customFormat="1">
      <c r="A9" s="900" t="s">
        <v>960</v>
      </c>
      <c r="B9" s="859">
        <f>+'SUMM BY CLUSTER- CURRENT'!B20</f>
        <v>359352000</v>
      </c>
      <c r="C9" s="859">
        <f>+'SUMM BY CLUSTER- CURRENT'!C20</f>
        <v>105914000</v>
      </c>
      <c r="D9" s="859">
        <f>+'SUMM BY CLUSTER- CURRENT'!D20</f>
        <v>0</v>
      </c>
      <c r="E9" s="859">
        <f t="shared" si="1"/>
        <v>465266000</v>
      </c>
      <c r="F9" s="859">
        <f>+'CY-FUR (REG)- Detail'!G68</f>
        <v>12694555</v>
      </c>
      <c r="G9" s="859">
        <f>+'CY-FUR (REG)- Detail'!H68</f>
        <v>-12694555</v>
      </c>
      <c r="H9" s="859">
        <f>+'CY-FUR (REG)- Detail'!I68</f>
        <v>0</v>
      </c>
      <c r="I9" s="859">
        <f t="shared" ref="I9" si="11">SUM(F9:H9)</f>
        <v>0</v>
      </c>
      <c r="J9" s="859">
        <f t="shared" ref="J9:L20" si="12">+B9+F9</f>
        <v>372046555</v>
      </c>
      <c r="K9" s="859">
        <f t="shared" si="12"/>
        <v>93219445</v>
      </c>
      <c r="L9" s="859">
        <f t="shared" si="12"/>
        <v>0</v>
      </c>
      <c r="M9" s="859">
        <f t="shared" ref="M9" si="13">SUM(J9:L9)</f>
        <v>465266000</v>
      </c>
      <c r="N9" s="859">
        <f>+'SUMM BY CLUSTER- CURRENT'!N20</f>
        <v>372046555</v>
      </c>
      <c r="O9" s="859">
        <f>+'SUMM BY CLUSTER- CURRENT'!O20</f>
        <v>93219445</v>
      </c>
      <c r="P9" s="859">
        <f>+'SUMM BY CLUSTER- CURRENT'!P20</f>
        <v>0</v>
      </c>
      <c r="Q9" s="859">
        <f t="shared" si="2"/>
        <v>465266000</v>
      </c>
      <c r="R9" s="859">
        <f>+'SUMM BY CLUSTER- CURRENT'!R20</f>
        <v>0</v>
      </c>
      <c r="S9" s="859">
        <f>+'SUMM BY CLUSTER- CURRENT'!S20</f>
        <v>0</v>
      </c>
      <c r="T9" s="859">
        <f>+'SUMM BY CLUSTER- CURRENT'!T20</f>
        <v>0</v>
      </c>
      <c r="U9" s="859">
        <f>SUM(R9:T9)</f>
        <v>0</v>
      </c>
      <c r="V9" s="859">
        <f>+'SUMM BY CLUSTER- CURRENT'!V20</f>
        <v>0</v>
      </c>
      <c r="W9" s="859">
        <f>+'SUMM BY CLUSTER- CURRENT'!W20</f>
        <v>42600000</v>
      </c>
      <c r="X9" s="859">
        <f>+'SUMM BY CLUSTER- CURRENT'!X20</f>
        <v>115000000</v>
      </c>
      <c r="Y9" s="859">
        <f t="shared" si="3"/>
        <v>157600000</v>
      </c>
      <c r="Z9" s="859">
        <f t="shared" ref="Z9:AB20" si="14">+N9+V9+R9</f>
        <v>372046555</v>
      </c>
      <c r="AA9" s="859">
        <f t="shared" si="14"/>
        <v>135819445</v>
      </c>
      <c r="AB9" s="859">
        <f t="shared" si="14"/>
        <v>115000000</v>
      </c>
      <c r="AC9" s="859">
        <f t="shared" si="4"/>
        <v>622866000</v>
      </c>
      <c r="AD9" s="859">
        <f>+'SUMM BY CLUSTER- CURRENT'!AD20</f>
        <v>338318736.92000002</v>
      </c>
      <c r="AE9" s="859">
        <f>+'SUMM BY CLUSTER- CURRENT'!AE20</f>
        <v>69571794.229999989</v>
      </c>
      <c r="AF9" s="859">
        <f>+'SUMM BY CLUSTER- CURRENT'!AF20</f>
        <v>0</v>
      </c>
      <c r="AG9" s="859">
        <f>SUM(AD9:AF9)</f>
        <v>407890531.14999998</v>
      </c>
      <c r="AH9" s="859">
        <f>+'SUMM BY CLUSTER- CURRENT'!AH20</f>
        <v>0</v>
      </c>
      <c r="AI9" s="859">
        <f>+'SUMM BY CLUSTER- CURRENT'!AI20</f>
        <v>25919506.360000003</v>
      </c>
      <c r="AJ9" s="859">
        <f>+'SUMM BY CLUSTER- CURRENT'!AJ20</f>
        <v>74967988.280000001</v>
      </c>
      <c r="AK9" s="859">
        <f>SUM(AH9:AJ9)</f>
        <v>100887494.64</v>
      </c>
      <c r="AL9" s="859">
        <f t="shared" ref="AL9:AN20" si="15">+AH9+AD9</f>
        <v>338318736.92000002</v>
      </c>
      <c r="AM9" s="859">
        <f t="shared" si="15"/>
        <v>95491300.589999989</v>
      </c>
      <c r="AN9" s="859">
        <f t="shared" si="15"/>
        <v>74967988.280000001</v>
      </c>
      <c r="AO9" s="859">
        <f t="shared" si="5"/>
        <v>508778025.78999996</v>
      </c>
      <c r="AP9" s="859">
        <f t="shared" si="6"/>
        <v>33727818.079999983</v>
      </c>
      <c r="AQ9" s="859">
        <f t="shared" si="6"/>
        <v>40328144.410000011</v>
      </c>
      <c r="AR9" s="859">
        <f t="shared" si="6"/>
        <v>40032011.719999999</v>
      </c>
      <c r="AS9" s="859">
        <f t="shared" si="7"/>
        <v>114087974.20999999</v>
      </c>
      <c r="AT9" s="885">
        <f t="shared" si="8"/>
        <v>0.90934516762290685</v>
      </c>
      <c r="AU9" s="885">
        <f t="shared" si="8"/>
        <v>0.70307532614346924</v>
      </c>
      <c r="AV9" s="885">
        <f t="shared" si="8"/>
        <v>0.65189555026086954</v>
      </c>
      <c r="AW9" s="885">
        <f t="shared" si="8"/>
        <v>0.81683383872293558</v>
      </c>
      <c r="AX9" s="22">
        <f t="shared" si="9"/>
        <v>0</v>
      </c>
      <c r="AY9" s="22">
        <f t="shared" si="9"/>
        <v>0</v>
      </c>
      <c r="AZ9" s="22">
        <f t="shared" si="9"/>
        <v>0</v>
      </c>
      <c r="BA9" s="22">
        <f t="shared" si="10"/>
        <v>0</v>
      </c>
    </row>
    <row r="10" spans="1:53" s="16" customFormat="1">
      <c r="A10" s="900" t="s">
        <v>961</v>
      </c>
      <c r="B10" s="859">
        <f>+'SUMM BY CLUSTER- CURRENT'!B21</f>
        <v>182139000</v>
      </c>
      <c r="C10" s="859">
        <f>+'SUMM BY CLUSTER- CURRENT'!C21</f>
        <v>68763000</v>
      </c>
      <c r="D10" s="859">
        <f>+'SUMM BY CLUSTER- CURRENT'!D21</f>
        <v>0</v>
      </c>
      <c r="E10" s="859">
        <f t="shared" si="1"/>
        <v>250902000</v>
      </c>
      <c r="F10" s="859">
        <f>+'CY-FUR (REG)- Detail'!G69</f>
        <v>0</v>
      </c>
      <c r="G10" s="859">
        <f>+'CY-FUR (REG)- Detail'!H69</f>
        <v>0</v>
      </c>
      <c r="H10" s="859">
        <f>+'CY-FUR (REG)- Detail'!I69</f>
        <v>0</v>
      </c>
      <c r="I10" s="859">
        <f t="shared" ref="I10:I20" si="16">SUM(F10:H10)</f>
        <v>0</v>
      </c>
      <c r="J10" s="859">
        <f t="shared" si="12"/>
        <v>182139000</v>
      </c>
      <c r="K10" s="859">
        <f t="shared" si="12"/>
        <v>68763000</v>
      </c>
      <c r="L10" s="859">
        <f t="shared" si="12"/>
        <v>0</v>
      </c>
      <c r="M10" s="859">
        <f t="shared" ref="M10:M20" si="17">SUM(J10:L10)</f>
        <v>250902000</v>
      </c>
      <c r="N10" s="859">
        <f>+'SUMM BY CLUSTER- CURRENT'!N21</f>
        <v>182139000</v>
      </c>
      <c r="O10" s="859">
        <f>+'SUMM BY CLUSTER- CURRENT'!O21</f>
        <v>68763000</v>
      </c>
      <c r="P10" s="859">
        <f>+'SUMM BY CLUSTER- CURRENT'!P21</f>
        <v>0</v>
      </c>
      <c r="Q10" s="859">
        <f t="shared" si="2"/>
        <v>250902000</v>
      </c>
      <c r="R10" s="859">
        <f>+'SUMM BY CLUSTER- CURRENT'!R21</f>
        <v>0</v>
      </c>
      <c r="S10" s="859">
        <f>+'SUMM BY CLUSTER- CURRENT'!S21</f>
        <v>0</v>
      </c>
      <c r="T10" s="859">
        <f>+'SUMM BY CLUSTER- CURRENT'!T21</f>
        <v>0</v>
      </c>
      <c r="U10" s="859">
        <f t="shared" ref="U10:U20" si="18">SUM(R10:T10)</f>
        <v>0</v>
      </c>
      <c r="V10" s="859">
        <f>+'SUMM BY CLUSTER- CURRENT'!V21</f>
        <v>0</v>
      </c>
      <c r="W10" s="859">
        <f>+'SUMM BY CLUSTER- CURRENT'!W21</f>
        <v>91242000</v>
      </c>
      <c r="X10" s="859">
        <f>+'SUMM BY CLUSTER- CURRENT'!X21</f>
        <v>55000000</v>
      </c>
      <c r="Y10" s="859">
        <f t="shared" si="3"/>
        <v>146242000</v>
      </c>
      <c r="Z10" s="859">
        <f t="shared" si="14"/>
        <v>182139000</v>
      </c>
      <c r="AA10" s="859">
        <f t="shared" si="14"/>
        <v>160005000</v>
      </c>
      <c r="AB10" s="859">
        <f t="shared" si="14"/>
        <v>55000000</v>
      </c>
      <c r="AC10" s="859">
        <f t="shared" si="4"/>
        <v>397144000</v>
      </c>
      <c r="AD10" s="859">
        <f>+'SUMM BY CLUSTER- CURRENT'!AD21</f>
        <v>172186343.55999997</v>
      </c>
      <c r="AE10" s="859">
        <f>+'SUMM BY CLUSTER- CURRENT'!AE21</f>
        <v>67395842.020000011</v>
      </c>
      <c r="AF10" s="859">
        <f>+'SUMM BY CLUSTER- CURRENT'!AF21</f>
        <v>0</v>
      </c>
      <c r="AG10" s="859">
        <f t="shared" ref="AG10:AG20" si="19">SUM(AD10:AF10)</f>
        <v>239582185.57999998</v>
      </c>
      <c r="AH10" s="859">
        <f>+'SUMM BY CLUSTER- CURRENT'!AH21</f>
        <v>0</v>
      </c>
      <c r="AI10" s="859">
        <f>+'SUMM BY CLUSTER- CURRENT'!AI21</f>
        <v>84259854.929999992</v>
      </c>
      <c r="AJ10" s="859">
        <f>+'SUMM BY CLUSTER- CURRENT'!AJ21</f>
        <v>50548924.090000004</v>
      </c>
      <c r="AK10" s="859">
        <f t="shared" ref="AK10:AK20" si="20">SUM(AH10:AJ10)</f>
        <v>134808779.01999998</v>
      </c>
      <c r="AL10" s="859">
        <f t="shared" si="15"/>
        <v>172186343.55999997</v>
      </c>
      <c r="AM10" s="859">
        <f t="shared" si="15"/>
        <v>151655696.94999999</v>
      </c>
      <c r="AN10" s="859">
        <f t="shared" si="15"/>
        <v>50548924.090000004</v>
      </c>
      <c r="AO10" s="859">
        <f t="shared" si="5"/>
        <v>374390964.60000002</v>
      </c>
      <c r="AP10" s="859">
        <f t="shared" si="6"/>
        <v>9952656.4400000274</v>
      </c>
      <c r="AQ10" s="859">
        <f t="shared" si="6"/>
        <v>8349303.0500000119</v>
      </c>
      <c r="AR10" s="859">
        <f t="shared" si="6"/>
        <v>4451075.9099999964</v>
      </c>
      <c r="AS10" s="859">
        <f t="shared" si="7"/>
        <v>22753035.400000036</v>
      </c>
      <c r="AT10" s="885">
        <f t="shared" si="8"/>
        <v>0.94535680749317819</v>
      </c>
      <c r="AU10" s="885">
        <f t="shared" si="8"/>
        <v>0.9478184866097934</v>
      </c>
      <c r="AV10" s="885">
        <f t="shared" si="8"/>
        <v>0.91907134709090921</v>
      </c>
      <c r="AW10" s="885">
        <f t="shared" si="8"/>
        <v>0.94270834911266443</v>
      </c>
      <c r="AX10" s="22">
        <f t="shared" si="9"/>
        <v>0</v>
      </c>
      <c r="AY10" s="22">
        <f t="shared" si="9"/>
        <v>0</v>
      </c>
      <c r="AZ10" s="22">
        <f t="shared" si="9"/>
        <v>0</v>
      </c>
      <c r="BA10" s="22">
        <f t="shared" si="10"/>
        <v>0</v>
      </c>
    </row>
    <row r="11" spans="1:53" s="16" customFormat="1">
      <c r="A11" s="900" t="s">
        <v>962</v>
      </c>
      <c r="B11" s="859">
        <f>+'SUMM BY CLUSTER- CURRENT'!B22</f>
        <v>353528000</v>
      </c>
      <c r="C11" s="859">
        <f>+'SUMM BY CLUSTER- CURRENT'!C22</f>
        <v>137890000</v>
      </c>
      <c r="D11" s="859">
        <f>+'SUMM BY CLUSTER- CURRENT'!D22</f>
        <v>0</v>
      </c>
      <c r="E11" s="859">
        <f t="shared" si="1"/>
        <v>491418000</v>
      </c>
      <c r="F11" s="859">
        <f>+'CY-FUR (REG)- Detail'!G70</f>
        <v>0</v>
      </c>
      <c r="G11" s="859">
        <f>+'CY-FUR (REG)- Detail'!H70</f>
        <v>0</v>
      </c>
      <c r="H11" s="859">
        <f>+'CY-FUR (REG)- Detail'!I70</f>
        <v>0</v>
      </c>
      <c r="I11" s="859">
        <f t="shared" si="16"/>
        <v>0</v>
      </c>
      <c r="J11" s="859">
        <f t="shared" si="12"/>
        <v>353528000</v>
      </c>
      <c r="K11" s="859">
        <f t="shared" si="12"/>
        <v>137890000</v>
      </c>
      <c r="L11" s="859">
        <f t="shared" si="12"/>
        <v>0</v>
      </c>
      <c r="M11" s="859">
        <f t="shared" si="17"/>
        <v>491418000</v>
      </c>
      <c r="N11" s="859">
        <f>+'SUMM BY CLUSTER- CURRENT'!N22</f>
        <v>353528000</v>
      </c>
      <c r="O11" s="859">
        <f>+'SUMM BY CLUSTER- CURRENT'!O22</f>
        <v>137890000</v>
      </c>
      <c r="P11" s="859">
        <f>+'SUMM BY CLUSTER- CURRENT'!P22</f>
        <v>0</v>
      </c>
      <c r="Q11" s="859">
        <f t="shared" si="2"/>
        <v>491418000</v>
      </c>
      <c r="R11" s="859">
        <f>+'SUMM BY CLUSTER- CURRENT'!R22</f>
        <v>0</v>
      </c>
      <c r="S11" s="859">
        <f>+'SUMM BY CLUSTER- CURRENT'!S22</f>
        <v>0</v>
      </c>
      <c r="T11" s="859">
        <f>+'SUMM BY CLUSTER- CURRENT'!T22</f>
        <v>0</v>
      </c>
      <c r="U11" s="859">
        <f t="shared" si="18"/>
        <v>0</v>
      </c>
      <c r="V11" s="859">
        <f>+'SUMM BY CLUSTER- CURRENT'!V22</f>
        <v>0</v>
      </c>
      <c r="W11" s="859">
        <f>+'SUMM BY CLUSTER- CURRENT'!W22</f>
        <v>104428458</v>
      </c>
      <c r="X11" s="859">
        <f>+'SUMM BY CLUSTER- CURRENT'!X22</f>
        <v>231448322</v>
      </c>
      <c r="Y11" s="859">
        <f t="shared" si="3"/>
        <v>335876780</v>
      </c>
      <c r="Z11" s="859">
        <f t="shared" si="14"/>
        <v>353528000</v>
      </c>
      <c r="AA11" s="859">
        <f t="shared" si="14"/>
        <v>242318458</v>
      </c>
      <c r="AB11" s="859">
        <f t="shared" si="14"/>
        <v>231448322</v>
      </c>
      <c r="AC11" s="859">
        <f t="shared" si="4"/>
        <v>827294780</v>
      </c>
      <c r="AD11" s="859">
        <f>+'SUMM BY CLUSTER- CURRENT'!AD22</f>
        <v>343726463.06</v>
      </c>
      <c r="AE11" s="859">
        <f>+'SUMM BY CLUSTER- CURRENT'!AE22</f>
        <v>129557540.55</v>
      </c>
      <c r="AF11" s="859">
        <f>+'SUMM BY CLUSTER- CURRENT'!AF22</f>
        <v>0</v>
      </c>
      <c r="AG11" s="859">
        <f t="shared" si="19"/>
        <v>473284003.61000001</v>
      </c>
      <c r="AH11" s="859">
        <f>+'SUMM BY CLUSTER- CURRENT'!AH22</f>
        <v>0</v>
      </c>
      <c r="AI11" s="859">
        <f>+'SUMM BY CLUSTER- CURRENT'!AI22</f>
        <v>79877802.289999992</v>
      </c>
      <c r="AJ11" s="859">
        <f>+'SUMM BY CLUSTER- CURRENT'!AJ22</f>
        <v>227749770.18000001</v>
      </c>
      <c r="AK11" s="859">
        <f t="shared" si="20"/>
        <v>307627572.47000003</v>
      </c>
      <c r="AL11" s="859">
        <f t="shared" si="15"/>
        <v>343726463.06</v>
      </c>
      <c r="AM11" s="859">
        <f t="shared" si="15"/>
        <v>209435342.83999997</v>
      </c>
      <c r="AN11" s="859">
        <f t="shared" si="15"/>
        <v>227749770.18000001</v>
      </c>
      <c r="AO11" s="859">
        <f t="shared" si="5"/>
        <v>780911576.07999992</v>
      </c>
      <c r="AP11" s="859">
        <f t="shared" si="6"/>
        <v>9801536.9399999976</v>
      </c>
      <c r="AQ11" s="859">
        <f t="shared" si="6"/>
        <v>32883115.160000026</v>
      </c>
      <c r="AR11" s="859">
        <f t="shared" si="6"/>
        <v>3698551.8199999928</v>
      </c>
      <c r="AS11" s="859">
        <f t="shared" si="7"/>
        <v>46383203.920000017</v>
      </c>
      <c r="AT11" s="885">
        <f t="shared" si="8"/>
        <v>0.97227507597700891</v>
      </c>
      <c r="AU11" s="885">
        <f t="shared" si="8"/>
        <v>0.86429793491010076</v>
      </c>
      <c r="AV11" s="885">
        <f t="shared" si="8"/>
        <v>0.98401996701449412</v>
      </c>
      <c r="AW11" s="885">
        <f t="shared" si="8"/>
        <v>0.94393388542835954</v>
      </c>
      <c r="AX11" s="22">
        <f t="shared" si="9"/>
        <v>0</v>
      </c>
      <c r="AY11" s="22">
        <f t="shared" si="9"/>
        <v>0</v>
      </c>
      <c r="AZ11" s="22">
        <f t="shared" si="9"/>
        <v>0</v>
      </c>
      <c r="BA11" s="22">
        <f t="shared" si="10"/>
        <v>0</v>
      </c>
    </row>
    <row r="12" spans="1:53" s="16" customFormat="1">
      <c r="A12" s="900" t="s">
        <v>963</v>
      </c>
      <c r="B12" s="859">
        <f>+'SUMM BY CLUSTER- CURRENT'!B23</f>
        <v>181120000</v>
      </c>
      <c r="C12" s="859">
        <f>+'SUMM BY CLUSTER- CURRENT'!C23</f>
        <v>69544000</v>
      </c>
      <c r="D12" s="859">
        <f>+'SUMM BY CLUSTER- CURRENT'!D23</f>
        <v>0</v>
      </c>
      <c r="E12" s="859">
        <f t="shared" si="1"/>
        <v>250664000</v>
      </c>
      <c r="F12" s="859">
        <f>+'CY-FUR (REG)- Detail'!G71</f>
        <v>0</v>
      </c>
      <c r="G12" s="859">
        <f>+'CY-FUR (REG)- Detail'!H71</f>
        <v>0</v>
      </c>
      <c r="H12" s="859">
        <f>+'CY-FUR (REG)- Detail'!I71</f>
        <v>0</v>
      </c>
      <c r="I12" s="859">
        <f t="shared" si="16"/>
        <v>0</v>
      </c>
      <c r="J12" s="859">
        <f t="shared" si="12"/>
        <v>181120000</v>
      </c>
      <c r="K12" s="859">
        <f t="shared" si="12"/>
        <v>69544000</v>
      </c>
      <c r="L12" s="859">
        <f t="shared" si="12"/>
        <v>0</v>
      </c>
      <c r="M12" s="859">
        <f t="shared" si="17"/>
        <v>250664000</v>
      </c>
      <c r="N12" s="859">
        <f>+'SUMM BY CLUSTER- CURRENT'!N23</f>
        <v>181120000</v>
      </c>
      <c r="O12" s="859">
        <f>+'SUMM BY CLUSTER- CURRENT'!O23</f>
        <v>69544000</v>
      </c>
      <c r="P12" s="859">
        <f>+'SUMM BY CLUSTER- CURRENT'!P23</f>
        <v>0</v>
      </c>
      <c r="Q12" s="859">
        <f t="shared" si="2"/>
        <v>250664000</v>
      </c>
      <c r="R12" s="859">
        <f>+'SUMM BY CLUSTER- CURRENT'!R23</f>
        <v>0</v>
      </c>
      <c r="S12" s="859">
        <f>+'SUMM BY CLUSTER- CURRENT'!S23</f>
        <v>0</v>
      </c>
      <c r="T12" s="859">
        <f>+'SUMM BY CLUSTER- CURRENT'!T23</f>
        <v>0</v>
      </c>
      <c r="U12" s="859">
        <f t="shared" si="18"/>
        <v>0</v>
      </c>
      <c r="V12" s="859">
        <f>+'SUMM BY CLUSTER- CURRENT'!V23</f>
        <v>0</v>
      </c>
      <c r="W12" s="859">
        <f>+'SUMM BY CLUSTER- CURRENT'!W23</f>
        <v>26836000</v>
      </c>
      <c r="X12" s="859">
        <f>+'SUMM BY CLUSTER- CURRENT'!X23</f>
        <v>140000000</v>
      </c>
      <c r="Y12" s="859">
        <f t="shared" si="3"/>
        <v>166836000</v>
      </c>
      <c r="Z12" s="859">
        <f t="shared" si="14"/>
        <v>181120000</v>
      </c>
      <c r="AA12" s="859">
        <f t="shared" si="14"/>
        <v>96380000</v>
      </c>
      <c r="AB12" s="859">
        <f t="shared" si="14"/>
        <v>140000000</v>
      </c>
      <c r="AC12" s="859">
        <f t="shared" si="4"/>
        <v>417500000</v>
      </c>
      <c r="AD12" s="859">
        <f>+'SUMM BY CLUSTER- CURRENT'!AD23</f>
        <v>168580900.63</v>
      </c>
      <c r="AE12" s="859">
        <f>+'SUMM BY CLUSTER- CURRENT'!AE23</f>
        <v>41887765.219999999</v>
      </c>
      <c r="AF12" s="859">
        <f>+'SUMM BY CLUSTER- CURRENT'!AF23</f>
        <v>0</v>
      </c>
      <c r="AG12" s="859">
        <f t="shared" si="19"/>
        <v>210468665.84999999</v>
      </c>
      <c r="AH12" s="859">
        <f>+'SUMM BY CLUSTER- CURRENT'!AH23</f>
        <v>0</v>
      </c>
      <c r="AI12" s="859">
        <f>+'SUMM BY CLUSTER- CURRENT'!AI23</f>
        <v>20098682.649999999</v>
      </c>
      <c r="AJ12" s="859">
        <f>+'SUMM BY CLUSTER- CURRENT'!AJ23</f>
        <v>110724212.73999999</v>
      </c>
      <c r="AK12" s="859">
        <f t="shared" si="20"/>
        <v>130822895.38999999</v>
      </c>
      <c r="AL12" s="859">
        <f t="shared" si="15"/>
        <v>168580900.63</v>
      </c>
      <c r="AM12" s="859">
        <f t="shared" si="15"/>
        <v>61986447.869999997</v>
      </c>
      <c r="AN12" s="859">
        <f t="shared" si="15"/>
        <v>110724212.73999999</v>
      </c>
      <c r="AO12" s="859">
        <f t="shared" si="5"/>
        <v>341291561.24000001</v>
      </c>
      <c r="AP12" s="859">
        <f t="shared" si="6"/>
        <v>12539099.370000005</v>
      </c>
      <c r="AQ12" s="859">
        <f t="shared" si="6"/>
        <v>34393552.130000003</v>
      </c>
      <c r="AR12" s="859">
        <f t="shared" si="6"/>
        <v>29275787.260000005</v>
      </c>
      <c r="AS12" s="859">
        <f t="shared" si="7"/>
        <v>76208438.76000002</v>
      </c>
      <c r="AT12" s="885">
        <f t="shared" si="8"/>
        <v>0.93076910683524727</v>
      </c>
      <c r="AU12" s="885">
        <f t="shared" si="8"/>
        <v>0.64314637756796011</v>
      </c>
      <c r="AV12" s="885">
        <f t="shared" si="8"/>
        <v>0.79088723385714277</v>
      </c>
      <c r="AW12" s="885">
        <f t="shared" si="8"/>
        <v>0.81746481734131737</v>
      </c>
      <c r="AX12" s="22">
        <f t="shared" si="9"/>
        <v>0</v>
      </c>
      <c r="AY12" s="22">
        <f t="shared" si="9"/>
        <v>0</v>
      </c>
      <c r="AZ12" s="22">
        <f t="shared" si="9"/>
        <v>0</v>
      </c>
      <c r="BA12" s="22">
        <f t="shared" si="10"/>
        <v>0</v>
      </c>
    </row>
    <row r="13" spans="1:53" s="16" customFormat="1">
      <c r="A13" s="900" t="s">
        <v>964</v>
      </c>
      <c r="B13" s="859">
        <f>+'SUMM BY CLUSTER- CURRENT'!B24</f>
        <v>130115000</v>
      </c>
      <c r="C13" s="859">
        <f>+'SUMM BY CLUSTER- CURRENT'!C24</f>
        <v>46966000</v>
      </c>
      <c r="D13" s="859">
        <f>+'SUMM BY CLUSTER- CURRENT'!D24</f>
        <v>0</v>
      </c>
      <c r="E13" s="859">
        <f t="shared" si="1"/>
        <v>177081000</v>
      </c>
      <c r="F13" s="859">
        <f>+'CY-FUR (REG)- Detail'!G72</f>
        <v>0</v>
      </c>
      <c r="G13" s="859">
        <f>+'CY-FUR (REG)- Detail'!H72</f>
        <v>0</v>
      </c>
      <c r="H13" s="859">
        <f>+'CY-FUR (REG)- Detail'!I72</f>
        <v>0</v>
      </c>
      <c r="I13" s="859">
        <f t="shared" si="16"/>
        <v>0</v>
      </c>
      <c r="J13" s="859">
        <f t="shared" si="12"/>
        <v>130115000</v>
      </c>
      <c r="K13" s="859">
        <f t="shared" si="12"/>
        <v>46966000</v>
      </c>
      <c r="L13" s="859">
        <f t="shared" si="12"/>
        <v>0</v>
      </c>
      <c r="M13" s="859">
        <f t="shared" si="17"/>
        <v>177081000</v>
      </c>
      <c r="N13" s="859">
        <f>+'SUMM BY CLUSTER- CURRENT'!N24</f>
        <v>130115000</v>
      </c>
      <c r="O13" s="859">
        <f>+'SUMM BY CLUSTER- CURRENT'!O24</f>
        <v>46966000</v>
      </c>
      <c r="P13" s="859">
        <f>+'SUMM BY CLUSTER- CURRENT'!P24</f>
        <v>0</v>
      </c>
      <c r="Q13" s="859">
        <f t="shared" si="2"/>
        <v>177081000</v>
      </c>
      <c r="R13" s="859">
        <f>+'SUMM BY CLUSTER- CURRENT'!R24</f>
        <v>0</v>
      </c>
      <c r="S13" s="859">
        <f>+'SUMM BY CLUSTER- CURRENT'!S24</f>
        <v>0</v>
      </c>
      <c r="T13" s="859">
        <f>+'SUMM BY CLUSTER- CURRENT'!T24</f>
        <v>0</v>
      </c>
      <c r="U13" s="859">
        <f t="shared" si="18"/>
        <v>0</v>
      </c>
      <c r="V13" s="859">
        <f>+'SUMM BY CLUSTER- CURRENT'!V24</f>
        <v>0</v>
      </c>
      <c r="W13" s="859">
        <f>+'SUMM BY CLUSTER- CURRENT'!W24</f>
        <v>20040000</v>
      </c>
      <c r="X13" s="859">
        <f>+'SUMM BY CLUSTER- CURRENT'!X24</f>
        <v>26170000</v>
      </c>
      <c r="Y13" s="859">
        <f t="shared" si="3"/>
        <v>46210000</v>
      </c>
      <c r="Z13" s="859">
        <f t="shared" si="14"/>
        <v>130115000</v>
      </c>
      <c r="AA13" s="859">
        <f t="shared" si="14"/>
        <v>67006000</v>
      </c>
      <c r="AB13" s="859">
        <f t="shared" si="14"/>
        <v>26170000</v>
      </c>
      <c r="AC13" s="859">
        <f t="shared" si="4"/>
        <v>223291000</v>
      </c>
      <c r="AD13" s="859">
        <f>+'SUMM BY CLUSTER- CURRENT'!AD24</f>
        <v>124033581.09999998</v>
      </c>
      <c r="AE13" s="859">
        <f>+'SUMM BY CLUSTER- CURRENT'!AE24</f>
        <v>45755858.340000004</v>
      </c>
      <c r="AF13" s="859">
        <f>+'SUMM BY CLUSTER- CURRENT'!AF24</f>
        <v>0</v>
      </c>
      <c r="AG13" s="859">
        <f t="shared" si="19"/>
        <v>169789439.44</v>
      </c>
      <c r="AH13" s="859">
        <f>+'SUMM BY CLUSTER- CURRENT'!AH24</f>
        <v>0</v>
      </c>
      <c r="AI13" s="859">
        <f>+'SUMM BY CLUSTER- CURRENT'!AI24</f>
        <v>14897194.180000002</v>
      </c>
      <c r="AJ13" s="859">
        <f>+'SUMM BY CLUSTER- CURRENT'!AJ24</f>
        <v>12951802.83</v>
      </c>
      <c r="AK13" s="859">
        <f t="shared" si="20"/>
        <v>27848997.010000002</v>
      </c>
      <c r="AL13" s="859">
        <f t="shared" si="15"/>
        <v>124033581.09999998</v>
      </c>
      <c r="AM13" s="859">
        <f t="shared" si="15"/>
        <v>60653052.520000003</v>
      </c>
      <c r="AN13" s="859">
        <f t="shared" si="15"/>
        <v>12951802.83</v>
      </c>
      <c r="AO13" s="859">
        <f t="shared" si="5"/>
        <v>197638436.44999999</v>
      </c>
      <c r="AP13" s="859">
        <f t="shared" si="6"/>
        <v>6081418.9000000209</v>
      </c>
      <c r="AQ13" s="859">
        <f t="shared" si="6"/>
        <v>6352947.4799999967</v>
      </c>
      <c r="AR13" s="859">
        <f t="shared" si="6"/>
        <v>13218197.17</v>
      </c>
      <c r="AS13" s="859">
        <f t="shared" si="7"/>
        <v>25652563.550000019</v>
      </c>
      <c r="AT13" s="885">
        <f t="shared" si="8"/>
        <v>0.95326120047650142</v>
      </c>
      <c r="AU13" s="885">
        <f t="shared" si="8"/>
        <v>0.90518837895113879</v>
      </c>
      <c r="AV13" s="885">
        <f t="shared" si="8"/>
        <v>0.49491031066106228</v>
      </c>
      <c r="AW13" s="885">
        <f t="shared" si="8"/>
        <v>0.88511599862959089</v>
      </c>
      <c r="AX13" s="22">
        <f t="shared" si="9"/>
        <v>0</v>
      </c>
      <c r="AY13" s="22">
        <f t="shared" si="9"/>
        <v>0</v>
      </c>
      <c r="AZ13" s="22">
        <f t="shared" si="9"/>
        <v>0</v>
      </c>
      <c r="BA13" s="22">
        <f t="shared" si="10"/>
        <v>0</v>
      </c>
    </row>
    <row r="14" spans="1:53" s="16" customFormat="1">
      <c r="A14" s="900" t="s">
        <v>965</v>
      </c>
      <c r="B14" s="859">
        <f>+'SUMM BY CLUSTER- CURRENT'!B25</f>
        <v>312471000</v>
      </c>
      <c r="C14" s="859">
        <f>+'SUMM BY CLUSTER- CURRENT'!C25</f>
        <v>77709000</v>
      </c>
      <c r="D14" s="859">
        <f>+'SUMM BY CLUSTER- CURRENT'!D25</f>
        <v>0</v>
      </c>
      <c r="E14" s="859">
        <f t="shared" si="1"/>
        <v>390180000</v>
      </c>
      <c r="F14" s="859">
        <f>+'CY-FUR (REG)- Detail'!G73</f>
        <v>24769753</v>
      </c>
      <c r="G14" s="859">
        <f>+'CY-FUR (REG)- Detail'!H73</f>
        <v>-24769753</v>
      </c>
      <c r="H14" s="859">
        <f>+'CY-FUR (REG)- Detail'!I73</f>
        <v>0</v>
      </c>
      <c r="I14" s="859">
        <f t="shared" si="16"/>
        <v>0</v>
      </c>
      <c r="J14" s="859">
        <f t="shared" si="12"/>
        <v>337240753</v>
      </c>
      <c r="K14" s="859">
        <f t="shared" si="12"/>
        <v>52939247</v>
      </c>
      <c r="L14" s="859">
        <f t="shared" si="12"/>
        <v>0</v>
      </c>
      <c r="M14" s="859">
        <f t="shared" si="17"/>
        <v>390180000</v>
      </c>
      <c r="N14" s="859">
        <f>+'SUMM BY CLUSTER- CURRENT'!N25</f>
        <v>337240753</v>
      </c>
      <c r="O14" s="859">
        <f>+'SUMM BY CLUSTER- CURRENT'!O25</f>
        <v>52939247</v>
      </c>
      <c r="P14" s="859">
        <f>+'SUMM BY CLUSTER- CURRENT'!P25</f>
        <v>0</v>
      </c>
      <c r="Q14" s="859">
        <f t="shared" si="2"/>
        <v>390180000</v>
      </c>
      <c r="R14" s="859">
        <f>+'SUMM BY CLUSTER- CURRENT'!R25</f>
        <v>0</v>
      </c>
      <c r="S14" s="859">
        <f>+'SUMM BY CLUSTER- CURRENT'!S25</f>
        <v>0</v>
      </c>
      <c r="T14" s="859">
        <f>+'SUMM BY CLUSTER- CURRENT'!T25</f>
        <v>0</v>
      </c>
      <c r="U14" s="859">
        <f t="shared" si="18"/>
        <v>0</v>
      </c>
      <c r="V14" s="859">
        <f>+'SUMM BY CLUSTER- CURRENT'!V25</f>
        <v>0</v>
      </c>
      <c r="W14" s="859">
        <f>+'SUMM BY CLUSTER- CURRENT'!W25</f>
        <v>42912000</v>
      </c>
      <c r="X14" s="859">
        <f>+'SUMM BY CLUSTER- CURRENT'!X25</f>
        <v>750000000</v>
      </c>
      <c r="Y14" s="859">
        <f t="shared" si="3"/>
        <v>792912000</v>
      </c>
      <c r="Z14" s="859">
        <f t="shared" si="14"/>
        <v>337240753</v>
      </c>
      <c r="AA14" s="859">
        <f t="shared" si="14"/>
        <v>95851247</v>
      </c>
      <c r="AB14" s="859">
        <f t="shared" si="14"/>
        <v>750000000</v>
      </c>
      <c r="AC14" s="859">
        <f t="shared" si="4"/>
        <v>1183092000</v>
      </c>
      <c r="AD14" s="859">
        <f>+'SUMM BY CLUSTER- CURRENT'!AD25</f>
        <v>320185684.16999996</v>
      </c>
      <c r="AE14" s="859">
        <f>+'SUMM BY CLUSTER- CURRENT'!AE25</f>
        <v>44774450.359999999</v>
      </c>
      <c r="AF14" s="859">
        <f>+'SUMM BY CLUSTER- CURRENT'!AF25</f>
        <v>0</v>
      </c>
      <c r="AG14" s="859">
        <f t="shared" si="19"/>
        <v>364960134.52999997</v>
      </c>
      <c r="AH14" s="859">
        <f>+'SUMM BY CLUSTER- CURRENT'!AH25</f>
        <v>0</v>
      </c>
      <c r="AI14" s="859">
        <f>+'SUMM BY CLUSTER- CURRENT'!AI25</f>
        <v>40624267.020000003</v>
      </c>
      <c r="AJ14" s="859">
        <f>+'SUMM BY CLUSTER- CURRENT'!AJ25</f>
        <v>0</v>
      </c>
      <c r="AK14" s="859">
        <f t="shared" si="20"/>
        <v>40624267.020000003</v>
      </c>
      <c r="AL14" s="859">
        <f t="shared" si="15"/>
        <v>320185684.16999996</v>
      </c>
      <c r="AM14" s="859">
        <f t="shared" si="15"/>
        <v>85398717.379999995</v>
      </c>
      <c r="AN14" s="859">
        <f t="shared" si="15"/>
        <v>0</v>
      </c>
      <c r="AO14" s="859">
        <f t="shared" si="5"/>
        <v>405584401.54999995</v>
      </c>
      <c r="AP14" s="859">
        <f t="shared" ref="AP14:AR42" si="21">+Z14-AL14</f>
        <v>17055068.830000043</v>
      </c>
      <c r="AQ14" s="859">
        <f t="shared" si="21"/>
        <v>10452529.620000005</v>
      </c>
      <c r="AR14" s="859">
        <f t="shared" si="21"/>
        <v>750000000</v>
      </c>
      <c r="AS14" s="859">
        <f t="shared" si="7"/>
        <v>777507598.45000005</v>
      </c>
      <c r="AT14" s="885">
        <f t="shared" si="8"/>
        <v>0.949427616092412</v>
      </c>
      <c r="AU14" s="885">
        <f t="shared" si="8"/>
        <v>0.89095050980400903</v>
      </c>
      <c r="AV14" s="885">
        <f t="shared" si="8"/>
        <v>0</v>
      </c>
      <c r="AW14" s="885">
        <f t="shared" si="8"/>
        <v>0.34281729700648805</v>
      </c>
      <c r="AX14" s="22">
        <f t="shared" ref="AX14:AZ42" si="22">+J14-N14</f>
        <v>0</v>
      </c>
      <c r="AY14" s="22">
        <f t="shared" si="22"/>
        <v>0</v>
      </c>
      <c r="AZ14" s="22">
        <f t="shared" si="22"/>
        <v>0</v>
      </c>
      <c r="BA14" s="22">
        <f t="shared" si="10"/>
        <v>0</v>
      </c>
    </row>
    <row r="15" spans="1:53" s="16" customFormat="1">
      <c r="A15" s="900" t="s">
        <v>966</v>
      </c>
      <c r="B15" s="859">
        <f>+'SUMM BY CLUSTER- CURRENT'!B26</f>
        <v>143649000</v>
      </c>
      <c r="C15" s="859">
        <f>+'SUMM BY CLUSTER- CURRENT'!C26</f>
        <v>59733000</v>
      </c>
      <c r="D15" s="859">
        <f>+'SUMM BY CLUSTER- CURRENT'!D26</f>
        <v>0</v>
      </c>
      <c r="E15" s="859">
        <f t="shared" si="1"/>
        <v>203382000</v>
      </c>
      <c r="F15" s="859">
        <f>+'CY-FUR (REG)- Detail'!G74</f>
        <v>0</v>
      </c>
      <c r="G15" s="859">
        <f>+'CY-FUR (REG)- Detail'!H74</f>
        <v>0</v>
      </c>
      <c r="H15" s="859">
        <f>+'CY-FUR (REG)- Detail'!I74</f>
        <v>0</v>
      </c>
      <c r="I15" s="859">
        <f t="shared" si="16"/>
        <v>0</v>
      </c>
      <c r="J15" s="859">
        <f t="shared" si="12"/>
        <v>143649000</v>
      </c>
      <c r="K15" s="859">
        <f t="shared" si="12"/>
        <v>59733000</v>
      </c>
      <c r="L15" s="859">
        <f t="shared" si="12"/>
        <v>0</v>
      </c>
      <c r="M15" s="859">
        <f t="shared" si="17"/>
        <v>203382000</v>
      </c>
      <c r="N15" s="859">
        <f>+'SUMM BY CLUSTER- CURRENT'!N26</f>
        <v>143649000</v>
      </c>
      <c r="O15" s="859">
        <f>+'SUMM BY CLUSTER- CURRENT'!O26</f>
        <v>59733000</v>
      </c>
      <c r="P15" s="859">
        <f>+'SUMM BY CLUSTER- CURRENT'!P26</f>
        <v>0</v>
      </c>
      <c r="Q15" s="859">
        <f t="shared" si="2"/>
        <v>203382000</v>
      </c>
      <c r="R15" s="859">
        <f>+'SUMM BY CLUSTER- CURRENT'!R26</f>
        <v>0</v>
      </c>
      <c r="S15" s="859">
        <f>+'SUMM BY CLUSTER- CURRENT'!S26</f>
        <v>0</v>
      </c>
      <c r="T15" s="859">
        <f>+'SUMM BY CLUSTER- CURRENT'!T26</f>
        <v>0</v>
      </c>
      <c r="U15" s="859">
        <f t="shared" si="18"/>
        <v>0</v>
      </c>
      <c r="V15" s="859">
        <f>+'SUMM BY CLUSTER- CURRENT'!V26</f>
        <v>0</v>
      </c>
      <c r="W15" s="859">
        <f>+'SUMM BY CLUSTER- CURRENT'!W26</f>
        <v>20312000</v>
      </c>
      <c r="X15" s="859">
        <f>+'SUMM BY CLUSTER- CURRENT'!X26</f>
        <v>82000000</v>
      </c>
      <c r="Y15" s="859">
        <f t="shared" si="3"/>
        <v>102312000</v>
      </c>
      <c r="Z15" s="859">
        <f t="shared" si="14"/>
        <v>143649000</v>
      </c>
      <c r="AA15" s="859">
        <f t="shared" si="14"/>
        <v>80045000</v>
      </c>
      <c r="AB15" s="859">
        <f t="shared" si="14"/>
        <v>82000000</v>
      </c>
      <c r="AC15" s="859">
        <f t="shared" si="4"/>
        <v>305694000</v>
      </c>
      <c r="AD15" s="859">
        <f>+'SUMM BY CLUSTER- CURRENT'!AD26</f>
        <v>132623644.61999999</v>
      </c>
      <c r="AE15" s="859">
        <f>+'SUMM BY CLUSTER- CURRENT'!AE26</f>
        <v>56585842.620000005</v>
      </c>
      <c r="AF15" s="859">
        <f>+'SUMM BY CLUSTER- CURRENT'!AF26</f>
        <v>0</v>
      </c>
      <c r="AG15" s="859">
        <f t="shared" si="19"/>
        <v>189209487.24000001</v>
      </c>
      <c r="AH15" s="859">
        <f>+'SUMM BY CLUSTER- CURRENT'!AH26</f>
        <v>0</v>
      </c>
      <c r="AI15" s="859">
        <f>+'SUMM BY CLUSTER- CURRENT'!AI26</f>
        <v>20312000</v>
      </c>
      <c r="AJ15" s="859">
        <f>+'SUMM BY CLUSTER- CURRENT'!AJ26</f>
        <v>81972586.260000005</v>
      </c>
      <c r="AK15" s="859">
        <f t="shared" si="20"/>
        <v>102284586.26000001</v>
      </c>
      <c r="AL15" s="859">
        <f t="shared" si="15"/>
        <v>132623644.61999999</v>
      </c>
      <c r="AM15" s="859">
        <f t="shared" si="15"/>
        <v>76897842.620000005</v>
      </c>
      <c r="AN15" s="859">
        <f t="shared" si="15"/>
        <v>81972586.260000005</v>
      </c>
      <c r="AO15" s="859">
        <f t="shared" si="5"/>
        <v>291494073.5</v>
      </c>
      <c r="AP15" s="859">
        <f t="shared" si="21"/>
        <v>11025355.38000001</v>
      </c>
      <c r="AQ15" s="859">
        <f t="shared" si="21"/>
        <v>3147157.3799999952</v>
      </c>
      <c r="AR15" s="859">
        <f t="shared" si="21"/>
        <v>27413.739999994636</v>
      </c>
      <c r="AS15" s="859">
        <f t="shared" si="7"/>
        <v>14199926.5</v>
      </c>
      <c r="AT15" s="885">
        <f t="shared" si="8"/>
        <v>0.92324794895892059</v>
      </c>
      <c r="AU15" s="885">
        <f t="shared" si="8"/>
        <v>0.96068264876007248</v>
      </c>
      <c r="AV15" s="885">
        <f t="shared" si="8"/>
        <v>0.99966568609756101</v>
      </c>
      <c r="AW15" s="885">
        <f t="shared" si="8"/>
        <v>0.95354855999790644</v>
      </c>
      <c r="AX15" s="22">
        <f t="shared" si="22"/>
        <v>0</v>
      </c>
      <c r="AY15" s="22">
        <f t="shared" si="22"/>
        <v>0</v>
      </c>
      <c r="AZ15" s="22">
        <f t="shared" si="22"/>
        <v>0</v>
      </c>
      <c r="BA15" s="22">
        <f t="shared" si="10"/>
        <v>0</v>
      </c>
    </row>
    <row r="16" spans="1:53" s="16" customFormat="1">
      <c r="A16" s="900" t="s">
        <v>967</v>
      </c>
      <c r="B16" s="859">
        <f>+'SUMM BY CLUSTER- CURRENT'!B27</f>
        <v>430202000</v>
      </c>
      <c r="C16" s="859">
        <f>+'SUMM BY CLUSTER- CURRENT'!C27</f>
        <v>218995000</v>
      </c>
      <c r="D16" s="859">
        <f>+'SUMM BY CLUSTER- CURRENT'!D27</f>
        <v>0</v>
      </c>
      <c r="E16" s="859">
        <f t="shared" si="1"/>
        <v>649197000</v>
      </c>
      <c r="F16" s="859">
        <f>+'CY-FUR (REG)- Detail'!G75</f>
        <v>11576363</v>
      </c>
      <c r="G16" s="859">
        <f>+'CY-FUR (REG)- Detail'!H75</f>
        <v>-11576363</v>
      </c>
      <c r="H16" s="859">
        <f>+'CY-FUR (REG)- Detail'!I75</f>
        <v>0</v>
      </c>
      <c r="I16" s="859">
        <f t="shared" si="16"/>
        <v>0</v>
      </c>
      <c r="J16" s="859">
        <f t="shared" si="12"/>
        <v>441778363</v>
      </c>
      <c r="K16" s="859">
        <f t="shared" si="12"/>
        <v>207418637</v>
      </c>
      <c r="L16" s="859">
        <f t="shared" si="12"/>
        <v>0</v>
      </c>
      <c r="M16" s="859">
        <f t="shared" si="17"/>
        <v>649197000</v>
      </c>
      <c r="N16" s="859">
        <f>+'SUMM BY CLUSTER- CURRENT'!N27</f>
        <v>441778363</v>
      </c>
      <c r="O16" s="859">
        <f>+'SUMM BY CLUSTER- CURRENT'!O27</f>
        <v>207418637</v>
      </c>
      <c r="P16" s="859">
        <f>+'SUMM BY CLUSTER- CURRENT'!P27</f>
        <v>0</v>
      </c>
      <c r="Q16" s="859">
        <f t="shared" si="2"/>
        <v>649197000</v>
      </c>
      <c r="R16" s="859">
        <f>+'SUMM BY CLUSTER- CURRENT'!R27</f>
        <v>0</v>
      </c>
      <c r="S16" s="859">
        <f>+'SUMM BY CLUSTER- CURRENT'!S27</f>
        <v>0</v>
      </c>
      <c r="T16" s="859">
        <f>+'SUMM BY CLUSTER- CURRENT'!T27</f>
        <v>0</v>
      </c>
      <c r="U16" s="859">
        <f t="shared" si="18"/>
        <v>0</v>
      </c>
      <c r="V16" s="859">
        <f>+'SUMM BY CLUSTER- CURRENT'!V27</f>
        <v>0</v>
      </c>
      <c r="W16" s="859">
        <f>+'SUMM BY CLUSTER- CURRENT'!W27</f>
        <v>49358660</v>
      </c>
      <c r="X16" s="859">
        <f>+'SUMM BY CLUSTER- CURRENT'!X27</f>
        <v>30750000</v>
      </c>
      <c r="Y16" s="859">
        <f t="shared" si="3"/>
        <v>80108660</v>
      </c>
      <c r="Z16" s="859">
        <f t="shared" si="14"/>
        <v>441778363</v>
      </c>
      <c r="AA16" s="859">
        <f t="shared" si="14"/>
        <v>256777297</v>
      </c>
      <c r="AB16" s="859">
        <f t="shared" si="14"/>
        <v>30750000</v>
      </c>
      <c r="AC16" s="859">
        <f t="shared" si="4"/>
        <v>729305660</v>
      </c>
      <c r="AD16" s="859">
        <f>+'SUMM BY CLUSTER- CURRENT'!AD27</f>
        <v>414116356.85999995</v>
      </c>
      <c r="AE16" s="859">
        <f>+'SUMM BY CLUSTER- CURRENT'!AE27</f>
        <v>197757300.81999999</v>
      </c>
      <c r="AF16" s="859">
        <f>+'SUMM BY CLUSTER- CURRENT'!AF27</f>
        <v>0</v>
      </c>
      <c r="AG16" s="859">
        <f t="shared" si="19"/>
        <v>611873657.67999995</v>
      </c>
      <c r="AH16" s="859">
        <f>+'SUMM BY CLUSTER- CURRENT'!AH27</f>
        <v>0</v>
      </c>
      <c r="AI16" s="859">
        <f>+'SUMM BY CLUSTER- CURRENT'!AI27</f>
        <v>42580770.739999995</v>
      </c>
      <c r="AJ16" s="859">
        <f>+'SUMM BY CLUSTER- CURRENT'!AJ27</f>
        <v>28518602.640000001</v>
      </c>
      <c r="AK16" s="859">
        <f t="shared" si="20"/>
        <v>71099373.379999995</v>
      </c>
      <c r="AL16" s="859">
        <f t="shared" si="15"/>
        <v>414116356.85999995</v>
      </c>
      <c r="AM16" s="859">
        <f t="shared" si="15"/>
        <v>240338071.56</v>
      </c>
      <c r="AN16" s="859">
        <f t="shared" si="15"/>
        <v>28518602.640000001</v>
      </c>
      <c r="AO16" s="859">
        <f t="shared" si="5"/>
        <v>682973031.05999994</v>
      </c>
      <c r="AP16" s="859">
        <f t="shared" si="21"/>
        <v>27662006.140000045</v>
      </c>
      <c r="AQ16" s="859">
        <f t="shared" si="21"/>
        <v>16439225.439999998</v>
      </c>
      <c r="AR16" s="859">
        <f t="shared" si="21"/>
        <v>2231397.3599999994</v>
      </c>
      <c r="AS16" s="859">
        <f t="shared" si="7"/>
        <v>46332628.940000042</v>
      </c>
      <c r="AT16" s="885">
        <f t="shared" si="8"/>
        <v>0.93738487790086711</v>
      </c>
      <c r="AU16" s="885">
        <f t="shared" si="8"/>
        <v>0.93597866465585544</v>
      </c>
      <c r="AV16" s="885">
        <f t="shared" si="8"/>
        <v>0.927434232195122</v>
      </c>
      <c r="AW16" s="885">
        <f t="shared" si="8"/>
        <v>0.93647021889285753</v>
      </c>
      <c r="AX16" s="22">
        <f t="shared" si="22"/>
        <v>0</v>
      </c>
      <c r="AY16" s="22">
        <f t="shared" si="22"/>
        <v>0</v>
      </c>
      <c r="AZ16" s="22">
        <f t="shared" si="22"/>
        <v>0</v>
      </c>
      <c r="BA16" s="22">
        <f t="shared" si="10"/>
        <v>0</v>
      </c>
    </row>
    <row r="17" spans="1:53" s="16" customFormat="1">
      <c r="A17" s="900" t="s">
        <v>968</v>
      </c>
      <c r="B17" s="859">
        <f>+'SUMM BY CLUSTER- CURRENT'!B28</f>
        <v>302047000</v>
      </c>
      <c r="C17" s="859">
        <f>+'SUMM BY CLUSTER- CURRENT'!C28</f>
        <v>111603000</v>
      </c>
      <c r="D17" s="859">
        <f>+'SUMM BY CLUSTER- CURRENT'!D28</f>
        <v>0</v>
      </c>
      <c r="E17" s="859">
        <f t="shared" si="1"/>
        <v>413650000</v>
      </c>
      <c r="F17" s="859">
        <f>+'CY-FUR (REG)- Detail'!G76</f>
        <v>0</v>
      </c>
      <c r="G17" s="859">
        <f>+'CY-FUR (REG)- Detail'!H76</f>
        <v>0</v>
      </c>
      <c r="H17" s="859">
        <f>+'CY-FUR (REG)- Detail'!I76</f>
        <v>0</v>
      </c>
      <c r="I17" s="859">
        <f t="shared" si="16"/>
        <v>0</v>
      </c>
      <c r="J17" s="859">
        <f t="shared" si="12"/>
        <v>302047000</v>
      </c>
      <c r="K17" s="859">
        <f t="shared" si="12"/>
        <v>111603000</v>
      </c>
      <c r="L17" s="859">
        <f t="shared" si="12"/>
        <v>0</v>
      </c>
      <c r="M17" s="859">
        <f t="shared" si="17"/>
        <v>413650000</v>
      </c>
      <c r="N17" s="859">
        <f>+'SUMM BY CLUSTER- CURRENT'!N28</f>
        <v>302047000</v>
      </c>
      <c r="O17" s="859">
        <f>+'SUMM BY CLUSTER- CURRENT'!O28</f>
        <v>111603000</v>
      </c>
      <c r="P17" s="859">
        <f>+'SUMM BY CLUSTER- CURRENT'!P28</f>
        <v>0</v>
      </c>
      <c r="Q17" s="859">
        <f t="shared" si="2"/>
        <v>413650000</v>
      </c>
      <c r="R17" s="859">
        <f>+'SUMM BY CLUSTER- CURRENT'!R28</f>
        <v>0</v>
      </c>
      <c r="S17" s="859">
        <f>+'SUMM BY CLUSTER- CURRENT'!S28</f>
        <v>0</v>
      </c>
      <c r="T17" s="859">
        <f>+'SUMM BY CLUSTER- CURRENT'!T28</f>
        <v>0</v>
      </c>
      <c r="U17" s="859">
        <f t="shared" si="18"/>
        <v>0</v>
      </c>
      <c r="V17" s="859">
        <f>+'SUMM BY CLUSTER- CURRENT'!V28</f>
        <v>0</v>
      </c>
      <c r="W17" s="859">
        <f>+'SUMM BY CLUSTER- CURRENT'!W28</f>
        <v>29700000</v>
      </c>
      <c r="X17" s="859">
        <f>+'SUMM BY CLUSTER- CURRENT'!X28</f>
        <v>18000000</v>
      </c>
      <c r="Y17" s="859">
        <f t="shared" si="3"/>
        <v>47700000</v>
      </c>
      <c r="Z17" s="859">
        <f t="shared" si="14"/>
        <v>302047000</v>
      </c>
      <c r="AA17" s="859">
        <f t="shared" si="14"/>
        <v>141303000</v>
      </c>
      <c r="AB17" s="859">
        <f t="shared" si="14"/>
        <v>18000000</v>
      </c>
      <c r="AC17" s="859">
        <f t="shared" si="4"/>
        <v>461350000</v>
      </c>
      <c r="AD17" s="859">
        <f>+'SUMM BY CLUSTER- CURRENT'!AD28</f>
        <v>278013800.74000001</v>
      </c>
      <c r="AE17" s="859">
        <f>+'SUMM BY CLUSTER- CURRENT'!AE28</f>
        <v>99599547.560000002</v>
      </c>
      <c r="AF17" s="859">
        <f>+'SUMM BY CLUSTER- CURRENT'!AF28</f>
        <v>0</v>
      </c>
      <c r="AG17" s="859">
        <f t="shared" si="19"/>
        <v>377613348.30000001</v>
      </c>
      <c r="AH17" s="859">
        <f>+'SUMM BY CLUSTER- CURRENT'!AH28</f>
        <v>0</v>
      </c>
      <c r="AI17" s="859">
        <f>+'SUMM BY CLUSTER- CURRENT'!AI28</f>
        <v>20018789.68</v>
      </c>
      <c r="AJ17" s="859">
        <f>+'SUMM BY CLUSTER- CURRENT'!AJ28</f>
        <v>13000000</v>
      </c>
      <c r="AK17" s="859">
        <f t="shared" si="20"/>
        <v>33018789.68</v>
      </c>
      <c r="AL17" s="859">
        <f t="shared" si="15"/>
        <v>278013800.74000001</v>
      </c>
      <c r="AM17" s="859">
        <f t="shared" si="15"/>
        <v>119618337.24000001</v>
      </c>
      <c r="AN17" s="859">
        <f t="shared" si="15"/>
        <v>13000000</v>
      </c>
      <c r="AO17" s="859">
        <f t="shared" si="5"/>
        <v>410632137.98000002</v>
      </c>
      <c r="AP17" s="859">
        <f t="shared" si="21"/>
        <v>24033199.25999999</v>
      </c>
      <c r="AQ17" s="859">
        <f t="shared" si="21"/>
        <v>21684662.75999999</v>
      </c>
      <c r="AR17" s="859">
        <f t="shared" si="21"/>
        <v>5000000</v>
      </c>
      <c r="AS17" s="859">
        <f t="shared" si="7"/>
        <v>50717862.019999981</v>
      </c>
      <c r="AT17" s="885">
        <f t="shared" si="8"/>
        <v>0.92043225305995424</v>
      </c>
      <c r="AU17" s="885">
        <f t="shared" si="8"/>
        <v>0.84653784590560721</v>
      </c>
      <c r="AV17" s="885">
        <f t="shared" si="8"/>
        <v>0.72222222222222221</v>
      </c>
      <c r="AW17" s="885">
        <f t="shared" si="8"/>
        <v>0.89006640940717463</v>
      </c>
      <c r="AX17" s="22">
        <f t="shared" si="22"/>
        <v>0</v>
      </c>
      <c r="AY17" s="22">
        <f t="shared" si="22"/>
        <v>0</v>
      </c>
      <c r="AZ17" s="22">
        <f t="shared" si="22"/>
        <v>0</v>
      </c>
      <c r="BA17" s="22">
        <f t="shared" si="10"/>
        <v>0</v>
      </c>
    </row>
    <row r="18" spans="1:53" s="16" customFormat="1">
      <c r="A18" s="900" t="s">
        <v>969</v>
      </c>
      <c r="B18" s="859">
        <f>+'SUMM BY CLUSTER- CURRENT'!B29</f>
        <v>233701000</v>
      </c>
      <c r="C18" s="859">
        <f>+'SUMM BY CLUSTER- CURRENT'!C29</f>
        <v>165112000</v>
      </c>
      <c r="D18" s="859">
        <f>+'SUMM BY CLUSTER- CURRENT'!D29</f>
        <v>0</v>
      </c>
      <c r="E18" s="859">
        <f t="shared" si="1"/>
        <v>398813000</v>
      </c>
      <c r="F18" s="859">
        <f>+'CY-FUR (REG)- Detail'!G77</f>
        <v>0</v>
      </c>
      <c r="G18" s="859">
        <f>+'CY-FUR (REG)- Detail'!H77</f>
        <v>0</v>
      </c>
      <c r="H18" s="859">
        <f>+'CY-FUR (REG)- Detail'!I77</f>
        <v>0</v>
      </c>
      <c r="I18" s="859">
        <f t="shared" si="16"/>
        <v>0</v>
      </c>
      <c r="J18" s="859">
        <f t="shared" si="12"/>
        <v>233701000</v>
      </c>
      <c r="K18" s="859">
        <f t="shared" si="12"/>
        <v>165112000</v>
      </c>
      <c r="L18" s="859">
        <f t="shared" si="12"/>
        <v>0</v>
      </c>
      <c r="M18" s="859">
        <f t="shared" si="17"/>
        <v>398813000</v>
      </c>
      <c r="N18" s="859">
        <f>+'SUMM BY CLUSTER- CURRENT'!N29</f>
        <v>233701000</v>
      </c>
      <c r="O18" s="859">
        <f>+'SUMM BY CLUSTER- CURRENT'!O29</f>
        <v>165112000</v>
      </c>
      <c r="P18" s="859">
        <f>+'SUMM BY CLUSTER- CURRENT'!P29</f>
        <v>0</v>
      </c>
      <c r="Q18" s="859">
        <f t="shared" si="2"/>
        <v>398813000</v>
      </c>
      <c r="R18" s="859">
        <f>+'SUMM BY CLUSTER- CURRENT'!R29</f>
        <v>0</v>
      </c>
      <c r="S18" s="859">
        <f>+'SUMM BY CLUSTER- CURRENT'!S29</f>
        <v>0</v>
      </c>
      <c r="T18" s="859">
        <f>+'SUMM BY CLUSTER- CURRENT'!T29</f>
        <v>0</v>
      </c>
      <c r="U18" s="859">
        <f t="shared" si="18"/>
        <v>0</v>
      </c>
      <c r="V18" s="859">
        <f>+'SUMM BY CLUSTER- CURRENT'!V29</f>
        <v>0</v>
      </c>
      <c r="W18" s="859">
        <f>+'SUMM BY CLUSTER- CURRENT'!W29</f>
        <v>59020000</v>
      </c>
      <c r="X18" s="859">
        <f>+'SUMM BY CLUSTER- CURRENT'!X29</f>
        <v>54326113.100000001</v>
      </c>
      <c r="Y18" s="859">
        <f t="shared" si="3"/>
        <v>113346113.09999999</v>
      </c>
      <c r="Z18" s="859">
        <f t="shared" si="14"/>
        <v>233701000</v>
      </c>
      <c r="AA18" s="859">
        <f t="shared" si="14"/>
        <v>224132000</v>
      </c>
      <c r="AB18" s="859">
        <f t="shared" si="14"/>
        <v>54326113.100000001</v>
      </c>
      <c r="AC18" s="859">
        <f t="shared" si="4"/>
        <v>512159113.10000002</v>
      </c>
      <c r="AD18" s="859">
        <f>+'SUMM BY CLUSTER- CURRENT'!AD29</f>
        <v>217281268.67000002</v>
      </c>
      <c r="AE18" s="859">
        <f>+'SUMM BY CLUSTER- CURRENT'!AE29</f>
        <v>117388907.45</v>
      </c>
      <c r="AF18" s="859">
        <f>+'SUMM BY CLUSTER- CURRENT'!AF29</f>
        <v>0</v>
      </c>
      <c r="AG18" s="859">
        <f t="shared" si="19"/>
        <v>334670176.12</v>
      </c>
      <c r="AH18" s="859">
        <f>+'SUMM BY CLUSTER- CURRENT'!AH29</f>
        <v>0</v>
      </c>
      <c r="AI18" s="859">
        <f>+'SUMM BY CLUSTER- CURRENT'!AI29</f>
        <v>48208446.509999998</v>
      </c>
      <c r="AJ18" s="859">
        <f>+'SUMM BY CLUSTER- CURRENT'!AJ29</f>
        <v>46068070.750000007</v>
      </c>
      <c r="AK18" s="859">
        <f t="shared" si="20"/>
        <v>94276517.260000005</v>
      </c>
      <c r="AL18" s="859">
        <f t="shared" si="15"/>
        <v>217281268.67000002</v>
      </c>
      <c r="AM18" s="859">
        <f t="shared" si="15"/>
        <v>165597353.96000001</v>
      </c>
      <c r="AN18" s="859">
        <f t="shared" si="15"/>
        <v>46068070.750000007</v>
      </c>
      <c r="AO18" s="859">
        <f t="shared" si="5"/>
        <v>428946693.38</v>
      </c>
      <c r="AP18" s="859">
        <f t="shared" si="21"/>
        <v>16419731.329999983</v>
      </c>
      <c r="AQ18" s="859">
        <f t="shared" si="21"/>
        <v>58534646.039999992</v>
      </c>
      <c r="AR18" s="859">
        <f t="shared" si="21"/>
        <v>8258042.349999994</v>
      </c>
      <c r="AS18" s="859">
        <f t="shared" si="7"/>
        <v>83212419.719999969</v>
      </c>
      <c r="AT18" s="885">
        <f t="shared" si="8"/>
        <v>0.9297404318766288</v>
      </c>
      <c r="AU18" s="885">
        <f t="shared" si="8"/>
        <v>0.73883851462531014</v>
      </c>
      <c r="AV18" s="885">
        <f t="shared" si="8"/>
        <v>0.84799129039842913</v>
      </c>
      <c r="AW18" s="885">
        <f t="shared" si="8"/>
        <v>0.83752623434476958</v>
      </c>
      <c r="AX18" s="22">
        <f t="shared" si="22"/>
        <v>0</v>
      </c>
      <c r="AY18" s="22">
        <f t="shared" si="22"/>
        <v>0</v>
      </c>
      <c r="AZ18" s="22">
        <f t="shared" si="22"/>
        <v>0</v>
      </c>
      <c r="BA18" s="22">
        <f t="shared" si="10"/>
        <v>0</v>
      </c>
    </row>
    <row r="19" spans="1:53" s="16" customFormat="1">
      <c r="A19" s="900" t="s">
        <v>970</v>
      </c>
      <c r="B19" s="859">
        <f>+'SUMM BY CLUSTER- CURRENT'!B30</f>
        <v>143539000</v>
      </c>
      <c r="C19" s="859">
        <f>+'SUMM BY CLUSTER- CURRENT'!C30</f>
        <v>97120000</v>
      </c>
      <c r="D19" s="859">
        <f>+'SUMM BY CLUSTER- CURRENT'!D30</f>
        <v>0</v>
      </c>
      <c r="E19" s="859">
        <f t="shared" si="1"/>
        <v>240659000</v>
      </c>
      <c r="F19" s="859">
        <f>+'CY-FUR (REG)- Detail'!G78</f>
        <v>0</v>
      </c>
      <c r="G19" s="859">
        <f>+'CY-FUR (REG)- Detail'!H78</f>
        <v>0</v>
      </c>
      <c r="H19" s="859">
        <f>+'CY-FUR (REG)- Detail'!I78</f>
        <v>0</v>
      </c>
      <c r="I19" s="859">
        <f t="shared" si="16"/>
        <v>0</v>
      </c>
      <c r="J19" s="859">
        <f t="shared" si="12"/>
        <v>143539000</v>
      </c>
      <c r="K19" s="859">
        <f t="shared" si="12"/>
        <v>97120000</v>
      </c>
      <c r="L19" s="859">
        <f t="shared" si="12"/>
        <v>0</v>
      </c>
      <c r="M19" s="859">
        <f t="shared" si="17"/>
        <v>240659000</v>
      </c>
      <c r="N19" s="859">
        <f>+'SUMM BY CLUSTER- CURRENT'!N30</f>
        <v>143539000</v>
      </c>
      <c r="O19" s="859">
        <f>+'SUMM BY CLUSTER- CURRENT'!O30</f>
        <v>97120000</v>
      </c>
      <c r="P19" s="859">
        <f>+'SUMM BY CLUSTER- CURRENT'!P30</f>
        <v>0</v>
      </c>
      <c r="Q19" s="859">
        <f t="shared" si="2"/>
        <v>240659000</v>
      </c>
      <c r="R19" s="859">
        <f>+'SUMM BY CLUSTER- CURRENT'!R30</f>
        <v>0</v>
      </c>
      <c r="S19" s="859">
        <f>+'SUMM BY CLUSTER- CURRENT'!S30</f>
        <v>0</v>
      </c>
      <c r="T19" s="859">
        <f>+'SUMM BY CLUSTER- CURRENT'!T30</f>
        <v>0</v>
      </c>
      <c r="U19" s="859">
        <f t="shared" si="18"/>
        <v>0</v>
      </c>
      <c r="V19" s="859">
        <f>+'SUMM BY CLUSTER- CURRENT'!V30</f>
        <v>0</v>
      </c>
      <c r="W19" s="859">
        <f>+'SUMM BY CLUSTER- CURRENT'!W30</f>
        <v>153982750</v>
      </c>
      <c r="X19" s="859">
        <f>+'SUMM BY CLUSTER- CURRENT'!X30</f>
        <v>470975000</v>
      </c>
      <c r="Y19" s="859">
        <f t="shared" si="3"/>
        <v>624957750</v>
      </c>
      <c r="Z19" s="859">
        <f t="shared" si="14"/>
        <v>143539000</v>
      </c>
      <c r="AA19" s="859">
        <f t="shared" si="14"/>
        <v>251102750</v>
      </c>
      <c r="AB19" s="859">
        <f t="shared" si="14"/>
        <v>470975000</v>
      </c>
      <c r="AC19" s="859">
        <f t="shared" si="4"/>
        <v>865616750</v>
      </c>
      <c r="AD19" s="859">
        <f>+'SUMM BY CLUSTER- CURRENT'!AD30</f>
        <v>132906356.50999999</v>
      </c>
      <c r="AE19" s="859">
        <f>+'SUMM BY CLUSTER- CURRENT'!AE30</f>
        <v>91446356.310000002</v>
      </c>
      <c r="AF19" s="859">
        <f>+'SUMM BY CLUSTER- CURRENT'!AF30</f>
        <v>0</v>
      </c>
      <c r="AG19" s="859">
        <f t="shared" si="19"/>
        <v>224352712.81999999</v>
      </c>
      <c r="AH19" s="859">
        <f>+'SUMM BY CLUSTER- CURRENT'!AH30</f>
        <v>0</v>
      </c>
      <c r="AI19" s="859">
        <f>+'SUMM BY CLUSTER- CURRENT'!AI30</f>
        <v>93990625.400000021</v>
      </c>
      <c r="AJ19" s="859">
        <f>+'SUMM BY CLUSTER- CURRENT'!AJ30</f>
        <v>3842397.88</v>
      </c>
      <c r="AK19" s="859">
        <f t="shared" si="20"/>
        <v>97833023.280000016</v>
      </c>
      <c r="AL19" s="859">
        <f t="shared" si="15"/>
        <v>132906356.50999999</v>
      </c>
      <c r="AM19" s="859">
        <f t="shared" si="15"/>
        <v>185436981.71000004</v>
      </c>
      <c r="AN19" s="859">
        <f t="shared" si="15"/>
        <v>3842397.88</v>
      </c>
      <c r="AO19" s="859">
        <f t="shared" si="5"/>
        <v>322185736.10000002</v>
      </c>
      <c r="AP19" s="859">
        <f t="shared" si="21"/>
        <v>10632643.49000001</v>
      </c>
      <c r="AQ19" s="859">
        <f t="shared" si="21"/>
        <v>65665768.289999962</v>
      </c>
      <c r="AR19" s="859">
        <f t="shared" si="21"/>
        <v>467132602.12</v>
      </c>
      <c r="AS19" s="859">
        <f t="shared" si="7"/>
        <v>543431013.89999998</v>
      </c>
      <c r="AT19" s="885">
        <f t="shared" si="8"/>
        <v>0.92592505528114299</v>
      </c>
      <c r="AU19" s="885">
        <f t="shared" si="8"/>
        <v>0.73849044548496601</v>
      </c>
      <c r="AV19" s="885">
        <f t="shared" si="8"/>
        <v>8.1583903179574292E-3</v>
      </c>
      <c r="AW19" s="885">
        <f t="shared" si="8"/>
        <v>0.37220367570290203</v>
      </c>
      <c r="AX19" s="22">
        <f t="shared" si="22"/>
        <v>0</v>
      </c>
      <c r="AY19" s="22">
        <f t="shared" si="22"/>
        <v>0</v>
      </c>
      <c r="AZ19" s="22">
        <f t="shared" si="22"/>
        <v>0</v>
      </c>
      <c r="BA19" s="22">
        <f t="shared" si="10"/>
        <v>0</v>
      </c>
    </row>
    <row r="20" spans="1:53" s="16" customFormat="1">
      <c r="A20" s="900" t="s">
        <v>971</v>
      </c>
      <c r="B20" s="859">
        <f>+'SUMM BY CLUSTER- CURRENT'!B31</f>
        <v>109683000</v>
      </c>
      <c r="C20" s="859">
        <f>+'SUMM BY CLUSTER- CURRENT'!C31</f>
        <v>38781000</v>
      </c>
      <c r="D20" s="859">
        <f>+'SUMM BY CLUSTER- CURRENT'!D31</f>
        <v>0</v>
      </c>
      <c r="E20" s="859">
        <f t="shared" si="1"/>
        <v>148464000</v>
      </c>
      <c r="F20" s="859">
        <f>+'CY-FUR (REG)- Detail'!G79</f>
        <v>0</v>
      </c>
      <c r="G20" s="859">
        <f>+'CY-FUR (REG)- Detail'!H79</f>
        <v>0</v>
      </c>
      <c r="H20" s="859">
        <f>+'CY-FUR (REG)- Detail'!I79</f>
        <v>0</v>
      </c>
      <c r="I20" s="859">
        <f t="shared" si="16"/>
        <v>0</v>
      </c>
      <c r="J20" s="859">
        <f t="shared" si="12"/>
        <v>109683000</v>
      </c>
      <c r="K20" s="859">
        <f t="shared" si="12"/>
        <v>38781000</v>
      </c>
      <c r="L20" s="859">
        <f t="shared" si="12"/>
        <v>0</v>
      </c>
      <c r="M20" s="859">
        <f t="shared" si="17"/>
        <v>148464000</v>
      </c>
      <c r="N20" s="859">
        <f>+'SUMM BY CLUSTER- CURRENT'!N31</f>
        <v>109683000</v>
      </c>
      <c r="O20" s="859">
        <f>+'SUMM BY CLUSTER- CURRENT'!O31</f>
        <v>38781000</v>
      </c>
      <c r="P20" s="859">
        <f>+'SUMM BY CLUSTER- CURRENT'!P31</f>
        <v>0</v>
      </c>
      <c r="Q20" s="859">
        <f t="shared" si="2"/>
        <v>148464000</v>
      </c>
      <c r="R20" s="859">
        <f>+'SUMM BY CLUSTER- CURRENT'!R31</f>
        <v>0</v>
      </c>
      <c r="S20" s="859">
        <f>+'SUMM BY CLUSTER- CURRENT'!S31</f>
        <v>0</v>
      </c>
      <c r="T20" s="859">
        <f>+'SUMM BY CLUSTER- CURRENT'!T31</f>
        <v>0</v>
      </c>
      <c r="U20" s="859">
        <f t="shared" si="18"/>
        <v>0</v>
      </c>
      <c r="V20" s="859">
        <f>+'SUMM BY CLUSTER- CURRENT'!V31</f>
        <v>0</v>
      </c>
      <c r="W20" s="859">
        <f>+'SUMM BY CLUSTER- CURRENT'!W31</f>
        <v>15848000</v>
      </c>
      <c r="X20" s="859">
        <f>+'SUMM BY CLUSTER- CURRENT'!X31</f>
        <v>18000000</v>
      </c>
      <c r="Y20" s="859">
        <f t="shared" si="3"/>
        <v>33848000</v>
      </c>
      <c r="Z20" s="859">
        <f t="shared" si="14"/>
        <v>109683000</v>
      </c>
      <c r="AA20" s="859">
        <f t="shared" si="14"/>
        <v>54629000</v>
      </c>
      <c r="AB20" s="859">
        <f t="shared" si="14"/>
        <v>18000000</v>
      </c>
      <c r="AC20" s="859">
        <f t="shared" si="4"/>
        <v>182312000</v>
      </c>
      <c r="AD20" s="859">
        <f>+'SUMM BY CLUSTER- CURRENT'!AD31</f>
        <v>101335636</v>
      </c>
      <c r="AE20" s="859">
        <f>+'SUMM BY CLUSTER- CURRENT'!AE31</f>
        <v>29267091.990000002</v>
      </c>
      <c r="AF20" s="859">
        <f>+'SUMM BY CLUSTER- CURRENT'!AF31</f>
        <v>0</v>
      </c>
      <c r="AG20" s="859">
        <f t="shared" si="19"/>
        <v>130602727.99000001</v>
      </c>
      <c r="AH20" s="859">
        <f>+'SUMM BY CLUSTER- CURRENT'!AH31</f>
        <v>0</v>
      </c>
      <c r="AI20" s="859">
        <f>+'SUMM BY CLUSTER- CURRENT'!AI31</f>
        <v>10972608.619999999</v>
      </c>
      <c r="AJ20" s="859">
        <f>+'SUMM BY CLUSTER- CURRENT'!AJ31</f>
        <v>17999252.949999999</v>
      </c>
      <c r="AK20" s="859">
        <f t="shared" si="20"/>
        <v>28971861.57</v>
      </c>
      <c r="AL20" s="859">
        <f t="shared" si="15"/>
        <v>101335636</v>
      </c>
      <c r="AM20" s="859">
        <f t="shared" si="15"/>
        <v>40239700.609999999</v>
      </c>
      <c r="AN20" s="859">
        <f t="shared" si="15"/>
        <v>17999252.949999999</v>
      </c>
      <c r="AO20" s="859">
        <f t="shared" si="5"/>
        <v>159574589.56</v>
      </c>
      <c r="AP20" s="859">
        <f t="shared" si="21"/>
        <v>8347364</v>
      </c>
      <c r="AQ20" s="859">
        <f t="shared" si="21"/>
        <v>14389299.390000001</v>
      </c>
      <c r="AR20" s="859">
        <f t="shared" si="21"/>
        <v>747.05000000074506</v>
      </c>
      <c r="AS20" s="859">
        <f t="shared" si="7"/>
        <v>22737410.440000001</v>
      </c>
      <c r="AT20" s="885">
        <f t="shared" si="8"/>
        <v>0.92389555354977526</v>
      </c>
      <c r="AU20" s="885">
        <f t="shared" si="8"/>
        <v>0.73659961943290198</v>
      </c>
      <c r="AV20" s="885">
        <f t="shared" si="8"/>
        <v>0.99995849722222219</v>
      </c>
      <c r="AW20" s="885">
        <f t="shared" si="8"/>
        <v>0.87528297402255473</v>
      </c>
      <c r="AX20" s="22">
        <f t="shared" si="22"/>
        <v>0</v>
      </c>
      <c r="AY20" s="22">
        <f t="shared" si="22"/>
        <v>0</v>
      </c>
      <c r="AZ20" s="22">
        <f t="shared" si="22"/>
        <v>0</v>
      </c>
      <c r="BA20" s="22">
        <f t="shared" si="10"/>
        <v>0</v>
      </c>
    </row>
    <row r="21" spans="1:53" s="16" customFormat="1">
      <c r="A21" s="592"/>
      <c r="B21" s="859"/>
      <c r="C21" s="859"/>
      <c r="D21" s="859"/>
      <c r="E21" s="859">
        <f t="shared" si="1"/>
        <v>0</v>
      </c>
      <c r="F21" s="859"/>
      <c r="G21" s="859"/>
      <c r="H21" s="859"/>
      <c r="I21" s="859"/>
      <c r="J21" s="859"/>
      <c r="K21" s="859"/>
      <c r="L21" s="859"/>
      <c r="M21" s="859"/>
      <c r="N21" s="859"/>
      <c r="O21" s="859"/>
      <c r="P21" s="859"/>
      <c r="Q21" s="859">
        <f t="shared" si="2"/>
        <v>0</v>
      </c>
      <c r="R21" s="859"/>
      <c r="S21" s="859"/>
      <c r="T21" s="859"/>
      <c r="U21" s="859"/>
      <c r="V21" s="859"/>
      <c r="W21" s="859"/>
      <c r="X21" s="859"/>
      <c r="Y21" s="859">
        <f t="shared" si="3"/>
        <v>0</v>
      </c>
      <c r="Z21" s="859"/>
      <c r="AA21" s="859"/>
      <c r="AB21" s="859"/>
      <c r="AC21" s="859">
        <f t="shared" si="4"/>
        <v>0</v>
      </c>
      <c r="AD21" s="859"/>
      <c r="AE21" s="859"/>
      <c r="AF21" s="859"/>
      <c r="AG21" s="859"/>
      <c r="AH21" s="859"/>
      <c r="AI21" s="859"/>
      <c r="AJ21" s="859"/>
      <c r="AK21" s="859"/>
      <c r="AL21" s="859"/>
      <c r="AM21" s="859"/>
      <c r="AN21" s="859"/>
      <c r="AO21" s="859">
        <f t="shared" si="5"/>
        <v>0</v>
      </c>
      <c r="AP21" s="859">
        <f t="shared" si="21"/>
        <v>0</v>
      </c>
      <c r="AQ21" s="859">
        <f t="shared" si="21"/>
        <v>0</v>
      </c>
      <c r="AR21" s="859">
        <f t="shared" si="21"/>
        <v>0</v>
      </c>
      <c r="AS21" s="859">
        <f t="shared" si="7"/>
        <v>0</v>
      </c>
      <c r="AT21" s="885" t="str">
        <f t="shared" si="8"/>
        <v xml:space="preserve"> </v>
      </c>
      <c r="AU21" s="885" t="str">
        <f t="shared" si="8"/>
        <v xml:space="preserve"> </v>
      </c>
      <c r="AV21" s="885" t="str">
        <f t="shared" si="8"/>
        <v xml:space="preserve"> </v>
      </c>
      <c r="AW21" s="885" t="str">
        <f t="shared" si="8"/>
        <v xml:space="preserve"> </v>
      </c>
      <c r="AX21" s="22">
        <f t="shared" si="22"/>
        <v>0</v>
      </c>
      <c r="AY21" s="22">
        <f t="shared" si="22"/>
        <v>0</v>
      </c>
      <c r="AZ21" s="22">
        <f t="shared" si="22"/>
        <v>0</v>
      </c>
      <c r="BA21" s="22">
        <f t="shared" si="10"/>
        <v>0</v>
      </c>
    </row>
    <row r="22" spans="1:53" s="903" customFormat="1" ht="16.5">
      <c r="A22" s="901" t="s">
        <v>56</v>
      </c>
      <c r="B22" s="868">
        <f>SUM(B23:B27)</f>
        <v>282323000</v>
      </c>
      <c r="C22" s="868">
        <f t="shared" ref="C22:D22" si="23">SUM(C23:C27)</f>
        <v>308173000</v>
      </c>
      <c r="D22" s="868">
        <f t="shared" si="23"/>
        <v>0</v>
      </c>
      <c r="E22" s="868">
        <f t="shared" si="1"/>
        <v>590496000</v>
      </c>
      <c r="F22" s="868">
        <f t="shared" ref="F22:AN22" si="24">SUM(F23:F27)</f>
        <v>0</v>
      </c>
      <c r="G22" s="868">
        <f t="shared" si="24"/>
        <v>0</v>
      </c>
      <c r="H22" s="868">
        <f t="shared" si="24"/>
        <v>0</v>
      </c>
      <c r="I22" s="868">
        <f t="shared" si="24"/>
        <v>0</v>
      </c>
      <c r="J22" s="868">
        <f t="shared" si="24"/>
        <v>282323000</v>
      </c>
      <c r="K22" s="868">
        <f t="shared" si="24"/>
        <v>308173000</v>
      </c>
      <c r="L22" s="868">
        <f t="shared" si="24"/>
        <v>0</v>
      </c>
      <c r="M22" s="868">
        <f t="shared" si="24"/>
        <v>590496000</v>
      </c>
      <c r="N22" s="868">
        <f t="shared" si="24"/>
        <v>282323000</v>
      </c>
      <c r="O22" s="868">
        <f t="shared" si="24"/>
        <v>308173000</v>
      </c>
      <c r="P22" s="868">
        <f t="shared" si="24"/>
        <v>0</v>
      </c>
      <c r="Q22" s="868">
        <f t="shared" si="2"/>
        <v>590496000</v>
      </c>
      <c r="R22" s="868">
        <f t="shared" ref="R22:T22" si="25">SUM(R23:R27)</f>
        <v>0</v>
      </c>
      <c r="S22" s="868">
        <f t="shared" si="25"/>
        <v>0</v>
      </c>
      <c r="T22" s="868">
        <f t="shared" si="25"/>
        <v>0</v>
      </c>
      <c r="U22" s="868">
        <f t="shared" si="24"/>
        <v>0</v>
      </c>
      <c r="V22" s="868">
        <f t="shared" si="24"/>
        <v>0</v>
      </c>
      <c r="W22" s="868">
        <f t="shared" si="24"/>
        <v>144699414</v>
      </c>
      <c r="X22" s="868">
        <f t="shared" si="24"/>
        <v>473471882</v>
      </c>
      <c r="Y22" s="868">
        <f t="shared" si="3"/>
        <v>618171296</v>
      </c>
      <c r="Z22" s="868">
        <f t="shared" si="24"/>
        <v>282323000</v>
      </c>
      <c r="AA22" s="868">
        <f t="shared" si="24"/>
        <v>452872414</v>
      </c>
      <c r="AB22" s="868">
        <f t="shared" si="24"/>
        <v>473471882</v>
      </c>
      <c r="AC22" s="868">
        <f t="shared" si="4"/>
        <v>1208667296</v>
      </c>
      <c r="AD22" s="868">
        <f t="shared" ref="AD22:AF22" si="26">SUM(AD23:AD27)</f>
        <v>260300649.81999999</v>
      </c>
      <c r="AE22" s="868">
        <f t="shared" si="26"/>
        <v>253483859.41999996</v>
      </c>
      <c r="AF22" s="868">
        <f t="shared" si="26"/>
        <v>0</v>
      </c>
      <c r="AG22" s="868">
        <f t="shared" si="24"/>
        <v>513784509.23999995</v>
      </c>
      <c r="AH22" s="868">
        <f t="shared" si="24"/>
        <v>0</v>
      </c>
      <c r="AI22" s="868">
        <f t="shared" si="24"/>
        <v>113489912.02000001</v>
      </c>
      <c r="AJ22" s="868">
        <f t="shared" si="24"/>
        <v>370676018.92000002</v>
      </c>
      <c r="AK22" s="868">
        <f t="shared" si="24"/>
        <v>484165930.93999994</v>
      </c>
      <c r="AL22" s="868">
        <f t="shared" si="24"/>
        <v>260300649.81999999</v>
      </c>
      <c r="AM22" s="868">
        <f t="shared" si="24"/>
        <v>366973771.44</v>
      </c>
      <c r="AN22" s="868">
        <f t="shared" si="24"/>
        <v>370676018.92000002</v>
      </c>
      <c r="AO22" s="868">
        <f t="shared" si="5"/>
        <v>997950440.18000007</v>
      </c>
      <c r="AP22" s="868">
        <f t="shared" si="21"/>
        <v>22022350.180000007</v>
      </c>
      <c r="AQ22" s="868">
        <f t="shared" si="21"/>
        <v>85898642.560000002</v>
      </c>
      <c r="AR22" s="868">
        <f t="shared" si="21"/>
        <v>102795863.07999998</v>
      </c>
      <c r="AS22" s="868">
        <f t="shared" si="7"/>
        <v>210716855.81999999</v>
      </c>
      <c r="AT22" s="902">
        <f t="shared" si="8"/>
        <v>0.92199590476156745</v>
      </c>
      <c r="AU22" s="902">
        <f t="shared" si="8"/>
        <v>0.81032485109592034</v>
      </c>
      <c r="AV22" s="902">
        <f t="shared" si="8"/>
        <v>0.78288919154865466</v>
      </c>
      <c r="AW22" s="902">
        <f t="shared" si="8"/>
        <v>0.82566182065374594</v>
      </c>
      <c r="AX22" s="22">
        <f t="shared" si="22"/>
        <v>0</v>
      </c>
      <c r="AY22" s="22">
        <f t="shared" si="22"/>
        <v>0</v>
      </c>
      <c r="AZ22" s="22">
        <f t="shared" si="22"/>
        <v>0</v>
      </c>
      <c r="BA22" s="22">
        <f t="shared" si="10"/>
        <v>0</v>
      </c>
    </row>
    <row r="23" spans="1:53" s="16" customFormat="1">
      <c r="A23" s="899" t="s">
        <v>1087</v>
      </c>
      <c r="B23" s="859">
        <f>+'SUMM BY CLUSTER- CURRENT'!B34</f>
        <v>69090000</v>
      </c>
      <c r="C23" s="859">
        <f>+'SUMM BY CLUSTER- CURRENT'!C34</f>
        <v>213374000</v>
      </c>
      <c r="D23" s="859">
        <f>+'SUMM BY CLUSTER- CURRENT'!D34</f>
        <v>0</v>
      </c>
      <c r="E23" s="859">
        <f t="shared" si="1"/>
        <v>282464000</v>
      </c>
      <c r="F23" s="859">
        <f>SUM('CY-FUR (REG)- Detail'!G100:G102)</f>
        <v>0</v>
      </c>
      <c r="G23" s="859">
        <f>SUM('CY-FUR (REG)- Detail'!H100:H102)</f>
        <v>0</v>
      </c>
      <c r="H23" s="859">
        <f>SUM('CY-FUR (REG)- Detail'!I100:I102)</f>
        <v>0</v>
      </c>
      <c r="I23" s="859">
        <f>SUM('CY-FUR (REG)- Detail'!J100:J102)</f>
        <v>0</v>
      </c>
      <c r="J23" s="859">
        <f>SUM('CY-FUR (REG)- Detail'!K100:K102)</f>
        <v>69090000</v>
      </c>
      <c r="K23" s="859">
        <f>SUM('CY-FUR (REG)- Detail'!L100:L102)</f>
        <v>213374000</v>
      </c>
      <c r="L23" s="859">
        <f>SUM('CY-FUR (REG)- Detail'!M100:M102)</f>
        <v>0</v>
      </c>
      <c r="M23" s="859">
        <f>SUM('CY-FUR (REG)- Detail'!N100:N102)</f>
        <v>282464000</v>
      </c>
      <c r="N23" s="859">
        <f>+'SUMM BY CLUSTER- CURRENT'!N34</f>
        <v>69090000</v>
      </c>
      <c r="O23" s="859">
        <f>+'SUMM BY CLUSTER- CURRENT'!O34</f>
        <v>213374000</v>
      </c>
      <c r="P23" s="859">
        <f>+'SUMM BY CLUSTER- CURRENT'!P34</f>
        <v>0</v>
      </c>
      <c r="Q23" s="859">
        <f t="shared" si="2"/>
        <v>282464000</v>
      </c>
      <c r="R23" s="859">
        <f>+'SUMM BY CLUSTER- CURRENT'!R34</f>
        <v>0</v>
      </c>
      <c r="S23" s="859">
        <f>+'SUMM BY CLUSTER- CURRENT'!S34</f>
        <v>0</v>
      </c>
      <c r="T23" s="859">
        <f>+'SUMM BY CLUSTER- CURRENT'!T34</f>
        <v>0</v>
      </c>
      <c r="U23" s="859">
        <f>SUM('CY-FUR (REG)- Detail'!V100:V102)</f>
        <v>0</v>
      </c>
      <c r="V23" s="859">
        <f>+'SUMM BY CLUSTER- CURRENT'!V34</f>
        <v>0</v>
      </c>
      <c r="W23" s="859">
        <f>+'SUMM BY CLUSTER- CURRENT'!W34</f>
        <v>82281414</v>
      </c>
      <c r="X23" s="859">
        <f>+'SUMM BY CLUSTER- CURRENT'!X34</f>
        <v>146598000</v>
      </c>
      <c r="Y23" s="859">
        <f t="shared" si="3"/>
        <v>228879414</v>
      </c>
      <c r="Z23" s="859">
        <f>SUM('CY-FUR (REG)- Detail'!AA100:AA102)</f>
        <v>69090000</v>
      </c>
      <c r="AA23" s="859">
        <f>SUM('CY-FUR (REG)- Detail'!AB100:AB102)</f>
        <v>295655414</v>
      </c>
      <c r="AB23" s="859">
        <f>SUM('CY-FUR (REG)- Detail'!AC100:AC102)</f>
        <v>146598000</v>
      </c>
      <c r="AC23" s="859">
        <f t="shared" si="4"/>
        <v>511343414</v>
      </c>
      <c r="AD23" s="859">
        <f>+'SUMM BY CLUSTER- CURRENT'!AD34</f>
        <v>62486005.729999997</v>
      </c>
      <c r="AE23" s="859">
        <f>+'SUMM BY CLUSTER- CURRENT'!AE34</f>
        <v>168894553.37999997</v>
      </c>
      <c r="AF23" s="859">
        <f>+'SUMM BY CLUSTER- CURRENT'!AF34</f>
        <v>0</v>
      </c>
      <c r="AG23" s="859">
        <f>SUM('CY-FUR (REG)- Detail'!AH100:AH102)</f>
        <v>231380559.10999995</v>
      </c>
      <c r="AH23" s="859">
        <f>+'SUMM BY CLUSTER- CURRENT'!AH34</f>
        <v>0</v>
      </c>
      <c r="AI23" s="859">
        <f>+'SUMM BY CLUSTER- CURRENT'!AI34</f>
        <v>58364371.490000002</v>
      </c>
      <c r="AJ23" s="859">
        <f>+'SUMM BY CLUSTER- CURRENT'!AJ34</f>
        <v>45987665.68</v>
      </c>
      <c r="AK23" s="859">
        <f>SUM('CY-FUR (REG)- Detail'!AL100:AL102)</f>
        <v>104352037.17</v>
      </c>
      <c r="AL23" s="859">
        <f>SUM('CY-FUR (REG)- Detail'!AM100:AM102)</f>
        <v>62486005.729999997</v>
      </c>
      <c r="AM23" s="859">
        <f>SUM('CY-FUR (REG)- Detail'!AN100:AN102)</f>
        <v>227258924.86999997</v>
      </c>
      <c r="AN23" s="859">
        <f>SUM('CY-FUR (REG)- Detail'!AO100:AO102)</f>
        <v>45987665.68</v>
      </c>
      <c r="AO23" s="859">
        <f t="shared" si="5"/>
        <v>335732596.27999997</v>
      </c>
      <c r="AP23" s="859">
        <f t="shared" si="21"/>
        <v>6603994.2700000033</v>
      </c>
      <c r="AQ23" s="859">
        <f t="shared" si="21"/>
        <v>68396489.130000025</v>
      </c>
      <c r="AR23" s="859">
        <f t="shared" si="21"/>
        <v>100610334.31999999</v>
      </c>
      <c r="AS23" s="859">
        <f t="shared" si="7"/>
        <v>175610817.72000003</v>
      </c>
      <c r="AT23" s="886">
        <f t="shared" si="8"/>
        <v>0.90441461470545659</v>
      </c>
      <c r="AU23" s="886">
        <f t="shared" si="8"/>
        <v>0.7686614690911765</v>
      </c>
      <c r="AV23" s="886">
        <f t="shared" si="8"/>
        <v>0.31369913423102636</v>
      </c>
      <c r="AW23" s="886">
        <f t="shared" si="8"/>
        <v>0.65656970851295637</v>
      </c>
      <c r="AX23" s="22">
        <f t="shared" si="22"/>
        <v>0</v>
      </c>
      <c r="AY23" s="22">
        <f t="shared" si="22"/>
        <v>0</v>
      </c>
      <c r="AZ23" s="22">
        <f t="shared" si="22"/>
        <v>0</v>
      </c>
      <c r="BA23" s="22">
        <f t="shared" si="10"/>
        <v>0</v>
      </c>
    </row>
    <row r="24" spans="1:53" s="16" customFormat="1">
      <c r="A24" s="899" t="s">
        <v>973</v>
      </c>
      <c r="B24" s="859">
        <f>+'SUMM BY CLUSTER- CURRENT'!B35</f>
        <v>59182000</v>
      </c>
      <c r="C24" s="859">
        <f>+'SUMM BY CLUSTER- CURRENT'!C35</f>
        <v>21837000</v>
      </c>
      <c r="D24" s="859">
        <f>+'SUMM BY CLUSTER- CURRENT'!D35</f>
        <v>0</v>
      </c>
      <c r="E24" s="859">
        <f t="shared" si="1"/>
        <v>81019000</v>
      </c>
      <c r="F24" s="859">
        <f>+'CY-FUR (REG)- Detail'!G104</f>
        <v>0</v>
      </c>
      <c r="G24" s="859">
        <f>+'CY-FUR (REG)- Detail'!H104</f>
        <v>0</v>
      </c>
      <c r="H24" s="859">
        <f>+'CY-FUR (REG)- Detail'!I104</f>
        <v>0</v>
      </c>
      <c r="I24" s="859">
        <f t="shared" ref="I24" si="27">SUM(F24:H24)</f>
        <v>0</v>
      </c>
      <c r="J24" s="859">
        <f t="shared" ref="J24:L27" si="28">+B24+F24</f>
        <v>59182000</v>
      </c>
      <c r="K24" s="859">
        <f t="shared" si="28"/>
        <v>21837000</v>
      </c>
      <c r="L24" s="859">
        <f t="shared" si="28"/>
        <v>0</v>
      </c>
      <c r="M24" s="859">
        <f t="shared" ref="M24:M27" si="29">SUM(J24:L24)</f>
        <v>81019000</v>
      </c>
      <c r="N24" s="859">
        <f>+'SUMM BY CLUSTER- CURRENT'!N35</f>
        <v>59182000</v>
      </c>
      <c r="O24" s="859">
        <f>+'SUMM BY CLUSTER- CURRENT'!O35</f>
        <v>21837000</v>
      </c>
      <c r="P24" s="859">
        <f>+'SUMM BY CLUSTER- CURRENT'!P35</f>
        <v>0</v>
      </c>
      <c r="Q24" s="859">
        <f t="shared" si="2"/>
        <v>81019000</v>
      </c>
      <c r="R24" s="859">
        <f>+'SUMM BY CLUSTER- CURRENT'!R35</f>
        <v>0</v>
      </c>
      <c r="S24" s="859">
        <f>+'SUMM BY CLUSTER- CURRENT'!S35</f>
        <v>0</v>
      </c>
      <c r="T24" s="859">
        <f>+'SUMM BY CLUSTER- CURRENT'!T35</f>
        <v>0</v>
      </c>
      <c r="U24" s="859">
        <f t="shared" ref="U24:U27" si="30">SUM(R24:T24)</f>
        <v>0</v>
      </c>
      <c r="V24" s="859">
        <f>+'SUMM BY CLUSTER- CURRENT'!V35</f>
        <v>0</v>
      </c>
      <c r="W24" s="859">
        <f>+'SUMM BY CLUSTER- CURRENT'!W35</f>
        <v>21600000</v>
      </c>
      <c r="X24" s="859">
        <f>+'SUMM BY CLUSTER- CURRENT'!X35</f>
        <v>11000000</v>
      </c>
      <c r="Y24" s="859">
        <f t="shared" si="3"/>
        <v>32600000</v>
      </c>
      <c r="Z24" s="859">
        <f t="shared" ref="Z24:AB27" si="31">+N24+V24+R24</f>
        <v>59182000</v>
      </c>
      <c r="AA24" s="859">
        <f t="shared" si="31"/>
        <v>43437000</v>
      </c>
      <c r="AB24" s="859">
        <f t="shared" si="31"/>
        <v>11000000</v>
      </c>
      <c r="AC24" s="859">
        <f t="shared" si="4"/>
        <v>113619000</v>
      </c>
      <c r="AD24" s="859">
        <f>+'SUMM BY CLUSTER- CURRENT'!AD35</f>
        <v>53852853.309999995</v>
      </c>
      <c r="AE24" s="859">
        <f>+'SUMM BY CLUSTER- CURRENT'!AE35</f>
        <v>18376737.690000001</v>
      </c>
      <c r="AF24" s="859">
        <f>+'SUMM BY CLUSTER- CURRENT'!AF35</f>
        <v>0</v>
      </c>
      <c r="AG24" s="859">
        <f t="shared" ref="AG24:AG27" si="32">SUM(AD24:AF24)</f>
        <v>72229591</v>
      </c>
      <c r="AH24" s="859">
        <f>+'SUMM BY CLUSTER- CURRENT'!AH35</f>
        <v>0</v>
      </c>
      <c r="AI24" s="859">
        <f>+'SUMM BY CLUSTER- CURRENT'!AI35</f>
        <v>20906344.82</v>
      </c>
      <c r="AJ24" s="859">
        <f>+'SUMM BY CLUSTER- CURRENT'!AJ35</f>
        <v>10979529.48</v>
      </c>
      <c r="AK24" s="859">
        <f t="shared" ref="AK24:AK27" si="33">SUM(AH24:AJ24)</f>
        <v>31885874.300000001</v>
      </c>
      <c r="AL24" s="859">
        <f t="shared" ref="AL24:AN27" si="34">+AH24+AD24</f>
        <v>53852853.309999995</v>
      </c>
      <c r="AM24" s="859">
        <f t="shared" si="34"/>
        <v>39283082.510000005</v>
      </c>
      <c r="AN24" s="859">
        <f t="shared" si="34"/>
        <v>10979529.48</v>
      </c>
      <c r="AO24" s="859">
        <f t="shared" si="5"/>
        <v>104115465.3</v>
      </c>
      <c r="AP24" s="859">
        <f t="shared" si="21"/>
        <v>5329146.6900000051</v>
      </c>
      <c r="AQ24" s="859">
        <f t="shared" si="21"/>
        <v>4153917.4899999946</v>
      </c>
      <c r="AR24" s="859">
        <f t="shared" si="21"/>
        <v>20470.519999999553</v>
      </c>
      <c r="AS24" s="859">
        <f t="shared" si="7"/>
        <v>9503534.6999999993</v>
      </c>
      <c r="AT24" s="886">
        <f t="shared" si="8"/>
        <v>0.90995325115744641</v>
      </c>
      <c r="AU24" s="886">
        <f t="shared" si="8"/>
        <v>0.90436914404770141</v>
      </c>
      <c r="AV24" s="886">
        <f t="shared" si="8"/>
        <v>0.99813904363636363</v>
      </c>
      <c r="AW24" s="886">
        <f t="shared" si="8"/>
        <v>0.91635611385419691</v>
      </c>
      <c r="AX24" s="22">
        <f t="shared" si="22"/>
        <v>0</v>
      </c>
      <c r="AY24" s="22">
        <f t="shared" si="22"/>
        <v>0</v>
      </c>
      <c r="AZ24" s="22">
        <f t="shared" si="22"/>
        <v>0</v>
      </c>
      <c r="BA24" s="22">
        <f t="shared" si="10"/>
        <v>0</v>
      </c>
    </row>
    <row r="25" spans="1:53" s="16" customFormat="1">
      <c r="A25" s="899" t="s">
        <v>974</v>
      </c>
      <c r="B25" s="859">
        <f>+'SUMM BY CLUSTER- CURRENT'!B36</f>
        <v>47596000</v>
      </c>
      <c r="C25" s="859">
        <f>+'SUMM BY CLUSTER- CURRENT'!C36</f>
        <v>18954000</v>
      </c>
      <c r="D25" s="859">
        <f>+'SUMM BY CLUSTER- CURRENT'!D36</f>
        <v>0</v>
      </c>
      <c r="E25" s="859">
        <f t="shared" si="1"/>
        <v>66550000</v>
      </c>
      <c r="F25" s="859">
        <f>+'CY-FUR (REG)- Detail'!G105</f>
        <v>0</v>
      </c>
      <c r="G25" s="859">
        <f>+'CY-FUR (REG)- Detail'!H105</f>
        <v>0</v>
      </c>
      <c r="H25" s="859">
        <f>+'CY-FUR (REG)- Detail'!I105</f>
        <v>0</v>
      </c>
      <c r="I25" s="859">
        <f t="shared" ref="I25:I27" si="35">SUM(F25:H25)</f>
        <v>0</v>
      </c>
      <c r="J25" s="859">
        <f t="shared" si="28"/>
        <v>47596000</v>
      </c>
      <c r="K25" s="859">
        <f t="shared" si="28"/>
        <v>18954000</v>
      </c>
      <c r="L25" s="859">
        <f t="shared" si="28"/>
        <v>0</v>
      </c>
      <c r="M25" s="859">
        <f t="shared" si="29"/>
        <v>66550000</v>
      </c>
      <c r="N25" s="859">
        <f>+'SUMM BY CLUSTER- CURRENT'!N36</f>
        <v>47596000</v>
      </c>
      <c r="O25" s="859">
        <f>+'SUMM BY CLUSTER- CURRENT'!O36</f>
        <v>18954000</v>
      </c>
      <c r="P25" s="859">
        <f>+'SUMM BY CLUSTER- CURRENT'!P36</f>
        <v>0</v>
      </c>
      <c r="Q25" s="859">
        <f t="shared" si="2"/>
        <v>66550000</v>
      </c>
      <c r="R25" s="859">
        <f>+'SUMM BY CLUSTER- CURRENT'!R36</f>
        <v>0</v>
      </c>
      <c r="S25" s="859">
        <f>+'SUMM BY CLUSTER- CURRENT'!S36</f>
        <v>0</v>
      </c>
      <c r="T25" s="859">
        <f>+'SUMM BY CLUSTER- CURRENT'!T36</f>
        <v>0</v>
      </c>
      <c r="U25" s="859">
        <f t="shared" si="30"/>
        <v>0</v>
      </c>
      <c r="V25" s="859">
        <f>+'SUMM BY CLUSTER- CURRENT'!V36</f>
        <v>0</v>
      </c>
      <c r="W25" s="859">
        <f>+'SUMM BY CLUSTER- CURRENT'!W36</f>
        <v>15936000</v>
      </c>
      <c r="X25" s="859">
        <f>+'SUMM BY CLUSTER- CURRENT'!X36</f>
        <v>18000000</v>
      </c>
      <c r="Y25" s="859">
        <f t="shared" si="3"/>
        <v>33936000</v>
      </c>
      <c r="Z25" s="859">
        <f t="shared" si="31"/>
        <v>47596000</v>
      </c>
      <c r="AA25" s="859">
        <f t="shared" si="31"/>
        <v>34890000</v>
      </c>
      <c r="AB25" s="859">
        <f t="shared" si="31"/>
        <v>18000000</v>
      </c>
      <c r="AC25" s="859">
        <f t="shared" si="4"/>
        <v>100486000</v>
      </c>
      <c r="AD25" s="859">
        <f>+'SUMM BY CLUSTER- CURRENT'!AD36</f>
        <v>44594024.159999996</v>
      </c>
      <c r="AE25" s="859">
        <f>+'SUMM BY CLUSTER- CURRENT'!AE36</f>
        <v>15147857.899999999</v>
      </c>
      <c r="AF25" s="859">
        <f>+'SUMM BY CLUSTER- CURRENT'!AF36</f>
        <v>0</v>
      </c>
      <c r="AG25" s="859">
        <f t="shared" si="32"/>
        <v>59741882.059999995</v>
      </c>
      <c r="AH25" s="859">
        <f>+'SUMM BY CLUSTER- CURRENT'!AH36</f>
        <v>0</v>
      </c>
      <c r="AI25" s="859">
        <f>+'SUMM BY CLUSTER- CURRENT'!AI36</f>
        <v>10581541.210000001</v>
      </c>
      <c r="AJ25" s="859">
        <f>+'SUMM BY CLUSTER- CURRENT'!AJ36</f>
        <v>15986180.65</v>
      </c>
      <c r="AK25" s="859">
        <f t="shared" si="33"/>
        <v>26567721.859999999</v>
      </c>
      <c r="AL25" s="859">
        <f t="shared" si="34"/>
        <v>44594024.159999996</v>
      </c>
      <c r="AM25" s="859">
        <f t="shared" si="34"/>
        <v>25729399.109999999</v>
      </c>
      <c r="AN25" s="859">
        <f t="shared" si="34"/>
        <v>15986180.65</v>
      </c>
      <c r="AO25" s="859">
        <f t="shared" si="5"/>
        <v>86309603.920000002</v>
      </c>
      <c r="AP25" s="859">
        <f t="shared" si="21"/>
        <v>3001975.8400000036</v>
      </c>
      <c r="AQ25" s="859">
        <f t="shared" si="21"/>
        <v>9160600.8900000006</v>
      </c>
      <c r="AR25" s="859">
        <f t="shared" si="21"/>
        <v>2013819.3499999996</v>
      </c>
      <c r="AS25" s="859">
        <f t="shared" si="7"/>
        <v>14176396.080000004</v>
      </c>
      <c r="AT25" s="886">
        <f t="shared" si="8"/>
        <v>0.93692798050256321</v>
      </c>
      <c r="AU25" s="886">
        <f t="shared" si="8"/>
        <v>0.73744336801375754</v>
      </c>
      <c r="AV25" s="886">
        <f t="shared" si="8"/>
        <v>0.88812114722222224</v>
      </c>
      <c r="AW25" s="886">
        <f t="shared" si="8"/>
        <v>0.8589216798359971</v>
      </c>
      <c r="AX25" s="22">
        <f t="shared" si="22"/>
        <v>0</v>
      </c>
      <c r="AY25" s="22">
        <f t="shared" si="22"/>
        <v>0</v>
      </c>
      <c r="AZ25" s="22">
        <f t="shared" si="22"/>
        <v>0</v>
      </c>
      <c r="BA25" s="22">
        <f t="shared" si="10"/>
        <v>0</v>
      </c>
    </row>
    <row r="26" spans="1:53" s="16" customFormat="1">
      <c r="A26" s="899" t="s">
        <v>975</v>
      </c>
      <c r="B26" s="859">
        <f>+'SUMM BY CLUSTER- CURRENT'!B37</f>
        <v>9103000</v>
      </c>
      <c r="C26" s="859">
        <f>+'SUMM BY CLUSTER- CURRENT'!C37</f>
        <v>9635000</v>
      </c>
      <c r="D26" s="859">
        <f>+'SUMM BY CLUSTER- CURRENT'!D37</f>
        <v>0</v>
      </c>
      <c r="E26" s="859">
        <f t="shared" si="1"/>
        <v>18738000</v>
      </c>
      <c r="F26" s="859">
        <f>+'CY-FUR (REG)- Detail'!G106</f>
        <v>0</v>
      </c>
      <c r="G26" s="859">
        <f>+'CY-FUR (REG)- Detail'!H106</f>
        <v>0</v>
      </c>
      <c r="H26" s="859">
        <f>+'CY-FUR (REG)- Detail'!I106</f>
        <v>0</v>
      </c>
      <c r="I26" s="859">
        <f t="shared" si="35"/>
        <v>0</v>
      </c>
      <c r="J26" s="859">
        <f t="shared" si="28"/>
        <v>9103000</v>
      </c>
      <c r="K26" s="859">
        <f t="shared" si="28"/>
        <v>9635000</v>
      </c>
      <c r="L26" s="859">
        <f t="shared" si="28"/>
        <v>0</v>
      </c>
      <c r="M26" s="859">
        <f t="shared" si="29"/>
        <v>18738000</v>
      </c>
      <c r="N26" s="859">
        <f>+'SUMM BY CLUSTER- CURRENT'!N37</f>
        <v>9103000</v>
      </c>
      <c r="O26" s="859">
        <f>+'SUMM BY CLUSTER- CURRENT'!O37</f>
        <v>9635000</v>
      </c>
      <c r="P26" s="859">
        <f>+'SUMM BY CLUSTER- CURRENT'!P37</f>
        <v>0</v>
      </c>
      <c r="Q26" s="859">
        <f t="shared" si="2"/>
        <v>18738000</v>
      </c>
      <c r="R26" s="859">
        <f>+'SUMM BY CLUSTER- CURRENT'!R37</f>
        <v>0</v>
      </c>
      <c r="S26" s="859">
        <f>+'SUMM BY CLUSTER- CURRENT'!S37</f>
        <v>0</v>
      </c>
      <c r="T26" s="859">
        <f>+'SUMM BY CLUSTER- CURRENT'!T37</f>
        <v>0</v>
      </c>
      <c r="U26" s="859">
        <f t="shared" si="30"/>
        <v>0</v>
      </c>
      <c r="V26" s="859">
        <f>+'SUMM BY CLUSTER- CURRENT'!V37</f>
        <v>0</v>
      </c>
      <c r="W26" s="859">
        <f>+'SUMM BY CLUSTER- CURRENT'!W37</f>
        <v>3290000</v>
      </c>
      <c r="X26" s="859">
        <f>+'SUMM BY CLUSTER- CURRENT'!X37</f>
        <v>8000000</v>
      </c>
      <c r="Y26" s="859">
        <f t="shared" si="3"/>
        <v>11290000</v>
      </c>
      <c r="Z26" s="859">
        <f t="shared" si="31"/>
        <v>9103000</v>
      </c>
      <c r="AA26" s="859">
        <f t="shared" si="31"/>
        <v>12925000</v>
      </c>
      <c r="AB26" s="859">
        <f t="shared" si="31"/>
        <v>8000000</v>
      </c>
      <c r="AC26" s="859">
        <f t="shared" si="4"/>
        <v>30028000</v>
      </c>
      <c r="AD26" s="859">
        <f>+'SUMM BY CLUSTER- CURRENT'!AD37</f>
        <v>8496555.0299999993</v>
      </c>
      <c r="AE26" s="859">
        <f>+'SUMM BY CLUSTER- CURRENT'!AE37</f>
        <v>7876985.0599999996</v>
      </c>
      <c r="AF26" s="859">
        <f>+'SUMM BY CLUSTER- CURRENT'!AF37</f>
        <v>0</v>
      </c>
      <c r="AG26" s="859">
        <f t="shared" si="32"/>
        <v>16373540.09</v>
      </c>
      <c r="AH26" s="859">
        <f>+'SUMM BY CLUSTER- CURRENT'!AH37</f>
        <v>0</v>
      </c>
      <c r="AI26" s="859">
        <f>+'SUMM BY CLUSTER- CURRENT'!AI37</f>
        <v>2117920.2800000003</v>
      </c>
      <c r="AJ26" s="859">
        <f>+'SUMM BY CLUSTER- CURRENT'!AJ37</f>
        <v>7892101.29</v>
      </c>
      <c r="AK26" s="859">
        <f t="shared" si="33"/>
        <v>10010021.57</v>
      </c>
      <c r="AL26" s="859">
        <f t="shared" si="34"/>
        <v>8496555.0299999993</v>
      </c>
      <c r="AM26" s="859">
        <f t="shared" si="34"/>
        <v>9994905.3399999999</v>
      </c>
      <c r="AN26" s="859">
        <f t="shared" si="34"/>
        <v>7892101.29</v>
      </c>
      <c r="AO26" s="859">
        <f t="shared" si="5"/>
        <v>26383561.659999996</v>
      </c>
      <c r="AP26" s="859">
        <f t="shared" si="21"/>
        <v>606444.97000000067</v>
      </c>
      <c r="AQ26" s="859">
        <f t="shared" si="21"/>
        <v>2930094.66</v>
      </c>
      <c r="AR26" s="859">
        <f t="shared" si="21"/>
        <v>107898.70999999996</v>
      </c>
      <c r="AS26" s="859">
        <f t="shared" si="7"/>
        <v>3644438.3400000008</v>
      </c>
      <c r="AT26" s="886">
        <f t="shared" si="8"/>
        <v>0.93337965835438863</v>
      </c>
      <c r="AU26" s="886">
        <f t="shared" si="8"/>
        <v>0.77330021972920693</v>
      </c>
      <c r="AV26" s="886">
        <f t="shared" si="8"/>
        <v>0.98651266125000003</v>
      </c>
      <c r="AW26" s="886">
        <f t="shared" si="8"/>
        <v>0.87863199880111886</v>
      </c>
      <c r="AX26" s="22">
        <f t="shared" si="22"/>
        <v>0</v>
      </c>
      <c r="AY26" s="22">
        <f t="shared" si="22"/>
        <v>0</v>
      </c>
      <c r="AZ26" s="22">
        <f t="shared" si="22"/>
        <v>0</v>
      </c>
      <c r="BA26" s="22">
        <f t="shared" si="10"/>
        <v>0</v>
      </c>
    </row>
    <row r="27" spans="1:53" s="16" customFormat="1">
      <c r="A27" s="899" t="s">
        <v>976</v>
      </c>
      <c r="B27" s="859">
        <f>+'SUMM BY CLUSTER- CURRENT'!B38</f>
        <v>97352000</v>
      </c>
      <c r="C27" s="859">
        <f>+'SUMM BY CLUSTER- CURRENT'!C38</f>
        <v>44373000</v>
      </c>
      <c r="D27" s="859">
        <f>+'SUMM BY CLUSTER- CURRENT'!D38</f>
        <v>0</v>
      </c>
      <c r="E27" s="859">
        <f t="shared" si="1"/>
        <v>141725000</v>
      </c>
      <c r="F27" s="859">
        <f>+'CY-FUR (REG)- Detail'!G107</f>
        <v>0</v>
      </c>
      <c r="G27" s="859">
        <f>+'CY-FUR (REG)- Detail'!H107</f>
        <v>0</v>
      </c>
      <c r="H27" s="859">
        <f>+'CY-FUR (REG)- Detail'!I107</f>
        <v>0</v>
      </c>
      <c r="I27" s="859">
        <f t="shared" si="35"/>
        <v>0</v>
      </c>
      <c r="J27" s="859">
        <f t="shared" si="28"/>
        <v>97352000</v>
      </c>
      <c r="K27" s="859">
        <f t="shared" si="28"/>
        <v>44373000</v>
      </c>
      <c r="L27" s="859">
        <f t="shared" si="28"/>
        <v>0</v>
      </c>
      <c r="M27" s="859">
        <f t="shared" si="29"/>
        <v>141725000</v>
      </c>
      <c r="N27" s="859">
        <f>+'SUMM BY CLUSTER- CURRENT'!N38</f>
        <v>97352000</v>
      </c>
      <c r="O27" s="859">
        <f>+'SUMM BY CLUSTER- CURRENT'!O38</f>
        <v>44373000</v>
      </c>
      <c r="P27" s="859">
        <f>+'SUMM BY CLUSTER- CURRENT'!P38</f>
        <v>0</v>
      </c>
      <c r="Q27" s="859">
        <f t="shared" si="2"/>
        <v>141725000</v>
      </c>
      <c r="R27" s="859">
        <f>+'SUMM BY CLUSTER- CURRENT'!R38</f>
        <v>0</v>
      </c>
      <c r="S27" s="859">
        <f>+'SUMM BY CLUSTER- CURRENT'!S38</f>
        <v>0</v>
      </c>
      <c r="T27" s="859">
        <f>+'SUMM BY CLUSTER- CURRENT'!T38</f>
        <v>0</v>
      </c>
      <c r="U27" s="859">
        <f t="shared" si="30"/>
        <v>0</v>
      </c>
      <c r="V27" s="859">
        <f>+'SUMM BY CLUSTER- CURRENT'!V38</f>
        <v>0</v>
      </c>
      <c r="W27" s="859">
        <f>+'SUMM BY CLUSTER- CURRENT'!W38</f>
        <v>21592000</v>
      </c>
      <c r="X27" s="859">
        <f>+'SUMM BY CLUSTER- CURRENT'!X38</f>
        <v>289873882</v>
      </c>
      <c r="Y27" s="859">
        <f t="shared" si="3"/>
        <v>311465882</v>
      </c>
      <c r="Z27" s="859">
        <f t="shared" si="31"/>
        <v>97352000</v>
      </c>
      <c r="AA27" s="859">
        <f t="shared" si="31"/>
        <v>65965000</v>
      </c>
      <c r="AB27" s="859">
        <f t="shared" si="31"/>
        <v>289873882</v>
      </c>
      <c r="AC27" s="859">
        <f t="shared" si="4"/>
        <v>453190882</v>
      </c>
      <c r="AD27" s="859">
        <f>+'SUMM BY CLUSTER- CURRENT'!AD38</f>
        <v>90871211.590000004</v>
      </c>
      <c r="AE27" s="859">
        <f>+'SUMM BY CLUSTER- CURRENT'!AE38</f>
        <v>43187725.390000001</v>
      </c>
      <c r="AF27" s="859">
        <f>+'SUMM BY CLUSTER- CURRENT'!AF38</f>
        <v>0</v>
      </c>
      <c r="AG27" s="859">
        <f t="shared" si="32"/>
        <v>134058936.98</v>
      </c>
      <c r="AH27" s="859">
        <f>+'SUMM BY CLUSTER- CURRENT'!AH38</f>
        <v>0</v>
      </c>
      <c r="AI27" s="859">
        <f>+'SUMM BY CLUSTER- CURRENT'!AI38</f>
        <v>21519734.219999999</v>
      </c>
      <c r="AJ27" s="859">
        <f>+'SUMM BY CLUSTER- CURRENT'!AJ38</f>
        <v>289830541.81999999</v>
      </c>
      <c r="AK27" s="859">
        <f t="shared" si="33"/>
        <v>311350276.03999996</v>
      </c>
      <c r="AL27" s="859">
        <f t="shared" si="34"/>
        <v>90871211.590000004</v>
      </c>
      <c r="AM27" s="859">
        <f t="shared" si="34"/>
        <v>64707459.609999999</v>
      </c>
      <c r="AN27" s="859">
        <f t="shared" si="34"/>
        <v>289830541.81999999</v>
      </c>
      <c r="AO27" s="859">
        <f t="shared" si="5"/>
        <v>445409213.01999998</v>
      </c>
      <c r="AP27" s="859">
        <f t="shared" si="21"/>
        <v>6480788.4099999964</v>
      </c>
      <c r="AQ27" s="859">
        <f t="shared" si="21"/>
        <v>1257540.3900000006</v>
      </c>
      <c r="AR27" s="859">
        <f t="shared" si="21"/>
        <v>43340.180000007153</v>
      </c>
      <c r="AS27" s="859">
        <f t="shared" si="7"/>
        <v>7781668.9800000042</v>
      </c>
      <c r="AT27" s="886">
        <f t="shared" si="8"/>
        <v>0.93342932441038706</v>
      </c>
      <c r="AU27" s="886">
        <f t="shared" si="8"/>
        <v>0.98093624816190406</v>
      </c>
      <c r="AV27" s="886">
        <f t="shared" si="8"/>
        <v>0.99985048608139171</v>
      </c>
      <c r="AW27" s="886">
        <f t="shared" si="8"/>
        <v>0.98282915811179095</v>
      </c>
      <c r="AX27" s="22">
        <f t="shared" si="22"/>
        <v>0</v>
      </c>
      <c r="AY27" s="22">
        <f t="shared" si="22"/>
        <v>0</v>
      </c>
      <c r="AZ27" s="22">
        <f t="shared" si="22"/>
        <v>0</v>
      </c>
      <c r="BA27" s="22">
        <f t="shared" si="10"/>
        <v>0</v>
      </c>
    </row>
    <row r="28" spans="1:53" s="16" customFormat="1">
      <c r="A28" s="592"/>
      <c r="B28" s="859"/>
      <c r="C28" s="859"/>
      <c r="D28" s="859"/>
      <c r="E28" s="860">
        <f t="shared" si="1"/>
        <v>0</v>
      </c>
      <c r="F28" s="859"/>
      <c r="G28" s="859"/>
      <c r="H28" s="859"/>
      <c r="I28" s="860"/>
      <c r="J28" s="859"/>
      <c r="K28" s="859"/>
      <c r="L28" s="859"/>
      <c r="M28" s="860"/>
      <c r="N28" s="859"/>
      <c r="O28" s="859"/>
      <c r="P28" s="859"/>
      <c r="Q28" s="860">
        <f t="shared" si="2"/>
        <v>0</v>
      </c>
      <c r="R28" s="859"/>
      <c r="S28" s="859"/>
      <c r="T28" s="859"/>
      <c r="U28" s="860"/>
      <c r="V28" s="859"/>
      <c r="W28" s="859"/>
      <c r="X28" s="859"/>
      <c r="Y28" s="860">
        <f t="shared" si="3"/>
        <v>0</v>
      </c>
      <c r="Z28" s="860"/>
      <c r="AA28" s="860"/>
      <c r="AB28" s="860"/>
      <c r="AC28" s="860">
        <f t="shared" si="4"/>
        <v>0</v>
      </c>
      <c r="AD28" s="859"/>
      <c r="AE28" s="859"/>
      <c r="AF28" s="859"/>
      <c r="AG28" s="860"/>
      <c r="AH28" s="859"/>
      <c r="AI28" s="859"/>
      <c r="AJ28" s="859"/>
      <c r="AK28" s="860"/>
      <c r="AL28" s="860"/>
      <c r="AM28" s="860"/>
      <c r="AN28" s="860"/>
      <c r="AO28" s="860">
        <f t="shared" si="5"/>
        <v>0</v>
      </c>
      <c r="AP28" s="861">
        <f t="shared" si="21"/>
        <v>0</v>
      </c>
      <c r="AQ28" s="860">
        <f t="shared" si="21"/>
        <v>0</v>
      </c>
      <c r="AR28" s="860">
        <f t="shared" si="21"/>
        <v>0</v>
      </c>
      <c r="AS28" s="860">
        <f t="shared" si="7"/>
        <v>0</v>
      </c>
      <c r="AT28" s="886" t="str">
        <f t="shared" si="8"/>
        <v xml:space="preserve"> </v>
      </c>
      <c r="AU28" s="886" t="str">
        <f t="shared" si="8"/>
        <v xml:space="preserve"> </v>
      </c>
      <c r="AV28" s="886" t="str">
        <f t="shared" si="8"/>
        <v xml:space="preserve"> </v>
      </c>
      <c r="AW28" s="886" t="str">
        <f t="shared" si="8"/>
        <v xml:space="preserve"> </v>
      </c>
      <c r="AX28" s="22">
        <f t="shared" si="22"/>
        <v>0</v>
      </c>
      <c r="AY28" s="22">
        <f t="shared" si="22"/>
        <v>0</v>
      </c>
      <c r="AZ28" s="22">
        <f t="shared" si="22"/>
        <v>0</v>
      </c>
      <c r="BA28" s="22">
        <f t="shared" si="10"/>
        <v>0</v>
      </c>
    </row>
    <row r="29" spans="1:53" s="903" customFormat="1" ht="16.5">
      <c r="A29" s="901" t="s">
        <v>980</v>
      </c>
      <c r="B29" s="868">
        <f>SUM(B30:B31)</f>
        <v>208238000</v>
      </c>
      <c r="C29" s="868">
        <f t="shared" ref="C29:D29" si="36">SUM(C30:C31)</f>
        <v>224761000</v>
      </c>
      <c r="D29" s="868">
        <f t="shared" si="36"/>
        <v>0</v>
      </c>
      <c r="E29" s="868">
        <f t="shared" si="1"/>
        <v>432999000</v>
      </c>
      <c r="F29" s="868">
        <f t="shared" ref="F29:AN29" si="37">SUM(F30:F31)</f>
        <v>0</v>
      </c>
      <c r="G29" s="868">
        <f t="shared" si="37"/>
        <v>0</v>
      </c>
      <c r="H29" s="868">
        <f t="shared" si="37"/>
        <v>0</v>
      </c>
      <c r="I29" s="868">
        <f t="shared" si="37"/>
        <v>0</v>
      </c>
      <c r="J29" s="868">
        <f t="shared" si="37"/>
        <v>208238000</v>
      </c>
      <c r="K29" s="868">
        <f t="shared" si="37"/>
        <v>224761000</v>
      </c>
      <c r="L29" s="868">
        <f t="shared" si="37"/>
        <v>0</v>
      </c>
      <c r="M29" s="868">
        <f t="shared" si="37"/>
        <v>432999000</v>
      </c>
      <c r="N29" s="868">
        <f t="shared" si="37"/>
        <v>208238000</v>
      </c>
      <c r="O29" s="868">
        <f t="shared" si="37"/>
        <v>224761000</v>
      </c>
      <c r="P29" s="868">
        <f t="shared" si="37"/>
        <v>0</v>
      </c>
      <c r="Q29" s="868">
        <f t="shared" si="2"/>
        <v>432999000</v>
      </c>
      <c r="R29" s="868">
        <f t="shared" ref="R29:T29" si="38">SUM(R30:R31)</f>
        <v>0</v>
      </c>
      <c r="S29" s="868">
        <f t="shared" si="38"/>
        <v>0</v>
      </c>
      <c r="T29" s="868">
        <f t="shared" si="38"/>
        <v>0</v>
      </c>
      <c r="U29" s="868">
        <f t="shared" si="37"/>
        <v>0</v>
      </c>
      <c r="V29" s="868">
        <f t="shared" si="37"/>
        <v>0</v>
      </c>
      <c r="W29" s="868">
        <f t="shared" si="37"/>
        <v>218676768.78999999</v>
      </c>
      <c r="X29" s="868">
        <f t="shared" si="37"/>
        <v>354065592</v>
      </c>
      <c r="Y29" s="868">
        <f t="shared" si="3"/>
        <v>572742360.78999996</v>
      </c>
      <c r="Z29" s="868">
        <f t="shared" si="37"/>
        <v>208238000</v>
      </c>
      <c r="AA29" s="868">
        <f t="shared" si="37"/>
        <v>443437768.78999996</v>
      </c>
      <c r="AB29" s="868">
        <f t="shared" si="37"/>
        <v>354065592</v>
      </c>
      <c r="AC29" s="868">
        <f t="shared" si="4"/>
        <v>1005741360.79</v>
      </c>
      <c r="AD29" s="868">
        <f t="shared" ref="AD29:AF29" si="39">SUM(AD30:AD31)</f>
        <v>191650876.61999997</v>
      </c>
      <c r="AE29" s="868">
        <f t="shared" si="39"/>
        <v>200394683.25999999</v>
      </c>
      <c r="AF29" s="868">
        <f t="shared" si="39"/>
        <v>0</v>
      </c>
      <c r="AG29" s="868">
        <f t="shared" si="37"/>
        <v>392045559.88</v>
      </c>
      <c r="AH29" s="868">
        <f t="shared" si="37"/>
        <v>0</v>
      </c>
      <c r="AI29" s="868">
        <f t="shared" si="37"/>
        <v>182387998.73000005</v>
      </c>
      <c r="AJ29" s="868">
        <f t="shared" si="37"/>
        <v>333410181.06999999</v>
      </c>
      <c r="AK29" s="868">
        <f t="shared" si="37"/>
        <v>515798179.80000001</v>
      </c>
      <c r="AL29" s="868">
        <f t="shared" si="37"/>
        <v>191650876.61999997</v>
      </c>
      <c r="AM29" s="868">
        <f t="shared" si="37"/>
        <v>382782681.99000001</v>
      </c>
      <c r="AN29" s="868">
        <f t="shared" si="37"/>
        <v>333410181.06999999</v>
      </c>
      <c r="AO29" s="868">
        <f t="shared" si="5"/>
        <v>907843739.68000007</v>
      </c>
      <c r="AP29" s="868">
        <f t="shared" si="21"/>
        <v>16587123.380000025</v>
      </c>
      <c r="AQ29" s="868">
        <f t="shared" si="21"/>
        <v>60655086.799999952</v>
      </c>
      <c r="AR29" s="868">
        <f t="shared" si="21"/>
        <v>20655410.930000007</v>
      </c>
      <c r="AS29" s="868">
        <f t="shared" si="7"/>
        <v>97897621.109999985</v>
      </c>
      <c r="AT29" s="902">
        <f t="shared" si="8"/>
        <v>0.92034535781173454</v>
      </c>
      <c r="AU29" s="902">
        <f t="shared" si="8"/>
        <v>0.86321623671003866</v>
      </c>
      <c r="AV29" s="902">
        <f t="shared" si="8"/>
        <v>0.94166219085756286</v>
      </c>
      <c r="AW29" s="902">
        <f t="shared" si="8"/>
        <v>0.90266123585381608</v>
      </c>
      <c r="AX29" s="22">
        <f t="shared" si="22"/>
        <v>0</v>
      </c>
      <c r="AY29" s="22">
        <f t="shared" si="22"/>
        <v>0</v>
      </c>
      <c r="AZ29" s="22">
        <f t="shared" si="22"/>
        <v>0</v>
      </c>
      <c r="BA29" s="22">
        <f t="shared" si="10"/>
        <v>0</v>
      </c>
    </row>
    <row r="30" spans="1:53" s="16" customFormat="1">
      <c r="A30" s="899" t="s">
        <v>1088</v>
      </c>
      <c r="B30" s="859">
        <f>+'SUMM BY CLUSTER- CURRENT'!B41</f>
        <v>80349000</v>
      </c>
      <c r="C30" s="859">
        <f>+'SUMM BY CLUSTER- CURRENT'!C41</f>
        <v>177915000</v>
      </c>
      <c r="D30" s="859">
        <f>+'SUMM BY CLUSTER- CURRENT'!D41</f>
        <v>0</v>
      </c>
      <c r="E30" s="859">
        <f t="shared" si="1"/>
        <v>258264000</v>
      </c>
      <c r="F30" s="859">
        <f>SUM('CY-FUR (REG)- Detail'!G150:G152)</f>
        <v>0</v>
      </c>
      <c r="G30" s="859">
        <f>SUM('CY-FUR (REG)- Detail'!H150:H152)</f>
        <v>0</v>
      </c>
      <c r="H30" s="859">
        <f>SUM('CY-FUR (REG)- Detail'!I150:I152)</f>
        <v>0</v>
      </c>
      <c r="I30" s="859">
        <f>SUM('CY-FUR (REG)- Detail'!J150:J152)</f>
        <v>0</v>
      </c>
      <c r="J30" s="859">
        <f>SUM('CY-FUR (REG)- Detail'!K150:K152)</f>
        <v>80349000</v>
      </c>
      <c r="K30" s="859">
        <f>SUM('CY-FUR (REG)- Detail'!L150:L152)</f>
        <v>177915000</v>
      </c>
      <c r="L30" s="859">
        <f>SUM('CY-FUR (REG)- Detail'!M150:M152)</f>
        <v>0</v>
      </c>
      <c r="M30" s="859">
        <f>SUM('CY-FUR (REG)- Detail'!N150:N152)</f>
        <v>258264000</v>
      </c>
      <c r="N30" s="859">
        <f>+'SUMM BY CLUSTER- CURRENT'!N41</f>
        <v>80349000</v>
      </c>
      <c r="O30" s="859">
        <f>+'SUMM BY CLUSTER- CURRENT'!O41</f>
        <v>177915000</v>
      </c>
      <c r="P30" s="859">
        <f>+'SUMM BY CLUSTER- CURRENT'!P41</f>
        <v>0</v>
      </c>
      <c r="Q30" s="859">
        <f t="shared" si="2"/>
        <v>258264000</v>
      </c>
      <c r="R30" s="859">
        <f>+'SUMM BY CLUSTER- CURRENT'!R41</f>
        <v>0</v>
      </c>
      <c r="S30" s="859">
        <f>+'SUMM BY CLUSTER- CURRENT'!S41</f>
        <v>0</v>
      </c>
      <c r="T30" s="859">
        <f>+'SUMM BY CLUSTER- CURRENT'!T41</f>
        <v>0</v>
      </c>
      <c r="U30" s="859">
        <f>SUM('CY-FUR (REG)- Detail'!V150:V152)</f>
        <v>0</v>
      </c>
      <c r="V30" s="859">
        <f>+'SUMM BY CLUSTER- CURRENT'!V41</f>
        <v>0</v>
      </c>
      <c r="W30" s="859">
        <f>+'SUMM BY CLUSTER- CURRENT'!W41</f>
        <v>194791768.78999999</v>
      </c>
      <c r="X30" s="859">
        <f>+'SUMM BY CLUSTER- CURRENT'!X41</f>
        <v>309065592</v>
      </c>
      <c r="Y30" s="859">
        <f t="shared" si="3"/>
        <v>503857360.78999996</v>
      </c>
      <c r="Z30" s="859">
        <f>SUM('CY-FUR (REG)- Detail'!AA150:AA152)</f>
        <v>80349000</v>
      </c>
      <c r="AA30" s="859">
        <f>SUM('CY-FUR (REG)- Detail'!AB150:AB152)</f>
        <v>372706768.78999996</v>
      </c>
      <c r="AB30" s="859">
        <f>SUM('CY-FUR (REG)- Detail'!AC150:AC152)</f>
        <v>309065592</v>
      </c>
      <c r="AC30" s="859">
        <f t="shared" si="4"/>
        <v>762121360.78999996</v>
      </c>
      <c r="AD30" s="859">
        <f>+'SUMM BY CLUSTER- CURRENT'!AD41</f>
        <v>74002201.379999995</v>
      </c>
      <c r="AE30" s="859">
        <f>+'SUMM BY CLUSTER- CURRENT'!AE41</f>
        <v>159885498.07999998</v>
      </c>
      <c r="AF30" s="859">
        <f>+'SUMM BY CLUSTER- CURRENT'!AF41</f>
        <v>0</v>
      </c>
      <c r="AG30" s="859">
        <f>SUM('CY-FUR (REG)- Detail'!AH150:AH152)</f>
        <v>233887699.46000001</v>
      </c>
      <c r="AH30" s="859">
        <f>+'SUMM BY CLUSTER- CURRENT'!AH41</f>
        <v>0</v>
      </c>
      <c r="AI30" s="859">
        <f>+'SUMM BY CLUSTER- CURRENT'!AI41</f>
        <v>166558129.52000004</v>
      </c>
      <c r="AJ30" s="859">
        <f>+'SUMM BY CLUSTER- CURRENT'!AJ41</f>
        <v>288424376.06999999</v>
      </c>
      <c r="AK30" s="859">
        <f>SUM('CY-FUR (REG)- Detail'!AL150:AL152)</f>
        <v>454982505.59000003</v>
      </c>
      <c r="AL30" s="859">
        <f>SUM('CY-FUR (REG)- Detail'!AM150:AM152)</f>
        <v>74002201.379999995</v>
      </c>
      <c r="AM30" s="859">
        <f>SUM('CY-FUR (REG)- Detail'!AN150:AN152)</f>
        <v>326443627.60000002</v>
      </c>
      <c r="AN30" s="859">
        <f>SUM('CY-FUR (REG)- Detail'!AO150:AO152)</f>
        <v>288424376.06999999</v>
      </c>
      <c r="AO30" s="859">
        <f t="shared" si="5"/>
        <v>688870205.04999995</v>
      </c>
      <c r="AP30" s="859">
        <f t="shared" si="21"/>
        <v>6346798.6200000048</v>
      </c>
      <c r="AQ30" s="859">
        <f t="shared" si="21"/>
        <v>46263141.189999938</v>
      </c>
      <c r="AR30" s="859">
        <f t="shared" si="21"/>
        <v>20641215.930000007</v>
      </c>
      <c r="AS30" s="859">
        <f t="shared" si="7"/>
        <v>73251155.73999995</v>
      </c>
      <c r="AT30" s="886">
        <f t="shared" si="8"/>
        <v>0.92100961281409843</v>
      </c>
      <c r="AU30" s="886">
        <f t="shared" si="8"/>
        <v>0.87587254897410594</v>
      </c>
      <c r="AV30" s="886">
        <f t="shared" si="8"/>
        <v>0.9332141252074414</v>
      </c>
      <c r="AW30" s="886">
        <f t="shared" si="8"/>
        <v>0.90388518219188962</v>
      </c>
      <c r="AX30" s="22">
        <f t="shared" si="22"/>
        <v>0</v>
      </c>
      <c r="AY30" s="22">
        <f t="shared" si="22"/>
        <v>0</v>
      </c>
      <c r="AZ30" s="22">
        <f t="shared" si="22"/>
        <v>0</v>
      </c>
      <c r="BA30" s="22">
        <f t="shared" si="10"/>
        <v>0</v>
      </c>
    </row>
    <row r="31" spans="1:53" s="16" customFormat="1">
      <c r="A31" s="899" t="s">
        <v>977</v>
      </c>
      <c r="B31" s="859">
        <f>+'SUMM BY CLUSTER- CURRENT'!B42</f>
        <v>127889000</v>
      </c>
      <c r="C31" s="859">
        <f>+'SUMM BY CLUSTER- CURRENT'!C42</f>
        <v>46846000</v>
      </c>
      <c r="D31" s="859">
        <f>+'SUMM BY CLUSTER- CURRENT'!D42</f>
        <v>0</v>
      </c>
      <c r="E31" s="859">
        <f t="shared" si="1"/>
        <v>174735000</v>
      </c>
      <c r="F31" s="859">
        <f>+'CY-FUR (REG)- Detail'!G154</f>
        <v>0</v>
      </c>
      <c r="G31" s="859">
        <f>+'CY-FUR (REG)- Detail'!H154</f>
        <v>0</v>
      </c>
      <c r="H31" s="859">
        <f>+'CY-FUR (REG)- Detail'!I154</f>
        <v>0</v>
      </c>
      <c r="I31" s="859">
        <f t="shared" ref="I31" si="40">SUM(F31:H31)</f>
        <v>0</v>
      </c>
      <c r="J31" s="859">
        <f t="shared" ref="J31:L31" si="41">+B31+F31</f>
        <v>127889000</v>
      </c>
      <c r="K31" s="859">
        <f t="shared" si="41"/>
        <v>46846000</v>
      </c>
      <c r="L31" s="859">
        <f t="shared" si="41"/>
        <v>0</v>
      </c>
      <c r="M31" s="859">
        <f t="shared" ref="M31" si="42">SUM(J31:L31)</f>
        <v>174735000</v>
      </c>
      <c r="N31" s="859">
        <f>+'SUMM BY CLUSTER- CURRENT'!N42</f>
        <v>127889000</v>
      </c>
      <c r="O31" s="859">
        <f>+'SUMM BY CLUSTER- CURRENT'!O42</f>
        <v>46846000</v>
      </c>
      <c r="P31" s="859">
        <f>+'SUMM BY CLUSTER- CURRENT'!P42</f>
        <v>0</v>
      </c>
      <c r="Q31" s="859">
        <f t="shared" si="2"/>
        <v>174735000</v>
      </c>
      <c r="R31" s="859">
        <f>+'SUMM BY CLUSTER- CURRENT'!R42</f>
        <v>0</v>
      </c>
      <c r="S31" s="859">
        <f>+'SUMM BY CLUSTER- CURRENT'!S42</f>
        <v>0</v>
      </c>
      <c r="T31" s="859">
        <f>+'SUMM BY CLUSTER- CURRENT'!T42</f>
        <v>0</v>
      </c>
      <c r="U31" s="859">
        <f t="shared" ref="U31" si="43">SUM(R31:T31)</f>
        <v>0</v>
      </c>
      <c r="V31" s="859">
        <f>+'SUMM BY CLUSTER- CURRENT'!V42</f>
        <v>0</v>
      </c>
      <c r="W31" s="859">
        <f>+'SUMM BY CLUSTER- CURRENT'!W42</f>
        <v>23885000</v>
      </c>
      <c r="X31" s="859">
        <f>+'SUMM BY CLUSTER- CURRENT'!X42</f>
        <v>45000000</v>
      </c>
      <c r="Y31" s="859">
        <f t="shared" si="3"/>
        <v>68885000</v>
      </c>
      <c r="Z31" s="859">
        <f t="shared" ref="Z31:AB31" si="44">+N31+V31+R31</f>
        <v>127889000</v>
      </c>
      <c r="AA31" s="859">
        <f t="shared" si="44"/>
        <v>70731000</v>
      </c>
      <c r="AB31" s="859">
        <f t="shared" si="44"/>
        <v>45000000</v>
      </c>
      <c r="AC31" s="859">
        <f t="shared" si="4"/>
        <v>243620000</v>
      </c>
      <c r="AD31" s="859">
        <f>+'SUMM BY CLUSTER- CURRENT'!AD42</f>
        <v>117648675.23999998</v>
      </c>
      <c r="AE31" s="859">
        <f>+'SUMM BY CLUSTER- CURRENT'!AE42</f>
        <v>40509185.180000007</v>
      </c>
      <c r="AF31" s="859">
        <f>+'SUMM BY CLUSTER- CURRENT'!AF42</f>
        <v>0</v>
      </c>
      <c r="AG31" s="859">
        <f t="shared" ref="AG31" si="45">SUM(AD31:AF31)</f>
        <v>158157860.41999999</v>
      </c>
      <c r="AH31" s="859">
        <f>+'SUMM BY CLUSTER- CURRENT'!AH42</f>
        <v>0</v>
      </c>
      <c r="AI31" s="859">
        <f>+'SUMM BY CLUSTER- CURRENT'!AI42</f>
        <v>15829869.209999999</v>
      </c>
      <c r="AJ31" s="859">
        <f>+'SUMM BY CLUSTER- CURRENT'!AJ42</f>
        <v>44985805</v>
      </c>
      <c r="AK31" s="859">
        <f t="shared" ref="AK31" si="46">SUM(AH31:AJ31)</f>
        <v>60815674.210000001</v>
      </c>
      <c r="AL31" s="859">
        <f t="shared" ref="AL31:AN31" si="47">+AH31+AD31</f>
        <v>117648675.23999998</v>
      </c>
      <c r="AM31" s="859">
        <f t="shared" si="47"/>
        <v>56339054.390000008</v>
      </c>
      <c r="AN31" s="859">
        <f t="shared" si="47"/>
        <v>44985805</v>
      </c>
      <c r="AO31" s="859">
        <f t="shared" si="5"/>
        <v>218973534.63</v>
      </c>
      <c r="AP31" s="859">
        <f t="shared" si="21"/>
        <v>10240324.76000002</v>
      </c>
      <c r="AQ31" s="859">
        <f t="shared" si="21"/>
        <v>14391945.609999992</v>
      </c>
      <c r="AR31" s="859">
        <f t="shared" si="21"/>
        <v>14195</v>
      </c>
      <c r="AS31" s="859">
        <f t="shared" si="7"/>
        <v>24646465.370000012</v>
      </c>
      <c r="AT31" s="886">
        <f t="shared" si="8"/>
        <v>0.91992802539702379</v>
      </c>
      <c r="AU31" s="886">
        <f t="shared" si="8"/>
        <v>0.79652563077010097</v>
      </c>
      <c r="AV31" s="886">
        <f t="shared" si="8"/>
        <v>0.99968455555555558</v>
      </c>
      <c r="AW31" s="886">
        <f t="shared" si="8"/>
        <v>0.89883233983252608</v>
      </c>
      <c r="AX31" s="22">
        <f t="shared" si="22"/>
        <v>0</v>
      </c>
      <c r="AY31" s="22">
        <f t="shared" si="22"/>
        <v>0</v>
      </c>
      <c r="AZ31" s="22">
        <f t="shared" si="22"/>
        <v>0</v>
      </c>
      <c r="BA31" s="22">
        <f t="shared" si="10"/>
        <v>0</v>
      </c>
    </row>
    <row r="32" spans="1:53" s="16" customFormat="1">
      <c r="A32" s="592"/>
      <c r="B32" s="859"/>
      <c r="C32" s="859"/>
      <c r="D32" s="859"/>
      <c r="E32" s="860">
        <f t="shared" si="1"/>
        <v>0</v>
      </c>
      <c r="F32" s="859"/>
      <c r="G32" s="859"/>
      <c r="H32" s="859"/>
      <c r="I32" s="860"/>
      <c r="J32" s="859"/>
      <c r="K32" s="859"/>
      <c r="L32" s="859"/>
      <c r="M32" s="860"/>
      <c r="N32" s="859"/>
      <c r="O32" s="859"/>
      <c r="P32" s="859"/>
      <c r="Q32" s="860">
        <f t="shared" si="2"/>
        <v>0</v>
      </c>
      <c r="R32" s="859"/>
      <c r="S32" s="859"/>
      <c r="T32" s="859"/>
      <c r="U32" s="860"/>
      <c r="V32" s="859"/>
      <c r="W32" s="859"/>
      <c r="X32" s="859"/>
      <c r="Y32" s="860">
        <f t="shared" si="3"/>
        <v>0</v>
      </c>
      <c r="Z32" s="860"/>
      <c r="AA32" s="860"/>
      <c r="AB32" s="860"/>
      <c r="AC32" s="860">
        <f t="shared" si="4"/>
        <v>0</v>
      </c>
      <c r="AD32" s="859"/>
      <c r="AE32" s="859"/>
      <c r="AF32" s="859"/>
      <c r="AG32" s="860"/>
      <c r="AH32" s="859"/>
      <c r="AI32" s="859"/>
      <c r="AJ32" s="859"/>
      <c r="AK32" s="860"/>
      <c r="AL32" s="860"/>
      <c r="AM32" s="860"/>
      <c r="AN32" s="860"/>
      <c r="AO32" s="860">
        <f t="shared" si="5"/>
        <v>0</v>
      </c>
      <c r="AP32" s="860">
        <f t="shared" si="21"/>
        <v>0</v>
      </c>
      <c r="AQ32" s="860">
        <f t="shared" si="21"/>
        <v>0</v>
      </c>
      <c r="AR32" s="860">
        <f t="shared" si="21"/>
        <v>0</v>
      </c>
      <c r="AS32" s="860">
        <f t="shared" si="7"/>
        <v>0</v>
      </c>
      <c r="AT32" s="886" t="str">
        <f t="shared" si="8"/>
        <v xml:space="preserve"> </v>
      </c>
      <c r="AU32" s="886" t="str">
        <f t="shared" si="8"/>
        <v xml:space="preserve"> </v>
      </c>
      <c r="AV32" s="886" t="str">
        <f t="shared" si="8"/>
        <v xml:space="preserve"> </v>
      </c>
      <c r="AW32" s="886" t="str">
        <f t="shared" si="8"/>
        <v xml:space="preserve"> </v>
      </c>
      <c r="AX32" s="22">
        <f t="shared" si="22"/>
        <v>0</v>
      </c>
      <c r="AY32" s="22">
        <f t="shared" si="22"/>
        <v>0</v>
      </c>
      <c r="AZ32" s="22">
        <f t="shared" si="22"/>
        <v>0</v>
      </c>
      <c r="BA32" s="22">
        <f t="shared" si="10"/>
        <v>0</v>
      </c>
    </row>
    <row r="33" spans="1:53" s="903" customFormat="1" ht="16.5">
      <c r="A33" s="901" t="s">
        <v>981</v>
      </c>
      <c r="B33" s="868">
        <f>SUM(B34:B36)</f>
        <v>126459000</v>
      </c>
      <c r="C33" s="868">
        <f t="shared" ref="C33:D33" si="48">SUM(C34:C36)</f>
        <v>198746000</v>
      </c>
      <c r="D33" s="868">
        <f t="shared" si="48"/>
        <v>0</v>
      </c>
      <c r="E33" s="868">
        <f t="shared" si="1"/>
        <v>325205000</v>
      </c>
      <c r="F33" s="868">
        <f t="shared" ref="F33:AN33" si="49">SUM(F34:F36)</f>
        <v>0</v>
      </c>
      <c r="G33" s="868">
        <f t="shared" si="49"/>
        <v>0</v>
      </c>
      <c r="H33" s="868">
        <f t="shared" si="49"/>
        <v>0</v>
      </c>
      <c r="I33" s="868">
        <f t="shared" si="49"/>
        <v>0</v>
      </c>
      <c r="J33" s="868">
        <f t="shared" si="49"/>
        <v>126459000</v>
      </c>
      <c r="K33" s="868">
        <f t="shared" si="49"/>
        <v>198746000</v>
      </c>
      <c r="L33" s="868">
        <f t="shared" si="49"/>
        <v>0</v>
      </c>
      <c r="M33" s="868">
        <f t="shared" si="49"/>
        <v>325205000</v>
      </c>
      <c r="N33" s="868">
        <f t="shared" si="49"/>
        <v>126459000</v>
      </c>
      <c r="O33" s="868">
        <f t="shared" si="49"/>
        <v>198746000</v>
      </c>
      <c r="P33" s="868">
        <f t="shared" si="49"/>
        <v>0</v>
      </c>
      <c r="Q33" s="868">
        <f t="shared" si="2"/>
        <v>325205000</v>
      </c>
      <c r="R33" s="868">
        <f t="shared" ref="R33:T33" si="50">SUM(R34:R36)</f>
        <v>0</v>
      </c>
      <c r="S33" s="868">
        <f t="shared" si="50"/>
        <v>0</v>
      </c>
      <c r="T33" s="868">
        <f t="shared" si="50"/>
        <v>0</v>
      </c>
      <c r="U33" s="868">
        <f t="shared" si="49"/>
        <v>0</v>
      </c>
      <c r="V33" s="868">
        <f t="shared" si="49"/>
        <v>0</v>
      </c>
      <c r="W33" s="868">
        <f t="shared" si="49"/>
        <v>135594717</v>
      </c>
      <c r="X33" s="868">
        <f t="shared" si="49"/>
        <v>52000000</v>
      </c>
      <c r="Y33" s="868">
        <f t="shared" si="3"/>
        <v>187594717</v>
      </c>
      <c r="Z33" s="868">
        <f t="shared" si="49"/>
        <v>126459000</v>
      </c>
      <c r="AA33" s="868">
        <f t="shared" si="49"/>
        <v>334340717</v>
      </c>
      <c r="AB33" s="868">
        <f t="shared" si="49"/>
        <v>52000000</v>
      </c>
      <c r="AC33" s="868">
        <f t="shared" si="4"/>
        <v>512799717</v>
      </c>
      <c r="AD33" s="868">
        <f t="shared" ref="AD33:AF33" si="51">SUM(AD34:AD36)</f>
        <v>115210349.85000002</v>
      </c>
      <c r="AE33" s="868">
        <f t="shared" si="51"/>
        <v>163142673.00999999</v>
      </c>
      <c r="AF33" s="868">
        <f t="shared" si="51"/>
        <v>0</v>
      </c>
      <c r="AG33" s="868">
        <f t="shared" si="49"/>
        <v>278353022.86000001</v>
      </c>
      <c r="AH33" s="868">
        <f t="shared" si="49"/>
        <v>0</v>
      </c>
      <c r="AI33" s="868">
        <f t="shared" si="49"/>
        <v>106075487.45999999</v>
      </c>
      <c r="AJ33" s="868">
        <f t="shared" si="49"/>
        <v>45415000</v>
      </c>
      <c r="AK33" s="868">
        <f t="shared" si="49"/>
        <v>151490487.45999998</v>
      </c>
      <c r="AL33" s="868">
        <f t="shared" si="49"/>
        <v>115210349.85000002</v>
      </c>
      <c r="AM33" s="868">
        <f t="shared" si="49"/>
        <v>269218160.46999997</v>
      </c>
      <c r="AN33" s="868">
        <f t="shared" si="49"/>
        <v>45415000</v>
      </c>
      <c r="AO33" s="868">
        <f t="shared" si="5"/>
        <v>429843510.31999999</v>
      </c>
      <c r="AP33" s="868">
        <f t="shared" si="21"/>
        <v>11248650.149999976</v>
      </c>
      <c r="AQ33" s="868">
        <f t="shared" si="21"/>
        <v>65122556.530000031</v>
      </c>
      <c r="AR33" s="868">
        <f t="shared" si="21"/>
        <v>6585000</v>
      </c>
      <c r="AS33" s="868">
        <f t="shared" si="7"/>
        <v>82956206.680000007</v>
      </c>
      <c r="AT33" s="902">
        <f t="shared" si="8"/>
        <v>0.91104903446967023</v>
      </c>
      <c r="AU33" s="902">
        <f t="shared" si="8"/>
        <v>0.8052209820139854</v>
      </c>
      <c r="AV33" s="902">
        <f t="shared" si="8"/>
        <v>0.8733653846153846</v>
      </c>
      <c r="AW33" s="902">
        <f t="shared" si="8"/>
        <v>0.8382288368540578</v>
      </c>
      <c r="AX33" s="22">
        <f t="shared" si="22"/>
        <v>0</v>
      </c>
      <c r="AY33" s="22">
        <f t="shared" si="22"/>
        <v>0</v>
      </c>
      <c r="AZ33" s="22">
        <f t="shared" si="22"/>
        <v>0</v>
      </c>
      <c r="BA33" s="22">
        <f t="shared" si="10"/>
        <v>0</v>
      </c>
    </row>
    <row r="34" spans="1:53" s="16" customFormat="1">
      <c r="A34" s="899" t="s">
        <v>1089</v>
      </c>
      <c r="B34" s="859">
        <f>+'SUMM BY CLUSTER- CURRENT'!B45</f>
        <v>57049000</v>
      </c>
      <c r="C34" s="859">
        <f>+'SUMM BY CLUSTER- CURRENT'!C45</f>
        <v>161851000</v>
      </c>
      <c r="D34" s="859">
        <f>+'SUMM BY CLUSTER- CURRENT'!D45</f>
        <v>0</v>
      </c>
      <c r="E34" s="859">
        <f t="shared" si="1"/>
        <v>218900000</v>
      </c>
      <c r="F34" s="859">
        <f>SUM('CY-FUR (REG)- Detail'!G157:G159)</f>
        <v>0</v>
      </c>
      <c r="G34" s="859">
        <f>SUM('CY-FUR (REG)- Detail'!H157:H159)</f>
        <v>0</v>
      </c>
      <c r="H34" s="859">
        <f>SUM('CY-FUR (REG)- Detail'!I157:I159)</f>
        <v>0</v>
      </c>
      <c r="I34" s="859">
        <f>SUM('CY-FUR (REG)- Detail'!J157:J159)</f>
        <v>0</v>
      </c>
      <c r="J34" s="859">
        <f>SUM('CY-FUR (REG)- Detail'!K157:K159)</f>
        <v>57049000</v>
      </c>
      <c r="K34" s="859">
        <f>SUM('CY-FUR (REG)- Detail'!L157:L159)</f>
        <v>161851000</v>
      </c>
      <c r="L34" s="859">
        <f>SUM('CY-FUR (REG)- Detail'!M157:M159)</f>
        <v>0</v>
      </c>
      <c r="M34" s="859">
        <f>SUM('CY-FUR (REG)- Detail'!N157:N159)</f>
        <v>218900000</v>
      </c>
      <c r="N34" s="859">
        <f>+'SUMM BY CLUSTER- CURRENT'!N45</f>
        <v>57049000</v>
      </c>
      <c r="O34" s="859">
        <f>+'SUMM BY CLUSTER- CURRENT'!O45</f>
        <v>161851000</v>
      </c>
      <c r="P34" s="859">
        <f>+'SUMM BY CLUSTER- CURRENT'!P45</f>
        <v>0</v>
      </c>
      <c r="Q34" s="859">
        <f t="shared" si="2"/>
        <v>218900000</v>
      </c>
      <c r="R34" s="859">
        <f>+'SUMM BY CLUSTER- CURRENT'!R45</f>
        <v>0</v>
      </c>
      <c r="S34" s="859">
        <f>+'SUMM BY CLUSTER- CURRENT'!S45</f>
        <v>0</v>
      </c>
      <c r="T34" s="859">
        <f>+'SUMM BY CLUSTER- CURRENT'!T45</f>
        <v>0</v>
      </c>
      <c r="U34" s="859">
        <f>SUM('CY-FUR (REG)- Detail'!V157:V159)</f>
        <v>0</v>
      </c>
      <c r="V34" s="859">
        <f>+'SUMM BY CLUSTER- CURRENT'!V45</f>
        <v>0</v>
      </c>
      <c r="W34" s="859">
        <f>+'SUMM BY CLUSTER- CURRENT'!W45</f>
        <v>124048717</v>
      </c>
      <c r="X34" s="859">
        <f>+'SUMM BY CLUSTER- CURRENT'!X45</f>
        <v>22000000</v>
      </c>
      <c r="Y34" s="859">
        <f t="shared" si="3"/>
        <v>146048717</v>
      </c>
      <c r="Z34" s="859">
        <f>SUM('CY-FUR (REG)- Detail'!AA157:AA159)</f>
        <v>57049000</v>
      </c>
      <c r="AA34" s="859">
        <f>SUM('CY-FUR (REG)- Detail'!AB157:AB159)</f>
        <v>285899717</v>
      </c>
      <c r="AB34" s="859">
        <f>SUM('CY-FUR (REG)- Detail'!AC157:AC159)</f>
        <v>22000000</v>
      </c>
      <c r="AC34" s="859">
        <f t="shared" si="4"/>
        <v>364948717</v>
      </c>
      <c r="AD34" s="859">
        <f>+'SUMM BY CLUSTER- CURRENT'!AD45</f>
        <v>51747575.620000005</v>
      </c>
      <c r="AE34" s="859">
        <f>+'SUMM BY CLUSTER- CURRENT'!AE45</f>
        <v>132958193.12</v>
      </c>
      <c r="AF34" s="859">
        <f>+'SUMM BY CLUSTER- CURRENT'!AF45</f>
        <v>0</v>
      </c>
      <c r="AG34" s="859">
        <f>SUM('CY-FUR (REG)- Detail'!AH157:AH159)</f>
        <v>184705768.74000001</v>
      </c>
      <c r="AH34" s="859">
        <f>+'SUMM BY CLUSTER- CURRENT'!AH45</f>
        <v>0</v>
      </c>
      <c r="AI34" s="859">
        <f>+'SUMM BY CLUSTER- CURRENT'!AI45</f>
        <v>96803491.879999995</v>
      </c>
      <c r="AJ34" s="859">
        <f>+'SUMM BY CLUSTER- CURRENT'!AJ45</f>
        <v>15500000</v>
      </c>
      <c r="AK34" s="859">
        <f>SUM('CY-FUR (REG)- Detail'!AL157:AL159)</f>
        <v>112303491.88</v>
      </c>
      <c r="AL34" s="859">
        <f>SUM('CY-FUR (REG)- Detail'!AM157:AM159)</f>
        <v>51747575.620000005</v>
      </c>
      <c r="AM34" s="859">
        <f>SUM('CY-FUR (REG)- Detail'!AN157:AN159)</f>
        <v>229761685</v>
      </c>
      <c r="AN34" s="859">
        <f>SUM('CY-FUR (REG)- Detail'!AO157:AO159)</f>
        <v>15500000</v>
      </c>
      <c r="AO34" s="859">
        <f t="shared" si="5"/>
        <v>297009260.62</v>
      </c>
      <c r="AP34" s="859">
        <f t="shared" si="21"/>
        <v>5301424.3799999952</v>
      </c>
      <c r="AQ34" s="859">
        <f t="shared" si="21"/>
        <v>56138032</v>
      </c>
      <c r="AR34" s="859">
        <f t="shared" si="21"/>
        <v>6500000</v>
      </c>
      <c r="AS34" s="859">
        <f t="shared" si="7"/>
        <v>67939456.379999995</v>
      </c>
      <c r="AT34" s="886">
        <f t="shared" si="8"/>
        <v>0.9070724398324248</v>
      </c>
      <c r="AU34" s="886">
        <f t="shared" si="8"/>
        <v>0.80364432469864944</v>
      </c>
      <c r="AV34" s="886">
        <f t="shared" si="8"/>
        <v>0.70454545454545459</v>
      </c>
      <c r="AW34" s="886">
        <f t="shared" si="8"/>
        <v>0.81383834710124492</v>
      </c>
      <c r="AX34" s="22">
        <f t="shared" si="22"/>
        <v>0</v>
      </c>
      <c r="AY34" s="22">
        <f t="shared" si="22"/>
        <v>0</v>
      </c>
      <c r="AZ34" s="22">
        <f t="shared" si="22"/>
        <v>0</v>
      </c>
      <c r="BA34" s="22">
        <f t="shared" si="10"/>
        <v>0</v>
      </c>
    </row>
    <row r="35" spans="1:53" s="16" customFormat="1">
      <c r="A35" s="899" t="s">
        <v>1055</v>
      </c>
      <c r="B35" s="859">
        <f>+'SUMM BY CLUSTER- CURRENT'!B46</f>
        <v>44111000</v>
      </c>
      <c r="C35" s="859">
        <f>+'SUMM BY CLUSTER- CURRENT'!C46</f>
        <v>16327000</v>
      </c>
      <c r="D35" s="859">
        <f>+'SUMM BY CLUSTER- CURRENT'!D46</f>
        <v>0</v>
      </c>
      <c r="E35" s="859">
        <f t="shared" si="1"/>
        <v>60438000</v>
      </c>
      <c r="F35" s="859">
        <f>+'CY-FUR (REG)- Detail'!G161</f>
        <v>0</v>
      </c>
      <c r="G35" s="859">
        <f>+'CY-FUR (REG)- Detail'!H161</f>
        <v>0</v>
      </c>
      <c r="H35" s="859">
        <f>+'CY-FUR (REG)- Detail'!I161</f>
        <v>0</v>
      </c>
      <c r="I35" s="859">
        <f t="shared" ref="I35" si="52">SUM(F35:H35)</f>
        <v>0</v>
      </c>
      <c r="J35" s="859">
        <f t="shared" ref="J35:L36" si="53">+B35+F35</f>
        <v>44111000</v>
      </c>
      <c r="K35" s="859">
        <f t="shared" si="53"/>
        <v>16327000</v>
      </c>
      <c r="L35" s="859">
        <f t="shared" si="53"/>
        <v>0</v>
      </c>
      <c r="M35" s="859">
        <f t="shared" ref="M35:M36" si="54">SUM(J35:L35)</f>
        <v>60438000</v>
      </c>
      <c r="N35" s="859">
        <f>+'SUMM BY CLUSTER- CURRENT'!N46</f>
        <v>44111000</v>
      </c>
      <c r="O35" s="859">
        <f>+'SUMM BY CLUSTER- CURRENT'!O46</f>
        <v>16327000</v>
      </c>
      <c r="P35" s="859">
        <f>+'SUMM BY CLUSTER- CURRENT'!P46</f>
        <v>0</v>
      </c>
      <c r="Q35" s="859">
        <f t="shared" si="2"/>
        <v>60438000</v>
      </c>
      <c r="R35" s="859">
        <f>+'SUMM BY CLUSTER- CURRENT'!R46</f>
        <v>0</v>
      </c>
      <c r="S35" s="859">
        <f>+'SUMM BY CLUSTER- CURRENT'!S46</f>
        <v>0</v>
      </c>
      <c r="T35" s="859">
        <f>+'SUMM BY CLUSTER- CURRENT'!T46</f>
        <v>0</v>
      </c>
      <c r="U35" s="859">
        <f t="shared" ref="U35:U36" si="55">SUM(R35:T35)</f>
        <v>0</v>
      </c>
      <c r="V35" s="859">
        <f>+'SUMM BY CLUSTER- CURRENT'!V46</f>
        <v>0</v>
      </c>
      <c r="W35" s="859">
        <f>+'SUMM BY CLUSTER- CURRENT'!W46</f>
        <v>4898000</v>
      </c>
      <c r="X35" s="859">
        <f>+'SUMM BY CLUSTER- CURRENT'!X46</f>
        <v>0</v>
      </c>
      <c r="Y35" s="859">
        <f t="shared" si="3"/>
        <v>4898000</v>
      </c>
      <c r="Z35" s="859">
        <f t="shared" ref="Z35:AB36" si="56">+N35+V35+R35</f>
        <v>44111000</v>
      </c>
      <c r="AA35" s="859">
        <f t="shared" si="56"/>
        <v>21225000</v>
      </c>
      <c r="AB35" s="859">
        <f t="shared" si="56"/>
        <v>0</v>
      </c>
      <c r="AC35" s="859">
        <f t="shared" si="4"/>
        <v>65336000</v>
      </c>
      <c r="AD35" s="859">
        <f>+'SUMM BY CLUSTER- CURRENT'!AD46</f>
        <v>40870108.800000004</v>
      </c>
      <c r="AE35" s="859">
        <f>+'SUMM BY CLUSTER- CURRENT'!AE46</f>
        <v>15238096.57</v>
      </c>
      <c r="AF35" s="859">
        <f>+'SUMM BY CLUSTER- CURRENT'!AF46</f>
        <v>0</v>
      </c>
      <c r="AG35" s="859">
        <f t="shared" ref="AG35:AG36" si="57">SUM(AD35:AF35)</f>
        <v>56108205.370000005</v>
      </c>
      <c r="AH35" s="859">
        <f>+'SUMM BY CLUSTER- CURRENT'!AH46</f>
        <v>0</v>
      </c>
      <c r="AI35" s="859">
        <f>+'SUMM BY CLUSTER- CURRENT'!AI46</f>
        <v>3620691.19</v>
      </c>
      <c r="AJ35" s="859">
        <f>+'SUMM BY CLUSTER- CURRENT'!AJ46</f>
        <v>0</v>
      </c>
      <c r="AK35" s="859">
        <f t="shared" ref="AK35:AK36" si="58">SUM(AH35:AJ35)</f>
        <v>3620691.19</v>
      </c>
      <c r="AL35" s="859">
        <f t="shared" ref="AL35:AN36" si="59">+AH35+AD35</f>
        <v>40870108.800000004</v>
      </c>
      <c r="AM35" s="859">
        <f t="shared" si="59"/>
        <v>18858787.760000002</v>
      </c>
      <c r="AN35" s="859">
        <f t="shared" si="59"/>
        <v>0</v>
      </c>
      <c r="AO35" s="859">
        <f t="shared" si="5"/>
        <v>59728896.560000002</v>
      </c>
      <c r="AP35" s="859">
        <f t="shared" si="21"/>
        <v>3240891.1999999955</v>
      </c>
      <c r="AQ35" s="859">
        <f t="shared" si="21"/>
        <v>2366212.2399999984</v>
      </c>
      <c r="AR35" s="859">
        <f t="shared" si="21"/>
        <v>0</v>
      </c>
      <c r="AS35" s="859">
        <f t="shared" si="7"/>
        <v>5607103.4399999939</v>
      </c>
      <c r="AT35" s="886">
        <f t="shared" si="8"/>
        <v>0.92652872979528922</v>
      </c>
      <c r="AU35" s="886">
        <f t="shared" si="8"/>
        <v>0.8885176800942286</v>
      </c>
      <c r="AV35" s="886" t="str">
        <f t="shared" si="8"/>
        <v xml:space="preserve"> </v>
      </c>
      <c r="AW35" s="886">
        <f t="shared" si="8"/>
        <v>0.91418049100036736</v>
      </c>
      <c r="AX35" s="22">
        <f t="shared" si="22"/>
        <v>0</v>
      </c>
      <c r="AY35" s="22">
        <f t="shared" si="22"/>
        <v>0</v>
      </c>
      <c r="AZ35" s="22">
        <f t="shared" si="22"/>
        <v>0</v>
      </c>
      <c r="BA35" s="22">
        <f t="shared" si="10"/>
        <v>0</v>
      </c>
    </row>
    <row r="36" spans="1:53" s="16" customFormat="1">
      <c r="A36" s="899" t="s">
        <v>978</v>
      </c>
      <c r="B36" s="859">
        <f>+'SUMM BY CLUSTER- CURRENT'!B47</f>
        <v>25299000</v>
      </c>
      <c r="C36" s="859">
        <f>+'SUMM BY CLUSTER- CURRENT'!C47</f>
        <v>20568000</v>
      </c>
      <c r="D36" s="859">
        <f>+'SUMM BY CLUSTER- CURRENT'!D47</f>
        <v>0</v>
      </c>
      <c r="E36" s="859">
        <f t="shared" si="1"/>
        <v>45867000</v>
      </c>
      <c r="F36" s="859">
        <f>+'CY-FUR (REG)- Detail'!G162</f>
        <v>0</v>
      </c>
      <c r="G36" s="859">
        <f>+'CY-FUR (REG)- Detail'!H162</f>
        <v>0</v>
      </c>
      <c r="H36" s="859">
        <f>+'CY-FUR (REG)- Detail'!I162</f>
        <v>0</v>
      </c>
      <c r="I36" s="859">
        <f t="shared" ref="I36" si="60">SUM(F36:H36)</f>
        <v>0</v>
      </c>
      <c r="J36" s="859">
        <f t="shared" si="53"/>
        <v>25299000</v>
      </c>
      <c r="K36" s="859">
        <f t="shared" si="53"/>
        <v>20568000</v>
      </c>
      <c r="L36" s="859">
        <f t="shared" si="53"/>
        <v>0</v>
      </c>
      <c r="M36" s="859">
        <f t="shared" si="54"/>
        <v>45867000</v>
      </c>
      <c r="N36" s="859">
        <f>+'SUMM BY CLUSTER- CURRENT'!N47</f>
        <v>25299000</v>
      </c>
      <c r="O36" s="859">
        <f>+'SUMM BY CLUSTER- CURRENT'!O47</f>
        <v>20568000</v>
      </c>
      <c r="P36" s="859">
        <f>+'SUMM BY CLUSTER- CURRENT'!P47</f>
        <v>0</v>
      </c>
      <c r="Q36" s="859">
        <f t="shared" si="2"/>
        <v>45867000</v>
      </c>
      <c r="R36" s="859">
        <f>+'SUMM BY CLUSTER- CURRENT'!R47</f>
        <v>0</v>
      </c>
      <c r="S36" s="859">
        <f>+'SUMM BY CLUSTER- CURRENT'!S47</f>
        <v>0</v>
      </c>
      <c r="T36" s="859">
        <f>+'SUMM BY CLUSTER- CURRENT'!T47</f>
        <v>0</v>
      </c>
      <c r="U36" s="859">
        <f t="shared" si="55"/>
        <v>0</v>
      </c>
      <c r="V36" s="859">
        <f>+'SUMM BY CLUSTER- CURRENT'!V47</f>
        <v>0</v>
      </c>
      <c r="W36" s="859">
        <f>+'SUMM BY CLUSTER- CURRENT'!W47</f>
        <v>6648000</v>
      </c>
      <c r="X36" s="859">
        <f>+'SUMM BY CLUSTER- CURRENT'!X47</f>
        <v>30000000</v>
      </c>
      <c r="Y36" s="859">
        <f t="shared" si="3"/>
        <v>36648000</v>
      </c>
      <c r="Z36" s="859">
        <f t="shared" si="56"/>
        <v>25299000</v>
      </c>
      <c r="AA36" s="859">
        <f t="shared" si="56"/>
        <v>27216000</v>
      </c>
      <c r="AB36" s="859">
        <f t="shared" si="56"/>
        <v>30000000</v>
      </c>
      <c r="AC36" s="859">
        <f t="shared" si="4"/>
        <v>82515000</v>
      </c>
      <c r="AD36" s="859">
        <f>+'SUMM BY CLUSTER- CURRENT'!AD47</f>
        <v>22592665.43</v>
      </c>
      <c r="AE36" s="859">
        <f>+'SUMM BY CLUSTER- CURRENT'!AE47</f>
        <v>14946383.320000002</v>
      </c>
      <c r="AF36" s="859">
        <f>+'SUMM BY CLUSTER- CURRENT'!AF47</f>
        <v>0</v>
      </c>
      <c r="AG36" s="859">
        <f t="shared" si="57"/>
        <v>37539048.75</v>
      </c>
      <c r="AH36" s="859">
        <f>+'SUMM BY CLUSTER- CURRENT'!AH47</f>
        <v>0</v>
      </c>
      <c r="AI36" s="859">
        <f>+'SUMM BY CLUSTER- CURRENT'!AI47</f>
        <v>5651304.3900000006</v>
      </c>
      <c r="AJ36" s="859">
        <f>+'SUMM BY CLUSTER- CURRENT'!AJ47</f>
        <v>29915000</v>
      </c>
      <c r="AK36" s="859">
        <f t="shared" si="58"/>
        <v>35566304.390000001</v>
      </c>
      <c r="AL36" s="859">
        <f t="shared" si="59"/>
        <v>22592665.43</v>
      </c>
      <c r="AM36" s="859">
        <f t="shared" si="59"/>
        <v>20597687.710000001</v>
      </c>
      <c r="AN36" s="859">
        <f t="shared" si="59"/>
        <v>29915000</v>
      </c>
      <c r="AO36" s="859">
        <f t="shared" si="5"/>
        <v>73105353.140000001</v>
      </c>
      <c r="AP36" s="859">
        <f t="shared" si="21"/>
        <v>2706334.5700000003</v>
      </c>
      <c r="AQ36" s="859">
        <f t="shared" si="21"/>
        <v>6618312.2899999991</v>
      </c>
      <c r="AR36" s="859">
        <f t="shared" si="21"/>
        <v>85000</v>
      </c>
      <c r="AS36" s="859">
        <f t="shared" si="7"/>
        <v>9409646.8599999994</v>
      </c>
      <c r="AT36" s="886">
        <f t="shared" si="8"/>
        <v>0.89302602592987868</v>
      </c>
      <c r="AU36" s="886">
        <f t="shared" si="8"/>
        <v>0.75682274066725463</v>
      </c>
      <c r="AV36" s="886">
        <f t="shared" si="8"/>
        <v>0.99716666666666665</v>
      </c>
      <c r="AW36" s="886">
        <f t="shared" si="8"/>
        <v>0.88596440816821187</v>
      </c>
      <c r="AX36" s="22">
        <f t="shared" si="22"/>
        <v>0</v>
      </c>
      <c r="AY36" s="22">
        <f t="shared" si="22"/>
        <v>0</v>
      </c>
      <c r="AZ36" s="22">
        <f t="shared" si="22"/>
        <v>0</v>
      </c>
      <c r="BA36" s="22">
        <f t="shared" si="10"/>
        <v>0</v>
      </c>
    </row>
    <row r="37" spans="1:53" s="16" customFormat="1">
      <c r="A37" s="592"/>
      <c r="B37" s="859"/>
      <c r="C37" s="859"/>
      <c r="D37" s="859"/>
      <c r="E37" s="860">
        <f t="shared" si="1"/>
        <v>0</v>
      </c>
      <c r="F37" s="859"/>
      <c r="G37" s="859"/>
      <c r="H37" s="859"/>
      <c r="I37" s="860"/>
      <c r="J37" s="859"/>
      <c r="K37" s="859"/>
      <c r="L37" s="859"/>
      <c r="M37" s="860"/>
      <c r="N37" s="859"/>
      <c r="O37" s="859"/>
      <c r="P37" s="859"/>
      <c r="Q37" s="860">
        <f t="shared" si="2"/>
        <v>0</v>
      </c>
      <c r="R37" s="859"/>
      <c r="S37" s="859"/>
      <c r="T37" s="859"/>
      <c r="U37" s="860"/>
      <c r="V37" s="859"/>
      <c r="W37" s="859"/>
      <c r="X37" s="859"/>
      <c r="Y37" s="860">
        <f t="shared" si="3"/>
        <v>0</v>
      </c>
      <c r="Z37" s="860"/>
      <c r="AA37" s="860"/>
      <c r="AB37" s="860"/>
      <c r="AC37" s="860">
        <f t="shared" si="4"/>
        <v>0</v>
      </c>
      <c r="AD37" s="859"/>
      <c r="AE37" s="859"/>
      <c r="AF37" s="859"/>
      <c r="AG37" s="860"/>
      <c r="AH37" s="859"/>
      <c r="AI37" s="859"/>
      <c r="AJ37" s="859"/>
      <c r="AK37" s="860"/>
      <c r="AL37" s="860"/>
      <c r="AM37" s="860"/>
      <c r="AN37" s="860"/>
      <c r="AO37" s="860">
        <f t="shared" si="5"/>
        <v>0</v>
      </c>
      <c r="AP37" s="860">
        <f t="shared" si="21"/>
        <v>0</v>
      </c>
      <c r="AQ37" s="860">
        <f t="shared" si="21"/>
        <v>0</v>
      </c>
      <c r="AR37" s="860">
        <f t="shared" si="21"/>
        <v>0</v>
      </c>
      <c r="AS37" s="860">
        <f t="shared" si="7"/>
        <v>0</v>
      </c>
      <c r="AT37" s="886" t="str">
        <f t="shared" si="8"/>
        <v xml:space="preserve"> </v>
      </c>
      <c r="AU37" s="886" t="str">
        <f t="shared" si="8"/>
        <v xml:space="preserve"> </v>
      </c>
      <c r="AV37" s="886" t="str">
        <f t="shared" si="8"/>
        <v xml:space="preserve"> </v>
      </c>
      <c r="AW37" s="886" t="str">
        <f t="shared" si="8"/>
        <v xml:space="preserve"> </v>
      </c>
      <c r="AX37" s="22">
        <f t="shared" si="22"/>
        <v>0</v>
      </c>
      <c r="AY37" s="22">
        <f t="shared" si="22"/>
        <v>0</v>
      </c>
      <c r="AZ37" s="22">
        <f t="shared" si="22"/>
        <v>0</v>
      </c>
      <c r="BA37" s="22">
        <f t="shared" si="10"/>
        <v>0</v>
      </c>
    </row>
    <row r="38" spans="1:53" s="903" customFormat="1" ht="16.5">
      <c r="A38" s="901" t="s">
        <v>983</v>
      </c>
      <c r="B38" s="868">
        <f>SUM(B39:B42)</f>
        <v>422052000</v>
      </c>
      <c r="C38" s="868">
        <f t="shared" ref="C38:D38" si="61">SUM(C39:C42)</f>
        <v>346190000</v>
      </c>
      <c r="D38" s="868">
        <f t="shared" si="61"/>
        <v>0</v>
      </c>
      <c r="E38" s="868">
        <f t="shared" si="1"/>
        <v>768242000</v>
      </c>
      <c r="F38" s="868">
        <f t="shared" ref="F38:AN38" si="62">SUM(F39:F42)</f>
        <v>840825</v>
      </c>
      <c r="G38" s="868">
        <f t="shared" si="62"/>
        <v>-840825</v>
      </c>
      <c r="H38" s="868">
        <f t="shared" si="62"/>
        <v>0</v>
      </c>
      <c r="I38" s="868">
        <f t="shared" si="62"/>
        <v>0</v>
      </c>
      <c r="J38" s="868">
        <f t="shared" si="62"/>
        <v>422892825</v>
      </c>
      <c r="K38" s="868">
        <f t="shared" si="62"/>
        <v>345349175</v>
      </c>
      <c r="L38" s="868">
        <f t="shared" si="62"/>
        <v>0</v>
      </c>
      <c r="M38" s="868">
        <f t="shared" si="62"/>
        <v>768242000</v>
      </c>
      <c r="N38" s="868">
        <f t="shared" si="62"/>
        <v>422892825</v>
      </c>
      <c r="O38" s="868">
        <f t="shared" si="62"/>
        <v>345349175</v>
      </c>
      <c r="P38" s="868">
        <f t="shared" si="62"/>
        <v>0</v>
      </c>
      <c r="Q38" s="868">
        <f t="shared" si="2"/>
        <v>768242000</v>
      </c>
      <c r="R38" s="868">
        <f t="shared" ref="R38:T38" si="63">SUM(R39:R42)</f>
        <v>0</v>
      </c>
      <c r="S38" s="868">
        <f t="shared" si="63"/>
        <v>0</v>
      </c>
      <c r="T38" s="868">
        <f t="shared" si="63"/>
        <v>0</v>
      </c>
      <c r="U38" s="868">
        <f t="shared" si="62"/>
        <v>0</v>
      </c>
      <c r="V38" s="868">
        <f t="shared" si="62"/>
        <v>0</v>
      </c>
      <c r="W38" s="868">
        <f t="shared" si="62"/>
        <v>298964398</v>
      </c>
      <c r="X38" s="868">
        <f t="shared" si="62"/>
        <v>293107051</v>
      </c>
      <c r="Y38" s="868">
        <f t="shared" si="3"/>
        <v>592071449</v>
      </c>
      <c r="Z38" s="868">
        <f t="shared" si="62"/>
        <v>422892825</v>
      </c>
      <c r="AA38" s="868">
        <f t="shared" si="62"/>
        <v>644313573</v>
      </c>
      <c r="AB38" s="868">
        <f t="shared" si="62"/>
        <v>293107051</v>
      </c>
      <c r="AC38" s="868">
        <f t="shared" si="4"/>
        <v>1360313449</v>
      </c>
      <c r="AD38" s="868">
        <f t="shared" ref="AD38:AF38" si="64">SUM(AD39:AD42)</f>
        <v>387170938.01999998</v>
      </c>
      <c r="AE38" s="868">
        <f t="shared" si="64"/>
        <v>255183092.64000005</v>
      </c>
      <c r="AF38" s="868">
        <f t="shared" si="64"/>
        <v>0</v>
      </c>
      <c r="AG38" s="868">
        <f t="shared" si="62"/>
        <v>642354030.65999997</v>
      </c>
      <c r="AH38" s="868">
        <f t="shared" si="62"/>
        <v>0</v>
      </c>
      <c r="AI38" s="868">
        <f t="shared" si="62"/>
        <v>264323745.13</v>
      </c>
      <c r="AJ38" s="868">
        <f t="shared" si="62"/>
        <v>279384702.78000003</v>
      </c>
      <c r="AK38" s="868">
        <f t="shared" si="62"/>
        <v>543708447.90999997</v>
      </c>
      <c r="AL38" s="868">
        <f t="shared" si="62"/>
        <v>387170938.01999998</v>
      </c>
      <c r="AM38" s="868">
        <f t="shared" si="62"/>
        <v>519506837.76999998</v>
      </c>
      <c r="AN38" s="868">
        <f t="shared" si="62"/>
        <v>279384702.78000003</v>
      </c>
      <c r="AO38" s="868">
        <f t="shared" si="5"/>
        <v>1186062478.5699999</v>
      </c>
      <c r="AP38" s="868">
        <f t="shared" si="21"/>
        <v>35721886.980000019</v>
      </c>
      <c r="AQ38" s="868">
        <f t="shared" si="21"/>
        <v>124806735.23000002</v>
      </c>
      <c r="AR38" s="868">
        <f t="shared" si="21"/>
        <v>13722348.219999969</v>
      </c>
      <c r="AS38" s="868">
        <f t="shared" si="7"/>
        <v>174250970.43000001</v>
      </c>
      <c r="AT38" s="902">
        <f t="shared" si="8"/>
        <v>0.91552969246995375</v>
      </c>
      <c r="AU38" s="902">
        <f t="shared" si="8"/>
        <v>0.80629503946520154</v>
      </c>
      <c r="AV38" s="902">
        <f t="shared" si="8"/>
        <v>0.95318315211734717</v>
      </c>
      <c r="AW38" s="902">
        <f t="shared" si="8"/>
        <v>0.8719038097005537</v>
      </c>
      <c r="AX38" s="22">
        <f t="shared" si="22"/>
        <v>0</v>
      </c>
      <c r="AY38" s="22">
        <f t="shared" si="22"/>
        <v>0</v>
      </c>
      <c r="AZ38" s="22">
        <f t="shared" si="22"/>
        <v>0</v>
      </c>
      <c r="BA38" s="22">
        <f t="shared" si="10"/>
        <v>0</v>
      </c>
    </row>
    <row r="39" spans="1:53" s="16" customFormat="1">
      <c r="A39" s="899" t="s">
        <v>1090</v>
      </c>
      <c r="B39" s="859">
        <f>+'SUMM BY CLUSTER- CURRENT'!B50</f>
        <v>91979000</v>
      </c>
      <c r="C39" s="859">
        <f>+'SUMM BY CLUSTER- CURRENT'!C50</f>
        <v>204747000</v>
      </c>
      <c r="D39" s="859">
        <f>+'SUMM BY CLUSTER- CURRENT'!D50</f>
        <v>0</v>
      </c>
      <c r="E39" s="859">
        <f t="shared" si="1"/>
        <v>296726000</v>
      </c>
      <c r="F39" s="859">
        <f>SUM('CY-FUR (REG)- Detail'!G165:G167)</f>
        <v>840825</v>
      </c>
      <c r="G39" s="859">
        <f>SUM('CY-FUR (REG)- Detail'!H165:H167)</f>
        <v>-840825</v>
      </c>
      <c r="H39" s="859">
        <f>SUM('CY-FUR (REG)- Detail'!I165:I167)</f>
        <v>0</v>
      </c>
      <c r="I39" s="859">
        <f>SUM('CY-FUR (REG)- Detail'!J165:J167)</f>
        <v>0</v>
      </c>
      <c r="J39" s="859">
        <f>SUM('CY-FUR (REG)- Detail'!K165:K167)</f>
        <v>92819825</v>
      </c>
      <c r="K39" s="859">
        <f>SUM('CY-FUR (REG)- Detail'!L165:L167)</f>
        <v>203906175</v>
      </c>
      <c r="L39" s="859">
        <f>SUM('CY-FUR (REG)- Detail'!M165:M167)</f>
        <v>0</v>
      </c>
      <c r="M39" s="859">
        <f>SUM('CY-FUR (REG)- Detail'!N165:N167)</f>
        <v>296726000</v>
      </c>
      <c r="N39" s="859">
        <f>+'SUMM BY CLUSTER- CURRENT'!N50</f>
        <v>92819825</v>
      </c>
      <c r="O39" s="859">
        <f>+'SUMM BY CLUSTER- CURRENT'!O50</f>
        <v>203906175</v>
      </c>
      <c r="P39" s="859">
        <f>+'SUMM BY CLUSTER- CURRENT'!P50</f>
        <v>0</v>
      </c>
      <c r="Q39" s="859">
        <f t="shared" si="2"/>
        <v>296726000</v>
      </c>
      <c r="R39" s="859">
        <f>+'SUMM BY CLUSTER- CURRENT'!R50</f>
        <v>0</v>
      </c>
      <c r="S39" s="859">
        <f>+'SUMM BY CLUSTER- CURRENT'!S50</f>
        <v>0</v>
      </c>
      <c r="T39" s="859">
        <f>+'SUMM BY CLUSTER- CURRENT'!T50</f>
        <v>0</v>
      </c>
      <c r="U39" s="859">
        <f>SUM('CY-FUR (REG)- Detail'!V165:V167)</f>
        <v>0</v>
      </c>
      <c r="V39" s="859">
        <f>+'SUMM BY CLUSTER- CURRENT'!V50</f>
        <v>0</v>
      </c>
      <c r="W39" s="859">
        <f>+'SUMM BY CLUSTER- CURRENT'!W50</f>
        <v>220641643</v>
      </c>
      <c r="X39" s="859">
        <f>+'SUMM BY CLUSTER- CURRENT'!X50</f>
        <v>68107051</v>
      </c>
      <c r="Y39" s="859">
        <f t="shared" si="3"/>
        <v>288748694</v>
      </c>
      <c r="Z39" s="859">
        <f>SUM('CY-FUR (REG)- Detail'!AA165:AA167)</f>
        <v>92819825</v>
      </c>
      <c r="AA39" s="859">
        <f>SUM('CY-FUR (REG)- Detail'!AB165:AB167)</f>
        <v>424547818</v>
      </c>
      <c r="AB39" s="859">
        <f>SUM('CY-FUR (REG)- Detail'!AC165:AC167)</f>
        <v>68107051</v>
      </c>
      <c r="AC39" s="859">
        <f t="shared" si="4"/>
        <v>585474694</v>
      </c>
      <c r="AD39" s="859">
        <f>+'SUMM BY CLUSTER- CURRENT'!AD50</f>
        <v>80381657.429999992</v>
      </c>
      <c r="AE39" s="859">
        <f>+'SUMM BY CLUSTER- CURRENT'!AE50</f>
        <v>143779800.47000003</v>
      </c>
      <c r="AF39" s="859">
        <f>+'SUMM BY CLUSTER- CURRENT'!AF50</f>
        <v>0</v>
      </c>
      <c r="AG39" s="859">
        <f>SUM('CY-FUR (REG)- Detail'!AH165:AH167)</f>
        <v>224161457.90000004</v>
      </c>
      <c r="AH39" s="859">
        <f>+'SUMM BY CLUSTER- CURRENT'!AH50</f>
        <v>0</v>
      </c>
      <c r="AI39" s="859">
        <f>+'SUMM BY CLUSTER- CURRENT'!AI50</f>
        <v>206363901.97999999</v>
      </c>
      <c r="AJ39" s="859">
        <f>+'SUMM BY CLUSTER- CURRENT'!AJ50</f>
        <v>63088957.359999999</v>
      </c>
      <c r="AK39" s="859">
        <f>SUM('CY-FUR (REG)- Detail'!AL165:AL167)</f>
        <v>269452859.33999997</v>
      </c>
      <c r="AL39" s="859">
        <f>SUM('CY-FUR (REG)- Detail'!AM165:AM167)</f>
        <v>80381657.429999992</v>
      </c>
      <c r="AM39" s="859">
        <f>SUM('CY-FUR (REG)- Detail'!AN165:AN167)</f>
        <v>350143702.44999999</v>
      </c>
      <c r="AN39" s="859">
        <f>SUM('CY-FUR (REG)- Detail'!AO165:AO167)</f>
        <v>63088957.359999999</v>
      </c>
      <c r="AO39" s="859">
        <f t="shared" si="5"/>
        <v>493614317.24000001</v>
      </c>
      <c r="AP39" s="859">
        <f t="shared" si="21"/>
        <v>12438167.570000008</v>
      </c>
      <c r="AQ39" s="859">
        <f t="shared" si="21"/>
        <v>74404115.550000012</v>
      </c>
      <c r="AR39" s="859">
        <f t="shared" si="21"/>
        <v>5018093.6400000006</v>
      </c>
      <c r="AS39" s="859">
        <f t="shared" si="7"/>
        <v>91860376.76000002</v>
      </c>
      <c r="AT39" s="886">
        <f t="shared" si="8"/>
        <v>0.86599664920721398</v>
      </c>
      <c r="AU39" s="886">
        <f t="shared" si="8"/>
        <v>0.82474502895690305</v>
      </c>
      <c r="AV39" s="886">
        <f t="shared" si="8"/>
        <v>0.92632049741810141</v>
      </c>
      <c r="AW39" s="886">
        <f t="shared" si="8"/>
        <v>0.84310102946994325</v>
      </c>
      <c r="AX39" s="22">
        <f t="shared" si="22"/>
        <v>0</v>
      </c>
      <c r="AY39" s="22">
        <f t="shared" si="22"/>
        <v>0</v>
      </c>
      <c r="AZ39" s="22">
        <f t="shared" si="22"/>
        <v>0</v>
      </c>
      <c r="BA39" s="22">
        <f t="shared" si="10"/>
        <v>0</v>
      </c>
    </row>
    <row r="40" spans="1:53" s="16" customFormat="1" ht="14.25" customHeight="1">
      <c r="A40" s="904" t="s">
        <v>985</v>
      </c>
      <c r="B40" s="859">
        <f>+'SUMM BY CLUSTER- CURRENT'!B51</f>
        <v>193074000</v>
      </c>
      <c r="C40" s="859">
        <f>+'SUMM BY CLUSTER- CURRENT'!C51</f>
        <v>82464000</v>
      </c>
      <c r="D40" s="859">
        <f>+'SUMM BY CLUSTER- CURRENT'!D51</f>
        <v>0</v>
      </c>
      <c r="E40" s="859">
        <f t="shared" si="1"/>
        <v>275538000</v>
      </c>
      <c r="F40" s="859">
        <f>+'CY-FUR (REG)- Detail'!G169</f>
        <v>0</v>
      </c>
      <c r="G40" s="859">
        <f>+'CY-FUR (REG)- Detail'!H169</f>
        <v>0</v>
      </c>
      <c r="H40" s="859">
        <f>+'CY-FUR (REG)- Detail'!I169</f>
        <v>0</v>
      </c>
      <c r="I40" s="859">
        <f t="shared" ref="I40" si="65">SUM(F40:H40)</f>
        <v>0</v>
      </c>
      <c r="J40" s="859">
        <f t="shared" ref="J40:L42" si="66">+B40+F40</f>
        <v>193074000</v>
      </c>
      <c r="K40" s="859">
        <f t="shared" si="66"/>
        <v>82464000</v>
      </c>
      <c r="L40" s="859">
        <f t="shared" si="66"/>
        <v>0</v>
      </c>
      <c r="M40" s="859">
        <f t="shared" ref="M40:M42" si="67">SUM(J40:L40)</f>
        <v>275538000</v>
      </c>
      <c r="N40" s="859">
        <f>+'SUMM BY CLUSTER- CURRENT'!N51</f>
        <v>193074000</v>
      </c>
      <c r="O40" s="859">
        <f>+'SUMM BY CLUSTER- CURRENT'!O51</f>
        <v>82464000</v>
      </c>
      <c r="P40" s="859">
        <f>+'SUMM BY CLUSTER- CURRENT'!P51</f>
        <v>0</v>
      </c>
      <c r="Q40" s="859">
        <f t="shared" si="2"/>
        <v>275538000</v>
      </c>
      <c r="R40" s="859">
        <f>+'SUMM BY CLUSTER- CURRENT'!R51</f>
        <v>0</v>
      </c>
      <c r="S40" s="859">
        <f>+'SUMM BY CLUSTER- CURRENT'!S51</f>
        <v>0</v>
      </c>
      <c r="T40" s="859">
        <f>+'SUMM BY CLUSTER- CURRENT'!T51</f>
        <v>0</v>
      </c>
      <c r="U40" s="859">
        <f t="shared" ref="U40:U42" si="68">SUM(R40:T40)</f>
        <v>0</v>
      </c>
      <c r="V40" s="859">
        <f>+'SUMM BY CLUSTER- CURRENT'!V51</f>
        <v>0</v>
      </c>
      <c r="W40" s="859">
        <f>+'SUMM BY CLUSTER- CURRENT'!W51</f>
        <v>46083477</v>
      </c>
      <c r="X40" s="859">
        <f>+'SUMM BY CLUSTER- CURRENT'!X51</f>
        <v>200000000</v>
      </c>
      <c r="Y40" s="859">
        <f t="shared" si="3"/>
        <v>246083477</v>
      </c>
      <c r="Z40" s="859">
        <f t="shared" ref="Z40:AB42" si="69">+N40+V40+R40</f>
        <v>193074000</v>
      </c>
      <c r="AA40" s="859">
        <f t="shared" si="69"/>
        <v>128547477</v>
      </c>
      <c r="AB40" s="859">
        <f t="shared" si="69"/>
        <v>200000000</v>
      </c>
      <c r="AC40" s="859">
        <f t="shared" si="4"/>
        <v>521621477</v>
      </c>
      <c r="AD40" s="859">
        <f>+'SUMM BY CLUSTER- CURRENT'!AD51</f>
        <v>180282388.15999997</v>
      </c>
      <c r="AE40" s="859">
        <f>+'SUMM BY CLUSTER- CURRENT'!AE51</f>
        <v>70939207.879999995</v>
      </c>
      <c r="AF40" s="859">
        <f>+'SUMM BY CLUSTER- CURRENT'!AF51</f>
        <v>0</v>
      </c>
      <c r="AG40" s="859">
        <f t="shared" ref="AG40:AG42" si="70">SUM(AD40:AF40)</f>
        <v>251221596.03999996</v>
      </c>
      <c r="AH40" s="859">
        <f>+'SUMM BY CLUSTER- CURRENT'!AH51</f>
        <v>0</v>
      </c>
      <c r="AI40" s="859">
        <f>+'SUMM BY CLUSTER- CURRENT'!AI51</f>
        <v>35641249.130000003</v>
      </c>
      <c r="AJ40" s="859">
        <f>+'SUMM BY CLUSTER- CURRENT'!AJ51</f>
        <v>191409165.19999999</v>
      </c>
      <c r="AK40" s="859">
        <f t="shared" ref="AK40:AK42" si="71">SUM(AH40:AJ40)</f>
        <v>227050414.32999998</v>
      </c>
      <c r="AL40" s="859">
        <f t="shared" ref="AL40:AN42" si="72">+AH40+AD40</f>
        <v>180282388.15999997</v>
      </c>
      <c r="AM40" s="859">
        <f t="shared" si="72"/>
        <v>106580457.00999999</v>
      </c>
      <c r="AN40" s="859">
        <f t="shared" si="72"/>
        <v>191409165.19999999</v>
      </c>
      <c r="AO40" s="859">
        <f t="shared" si="5"/>
        <v>478272010.36999995</v>
      </c>
      <c r="AP40" s="859">
        <f t="shared" si="21"/>
        <v>12791611.840000033</v>
      </c>
      <c r="AQ40" s="859">
        <f t="shared" si="21"/>
        <v>21967019.99000001</v>
      </c>
      <c r="AR40" s="859">
        <f t="shared" si="21"/>
        <v>8590834.8000000119</v>
      </c>
      <c r="AS40" s="859">
        <f t="shared" si="7"/>
        <v>43349466.630000055</v>
      </c>
      <c r="AT40" s="886">
        <f t="shared" si="8"/>
        <v>0.93374762091218899</v>
      </c>
      <c r="AU40" s="886">
        <f t="shared" si="8"/>
        <v>0.82911356564392147</v>
      </c>
      <c r="AV40" s="886">
        <f t="shared" si="8"/>
        <v>0.95704582599999999</v>
      </c>
      <c r="AW40" s="886">
        <f t="shared" si="8"/>
        <v>0.91689478186497286</v>
      </c>
      <c r="AX40" s="22">
        <f t="shared" si="22"/>
        <v>0</v>
      </c>
      <c r="AY40" s="22">
        <f t="shared" si="22"/>
        <v>0</v>
      </c>
      <c r="AZ40" s="22">
        <f t="shared" si="22"/>
        <v>0</v>
      </c>
      <c r="BA40" s="22">
        <f t="shared" si="10"/>
        <v>0</v>
      </c>
    </row>
    <row r="41" spans="1:53" s="16" customFormat="1">
      <c r="A41" s="899" t="s">
        <v>986</v>
      </c>
      <c r="B41" s="859">
        <f>+'SUMM BY CLUSTER- CURRENT'!B52</f>
        <v>113914000</v>
      </c>
      <c r="C41" s="859">
        <f>+'SUMM BY CLUSTER- CURRENT'!C52</f>
        <v>46432000</v>
      </c>
      <c r="D41" s="859">
        <f>+'SUMM BY CLUSTER- CURRENT'!D52</f>
        <v>0</v>
      </c>
      <c r="E41" s="859">
        <f t="shared" si="1"/>
        <v>160346000</v>
      </c>
      <c r="F41" s="859">
        <f>+'CY-FUR (REG)- Detail'!G170</f>
        <v>0</v>
      </c>
      <c r="G41" s="859">
        <f>+'CY-FUR (REG)- Detail'!H170</f>
        <v>0</v>
      </c>
      <c r="H41" s="859">
        <f>+'CY-FUR (REG)- Detail'!I170</f>
        <v>0</v>
      </c>
      <c r="I41" s="859">
        <f t="shared" ref="I41:I42" si="73">SUM(F41:H41)</f>
        <v>0</v>
      </c>
      <c r="J41" s="859">
        <f t="shared" si="66"/>
        <v>113914000</v>
      </c>
      <c r="K41" s="859">
        <f t="shared" si="66"/>
        <v>46432000</v>
      </c>
      <c r="L41" s="859">
        <f t="shared" si="66"/>
        <v>0</v>
      </c>
      <c r="M41" s="859">
        <f t="shared" si="67"/>
        <v>160346000</v>
      </c>
      <c r="N41" s="859">
        <f>+'SUMM BY CLUSTER- CURRENT'!N52</f>
        <v>113914000</v>
      </c>
      <c r="O41" s="859">
        <f>+'SUMM BY CLUSTER- CURRENT'!O52</f>
        <v>46432000</v>
      </c>
      <c r="P41" s="859">
        <f>+'SUMM BY CLUSTER- CURRENT'!P52</f>
        <v>0</v>
      </c>
      <c r="Q41" s="859">
        <f t="shared" si="2"/>
        <v>160346000</v>
      </c>
      <c r="R41" s="859">
        <f>+'SUMM BY CLUSTER- CURRENT'!R52</f>
        <v>0</v>
      </c>
      <c r="S41" s="859">
        <f>+'SUMM BY CLUSTER- CURRENT'!S52</f>
        <v>0</v>
      </c>
      <c r="T41" s="859">
        <f>+'SUMM BY CLUSTER- CURRENT'!T52</f>
        <v>0</v>
      </c>
      <c r="U41" s="859">
        <f t="shared" si="68"/>
        <v>0</v>
      </c>
      <c r="V41" s="859">
        <f>+'SUMM BY CLUSTER- CURRENT'!V52</f>
        <v>0</v>
      </c>
      <c r="W41" s="859">
        <f>+'SUMM BY CLUSTER- CURRENT'!W52</f>
        <v>25980978</v>
      </c>
      <c r="X41" s="859">
        <f>+'SUMM BY CLUSTER- CURRENT'!X52</f>
        <v>20000000</v>
      </c>
      <c r="Y41" s="859">
        <f t="shared" si="3"/>
        <v>45980978</v>
      </c>
      <c r="Z41" s="859">
        <f t="shared" si="69"/>
        <v>113914000</v>
      </c>
      <c r="AA41" s="859">
        <f t="shared" si="69"/>
        <v>72412978</v>
      </c>
      <c r="AB41" s="859">
        <f t="shared" si="69"/>
        <v>20000000</v>
      </c>
      <c r="AC41" s="859">
        <f t="shared" si="4"/>
        <v>206326978</v>
      </c>
      <c r="AD41" s="859">
        <f>+'SUMM BY CLUSTER- CURRENT'!AD52</f>
        <v>105558631.65000002</v>
      </c>
      <c r="AE41" s="859">
        <f>+'SUMM BY CLUSTER- CURRENT'!AE52</f>
        <v>29751912.93</v>
      </c>
      <c r="AF41" s="859">
        <f>+'SUMM BY CLUSTER- CURRENT'!AF52</f>
        <v>0</v>
      </c>
      <c r="AG41" s="859">
        <f t="shared" si="70"/>
        <v>135310544.58000001</v>
      </c>
      <c r="AH41" s="859">
        <f>+'SUMM BY CLUSTER- CURRENT'!AH52</f>
        <v>0</v>
      </c>
      <c r="AI41" s="859">
        <f>+'SUMM BY CLUSTER- CURRENT'!AI52</f>
        <v>19093113.43</v>
      </c>
      <c r="AJ41" s="859">
        <f>+'SUMM BY CLUSTER- CURRENT'!AJ52</f>
        <v>19995795</v>
      </c>
      <c r="AK41" s="859">
        <f t="shared" si="71"/>
        <v>39088908.43</v>
      </c>
      <c r="AL41" s="859">
        <f t="shared" si="72"/>
        <v>105558631.65000002</v>
      </c>
      <c r="AM41" s="859">
        <f t="shared" si="72"/>
        <v>48845026.359999999</v>
      </c>
      <c r="AN41" s="859">
        <f t="shared" si="72"/>
        <v>19995795</v>
      </c>
      <c r="AO41" s="859">
        <f t="shared" si="5"/>
        <v>174399453.01000002</v>
      </c>
      <c r="AP41" s="859">
        <f t="shared" si="21"/>
        <v>8355368.3499999791</v>
      </c>
      <c r="AQ41" s="859">
        <f t="shared" si="21"/>
        <v>23567951.640000001</v>
      </c>
      <c r="AR41" s="859">
        <f t="shared" si="21"/>
        <v>4205</v>
      </c>
      <c r="AS41" s="859">
        <f t="shared" si="7"/>
        <v>31927524.98999998</v>
      </c>
      <c r="AT41" s="886">
        <f t="shared" si="8"/>
        <v>0.92665196244535375</v>
      </c>
      <c r="AU41" s="886">
        <f t="shared" si="8"/>
        <v>0.67453414718008142</v>
      </c>
      <c r="AV41" s="886">
        <f t="shared" si="8"/>
        <v>0.99978975000000003</v>
      </c>
      <c r="AW41" s="886">
        <f t="shared" si="8"/>
        <v>0.84525763281426058</v>
      </c>
      <c r="AX41" s="22">
        <f t="shared" si="22"/>
        <v>0</v>
      </c>
      <c r="AY41" s="22">
        <f t="shared" si="22"/>
        <v>0</v>
      </c>
      <c r="AZ41" s="22">
        <f t="shared" si="22"/>
        <v>0</v>
      </c>
      <c r="BA41" s="22">
        <f t="shared" si="10"/>
        <v>0</v>
      </c>
    </row>
    <row r="42" spans="1:53" s="16" customFormat="1">
      <c r="A42" s="899" t="s">
        <v>987</v>
      </c>
      <c r="B42" s="859">
        <f>+'SUMM BY CLUSTER- CURRENT'!B53</f>
        <v>23085000</v>
      </c>
      <c r="C42" s="859">
        <f>+'SUMM BY CLUSTER- CURRENT'!C53</f>
        <v>12547000</v>
      </c>
      <c r="D42" s="859">
        <f>+'SUMM BY CLUSTER- CURRENT'!D53</f>
        <v>0</v>
      </c>
      <c r="E42" s="859">
        <f t="shared" si="1"/>
        <v>35632000</v>
      </c>
      <c r="F42" s="859">
        <f>+'CY-FUR (REG)- Detail'!G171</f>
        <v>0</v>
      </c>
      <c r="G42" s="859">
        <f>+'CY-FUR (REG)- Detail'!H171</f>
        <v>0</v>
      </c>
      <c r="H42" s="859">
        <f>+'CY-FUR (REG)- Detail'!I171</f>
        <v>0</v>
      </c>
      <c r="I42" s="859">
        <f t="shared" si="73"/>
        <v>0</v>
      </c>
      <c r="J42" s="859">
        <f t="shared" si="66"/>
        <v>23085000</v>
      </c>
      <c r="K42" s="859">
        <f t="shared" si="66"/>
        <v>12547000</v>
      </c>
      <c r="L42" s="859">
        <f t="shared" si="66"/>
        <v>0</v>
      </c>
      <c r="M42" s="859">
        <f t="shared" si="67"/>
        <v>35632000</v>
      </c>
      <c r="N42" s="859">
        <f>+'SUMM BY CLUSTER- CURRENT'!N53</f>
        <v>23085000</v>
      </c>
      <c r="O42" s="859">
        <f>+'SUMM BY CLUSTER- CURRENT'!O53</f>
        <v>12547000</v>
      </c>
      <c r="P42" s="859">
        <f>+'SUMM BY CLUSTER- CURRENT'!P53</f>
        <v>0</v>
      </c>
      <c r="Q42" s="859">
        <f t="shared" si="2"/>
        <v>35632000</v>
      </c>
      <c r="R42" s="859">
        <f>+'SUMM BY CLUSTER- CURRENT'!R53</f>
        <v>0</v>
      </c>
      <c r="S42" s="859">
        <f>+'SUMM BY CLUSTER- CURRENT'!S53</f>
        <v>0</v>
      </c>
      <c r="T42" s="859">
        <f>+'SUMM BY CLUSTER- CURRENT'!T53</f>
        <v>0</v>
      </c>
      <c r="U42" s="859">
        <f t="shared" si="68"/>
        <v>0</v>
      </c>
      <c r="V42" s="859">
        <f>+'SUMM BY CLUSTER- CURRENT'!V53</f>
        <v>0</v>
      </c>
      <c r="W42" s="859">
        <f>+'SUMM BY CLUSTER- CURRENT'!W53</f>
        <v>6258300</v>
      </c>
      <c r="X42" s="859">
        <f>+'SUMM BY CLUSTER- CURRENT'!X53</f>
        <v>5000000</v>
      </c>
      <c r="Y42" s="859">
        <f t="shared" si="3"/>
        <v>11258300</v>
      </c>
      <c r="Z42" s="859">
        <f t="shared" si="69"/>
        <v>23085000</v>
      </c>
      <c r="AA42" s="859">
        <f t="shared" si="69"/>
        <v>18805300</v>
      </c>
      <c r="AB42" s="859">
        <f t="shared" si="69"/>
        <v>5000000</v>
      </c>
      <c r="AC42" s="859">
        <f t="shared" si="4"/>
        <v>46890300</v>
      </c>
      <c r="AD42" s="859">
        <f>+'SUMM BY CLUSTER- CURRENT'!AD53</f>
        <v>20948260.780000001</v>
      </c>
      <c r="AE42" s="859">
        <f>+'SUMM BY CLUSTER- CURRENT'!AE53</f>
        <v>10712171.359999999</v>
      </c>
      <c r="AF42" s="859">
        <f>+'SUMM BY CLUSTER- CURRENT'!AF53</f>
        <v>0</v>
      </c>
      <c r="AG42" s="859">
        <f t="shared" si="70"/>
        <v>31660432.140000001</v>
      </c>
      <c r="AH42" s="859">
        <f>+'SUMM BY CLUSTER- CURRENT'!AH53</f>
        <v>0</v>
      </c>
      <c r="AI42" s="859">
        <f>+'SUMM BY CLUSTER- CURRENT'!AI53</f>
        <v>3225480.5900000003</v>
      </c>
      <c r="AJ42" s="859">
        <f>+'SUMM BY CLUSTER- CURRENT'!AJ53</f>
        <v>4890785.22</v>
      </c>
      <c r="AK42" s="859">
        <f t="shared" si="71"/>
        <v>8116265.8100000005</v>
      </c>
      <c r="AL42" s="859">
        <f t="shared" si="72"/>
        <v>20948260.780000001</v>
      </c>
      <c r="AM42" s="859">
        <f t="shared" si="72"/>
        <v>13937651.949999999</v>
      </c>
      <c r="AN42" s="859">
        <f t="shared" si="72"/>
        <v>4890785.22</v>
      </c>
      <c r="AO42" s="859">
        <f t="shared" si="5"/>
        <v>39776697.950000003</v>
      </c>
      <c r="AP42" s="859">
        <f t="shared" si="21"/>
        <v>2136739.2199999988</v>
      </c>
      <c r="AQ42" s="859">
        <f t="shared" si="21"/>
        <v>4867648.0500000007</v>
      </c>
      <c r="AR42" s="859">
        <f t="shared" si="21"/>
        <v>109214.78000000026</v>
      </c>
      <c r="AS42" s="859">
        <f t="shared" si="7"/>
        <v>7113602.0499999998</v>
      </c>
      <c r="AT42" s="886">
        <f t="shared" si="8"/>
        <v>0.90744036300628117</v>
      </c>
      <c r="AU42" s="886">
        <f t="shared" si="8"/>
        <v>0.74115552264521167</v>
      </c>
      <c r="AV42" s="886">
        <f t="shared" si="8"/>
        <v>0.97815704399999992</v>
      </c>
      <c r="AW42" s="886">
        <f t="shared" si="8"/>
        <v>0.84829267353802396</v>
      </c>
      <c r="AX42" s="22">
        <f t="shared" si="22"/>
        <v>0</v>
      </c>
      <c r="AY42" s="22">
        <f t="shared" si="22"/>
        <v>0</v>
      </c>
      <c r="AZ42" s="22">
        <f t="shared" si="22"/>
        <v>0</v>
      </c>
      <c r="BA42" s="22">
        <f t="shared" si="10"/>
        <v>0</v>
      </c>
    </row>
    <row r="43" spans="1:53" s="925" customFormat="1" ht="21.75" customHeight="1">
      <c r="A43" s="923" t="s">
        <v>1056</v>
      </c>
      <c r="B43" s="922">
        <f>+B8+B22+B29+B33+B38</f>
        <v>3920618000</v>
      </c>
      <c r="C43" s="922">
        <f t="shared" ref="C43:AS43" si="74">+C8+C22+C29+C33+C38</f>
        <v>2276000000</v>
      </c>
      <c r="D43" s="922">
        <f t="shared" si="74"/>
        <v>0</v>
      </c>
      <c r="E43" s="922">
        <f t="shared" si="74"/>
        <v>6196618000</v>
      </c>
      <c r="F43" s="922">
        <f t="shared" si="74"/>
        <v>49881496</v>
      </c>
      <c r="G43" s="922">
        <f t="shared" si="74"/>
        <v>-49881496</v>
      </c>
      <c r="H43" s="922">
        <f t="shared" si="74"/>
        <v>0</v>
      </c>
      <c r="I43" s="922">
        <f t="shared" si="74"/>
        <v>0</v>
      </c>
      <c r="J43" s="922">
        <f t="shared" si="74"/>
        <v>3970499496</v>
      </c>
      <c r="K43" s="922">
        <f t="shared" si="74"/>
        <v>2226118504</v>
      </c>
      <c r="L43" s="922">
        <f t="shared" si="74"/>
        <v>0</v>
      </c>
      <c r="M43" s="922">
        <f t="shared" si="74"/>
        <v>6196618000</v>
      </c>
      <c r="N43" s="922">
        <f t="shared" si="74"/>
        <v>3970499496</v>
      </c>
      <c r="O43" s="922">
        <f t="shared" si="74"/>
        <v>2226118504</v>
      </c>
      <c r="P43" s="922">
        <f t="shared" si="74"/>
        <v>0</v>
      </c>
      <c r="Q43" s="922">
        <f t="shared" si="74"/>
        <v>6196618000</v>
      </c>
      <c r="R43" s="922">
        <f t="shared" si="74"/>
        <v>0</v>
      </c>
      <c r="S43" s="922">
        <f t="shared" si="74"/>
        <v>0</v>
      </c>
      <c r="T43" s="922">
        <f t="shared" si="74"/>
        <v>0</v>
      </c>
      <c r="U43" s="922">
        <f t="shared" si="74"/>
        <v>0</v>
      </c>
      <c r="V43" s="922">
        <f t="shared" si="74"/>
        <v>0</v>
      </c>
      <c r="W43" s="922">
        <f t="shared" si="74"/>
        <v>1454215165.79</v>
      </c>
      <c r="X43" s="922">
        <f t="shared" si="74"/>
        <v>3164313960.0999999</v>
      </c>
      <c r="Y43" s="922">
        <f t="shared" si="74"/>
        <v>4618529125.8899994</v>
      </c>
      <c r="Z43" s="922">
        <f t="shared" si="74"/>
        <v>3970499496</v>
      </c>
      <c r="AA43" s="922">
        <f t="shared" si="74"/>
        <v>3680333669.79</v>
      </c>
      <c r="AB43" s="922">
        <f t="shared" si="74"/>
        <v>3164313960.0999999</v>
      </c>
      <c r="AC43" s="922">
        <f t="shared" si="74"/>
        <v>10815147125.889999</v>
      </c>
      <c r="AD43" s="922">
        <f t="shared" si="74"/>
        <v>3697641587.1500001</v>
      </c>
      <c r="AE43" s="922">
        <f t="shared" si="74"/>
        <v>1863192605.8</v>
      </c>
      <c r="AF43" s="922">
        <f t="shared" si="74"/>
        <v>0</v>
      </c>
      <c r="AG43" s="922">
        <f t="shared" si="74"/>
        <v>5560834192.9499998</v>
      </c>
      <c r="AH43" s="922">
        <f t="shared" si="74"/>
        <v>0</v>
      </c>
      <c r="AI43" s="922">
        <f t="shared" si="74"/>
        <v>1168037691.7200003</v>
      </c>
      <c r="AJ43" s="922">
        <f t="shared" si="74"/>
        <v>1697229511.3699999</v>
      </c>
      <c r="AK43" s="922">
        <f t="shared" si="74"/>
        <v>2865267203.0899997</v>
      </c>
      <c r="AL43" s="922">
        <f t="shared" si="74"/>
        <v>3697641587.1500001</v>
      </c>
      <c r="AM43" s="922">
        <f t="shared" si="74"/>
        <v>3031230297.5199995</v>
      </c>
      <c r="AN43" s="922">
        <f t="shared" si="74"/>
        <v>1697229511.3699999</v>
      </c>
      <c r="AO43" s="922">
        <f t="shared" si="74"/>
        <v>8426101396.04</v>
      </c>
      <c r="AP43" s="922">
        <f t="shared" si="74"/>
        <v>272857908.8499999</v>
      </c>
      <c r="AQ43" s="922">
        <f t="shared" si="74"/>
        <v>649103372.2700001</v>
      </c>
      <c r="AR43" s="922">
        <f t="shared" si="74"/>
        <v>1467084448.73</v>
      </c>
      <c r="AS43" s="922">
        <f t="shared" si="74"/>
        <v>2389045729.8499994</v>
      </c>
      <c r="AT43" s="924">
        <f>IF(Z43=0," ",AL43/Z43)</f>
        <v>0.93127869450055711</v>
      </c>
      <c r="AU43" s="924">
        <f>IF(AA43=0," ",AM43/AA43)</f>
        <v>0.82362920579778887</v>
      </c>
      <c r="AV43" s="924">
        <f>IF(AB43=0," ",AN43/AB43)</f>
        <v>0.53636571236956632</v>
      </c>
      <c r="AW43" s="924">
        <f>IF(AC43=0," ",AO43/AC43)</f>
        <v>0.77910187424718924</v>
      </c>
      <c r="AX43" s="922">
        <f t="shared" ref="AX43:BA43" si="75">+AX8+AX22+AX29+AX33+AX38</f>
        <v>0</v>
      </c>
      <c r="AY43" s="922">
        <f t="shared" si="75"/>
        <v>0</v>
      </c>
      <c r="AZ43" s="922">
        <f t="shared" si="75"/>
        <v>0</v>
      </c>
      <c r="BA43" s="922">
        <f t="shared" si="75"/>
        <v>0</v>
      </c>
    </row>
    <row r="45" spans="1:53" hidden="1">
      <c r="B45" s="852">
        <f>+B43-'SUMM BY CLUSTER- CURRENT'!B18</f>
        <v>0</v>
      </c>
      <c r="C45" s="852">
        <f>+C43-'SUMM BY CLUSTER- CURRENT'!C18</f>
        <v>0</v>
      </c>
      <c r="D45" s="852">
        <f>+D43-'SUMM BY CLUSTER- CURRENT'!D18</f>
        <v>0</v>
      </c>
      <c r="E45" s="852">
        <f>+E43-'SUMM BY CLUSTER- CURRENT'!E18</f>
        <v>0</v>
      </c>
      <c r="F45" s="852">
        <f>+F43-'SUMM BY CLUSTER- CURRENT'!F18</f>
        <v>0</v>
      </c>
      <c r="G45" s="852">
        <f>+G43-'SUMM BY CLUSTER- CURRENT'!G18</f>
        <v>0</v>
      </c>
      <c r="H45" s="852">
        <f>+H43-'SUMM BY CLUSTER- CURRENT'!H18</f>
        <v>0</v>
      </c>
      <c r="I45" s="852">
        <f>+I43-'SUMM BY CLUSTER- CURRENT'!I18</f>
        <v>0</v>
      </c>
      <c r="J45" s="852">
        <f>+J43-'SUMM BY CLUSTER- CURRENT'!J18</f>
        <v>0</v>
      </c>
      <c r="K45" s="852">
        <f>+K43-'SUMM BY CLUSTER- CURRENT'!K18</f>
        <v>0</v>
      </c>
      <c r="L45" s="852">
        <f>+L43-'SUMM BY CLUSTER- CURRENT'!L18</f>
        <v>0</v>
      </c>
      <c r="M45" s="852">
        <f>+M43-'SUMM BY CLUSTER- CURRENT'!M18</f>
        <v>0</v>
      </c>
      <c r="N45" s="852">
        <f>+N43-'SUMM BY CLUSTER- CURRENT'!N18</f>
        <v>0</v>
      </c>
      <c r="O45" s="852">
        <f>+O43-'SUMM BY CLUSTER- CURRENT'!O18</f>
        <v>0</v>
      </c>
      <c r="P45" s="852">
        <f>+P43-'SUMM BY CLUSTER- CURRENT'!P18</f>
        <v>0</v>
      </c>
      <c r="Q45" s="852">
        <f>+Q43-'SUMM BY CLUSTER- CURRENT'!Q18</f>
        <v>0</v>
      </c>
      <c r="R45" s="852">
        <f>+R43-'SUMM BY CLUSTER- CURRENT'!R18</f>
        <v>0</v>
      </c>
      <c r="S45" s="852">
        <f>+S43-'SUMM BY CLUSTER- CURRENT'!S18</f>
        <v>0</v>
      </c>
      <c r="T45" s="852">
        <f>+T43-'SUMM BY CLUSTER- CURRENT'!T18</f>
        <v>0</v>
      </c>
      <c r="U45" s="852">
        <f>+U43-'SUMM BY CLUSTER- CURRENT'!U18</f>
        <v>0</v>
      </c>
      <c r="V45" s="852">
        <f>+V43-'SUMM BY CLUSTER- CURRENT'!V18</f>
        <v>0</v>
      </c>
      <c r="W45" s="852">
        <f>+W43-'SUMM BY CLUSTER- CURRENT'!W18</f>
        <v>0</v>
      </c>
      <c r="X45" s="852">
        <f>+X43-'SUMM BY CLUSTER- CURRENT'!X18</f>
        <v>0</v>
      </c>
      <c r="Y45" s="852">
        <f>+Y43-'SUMM BY CLUSTER- CURRENT'!Y18</f>
        <v>0</v>
      </c>
      <c r="Z45" s="852">
        <f>+Z43-'SUMM BY CLUSTER- CURRENT'!Z18</f>
        <v>0</v>
      </c>
      <c r="AA45" s="852">
        <f>+AA43-'SUMM BY CLUSTER- CURRENT'!AA18</f>
        <v>0</v>
      </c>
      <c r="AB45" s="852">
        <f>+AB43-'SUMM BY CLUSTER- CURRENT'!AB18</f>
        <v>0</v>
      </c>
      <c r="AC45" s="852">
        <f>+AC43-'SUMM BY CLUSTER- CURRENT'!AC18</f>
        <v>0</v>
      </c>
      <c r="AD45" s="852">
        <f>+AD43-'SUMM BY CLUSTER- CURRENT'!AD18</f>
        <v>0</v>
      </c>
      <c r="AE45" s="852">
        <f>+AE43-'SUMM BY CLUSTER- CURRENT'!AE18</f>
        <v>0</v>
      </c>
      <c r="AF45" s="852">
        <f>+AF43-'SUMM BY CLUSTER- CURRENT'!AF18</f>
        <v>0</v>
      </c>
      <c r="AG45" s="852">
        <f>+AG43-'SUMM BY CLUSTER- CURRENT'!AG18</f>
        <v>0</v>
      </c>
      <c r="AH45" s="852">
        <f>+AH43-'SUMM BY CLUSTER- CURRENT'!AH18</f>
        <v>0</v>
      </c>
      <c r="AI45" s="852">
        <f>+AI43-'SUMM BY CLUSTER- CURRENT'!AI18</f>
        <v>0</v>
      </c>
      <c r="AJ45" s="852">
        <f>+AJ43-'SUMM BY CLUSTER- CURRENT'!AJ18</f>
        <v>0</v>
      </c>
      <c r="AK45" s="852">
        <f>+AK43-'SUMM BY CLUSTER- CURRENT'!AK18</f>
        <v>0</v>
      </c>
      <c r="AL45" s="852">
        <f>+AL43-'SUMM BY CLUSTER- CURRENT'!AL18</f>
        <v>0</v>
      </c>
      <c r="AM45" s="852">
        <f>+AM43-'SUMM BY CLUSTER- CURRENT'!AM18</f>
        <v>0</v>
      </c>
      <c r="AN45" s="852">
        <f>+AN43-'SUMM BY CLUSTER- CURRENT'!AN18</f>
        <v>0</v>
      </c>
      <c r="AO45" s="852">
        <f>+AO43-'SUMM BY CLUSTER- CURRENT'!AO18</f>
        <v>0</v>
      </c>
      <c r="AP45" s="852">
        <f>+AP43-'SUMM BY CLUSTER- CURRENT'!AP18</f>
        <v>0</v>
      </c>
      <c r="AQ45" s="852">
        <f>+AQ43-'SUMM BY CLUSTER- CURRENT'!AQ18</f>
        <v>0</v>
      </c>
      <c r="AR45" s="852">
        <f>+AR43-'SUMM BY CLUSTER- CURRENT'!AR18</f>
        <v>0</v>
      </c>
      <c r="AS45" s="852">
        <f>+AS43-'SUMM BY CLUSTER- CURRENT'!AS18</f>
        <v>0</v>
      </c>
      <c r="AT45" s="852">
        <f>+AT43-'SUMM BY CLUSTER- CURRENT'!AT18</f>
        <v>0</v>
      </c>
      <c r="AU45" s="852">
        <f>+AU43-'SUMM BY CLUSTER- CURRENT'!AU18</f>
        <v>0</v>
      </c>
      <c r="AV45" s="852">
        <f>+AV43-'SUMM BY CLUSTER- CURRENT'!AV18</f>
        <v>0</v>
      </c>
      <c r="AW45" s="852">
        <f>+AW43-'SUMM BY CLUSTER- CURRENT'!AW18</f>
        <v>0</v>
      </c>
      <c r="AX45" s="852">
        <f>+AX43-'SUMM BY CLUSTER- CURRENT'!AX18</f>
        <v>0</v>
      </c>
      <c r="AY45" s="852">
        <f>+AY43-'SUMM BY CLUSTER- CURRENT'!AY18</f>
        <v>0</v>
      </c>
      <c r="AZ45" s="852">
        <f>+AZ43-'SUMM BY CLUSTER- CURRENT'!AZ18</f>
        <v>0</v>
      </c>
      <c r="BA45" s="852">
        <f>+BA43-'SUMM BY CLUSTER- CURRENT'!BA18</f>
        <v>0</v>
      </c>
    </row>
    <row r="46" spans="1:53">
      <c r="A46" s="578" t="s">
        <v>881</v>
      </c>
    </row>
    <row r="47" spans="1:53">
      <c r="A47" s="108" t="s">
        <v>1112</v>
      </c>
    </row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1">
    <tabColor rgb="FFFFC000"/>
  </sheetPr>
  <dimension ref="A1:BL48"/>
  <sheetViews>
    <sheetView workbookViewId="0">
      <pane xSplit="2" ySplit="7" topLeftCell="T32" activePane="bottomRight" state="frozen"/>
      <selection pane="topRight" activeCell="C1" sqref="C1"/>
      <selection pane="bottomLeft" activeCell="A8" sqref="A8"/>
      <selection pane="bottomRight" activeCell="AN45" sqref="AN45"/>
    </sheetView>
  </sheetViews>
  <sheetFormatPr defaultRowHeight="15"/>
  <cols>
    <col min="1" max="1" width="33.85546875" style="17" customWidth="1"/>
    <col min="2" max="2" width="10.140625" style="17" hidden="1" customWidth="1"/>
    <col min="3" max="3" width="18.140625" style="17" customWidth="1"/>
    <col min="4" max="4" width="17.140625" style="17" customWidth="1"/>
    <col min="5" max="5" width="18.5703125" style="17" customWidth="1"/>
    <col min="6" max="6" width="19.140625" style="17" hidden="1" customWidth="1"/>
    <col min="7" max="7" width="20.7109375" style="17" hidden="1" customWidth="1"/>
    <col min="8" max="13" width="19.140625" style="17" hidden="1" customWidth="1"/>
    <col min="14" max="14" width="10" style="17" hidden="1" customWidth="1"/>
    <col min="15" max="15" width="19.140625" style="17" customWidth="1"/>
    <col min="16" max="16" width="16.85546875" style="17" customWidth="1"/>
    <col min="17" max="17" width="17.28515625" style="17" customWidth="1"/>
    <col min="18" max="18" width="11.5703125" style="17" hidden="1" customWidth="1"/>
    <col min="19" max="20" width="19.140625" style="17" customWidth="1"/>
    <col min="21" max="21" width="18.28515625" style="17" customWidth="1"/>
    <col min="22" max="28" width="19.140625" style="17" hidden="1" customWidth="1"/>
    <col min="29" max="29" width="18.7109375" style="17" hidden="1" customWidth="1"/>
    <col min="30" max="30" width="16.42578125" style="17" hidden="1" customWidth="1"/>
    <col min="31" max="31" width="16.7109375" style="17" customWidth="1"/>
    <col min="32" max="32" width="16.140625" style="17" customWidth="1"/>
    <col min="33" max="33" width="18.28515625" style="17" customWidth="1"/>
    <col min="34" max="34" width="8.5703125" style="17" hidden="1" customWidth="1"/>
    <col min="35" max="35" width="16" style="17" customWidth="1"/>
    <col min="36" max="36" width="17.5703125" style="17" bestFit="1" customWidth="1"/>
    <col min="37" max="37" width="19.5703125" style="17" customWidth="1"/>
    <col min="38" max="38" width="7.7109375" style="9" hidden="1" customWidth="1"/>
    <col min="39" max="39" width="7.85546875" style="879" customWidth="1"/>
    <col min="40" max="40" width="7" style="879" customWidth="1"/>
    <col min="41" max="41" width="8.5703125" style="879" customWidth="1"/>
    <col min="42" max="54" width="19.140625" style="17" customWidth="1"/>
    <col min="55" max="16384" width="9.140625" style="17"/>
  </cols>
  <sheetData>
    <row r="1" spans="1:64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64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64">
      <c r="A3" s="15" t="s">
        <v>1098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64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64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</row>
    <row r="6" spans="1:64" s="18" customFormat="1">
      <c r="A6" s="1494"/>
      <c r="B6" s="917"/>
      <c r="C6" s="918"/>
      <c r="D6" s="918"/>
      <c r="E6" s="919"/>
      <c r="F6" s="920"/>
      <c r="G6" s="920"/>
      <c r="H6" s="920"/>
      <c r="I6" s="920"/>
      <c r="J6" s="920"/>
      <c r="K6" s="920"/>
      <c r="L6" s="920"/>
      <c r="M6" s="920"/>
      <c r="N6" s="917"/>
      <c r="O6" s="918"/>
      <c r="P6" s="918"/>
      <c r="Q6" s="919"/>
      <c r="R6" s="86"/>
      <c r="S6" s="134"/>
      <c r="T6" s="134"/>
      <c r="U6" s="135"/>
      <c r="V6" s="86"/>
      <c r="W6" s="134"/>
      <c r="X6" s="134"/>
      <c r="Y6" s="135"/>
      <c r="Z6" s="917"/>
      <c r="AA6" s="918"/>
      <c r="AB6" s="918"/>
      <c r="AC6" s="919"/>
      <c r="AD6" s="917"/>
      <c r="AE6" s="918"/>
      <c r="AF6" s="918"/>
      <c r="AG6" s="135"/>
      <c r="AH6" s="917"/>
      <c r="AI6" s="918"/>
      <c r="AJ6" s="918"/>
      <c r="AK6" s="919"/>
      <c r="AL6" s="82"/>
      <c r="AM6" s="881"/>
      <c r="AN6" s="881"/>
      <c r="AO6" s="882"/>
    </row>
    <row r="7" spans="1:64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</row>
    <row r="8" spans="1:64" s="903" customFormat="1" ht="16.5">
      <c r="A8" s="901" t="s">
        <v>441</v>
      </c>
      <c r="B8" s="912">
        <f>+'CONAP-FUR (REG)-Detail'!C83</f>
        <v>0</v>
      </c>
      <c r="C8" s="912">
        <f>+'CONAP-FUR (REG)-Detail'!D83</f>
        <v>6123853.1400000006</v>
      </c>
      <c r="D8" s="912">
        <f>+'CONAP-FUR (REG)-Detail'!E83</f>
        <v>95305000</v>
      </c>
      <c r="E8" s="912">
        <f t="shared" ref="E8:AK8" si="0">SUM(E9:E20)</f>
        <v>101428853.14</v>
      </c>
      <c r="F8" s="912">
        <f>+'CONAP-FUR (REG)-Detail'!G83</f>
        <v>0</v>
      </c>
      <c r="G8" s="912">
        <f>+'CONAP-FUR (REG)-Detail'!H83</f>
        <v>6749570.5700000003</v>
      </c>
      <c r="H8" s="912">
        <f>+'CONAP-FUR (REG)-Detail'!I83</f>
        <v>12962675</v>
      </c>
      <c r="I8" s="912">
        <f t="shared" si="0"/>
        <v>19712245.57</v>
      </c>
      <c r="J8" s="912">
        <f>+'CONAP-FUR (REG)-Detail'!K83</f>
        <v>0</v>
      </c>
      <c r="K8" s="912">
        <f>+'CONAP-FUR (REG)-Detail'!L83</f>
        <v>105665710.47000001</v>
      </c>
      <c r="L8" s="912">
        <f>+'CONAP-FUR (REG)-Detail'!M83</f>
        <v>0</v>
      </c>
      <c r="M8" s="912">
        <f t="shared" si="0"/>
        <v>105665710.47000001</v>
      </c>
      <c r="N8" s="912">
        <f>+'CONAP-FUR (REG)-Detail'!O83</f>
        <v>0</v>
      </c>
      <c r="O8" s="912">
        <f>+'CONAP-FUR (REG)-Detail'!P83</f>
        <v>112415281.04000002</v>
      </c>
      <c r="P8" s="912">
        <f>+'CONAP-FUR (REG)-Detail'!Q83</f>
        <v>12962675</v>
      </c>
      <c r="Q8" s="912">
        <f t="shared" si="0"/>
        <v>125377956.04000001</v>
      </c>
      <c r="R8" s="912">
        <f t="shared" si="0"/>
        <v>0</v>
      </c>
      <c r="S8" s="912">
        <f t="shared" si="0"/>
        <v>118539134.18000001</v>
      </c>
      <c r="T8" s="912">
        <f t="shared" si="0"/>
        <v>108267675</v>
      </c>
      <c r="U8" s="912">
        <f t="shared" si="0"/>
        <v>226806809.18000001</v>
      </c>
      <c r="V8" s="912">
        <f>+'CONAP-FUR (REG)-Detail'!W83</f>
        <v>0</v>
      </c>
      <c r="W8" s="912">
        <f>+'CONAP-FUR (REG)-Detail'!X83</f>
        <v>6121486.0300000003</v>
      </c>
      <c r="X8" s="912">
        <f>+'CONAP-FUR (REG)-Detail'!Y83</f>
        <v>45150623</v>
      </c>
      <c r="Y8" s="912">
        <f t="shared" si="0"/>
        <v>51272109.030000001</v>
      </c>
      <c r="Z8" s="912">
        <f>+'CONAP-FUR (REG)-Detail'!AA83</f>
        <v>0</v>
      </c>
      <c r="AA8" s="912">
        <f>+'CONAP-FUR (REG)-Detail'!AB83</f>
        <v>98959914.810000002</v>
      </c>
      <c r="AB8" s="912">
        <f>+'CONAP-FUR (REG)-Detail'!AC83</f>
        <v>12952075</v>
      </c>
      <c r="AC8" s="912">
        <f t="shared" si="0"/>
        <v>111911989.81</v>
      </c>
      <c r="AD8" s="912">
        <f t="shared" si="0"/>
        <v>0</v>
      </c>
      <c r="AE8" s="912">
        <f t="shared" si="0"/>
        <v>105081400.84</v>
      </c>
      <c r="AF8" s="912">
        <f t="shared" si="0"/>
        <v>58102698</v>
      </c>
      <c r="AG8" s="912">
        <f t="shared" si="0"/>
        <v>163184098.84</v>
      </c>
      <c r="AH8" s="912">
        <f t="shared" si="0"/>
        <v>0</v>
      </c>
      <c r="AI8" s="912">
        <f t="shared" si="0"/>
        <v>13457733.340000004</v>
      </c>
      <c r="AJ8" s="912">
        <f t="shared" si="0"/>
        <v>50164977</v>
      </c>
      <c r="AK8" s="912">
        <f t="shared" si="0"/>
        <v>63622710.339999996</v>
      </c>
      <c r="AL8" s="601" t="str">
        <f t="shared" ref="AL8:AO42" si="1">IF(R8=0," ",AD8/R8)</f>
        <v xml:space="preserve"> </v>
      </c>
      <c r="AM8" s="601">
        <f t="shared" si="1"/>
        <v>0.88647012285778448</v>
      </c>
      <c r="AN8" s="601">
        <f t="shared" si="1"/>
        <v>0.53665785286328538</v>
      </c>
      <c r="AO8" s="601">
        <f t="shared" si="1"/>
        <v>0.7194850076590632</v>
      </c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</row>
    <row r="9" spans="1:64" s="16" customFormat="1">
      <c r="A9" s="900" t="s">
        <v>960</v>
      </c>
      <c r="B9" s="40">
        <f>+'SUMM BY CLUSTER- CONAP'!B20</f>
        <v>0</v>
      </c>
      <c r="C9" s="40">
        <f>+'SUMM BY CLUSTER- CONAP'!C20</f>
        <v>0</v>
      </c>
      <c r="D9" s="40">
        <f>+'SUMM BY CLUSTER- CONAP'!D20</f>
        <v>0</v>
      </c>
      <c r="E9" s="40">
        <f t="shared" ref="E9:E42" si="2">SUM(B9:D9)</f>
        <v>0</v>
      </c>
      <c r="F9" s="40">
        <f>+'SUMM BY CLUSTER- CONAP'!F20</f>
        <v>0</v>
      </c>
      <c r="G9" s="40">
        <f>+'SUMM BY CLUSTER- CONAP'!G20</f>
        <v>1744908.9500000002</v>
      </c>
      <c r="H9" s="40">
        <f>+'SUMM BY CLUSTER- CONAP'!H20</f>
        <v>0</v>
      </c>
      <c r="I9" s="40">
        <f t="shared" ref="I9:I42" si="3">SUM(F9:H9)</f>
        <v>1744908.9500000002</v>
      </c>
      <c r="J9" s="40">
        <f>+'SUMM BY CLUSTER- CONAP'!J20</f>
        <v>0</v>
      </c>
      <c r="K9" s="40">
        <f>+'SUMM BY CLUSTER- CONAP'!K20</f>
        <v>12419867.17</v>
      </c>
      <c r="L9" s="40">
        <f>+'SUMM BY CLUSTER- CONAP'!L20</f>
        <v>0</v>
      </c>
      <c r="M9" s="40">
        <f t="shared" ref="M9:M42" si="4">SUM(J9:L9)</f>
        <v>12419867.17</v>
      </c>
      <c r="N9" s="40">
        <f>+'SUMM BY CLUSTER- CONAP'!N20</f>
        <v>0</v>
      </c>
      <c r="O9" s="40">
        <f>+'SUMM BY CLUSTER- CONAP'!O20</f>
        <v>14164776.120000001</v>
      </c>
      <c r="P9" s="40">
        <f>+'SUMM BY CLUSTER- CONAP'!P20</f>
        <v>0</v>
      </c>
      <c r="Q9" s="40">
        <f t="shared" ref="Q9:Q42" si="5">SUM(N9:P9)</f>
        <v>14164776.120000001</v>
      </c>
      <c r="R9" s="40">
        <f t="shared" ref="R9:T13" si="6">+B9+N9</f>
        <v>0</v>
      </c>
      <c r="S9" s="40">
        <f t="shared" si="6"/>
        <v>14164776.120000001</v>
      </c>
      <c r="T9" s="40">
        <f t="shared" si="6"/>
        <v>0</v>
      </c>
      <c r="U9" s="40">
        <f t="shared" ref="U9:U42" si="7">SUM(R9:T9)</f>
        <v>14164776.120000001</v>
      </c>
      <c r="V9" s="40">
        <f>+'SUMM BY CLUSTER- CONAP'!V20</f>
        <v>0</v>
      </c>
      <c r="W9" s="40">
        <f>+'SUMM BY CLUSTER- CONAP'!W20</f>
        <v>0</v>
      </c>
      <c r="X9" s="40">
        <f>+'SUMM BY CLUSTER- CONAP'!X20</f>
        <v>0</v>
      </c>
      <c r="Y9" s="40">
        <f t="shared" ref="Y9:Y42" si="8">SUM(V9:X9)</f>
        <v>0</v>
      </c>
      <c r="Z9" s="40">
        <f>+'SUMM BY CLUSTER- CONAP'!Z20</f>
        <v>0</v>
      </c>
      <c r="AA9" s="40">
        <f>+'SUMM BY CLUSTER- CONAP'!AA20</f>
        <v>12781006.48</v>
      </c>
      <c r="AB9" s="40">
        <f>+'SUMM BY CLUSTER- CONAP'!AB20</f>
        <v>0</v>
      </c>
      <c r="AC9" s="40">
        <f t="shared" ref="AC9:AC42" si="9">SUM(Z9:AB9)</f>
        <v>12781006.48</v>
      </c>
      <c r="AD9" s="40">
        <f t="shared" ref="AD9:AF13" si="10">+V9+Z9</f>
        <v>0</v>
      </c>
      <c r="AE9" s="40">
        <f t="shared" si="10"/>
        <v>12781006.48</v>
      </c>
      <c r="AF9" s="40">
        <f t="shared" si="10"/>
        <v>0</v>
      </c>
      <c r="AG9" s="40">
        <f t="shared" ref="AG9:AG42" si="11">SUM(AD9:AF9)</f>
        <v>12781006.48</v>
      </c>
      <c r="AH9" s="40">
        <f t="shared" ref="AH9:AJ42" si="12">+R9-AD9</f>
        <v>0</v>
      </c>
      <c r="AI9" s="40">
        <f t="shared" ref="AI9:AJ13" si="13">+S9-AE9</f>
        <v>1383769.6400000006</v>
      </c>
      <c r="AJ9" s="40">
        <f t="shared" si="13"/>
        <v>0</v>
      </c>
      <c r="AK9" s="40">
        <f t="shared" ref="AK9:AK42" si="14">SUM(AH9:AJ9)</f>
        <v>1383769.6400000006</v>
      </c>
      <c r="AL9" s="600" t="str">
        <f t="shared" si="1"/>
        <v xml:space="preserve"> </v>
      </c>
      <c r="AM9" s="600">
        <f t="shared" si="1"/>
        <v>0.90230910617456339</v>
      </c>
      <c r="AN9" s="600" t="str">
        <f t="shared" si="1"/>
        <v xml:space="preserve"> </v>
      </c>
      <c r="AO9" s="600">
        <f t="shared" si="1"/>
        <v>0.90230910617456339</v>
      </c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</row>
    <row r="10" spans="1:64" s="16" customFormat="1">
      <c r="A10" s="900" t="s">
        <v>961</v>
      </c>
      <c r="B10" s="40">
        <f>+'SUMM BY CLUSTER- CONAP'!B21</f>
        <v>0</v>
      </c>
      <c r="C10" s="40">
        <f>+'SUMM BY CLUSTER- CONAP'!C21</f>
        <v>156497.71</v>
      </c>
      <c r="D10" s="40">
        <f>+'SUMM BY CLUSTER- CONAP'!D21</f>
        <v>0</v>
      </c>
      <c r="E10" s="40">
        <f t="shared" si="2"/>
        <v>156497.71</v>
      </c>
      <c r="F10" s="40">
        <f>+'SUMM BY CLUSTER- CONAP'!F21</f>
        <v>0</v>
      </c>
      <c r="G10" s="40">
        <f>+'SUMM BY CLUSTER- CONAP'!G21</f>
        <v>-284281.81</v>
      </c>
      <c r="H10" s="40">
        <f>+'SUMM BY CLUSTER- CONAP'!H21</f>
        <v>0</v>
      </c>
      <c r="I10" s="40">
        <f t="shared" si="3"/>
        <v>-284281.81</v>
      </c>
      <c r="J10" s="40">
        <f>+'SUMM BY CLUSTER- CONAP'!J21</f>
        <v>0</v>
      </c>
      <c r="K10" s="40">
        <f>+'SUMM BY CLUSTER- CONAP'!K21</f>
        <v>2772662.5300000003</v>
      </c>
      <c r="L10" s="40">
        <f>+'SUMM BY CLUSTER- CONAP'!L21</f>
        <v>0</v>
      </c>
      <c r="M10" s="40">
        <f t="shared" si="4"/>
        <v>2772662.5300000003</v>
      </c>
      <c r="N10" s="40">
        <f>+'SUMM BY CLUSTER- CONAP'!N21</f>
        <v>0</v>
      </c>
      <c r="O10" s="40">
        <f>+'SUMM BY CLUSTER- CONAP'!O21</f>
        <v>2488380.7200000002</v>
      </c>
      <c r="P10" s="40">
        <f>+'SUMM BY CLUSTER- CONAP'!P21</f>
        <v>0</v>
      </c>
      <c r="Q10" s="40">
        <f t="shared" si="5"/>
        <v>2488380.7200000002</v>
      </c>
      <c r="R10" s="40">
        <f t="shared" si="6"/>
        <v>0</v>
      </c>
      <c r="S10" s="40">
        <f t="shared" si="6"/>
        <v>2644878.4300000002</v>
      </c>
      <c r="T10" s="40">
        <f t="shared" si="6"/>
        <v>0</v>
      </c>
      <c r="U10" s="40">
        <f t="shared" si="7"/>
        <v>2644878.4300000002</v>
      </c>
      <c r="V10" s="40">
        <f>+'SUMM BY CLUSTER- CONAP'!V21</f>
        <v>0</v>
      </c>
      <c r="W10" s="40">
        <f>+'SUMM BY CLUSTER- CONAP'!W21</f>
        <v>155692.15</v>
      </c>
      <c r="X10" s="40">
        <f>+'SUMM BY CLUSTER- CONAP'!X21</f>
        <v>0</v>
      </c>
      <c r="Y10" s="40">
        <f t="shared" si="8"/>
        <v>155692.15</v>
      </c>
      <c r="Z10" s="40">
        <f>+'SUMM BY CLUSTER- CONAP'!Z21</f>
        <v>0</v>
      </c>
      <c r="AA10" s="40">
        <f>+'SUMM BY CLUSTER- CONAP'!AA21</f>
        <v>2115708.52</v>
      </c>
      <c r="AB10" s="40">
        <f>+'SUMM BY CLUSTER- CONAP'!AB21</f>
        <v>0</v>
      </c>
      <c r="AC10" s="40">
        <f t="shared" si="9"/>
        <v>2115708.52</v>
      </c>
      <c r="AD10" s="40">
        <f t="shared" si="10"/>
        <v>0</v>
      </c>
      <c r="AE10" s="40">
        <f t="shared" si="10"/>
        <v>2271400.67</v>
      </c>
      <c r="AF10" s="40">
        <f t="shared" si="10"/>
        <v>0</v>
      </c>
      <c r="AG10" s="40">
        <f t="shared" si="11"/>
        <v>2271400.67</v>
      </c>
      <c r="AH10" s="40">
        <f t="shared" si="12"/>
        <v>0</v>
      </c>
      <c r="AI10" s="40">
        <f t="shared" si="13"/>
        <v>373477.76000000024</v>
      </c>
      <c r="AJ10" s="40">
        <f t="shared" si="13"/>
        <v>0</v>
      </c>
      <c r="AK10" s="40">
        <f t="shared" si="14"/>
        <v>373477.76000000024</v>
      </c>
      <c r="AL10" s="600" t="str">
        <f t="shared" si="1"/>
        <v xml:space="preserve"> </v>
      </c>
      <c r="AM10" s="600">
        <f t="shared" si="1"/>
        <v>0.85879208822463715</v>
      </c>
      <c r="AN10" s="600" t="str">
        <f t="shared" si="1"/>
        <v xml:space="preserve"> </v>
      </c>
      <c r="AO10" s="600">
        <f t="shared" si="1"/>
        <v>0.85879208822463715</v>
      </c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</row>
    <row r="11" spans="1:64" s="16" customFormat="1">
      <c r="A11" s="900" t="s">
        <v>962</v>
      </c>
      <c r="B11" s="40">
        <f>+'SUMM BY CLUSTER- CONAP'!B22</f>
        <v>0</v>
      </c>
      <c r="C11" s="40">
        <f>+'SUMM BY CLUSTER- CONAP'!C22</f>
        <v>117921.94</v>
      </c>
      <c r="D11" s="40">
        <f>+'SUMM BY CLUSTER- CONAP'!D22</f>
        <v>0</v>
      </c>
      <c r="E11" s="40">
        <f t="shared" si="2"/>
        <v>117921.94</v>
      </c>
      <c r="F11" s="40">
        <f>+'SUMM BY CLUSTER- CONAP'!F22</f>
        <v>0</v>
      </c>
      <c r="G11" s="40">
        <f>+'SUMM BY CLUSTER- CONAP'!G22</f>
        <v>10000000</v>
      </c>
      <c r="H11" s="40">
        <f>+'SUMM BY CLUSTER- CONAP'!H22</f>
        <v>656000</v>
      </c>
      <c r="I11" s="40">
        <f t="shared" si="3"/>
        <v>10656000</v>
      </c>
      <c r="J11" s="40">
        <f>+'SUMM BY CLUSTER- CONAP'!J22</f>
        <v>0</v>
      </c>
      <c r="K11" s="40">
        <f>+'SUMM BY CLUSTER- CONAP'!K22</f>
        <v>18043995.640000001</v>
      </c>
      <c r="L11" s="40">
        <f>+'SUMM BY CLUSTER- CONAP'!L22</f>
        <v>0</v>
      </c>
      <c r="M11" s="40">
        <f t="shared" si="4"/>
        <v>18043995.640000001</v>
      </c>
      <c r="N11" s="40">
        <f>+'SUMM BY CLUSTER- CONAP'!N22</f>
        <v>0</v>
      </c>
      <c r="O11" s="40">
        <f>+'SUMM BY CLUSTER- CONAP'!O22</f>
        <v>28043995.640000001</v>
      </c>
      <c r="P11" s="40">
        <f>+'SUMM BY CLUSTER- CONAP'!P22</f>
        <v>656000</v>
      </c>
      <c r="Q11" s="40">
        <f t="shared" si="5"/>
        <v>28699995.640000001</v>
      </c>
      <c r="R11" s="40">
        <f t="shared" si="6"/>
        <v>0</v>
      </c>
      <c r="S11" s="40">
        <f t="shared" si="6"/>
        <v>28161917.580000002</v>
      </c>
      <c r="T11" s="40">
        <f t="shared" si="6"/>
        <v>656000</v>
      </c>
      <c r="U11" s="40">
        <f t="shared" si="7"/>
        <v>28817917.580000002</v>
      </c>
      <c r="V11" s="40">
        <f>+'SUMM BY CLUSTER- CONAP'!V22</f>
        <v>0</v>
      </c>
      <c r="W11" s="40">
        <f>+'SUMM BY CLUSTER- CONAP'!W22</f>
        <v>116360.38999999998</v>
      </c>
      <c r="X11" s="40">
        <f>+'SUMM BY CLUSTER- CONAP'!X22</f>
        <v>0</v>
      </c>
      <c r="Y11" s="40">
        <f t="shared" si="8"/>
        <v>116360.38999999998</v>
      </c>
      <c r="Z11" s="40">
        <f>+'SUMM BY CLUSTER- CONAP'!Z22</f>
        <v>0</v>
      </c>
      <c r="AA11" s="40">
        <f>+'SUMM BY CLUSTER- CONAP'!AA22</f>
        <v>27150244.589999996</v>
      </c>
      <c r="AB11" s="40">
        <f>+'SUMM BY CLUSTER- CONAP'!AB22</f>
        <v>645400</v>
      </c>
      <c r="AC11" s="40">
        <f t="shared" si="9"/>
        <v>27795644.589999996</v>
      </c>
      <c r="AD11" s="40">
        <f t="shared" si="10"/>
        <v>0</v>
      </c>
      <c r="AE11" s="40">
        <f t="shared" si="10"/>
        <v>27266604.979999997</v>
      </c>
      <c r="AF11" s="40">
        <f t="shared" si="10"/>
        <v>645400</v>
      </c>
      <c r="AG11" s="40">
        <f t="shared" si="11"/>
        <v>27912004.979999997</v>
      </c>
      <c r="AH11" s="40">
        <f t="shared" si="12"/>
        <v>0</v>
      </c>
      <c r="AI11" s="40">
        <f t="shared" si="13"/>
        <v>895312.60000000522</v>
      </c>
      <c r="AJ11" s="40">
        <f t="shared" si="13"/>
        <v>10600</v>
      </c>
      <c r="AK11" s="40">
        <f t="shared" si="14"/>
        <v>905912.60000000522</v>
      </c>
      <c r="AL11" s="600" t="str">
        <f t="shared" si="1"/>
        <v xml:space="preserve"> </v>
      </c>
      <c r="AM11" s="600">
        <f t="shared" si="1"/>
        <v>0.96820839357061972</v>
      </c>
      <c r="AN11" s="600">
        <f t="shared" si="1"/>
        <v>0.98384146341463419</v>
      </c>
      <c r="AO11" s="600">
        <f t="shared" si="1"/>
        <v>0.96856425876418217</v>
      </c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</row>
    <row r="12" spans="1:64" s="16" customFormat="1">
      <c r="A12" s="900" t="s">
        <v>963</v>
      </c>
      <c r="B12" s="40">
        <f>+'SUMM BY CLUSTER- CONAP'!B23</f>
        <v>0</v>
      </c>
      <c r="C12" s="40">
        <f>+'SUMM BY CLUSTER- CONAP'!C23</f>
        <v>0</v>
      </c>
      <c r="D12" s="40">
        <f>+'SUMM BY CLUSTER- CONAP'!D23</f>
        <v>0</v>
      </c>
      <c r="E12" s="40">
        <f t="shared" si="2"/>
        <v>0</v>
      </c>
      <c r="F12" s="40">
        <f>+'SUMM BY CLUSTER- CONAP'!F23</f>
        <v>0</v>
      </c>
      <c r="G12" s="40">
        <f>+'SUMM BY CLUSTER- CONAP'!G23</f>
        <v>-283181.32</v>
      </c>
      <c r="H12" s="40">
        <f>+'SUMM BY CLUSTER- CONAP'!H23</f>
        <v>0</v>
      </c>
      <c r="I12" s="40">
        <f t="shared" si="3"/>
        <v>-283181.32</v>
      </c>
      <c r="J12" s="40">
        <f>+'SUMM BY CLUSTER- CONAP'!J23</f>
        <v>0</v>
      </c>
      <c r="K12" s="40">
        <f>+'SUMM BY CLUSTER- CONAP'!K23</f>
        <v>283181.32</v>
      </c>
      <c r="L12" s="40">
        <f>+'SUMM BY CLUSTER- CONAP'!L23</f>
        <v>0</v>
      </c>
      <c r="M12" s="40">
        <f t="shared" si="4"/>
        <v>283181.32</v>
      </c>
      <c r="N12" s="40">
        <f>+'SUMM BY CLUSTER- CONAP'!N23</f>
        <v>0</v>
      </c>
      <c r="O12" s="40">
        <f>+'SUMM BY CLUSTER- CONAP'!O23</f>
        <v>0</v>
      </c>
      <c r="P12" s="40">
        <f>+'SUMM BY CLUSTER- CONAP'!P23</f>
        <v>0</v>
      </c>
      <c r="Q12" s="40">
        <f t="shared" si="5"/>
        <v>0</v>
      </c>
      <c r="R12" s="40">
        <f t="shared" si="6"/>
        <v>0</v>
      </c>
      <c r="S12" s="40">
        <f t="shared" si="6"/>
        <v>0</v>
      </c>
      <c r="T12" s="40">
        <f t="shared" si="6"/>
        <v>0</v>
      </c>
      <c r="U12" s="40">
        <f t="shared" si="7"/>
        <v>0</v>
      </c>
      <c r="V12" s="40">
        <f>+'SUMM BY CLUSTER- CONAP'!V23</f>
        <v>0</v>
      </c>
      <c r="W12" s="40">
        <f>+'SUMM BY CLUSTER- CONAP'!W23</f>
        <v>0</v>
      </c>
      <c r="X12" s="40">
        <f>+'SUMM BY CLUSTER- CONAP'!X23</f>
        <v>0</v>
      </c>
      <c r="Y12" s="40">
        <f t="shared" si="8"/>
        <v>0</v>
      </c>
      <c r="Z12" s="40">
        <f>+'SUMM BY CLUSTER- CONAP'!Z23</f>
        <v>0</v>
      </c>
      <c r="AA12" s="40">
        <f>+'SUMM BY CLUSTER- CONAP'!AA23</f>
        <v>0</v>
      </c>
      <c r="AB12" s="40">
        <f>+'SUMM BY CLUSTER- CONAP'!AB23</f>
        <v>0</v>
      </c>
      <c r="AC12" s="40">
        <f t="shared" si="9"/>
        <v>0</v>
      </c>
      <c r="AD12" s="40">
        <f t="shared" si="10"/>
        <v>0</v>
      </c>
      <c r="AE12" s="40">
        <f t="shared" si="10"/>
        <v>0</v>
      </c>
      <c r="AF12" s="40">
        <f t="shared" si="10"/>
        <v>0</v>
      </c>
      <c r="AG12" s="40">
        <f t="shared" si="11"/>
        <v>0</v>
      </c>
      <c r="AH12" s="40">
        <f t="shared" si="12"/>
        <v>0</v>
      </c>
      <c r="AI12" s="40">
        <f t="shared" si="13"/>
        <v>0</v>
      </c>
      <c r="AJ12" s="40">
        <f t="shared" si="13"/>
        <v>0</v>
      </c>
      <c r="AK12" s="40">
        <f t="shared" si="14"/>
        <v>0</v>
      </c>
      <c r="AL12" s="600" t="str">
        <f t="shared" si="1"/>
        <v xml:space="preserve"> </v>
      </c>
      <c r="AM12" s="600" t="str">
        <f t="shared" si="1"/>
        <v xml:space="preserve"> </v>
      </c>
      <c r="AN12" s="600" t="str">
        <f t="shared" si="1"/>
        <v xml:space="preserve"> </v>
      </c>
      <c r="AO12" s="600" t="str">
        <f t="shared" si="1"/>
        <v xml:space="preserve"> </v>
      </c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</row>
    <row r="13" spans="1:64" s="16" customFormat="1">
      <c r="A13" s="900" t="s">
        <v>964</v>
      </c>
      <c r="B13" s="40">
        <f>+'SUMM BY CLUSTER- CONAP'!B24</f>
        <v>0</v>
      </c>
      <c r="C13" s="40">
        <f>+'SUMM BY CLUSTER- CONAP'!C24</f>
        <v>395859.21</v>
      </c>
      <c r="D13" s="40">
        <f>+'SUMM BY CLUSTER- CONAP'!D24</f>
        <v>0</v>
      </c>
      <c r="E13" s="40">
        <f t="shared" si="2"/>
        <v>395859.21</v>
      </c>
      <c r="F13" s="40">
        <f>+'SUMM BY CLUSTER- CONAP'!F24</f>
        <v>0</v>
      </c>
      <c r="G13" s="40">
        <f>+'SUMM BY CLUSTER- CONAP'!G24</f>
        <v>-3742287.98</v>
      </c>
      <c r="H13" s="40">
        <f>+'SUMM BY CLUSTER- CONAP'!H24</f>
        <v>0</v>
      </c>
      <c r="I13" s="40">
        <f t="shared" si="3"/>
        <v>-3742287.98</v>
      </c>
      <c r="J13" s="40">
        <f>+'SUMM BY CLUSTER- CONAP'!J24</f>
        <v>0</v>
      </c>
      <c r="K13" s="40">
        <f>+'SUMM BY CLUSTER- CONAP'!K24</f>
        <v>4534815.0199999996</v>
      </c>
      <c r="L13" s="40">
        <f>+'SUMM BY CLUSTER- CONAP'!L24</f>
        <v>0</v>
      </c>
      <c r="M13" s="40">
        <f t="shared" si="4"/>
        <v>4534815.0199999996</v>
      </c>
      <c r="N13" s="40">
        <f>+'SUMM BY CLUSTER- CONAP'!N24</f>
        <v>0</v>
      </c>
      <c r="O13" s="40">
        <f>+'SUMM BY CLUSTER- CONAP'!O24</f>
        <v>792527.03999999957</v>
      </c>
      <c r="P13" s="40">
        <f>+'SUMM BY CLUSTER- CONAP'!P24</f>
        <v>0</v>
      </c>
      <c r="Q13" s="40">
        <f t="shared" si="5"/>
        <v>792527.03999999957</v>
      </c>
      <c r="R13" s="40">
        <f t="shared" si="6"/>
        <v>0</v>
      </c>
      <c r="S13" s="40">
        <f t="shared" si="6"/>
        <v>1188386.2499999995</v>
      </c>
      <c r="T13" s="40">
        <f t="shared" si="6"/>
        <v>0</v>
      </c>
      <c r="U13" s="40">
        <f t="shared" si="7"/>
        <v>1188386.2499999995</v>
      </c>
      <c r="V13" s="40">
        <f>+'SUMM BY CLUSTER- CONAP'!V24</f>
        <v>0</v>
      </c>
      <c r="W13" s="40">
        <f>+'SUMM BY CLUSTER- CONAP'!W24</f>
        <v>395859.21</v>
      </c>
      <c r="X13" s="40">
        <f>+'SUMM BY CLUSTER- CONAP'!X24</f>
        <v>0</v>
      </c>
      <c r="Y13" s="40">
        <f t="shared" si="8"/>
        <v>395859.21</v>
      </c>
      <c r="Z13" s="40">
        <f>+'SUMM BY CLUSTER- CONAP'!Z24</f>
        <v>0</v>
      </c>
      <c r="AA13" s="40">
        <f>+'SUMM BY CLUSTER- CONAP'!AA24</f>
        <v>640618.14</v>
      </c>
      <c r="AB13" s="40">
        <f>+'SUMM BY CLUSTER- CONAP'!AB24</f>
        <v>0</v>
      </c>
      <c r="AC13" s="40">
        <f t="shared" si="9"/>
        <v>640618.14</v>
      </c>
      <c r="AD13" s="40">
        <f t="shared" si="10"/>
        <v>0</v>
      </c>
      <c r="AE13" s="40">
        <f t="shared" si="10"/>
        <v>1036477.3500000001</v>
      </c>
      <c r="AF13" s="40">
        <f t="shared" si="10"/>
        <v>0</v>
      </c>
      <c r="AG13" s="40">
        <f t="shared" si="11"/>
        <v>1036477.3500000001</v>
      </c>
      <c r="AH13" s="40">
        <f t="shared" si="12"/>
        <v>0</v>
      </c>
      <c r="AI13" s="40">
        <f t="shared" si="13"/>
        <v>151908.89999999944</v>
      </c>
      <c r="AJ13" s="40">
        <f t="shared" si="13"/>
        <v>0</v>
      </c>
      <c r="AK13" s="40">
        <f t="shared" si="14"/>
        <v>151908.89999999944</v>
      </c>
      <c r="AL13" s="600" t="str">
        <f t="shared" si="1"/>
        <v xml:space="preserve"> </v>
      </c>
      <c r="AM13" s="600">
        <f t="shared" si="1"/>
        <v>0.87217211575781906</v>
      </c>
      <c r="AN13" s="600" t="str">
        <f t="shared" si="1"/>
        <v xml:space="preserve"> </v>
      </c>
      <c r="AO13" s="600">
        <f t="shared" si="1"/>
        <v>0.87217211575781906</v>
      </c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</row>
    <row r="14" spans="1:64" s="16" customFormat="1">
      <c r="A14" s="900" t="s">
        <v>965</v>
      </c>
      <c r="B14" s="40">
        <f>+'SUMM BY CLUSTER- CONAP'!B25</f>
        <v>0</v>
      </c>
      <c r="C14" s="40">
        <f>+'SUMM BY CLUSTER- CONAP'!C25</f>
        <v>0</v>
      </c>
      <c r="D14" s="40">
        <f>+'SUMM BY CLUSTER- CONAP'!D25</f>
        <v>50000000</v>
      </c>
      <c r="E14" s="40">
        <f t="shared" si="2"/>
        <v>50000000</v>
      </c>
      <c r="F14" s="40">
        <f>+'SUMM BY CLUSTER- CONAP'!F25</f>
        <v>0</v>
      </c>
      <c r="G14" s="40">
        <f>+'SUMM BY CLUSTER- CONAP'!G25</f>
        <v>-4265891.51</v>
      </c>
      <c r="H14" s="40">
        <f>+'SUMM BY CLUSTER- CONAP'!H25</f>
        <v>0</v>
      </c>
      <c r="I14" s="40">
        <f t="shared" si="3"/>
        <v>-4265891.51</v>
      </c>
      <c r="J14" s="40">
        <f>+'SUMM BY CLUSTER- CONAP'!J25</f>
        <v>0</v>
      </c>
      <c r="K14" s="40">
        <f>+'SUMM BY CLUSTER- CONAP'!K25</f>
        <v>4306389.04</v>
      </c>
      <c r="L14" s="40">
        <f>+'SUMM BY CLUSTER- CONAP'!L25</f>
        <v>0</v>
      </c>
      <c r="M14" s="40">
        <f t="shared" si="4"/>
        <v>4306389.04</v>
      </c>
      <c r="N14" s="40">
        <f>+'SUMM BY CLUSTER- CONAP'!N25</f>
        <v>0</v>
      </c>
      <c r="O14" s="40">
        <f>+'SUMM BY CLUSTER- CONAP'!O25</f>
        <v>40497.530000000261</v>
      </c>
      <c r="P14" s="40">
        <f>+'SUMM BY CLUSTER- CONAP'!P25</f>
        <v>0</v>
      </c>
      <c r="Q14" s="40">
        <f t="shared" si="5"/>
        <v>40497.530000000261</v>
      </c>
      <c r="R14" s="40">
        <f t="shared" ref="R14:T42" si="15">+B14+N14</f>
        <v>0</v>
      </c>
      <c r="S14" s="40">
        <f t="shared" si="15"/>
        <v>40497.530000000261</v>
      </c>
      <c r="T14" s="40">
        <f t="shared" si="15"/>
        <v>50000000</v>
      </c>
      <c r="U14" s="40">
        <f t="shared" si="7"/>
        <v>50040497.530000001</v>
      </c>
      <c r="V14" s="40">
        <f>+'SUMM BY CLUSTER- CONAP'!V25</f>
        <v>0</v>
      </c>
      <c r="W14" s="40">
        <f>+'SUMM BY CLUSTER- CONAP'!W25</f>
        <v>0</v>
      </c>
      <c r="X14" s="40">
        <f>+'SUMM BY CLUSTER- CONAP'!X25</f>
        <v>5474510</v>
      </c>
      <c r="Y14" s="40">
        <f t="shared" si="8"/>
        <v>5474510</v>
      </c>
      <c r="Z14" s="40">
        <f>+'SUMM BY CLUSTER- CONAP'!Z25</f>
        <v>0</v>
      </c>
      <c r="AA14" s="40">
        <f>+'SUMM BY CLUSTER- CONAP'!AA25</f>
        <v>0</v>
      </c>
      <c r="AB14" s="40">
        <f>+'SUMM BY CLUSTER- CONAP'!AB25</f>
        <v>0</v>
      </c>
      <c r="AC14" s="40">
        <f t="shared" si="9"/>
        <v>0</v>
      </c>
      <c r="AD14" s="40">
        <f t="shared" ref="AD14:AF42" si="16">+V14+Z14</f>
        <v>0</v>
      </c>
      <c r="AE14" s="40">
        <f t="shared" si="16"/>
        <v>0</v>
      </c>
      <c r="AF14" s="40">
        <f t="shared" si="16"/>
        <v>5474510</v>
      </c>
      <c r="AG14" s="40">
        <f t="shared" si="11"/>
        <v>5474510</v>
      </c>
      <c r="AH14" s="40">
        <f t="shared" si="12"/>
        <v>0</v>
      </c>
      <c r="AI14" s="40">
        <f t="shared" si="12"/>
        <v>40497.530000000261</v>
      </c>
      <c r="AJ14" s="40">
        <f t="shared" si="12"/>
        <v>44525490</v>
      </c>
      <c r="AK14" s="40">
        <f t="shared" si="14"/>
        <v>44565987.530000001</v>
      </c>
      <c r="AL14" s="600" t="str">
        <f t="shared" si="1"/>
        <v xml:space="preserve"> </v>
      </c>
      <c r="AM14" s="600">
        <f t="shared" si="1"/>
        <v>0</v>
      </c>
      <c r="AN14" s="934">
        <f t="shared" si="1"/>
        <v>0.1094902</v>
      </c>
      <c r="AO14" s="600">
        <f t="shared" si="1"/>
        <v>0.10940159011644424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</row>
    <row r="15" spans="1:64" s="16" customFormat="1">
      <c r="A15" s="900" t="s">
        <v>966</v>
      </c>
      <c r="B15" s="40">
        <f>+'SUMM BY CLUSTER- CONAP'!B26</f>
        <v>0</v>
      </c>
      <c r="C15" s="40">
        <f>+'SUMM BY CLUSTER- CONAP'!C26</f>
        <v>0</v>
      </c>
      <c r="D15" s="40">
        <f>+'SUMM BY CLUSTER- CONAP'!D26</f>
        <v>0</v>
      </c>
      <c r="E15" s="40">
        <f t="shared" si="2"/>
        <v>0</v>
      </c>
      <c r="F15" s="40">
        <f>+'SUMM BY CLUSTER- CONAP'!F26</f>
        <v>0</v>
      </c>
      <c r="G15" s="40">
        <f>+'SUMM BY CLUSTER- CONAP'!G26</f>
        <v>0</v>
      </c>
      <c r="H15" s="40">
        <f>+'SUMM BY CLUSTER- CONAP'!H26</f>
        <v>0</v>
      </c>
      <c r="I15" s="40">
        <f t="shared" si="3"/>
        <v>0</v>
      </c>
      <c r="J15" s="40">
        <f>+'SUMM BY CLUSTER- CONAP'!J26</f>
        <v>0</v>
      </c>
      <c r="K15" s="40">
        <f>+'SUMM BY CLUSTER- CONAP'!K26</f>
        <v>0</v>
      </c>
      <c r="L15" s="40">
        <f>+'SUMM BY CLUSTER- CONAP'!L26</f>
        <v>0</v>
      </c>
      <c r="M15" s="40">
        <f t="shared" si="4"/>
        <v>0</v>
      </c>
      <c r="N15" s="40">
        <f>+'SUMM BY CLUSTER- CONAP'!N26</f>
        <v>0</v>
      </c>
      <c r="O15" s="40">
        <f>+'SUMM BY CLUSTER- CONAP'!O26</f>
        <v>0</v>
      </c>
      <c r="P15" s="40">
        <f>+'SUMM BY CLUSTER- CONAP'!P26</f>
        <v>0</v>
      </c>
      <c r="Q15" s="40">
        <f t="shared" si="5"/>
        <v>0</v>
      </c>
      <c r="R15" s="40">
        <f t="shared" si="15"/>
        <v>0</v>
      </c>
      <c r="S15" s="40">
        <f t="shared" si="15"/>
        <v>0</v>
      </c>
      <c r="T15" s="40">
        <f t="shared" si="15"/>
        <v>0</v>
      </c>
      <c r="U15" s="40">
        <f t="shared" si="7"/>
        <v>0</v>
      </c>
      <c r="V15" s="40">
        <f>+'SUMM BY CLUSTER- CONAP'!V26</f>
        <v>0</v>
      </c>
      <c r="W15" s="40">
        <f>+'SUMM BY CLUSTER- CONAP'!W26</f>
        <v>0</v>
      </c>
      <c r="X15" s="40">
        <f>+'SUMM BY CLUSTER- CONAP'!X26</f>
        <v>0</v>
      </c>
      <c r="Y15" s="40">
        <f t="shared" si="8"/>
        <v>0</v>
      </c>
      <c r="Z15" s="40">
        <f>+'SUMM BY CLUSTER- CONAP'!Z26</f>
        <v>0</v>
      </c>
      <c r="AA15" s="40">
        <f>+'SUMM BY CLUSTER- CONAP'!AA26</f>
        <v>-7665</v>
      </c>
      <c r="AB15" s="40">
        <f>+'SUMM BY CLUSTER- CONAP'!AB26</f>
        <v>0</v>
      </c>
      <c r="AC15" s="40">
        <f t="shared" si="9"/>
        <v>-7665</v>
      </c>
      <c r="AD15" s="40">
        <f t="shared" si="16"/>
        <v>0</v>
      </c>
      <c r="AE15" s="40">
        <f t="shared" si="16"/>
        <v>-7665</v>
      </c>
      <c r="AF15" s="40">
        <f t="shared" si="16"/>
        <v>0</v>
      </c>
      <c r="AG15" s="40">
        <f t="shared" si="11"/>
        <v>-7665</v>
      </c>
      <c r="AH15" s="40">
        <f t="shared" si="12"/>
        <v>0</v>
      </c>
      <c r="AI15" s="40">
        <f t="shared" si="12"/>
        <v>7665</v>
      </c>
      <c r="AJ15" s="40">
        <f t="shared" si="12"/>
        <v>0</v>
      </c>
      <c r="AK15" s="40">
        <f t="shared" si="14"/>
        <v>7665</v>
      </c>
      <c r="AL15" s="600" t="str">
        <f t="shared" si="1"/>
        <v xml:space="preserve"> </v>
      </c>
      <c r="AM15" s="600" t="str">
        <f t="shared" si="1"/>
        <v xml:space="preserve"> </v>
      </c>
      <c r="AN15" s="934" t="str">
        <f t="shared" si="1"/>
        <v xml:space="preserve"> </v>
      </c>
      <c r="AO15" s="600" t="str">
        <f t="shared" si="1"/>
        <v xml:space="preserve"> </v>
      </c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</row>
    <row r="16" spans="1:64" s="16" customFormat="1">
      <c r="A16" s="900" t="s">
        <v>967</v>
      </c>
      <c r="B16" s="40">
        <f>+'SUMM BY CLUSTER- CONAP'!B27</f>
        <v>0</v>
      </c>
      <c r="C16" s="40">
        <f>+'SUMM BY CLUSTER- CONAP'!C27</f>
        <v>0</v>
      </c>
      <c r="D16" s="40">
        <f>+'SUMM BY CLUSTER- CONAP'!D27</f>
        <v>0</v>
      </c>
      <c r="E16" s="40">
        <f t="shared" si="2"/>
        <v>0</v>
      </c>
      <c r="F16" s="40">
        <f>+'SUMM BY CLUSTER- CONAP'!F27</f>
        <v>0</v>
      </c>
      <c r="G16" s="40">
        <f>+'SUMM BY CLUSTER- CONAP'!G27</f>
        <v>0</v>
      </c>
      <c r="H16" s="40">
        <f>+'SUMM BY CLUSTER- CONAP'!H27</f>
        <v>0</v>
      </c>
      <c r="I16" s="40">
        <f t="shared" si="3"/>
        <v>0</v>
      </c>
      <c r="J16" s="40">
        <f>+'SUMM BY CLUSTER- CONAP'!J27</f>
        <v>0</v>
      </c>
      <c r="K16" s="40">
        <f>+'SUMM BY CLUSTER- CONAP'!K27</f>
        <v>2263524.19</v>
      </c>
      <c r="L16" s="40">
        <f>+'SUMM BY CLUSTER- CONAP'!L27</f>
        <v>0</v>
      </c>
      <c r="M16" s="40">
        <f t="shared" si="4"/>
        <v>2263524.19</v>
      </c>
      <c r="N16" s="40">
        <f>+'SUMM BY CLUSTER- CONAP'!N27</f>
        <v>0</v>
      </c>
      <c r="O16" s="40">
        <f>+'SUMM BY CLUSTER- CONAP'!O27</f>
        <v>2263524.19</v>
      </c>
      <c r="P16" s="40">
        <f>+'SUMM BY CLUSTER- CONAP'!P27</f>
        <v>0</v>
      </c>
      <c r="Q16" s="40">
        <f t="shared" si="5"/>
        <v>2263524.19</v>
      </c>
      <c r="R16" s="40">
        <f t="shared" si="15"/>
        <v>0</v>
      </c>
      <c r="S16" s="40">
        <f t="shared" si="15"/>
        <v>2263524.19</v>
      </c>
      <c r="T16" s="40">
        <f t="shared" si="15"/>
        <v>0</v>
      </c>
      <c r="U16" s="40">
        <f t="shared" si="7"/>
        <v>2263524.19</v>
      </c>
      <c r="V16" s="40">
        <f>+'SUMM BY CLUSTER- CONAP'!V27</f>
        <v>0</v>
      </c>
      <c r="W16" s="40">
        <f>+'SUMM BY CLUSTER- CONAP'!W27</f>
        <v>0</v>
      </c>
      <c r="X16" s="40">
        <f>+'SUMM BY CLUSTER- CONAP'!X27</f>
        <v>0</v>
      </c>
      <c r="Y16" s="40">
        <f t="shared" si="8"/>
        <v>0</v>
      </c>
      <c r="Z16" s="40">
        <f>+'SUMM BY CLUSTER- CONAP'!Z27</f>
        <v>0</v>
      </c>
      <c r="AA16" s="40">
        <f>+'SUMM BY CLUSTER- CONAP'!AA27</f>
        <v>1887604.07</v>
      </c>
      <c r="AB16" s="40">
        <f>+'SUMM BY CLUSTER- CONAP'!AB27</f>
        <v>0</v>
      </c>
      <c r="AC16" s="40">
        <f t="shared" si="9"/>
        <v>1887604.07</v>
      </c>
      <c r="AD16" s="40">
        <f t="shared" si="16"/>
        <v>0</v>
      </c>
      <c r="AE16" s="40">
        <f t="shared" si="16"/>
        <v>1887604.07</v>
      </c>
      <c r="AF16" s="40">
        <f t="shared" si="16"/>
        <v>0</v>
      </c>
      <c r="AG16" s="40">
        <f t="shared" si="11"/>
        <v>1887604.07</v>
      </c>
      <c r="AH16" s="40">
        <f t="shared" si="12"/>
        <v>0</v>
      </c>
      <c r="AI16" s="40">
        <f t="shared" si="12"/>
        <v>375920.11999999988</v>
      </c>
      <c r="AJ16" s="40">
        <f t="shared" si="12"/>
        <v>0</v>
      </c>
      <c r="AK16" s="40">
        <f t="shared" si="14"/>
        <v>375920.11999999988</v>
      </c>
      <c r="AL16" s="600" t="str">
        <f t="shared" si="1"/>
        <v xml:space="preserve"> </v>
      </c>
      <c r="AM16" s="600">
        <f t="shared" si="1"/>
        <v>0.83392264078255784</v>
      </c>
      <c r="AN16" s="934" t="str">
        <f t="shared" si="1"/>
        <v xml:space="preserve"> </v>
      </c>
      <c r="AO16" s="600">
        <f t="shared" si="1"/>
        <v>0.83392264078255784</v>
      </c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</row>
    <row r="17" spans="1:64" s="16" customFormat="1">
      <c r="A17" s="900" t="s">
        <v>968</v>
      </c>
      <c r="B17" s="40">
        <f>+'SUMM BY CLUSTER- CONAP'!B28</f>
        <v>0</v>
      </c>
      <c r="C17" s="40">
        <f>+'SUMM BY CLUSTER- CONAP'!C28</f>
        <v>0</v>
      </c>
      <c r="D17" s="40">
        <f>+'SUMM BY CLUSTER- CONAP'!D28</f>
        <v>0</v>
      </c>
      <c r="E17" s="40">
        <f t="shared" si="2"/>
        <v>0</v>
      </c>
      <c r="F17" s="40">
        <f>+'SUMM BY CLUSTER- CONAP'!F28</f>
        <v>0</v>
      </c>
      <c r="G17" s="40">
        <f>+'SUMM BY CLUSTER- CONAP'!G28</f>
        <v>0</v>
      </c>
      <c r="H17" s="40">
        <f>+'SUMM BY CLUSTER- CONAP'!H28</f>
        <v>0</v>
      </c>
      <c r="I17" s="40">
        <f t="shared" si="3"/>
        <v>0</v>
      </c>
      <c r="J17" s="40">
        <f>+'SUMM BY CLUSTER- CONAP'!J28</f>
        <v>0</v>
      </c>
      <c r="K17" s="40">
        <f>+'SUMM BY CLUSTER- CONAP'!K28</f>
        <v>8504508.1300000008</v>
      </c>
      <c r="L17" s="40">
        <f>+'SUMM BY CLUSTER- CONAP'!L28</f>
        <v>0</v>
      </c>
      <c r="M17" s="40">
        <f t="shared" si="4"/>
        <v>8504508.1300000008</v>
      </c>
      <c r="N17" s="40">
        <f>+'SUMM BY CLUSTER- CONAP'!N28</f>
        <v>0</v>
      </c>
      <c r="O17" s="40">
        <f>+'SUMM BY CLUSTER- CONAP'!O28</f>
        <v>8504508.1300000008</v>
      </c>
      <c r="P17" s="40">
        <f>+'SUMM BY CLUSTER- CONAP'!P28</f>
        <v>0</v>
      </c>
      <c r="Q17" s="40">
        <f t="shared" si="5"/>
        <v>8504508.1300000008</v>
      </c>
      <c r="R17" s="40">
        <f t="shared" si="15"/>
        <v>0</v>
      </c>
      <c r="S17" s="40">
        <f t="shared" si="15"/>
        <v>8504508.1300000008</v>
      </c>
      <c r="T17" s="40">
        <f t="shared" si="15"/>
        <v>0</v>
      </c>
      <c r="U17" s="40">
        <f t="shared" si="7"/>
        <v>8504508.1300000008</v>
      </c>
      <c r="V17" s="40">
        <f>+'SUMM BY CLUSTER- CONAP'!V28</f>
        <v>0</v>
      </c>
      <c r="W17" s="40">
        <f>+'SUMM BY CLUSTER- CONAP'!W28</f>
        <v>0</v>
      </c>
      <c r="X17" s="40">
        <f>+'SUMM BY CLUSTER- CONAP'!X28</f>
        <v>0</v>
      </c>
      <c r="Y17" s="40">
        <f t="shared" si="8"/>
        <v>0</v>
      </c>
      <c r="Z17" s="40">
        <f>+'SUMM BY CLUSTER- CONAP'!Z28</f>
        <v>0</v>
      </c>
      <c r="AA17" s="40">
        <f>+'SUMM BY CLUSTER- CONAP'!AA28</f>
        <v>8410425.9000000004</v>
      </c>
      <c r="AB17" s="40">
        <f>+'SUMM BY CLUSTER- CONAP'!AB28</f>
        <v>0</v>
      </c>
      <c r="AC17" s="40">
        <f t="shared" si="9"/>
        <v>8410425.9000000004</v>
      </c>
      <c r="AD17" s="40">
        <f t="shared" si="16"/>
        <v>0</v>
      </c>
      <c r="AE17" s="40">
        <f t="shared" si="16"/>
        <v>8410425.9000000004</v>
      </c>
      <c r="AF17" s="40">
        <f t="shared" si="16"/>
        <v>0</v>
      </c>
      <c r="AG17" s="40">
        <f t="shared" si="11"/>
        <v>8410425.9000000004</v>
      </c>
      <c r="AH17" s="40">
        <f t="shared" si="12"/>
        <v>0</v>
      </c>
      <c r="AI17" s="40">
        <f t="shared" si="12"/>
        <v>94082.230000000447</v>
      </c>
      <c r="AJ17" s="40">
        <f t="shared" si="12"/>
        <v>0</v>
      </c>
      <c r="AK17" s="40">
        <f t="shared" si="14"/>
        <v>94082.230000000447</v>
      </c>
      <c r="AL17" s="600" t="str">
        <f t="shared" si="1"/>
        <v xml:space="preserve"> </v>
      </c>
      <c r="AM17" s="600">
        <f t="shared" si="1"/>
        <v>0.98893736962069312</v>
      </c>
      <c r="AN17" s="934" t="str">
        <f t="shared" si="1"/>
        <v xml:space="preserve"> </v>
      </c>
      <c r="AO17" s="600">
        <f t="shared" si="1"/>
        <v>0.98893736962069312</v>
      </c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</row>
    <row r="18" spans="1:64" s="16" customFormat="1">
      <c r="A18" s="900" t="s">
        <v>969</v>
      </c>
      <c r="B18" s="40">
        <f>+'SUMM BY CLUSTER- CONAP'!B29</f>
        <v>0</v>
      </c>
      <c r="C18" s="40">
        <f>+'SUMM BY CLUSTER- CONAP'!C29</f>
        <v>5453574.2800000003</v>
      </c>
      <c r="D18" s="40">
        <f>+'SUMM BY CLUSTER- CONAP'!D29</f>
        <v>0</v>
      </c>
      <c r="E18" s="40">
        <f t="shared" si="2"/>
        <v>5453574.2800000003</v>
      </c>
      <c r="F18" s="40">
        <f>+'SUMM BY CLUSTER- CONAP'!F29</f>
        <v>0</v>
      </c>
      <c r="G18" s="40">
        <f>+'SUMM BY CLUSTER- CONAP'!G29</f>
        <v>-1086619.47</v>
      </c>
      <c r="H18" s="40">
        <f>+'SUMM BY CLUSTER- CONAP'!H29</f>
        <v>12306675</v>
      </c>
      <c r="I18" s="40">
        <f t="shared" si="3"/>
        <v>11220055.529999999</v>
      </c>
      <c r="J18" s="40">
        <f>+'SUMM BY CLUSTER- CONAP'!J29</f>
        <v>0</v>
      </c>
      <c r="K18" s="40">
        <f>+'SUMM BY CLUSTER- CONAP'!K29</f>
        <v>13318829.520000001</v>
      </c>
      <c r="L18" s="40">
        <f>+'SUMM BY CLUSTER- CONAP'!L29</f>
        <v>0</v>
      </c>
      <c r="M18" s="40">
        <f t="shared" si="4"/>
        <v>13318829.520000001</v>
      </c>
      <c r="N18" s="40">
        <f>+'SUMM BY CLUSTER- CONAP'!N29</f>
        <v>0</v>
      </c>
      <c r="O18" s="40">
        <f>+'SUMM BY CLUSTER- CONAP'!O29</f>
        <v>12232210.050000001</v>
      </c>
      <c r="P18" s="40">
        <f>+'SUMM BY CLUSTER- CONAP'!P29</f>
        <v>12306675</v>
      </c>
      <c r="Q18" s="40">
        <f t="shared" si="5"/>
        <v>24538885.050000001</v>
      </c>
      <c r="R18" s="40">
        <f t="shared" si="15"/>
        <v>0</v>
      </c>
      <c r="S18" s="40">
        <f t="shared" si="15"/>
        <v>17685784.330000002</v>
      </c>
      <c r="T18" s="40">
        <f t="shared" si="15"/>
        <v>12306675</v>
      </c>
      <c r="U18" s="40">
        <f t="shared" si="7"/>
        <v>29992459.330000002</v>
      </c>
      <c r="V18" s="40">
        <f>+'SUMM BY CLUSTER- CONAP'!V29</f>
        <v>0</v>
      </c>
      <c r="W18" s="40">
        <f>+'SUMM BY CLUSTER- CONAP'!W29</f>
        <v>5453574.2800000003</v>
      </c>
      <c r="X18" s="40">
        <f>+'SUMM BY CLUSTER- CONAP'!X29</f>
        <v>0</v>
      </c>
      <c r="Y18" s="40">
        <f t="shared" si="8"/>
        <v>5453574.2800000003</v>
      </c>
      <c r="Z18" s="40">
        <f>+'SUMM BY CLUSTER- CONAP'!Z29</f>
        <v>0</v>
      </c>
      <c r="AA18" s="40">
        <f>+'SUMM BY CLUSTER- CONAP'!AA29</f>
        <v>10109208.970000001</v>
      </c>
      <c r="AB18" s="40">
        <f>+'SUMM BY CLUSTER- CONAP'!AB29</f>
        <v>12306675</v>
      </c>
      <c r="AC18" s="40">
        <f t="shared" si="9"/>
        <v>22415883.969999999</v>
      </c>
      <c r="AD18" s="40">
        <f t="shared" si="16"/>
        <v>0</v>
      </c>
      <c r="AE18" s="40">
        <f t="shared" si="16"/>
        <v>15562783.25</v>
      </c>
      <c r="AF18" s="40">
        <f t="shared" si="16"/>
        <v>12306675</v>
      </c>
      <c r="AG18" s="40">
        <f t="shared" si="11"/>
        <v>27869458.25</v>
      </c>
      <c r="AH18" s="40">
        <f t="shared" si="12"/>
        <v>0</v>
      </c>
      <c r="AI18" s="40">
        <f t="shared" si="12"/>
        <v>2123001.0800000019</v>
      </c>
      <c r="AJ18" s="40">
        <f t="shared" si="12"/>
        <v>0</v>
      </c>
      <c r="AK18" s="40">
        <f t="shared" si="14"/>
        <v>2123001.0800000019</v>
      </c>
      <c r="AL18" s="600" t="str">
        <f t="shared" si="1"/>
        <v xml:space="preserve"> </v>
      </c>
      <c r="AM18" s="600">
        <f t="shared" si="1"/>
        <v>0.87996002663004302</v>
      </c>
      <c r="AN18" s="934">
        <f t="shared" si="1"/>
        <v>1</v>
      </c>
      <c r="AO18" s="600">
        <f t="shared" si="1"/>
        <v>0.92921550524946561</v>
      </c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</row>
    <row r="19" spans="1:64" s="16" customFormat="1">
      <c r="A19" s="900" t="s">
        <v>970</v>
      </c>
      <c r="B19" s="40">
        <f>+'SUMM BY CLUSTER- CONAP'!B30</f>
        <v>0</v>
      </c>
      <c r="C19" s="40">
        <f>+'SUMM BY CLUSTER- CONAP'!C30</f>
        <v>0</v>
      </c>
      <c r="D19" s="40">
        <f>+'SUMM BY CLUSTER- CONAP'!D30</f>
        <v>45305000</v>
      </c>
      <c r="E19" s="40">
        <f t="shared" si="2"/>
        <v>45305000</v>
      </c>
      <c r="F19" s="40">
        <f>+'SUMM BY CLUSTER- CONAP'!F30</f>
        <v>0</v>
      </c>
      <c r="G19" s="40">
        <f>+'SUMM BY CLUSTER- CONAP'!G30</f>
        <v>7362026.1299999999</v>
      </c>
      <c r="H19" s="40">
        <f>+'SUMM BY CLUSTER- CONAP'!H30</f>
        <v>0</v>
      </c>
      <c r="I19" s="40">
        <f t="shared" si="3"/>
        <v>7362026.1299999999</v>
      </c>
      <c r="J19" s="40">
        <f>+'SUMM BY CLUSTER- CONAP'!J30</f>
        <v>0</v>
      </c>
      <c r="K19" s="40">
        <f>+'SUMM BY CLUSTER- CONAP'!K30</f>
        <v>35522835.490000002</v>
      </c>
      <c r="L19" s="40">
        <f>+'SUMM BY CLUSTER- CONAP'!L30</f>
        <v>0</v>
      </c>
      <c r="M19" s="40">
        <f t="shared" si="4"/>
        <v>35522835.490000002</v>
      </c>
      <c r="N19" s="40">
        <f>+'SUMM BY CLUSTER- CONAP'!N30</f>
        <v>0</v>
      </c>
      <c r="O19" s="40">
        <f>+'SUMM BY CLUSTER- CONAP'!O30</f>
        <v>42884861.620000005</v>
      </c>
      <c r="P19" s="40">
        <f>+'SUMM BY CLUSTER- CONAP'!P30</f>
        <v>0</v>
      </c>
      <c r="Q19" s="40">
        <f t="shared" si="5"/>
        <v>42884861.620000005</v>
      </c>
      <c r="R19" s="40">
        <f t="shared" si="15"/>
        <v>0</v>
      </c>
      <c r="S19" s="40">
        <f t="shared" si="15"/>
        <v>42884861.620000005</v>
      </c>
      <c r="T19" s="40">
        <f t="shared" si="15"/>
        <v>45305000</v>
      </c>
      <c r="U19" s="40">
        <f t="shared" si="7"/>
        <v>88189861.620000005</v>
      </c>
      <c r="V19" s="40">
        <f>+'SUMM BY CLUSTER- CONAP'!V30</f>
        <v>0</v>
      </c>
      <c r="W19" s="40">
        <f>+'SUMM BY CLUSTER- CONAP'!W30</f>
        <v>0</v>
      </c>
      <c r="X19" s="40">
        <f>+'SUMM BY CLUSTER- CONAP'!X30</f>
        <v>39676113</v>
      </c>
      <c r="Y19" s="40">
        <f t="shared" si="8"/>
        <v>39676113</v>
      </c>
      <c r="Z19" s="40">
        <f>+'SUMM BY CLUSTER- CONAP'!Z30</f>
        <v>0</v>
      </c>
      <c r="AA19" s="40">
        <f>+'SUMM BY CLUSTER- CONAP'!AA30</f>
        <v>35872763.140000008</v>
      </c>
      <c r="AB19" s="40">
        <f>+'SUMM BY CLUSTER- CONAP'!AB30</f>
        <v>0</v>
      </c>
      <c r="AC19" s="40">
        <f t="shared" si="9"/>
        <v>35872763.140000008</v>
      </c>
      <c r="AD19" s="40">
        <f t="shared" si="16"/>
        <v>0</v>
      </c>
      <c r="AE19" s="40">
        <f t="shared" si="16"/>
        <v>35872763.140000008</v>
      </c>
      <c r="AF19" s="40">
        <f t="shared" si="16"/>
        <v>39676113</v>
      </c>
      <c r="AG19" s="40">
        <f t="shared" si="11"/>
        <v>75548876.140000015</v>
      </c>
      <c r="AH19" s="40">
        <f t="shared" si="12"/>
        <v>0</v>
      </c>
      <c r="AI19" s="40">
        <f t="shared" si="12"/>
        <v>7012098.4799999967</v>
      </c>
      <c r="AJ19" s="40">
        <f t="shared" si="12"/>
        <v>5628887</v>
      </c>
      <c r="AK19" s="40">
        <f t="shared" si="14"/>
        <v>12640985.479999997</v>
      </c>
      <c r="AL19" s="600" t="str">
        <f t="shared" si="1"/>
        <v xml:space="preserve"> </v>
      </c>
      <c r="AM19" s="600">
        <f t="shared" si="1"/>
        <v>0.83649012226893138</v>
      </c>
      <c r="AN19" s="934">
        <f t="shared" si="1"/>
        <v>0.87575572232645404</v>
      </c>
      <c r="AO19" s="600">
        <f t="shared" si="1"/>
        <v>0.85666169276386273</v>
      </c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</row>
    <row r="20" spans="1:64" s="16" customFormat="1">
      <c r="A20" s="900" t="s">
        <v>971</v>
      </c>
      <c r="B20" s="40">
        <f>+'SUMM BY CLUSTER- CONAP'!B31</f>
        <v>0</v>
      </c>
      <c r="C20" s="40">
        <f>+'SUMM BY CLUSTER- CONAP'!C31</f>
        <v>0</v>
      </c>
      <c r="D20" s="40">
        <f>+'SUMM BY CLUSTER- CONAP'!D31</f>
        <v>0</v>
      </c>
      <c r="E20" s="40">
        <f t="shared" si="2"/>
        <v>0</v>
      </c>
      <c r="F20" s="40">
        <f>+'SUMM BY CLUSTER- CONAP'!F31</f>
        <v>0</v>
      </c>
      <c r="G20" s="40">
        <f>+'SUMM BY CLUSTER- CONAP'!G31</f>
        <v>-2695102.42</v>
      </c>
      <c r="H20" s="40">
        <f>+'SUMM BY CLUSTER- CONAP'!H31</f>
        <v>0</v>
      </c>
      <c r="I20" s="40">
        <f t="shared" si="3"/>
        <v>-2695102.42</v>
      </c>
      <c r="J20" s="40">
        <f>+'SUMM BY CLUSTER- CONAP'!J31</f>
        <v>0</v>
      </c>
      <c r="K20" s="40">
        <f>+'SUMM BY CLUSTER- CONAP'!K31</f>
        <v>3695102.42</v>
      </c>
      <c r="L20" s="40">
        <f>+'SUMM BY CLUSTER- CONAP'!L31</f>
        <v>0</v>
      </c>
      <c r="M20" s="40">
        <f t="shared" si="4"/>
        <v>3695102.42</v>
      </c>
      <c r="N20" s="40">
        <f>+'SUMM BY CLUSTER- CONAP'!N31</f>
        <v>0</v>
      </c>
      <c r="O20" s="40">
        <f>+'SUMM BY CLUSTER- CONAP'!O31</f>
        <v>1000000</v>
      </c>
      <c r="P20" s="40">
        <f>+'SUMM BY CLUSTER- CONAP'!P31</f>
        <v>0</v>
      </c>
      <c r="Q20" s="40">
        <f t="shared" si="5"/>
        <v>1000000</v>
      </c>
      <c r="R20" s="40">
        <f t="shared" si="15"/>
        <v>0</v>
      </c>
      <c r="S20" s="40">
        <f t="shared" si="15"/>
        <v>1000000</v>
      </c>
      <c r="T20" s="40">
        <f t="shared" si="15"/>
        <v>0</v>
      </c>
      <c r="U20" s="40">
        <f t="shared" si="7"/>
        <v>1000000</v>
      </c>
      <c r="V20" s="40">
        <f>+'SUMM BY CLUSTER- CONAP'!V31</f>
        <v>0</v>
      </c>
      <c r="W20" s="40">
        <f>+'SUMM BY CLUSTER- CONAP'!W31</f>
        <v>0</v>
      </c>
      <c r="X20" s="40">
        <f>+'SUMM BY CLUSTER- CONAP'!X31</f>
        <v>0</v>
      </c>
      <c r="Y20" s="40">
        <f t="shared" si="8"/>
        <v>0</v>
      </c>
      <c r="Z20" s="40">
        <f>+'SUMM BY CLUSTER- CONAP'!Z31</f>
        <v>0</v>
      </c>
      <c r="AA20" s="40">
        <f>+'SUMM BY CLUSTER- CONAP'!AA31</f>
        <v>0</v>
      </c>
      <c r="AB20" s="40">
        <f>+'SUMM BY CLUSTER- CONAP'!AB31</f>
        <v>0</v>
      </c>
      <c r="AC20" s="40">
        <f t="shared" si="9"/>
        <v>0</v>
      </c>
      <c r="AD20" s="40">
        <f t="shared" si="16"/>
        <v>0</v>
      </c>
      <c r="AE20" s="40">
        <f t="shared" si="16"/>
        <v>0</v>
      </c>
      <c r="AF20" s="40">
        <f t="shared" si="16"/>
        <v>0</v>
      </c>
      <c r="AG20" s="40">
        <f t="shared" si="11"/>
        <v>0</v>
      </c>
      <c r="AH20" s="40">
        <f t="shared" si="12"/>
        <v>0</v>
      </c>
      <c r="AI20" s="40">
        <f t="shared" si="12"/>
        <v>1000000</v>
      </c>
      <c r="AJ20" s="40">
        <f t="shared" si="12"/>
        <v>0</v>
      </c>
      <c r="AK20" s="40">
        <f t="shared" si="14"/>
        <v>1000000</v>
      </c>
      <c r="AL20" s="600" t="str">
        <f t="shared" si="1"/>
        <v xml:space="preserve"> </v>
      </c>
      <c r="AM20" s="600">
        <f t="shared" si="1"/>
        <v>0</v>
      </c>
      <c r="AN20" s="934" t="str">
        <f t="shared" si="1"/>
        <v xml:space="preserve"> </v>
      </c>
      <c r="AO20" s="600">
        <f t="shared" si="1"/>
        <v>0</v>
      </c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</row>
    <row r="21" spans="1:64" s="16" customFormat="1">
      <c r="A21" s="592"/>
      <c r="B21" s="40"/>
      <c r="C21" s="40"/>
      <c r="D21" s="40"/>
      <c r="E21" s="40">
        <f t="shared" si="2"/>
        <v>0</v>
      </c>
      <c r="F21" s="40"/>
      <c r="G21" s="40"/>
      <c r="H21" s="40"/>
      <c r="I21" s="40">
        <f t="shared" si="3"/>
        <v>0</v>
      </c>
      <c r="J21" s="40"/>
      <c r="K21" s="40"/>
      <c r="L21" s="40"/>
      <c r="M21" s="40">
        <f t="shared" si="4"/>
        <v>0</v>
      </c>
      <c r="N21" s="40"/>
      <c r="O21" s="40"/>
      <c r="P21" s="40"/>
      <c r="Q21" s="40">
        <f t="shared" si="5"/>
        <v>0</v>
      </c>
      <c r="R21" s="40">
        <f t="shared" si="15"/>
        <v>0</v>
      </c>
      <c r="S21" s="40">
        <f t="shared" si="15"/>
        <v>0</v>
      </c>
      <c r="T21" s="40">
        <f t="shared" si="15"/>
        <v>0</v>
      </c>
      <c r="U21" s="40">
        <f t="shared" si="7"/>
        <v>0</v>
      </c>
      <c r="V21" s="40"/>
      <c r="W21" s="40"/>
      <c r="X21" s="40"/>
      <c r="Y21" s="40">
        <f t="shared" si="8"/>
        <v>0</v>
      </c>
      <c r="Z21" s="40"/>
      <c r="AA21" s="40"/>
      <c r="AB21" s="40"/>
      <c r="AC21" s="40">
        <f t="shared" si="9"/>
        <v>0</v>
      </c>
      <c r="AD21" s="40">
        <f t="shared" si="16"/>
        <v>0</v>
      </c>
      <c r="AE21" s="40">
        <f t="shared" si="16"/>
        <v>0</v>
      </c>
      <c r="AF21" s="40">
        <f t="shared" si="16"/>
        <v>0</v>
      </c>
      <c r="AG21" s="40">
        <f t="shared" si="11"/>
        <v>0</v>
      </c>
      <c r="AH21" s="40">
        <f t="shared" si="12"/>
        <v>0</v>
      </c>
      <c r="AI21" s="40">
        <f t="shared" si="12"/>
        <v>0</v>
      </c>
      <c r="AJ21" s="40">
        <f t="shared" si="12"/>
        <v>0</v>
      </c>
      <c r="AK21" s="40">
        <f t="shared" si="14"/>
        <v>0</v>
      </c>
      <c r="AL21" s="600"/>
      <c r="AM21" s="600" t="str">
        <f t="shared" si="1"/>
        <v xml:space="preserve"> </v>
      </c>
      <c r="AN21" s="934" t="str">
        <f t="shared" si="1"/>
        <v xml:space="preserve"> </v>
      </c>
      <c r="AO21" s="600" t="str">
        <f t="shared" si="1"/>
        <v xml:space="preserve"> </v>
      </c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</row>
    <row r="22" spans="1:64" s="903" customFormat="1" ht="16.5">
      <c r="A22" s="901" t="s">
        <v>56</v>
      </c>
      <c r="B22" s="912">
        <f>+'CONAP-FUR (REG)-Detail'!C98+'CONAP-FUR (REG)-Detail'!C188</f>
        <v>0</v>
      </c>
      <c r="C22" s="912">
        <f>+'CONAP-FUR (REG)-Detail'!D98+'CONAP-FUR (REG)-Detail'!D188</f>
        <v>3530530.299999997</v>
      </c>
      <c r="D22" s="912">
        <f>+'CONAP-FUR (REG)-Detail'!E98+'CONAP-FUR (REG)-Detail'!E188</f>
        <v>0</v>
      </c>
      <c r="E22" s="912">
        <f t="shared" ref="E22:AK22" si="17">SUM(E23:E27)</f>
        <v>3530530.299999997</v>
      </c>
      <c r="F22" s="912">
        <f>+'CONAP-FUR (REG)-Detail'!G98+'CONAP-FUR (REG)-Detail'!G188</f>
        <v>0</v>
      </c>
      <c r="G22" s="912">
        <f>+'CONAP-FUR (REG)-Detail'!H98+'CONAP-FUR (REG)-Detail'!H188</f>
        <v>-1337274.04</v>
      </c>
      <c r="H22" s="912">
        <f>+'CONAP-FUR (REG)-Detail'!I98+'CONAP-FUR (REG)-Detail'!I188</f>
        <v>770000</v>
      </c>
      <c r="I22" s="912">
        <f t="shared" si="17"/>
        <v>-567274.0399999998</v>
      </c>
      <c r="J22" s="912">
        <f>+'CONAP-FUR (REG)-Detail'!K98+'CONAP-FUR (REG)-Detail'!K188</f>
        <v>0</v>
      </c>
      <c r="K22" s="912">
        <f>+'CONAP-FUR (REG)-Detail'!L98+'CONAP-FUR (REG)-Detail'!L188</f>
        <v>35862686.57</v>
      </c>
      <c r="L22" s="912">
        <f>+'CONAP-FUR (REG)-Detail'!M98+'CONAP-FUR (REG)-Detail'!M188</f>
        <v>3375016.33</v>
      </c>
      <c r="M22" s="912">
        <f t="shared" si="17"/>
        <v>39237702.899999999</v>
      </c>
      <c r="N22" s="912">
        <f>+'CONAP-FUR (REG)-Detail'!O98+'CONAP-FUR (REG)-Detail'!O188</f>
        <v>0</v>
      </c>
      <c r="O22" s="912">
        <f>+'CONAP-FUR (REG)-Detail'!P98+'CONAP-FUR (REG)-Detail'!P188</f>
        <v>34525412.530000001</v>
      </c>
      <c r="P22" s="912">
        <f>+'CONAP-FUR (REG)-Detail'!Q98+'CONAP-FUR (REG)-Detail'!Q188</f>
        <v>4145016.33</v>
      </c>
      <c r="Q22" s="912">
        <f t="shared" si="17"/>
        <v>38670428.859999999</v>
      </c>
      <c r="R22" s="912">
        <f t="shared" si="17"/>
        <v>0</v>
      </c>
      <c r="S22" s="912">
        <f t="shared" si="17"/>
        <v>38055942.829999998</v>
      </c>
      <c r="T22" s="912">
        <f t="shared" si="17"/>
        <v>4145016.33</v>
      </c>
      <c r="U22" s="912">
        <f t="shared" si="17"/>
        <v>42200959.159999996</v>
      </c>
      <c r="V22" s="912">
        <f>+'CONAP-FUR (REG)-Detail'!W98+'CONAP-FUR (REG)-Detail'!W188</f>
        <v>0</v>
      </c>
      <c r="W22" s="912">
        <f>+'CONAP-FUR (REG)-Detail'!X98+'CONAP-FUR (REG)-Detail'!X188</f>
        <v>3528036.3500000006</v>
      </c>
      <c r="X22" s="912">
        <f>+'CONAP-FUR (REG)-Detail'!Y98+'CONAP-FUR (REG)-Detail'!Y188</f>
        <v>0</v>
      </c>
      <c r="Y22" s="912">
        <f t="shared" si="17"/>
        <v>3528036.3500000006</v>
      </c>
      <c r="Z22" s="912">
        <f>+'CONAP-FUR (REG)-Detail'!AA98+'CONAP-FUR (REG)-Detail'!AA188</f>
        <v>0</v>
      </c>
      <c r="AA22" s="912">
        <f>+'CONAP-FUR (REG)-Detail'!AB98+'CONAP-FUR (REG)-Detail'!AB188</f>
        <v>26000437.18</v>
      </c>
      <c r="AB22" s="912">
        <f>+'CONAP-FUR (REG)-Detail'!AC98+'CONAP-FUR (REG)-Detail'!AC188</f>
        <v>189808</v>
      </c>
      <c r="AC22" s="912">
        <f t="shared" si="17"/>
        <v>26190245.180000003</v>
      </c>
      <c r="AD22" s="912">
        <f t="shared" si="17"/>
        <v>0</v>
      </c>
      <c r="AE22" s="912">
        <f t="shared" si="17"/>
        <v>29528473.530000001</v>
      </c>
      <c r="AF22" s="912">
        <f t="shared" si="17"/>
        <v>189808</v>
      </c>
      <c r="AG22" s="912">
        <f t="shared" si="17"/>
        <v>29718281.530000001</v>
      </c>
      <c r="AH22" s="912">
        <f t="shared" si="17"/>
        <v>0</v>
      </c>
      <c r="AI22" s="912">
        <f t="shared" si="17"/>
        <v>8527469.2999999989</v>
      </c>
      <c r="AJ22" s="912">
        <f t="shared" si="17"/>
        <v>3955208.33</v>
      </c>
      <c r="AK22" s="912">
        <f t="shared" si="17"/>
        <v>12482677.629999999</v>
      </c>
      <c r="AL22" s="601" t="str">
        <f t="shared" si="1"/>
        <v xml:space="preserve"> </v>
      </c>
      <c r="AM22" s="601">
        <f t="shared" si="1"/>
        <v>0.77592279507846851</v>
      </c>
      <c r="AN22" s="935">
        <f t="shared" si="1"/>
        <v>4.5791858195164216E-2</v>
      </c>
      <c r="AO22" s="601">
        <f t="shared" si="1"/>
        <v>0.7042086749101274</v>
      </c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</row>
    <row r="23" spans="1:64" s="903" customFormat="1">
      <c r="A23" s="899" t="s">
        <v>1087</v>
      </c>
      <c r="B23" s="40">
        <f>+'SUMM BY CLUSTER- CONAP'!B34</f>
        <v>0</v>
      </c>
      <c r="C23" s="40">
        <f>+'SUMM BY CLUSTER- CONAP'!C34</f>
        <v>2363191.2899999972</v>
      </c>
      <c r="D23" s="40">
        <f>+'SUMM BY CLUSTER- CONAP'!D34</f>
        <v>0</v>
      </c>
      <c r="E23" s="40">
        <f t="shared" si="2"/>
        <v>2363191.2899999972</v>
      </c>
      <c r="F23" s="40">
        <f>+'SUMM BY CLUSTER- CONAP'!F34</f>
        <v>0</v>
      </c>
      <c r="G23" s="40">
        <f>+'SUMM BY CLUSTER- CONAP'!G34</f>
        <v>-3551774.76</v>
      </c>
      <c r="H23" s="40">
        <f>+'SUMM BY CLUSTER- CONAP'!H34</f>
        <v>770000</v>
      </c>
      <c r="I23" s="40">
        <f t="shared" si="3"/>
        <v>-2781774.76</v>
      </c>
      <c r="J23" s="40">
        <f>+'SUMM BY CLUSTER- CONAP'!J34</f>
        <v>0</v>
      </c>
      <c r="K23" s="40">
        <f>+'SUMM BY CLUSTER- CONAP'!K34</f>
        <v>28878746.399999999</v>
      </c>
      <c r="L23" s="40">
        <f>+'SUMM BY CLUSTER- CONAP'!L34</f>
        <v>3375016.33</v>
      </c>
      <c r="M23" s="40">
        <f t="shared" si="4"/>
        <v>32253762.729999997</v>
      </c>
      <c r="N23" s="40">
        <f>+'SUMM BY CLUSTER- CONAP'!N34</f>
        <v>0</v>
      </c>
      <c r="O23" s="40">
        <f>+'SUMM BY CLUSTER- CONAP'!O34</f>
        <v>25326971.640000001</v>
      </c>
      <c r="P23" s="40">
        <f>+'SUMM BY CLUSTER- CONAP'!P34</f>
        <v>4145016.33</v>
      </c>
      <c r="Q23" s="40">
        <f t="shared" si="5"/>
        <v>29471987.969999999</v>
      </c>
      <c r="R23" s="40">
        <f t="shared" si="15"/>
        <v>0</v>
      </c>
      <c r="S23" s="40">
        <f t="shared" si="15"/>
        <v>27690162.93</v>
      </c>
      <c r="T23" s="40">
        <f t="shared" si="15"/>
        <v>4145016.33</v>
      </c>
      <c r="U23" s="40">
        <f t="shared" si="7"/>
        <v>31835179.259999998</v>
      </c>
      <c r="V23" s="40">
        <f>+'SUMM BY CLUSTER- CONAP'!V34</f>
        <v>0</v>
      </c>
      <c r="W23" s="40">
        <f>+'SUMM BY CLUSTER- CONAP'!W34</f>
        <v>2363142.9500000002</v>
      </c>
      <c r="X23" s="40">
        <f>+'SUMM BY CLUSTER- CONAP'!X34</f>
        <v>0</v>
      </c>
      <c r="Y23" s="40">
        <f t="shared" si="8"/>
        <v>2363142.9500000002</v>
      </c>
      <c r="Z23" s="40">
        <f>+'SUMM BY CLUSTER- CONAP'!Z34</f>
        <v>0</v>
      </c>
      <c r="AA23" s="40">
        <f>+'SUMM BY CLUSTER- CONAP'!AA34</f>
        <v>17627958.810000002</v>
      </c>
      <c r="AB23" s="40">
        <f>+'SUMM BY CLUSTER- CONAP'!AB34</f>
        <v>189808</v>
      </c>
      <c r="AC23" s="40">
        <f t="shared" si="9"/>
        <v>17817766.810000002</v>
      </c>
      <c r="AD23" s="40">
        <f t="shared" si="16"/>
        <v>0</v>
      </c>
      <c r="AE23" s="40">
        <f t="shared" si="16"/>
        <v>19991101.760000002</v>
      </c>
      <c r="AF23" s="40">
        <f t="shared" si="16"/>
        <v>189808</v>
      </c>
      <c r="AG23" s="40">
        <f t="shared" si="11"/>
        <v>20180909.760000002</v>
      </c>
      <c r="AH23" s="40">
        <f t="shared" si="12"/>
        <v>0</v>
      </c>
      <c r="AI23" s="40">
        <f t="shared" si="12"/>
        <v>7699061.1699999981</v>
      </c>
      <c r="AJ23" s="40">
        <f t="shared" si="12"/>
        <v>3955208.33</v>
      </c>
      <c r="AK23" s="40">
        <f t="shared" si="14"/>
        <v>11654269.499999998</v>
      </c>
      <c r="AL23" s="601"/>
      <c r="AM23" s="601">
        <f t="shared" si="1"/>
        <v>0.72195681226350961</v>
      </c>
      <c r="AN23" s="935">
        <f t="shared" si="1"/>
        <v>4.5791858195164216E-2</v>
      </c>
      <c r="AO23" s="601">
        <f t="shared" si="1"/>
        <v>0.63391852124284231</v>
      </c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</row>
    <row r="24" spans="1:64" s="903" customFormat="1">
      <c r="A24" s="899" t="s">
        <v>973</v>
      </c>
      <c r="B24" s="40">
        <f>+'SUMM BY CLUSTER- CONAP'!B35</f>
        <v>0</v>
      </c>
      <c r="C24" s="40">
        <f>+'SUMM BY CLUSTER- CONAP'!C35</f>
        <v>0</v>
      </c>
      <c r="D24" s="40">
        <f>+'SUMM BY CLUSTER- CONAP'!D35</f>
        <v>0</v>
      </c>
      <c r="E24" s="40">
        <f t="shared" si="2"/>
        <v>0</v>
      </c>
      <c r="F24" s="40">
        <f>+'SUMM BY CLUSTER- CONAP'!F35</f>
        <v>0</v>
      </c>
      <c r="G24" s="40">
        <f>+'SUMM BY CLUSTER- CONAP'!G35</f>
        <v>220650</v>
      </c>
      <c r="H24" s="40">
        <f>+'SUMM BY CLUSTER- CONAP'!H35</f>
        <v>0</v>
      </c>
      <c r="I24" s="40">
        <f t="shared" si="3"/>
        <v>220650</v>
      </c>
      <c r="J24" s="40">
        <f>+'SUMM BY CLUSTER- CONAP'!J35</f>
        <v>0</v>
      </c>
      <c r="K24" s="40">
        <f>+'SUMM BY CLUSTER- CONAP'!K35</f>
        <v>3774.42</v>
      </c>
      <c r="L24" s="40">
        <f>+'SUMM BY CLUSTER- CONAP'!L35</f>
        <v>0</v>
      </c>
      <c r="M24" s="40">
        <f t="shared" si="4"/>
        <v>3774.42</v>
      </c>
      <c r="N24" s="40">
        <f>+'SUMM BY CLUSTER- CONAP'!N35</f>
        <v>0</v>
      </c>
      <c r="O24" s="40">
        <f>+'SUMM BY CLUSTER- CONAP'!O35</f>
        <v>224424.42</v>
      </c>
      <c r="P24" s="40">
        <f>+'SUMM BY CLUSTER- CONAP'!P35</f>
        <v>0</v>
      </c>
      <c r="Q24" s="40">
        <f t="shared" si="5"/>
        <v>224424.42</v>
      </c>
      <c r="R24" s="40">
        <f t="shared" si="15"/>
        <v>0</v>
      </c>
      <c r="S24" s="40">
        <f t="shared" si="15"/>
        <v>224424.42</v>
      </c>
      <c r="T24" s="40">
        <f t="shared" si="15"/>
        <v>0</v>
      </c>
      <c r="U24" s="40">
        <f t="shared" si="7"/>
        <v>224424.42</v>
      </c>
      <c r="V24" s="40">
        <f>+'SUMM BY CLUSTER- CONAP'!V35</f>
        <v>0</v>
      </c>
      <c r="W24" s="40">
        <f>+'SUMM BY CLUSTER- CONAP'!W35</f>
        <v>0</v>
      </c>
      <c r="X24" s="40">
        <f>+'SUMM BY CLUSTER- CONAP'!X35</f>
        <v>0</v>
      </c>
      <c r="Y24" s="40">
        <f t="shared" si="8"/>
        <v>0</v>
      </c>
      <c r="Z24" s="40">
        <f>+'SUMM BY CLUSTER- CONAP'!Z35</f>
        <v>0</v>
      </c>
      <c r="AA24" s="40">
        <f>+'SUMM BY CLUSTER- CONAP'!AA35</f>
        <v>28774.42</v>
      </c>
      <c r="AB24" s="40">
        <f>+'SUMM BY CLUSTER- CONAP'!AB35</f>
        <v>0</v>
      </c>
      <c r="AC24" s="40">
        <f t="shared" si="9"/>
        <v>28774.42</v>
      </c>
      <c r="AD24" s="40">
        <f t="shared" si="16"/>
        <v>0</v>
      </c>
      <c r="AE24" s="40">
        <f t="shared" si="16"/>
        <v>28774.42</v>
      </c>
      <c r="AF24" s="40">
        <f t="shared" si="16"/>
        <v>0</v>
      </c>
      <c r="AG24" s="40">
        <f t="shared" si="11"/>
        <v>28774.42</v>
      </c>
      <c r="AH24" s="40">
        <f t="shared" si="12"/>
        <v>0</v>
      </c>
      <c r="AI24" s="40">
        <f t="shared" si="12"/>
        <v>195650</v>
      </c>
      <c r="AJ24" s="40">
        <f t="shared" si="12"/>
        <v>0</v>
      </c>
      <c r="AK24" s="40">
        <f t="shared" si="14"/>
        <v>195650</v>
      </c>
      <c r="AL24" s="601"/>
      <c r="AM24" s="601">
        <f t="shared" si="1"/>
        <v>0.12821430038674042</v>
      </c>
      <c r="AN24" s="935" t="str">
        <f t="shared" si="1"/>
        <v xml:space="preserve"> </v>
      </c>
      <c r="AO24" s="601">
        <f t="shared" si="1"/>
        <v>0.12821430038674042</v>
      </c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</row>
    <row r="25" spans="1:64" s="903" customFormat="1">
      <c r="A25" s="899" t="s">
        <v>974</v>
      </c>
      <c r="B25" s="40">
        <f>+'SUMM BY CLUSTER- CONAP'!B36</f>
        <v>0</v>
      </c>
      <c r="C25" s="40">
        <f>+'SUMM BY CLUSTER- CONAP'!C36</f>
        <v>1164893.4000000004</v>
      </c>
      <c r="D25" s="40">
        <f>+'SUMM BY CLUSTER- CONAP'!D36</f>
        <v>0</v>
      </c>
      <c r="E25" s="40">
        <f t="shared" si="2"/>
        <v>1164893.4000000004</v>
      </c>
      <c r="F25" s="40">
        <f>+'SUMM BY CLUSTER- CONAP'!F36</f>
        <v>0</v>
      </c>
      <c r="G25" s="40">
        <f>+'SUMM BY CLUSTER- CONAP'!G36</f>
        <v>1230514.76</v>
      </c>
      <c r="H25" s="40">
        <f>+'SUMM BY CLUSTER- CONAP'!H36</f>
        <v>0</v>
      </c>
      <c r="I25" s="40">
        <f t="shared" si="3"/>
        <v>1230514.76</v>
      </c>
      <c r="J25" s="40">
        <f>+'SUMM BY CLUSTER- CONAP'!J36</f>
        <v>0</v>
      </c>
      <c r="K25" s="40">
        <f>+'SUMM BY CLUSTER- CONAP'!K36</f>
        <v>5727717.2700000005</v>
      </c>
      <c r="L25" s="40">
        <f>+'SUMM BY CLUSTER- CONAP'!L36</f>
        <v>0</v>
      </c>
      <c r="M25" s="40">
        <f t="shared" si="4"/>
        <v>5727717.2700000005</v>
      </c>
      <c r="N25" s="40">
        <f>+'SUMM BY CLUSTER- CONAP'!N36</f>
        <v>0</v>
      </c>
      <c r="O25" s="40">
        <f>+'SUMM BY CLUSTER- CONAP'!O36</f>
        <v>6958232.0300000003</v>
      </c>
      <c r="P25" s="40">
        <f>+'SUMM BY CLUSTER- CONAP'!P36</f>
        <v>0</v>
      </c>
      <c r="Q25" s="40">
        <f t="shared" si="5"/>
        <v>6958232.0300000003</v>
      </c>
      <c r="R25" s="40">
        <f t="shared" si="15"/>
        <v>0</v>
      </c>
      <c r="S25" s="40">
        <f t="shared" si="15"/>
        <v>8123125.4300000006</v>
      </c>
      <c r="T25" s="40">
        <f t="shared" si="15"/>
        <v>0</v>
      </c>
      <c r="U25" s="40">
        <f t="shared" si="7"/>
        <v>8123125.4300000006</v>
      </c>
      <c r="V25" s="40">
        <f>+'SUMM BY CLUSTER- CONAP'!V36</f>
        <v>0</v>
      </c>
      <c r="W25" s="40">
        <f>+'SUMM BY CLUSTER- CONAP'!W36</f>
        <v>1164893.4000000001</v>
      </c>
      <c r="X25" s="40">
        <f>+'SUMM BY CLUSTER- CONAP'!X36</f>
        <v>0</v>
      </c>
      <c r="Y25" s="40">
        <f t="shared" si="8"/>
        <v>1164893.4000000001</v>
      </c>
      <c r="Z25" s="40">
        <f>+'SUMM BY CLUSTER- CONAP'!Z36</f>
        <v>0</v>
      </c>
      <c r="AA25" s="40">
        <f>+'SUMM BY CLUSTER- CONAP'!AA36</f>
        <v>6919197.7299999995</v>
      </c>
      <c r="AB25" s="40">
        <f>+'SUMM BY CLUSTER- CONAP'!AB36</f>
        <v>0</v>
      </c>
      <c r="AC25" s="40">
        <f t="shared" si="9"/>
        <v>6919197.7299999995</v>
      </c>
      <c r="AD25" s="40">
        <f t="shared" si="16"/>
        <v>0</v>
      </c>
      <c r="AE25" s="40">
        <f t="shared" si="16"/>
        <v>8084091.1299999999</v>
      </c>
      <c r="AF25" s="40">
        <f t="shared" si="16"/>
        <v>0</v>
      </c>
      <c r="AG25" s="40">
        <f t="shared" si="11"/>
        <v>8084091.1299999999</v>
      </c>
      <c r="AH25" s="40">
        <f t="shared" si="12"/>
        <v>0</v>
      </c>
      <c r="AI25" s="40">
        <f t="shared" si="12"/>
        <v>39034.300000000745</v>
      </c>
      <c r="AJ25" s="40">
        <f t="shared" si="12"/>
        <v>0</v>
      </c>
      <c r="AK25" s="40">
        <f t="shared" si="14"/>
        <v>39034.300000000745</v>
      </c>
      <c r="AL25" s="601"/>
      <c r="AM25" s="601">
        <f t="shared" si="1"/>
        <v>0.99519466979349591</v>
      </c>
      <c r="AN25" s="935" t="str">
        <f t="shared" si="1"/>
        <v xml:space="preserve"> </v>
      </c>
      <c r="AO25" s="601">
        <f t="shared" si="1"/>
        <v>0.99519466979349591</v>
      </c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</row>
    <row r="26" spans="1:64" s="903" customFormat="1">
      <c r="A26" s="899" t="s">
        <v>975</v>
      </c>
      <c r="B26" s="40">
        <f>+'SUMM BY CLUSTER- CONAP'!B37</f>
        <v>0</v>
      </c>
      <c r="C26" s="40">
        <f>+'SUMM BY CLUSTER- CONAP'!C37</f>
        <v>2445.609999999404</v>
      </c>
      <c r="D26" s="40">
        <f>+'SUMM BY CLUSTER- CONAP'!D37</f>
        <v>0</v>
      </c>
      <c r="E26" s="40">
        <f t="shared" si="2"/>
        <v>2445.609999999404</v>
      </c>
      <c r="F26" s="40">
        <f>+'SUMM BY CLUSTER- CONAP'!F37</f>
        <v>0</v>
      </c>
      <c r="G26" s="40">
        <f>+'SUMM BY CLUSTER- CONAP'!G37</f>
        <v>763335.96</v>
      </c>
      <c r="H26" s="40">
        <f>+'SUMM BY CLUSTER- CONAP'!H37</f>
        <v>0</v>
      </c>
      <c r="I26" s="40">
        <f t="shared" si="3"/>
        <v>763335.96</v>
      </c>
      <c r="J26" s="40">
        <f>+'SUMM BY CLUSTER- CONAP'!J37</f>
        <v>0</v>
      </c>
      <c r="K26" s="40">
        <f>+'SUMM BY CLUSTER- CONAP'!K37</f>
        <v>1252448.48</v>
      </c>
      <c r="L26" s="40">
        <f>+'SUMM BY CLUSTER- CONAP'!L37</f>
        <v>0</v>
      </c>
      <c r="M26" s="40">
        <f t="shared" si="4"/>
        <v>1252448.48</v>
      </c>
      <c r="N26" s="40">
        <f>+'SUMM BY CLUSTER- CONAP'!N37</f>
        <v>0</v>
      </c>
      <c r="O26" s="40">
        <f>+'SUMM BY CLUSTER- CONAP'!O37</f>
        <v>2015784.44</v>
      </c>
      <c r="P26" s="40">
        <f>+'SUMM BY CLUSTER- CONAP'!P37</f>
        <v>0</v>
      </c>
      <c r="Q26" s="40">
        <f t="shared" si="5"/>
        <v>2015784.44</v>
      </c>
      <c r="R26" s="40">
        <f t="shared" si="15"/>
        <v>0</v>
      </c>
      <c r="S26" s="40">
        <f t="shared" si="15"/>
        <v>2018230.0499999993</v>
      </c>
      <c r="T26" s="40">
        <f t="shared" si="15"/>
        <v>0</v>
      </c>
      <c r="U26" s="40">
        <f t="shared" si="7"/>
        <v>2018230.0499999993</v>
      </c>
      <c r="V26" s="40">
        <f>+'SUMM BY CLUSTER- CONAP'!V37</f>
        <v>0</v>
      </c>
      <c r="W26" s="40">
        <f>+'SUMM BY CLUSTER- CONAP'!W37</f>
        <v>0</v>
      </c>
      <c r="X26" s="40">
        <f>+'SUMM BY CLUSTER- CONAP'!X37</f>
        <v>0</v>
      </c>
      <c r="Y26" s="40">
        <f t="shared" si="8"/>
        <v>0</v>
      </c>
      <c r="Z26" s="40">
        <f>+'SUMM BY CLUSTER- CONAP'!Z37</f>
        <v>0</v>
      </c>
      <c r="AA26" s="40">
        <f>+'SUMM BY CLUSTER- CONAP'!AA37</f>
        <v>1424506.2199999997</v>
      </c>
      <c r="AB26" s="40">
        <f>+'SUMM BY CLUSTER- CONAP'!AB37</f>
        <v>0</v>
      </c>
      <c r="AC26" s="40">
        <f t="shared" si="9"/>
        <v>1424506.2199999997</v>
      </c>
      <c r="AD26" s="40">
        <f t="shared" si="16"/>
        <v>0</v>
      </c>
      <c r="AE26" s="40">
        <f t="shared" si="16"/>
        <v>1424506.2199999997</v>
      </c>
      <c r="AF26" s="40">
        <f t="shared" si="16"/>
        <v>0</v>
      </c>
      <c r="AG26" s="40">
        <f t="shared" si="11"/>
        <v>1424506.2199999997</v>
      </c>
      <c r="AH26" s="40">
        <f t="shared" si="12"/>
        <v>0</v>
      </c>
      <c r="AI26" s="40">
        <f t="shared" si="12"/>
        <v>593723.82999999961</v>
      </c>
      <c r="AJ26" s="40">
        <f t="shared" si="12"/>
        <v>0</v>
      </c>
      <c r="AK26" s="40">
        <f t="shared" si="14"/>
        <v>593723.82999999961</v>
      </c>
      <c r="AL26" s="601"/>
      <c r="AM26" s="601">
        <f t="shared" si="1"/>
        <v>0.70581954718194795</v>
      </c>
      <c r="AN26" s="935" t="str">
        <f t="shared" si="1"/>
        <v xml:space="preserve"> </v>
      </c>
      <c r="AO26" s="601">
        <f t="shared" si="1"/>
        <v>0.70581954718194795</v>
      </c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</row>
    <row r="27" spans="1:64" s="903" customFormat="1">
      <c r="A27" s="899" t="s">
        <v>976</v>
      </c>
      <c r="B27" s="40">
        <f>+'SUMM BY CLUSTER- CONAP'!B38</f>
        <v>0</v>
      </c>
      <c r="C27" s="40">
        <f>+'SUMM BY CLUSTER- CONAP'!C38</f>
        <v>0</v>
      </c>
      <c r="D27" s="40">
        <f>+'SUMM BY CLUSTER- CONAP'!D38</f>
        <v>0</v>
      </c>
      <c r="E27" s="40">
        <f t="shared" si="2"/>
        <v>0</v>
      </c>
      <c r="F27" s="40">
        <f>+'SUMM BY CLUSTER- CONAP'!F38</f>
        <v>0</v>
      </c>
      <c r="G27" s="40">
        <f>+'SUMM BY CLUSTER- CONAP'!G38</f>
        <v>0</v>
      </c>
      <c r="H27" s="40">
        <f>+'SUMM BY CLUSTER- CONAP'!H38</f>
        <v>0</v>
      </c>
      <c r="I27" s="40">
        <f t="shared" si="3"/>
        <v>0</v>
      </c>
      <c r="J27" s="40">
        <f>+'SUMM BY CLUSTER- CONAP'!J38</f>
        <v>0</v>
      </c>
      <c r="K27" s="40">
        <f>+'SUMM BY CLUSTER- CONAP'!K38</f>
        <v>0</v>
      </c>
      <c r="L27" s="40">
        <f>+'SUMM BY CLUSTER- CONAP'!L38</f>
        <v>0</v>
      </c>
      <c r="M27" s="40">
        <f t="shared" si="4"/>
        <v>0</v>
      </c>
      <c r="N27" s="40">
        <f>+'SUMM BY CLUSTER- CONAP'!N38</f>
        <v>0</v>
      </c>
      <c r="O27" s="40">
        <f>+'SUMM BY CLUSTER- CONAP'!O38</f>
        <v>0</v>
      </c>
      <c r="P27" s="40">
        <f>+'SUMM BY CLUSTER- CONAP'!P38</f>
        <v>0</v>
      </c>
      <c r="Q27" s="40">
        <f t="shared" si="5"/>
        <v>0</v>
      </c>
      <c r="R27" s="40">
        <f t="shared" si="15"/>
        <v>0</v>
      </c>
      <c r="S27" s="40">
        <f t="shared" si="15"/>
        <v>0</v>
      </c>
      <c r="T27" s="40">
        <f t="shared" si="15"/>
        <v>0</v>
      </c>
      <c r="U27" s="40">
        <f t="shared" si="7"/>
        <v>0</v>
      </c>
      <c r="V27" s="40">
        <f>+'SUMM BY CLUSTER- CONAP'!V38</f>
        <v>0</v>
      </c>
      <c r="W27" s="40">
        <f>+'SUMM BY CLUSTER- CONAP'!W38</f>
        <v>0</v>
      </c>
      <c r="X27" s="40">
        <f>+'SUMM BY CLUSTER- CONAP'!X38</f>
        <v>0</v>
      </c>
      <c r="Y27" s="40">
        <f t="shared" si="8"/>
        <v>0</v>
      </c>
      <c r="Z27" s="40">
        <f>+'SUMM BY CLUSTER- CONAP'!Z38</f>
        <v>0</v>
      </c>
      <c r="AA27" s="40">
        <f>+'SUMM BY CLUSTER- CONAP'!AA38</f>
        <v>0</v>
      </c>
      <c r="AB27" s="40">
        <f>+'SUMM BY CLUSTER- CONAP'!AB38</f>
        <v>0</v>
      </c>
      <c r="AC27" s="40">
        <f t="shared" si="9"/>
        <v>0</v>
      </c>
      <c r="AD27" s="40">
        <f t="shared" si="16"/>
        <v>0</v>
      </c>
      <c r="AE27" s="40">
        <f t="shared" si="16"/>
        <v>0</v>
      </c>
      <c r="AF27" s="40">
        <f t="shared" si="16"/>
        <v>0</v>
      </c>
      <c r="AG27" s="40">
        <f t="shared" si="11"/>
        <v>0</v>
      </c>
      <c r="AH27" s="40">
        <f t="shared" si="12"/>
        <v>0</v>
      </c>
      <c r="AI27" s="40">
        <f t="shared" si="12"/>
        <v>0</v>
      </c>
      <c r="AJ27" s="40">
        <f t="shared" si="12"/>
        <v>0</v>
      </c>
      <c r="AK27" s="40">
        <f t="shared" si="14"/>
        <v>0</v>
      </c>
      <c r="AL27" s="601"/>
      <c r="AM27" s="601" t="str">
        <f t="shared" si="1"/>
        <v xml:space="preserve"> </v>
      </c>
      <c r="AN27" s="935" t="str">
        <f t="shared" si="1"/>
        <v xml:space="preserve"> </v>
      </c>
      <c r="AO27" s="601" t="str">
        <f t="shared" si="1"/>
        <v xml:space="preserve"> </v>
      </c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</row>
    <row r="28" spans="1:64" s="903" customFormat="1">
      <c r="A28" s="592"/>
      <c r="B28" s="912"/>
      <c r="C28" s="912"/>
      <c r="D28" s="912"/>
      <c r="E28" s="41">
        <f t="shared" si="2"/>
        <v>0</v>
      </c>
      <c r="F28" s="912"/>
      <c r="G28" s="912"/>
      <c r="H28" s="912"/>
      <c r="I28" s="41">
        <f t="shared" si="3"/>
        <v>0</v>
      </c>
      <c r="J28" s="912"/>
      <c r="K28" s="912"/>
      <c r="L28" s="912"/>
      <c r="M28" s="41">
        <f t="shared" si="4"/>
        <v>0</v>
      </c>
      <c r="N28" s="912"/>
      <c r="O28" s="912"/>
      <c r="P28" s="912"/>
      <c r="Q28" s="41">
        <f t="shared" si="5"/>
        <v>0</v>
      </c>
      <c r="R28" s="912">
        <f t="shared" si="15"/>
        <v>0</v>
      </c>
      <c r="S28" s="912">
        <f t="shared" si="15"/>
        <v>0</v>
      </c>
      <c r="T28" s="912">
        <f t="shared" si="15"/>
        <v>0</v>
      </c>
      <c r="U28" s="41">
        <f t="shared" si="7"/>
        <v>0</v>
      </c>
      <c r="V28" s="912"/>
      <c r="W28" s="912"/>
      <c r="X28" s="912"/>
      <c r="Y28" s="41">
        <f t="shared" si="8"/>
        <v>0</v>
      </c>
      <c r="Z28" s="912"/>
      <c r="AA28" s="912"/>
      <c r="AB28" s="912"/>
      <c r="AC28" s="41">
        <f t="shared" si="9"/>
        <v>0</v>
      </c>
      <c r="AD28" s="912">
        <f t="shared" si="16"/>
        <v>0</v>
      </c>
      <c r="AE28" s="912">
        <f t="shared" si="16"/>
        <v>0</v>
      </c>
      <c r="AF28" s="912">
        <f t="shared" si="16"/>
        <v>0</v>
      </c>
      <c r="AG28" s="41">
        <f t="shared" si="11"/>
        <v>0</v>
      </c>
      <c r="AH28" s="41">
        <f t="shared" si="12"/>
        <v>0</v>
      </c>
      <c r="AI28" s="912">
        <f t="shared" si="12"/>
        <v>0</v>
      </c>
      <c r="AJ28" s="912">
        <f t="shared" si="12"/>
        <v>0</v>
      </c>
      <c r="AK28" s="41">
        <f t="shared" si="14"/>
        <v>0</v>
      </c>
      <c r="AL28" s="601"/>
      <c r="AM28" s="601" t="str">
        <f t="shared" si="1"/>
        <v xml:space="preserve"> </v>
      </c>
      <c r="AN28" s="935" t="str">
        <f t="shared" si="1"/>
        <v xml:space="preserve"> </v>
      </c>
      <c r="AO28" s="601" t="str">
        <f t="shared" si="1"/>
        <v xml:space="preserve"> </v>
      </c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</row>
    <row r="29" spans="1:64" s="903" customFormat="1" ht="16.5">
      <c r="A29" s="901" t="s">
        <v>980</v>
      </c>
      <c r="B29" s="912">
        <f>+'CONAP-FUR (REG)-Detail'!C128+'CONAP-FUR (REG)-Detail'!C213</f>
        <v>0</v>
      </c>
      <c r="C29" s="912">
        <f>+'CONAP-FUR (REG)-Detail'!D128+'CONAP-FUR (REG)-Detail'!D213</f>
        <v>2381325.2199999997</v>
      </c>
      <c r="D29" s="912">
        <f>+'CONAP-FUR (REG)-Detail'!E128+'CONAP-FUR (REG)-Detail'!E213</f>
        <v>0</v>
      </c>
      <c r="E29" s="912">
        <f t="shared" ref="E29:AK29" si="18">SUM(E30:E31)</f>
        <v>2381325.2199999997</v>
      </c>
      <c r="F29" s="912">
        <f>+'CONAP-FUR (REG)-Detail'!G128+'CONAP-FUR (REG)-Detail'!G213</f>
        <v>0</v>
      </c>
      <c r="G29" s="912">
        <f>+'CONAP-FUR (REG)-Detail'!H128+'CONAP-FUR (REG)-Detail'!H213</f>
        <v>-2191140</v>
      </c>
      <c r="H29" s="912">
        <f>+'CONAP-FUR (REG)-Detail'!I128+'CONAP-FUR (REG)-Detail'!I213</f>
        <v>28030900</v>
      </c>
      <c r="I29" s="912">
        <f t="shared" si="18"/>
        <v>25839760</v>
      </c>
      <c r="J29" s="912">
        <f>+'CONAP-FUR (REG)-Detail'!K128+'CONAP-FUR (REG)-Detail'!K213</f>
        <v>0</v>
      </c>
      <c r="K29" s="912">
        <f>+'CONAP-FUR (REG)-Detail'!L128+'CONAP-FUR (REG)-Detail'!L213</f>
        <v>52778472.359999999</v>
      </c>
      <c r="L29" s="912">
        <f>+'CONAP-FUR (REG)-Detail'!M128+'CONAP-FUR (REG)-Detail'!M213</f>
        <v>21078999.710000001</v>
      </c>
      <c r="M29" s="912">
        <f t="shared" si="18"/>
        <v>73857472.070000008</v>
      </c>
      <c r="N29" s="912">
        <f>+'CONAP-FUR (REG)-Detail'!O128+'CONAP-FUR (REG)-Detail'!O213</f>
        <v>0</v>
      </c>
      <c r="O29" s="912">
        <f>+'CONAP-FUR (REG)-Detail'!P128+'CONAP-FUR (REG)-Detail'!P213</f>
        <v>50587332.359999999</v>
      </c>
      <c r="P29" s="912">
        <f>+'CONAP-FUR (REG)-Detail'!Q128+'CONAP-FUR (REG)-Detail'!Q213</f>
        <v>49109899.710000001</v>
      </c>
      <c r="Q29" s="912">
        <f t="shared" si="18"/>
        <v>99697232.070000008</v>
      </c>
      <c r="R29" s="912">
        <f t="shared" si="18"/>
        <v>0</v>
      </c>
      <c r="S29" s="912">
        <f t="shared" si="18"/>
        <v>52968657.579999998</v>
      </c>
      <c r="T29" s="912">
        <f t="shared" si="18"/>
        <v>49109899.710000001</v>
      </c>
      <c r="U29" s="912">
        <f t="shared" si="18"/>
        <v>102078557.29000001</v>
      </c>
      <c r="V29" s="912">
        <f>+'CONAP-FUR (REG)-Detail'!W128+'CONAP-FUR (REG)-Detail'!W213</f>
        <v>0</v>
      </c>
      <c r="W29" s="912">
        <f>+'CONAP-FUR (REG)-Detail'!X128+'CONAP-FUR (REG)-Detail'!X213</f>
        <v>1798692.94</v>
      </c>
      <c r="X29" s="912">
        <f>+'CONAP-FUR (REG)-Detail'!Y128+'CONAP-FUR (REG)-Detail'!Y213</f>
        <v>0</v>
      </c>
      <c r="Y29" s="912">
        <f t="shared" si="18"/>
        <v>1798692.94</v>
      </c>
      <c r="Z29" s="912">
        <f>+'CONAP-FUR (REG)-Detail'!AA128+'CONAP-FUR (REG)-Detail'!AA213</f>
        <v>0</v>
      </c>
      <c r="AA29" s="912">
        <f>+'CONAP-FUR (REG)-Detail'!AB128+'CONAP-FUR (REG)-Detail'!AB213</f>
        <v>45126580.799999997</v>
      </c>
      <c r="AB29" s="912">
        <f>+'CONAP-FUR (REG)-Detail'!AC128+'CONAP-FUR (REG)-Detail'!AC213</f>
        <v>24124450.649999999</v>
      </c>
      <c r="AC29" s="912">
        <f t="shared" si="18"/>
        <v>69251031.450000003</v>
      </c>
      <c r="AD29" s="912">
        <f t="shared" si="18"/>
        <v>0</v>
      </c>
      <c r="AE29" s="912">
        <f t="shared" si="18"/>
        <v>46925273.739999995</v>
      </c>
      <c r="AF29" s="912">
        <f t="shared" si="18"/>
        <v>24124450.649999999</v>
      </c>
      <c r="AG29" s="912">
        <f t="shared" si="18"/>
        <v>71049724.390000001</v>
      </c>
      <c r="AH29" s="912">
        <f t="shared" si="18"/>
        <v>0</v>
      </c>
      <c r="AI29" s="912">
        <f t="shared" si="18"/>
        <v>6043383.8400000054</v>
      </c>
      <c r="AJ29" s="912">
        <f t="shared" si="18"/>
        <v>24985449.060000002</v>
      </c>
      <c r="AK29" s="912">
        <f t="shared" si="18"/>
        <v>31028832.900000006</v>
      </c>
      <c r="AL29" s="601" t="str">
        <f t="shared" si="1"/>
        <v xml:space="preserve"> </v>
      </c>
      <c r="AM29" s="601">
        <f t="shared" si="1"/>
        <v>0.88590641869916154</v>
      </c>
      <c r="AN29" s="935">
        <f t="shared" si="1"/>
        <v>0.49123396285591797</v>
      </c>
      <c r="AO29" s="601">
        <f t="shared" si="1"/>
        <v>0.69602986441267323</v>
      </c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</row>
    <row r="30" spans="1:64" s="16" customFormat="1">
      <c r="A30" s="899" t="s">
        <v>1088</v>
      </c>
      <c r="B30" s="40">
        <f>+'SUMM BY CLUSTER- CONAP'!B41</f>
        <v>0</v>
      </c>
      <c r="C30" s="40">
        <f>+'SUMM BY CLUSTER- CONAP'!C41</f>
        <v>2381325.2199999997</v>
      </c>
      <c r="D30" s="40">
        <f>+'SUMM BY CLUSTER- CONAP'!D41</f>
        <v>0</v>
      </c>
      <c r="E30" s="40">
        <f t="shared" si="2"/>
        <v>2381325.2199999997</v>
      </c>
      <c r="F30" s="40">
        <f>+'SUMM BY CLUSTER- CONAP'!F41</f>
        <v>0</v>
      </c>
      <c r="G30" s="40">
        <f>+'SUMM BY CLUSTER- CONAP'!G41</f>
        <v>-2191140</v>
      </c>
      <c r="H30" s="40">
        <f>+'SUMM BY CLUSTER- CONAP'!H41</f>
        <v>28030900</v>
      </c>
      <c r="I30" s="40">
        <f t="shared" si="3"/>
        <v>25839760</v>
      </c>
      <c r="J30" s="40">
        <f>+'SUMM BY CLUSTER- CONAP'!J41</f>
        <v>0</v>
      </c>
      <c r="K30" s="40">
        <f>+'SUMM BY CLUSTER- CONAP'!K41</f>
        <v>48502206.030000001</v>
      </c>
      <c r="L30" s="40">
        <f>+'SUMM BY CLUSTER- CONAP'!L41</f>
        <v>21078999.710000001</v>
      </c>
      <c r="M30" s="40">
        <f t="shared" si="4"/>
        <v>69581205.74000001</v>
      </c>
      <c r="N30" s="40">
        <f>+'SUMM BY CLUSTER- CONAP'!N41</f>
        <v>0</v>
      </c>
      <c r="O30" s="40">
        <f>+'SUMM BY CLUSTER- CONAP'!O41</f>
        <v>46311066.030000001</v>
      </c>
      <c r="P30" s="40">
        <f>+'SUMM BY CLUSTER- CONAP'!P41</f>
        <v>49109899.710000001</v>
      </c>
      <c r="Q30" s="40">
        <f t="shared" si="5"/>
        <v>95420965.74000001</v>
      </c>
      <c r="R30" s="40">
        <f t="shared" si="15"/>
        <v>0</v>
      </c>
      <c r="S30" s="40">
        <f t="shared" si="15"/>
        <v>48692391.25</v>
      </c>
      <c r="T30" s="40">
        <f t="shared" si="15"/>
        <v>49109899.710000001</v>
      </c>
      <c r="U30" s="40">
        <f t="shared" si="7"/>
        <v>97802290.960000008</v>
      </c>
      <c r="V30" s="40">
        <f>+'SUMM BY CLUSTER- CONAP'!V41</f>
        <v>0</v>
      </c>
      <c r="W30" s="40">
        <f>+'SUMM BY CLUSTER- CONAP'!W41</f>
        <v>1798692.94</v>
      </c>
      <c r="X30" s="40">
        <f>+'SUMM BY CLUSTER- CONAP'!X41</f>
        <v>0</v>
      </c>
      <c r="Y30" s="40">
        <f t="shared" si="8"/>
        <v>1798692.94</v>
      </c>
      <c r="Z30" s="40">
        <f>+'SUMM BY CLUSTER- CONAP'!Z41</f>
        <v>0</v>
      </c>
      <c r="AA30" s="40">
        <f>+'SUMM BY CLUSTER- CONAP'!AA41</f>
        <v>42003865.189999998</v>
      </c>
      <c r="AB30" s="40">
        <f>+'SUMM BY CLUSTER- CONAP'!AB41</f>
        <v>24124450.649999999</v>
      </c>
      <c r="AC30" s="40">
        <f t="shared" si="9"/>
        <v>66128315.839999996</v>
      </c>
      <c r="AD30" s="40">
        <f t="shared" si="16"/>
        <v>0</v>
      </c>
      <c r="AE30" s="40">
        <f t="shared" si="16"/>
        <v>43802558.129999995</v>
      </c>
      <c r="AF30" s="40">
        <f t="shared" si="16"/>
        <v>24124450.649999999</v>
      </c>
      <c r="AG30" s="40">
        <f t="shared" si="11"/>
        <v>67927008.780000001</v>
      </c>
      <c r="AH30" s="40">
        <f t="shared" si="12"/>
        <v>0</v>
      </c>
      <c r="AI30" s="40">
        <f t="shared" si="12"/>
        <v>4889833.1200000048</v>
      </c>
      <c r="AJ30" s="40">
        <f t="shared" si="12"/>
        <v>24985449.060000002</v>
      </c>
      <c r="AK30" s="40">
        <f t="shared" si="14"/>
        <v>29875282.180000007</v>
      </c>
      <c r="AL30" s="600"/>
      <c r="AM30" s="600">
        <f t="shared" si="1"/>
        <v>0.8995770592802832</v>
      </c>
      <c r="AN30" s="934">
        <f t="shared" si="1"/>
        <v>0.49123396285591797</v>
      </c>
      <c r="AO30" s="600">
        <f t="shared" si="1"/>
        <v>0.69453392260291069</v>
      </c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</row>
    <row r="31" spans="1:64" s="16" customFormat="1">
      <c r="A31" s="899" t="s">
        <v>977</v>
      </c>
      <c r="B31" s="40">
        <f>+'SUMM BY CLUSTER- CONAP'!B42</f>
        <v>0</v>
      </c>
      <c r="C31" s="40">
        <f>+'SUMM BY CLUSTER- CONAP'!C42</f>
        <v>0</v>
      </c>
      <c r="D31" s="40">
        <f>+'SUMM BY CLUSTER- CONAP'!D42</f>
        <v>0</v>
      </c>
      <c r="E31" s="40">
        <f t="shared" si="2"/>
        <v>0</v>
      </c>
      <c r="F31" s="40">
        <f>+'SUMM BY CLUSTER- CONAP'!F42</f>
        <v>0</v>
      </c>
      <c r="G31" s="40">
        <f>+'SUMM BY CLUSTER- CONAP'!G42</f>
        <v>0</v>
      </c>
      <c r="H31" s="40">
        <f>+'SUMM BY CLUSTER- CONAP'!H42</f>
        <v>0</v>
      </c>
      <c r="I31" s="40">
        <f t="shared" si="3"/>
        <v>0</v>
      </c>
      <c r="J31" s="40">
        <f>+'SUMM BY CLUSTER- CONAP'!J42</f>
        <v>0</v>
      </c>
      <c r="K31" s="40">
        <f>+'SUMM BY CLUSTER- CONAP'!K42</f>
        <v>4276266.33</v>
      </c>
      <c r="L31" s="40">
        <f>+'SUMM BY CLUSTER- CONAP'!L42</f>
        <v>0</v>
      </c>
      <c r="M31" s="40">
        <f t="shared" si="4"/>
        <v>4276266.33</v>
      </c>
      <c r="N31" s="40">
        <f>+'SUMM BY CLUSTER- CONAP'!N42</f>
        <v>0</v>
      </c>
      <c r="O31" s="40">
        <f>+'SUMM BY CLUSTER- CONAP'!O42</f>
        <v>4276266.33</v>
      </c>
      <c r="P31" s="40">
        <f>+'SUMM BY CLUSTER- CONAP'!P42</f>
        <v>0</v>
      </c>
      <c r="Q31" s="40">
        <f t="shared" si="5"/>
        <v>4276266.33</v>
      </c>
      <c r="R31" s="40">
        <f t="shared" si="15"/>
        <v>0</v>
      </c>
      <c r="S31" s="40">
        <f t="shared" si="15"/>
        <v>4276266.33</v>
      </c>
      <c r="T31" s="40">
        <f t="shared" si="15"/>
        <v>0</v>
      </c>
      <c r="U31" s="40">
        <f t="shared" si="7"/>
        <v>4276266.33</v>
      </c>
      <c r="V31" s="40">
        <f>+'SUMM BY CLUSTER- CONAP'!V42</f>
        <v>0</v>
      </c>
      <c r="W31" s="40">
        <f>+'SUMM BY CLUSTER- CONAP'!W42</f>
        <v>0</v>
      </c>
      <c r="X31" s="40">
        <f>+'SUMM BY CLUSTER- CONAP'!X42</f>
        <v>0</v>
      </c>
      <c r="Y31" s="40">
        <f t="shared" si="8"/>
        <v>0</v>
      </c>
      <c r="Z31" s="40">
        <f>+'SUMM BY CLUSTER- CONAP'!Z42</f>
        <v>0</v>
      </c>
      <c r="AA31" s="40">
        <f>+'SUMM BY CLUSTER- CONAP'!AA42</f>
        <v>3122715.61</v>
      </c>
      <c r="AB31" s="40">
        <f>+'SUMM BY CLUSTER- CONAP'!AB42</f>
        <v>0</v>
      </c>
      <c r="AC31" s="40">
        <f t="shared" si="9"/>
        <v>3122715.61</v>
      </c>
      <c r="AD31" s="40">
        <f t="shared" si="16"/>
        <v>0</v>
      </c>
      <c r="AE31" s="40">
        <f t="shared" si="16"/>
        <v>3122715.61</v>
      </c>
      <c r="AF31" s="40">
        <f t="shared" si="16"/>
        <v>0</v>
      </c>
      <c r="AG31" s="40">
        <f t="shared" si="11"/>
        <v>3122715.61</v>
      </c>
      <c r="AH31" s="40">
        <f t="shared" si="12"/>
        <v>0</v>
      </c>
      <c r="AI31" s="40">
        <f t="shared" si="12"/>
        <v>1153550.7200000002</v>
      </c>
      <c r="AJ31" s="40">
        <f t="shared" si="12"/>
        <v>0</v>
      </c>
      <c r="AK31" s="40">
        <f t="shared" si="14"/>
        <v>1153550.7200000002</v>
      </c>
      <c r="AL31" s="600"/>
      <c r="AM31" s="600">
        <f t="shared" si="1"/>
        <v>0.73024348088253888</v>
      </c>
      <c r="AN31" s="934" t="str">
        <f t="shared" si="1"/>
        <v xml:space="preserve"> </v>
      </c>
      <c r="AO31" s="600">
        <f t="shared" si="1"/>
        <v>0.73024348088253888</v>
      </c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</row>
    <row r="32" spans="1:64" s="16" customFormat="1">
      <c r="A32" s="592"/>
      <c r="B32" s="40"/>
      <c r="C32" s="40"/>
      <c r="D32" s="40"/>
      <c r="E32" s="579">
        <f t="shared" si="2"/>
        <v>0</v>
      </c>
      <c r="F32" s="40"/>
      <c r="G32" s="40"/>
      <c r="H32" s="40"/>
      <c r="I32" s="579">
        <f t="shared" si="3"/>
        <v>0</v>
      </c>
      <c r="J32" s="40"/>
      <c r="K32" s="40"/>
      <c r="L32" s="40"/>
      <c r="M32" s="579">
        <f t="shared" si="4"/>
        <v>0</v>
      </c>
      <c r="N32" s="40"/>
      <c r="O32" s="40"/>
      <c r="P32" s="40"/>
      <c r="Q32" s="579">
        <f t="shared" si="5"/>
        <v>0</v>
      </c>
      <c r="R32" s="40">
        <f t="shared" si="15"/>
        <v>0</v>
      </c>
      <c r="S32" s="40">
        <f t="shared" si="15"/>
        <v>0</v>
      </c>
      <c r="T32" s="40">
        <f t="shared" si="15"/>
        <v>0</v>
      </c>
      <c r="U32" s="579">
        <f t="shared" si="7"/>
        <v>0</v>
      </c>
      <c r="V32" s="40"/>
      <c r="W32" s="40"/>
      <c r="X32" s="40"/>
      <c r="Y32" s="579">
        <f t="shared" si="8"/>
        <v>0</v>
      </c>
      <c r="Z32" s="40"/>
      <c r="AA32" s="40"/>
      <c r="AB32" s="40"/>
      <c r="AC32" s="579">
        <f t="shared" si="9"/>
        <v>0</v>
      </c>
      <c r="AD32" s="40">
        <f t="shared" si="16"/>
        <v>0</v>
      </c>
      <c r="AE32" s="40">
        <f t="shared" si="16"/>
        <v>0</v>
      </c>
      <c r="AF32" s="40">
        <f t="shared" si="16"/>
        <v>0</v>
      </c>
      <c r="AG32" s="579">
        <f t="shared" si="11"/>
        <v>0</v>
      </c>
      <c r="AH32" s="579">
        <f t="shared" si="12"/>
        <v>0</v>
      </c>
      <c r="AI32" s="40">
        <f t="shared" si="12"/>
        <v>0</v>
      </c>
      <c r="AJ32" s="40">
        <f t="shared" si="12"/>
        <v>0</v>
      </c>
      <c r="AK32" s="579">
        <f t="shared" si="14"/>
        <v>0</v>
      </c>
      <c r="AL32" s="600"/>
      <c r="AM32" s="600" t="str">
        <f t="shared" si="1"/>
        <v xml:space="preserve"> </v>
      </c>
      <c r="AN32" s="934" t="str">
        <f t="shared" si="1"/>
        <v xml:space="preserve"> </v>
      </c>
      <c r="AO32" s="600" t="str">
        <f t="shared" si="1"/>
        <v xml:space="preserve"> </v>
      </c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</row>
    <row r="33" spans="1:64" s="903" customFormat="1" ht="16.5">
      <c r="A33" s="901" t="s">
        <v>981</v>
      </c>
      <c r="B33" s="912">
        <f>+'CONAP-FUR (REG)-Detail'!C218+'CONAP-FUR (REG)-Detail'!C131</f>
        <v>0</v>
      </c>
      <c r="C33" s="912">
        <f>+'CONAP-FUR (REG)-Detail'!D218+'CONAP-FUR (REG)-Detail'!D131</f>
        <v>612603.08999999426</v>
      </c>
      <c r="D33" s="912">
        <f>+'CONAP-FUR (REG)-Detail'!E218+'CONAP-FUR (REG)-Detail'!E131</f>
        <v>0</v>
      </c>
      <c r="E33" s="912">
        <f t="shared" ref="E33:AK33" si="19">SUM(E34:E36)</f>
        <v>612603.08999999426</v>
      </c>
      <c r="F33" s="912">
        <f>+'CONAP-FUR (REG)-Detail'!G218+'CONAP-FUR (REG)-Detail'!G131</f>
        <v>0</v>
      </c>
      <c r="G33" s="912">
        <f>+'CONAP-FUR (REG)-Detail'!H218+'CONAP-FUR (REG)-Detail'!H131</f>
        <v>-1650840.71</v>
      </c>
      <c r="H33" s="912">
        <f>+'CONAP-FUR (REG)-Detail'!I218+'CONAP-FUR (REG)-Detail'!I131</f>
        <v>8901800</v>
      </c>
      <c r="I33" s="912">
        <f t="shared" si="19"/>
        <v>7250959.29</v>
      </c>
      <c r="J33" s="912">
        <f>+'CONAP-FUR (REG)-Detail'!K218+'CONAP-FUR (REG)-Detail'!K131</f>
        <v>0</v>
      </c>
      <c r="K33" s="912">
        <f>+'CONAP-FUR (REG)-Detail'!L218+'CONAP-FUR (REG)-Detail'!L131</f>
        <v>19188487.729999997</v>
      </c>
      <c r="L33" s="912">
        <f>+'CONAP-FUR (REG)-Detail'!M218+'CONAP-FUR (REG)-Detail'!M131</f>
        <v>4152665.33</v>
      </c>
      <c r="M33" s="912">
        <f t="shared" si="19"/>
        <v>23341153.059999995</v>
      </c>
      <c r="N33" s="912">
        <f>+'CONAP-FUR (REG)-Detail'!O218+'CONAP-FUR (REG)-Detail'!O131</f>
        <v>0</v>
      </c>
      <c r="O33" s="912">
        <f>+'CONAP-FUR (REG)-Detail'!P218+'CONAP-FUR (REG)-Detail'!P131</f>
        <v>17537647.019999996</v>
      </c>
      <c r="P33" s="912">
        <f>+'CONAP-FUR (REG)-Detail'!Q218+'CONAP-FUR (REG)-Detail'!Q131</f>
        <v>13054465.33</v>
      </c>
      <c r="Q33" s="912">
        <f t="shared" si="19"/>
        <v>30592112.349999994</v>
      </c>
      <c r="R33" s="912">
        <f t="shared" si="19"/>
        <v>0</v>
      </c>
      <c r="S33" s="912">
        <f t="shared" si="19"/>
        <v>18150250.109999992</v>
      </c>
      <c r="T33" s="912">
        <f t="shared" si="19"/>
        <v>13054465.33</v>
      </c>
      <c r="U33" s="912">
        <f t="shared" si="19"/>
        <v>31204715.43999999</v>
      </c>
      <c r="V33" s="912">
        <f>+'CONAP-FUR (REG)-Detail'!W218+'CONAP-FUR (REG)-Detail'!W131</f>
        <v>0</v>
      </c>
      <c r="W33" s="912">
        <f>+'CONAP-FUR (REG)-Detail'!X218+'CONAP-FUR (REG)-Detail'!X131</f>
        <v>612419.63</v>
      </c>
      <c r="X33" s="912">
        <f>+'CONAP-FUR (REG)-Detail'!Y218+'CONAP-FUR (REG)-Detail'!Y131</f>
        <v>0</v>
      </c>
      <c r="Y33" s="912">
        <f t="shared" si="19"/>
        <v>612419.63</v>
      </c>
      <c r="Z33" s="912">
        <f>+'CONAP-FUR (REG)-Detail'!AA218+'CONAP-FUR (REG)-Detail'!AA131</f>
        <v>0</v>
      </c>
      <c r="AA33" s="912">
        <f>+'CONAP-FUR (REG)-Detail'!AB218+'CONAP-FUR (REG)-Detail'!AB131</f>
        <v>13034502.129999999</v>
      </c>
      <c r="AB33" s="912">
        <f>+'CONAP-FUR (REG)-Detail'!AC218+'CONAP-FUR (REG)-Detail'!AC131</f>
        <v>1661630</v>
      </c>
      <c r="AC33" s="912">
        <f t="shared" si="19"/>
        <v>14696132.129999999</v>
      </c>
      <c r="AD33" s="912">
        <f t="shared" si="19"/>
        <v>0</v>
      </c>
      <c r="AE33" s="912">
        <f t="shared" si="19"/>
        <v>13646921.759999998</v>
      </c>
      <c r="AF33" s="912">
        <f t="shared" si="19"/>
        <v>1661630</v>
      </c>
      <c r="AG33" s="912">
        <f t="shared" si="19"/>
        <v>15308551.759999998</v>
      </c>
      <c r="AH33" s="912">
        <f t="shared" si="19"/>
        <v>0</v>
      </c>
      <c r="AI33" s="912">
        <f t="shared" si="19"/>
        <v>4503328.3499999922</v>
      </c>
      <c r="AJ33" s="912">
        <f t="shared" si="19"/>
        <v>11392835.33</v>
      </c>
      <c r="AK33" s="912">
        <f t="shared" si="19"/>
        <v>15896163.679999992</v>
      </c>
      <c r="AL33" s="601" t="str">
        <f t="shared" si="1"/>
        <v xml:space="preserve"> </v>
      </c>
      <c r="AM33" s="601">
        <f t="shared" si="1"/>
        <v>0.7518861545869906</v>
      </c>
      <c r="AN33" s="935">
        <f t="shared" si="1"/>
        <v>0.12728441632775778</v>
      </c>
      <c r="AO33" s="601">
        <f t="shared" si="1"/>
        <v>0.49058456531786282</v>
      </c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</row>
    <row r="34" spans="1:64" s="16" customFormat="1">
      <c r="A34" s="899" t="s">
        <v>1089</v>
      </c>
      <c r="B34" s="40">
        <f>+'SUMM BY CLUSTER- CONAP'!B45</f>
        <v>0</v>
      </c>
      <c r="C34" s="40">
        <f>+'SUMM BY CLUSTER- CONAP'!C45</f>
        <v>612419.6299999943</v>
      </c>
      <c r="D34" s="40">
        <f>+'SUMM BY CLUSTER- CONAP'!D45</f>
        <v>0</v>
      </c>
      <c r="E34" s="40">
        <f t="shared" si="2"/>
        <v>612419.6299999943</v>
      </c>
      <c r="F34" s="40">
        <f>+'SUMM BY CLUSTER- CONAP'!F45</f>
        <v>0</v>
      </c>
      <c r="G34" s="40">
        <f>+'SUMM BY CLUSTER- CONAP'!G45</f>
        <v>-4434157.71</v>
      </c>
      <c r="H34" s="40">
        <f>+'SUMM BY CLUSTER- CONAP'!H45</f>
        <v>8901800</v>
      </c>
      <c r="I34" s="40">
        <f t="shared" si="3"/>
        <v>4467642.29</v>
      </c>
      <c r="J34" s="40">
        <f>+'SUMM BY CLUSTER- CONAP'!J45</f>
        <v>0</v>
      </c>
      <c r="K34" s="40">
        <f>+'SUMM BY CLUSTER- CONAP'!K45</f>
        <v>17982186.509999998</v>
      </c>
      <c r="L34" s="40">
        <f>+'SUMM BY CLUSTER- CONAP'!L45</f>
        <v>4152665.33</v>
      </c>
      <c r="M34" s="40">
        <f t="shared" si="4"/>
        <v>22134851.839999996</v>
      </c>
      <c r="N34" s="40">
        <f>+'SUMM BY CLUSTER- CONAP'!N45</f>
        <v>0</v>
      </c>
      <c r="O34" s="40">
        <f>+'SUMM BY CLUSTER- CONAP'!O45</f>
        <v>13548028.799999997</v>
      </c>
      <c r="P34" s="40">
        <f>+'SUMM BY CLUSTER- CONAP'!P45</f>
        <v>13054465.33</v>
      </c>
      <c r="Q34" s="40">
        <f t="shared" si="5"/>
        <v>26602494.129999995</v>
      </c>
      <c r="R34" s="40">
        <f t="shared" si="15"/>
        <v>0</v>
      </c>
      <c r="S34" s="40">
        <f t="shared" si="15"/>
        <v>14160448.429999992</v>
      </c>
      <c r="T34" s="40">
        <f t="shared" si="15"/>
        <v>13054465.33</v>
      </c>
      <c r="U34" s="40">
        <f t="shared" si="7"/>
        <v>27214913.75999999</v>
      </c>
      <c r="V34" s="40">
        <f>+'SUMM BY CLUSTER- CONAP'!V45</f>
        <v>0</v>
      </c>
      <c r="W34" s="40">
        <f>+'SUMM BY CLUSTER- CONAP'!W45</f>
        <v>612419.63</v>
      </c>
      <c r="X34" s="40">
        <f>+'SUMM BY CLUSTER- CONAP'!X45</f>
        <v>0</v>
      </c>
      <c r="Y34" s="40">
        <f t="shared" si="8"/>
        <v>612419.63</v>
      </c>
      <c r="Z34" s="40">
        <f>+'SUMM BY CLUSTER- CONAP'!Z45</f>
        <v>0</v>
      </c>
      <c r="AA34" s="40">
        <f>+'SUMM BY CLUSTER- CONAP'!AA45</f>
        <v>10425199.559999999</v>
      </c>
      <c r="AB34" s="40">
        <f>+'SUMM BY CLUSTER- CONAP'!AB45</f>
        <v>1661630</v>
      </c>
      <c r="AC34" s="40">
        <f t="shared" si="9"/>
        <v>12086829.559999999</v>
      </c>
      <c r="AD34" s="40">
        <f t="shared" si="16"/>
        <v>0</v>
      </c>
      <c r="AE34" s="40">
        <f t="shared" si="16"/>
        <v>11037619.189999999</v>
      </c>
      <c r="AF34" s="40">
        <f t="shared" si="16"/>
        <v>1661630</v>
      </c>
      <c r="AG34" s="40">
        <f t="shared" si="11"/>
        <v>12699249.189999999</v>
      </c>
      <c r="AH34" s="40">
        <f t="shared" si="12"/>
        <v>0</v>
      </c>
      <c r="AI34" s="40">
        <f t="shared" si="12"/>
        <v>3122829.2399999928</v>
      </c>
      <c r="AJ34" s="40">
        <f t="shared" si="12"/>
        <v>11392835.33</v>
      </c>
      <c r="AK34" s="40">
        <f t="shared" si="14"/>
        <v>14515664.569999993</v>
      </c>
      <c r="AL34" s="600"/>
      <c r="AM34" s="600">
        <f t="shared" si="1"/>
        <v>0.77946819583876736</v>
      </c>
      <c r="AN34" s="934">
        <f t="shared" si="1"/>
        <v>0.12728441632775778</v>
      </c>
      <c r="AO34" s="600">
        <f t="shared" si="1"/>
        <v>0.4666283090951821</v>
      </c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</row>
    <row r="35" spans="1:64" s="16" customFormat="1">
      <c r="A35" s="899" t="s">
        <v>1055</v>
      </c>
      <c r="B35" s="40">
        <f>+'SUMM BY CLUSTER- CONAP'!B46</f>
        <v>0</v>
      </c>
      <c r="C35" s="40">
        <f>+'SUMM BY CLUSTER- CONAP'!C46</f>
        <v>183.46</v>
      </c>
      <c r="D35" s="40">
        <f>+'SUMM BY CLUSTER- CONAP'!D46</f>
        <v>0</v>
      </c>
      <c r="E35" s="40">
        <f t="shared" si="2"/>
        <v>183.46</v>
      </c>
      <c r="F35" s="40">
        <f>+'SUMM BY CLUSTER- CONAP'!F46</f>
        <v>0</v>
      </c>
      <c r="G35" s="40">
        <f>+'SUMM BY CLUSTER- CONAP'!G46</f>
        <v>1300000</v>
      </c>
      <c r="H35" s="40">
        <f>+'SUMM BY CLUSTER- CONAP'!H46</f>
        <v>0</v>
      </c>
      <c r="I35" s="40">
        <f t="shared" si="3"/>
        <v>1300000</v>
      </c>
      <c r="J35" s="40">
        <f>+'SUMM BY CLUSTER- CONAP'!J46</f>
        <v>0</v>
      </c>
      <c r="K35" s="40">
        <f>+'SUMM BY CLUSTER- CONAP'!K46</f>
        <v>450.74</v>
      </c>
      <c r="L35" s="40">
        <f>+'SUMM BY CLUSTER- CONAP'!L46</f>
        <v>0</v>
      </c>
      <c r="M35" s="40">
        <f t="shared" si="4"/>
        <v>450.74</v>
      </c>
      <c r="N35" s="40">
        <f>+'SUMM BY CLUSTER- CONAP'!N46</f>
        <v>0</v>
      </c>
      <c r="O35" s="40">
        <f>+'SUMM BY CLUSTER- CONAP'!O46</f>
        <v>1300450.74</v>
      </c>
      <c r="P35" s="40">
        <f>+'SUMM BY CLUSTER- CONAP'!P46</f>
        <v>0</v>
      </c>
      <c r="Q35" s="40">
        <f t="shared" si="5"/>
        <v>1300450.74</v>
      </c>
      <c r="R35" s="40">
        <f t="shared" si="15"/>
        <v>0</v>
      </c>
      <c r="S35" s="40">
        <f t="shared" si="15"/>
        <v>1300634.2</v>
      </c>
      <c r="T35" s="40">
        <f t="shared" si="15"/>
        <v>0</v>
      </c>
      <c r="U35" s="40">
        <f t="shared" si="7"/>
        <v>1300634.2</v>
      </c>
      <c r="V35" s="40">
        <f>+'SUMM BY CLUSTER- CONAP'!V46</f>
        <v>0</v>
      </c>
      <c r="W35" s="40">
        <f>+'SUMM BY CLUSTER- CONAP'!W46</f>
        <v>0</v>
      </c>
      <c r="X35" s="40">
        <f>+'SUMM BY CLUSTER- CONAP'!X46</f>
        <v>0</v>
      </c>
      <c r="Y35" s="40">
        <f t="shared" si="8"/>
        <v>0</v>
      </c>
      <c r="Z35" s="40">
        <f>+'SUMM BY CLUSTER- CONAP'!Z46</f>
        <v>0</v>
      </c>
      <c r="AA35" s="40">
        <f>+'SUMM BY CLUSTER- CONAP'!AA46</f>
        <v>748337.7</v>
      </c>
      <c r="AB35" s="40">
        <f>+'SUMM BY CLUSTER- CONAP'!AB46</f>
        <v>0</v>
      </c>
      <c r="AC35" s="40">
        <f t="shared" si="9"/>
        <v>748337.7</v>
      </c>
      <c r="AD35" s="40">
        <f t="shared" si="16"/>
        <v>0</v>
      </c>
      <c r="AE35" s="40">
        <f t="shared" si="16"/>
        <v>748337.7</v>
      </c>
      <c r="AF35" s="40">
        <f t="shared" si="16"/>
        <v>0</v>
      </c>
      <c r="AG35" s="40">
        <f t="shared" si="11"/>
        <v>748337.7</v>
      </c>
      <c r="AH35" s="40">
        <f t="shared" si="12"/>
        <v>0</v>
      </c>
      <c r="AI35" s="40">
        <f t="shared" si="12"/>
        <v>552296.5</v>
      </c>
      <c r="AJ35" s="40">
        <f t="shared" si="12"/>
        <v>0</v>
      </c>
      <c r="AK35" s="40">
        <f t="shared" si="14"/>
        <v>552296.5</v>
      </c>
      <c r="AL35" s="600"/>
      <c r="AM35" s="600">
        <f t="shared" si="1"/>
        <v>0.57536369564939938</v>
      </c>
      <c r="AN35" s="934" t="str">
        <f t="shared" si="1"/>
        <v xml:space="preserve"> </v>
      </c>
      <c r="AO35" s="600">
        <f t="shared" si="1"/>
        <v>0.57536369564939938</v>
      </c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</row>
    <row r="36" spans="1:64" s="16" customFormat="1">
      <c r="A36" s="899" t="s">
        <v>978</v>
      </c>
      <c r="B36" s="40">
        <f>+'SUMM BY CLUSTER- CONAP'!B47</f>
        <v>0</v>
      </c>
      <c r="C36" s="40">
        <f>+'SUMM BY CLUSTER- CONAP'!C47</f>
        <v>0</v>
      </c>
      <c r="D36" s="40">
        <f>+'SUMM BY CLUSTER- CONAP'!D47</f>
        <v>0</v>
      </c>
      <c r="E36" s="40">
        <f t="shared" si="2"/>
        <v>0</v>
      </c>
      <c r="F36" s="40">
        <f>+'SUMM BY CLUSTER- CONAP'!F47</f>
        <v>0</v>
      </c>
      <c r="G36" s="40">
        <f>+'SUMM BY CLUSTER- CONAP'!G47</f>
        <v>1483317</v>
      </c>
      <c r="H36" s="40">
        <f>+'SUMM BY CLUSTER- CONAP'!H47</f>
        <v>0</v>
      </c>
      <c r="I36" s="40">
        <f t="shared" si="3"/>
        <v>1483317</v>
      </c>
      <c r="J36" s="40">
        <f>+'SUMM BY CLUSTER- CONAP'!J47</f>
        <v>0</v>
      </c>
      <c r="K36" s="40">
        <f>+'SUMM BY CLUSTER- CONAP'!K47</f>
        <v>1205850.48</v>
      </c>
      <c r="L36" s="40">
        <f>+'SUMM BY CLUSTER- CONAP'!L47</f>
        <v>0</v>
      </c>
      <c r="M36" s="40">
        <f t="shared" si="4"/>
        <v>1205850.48</v>
      </c>
      <c r="N36" s="40">
        <f>+'SUMM BY CLUSTER- CONAP'!N47</f>
        <v>0</v>
      </c>
      <c r="O36" s="40">
        <f>+'SUMM BY CLUSTER- CONAP'!O47</f>
        <v>2689167.48</v>
      </c>
      <c r="P36" s="40">
        <f>+'SUMM BY CLUSTER- CONAP'!P47</f>
        <v>0</v>
      </c>
      <c r="Q36" s="40">
        <f t="shared" si="5"/>
        <v>2689167.48</v>
      </c>
      <c r="R36" s="40">
        <f t="shared" si="15"/>
        <v>0</v>
      </c>
      <c r="S36" s="40">
        <f t="shared" si="15"/>
        <v>2689167.48</v>
      </c>
      <c r="T36" s="40">
        <f t="shared" si="15"/>
        <v>0</v>
      </c>
      <c r="U36" s="40">
        <f t="shared" si="7"/>
        <v>2689167.48</v>
      </c>
      <c r="V36" s="40">
        <f>+'SUMM BY CLUSTER- CONAP'!V47</f>
        <v>0</v>
      </c>
      <c r="W36" s="40">
        <f>+'SUMM BY CLUSTER- CONAP'!W47</f>
        <v>0</v>
      </c>
      <c r="X36" s="40">
        <f>+'SUMM BY CLUSTER- CONAP'!X47</f>
        <v>0</v>
      </c>
      <c r="Y36" s="40">
        <f t="shared" si="8"/>
        <v>0</v>
      </c>
      <c r="Z36" s="40">
        <f>+'SUMM BY CLUSTER- CONAP'!Z47</f>
        <v>0</v>
      </c>
      <c r="AA36" s="40">
        <f>+'SUMM BY CLUSTER- CONAP'!AA47</f>
        <v>1860964.87</v>
      </c>
      <c r="AB36" s="40">
        <f>+'SUMM BY CLUSTER- CONAP'!AB47</f>
        <v>0</v>
      </c>
      <c r="AC36" s="40">
        <f t="shared" si="9"/>
        <v>1860964.87</v>
      </c>
      <c r="AD36" s="40">
        <f t="shared" si="16"/>
        <v>0</v>
      </c>
      <c r="AE36" s="40">
        <f t="shared" si="16"/>
        <v>1860964.87</v>
      </c>
      <c r="AF36" s="40">
        <f t="shared" si="16"/>
        <v>0</v>
      </c>
      <c r="AG36" s="40">
        <f t="shared" si="11"/>
        <v>1860964.87</v>
      </c>
      <c r="AH36" s="40">
        <f t="shared" si="12"/>
        <v>0</v>
      </c>
      <c r="AI36" s="40">
        <f t="shared" si="12"/>
        <v>828202.60999999987</v>
      </c>
      <c r="AJ36" s="40">
        <f t="shared" si="12"/>
        <v>0</v>
      </c>
      <c r="AK36" s="40">
        <f t="shared" si="14"/>
        <v>828202.60999999987</v>
      </c>
      <c r="AL36" s="600"/>
      <c r="AM36" s="600">
        <f t="shared" si="1"/>
        <v>0.69202267387228711</v>
      </c>
      <c r="AN36" s="934" t="str">
        <f t="shared" si="1"/>
        <v xml:space="preserve"> </v>
      </c>
      <c r="AO36" s="600">
        <f t="shared" si="1"/>
        <v>0.69202267387228711</v>
      </c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</row>
    <row r="37" spans="1:64" s="16" customFormat="1">
      <c r="A37" s="592"/>
      <c r="B37" s="40"/>
      <c r="C37" s="40"/>
      <c r="D37" s="40"/>
      <c r="E37" s="579">
        <f t="shared" si="2"/>
        <v>0</v>
      </c>
      <c r="F37" s="40"/>
      <c r="G37" s="40"/>
      <c r="H37" s="40"/>
      <c r="I37" s="579">
        <f t="shared" si="3"/>
        <v>0</v>
      </c>
      <c r="J37" s="40"/>
      <c r="K37" s="40"/>
      <c r="L37" s="40"/>
      <c r="M37" s="579">
        <f t="shared" si="4"/>
        <v>0</v>
      </c>
      <c r="N37" s="40"/>
      <c r="O37" s="40"/>
      <c r="P37" s="40"/>
      <c r="Q37" s="579">
        <f t="shared" si="5"/>
        <v>0</v>
      </c>
      <c r="R37" s="40">
        <f t="shared" si="15"/>
        <v>0</v>
      </c>
      <c r="S37" s="40">
        <f t="shared" si="15"/>
        <v>0</v>
      </c>
      <c r="T37" s="40">
        <f t="shared" si="15"/>
        <v>0</v>
      </c>
      <c r="U37" s="579">
        <f t="shared" si="7"/>
        <v>0</v>
      </c>
      <c r="V37" s="40"/>
      <c r="W37" s="40"/>
      <c r="X37" s="40"/>
      <c r="Y37" s="579">
        <f t="shared" si="8"/>
        <v>0</v>
      </c>
      <c r="Z37" s="40"/>
      <c r="AA37" s="40"/>
      <c r="AB37" s="40"/>
      <c r="AC37" s="579">
        <f t="shared" si="9"/>
        <v>0</v>
      </c>
      <c r="AD37" s="40">
        <f t="shared" si="16"/>
        <v>0</v>
      </c>
      <c r="AE37" s="40">
        <f t="shared" si="16"/>
        <v>0</v>
      </c>
      <c r="AF37" s="40">
        <f t="shared" si="16"/>
        <v>0</v>
      </c>
      <c r="AG37" s="579">
        <f t="shared" si="11"/>
        <v>0</v>
      </c>
      <c r="AH37" s="579">
        <f t="shared" si="12"/>
        <v>0</v>
      </c>
      <c r="AI37" s="40">
        <f t="shared" si="12"/>
        <v>0</v>
      </c>
      <c r="AJ37" s="40">
        <f t="shared" si="12"/>
        <v>0</v>
      </c>
      <c r="AK37" s="579">
        <f t="shared" si="14"/>
        <v>0</v>
      </c>
      <c r="AL37" s="600"/>
      <c r="AM37" s="600" t="str">
        <f t="shared" si="1"/>
        <v xml:space="preserve"> </v>
      </c>
      <c r="AN37" s="934" t="str">
        <f t="shared" si="1"/>
        <v xml:space="preserve"> </v>
      </c>
      <c r="AO37" s="600" t="str">
        <f t="shared" si="1"/>
        <v xml:space="preserve"> </v>
      </c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</row>
    <row r="38" spans="1:64" s="903" customFormat="1" ht="16.5">
      <c r="A38" s="901" t="s">
        <v>983</v>
      </c>
      <c r="B38" s="912">
        <f>+'CONAP-FUR (REG)-Detail'!C135+'CONAP-FUR (REG)-Detail'!C223</f>
        <v>0</v>
      </c>
      <c r="C38" s="912">
        <f>+'CONAP-FUR (REG)-Detail'!D135+'CONAP-FUR (REG)-Detail'!D223</f>
        <v>250000</v>
      </c>
      <c r="D38" s="912">
        <f>+'CONAP-FUR (REG)-Detail'!E135+'CONAP-FUR (REG)-Detail'!E223</f>
        <v>0</v>
      </c>
      <c r="E38" s="912">
        <f t="shared" ref="E38:AK38" si="20">SUM(E39:E42)</f>
        <v>250000</v>
      </c>
      <c r="F38" s="912">
        <f>+'CONAP-FUR (REG)-Detail'!G135+'CONAP-FUR (REG)-Detail'!G223</f>
        <v>0</v>
      </c>
      <c r="G38" s="912">
        <f>+'CONAP-FUR (REG)-Detail'!H135+'CONAP-FUR (REG)-Detail'!H223</f>
        <v>-3394570.75</v>
      </c>
      <c r="H38" s="912">
        <f>+'CONAP-FUR (REG)-Detail'!I135+'CONAP-FUR (REG)-Detail'!I223</f>
        <v>25022000</v>
      </c>
      <c r="I38" s="912">
        <f t="shared" si="20"/>
        <v>21627429.250000004</v>
      </c>
      <c r="J38" s="912">
        <f>+'CONAP-FUR (REG)-Detail'!K135+'CONAP-FUR (REG)-Detail'!K223</f>
        <v>0</v>
      </c>
      <c r="K38" s="912">
        <f>+'CONAP-FUR (REG)-Detail'!L135+'CONAP-FUR (REG)-Detail'!L223</f>
        <v>58485488.969999999</v>
      </c>
      <c r="L38" s="912">
        <f>+'CONAP-FUR (REG)-Detail'!M135+'CONAP-FUR (REG)-Detail'!M223</f>
        <v>5581939.6600000001</v>
      </c>
      <c r="M38" s="912">
        <f t="shared" si="20"/>
        <v>65778190.129999995</v>
      </c>
      <c r="N38" s="912">
        <f>+'CONAP-FUR (REG)-Detail'!O135+'CONAP-FUR (REG)-Detail'!O223</f>
        <v>0</v>
      </c>
      <c r="O38" s="912">
        <f>+'CONAP-FUR (REG)-Detail'!P135+'CONAP-FUR (REG)-Detail'!P223</f>
        <v>55659115.719999999</v>
      </c>
      <c r="P38" s="912">
        <f>+'CONAP-FUR (REG)-Detail'!Q135+'CONAP-FUR (REG)-Detail'!Q223</f>
        <v>31746503.66</v>
      </c>
      <c r="Q38" s="912">
        <f t="shared" si="20"/>
        <v>87405619.38000001</v>
      </c>
      <c r="R38" s="912">
        <f t="shared" si="20"/>
        <v>0</v>
      </c>
      <c r="S38" s="912">
        <f t="shared" si="20"/>
        <v>55909115.719999999</v>
      </c>
      <c r="T38" s="912">
        <f t="shared" si="20"/>
        <v>31746503.66</v>
      </c>
      <c r="U38" s="912">
        <f t="shared" si="20"/>
        <v>87655619.38000001</v>
      </c>
      <c r="V38" s="912">
        <f>+'CONAP-FUR (REG)-Detail'!W135+'CONAP-FUR (REG)-Detail'!W223</f>
        <v>0</v>
      </c>
      <c r="W38" s="912">
        <f>+'CONAP-FUR (REG)-Detail'!X135+'CONAP-FUR (REG)-Detail'!X223</f>
        <v>250000</v>
      </c>
      <c r="X38" s="912">
        <f>+'CONAP-FUR (REG)-Detail'!Y135+'CONAP-FUR (REG)-Detail'!Y223</f>
        <v>0</v>
      </c>
      <c r="Y38" s="912">
        <f t="shared" si="20"/>
        <v>250000</v>
      </c>
      <c r="Z38" s="912">
        <f>+'CONAP-FUR (REG)-Detail'!AA135+'CONAP-FUR (REG)-Detail'!AA223</f>
        <v>0</v>
      </c>
      <c r="AA38" s="912">
        <f>+'CONAP-FUR (REG)-Detail'!AB135+'CONAP-FUR (REG)-Detail'!AB223</f>
        <v>52485054.689999998</v>
      </c>
      <c r="AB38" s="912">
        <f>+'CONAP-FUR (REG)-Detail'!AC135+'CONAP-FUR (REG)-Detail'!AC223</f>
        <v>21413812.789999999</v>
      </c>
      <c r="AC38" s="912">
        <f t="shared" si="20"/>
        <v>73898867.480000004</v>
      </c>
      <c r="AD38" s="912">
        <f t="shared" si="20"/>
        <v>0</v>
      </c>
      <c r="AE38" s="912">
        <f t="shared" si="20"/>
        <v>52735054.689999998</v>
      </c>
      <c r="AF38" s="912">
        <f t="shared" si="20"/>
        <v>21413812.789999999</v>
      </c>
      <c r="AG38" s="912">
        <f t="shared" si="20"/>
        <v>74148867.480000004</v>
      </c>
      <c r="AH38" s="912">
        <f t="shared" si="20"/>
        <v>0</v>
      </c>
      <c r="AI38" s="912">
        <f t="shared" si="20"/>
        <v>3174061.0299999975</v>
      </c>
      <c r="AJ38" s="912">
        <f t="shared" si="20"/>
        <v>10332690.870000001</v>
      </c>
      <c r="AK38" s="912">
        <f t="shared" si="20"/>
        <v>13506751.899999999</v>
      </c>
      <c r="AL38" s="601" t="str">
        <f t="shared" si="1"/>
        <v xml:space="preserve"> </v>
      </c>
      <c r="AM38" s="601">
        <f t="shared" si="1"/>
        <v>0.94322820189294165</v>
      </c>
      <c r="AN38" s="935">
        <f t="shared" si="1"/>
        <v>0.67452507587413479</v>
      </c>
      <c r="AO38" s="601">
        <f t="shared" si="1"/>
        <v>0.84591116923780718</v>
      </c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</row>
    <row r="39" spans="1:64" s="16" customFormat="1">
      <c r="A39" s="899" t="s">
        <v>1090</v>
      </c>
      <c r="B39" s="40">
        <f>+'SUMM BY CLUSTER- CONAP'!B50</f>
        <v>0</v>
      </c>
      <c r="C39" s="40">
        <f>+'SUMM BY CLUSTER- CONAP'!C50</f>
        <v>0</v>
      </c>
      <c r="D39" s="40">
        <f>+'SUMM BY CLUSTER- CONAP'!D50</f>
        <v>0</v>
      </c>
      <c r="E39" s="40">
        <f t="shared" si="2"/>
        <v>0</v>
      </c>
      <c r="F39" s="40">
        <f>+'SUMM BY CLUSTER- CONAP'!F50</f>
        <v>0</v>
      </c>
      <c r="G39" s="40">
        <f>+'SUMM BY CLUSTER- CONAP'!G50</f>
        <v>0</v>
      </c>
      <c r="H39" s="40">
        <f>+'SUMM BY CLUSTER- CONAP'!H50</f>
        <v>10022000</v>
      </c>
      <c r="I39" s="40">
        <f t="shared" si="3"/>
        <v>10022000</v>
      </c>
      <c r="J39" s="40">
        <f>+'SUMM BY CLUSTER- CONAP'!J50</f>
        <v>0</v>
      </c>
      <c r="K39" s="40">
        <f>+'SUMM BY CLUSTER- CONAP'!K50</f>
        <v>41485876.359999999</v>
      </c>
      <c r="L39" s="40">
        <f>+'SUMM BY CLUSTER- CONAP'!L50</f>
        <v>6724503.6600000001</v>
      </c>
      <c r="M39" s="40">
        <f t="shared" si="4"/>
        <v>48210380.019999996</v>
      </c>
      <c r="N39" s="40">
        <f>+'SUMM BY CLUSTER- CONAP'!N50</f>
        <v>0</v>
      </c>
      <c r="O39" s="40">
        <f>+'SUMM BY CLUSTER- CONAP'!O50</f>
        <v>41485876.359999999</v>
      </c>
      <c r="P39" s="40">
        <f>+'SUMM BY CLUSTER- CONAP'!P50</f>
        <v>16746503.66</v>
      </c>
      <c r="Q39" s="40">
        <f t="shared" si="5"/>
        <v>58232380.019999996</v>
      </c>
      <c r="R39" s="40">
        <f t="shared" si="15"/>
        <v>0</v>
      </c>
      <c r="S39" s="40">
        <f t="shared" si="15"/>
        <v>41485876.359999999</v>
      </c>
      <c r="T39" s="40">
        <f t="shared" si="15"/>
        <v>16746503.66</v>
      </c>
      <c r="U39" s="40">
        <f t="shared" si="7"/>
        <v>58232380.019999996</v>
      </c>
      <c r="V39" s="40">
        <f>+'SUMM BY CLUSTER- CONAP'!V50</f>
        <v>0</v>
      </c>
      <c r="W39" s="40">
        <f>+'SUMM BY CLUSTER- CONAP'!W50</f>
        <v>0</v>
      </c>
      <c r="X39" s="40">
        <f>+'SUMM BY CLUSTER- CONAP'!X50</f>
        <v>0</v>
      </c>
      <c r="Y39" s="40">
        <f t="shared" si="8"/>
        <v>0</v>
      </c>
      <c r="Z39" s="40">
        <f>+'SUMM BY CLUSTER- CONAP'!Z50</f>
        <v>0</v>
      </c>
      <c r="AA39" s="40">
        <f>+'SUMM BY CLUSTER- CONAP'!AA50</f>
        <v>39042313.920000002</v>
      </c>
      <c r="AB39" s="40">
        <f>+'SUMM BY CLUSTER- CONAP'!AB50</f>
        <v>8433812.7899999991</v>
      </c>
      <c r="AC39" s="40">
        <f t="shared" si="9"/>
        <v>47476126.710000001</v>
      </c>
      <c r="AD39" s="40">
        <f t="shared" si="16"/>
        <v>0</v>
      </c>
      <c r="AE39" s="40">
        <f t="shared" si="16"/>
        <v>39042313.920000002</v>
      </c>
      <c r="AF39" s="40">
        <f t="shared" si="16"/>
        <v>8433812.7899999991</v>
      </c>
      <c r="AG39" s="40">
        <f t="shared" si="11"/>
        <v>47476126.710000001</v>
      </c>
      <c r="AH39" s="40">
        <f t="shared" si="12"/>
        <v>0</v>
      </c>
      <c r="AI39" s="40">
        <f t="shared" si="12"/>
        <v>2443562.4399999976</v>
      </c>
      <c r="AJ39" s="40">
        <f t="shared" si="12"/>
        <v>8312690.870000001</v>
      </c>
      <c r="AK39" s="40">
        <f t="shared" si="14"/>
        <v>10756253.309999999</v>
      </c>
      <c r="AL39" s="600"/>
      <c r="AM39" s="600">
        <f t="shared" si="1"/>
        <v>0.94109893162685987</v>
      </c>
      <c r="AN39" s="600">
        <f t="shared" si="1"/>
        <v>0.50361633456329469</v>
      </c>
      <c r="AO39" s="600">
        <f t="shared" si="1"/>
        <v>0.81528741730450061</v>
      </c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</row>
    <row r="40" spans="1:64" s="16" customFormat="1" ht="13.5" customHeight="1">
      <c r="A40" s="904" t="s">
        <v>985</v>
      </c>
      <c r="B40" s="40">
        <f>+'SUMM BY CLUSTER- CONAP'!B51</f>
        <v>0</v>
      </c>
      <c r="C40" s="40">
        <f>+'SUMM BY CLUSTER- CONAP'!C51</f>
        <v>0</v>
      </c>
      <c r="D40" s="40">
        <f>+'SUMM BY CLUSTER- CONAP'!D51</f>
        <v>0</v>
      </c>
      <c r="E40" s="40">
        <f t="shared" si="2"/>
        <v>0</v>
      </c>
      <c r="F40" s="40">
        <f>+'SUMM BY CLUSTER- CONAP'!F51</f>
        <v>0</v>
      </c>
      <c r="G40" s="40">
        <f>+'SUMM BY CLUSTER- CONAP'!G51</f>
        <v>-2971035.76</v>
      </c>
      <c r="H40" s="40">
        <f>+'SUMM BY CLUSTER- CONAP'!H51</f>
        <v>15000000</v>
      </c>
      <c r="I40" s="40">
        <f t="shared" si="3"/>
        <v>12028964.24</v>
      </c>
      <c r="J40" s="40">
        <f>+'SUMM BY CLUSTER- CONAP'!J51</f>
        <v>0</v>
      </c>
      <c r="K40" s="40">
        <f>+'SUMM BY CLUSTER- CONAP'!K51</f>
        <v>11990816.380000001</v>
      </c>
      <c r="L40" s="40">
        <f>+'SUMM BY CLUSTER- CONAP'!L51</f>
        <v>0</v>
      </c>
      <c r="M40" s="40">
        <f t="shared" si="4"/>
        <v>11990816.380000001</v>
      </c>
      <c r="N40" s="40">
        <f>+'SUMM BY CLUSTER- CONAP'!N51</f>
        <v>0</v>
      </c>
      <c r="O40" s="40">
        <f>+'SUMM BY CLUSTER- CONAP'!O51</f>
        <v>9019780.620000001</v>
      </c>
      <c r="P40" s="40">
        <f>+'SUMM BY CLUSTER- CONAP'!P51</f>
        <v>15000000</v>
      </c>
      <c r="Q40" s="40">
        <f t="shared" si="5"/>
        <v>24019780.620000001</v>
      </c>
      <c r="R40" s="40">
        <f t="shared" si="15"/>
        <v>0</v>
      </c>
      <c r="S40" s="40">
        <f t="shared" si="15"/>
        <v>9019780.620000001</v>
      </c>
      <c r="T40" s="40">
        <f t="shared" si="15"/>
        <v>15000000</v>
      </c>
      <c r="U40" s="40">
        <f t="shared" si="7"/>
        <v>24019780.620000001</v>
      </c>
      <c r="V40" s="40">
        <f>+'SUMM BY CLUSTER- CONAP'!V51</f>
        <v>0</v>
      </c>
      <c r="W40" s="40">
        <f>+'SUMM BY CLUSTER- CONAP'!W51</f>
        <v>0</v>
      </c>
      <c r="X40" s="40">
        <f>+'SUMM BY CLUSTER- CONAP'!X51</f>
        <v>0</v>
      </c>
      <c r="Y40" s="40">
        <f t="shared" si="8"/>
        <v>0</v>
      </c>
      <c r="Z40" s="40">
        <f>+'SUMM BY CLUSTER- CONAP'!Z51</f>
        <v>0</v>
      </c>
      <c r="AA40" s="40">
        <f>+'SUMM BY CLUSTER- CONAP'!AA51</f>
        <v>9019780.6199999992</v>
      </c>
      <c r="AB40" s="40">
        <f>+'SUMM BY CLUSTER- CONAP'!AB51</f>
        <v>12980000</v>
      </c>
      <c r="AC40" s="40">
        <f t="shared" si="9"/>
        <v>21999780.619999997</v>
      </c>
      <c r="AD40" s="40">
        <f t="shared" si="16"/>
        <v>0</v>
      </c>
      <c r="AE40" s="40">
        <f t="shared" si="16"/>
        <v>9019780.6199999992</v>
      </c>
      <c r="AF40" s="40">
        <f t="shared" si="16"/>
        <v>12980000</v>
      </c>
      <c r="AG40" s="40">
        <f t="shared" si="11"/>
        <v>21999780.619999997</v>
      </c>
      <c r="AH40" s="40">
        <f t="shared" si="12"/>
        <v>0</v>
      </c>
      <c r="AI40" s="40">
        <f t="shared" si="12"/>
        <v>0</v>
      </c>
      <c r="AJ40" s="40">
        <f t="shared" si="12"/>
        <v>2020000</v>
      </c>
      <c r="AK40" s="40">
        <f t="shared" si="14"/>
        <v>2020000</v>
      </c>
      <c r="AL40" s="600"/>
      <c r="AM40" s="600">
        <f t="shared" si="1"/>
        <v>0.99999999999999978</v>
      </c>
      <c r="AN40" s="600">
        <f t="shared" si="1"/>
        <v>0.86533333333333329</v>
      </c>
      <c r="AO40" s="600">
        <f t="shared" si="1"/>
        <v>0.91590264574198244</v>
      </c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</row>
    <row r="41" spans="1:64" s="16" customFormat="1">
      <c r="A41" s="899" t="s">
        <v>986</v>
      </c>
      <c r="B41" s="40">
        <f>+'SUMM BY CLUSTER- CONAP'!B52</f>
        <v>0</v>
      </c>
      <c r="C41" s="40">
        <f>+'SUMM BY CLUSTER- CONAP'!C52</f>
        <v>0</v>
      </c>
      <c r="D41" s="40">
        <f>+'SUMM BY CLUSTER- CONAP'!D52</f>
        <v>0</v>
      </c>
      <c r="E41" s="40">
        <f t="shared" si="2"/>
        <v>0</v>
      </c>
      <c r="F41" s="40">
        <f>+'SUMM BY CLUSTER- CONAP'!F52</f>
        <v>0</v>
      </c>
      <c r="G41" s="40">
        <f>+'SUMM BY CLUSTER- CONAP'!G52</f>
        <v>-157500</v>
      </c>
      <c r="H41" s="40">
        <f>+'SUMM BY CLUSTER- CONAP'!H52</f>
        <v>0</v>
      </c>
      <c r="I41" s="40">
        <f t="shared" si="3"/>
        <v>-157500</v>
      </c>
      <c r="J41" s="40">
        <f>+'SUMM BY CLUSTER- CONAP'!J52</f>
        <v>0</v>
      </c>
      <c r="K41" s="40">
        <f>+'SUMM BY CLUSTER- CONAP'!K52</f>
        <v>1868989.73</v>
      </c>
      <c r="L41" s="40">
        <f>+'SUMM BY CLUSTER- CONAP'!L52</f>
        <v>0</v>
      </c>
      <c r="M41" s="40">
        <f t="shared" si="4"/>
        <v>1868989.73</v>
      </c>
      <c r="N41" s="40">
        <f>+'SUMM BY CLUSTER- CONAP'!N52</f>
        <v>0</v>
      </c>
      <c r="O41" s="40">
        <f>+'SUMM BY CLUSTER- CONAP'!O52</f>
        <v>1711489.73</v>
      </c>
      <c r="P41" s="40">
        <f>+'SUMM BY CLUSTER- CONAP'!P52</f>
        <v>0</v>
      </c>
      <c r="Q41" s="40">
        <f t="shared" si="5"/>
        <v>1711489.73</v>
      </c>
      <c r="R41" s="40">
        <f t="shared" si="15"/>
        <v>0</v>
      </c>
      <c r="S41" s="40">
        <f t="shared" si="15"/>
        <v>1711489.73</v>
      </c>
      <c r="T41" s="40">
        <f t="shared" si="15"/>
        <v>0</v>
      </c>
      <c r="U41" s="40">
        <f t="shared" si="7"/>
        <v>1711489.73</v>
      </c>
      <c r="V41" s="40">
        <f>+'SUMM BY CLUSTER- CONAP'!V52</f>
        <v>0</v>
      </c>
      <c r="W41" s="40">
        <f>+'SUMM BY CLUSTER- CONAP'!W52</f>
        <v>0</v>
      </c>
      <c r="X41" s="40">
        <f>+'SUMM BY CLUSTER- CONAP'!X52</f>
        <v>0</v>
      </c>
      <c r="Y41" s="40">
        <f t="shared" si="8"/>
        <v>0</v>
      </c>
      <c r="Z41" s="40">
        <f>+'SUMM BY CLUSTER- CONAP'!Z52</f>
        <v>0</v>
      </c>
      <c r="AA41" s="40">
        <f>+'SUMM BY CLUSTER- CONAP'!AA52</f>
        <v>980991.14000000013</v>
      </c>
      <c r="AB41" s="40">
        <f>+'SUMM BY CLUSTER- CONAP'!AB52</f>
        <v>0</v>
      </c>
      <c r="AC41" s="40">
        <f t="shared" si="9"/>
        <v>980991.14000000013</v>
      </c>
      <c r="AD41" s="40">
        <f t="shared" si="16"/>
        <v>0</v>
      </c>
      <c r="AE41" s="40">
        <f t="shared" si="16"/>
        <v>980991.14000000013</v>
      </c>
      <c r="AF41" s="40">
        <f t="shared" si="16"/>
        <v>0</v>
      </c>
      <c r="AG41" s="40">
        <f t="shared" si="11"/>
        <v>980991.14000000013</v>
      </c>
      <c r="AH41" s="40">
        <f t="shared" si="12"/>
        <v>0</v>
      </c>
      <c r="AI41" s="40">
        <f t="shared" si="12"/>
        <v>730498.58999999985</v>
      </c>
      <c r="AJ41" s="40">
        <f t="shared" si="12"/>
        <v>0</v>
      </c>
      <c r="AK41" s="40">
        <f t="shared" si="14"/>
        <v>730498.58999999985</v>
      </c>
      <c r="AL41" s="600"/>
      <c r="AM41" s="600">
        <f t="shared" si="1"/>
        <v>0.5731796824746358</v>
      </c>
      <c r="AN41" s="600" t="str">
        <f t="shared" si="1"/>
        <v xml:space="preserve"> </v>
      </c>
      <c r="AO41" s="600">
        <f t="shared" si="1"/>
        <v>0.5731796824746358</v>
      </c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</row>
    <row r="42" spans="1:64" s="16" customFormat="1">
      <c r="A42" s="899" t="s">
        <v>987</v>
      </c>
      <c r="B42" s="40">
        <f>+'SUMM BY CLUSTER- CONAP'!B53</f>
        <v>0</v>
      </c>
      <c r="C42" s="40">
        <f>+'SUMM BY CLUSTER- CONAP'!C53</f>
        <v>250000</v>
      </c>
      <c r="D42" s="40">
        <f>+'SUMM BY CLUSTER- CONAP'!D53</f>
        <v>0</v>
      </c>
      <c r="E42" s="40">
        <f t="shared" si="2"/>
        <v>250000</v>
      </c>
      <c r="F42" s="40">
        <f>+'SUMM BY CLUSTER- CONAP'!F53</f>
        <v>0</v>
      </c>
      <c r="G42" s="40">
        <f>+'SUMM BY CLUSTER- CONAP'!G53</f>
        <v>-266034.99</v>
      </c>
      <c r="H42" s="40">
        <f>+'SUMM BY CLUSTER- CONAP'!H53</f>
        <v>0</v>
      </c>
      <c r="I42" s="40">
        <f t="shared" si="3"/>
        <v>-266034.99</v>
      </c>
      <c r="J42" s="40">
        <f>+'SUMM BY CLUSTER- CONAP'!J53</f>
        <v>0</v>
      </c>
      <c r="K42" s="40">
        <f>+'SUMM BY CLUSTER- CONAP'!K53</f>
        <v>3708004</v>
      </c>
      <c r="L42" s="40">
        <f>+'SUMM BY CLUSTER- CONAP'!L53</f>
        <v>0</v>
      </c>
      <c r="M42" s="40">
        <f t="shared" si="4"/>
        <v>3708004</v>
      </c>
      <c r="N42" s="40">
        <f>+'SUMM BY CLUSTER- CONAP'!N53</f>
        <v>0</v>
      </c>
      <c r="O42" s="40">
        <f>+'SUMM BY CLUSTER- CONAP'!O53</f>
        <v>3441969.01</v>
      </c>
      <c r="P42" s="40">
        <f>+'SUMM BY CLUSTER- CONAP'!P53</f>
        <v>0</v>
      </c>
      <c r="Q42" s="40">
        <f t="shared" si="5"/>
        <v>3441969.01</v>
      </c>
      <c r="R42" s="40">
        <f t="shared" si="15"/>
        <v>0</v>
      </c>
      <c r="S42" s="40">
        <f t="shared" si="15"/>
        <v>3691969.01</v>
      </c>
      <c r="T42" s="40">
        <f t="shared" si="15"/>
        <v>0</v>
      </c>
      <c r="U42" s="40">
        <f t="shared" si="7"/>
        <v>3691969.01</v>
      </c>
      <c r="V42" s="40">
        <f>+'SUMM BY CLUSTER- CONAP'!V53</f>
        <v>0</v>
      </c>
      <c r="W42" s="40">
        <f>+'SUMM BY CLUSTER- CONAP'!W53</f>
        <v>250000</v>
      </c>
      <c r="X42" s="40">
        <f>+'SUMM BY CLUSTER- CONAP'!X53</f>
        <v>0</v>
      </c>
      <c r="Y42" s="40">
        <f t="shared" si="8"/>
        <v>250000</v>
      </c>
      <c r="Z42" s="40">
        <f>+'SUMM BY CLUSTER- CONAP'!Z53</f>
        <v>0</v>
      </c>
      <c r="AA42" s="40">
        <f>+'SUMM BY CLUSTER- CONAP'!AA53</f>
        <v>3441969.01</v>
      </c>
      <c r="AB42" s="40">
        <f>+'SUMM BY CLUSTER- CONAP'!AB53</f>
        <v>0</v>
      </c>
      <c r="AC42" s="40">
        <f t="shared" si="9"/>
        <v>3441969.01</v>
      </c>
      <c r="AD42" s="40">
        <f t="shared" si="16"/>
        <v>0</v>
      </c>
      <c r="AE42" s="40">
        <f t="shared" si="16"/>
        <v>3691969.01</v>
      </c>
      <c r="AF42" s="40">
        <f t="shared" si="16"/>
        <v>0</v>
      </c>
      <c r="AG42" s="40">
        <f t="shared" si="11"/>
        <v>3691969.01</v>
      </c>
      <c r="AH42" s="40">
        <f t="shared" si="12"/>
        <v>0</v>
      </c>
      <c r="AI42" s="40">
        <f t="shared" si="12"/>
        <v>0</v>
      </c>
      <c r="AJ42" s="40">
        <f t="shared" si="12"/>
        <v>0</v>
      </c>
      <c r="AK42" s="40">
        <f t="shared" si="14"/>
        <v>0</v>
      </c>
      <c r="AL42" s="600"/>
      <c r="AM42" s="600">
        <f t="shared" si="1"/>
        <v>1</v>
      </c>
      <c r="AN42" s="600" t="str">
        <f t="shared" si="1"/>
        <v xml:space="preserve"> </v>
      </c>
      <c r="AO42" s="600">
        <f t="shared" si="1"/>
        <v>1</v>
      </c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</row>
    <row r="43" spans="1:64" s="932" customFormat="1" ht="16.5">
      <c r="A43" s="927" t="s">
        <v>436</v>
      </c>
      <c r="B43" s="928">
        <f>+B8+B22+B29+B33+B38</f>
        <v>0</v>
      </c>
      <c r="C43" s="928">
        <f t="shared" ref="C43:AK43" si="21">+C8+C22+C29+C33+C38</f>
        <v>12898311.749999991</v>
      </c>
      <c r="D43" s="928">
        <f t="shared" si="21"/>
        <v>95305000</v>
      </c>
      <c r="E43" s="928">
        <f t="shared" si="21"/>
        <v>108203311.74999999</v>
      </c>
      <c r="F43" s="928">
        <f t="shared" si="21"/>
        <v>0</v>
      </c>
      <c r="G43" s="928">
        <f t="shared" si="21"/>
        <v>-1824254.9299999997</v>
      </c>
      <c r="H43" s="928">
        <f t="shared" si="21"/>
        <v>75687375</v>
      </c>
      <c r="I43" s="928">
        <f t="shared" si="21"/>
        <v>73863120.070000008</v>
      </c>
      <c r="J43" s="928">
        <f t="shared" si="21"/>
        <v>0</v>
      </c>
      <c r="K43" s="928">
        <f t="shared" si="21"/>
        <v>271980846.10000002</v>
      </c>
      <c r="L43" s="928">
        <f t="shared" si="21"/>
        <v>34188621.030000001</v>
      </c>
      <c r="M43" s="928">
        <f t="shared" si="21"/>
        <v>307880228.63</v>
      </c>
      <c r="N43" s="928">
        <f t="shared" si="21"/>
        <v>0</v>
      </c>
      <c r="O43" s="928">
        <f t="shared" si="21"/>
        <v>270724788.66999996</v>
      </c>
      <c r="P43" s="928">
        <f t="shared" si="21"/>
        <v>111018560.03</v>
      </c>
      <c r="Q43" s="928">
        <f t="shared" si="21"/>
        <v>381743348.70000005</v>
      </c>
      <c r="R43" s="928">
        <f t="shared" si="21"/>
        <v>0</v>
      </c>
      <c r="S43" s="928">
        <f t="shared" si="21"/>
        <v>283623100.41999996</v>
      </c>
      <c r="T43" s="928">
        <f t="shared" si="21"/>
        <v>206323560.03</v>
      </c>
      <c r="U43" s="928">
        <f t="shared" si="21"/>
        <v>489946660.45000005</v>
      </c>
      <c r="V43" s="928">
        <f t="shared" si="21"/>
        <v>0</v>
      </c>
      <c r="W43" s="928">
        <f t="shared" si="21"/>
        <v>12310634.950000001</v>
      </c>
      <c r="X43" s="928">
        <f t="shared" si="21"/>
        <v>45150623</v>
      </c>
      <c r="Y43" s="928">
        <f t="shared" si="21"/>
        <v>57461257.950000003</v>
      </c>
      <c r="Z43" s="928">
        <f t="shared" si="21"/>
        <v>0</v>
      </c>
      <c r="AA43" s="928">
        <f t="shared" si="21"/>
        <v>235606489.61000001</v>
      </c>
      <c r="AB43" s="928">
        <f t="shared" si="21"/>
        <v>60341776.439999998</v>
      </c>
      <c r="AC43" s="928">
        <f t="shared" si="21"/>
        <v>295948266.05000001</v>
      </c>
      <c r="AD43" s="928">
        <f t="shared" si="21"/>
        <v>0</v>
      </c>
      <c r="AE43" s="928">
        <f t="shared" si="21"/>
        <v>247917124.56</v>
      </c>
      <c r="AF43" s="928">
        <f t="shared" si="21"/>
        <v>105492399.44</v>
      </c>
      <c r="AG43" s="928">
        <f t="shared" si="21"/>
        <v>353409524</v>
      </c>
      <c r="AH43" s="928">
        <f t="shared" si="21"/>
        <v>0</v>
      </c>
      <c r="AI43" s="928">
        <f t="shared" si="21"/>
        <v>35705975.859999999</v>
      </c>
      <c r="AJ43" s="928">
        <f t="shared" si="21"/>
        <v>100831160.59</v>
      </c>
      <c r="AK43" s="928">
        <f t="shared" si="21"/>
        <v>136537136.44999999</v>
      </c>
      <c r="AL43" s="929" t="str">
        <f>IF(R43=0," ",AD43/R43)</f>
        <v xml:space="preserve"> </v>
      </c>
      <c r="AM43" s="930">
        <f>IF(S43=0," ",AE43/S43)</f>
        <v>0.87410765975294258</v>
      </c>
      <c r="AN43" s="930">
        <f>IF(T43=0," ",AF43/T43)</f>
        <v>0.51129594421820324</v>
      </c>
      <c r="AO43" s="930">
        <f>IF(U43=0," ",AG43/U43)</f>
        <v>0.72132244696882897</v>
      </c>
      <c r="AP43" s="931"/>
      <c r="AQ43" s="931"/>
      <c r="AR43" s="931"/>
      <c r="AS43" s="931"/>
      <c r="AT43" s="931"/>
      <c r="AU43" s="931"/>
      <c r="AV43" s="931"/>
      <c r="AW43" s="931"/>
      <c r="AX43" s="931"/>
      <c r="AY43" s="931"/>
      <c r="AZ43" s="931"/>
      <c r="BA43" s="931"/>
      <c r="BB43" s="931"/>
      <c r="BC43" s="931"/>
      <c r="BD43" s="931"/>
      <c r="BE43" s="931"/>
      <c r="BF43" s="931"/>
      <c r="BG43" s="931"/>
      <c r="BH43" s="931"/>
      <c r="BI43" s="931"/>
      <c r="BJ43" s="931"/>
      <c r="BK43" s="931"/>
      <c r="BL43" s="931"/>
    </row>
    <row r="45" spans="1:64" hidden="1">
      <c r="C45" s="30">
        <f>+C43-'SUMM BY CLUSTER- CONAP'!C18</f>
        <v>0</v>
      </c>
      <c r="D45" s="30">
        <f>+D43-'SUMM BY CLUSTER- CONAP'!D18</f>
        <v>0</v>
      </c>
      <c r="E45" s="30">
        <f>+E43-'SUMM BY CLUSTER- CONAP'!E18</f>
        <v>0</v>
      </c>
      <c r="F45" s="30">
        <f>+F43-'SUMM BY CLUSTER- CONAP'!F18</f>
        <v>0</v>
      </c>
      <c r="G45" s="30">
        <f>+G43-'SUMM BY CLUSTER- CONAP'!G18</f>
        <v>0</v>
      </c>
      <c r="H45" s="30">
        <f>+H43-'SUMM BY CLUSTER- CONAP'!H18</f>
        <v>0</v>
      </c>
      <c r="I45" s="30">
        <f>+I43-'SUMM BY CLUSTER- CONAP'!I18</f>
        <v>0</v>
      </c>
      <c r="J45" s="30">
        <f>+J43-'SUMM BY CLUSTER- CONAP'!J18</f>
        <v>0</v>
      </c>
      <c r="K45" s="30">
        <f>+K43-'SUMM BY CLUSTER- CONAP'!K18</f>
        <v>-568197.5</v>
      </c>
      <c r="L45" s="30">
        <f>+L43-'SUMM BY CLUSTER- CONAP'!L18</f>
        <v>-1142564</v>
      </c>
      <c r="M45" s="30">
        <f>+M43-'SUMM BY CLUSTER- CONAP'!M18</f>
        <v>0</v>
      </c>
      <c r="N45" s="30">
        <f>+N43-'SUMM BY CLUSTER- CONAP'!N18</f>
        <v>0</v>
      </c>
      <c r="O45" s="30">
        <f>+O43-'SUMM BY CLUSTER- CONAP'!O18</f>
        <v>0</v>
      </c>
      <c r="P45" s="30">
        <f>+P43-'SUMM BY CLUSTER- CONAP'!P18</f>
        <v>0</v>
      </c>
      <c r="Q45" s="30">
        <f>+Q43-'SUMM BY CLUSTER- CONAP'!Q18</f>
        <v>0</v>
      </c>
      <c r="R45" s="30">
        <f>+R43-'SUMM BY CLUSTER- CONAP'!R18</f>
        <v>0</v>
      </c>
      <c r="S45" s="30">
        <f>+S43-'SUMM BY CLUSTER- CONAP'!S18</f>
        <v>0</v>
      </c>
      <c r="T45" s="30">
        <f>+T43-'SUMM BY CLUSTER- CONAP'!T18</f>
        <v>0</v>
      </c>
      <c r="U45" s="30">
        <f>+U43-'SUMM BY CLUSTER- CONAP'!U18</f>
        <v>0</v>
      </c>
      <c r="V45" s="30">
        <f>+V43-'SUMM BY CLUSTER- CONAP'!V18</f>
        <v>0</v>
      </c>
      <c r="W45" s="30">
        <f>+W43-'SUMM BY CLUSTER- CONAP'!W18</f>
        <v>0</v>
      </c>
      <c r="X45" s="30">
        <f>+X43-'SUMM BY CLUSTER- CONAP'!X18</f>
        <v>0</v>
      </c>
      <c r="Y45" s="30">
        <f>+Y43-'SUMM BY CLUSTER- CONAP'!Y18</f>
        <v>0</v>
      </c>
      <c r="Z45" s="30">
        <f>+Z43-'SUMM BY CLUSTER- CONAP'!Z18</f>
        <v>0</v>
      </c>
      <c r="AA45" s="30">
        <f>+AA43-'SUMM BY CLUSTER- CONAP'!AA18</f>
        <v>0</v>
      </c>
      <c r="AB45" s="30">
        <f>+AB43-'SUMM BY CLUSTER- CONAP'!AB18</f>
        <v>0</v>
      </c>
      <c r="AC45" s="30">
        <f>+AC43-'SUMM BY CLUSTER- CONAP'!AC18</f>
        <v>0</v>
      </c>
      <c r="AD45" s="30">
        <f>+AD43-'SUMM BY CLUSTER- CONAP'!AD18</f>
        <v>0</v>
      </c>
      <c r="AE45" s="30">
        <f>+AE43-'SUMM BY CLUSTER- CONAP'!AE18</f>
        <v>0</v>
      </c>
      <c r="AF45" s="30">
        <f>+AF43-'SUMM BY CLUSTER- CONAP'!AF18</f>
        <v>0</v>
      </c>
      <c r="AG45" s="30">
        <f>+AG43-'SUMM BY CLUSTER- CONAP'!AG18</f>
        <v>0</v>
      </c>
      <c r="AH45" s="30">
        <f>+AH43-'SUMM BY CLUSTER- CONAP'!AH18</f>
        <v>0</v>
      </c>
      <c r="AI45" s="30">
        <f>+AI43-'SUMM BY CLUSTER- CONAP'!AI18</f>
        <v>0</v>
      </c>
      <c r="AJ45" s="30">
        <f>+AJ43-'SUMM BY CLUSTER- CONAP'!AJ18</f>
        <v>0</v>
      </c>
      <c r="AK45" s="30">
        <f>+AK43-'SUMM BY CLUSTER- CONAP'!AK18</f>
        <v>0</v>
      </c>
      <c r="AL45" s="30" t="e">
        <f>+AL43-'SUMM BY CLUSTER- CONAP'!AL18</f>
        <v>#VALUE!</v>
      </c>
      <c r="AM45" s="30">
        <f>+AM43-'SUMM BY CLUSTER- CONAP'!AM18</f>
        <v>0</v>
      </c>
      <c r="AN45" s="30">
        <f>+AN43-'SUMM BY CLUSTER- CONAP'!AN18</f>
        <v>0</v>
      </c>
      <c r="AO45" s="30">
        <f>+AO43-'SUMM BY CLUSTER- CONAP'!AO18</f>
        <v>0</v>
      </c>
    </row>
    <row r="47" spans="1:64">
      <c r="A47" s="578" t="s">
        <v>881</v>
      </c>
    </row>
    <row r="48" spans="1:64">
      <c r="A48" s="108" t="s">
        <v>1112</v>
      </c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4">
    <tabColor theme="3" tint="0.39997558519241921"/>
  </sheetPr>
  <dimension ref="A1:BF93"/>
  <sheetViews>
    <sheetView workbookViewId="0">
      <pane xSplit="2" ySplit="7" topLeftCell="AR8" activePane="bottomRight" state="frozen"/>
      <selection pane="topRight" activeCell="B1" sqref="B1"/>
      <selection pane="bottomLeft" activeCell="A8" sqref="A8"/>
      <selection pane="bottomRight" activeCell="AS18" sqref="AS18"/>
    </sheetView>
  </sheetViews>
  <sheetFormatPr defaultRowHeight="15"/>
  <cols>
    <col min="1" max="1" width="2.42578125" style="583" hidden="1" customWidth="1"/>
    <col min="2" max="2" width="43" style="17" customWidth="1"/>
    <col min="3" max="3" width="17.140625" style="17" customWidth="1"/>
    <col min="4" max="4" width="18.140625" style="17" customWidth="1"/>
    <col min="5" max="5" width="17.7109375" style="17" customWidth="1"/>
    <col min="6" max="6" width="17.85546875" style="17" customWidth="1"/>
    <col min="7" max="7" width="16.85546875" style="17" hidden="1" customWidth="1"/>
    <col min="8" max="8" width="18" style="17" hidden="1" customWidth="1"/>
    <col min="9" max="9" width="16.85546875" style="17" hidden="1" customWidth="1"/>
    <col min="10" max="10" width="7.140625" style="17" hidden="1" customWidth="1"/>
    <col min="11" max="11" width="18.5703125" style="17" hidden="1" customWidth="1"/>
    <col min="12" max="12" width="19" style="17" hidden="1" customWidth="1"/>
    <col min="13" max="13" width="17" style="17" hidden="1" customWidth="1"/>
    <col min="14" max="14" width="17.85546875" style="17" hidden="1" customWidth="1"/>
    <col min="15" max="15" width="17.140625" style="17" customWidth="1"/>
    <col min="16" max="16" width="18.140625" style="17" customWidth="1"/>
    <col min="17" max="17" width="17.85546875" style="17" customWidth="1"/>
    <col min="18" max="18" width="18.140625" style="17" customWidth="1"/>
    <col min="19" max="19" width="17.42578125" style="17" hidden="1" customWidth="1"/>
    <col min="20" max="20" width="17.5703125" style="17" hidden="1" customWidth="1"/>
    <col min="21" max="21" width="18.28515625" style="17" hidden="1" customWidth="1"/>
    <col min="22" max="22" width="17.85546875" style="17" hidden="1" customWidth="1"/>
    <col min="23" max="23" width="12.140625" style="17" customWidth="1"/>
    <col min="24" max="24" width="17.5703125" style="17" customWidth="1"/>
    <col min="25" max="25" width="17.85546875" style="17" customWidth="1"/>
    <col min="26" max="26" width="17.5703125" style="17" customWidth="1"/>
    <col min="27" max="27" width="16.85546875" style="17" customWidth="1"/>
    <col min="28" max="28" width="18.5703125" style="17" bestFit="1" customWidth="1"/>
    <col min="29" max="29" width="18" style="17" customWidth="1"/>
    <col min="30" max="30" width="17.7109375" style="17" customWidth="1"/>
    <col min="31" max="32" width="17.5703125" style="17" hidden="1" customWidth="1"/>
    <col min="33" max="33" width="15.85546875" style="17" hidden="1" customWidth="1"/>
    <col min="34" max="34" width="19.140625" style="17" hidden="1" customWidth="1"/>
    <col min="35" max="35" width="12.5703125" style="17" hidden="1" customWidth="1"/>
    <col min="36" max="36" width="15.85546875" style="17" hidden="1" customWidth="1"/>
    <col min="37" max="38" width="17.5703125" style="17" hidden="1" customWidth="1"/>
    <col min="39" max="39" width="17" style="17" customWidth="1"/>
    <col min="40" max="40" width="17.28515625" style="17" customWidth="1"/>
    <col min="41" max="41" width="17" style="17" customWidth="1"/>
    <col min="42" max="42" width="18.42578125" style="17" customWidth="1"/>
    <col min="43" max="43" width="16.7109375" style="17" customWidth="1"/>
    <col min="44" max="44" width="17.85546875" style="17" customWidth="1"/>
    <col min="45" max="45" width="19.5703125" style="17" customWidth="1"/>
    <col min="46" max="46" width="17.85546875" style="17" customWidth="1"/>
    <col min="47" max="47" width="8.7109375" style="9" bestFit="1" customWidth="1"/>
    <col min="48" max="48" width="11.140625" style="9" bestFit="1" customWidth="1"/>
    <col min="49" max="49" width="8.28515625" style="9" bestFit="1" customWidth="1"/>
    <col min="50" max="50" width="11.5703125" style="9" customWidth="1"/>
    <col min="51" max="51" width="15.5703125" style="17" bestFit="1" customWidth="1"/>
    <col min="52" max="52" width="16.5703125" style="17" bestFit="1" customWidth="1"/>
    <col min="53" max="53" width="9.42578125" style="17" bestFit="1" customWidth="1"/>
    <col min="54" max="54" width="16.5703125" style="17" bestFit="1" customWidth="1"/>
    <col min="55" max="55" width="9.140625" style="17"/>
    <col min="56" max="56" width="18.5703125" style="17" bestFit="1" customWidth="1"/>
    <col min="57" max="16384" width="9.140625" style="17"/>
  </cols>
  <sheetData>
    <row r="1" spans="1:57">
      <c r="B1" s="15" t="s">
        <v>48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BB1" s="16"/>
    </row>
    <row r="2" spans="1:57">
      <c r="B2" s="15" t="s">
        <v>758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BB2" s="16"/>
    </row>
    <row r="3" spans="1:57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BB3" s="16"/>
    </row>
    <row r="4" spans="1:57">
      <c r="B4" s="16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BB4" s="16"/>
    </row>
    <row r="5" spans="1:57" s="36" customFormat="1">
      <c r="A5" s="584"/>
      <c r="B5" s="1493" t="s">
        <v>0</v>
      </c>
      <c r="C5" s="1499" t="s">
        <v>877</v>
      </c>
      <c r="D5" s="1500"/>
      <c r="E5" s="1500"/>
      <c r="F5" s="1501"/>
      <c r="G5" s="1490" t="s">
        <v>459</v>
      </c>
      <c r="H5" s="1491"/>
      <c r="I5" s="1491"/>
      <c r="J5" s="1492"/>
      <c r="K5" s="1490" t="s">
        <v>460</v>
      </c>
      <c r="L5" s="1491"/>
      <c r="M5" s="1491"/>
      <c r="N5" s="1492"/>
      <c r="O5" s="1499" t="s">
        <v>49</v>
      </c>
      <c r="P5" s="1500"/>
      <c r="Q5" s="1500"/>
      <c r="R5" s="1501"/>
      <c r="S5" s="1499" t="s">
        <v>705</v>
      </c>
      <c r="T5" s="1500"/>
      <c r="U5" s="1500"/>
      <c r="V5" s="1501"/>
      <c r="W5" s="1499" t="s">
        <v>50</v>
      </c>
      <c r="X5" s="1500"/>
      <c r="Y5" s="1500"/>
      <c r="Z5" s="1501"/>
      <c r="AA5" s="1499" t="s">
        <v>53</v>
      </c>
      <c r="AB5" s="1500"/>
      <c r="AC5" s="1500"/>
      <c r="AD5" s="1501"/>
      <c r="AE5" s="1499" t="s">
        <v>62</v>
      </c>
      <c r="AF5" s="1500"/>
      <c r="AG5" s="1500"/>
      <c r="AH5" s="1501"/>
      <c r="AI5" s="1499" t="s">
        <v>54</v>
      </c>
      <c r="AJ5" s="1500"/>
      <c r="AK5" s="1500"/>
      <c r="AL5" s="1501"/>
      <c r="AM5" s="1499" t="s">
        <v>55</v>
      </c>
      <c r="AN5" s="1500"/>
      <c r="AO5" s="1500"/>
      <c r="AP5" s="1501"/>
      <c r="AQ5" s="1499" t="s">
        <v>68</v>
      </c>
      <c r="AR5" s="1500"/>
      <c r="AS5" s="1500"/>
      <c r="AT5" s="1501"/>
      <c r="AU5" s="1508" t="s">
        <v>52</v>
      </c>
      <c r="AV5" s="1509"/>
      <c r="AW5" s="1509"/>
      <c r="AX5" s="1510"/>
      <c r="AY5" s="1499" t="s">
        <v>58</v>
      </c>
      <c r="AZ5" s="1500"/>
      <c r="BA5" s="1500"/>
      <c r="BB5" s="1501"/>
    </row>
    <row r="6" spans="1:57" s="36" customFormat="1" ht="15" hidden="1" customHeight="1">
      <c r="A6" s="584"/>
      <c r="B6" s="1494"/>
      <c r="C6" s="76"/>
      <c r="D6" s="77"/>
      <c r="E6" s="77"/>
      <c r="F6" s="78"/>
      <c r="G6" s="88"/>
      <c r="H6" s="89"/>
      <c r="I6" s="89"/>
      <c r="J6" s="90"/>
      <c r="K6" s="88"/>
      <c r="L6" s="89"/>
      <c r="M6" s="89"/>
      <c r="N6" s="90"/>
      <c r="O6" s="76"/>
      <c r="P6" s="77"/>
      <c r="Q6" s="77"/>
      <c r="R6" s="78"/>
      <c r="S6" s="169"/>
      <c r="T6" s="170"/>
      <c r="U6" s="170"/>
      <c r="V6" s="171"/>
      <c r="W6" s="76"/>
      <c r="X6" s="77"/>
      <c r="Y6" s="77"/>
      <c r="Z6" s="78"/>
      <c r="AA6" s="76"/>
      <c r="AB6" s="77"/>
      <c r="AC6" s="77"/>
      <c r="AD6" s="78"/>
      <c r="AE6" s="76"/>
      <c r="AF6" s="77"/>
      <c r="AG6" s="77"/>
      <c r="AH6" s="78"/>
      <c r="AI6" s="76"/>
      <c r="AJ6" s="77"/>
      <c r="AK6" s="77"/>
      <c r="AL6" s="78"/>
      <c r="AM6" s="76"/>
      <c r="AN6" s="77"/>
      <c r="AO6" s="77"/>
      <c r="AP6" s="78"/>
      <c r="AQ6" s="76"/>
      <c r="AR6" s="77"/>
      <c r="AS6" s="77"/>
      <c r="AT6" s="78"/>
      <c r="AU6" s="82"/>
      <c r="AV6" s="83"/>
      <c r="AW6" s="83"/>
      <c r="AX6" s="84"/>
      <c r="AY6" s="76"/>
      <c r="AZ6" s="77"/>
      <c r="BA6" s="77"/>
      <c r="BB6" s="78"/>
    </row>
    <row r="7" spans="1:57" s="36" customFormat="1" ht="15.75" thickBot="1">
      <c r="A7" s="584"/>
      <c r="B7" s="1495"/>
      <c r="C7" s="71" t="s">
        <v>1</v>
      </c>
      <c r="D7" s="71" t="s">
        <v>2</v>
      </c>
      <c r="E7" s="72" t="s">
        <v>3</v>
      </c>
      <c r="F7" s="72" t="s">
        <v>4</v>
      </c>
      <c r="G7" s="71" t="s">
        <v>1</v>
      </c>
      <c r="H7" s="71" t="s">
        <v>2</v>
      </c>
      <c r="I7" s="72" t="s">
        <v>3</v>
      </c>
      <c r="J7" s="72" t="s">
        <v>4</v>
      </c>
      <c r="K7" s="71" t="s">
        <v>1</v>
      </c>
      <c r="L7" s="71" t="s">
        <v>2</v>
      </c>
      <c r="M7" s="72" t="s">
        <v>3</v>
      </c>
      <c r="N7" s="72" t="s">
        <v>4</v>
      </c>
      <c r="O7" s="71" t="s">
        <v>1</v>
      </c>
      <c r="P7" s="71" t="s">
        <v>2</v>
      </c>
      <c r="Q7" s="72" t="s">
        <v>3</v>
      </c>
      <c r="R7" s="72" t="s">
        <v>4</v>
      </c>
      <c r="S7" s="71" t="s">
        <v>1</v>
      </c>
      <c r="T7" s="71" t="s">
        <v>2</v>
      </c>
      <c r="U7" s="72" t="s">
        <v>3</v>
      </c>
      <c r="V7" s="72" t="s">
        <v>4</v>
      </c>
      <c r="W7" s="71" t="s">
        <v>1</v>
      </c>
      <c r="X7" s="71" t="s">
        <v>2</v>
      </c>
      <c r="Y7" s="72" t="s">
        <v>3</v>
      </c>
      <c r="Z7" s="72" t="s">
        <v>4</v>
      </c>
      <c r="AA7" s="71" t="s">
        <v>1</v>
      </c>
      <c r="AB7" s="71" t="s">
        <v>2</v>
      </c>
      <c r="AC7" s="72" t="s">
        <v>3</v>
      </c>
      <c r="AD7" s="72" t="s">
        <v>4</v>
      </c>
      <c r="AE7" s="71" t="s">
        <v>1</v>
      </c>
      <c r="AF7" s="71" t="s">
        <v>2</v>
      </c>
      <c r="AG7" s="72" t="s">
        <v>3</v>
      </c>
      <c r="AH7" s="72" t="s">
        <v>4</v>
      </c>
      <c r="AI7" s="71" t="s">
        <v>1</v>
      </c>
      <c r="AJ7" s="71" t="s">
        <v>2</v>
      </c>
      <c r="AK7" s="72" t="s">
        <v>3</v>
      </c>
      <c r="AL7" s="72" t="s">
        <v>4</v>
      </c>
      <c r="AM7" s="71" t="s">
        <v>1</v>
      </c>
      <c r="AN7" s="71" t="s">
        <v>2</v>
      </c>
      <c r="AO7" s="72" t="s">
        <v>3</v>
      </c>
      <c r="AP7" s="72" t="s">
        <v>4</v>
      </c>
      <c r="AQ7" s="71" t="s">
        <v>1</v>
      </c>
      <c r="AR7" s="71" t="s">
        <v>2</v>
      </c>
      <c r="AS7" s="72" t="s">
        <v>3</v>
      </c>
      <c r="AT7" s="72" t="s">
        <v>4</v>
      </c>
      <c r="AU7" s="75" t="s">
        <v>1</v>
      </c>
      <c r="AV7" s="75" t="s">
        <v>2</v>
      </c>
      <c r="AW7" s="75" t="s">
        <v>3</v>
      </c>
      <c r="AX7" s="75" t="s">
        <v>4</v>
      </c>
      <c r="AY7" s="71" t="s">
        <v>1</v>
      </c>
      <c r="AZ7" s="71" t="s">
        <v>2</v>
      </c>
      <c r="BA7" s="72" t="s">
        <v>3</v>
      </c>
      <c r="BB7" s="72" t="s">
        <v>4</v>
      </c>
    </row>
    <row r="8" spans="1:57">
      <c r="B8" s="7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0"/>
      <c r="P8" s="20"/>
      <c r="Q8" s="20"/>
      <c r="R8" s="19"/>
      <c r="S8" s="20"/>
      <c r="T8" s="20"/>
      <c r="U8" s="20"/>
      <c r="V8" s="19"/>
      <c r="W8" s="20"/>
      <c r="X8" s="20"/>
      <c r="Y8" s="20"/>
      <c r="Z8" s="19"/>
      <c r="AA8" s="20"/>
      <c r="AB8" s="20"/>
      <c r="AC8" s="20"/>
      <c r="AD8" s="19"/>
      <c r="AE8" s="20"/>
      <c r="AF8" s="20"/>
      <c r="AG8" s="20"/>
      <c r="AH8" s="19"/>
      <c r="AI8" s="20"/>
      <c r="AJ8" s="20"/>
      <c r="AK8" s="20"/>
      <c r="AL8" s="19"/>
      <c r="AM8" s="20"/>
      <c r="AN8" s="20"/>
      <c r="AO8" s="20"/>
      <c r="AP8" s="19"/>
      <c r="AQ8" s="20"/>
      <c r="AR8" s="20"/>
      <c r="AS8" s="20"/>
      <c r="AT8" s="19"/>
      <c r="AU8" s="11"/>
      <c r="AV8" s="11"/>
      <c r="AW8" s="11"/>
      <c r="AX8" s="11"/>
      <c r="AY8" s="20"/>
      <c r="AZ8" s="20"/>
      <c r="BA8" s="20"/>
      <c r="BB8" s="19"/>
    </row>
    <row r="9" spans="1:57" s="24" customFormat="1" ht="18">
      <c r="A9" s="585"/>
      <c r="B9" s="575" t="s">
        <v>922</v>
      </c>
      <c r="C9" s="22">
        <f>+C12+C17+C20+C25+C29+C33+C36+C39+C46+C10</f>
        <v>732642000</v>
      </c>
      <c r="D9" s="22">
        <f t="shared" ref="D9:AI9" si="0">+D12+D17+D20+D25+D29+D33+D36+D39+D46+D10</f>
        <v>11993840000</v>
      </c>
      <c r="E9" s="22">
        <f t="shared" si="0"/>
        <v>11039892000</v>
      </c>
      <c r="F9" s="22">
        <f>SUM(C9:E9)</f>
        <v>23766374000</v>
      </c>
      <c r="G9" s="22">
        <f t="shared" si="0"/>
        <v>7552371</v>
      </c>
      <c r="H9" s="22">
        <f t="shared" si="0"/>
        <v>-14552371</v>
      </c>
      <c r="I9" s="22">
        <f t="shared" si="0"/>
        <v>0</v>
      </c>
      <c r="J9" s="22">
        <f t="shared" si="0"/>
        <v>-7000000</v>
      </c>
      <c r="K9" s="22">
        <f>+C9+G9</f>
        <v>740194371</v>
      </c>
      <c r="L9" s="22">
        <f>+D9+H9</f>
        <v>11979287629</v>
      </c>
      <c r="M9" s="22">
        <f>+E9+I9</f>
        <v>11039892000</v>
      </c>
      <c r="N9" s="22">
        <f>SUM(K9:M9)</f>
        <v>23759374000</v>
      </c>
      <c r="O9" s="22">
        <f t="shared" si="0"/>
        <v>740194371</v>
      </c>
      <c r="P9" s="22">
        <f t="shared" si="0"/>
        <v>11986287629</v>
      </c>
      <c r="Q9" s="22">
        <f t="shared" si="0"/>
        <v>11039892000</v>
      </c>
      <c r="R9" s="22">
        <f>SUM(O9:Q9)</f>
        <v>23766374000</v>
      </c>
      <c r="S9" s="22">
        <f t="shared" si="0"/>
        <v>0</v>
      </c>
      <c r="T9" s="22">
        <f t="shared" si="0"/>
        <v>0</v>
      </c>
      <c r="U9" s="22">
        <f t="shared" si="0"/>
        <v>0</v>
      </c>
      <c r="V9" s="22">
        <f t="shared" si="0"/>
        <v>0</v>
      </c>
      <c r="W9" s="22">
        <f t="shared" si="0"/>
        <v>-827006</v>
      </c>
      <c r="X9" s="22">
        <f t="shared" si="0"/>
        <v>-3959941354.46</v>
      </c>
      <c r="Y9" s="22">
        <f t="shared" si="0"/>
        <v>-5745606586.1000004</v>
      </c>
      <c r="Z9" s="22">
        <f>SUM(W9:Y9)</f>
        <v>-9706374946.5600014</v>
      </c>
      <c r="AA9" s="22">
        <f t="shared" ref="AA9:AA54" si="1">+O9+W9+S9</f>
        <v>739367365</v>
      </c>
      <c r="AB9" s="22">
        <f t="shared" ref="AB9:AB54" si="2">+P9+X9+T9</f>
        <v>8026346274.54</v>
      </c>
      <c r="AC9" s="22">
        <f t="shared" ref="AC9:AC54" si="3">+Q9+Y9+U9</f>
        <v>5294285413.8999996</v>
      </c>
      <c r="AD9" s="22">
        <f t="shared" ref="AD9:AD54" si="4">SUM(AA9:AC9)</f>
        <v>14059999053.440001</v>
      </c>
      <c r="AE9" s="22">
        <f>+AE12+AE17+AE20+AE25+AE29+AE33+AE36+AE39+AE46+AE10</f>
        <v>640233053.58999991</v>
      </c>
      <c r="AF9" s="22">
        <f>+AF12+AF17+AF20+AF25+AF29+AF33+AF36+AF39+AF46+AF10</f>
        <v>5732403338.0400009</v>
      </c>
      <c r="AG9" s="22">
        <f>+AG12+AG17+AG20+AG25+AG29+AG33+AG36+AG39+AG46+AG10</f>
        <v>1218729883.249999</v>
      </c>
      <c r="AH9" s="22">
        <f t="shared" ref="AH9:AH72" si="5">SUM(AE9:AG9)</f>
        <v>7591366274.8800001</v>
      </c>
      <c r="AI9" s="22">
        <f t="shared" si="0"/>
        <v>0</v>
      </c>
      <c r="AJ9" s="22">
        <f>+AJ12+AJ17+AJ20+AJ25+AJ29+AJ33+AJ36+AJ39+AJ46+AJ10</f>
        <v>0</v>
      </c>
      <c r="AK9" s="22">
        <f>+AK12+AK17+AK20+AK25+AK29+AK33+AK36+AK39+AK46+AK10</f>
        <v>0</v>
      </c>
      <c r="AL9" s="22">
        <f>SUM(AI9:AK9)</f>
        <v>0</v>
      </c>
      <c r="AM9" s="22">
        <f>+AE9+AI9</f>
        <v>640233053.58999991</v>
      </c>
      <c r="AN9" s="22">
        <f>+AF9+AJ9</f>
        <v>5732403338.0400009</v>
      </c>
      <c r="AO9" s="22">
        <f>+AG9+AK9</f>
        <v>1218729883.249999</v>
      </c>
      <c r="AP9" s="22">
        <f>SUM(AM9:AO9)</f>
        <v>7591366274.8800001</v>
      </c>
      <c r="AQ9" s="22">
        <f t="shared" ref="AQ9:AQ55" si="6">+AA9-AM9</f>
        <v>99134311.410000086</v>
      </c>
      <c r="AR9" s="22">
        <f t="shared" ref="AR9:AR55" si="7">+AB9-AN9</f>
        <v>2293942936.499999</v>
      </c>
      <c r="AS9" s="22">
        <f t="shared" ref="AS9:AS55" si="8">+AC9-AO9</f>
        <v>4075555530.6500006</v>
      </c>
      <c r="AT9" s="22">
        <f t="shared" ref="AT9:AT55" si="9">SUM(AQ9:AS9)</f>
        <v>6468632778.5599995</v>
      </c>
      <c r="AU9" s="12">
        <f t="shared" ref="AU9:AU72" si="10">IF(AA9=0," ",AM9/AA9)</f>
        <v>0.86592008776313778</v>
      </c>
      <c r="AV9" s="12">
        <f t="shared" ref="AV9:AV72" si="11">IF(AB9=0," ",AN9/AB9)</f>
        <v>0.71419835899972206</v>
      </c>
      <c r="AW9" s="12">
        <f t="shared" ref="AW9:AW72" si="12">IF(AC9=0," ",AO9/AC9)</f>
        <v>0.23019723871521122</v>
      </c>
      <c r="AX9" s="12">
        <f t="shared" ref="AX9:AX72" si="13">IF(AD9=0," ",AP9/AD9)</f>
        <v>0.53992651393690194</v>
      </c>
      <c r="AY9" s="22">
        <f>+K9-O9</f>
        <v>0</v>
      </c>
      <c r="AZ9" s="22">
        <f>+L9-P9</f>
        <v>-7000000</v>
      </c>
      <c r="BA9" s="22">
        <f>+M9-Q9</f>
        <v>0</v>
      </c>
      <c r="BB9" s="22">
        <f>SUM(AY9:BA9)</f>
        <v>-7000000</v>
      </c>
      <c r="BC9" s="23"/>
      <c r="BD9" s="823">
        <f>+'CY (ALL FUNDS)'!Q1706+'CY (ALL FUNDS)'!Q1714+'CY (ALL FUNDS)'!Q1718-AT9</f>
        <v>0</v>
      </c>
      <c r="BE9" s="23"/>
    </row>
    <row r="10" spans="1:57" s="39" customFormat="1" ht="16.5">
      <c r="A10" s="586"/>
      <c r="B10" s="580" t="s">
        <v>932</v>
      </c>
      <c r="C10" s="37">
        <f>+'CY-FUR (REG)- Detail'!C13</f>
        <v>89546000</v>
      </c>
      <c r="D10" s="37">
        <f>+'CY-FUR (REG)- Detail'!D13</f>
        <v>220211000</v>
      </c>
      <c r="E10" s="37">
        <f>+'CY-FUR (REG)- Detail'!E13</f>
        <v>0</v>
      </c>
      <c r="F10" s="37">
        <f t="shared" ref="F10:F73" si="14">SUM(C10:E10)</f>
        <v>309757000</v>
      </c>
      <c r="G10" s="37">
        <f>+'CY-FUR (REG)- Detail'!G13</f>
        <v>7085371</v>
      </c>
      <c r="H10" s="37">
        <f>+'CY-FUR (REG)- Detail'!H13</f>
        <v>-85371</v>
      </c>
      <c r="I10" s="37">
        <f>+'CY-FUR (REG)- Detail'!I13</f>
        <v>0</v>
      </c>
      <c r="J10" s="37">
        <f>+'CY-FUR (REG)- Detail'!J13</f>
        <v>7000000</v>
      </c>
      <c r="K10" s="37">
        <f t="shared" ref="K10:K73" si="15">+C10+G10</f>
        <v>96631371</v>
      </c>
      <c r="L10" s="37">
        <f t="shared" ref="L10:L73" si="16">+D10+H10</f>
        <v>220125629</v>
      </c>
      <c r="M10" s="37">
        <f t="shared" ref="M10:M73" si="17">+E10+I10</f>
        <v>0</v>
      </c>
      <c r="N10" s="37">
        <f t="shared" ref="N10:N73" si="18">SUM(K10:M10)</f>
        <v>316757000</v>
      </c>
      <c r="O10" s="37">
        <f>+'CY-FUR (REG)- Detail'!O13</f>
        <v>96631371</v>
      </c>
      <c r="P10" s="37">
        <f>+'CY-FUR (REG)- Detail'!P13</f>
        <v>220125629</v>
      </c>
      <c r="Q10" s="37">
        <f>+'CY-FUR (REG)- Detail'!Q13</f>
        <v>0</v>
      </c>
      <c r="R10" s="37">
        <f t="shared" ref="R10:R73" si="19">SUM(O10:Q10)</f>
        <v>316757000</v>
      </c>
      <c r="S10" s="37">
        <f>+'CY-FUR (REG)- Detail'!S13</f>
        <v>0</v>
      </c>
      <c r="T10" s="37">
        <f>+'CY-FUR (REG)- Detail'!T13</f>
        <v>0</v>
      </c>
      <c r="U10" s="37">
        <f>+'CY-FUR (REG)- Detail'!U13</f>
        <v>0</v>
      </c>
      <c r="V10" s="37">
        <f>+'CY-FUR (REG)- Detail'!V13</f>
        <v>0</v>
      </c>
      <c r="W10" s="37">
        <f>+'CY-FUR (REG)- Detail'!W13</f>
        <v>-827006</v>
      </c>
      <c r="X10" s="37">
        <f>+'CY-FUR (REG)- Detail'!X13</f>
        <v>-11554094</v>
      </c>
      <c r="Y10" s="37">
        <f>+'CY-FUR (REG)- Detail'!Y13</f>
        <v>0</v>
      </c>
      <c r="Z10" s="37">
        <f t="shared" ref="Z10:Z73" si="20">SUM(W10:Y10)</f>
        <v>-12381100</v>
      </c>
      <c r="AA10" s="37">
        <f t="shared" si="1"/>
        <v>95804365</v>
      </c>
      <c r="AB10" s="37">
        <f t="shared" si="2"/>
        <v>208571535</v>
      </c>
      <c r="AC10" s="37">
        <f t="shared" si="3"/>
        <v>0</v>
      </c>
      <c r="AD10" s="37">
        <f t="shared" si="4"/>
        <v>304375900</v>
      </c>
      <c r="AE10" s="37">
        <f>+'CY-FUR (REG)- Detail'!AE13</f>
        <v>93116166.939999998</v>
      </c>
      <c r="AF10" s="37">
        <f>+'CY-FUR (REG)- Detail'!AF13</f>
        <v>193491978.36000001</v>
      </c>
      <c r="AG10" s="37">
        <f>+'CY-FUR (REG)- Detail'!AG13</f>
        <v>0</v>
      </c>
      <c r="AH10" s="37">
        <f t="shared" si="5"/>
        <v>286608145.30000001</v>
      </c>
      <c r="AI10" s="37">
        <f>+'CY-FUR (REG)- Detail'!AI13</f>
        <v>0</v>
      </c>
      <c r="AJ10" s="37">
        <f>+'CY-FUR (REG)- Detail'!AJ13</f>
        <v>0</v>
      </c>
      <c r="AK10" s="37">
        <f>+'CY-FUR (REG)- Detail'!AK13</f>
        <v>0</v>
      </c>
      <c r="AL10" s="37">
        <f t="shared" ref="AL10:AL73" si="21">SUM(AI10:AK10)</f>
        <v>0</v>
      </c>
      <c r="AM10" s="37">
        <f t="shared" ref="AM10:AM50" si="22">+AE10+AI10</f>
        <v>93116166.939999998</v>
      </c>
      <c r="AN10" s="37">
        <f t="shared" ref="AN10:AN50" si="23">+AF10+AJ10</f>
        <v>193491978.36000001</v>
      </c>
      <c r="AO10" s="37">
        <f t="shared" ref="AO10:AO50" si="24">+AG10+AK10</f>
        <v>0</v>
      </c>
      <c r="AP10" s="37">
        <f t="shared" ref="AP10:AP73" si="25">SUM(AM10:AO10)</f>
        <v>286608145.30000001</v>
      </c>
      <c r="AQ10" s="37">
        <f t="shared" si="6"/>
        <v>2688198.0600000024</v>
      </c>
      <c r="AR10" s="37">
        <f t="shared" si="7"/>
        <v>15079556.639999986</v>
      </c>
      <c r="AS10" s="37">
        <f t="shared" si="8"/>
        <v>0</v>
      </c>
      <c r="AT10" s="37">
        <f t="shared" si="9"/>
        <v>17767754.699999988</v>
      </c>
      <c r="AU10" s="38">
        <f t="shared" si="10"/>
        <v>0.97194075593528539</v>
      </c>
      <c r="AV10" s="38">
        <f t="shared" si="11"/>
        <v>0.9277007927280202</v>
      </c>
      <c r="AW10" s="38" t="str">
        <f t="shared" si="12"/>
        <v xml:space="preserve"> </v>
      </c>
      <c r="AX10" s="38">
        <f t="shared" si="13"/>
        <v>0.94162561917681398</v>
      </c>
      <c r="AY10" s="22">
        <f t="shared" ref="AY10:AY73" si="26">+K10-O10</f>
        <v>0</v>
      </c>
      <c r="AZ10" s="22">
        <f t="shared" ref="AZ10:AZ73" si="27">+L10-P10</f>
        <v>0</v>
      </c>
      <c r="BA10" s="22">
        <f t="shared" ref="BA10:BA73" si="28">+M10-Q10</f>
        <v>0</v>
      </c>
      <c r="BB10" s="22">
        <f t="shared" ref="BB10:BB73" si="29">SUM(AY10:BA10)</f>
        <v>0</v>
      </c>
    </row>
    <row r="11" spans="1:57" s="39" customFormat="1" ht="16.5">
      <c r="A11" s="586"/>
      <c r="B11" s="580"/>
      <c r="C11" s="37"/>
      <c r="D11" s="37"/>
      <c r="E11" s="37"/>
      <c r="F11" s="37">
        <f t="shared" si="14"/>
        <v>0</v>
      </c>
      <c r="G11" s="37"/>
      <c r="H11" s="37"/>
      <c r="I11" s="37"/>
      <c r="J11" s="37"/>
      <c r="K11" s="37">
        <f t="shared" si="15"/>
        <v>0</v>
      </c>
      <c r="L11" s="37">
        <f t="shared" si="16"/>
        <v>0</v>
      </c>
      <c r="M11" s="37">
        <f t="shared" si="17"/>
        <v>0</v>
      </c>
      <c r="N11" s="37">
        <f t="shared" si="18"/>
        <v>0</v>
      </c>
      <c r="O11" s="37"/>
      <c r="P11" s="37"/>
      <c r="Q11" s="37"/>
      <c r="R11" s="37">
        <f t="shared" si="19"/>
        <v>0</v>
      </c>
      <c r="S11" s="37"/>
      <c r="T11" s="37"/>
      <c r="U11" s="37"/>
      <c r="V11" s="37"/>
      <c r="W11" s="37"/>
      <c r="X11" s="37"/>
      <c r="Y11" s="37"/>
      <c r="Z11" s="37">
        <f t="shared" si="20"/>
        <v>0</v>
      </c>
      <c r="AA11" s="37">
        <f t="shared" si="1"/>
        <v>0</v>
      </c>
      <c r="AB11" s="37">
        <f t="shared" si="2"/>
        <v>0</v>
      </c>
      <c r="AC11" s="37">
        <f t="shared" si="3"/>
        <v>0</v>
      </c>
      <c r="AD11" s="37">
        <f t="shared" si="4"/>
        <v>0</v>
      </c>
      <c r="AE11" s="37"/>
      <c r="AF11" s="37"/>
      <c r="AG11" s="37"/>
      <c r="AH11" s="37">
        <f t="shared" si="5"/>
        <v>0</v>
      </c>
      <c r="AI11" s="37"/>
      <c r="AJ11" s="37"/>
      <c r="AK11" s="37"/>
      <c r="AL11" s="37">
        <f t="shared" si="21"/>
        <v>0</v>
      </c>
      <c r="AM11" s="37">
        <f t="shared" si="22"/>
        <v>0</v>
      </c>
      <c r="AN11" s="37">
        <f t="shared" si="23"/>
        <v>0</v>
      </c>
      <c r="AO11" s="37">
        <f t="shared" si="24"/>
        <v>0</v>
      </c>
      <c r="AP11" s="37">
        <f t="shared" si="25"/>
        <v>0</v>
      </c>
      <c r="AQ11" s="37">
        <f t="shared" si="6"/>
        <v>0</v>
      </c>
      <c r="AR11" s="37">
        <f t="shared" si="7"/>
        <v>0</v>
      </c>
      <c r="AS11" s="37">
        <f t="shared" si="8"/>
        <v>0</v>
      </c>
      <c r="AT11" s="37">
        <f t="shared" si="9"/>
        <v>0</v>
      </c>
      <c r="AU11" s="38" t="str">
        <f t="shared" si="10"/>
        <v xml:space="preserve"> </v>
      </c>
      <c r="AV11" s="38" t="str">
        <f t="shared" si="11"/>
        <v xml:space="preserve"> </v>
      </c>
      <c r="AW11" s="38" t="str">
        <f t="shared" si="12"/>
        <v xml:space="preserve"> </v>
      </c>
      <c r="AX11" s="38" t="str">
        <f t="shared" si="13"/>
        <v xml:space="preserve"> </v>
      </c>
      <c r="AY11" s="22">
        <f t="shared" si="26"/>
        <v>0</v>
      </c>
      <c r="AZ11" s="22">
        <f t="shared" si="27"/>
        <v>0</v>
      </c>
      <c r="BA11" s="22">
        <f t="shared" si="28"/>
        <v>0</v>
      </c>
      <c r="BB11" s="22">
        <f t="shared" si="29"/>
        <v>0</v>
      </c>
    </row>
    <row r="12" spans="1:57" s="39" customFormat="1" ht="16.5">
      <c r="A12" s="586" t="s">
        <v>923</v>
      </c>
      <c r="B12" s="580" t="s">
        <v>888</v>
      </c>
      <c r="C12" s="37">
        <f>SUM(C13:C15)</f>
        <v>33026000</v>
      </c>
      <c r="D12" s="37">
        <f t="shared" ref="D12:AI12" si="30">SUM(D13:D15)</f>
        <v>1085633000</v>
      </c>
      <c r="E12" s="37">
        <f t="shared" si="30"/>
        <v>0</v>
      </c>
      <c r="F12" s="37">
        <f t="shared" si="14"/>
        <v>1118659000</v>
      </c>
      <c r="G12" s="37">
        <f t="shared" si="30"/>
        <v>0</v>
      </c>
      <c r="H12" s="37">
        <f t="shared" si="30"/>
        <v>0</v>
      </c>
      <c r="I12" s="37">
        <f t="shared" si="30"/>
        <v>0</v>
      </c>
      <c r="J12" s="37">
        <f t="shared" si="30"/>
        <v>0</v>
      </c>
      <c r="K12" s="37">
        <f t="shared" si="15"/>
        <v>33026000</v>
      </c>
      <c r="L12" s="37">
        <f t="shared" si="16"/>
        <v>1085633000</v>
      </c>
      <c r="M12" s="37">
        <f t="shared" si="17"/>
        <v>0</v>
      </c>
      <c r="N12" s="37">
        <f t="shared" si="18"/>
        <v>1118659000</v>
      </c>
      <c r="O12" s="37">
        <f t="shared" si="30"/>
        <v>33026000</v>
      </c>
      <c r="P12" s="37">
        <f t="shared" si="30"/>
        <v>1085633000</v>
      </c>
      <c r="Q12" s="37">
        <f t="shared" si="30"/>
        <v>0</v>
      </c>
      <c r="R12" s="37">
        <f t="shared" si="19"/>
        <v>1118659000</v>
      </c>
      <c r="S12" s="37">
        <f t="shared" si="30"/>
        <v>0</v>
      </c>
      <c r="T12" s="37">
        <f t="shared" si="30"/>
        <v>0</v>
      </c>
      <c r="U12" s="37">
        <f t="shared" si="30"/>
        <v>0</v>
      </c>
      <c r="V12" s="37">
        <f t="shared" si="30"/>
        <v>0</v>
      </c>
      <c r="W12" s="37">
        <f t="shared" si="30"/>
        <v>0</v>
      </c>
      <c r="X12" s="37">
        <f t="shared" si="30"/>
        <v>-67575400</v>
      </c>
      <c r="Y12" s="37">
        <f t="shared" si="30"/>
        <v>0</v>
      </c>
      <c r="Z12" s="37">
        <f t="shared" si="20"/>
        <v>-67575400</v>
      </c>
      <c r="AA12" s="37">
        <f t="shared" si="1"/>
        <v>33026000</v>
      </c>
      <c r="AB12" s="37">
        <f t="shared" si="2"/>
        <v>1018057600</v>
      </c>
      <c r="AC12" s="37">
        <f t="shared" si="3"/>
        <v>0</v>
      </c>
      <c r="AD12" s="37">
        <f t="shared" si="4"/>
        <v>1051083600</v>
      </c>
      <c r="AE12" s="37">
        <f>SUM(AE13:AE15)</f>
        <v>26871364.050000001</v>
      </c>
      <c r="AF12" s="37">
        <f>SUM(AF13:AF15)</f>
        <v>770754243.72000015</v>
      </c>
      <c r="AG12" s="37">
        <f>SUM(AG13:AG15)</f>
        <v>0</v>
      </c>
      <c r="AH12" s="37">
        <f t="shared" si="5"/>
        <v>797625607.7700001</v>
      </c>
      <c r="AI12" s="37">
        <f t="shared" si="30"/>
        <v>0</v>
      </c>
      <c r="AJ12" s="37">
        <f>SUM(AJ13:AJ15)</f>
        <v>0</v>
      </c>
      <c r="AK12" s="37">
        <f>SUM(AK13:AK15)</f>
        <v>0</v>
      </c>
      <c r="AL12" s="37">
        <f t="shared" si="21"/>
        <v>0</v>
      </c>
      <c r="AM12" s="37">
        <f t="shared" si="22"/>
        <v>26871364.050000001</v>
      </c>
      <c r="AN12" s="37">
        <f t="shared" si="23"/>
        <v>770754243.72000015</v>
      </c>
      <c r="AO12" s="37">
        <f t="shared" si="24"/>
        <v>0</v>
      </c>
      <c r="AP12" s="37">
        <f t="shared" si="25"/>
        <v>797625607.7700001</v>
      </c>
      <c r="AQ12" s="37">
        <f t="shared" si="6"/>
        <v>6154635.9499999993</v>
      </c>
      <c r="AR12" s="37">
        <f t="shared" si="7"/>
        <v>247303356.27999985</v>
      </c>
      <c r="AS12" s="37">
        <f t="shared" si="8"/>
        <v>0</v>
      </c>
      <c r="AT12" s="37">
        <f t="shared" si="9"/>
        <v>253457992.22999984</v>
      </c>
      <c r="AU12" s="38">
        <f t="shared" si="10"/>
        <v>0.8136427072609459</v>
      </c>
      <c r="AV12" s="38">
        <f t="shared" si="11"/>
        <v>0.75708313922512849</v>
      </c>
      <c r="AW12" s="38" t="str">
        <f t="shared" si="12"/>
        <v xml:space="preserve"> </v>
      </c>
      <c r="AX12" s="38">
        <f t="shared" si="13"/>
        <v>0.75886029214992989</v>
      </c>
      <c r="AY12" s="22">
        <f t="shared" si="26"/>
        <v>0</v>
      </c>
      <c r="AZ12" s="22">
        <f t="shared" si="27"/>
        <v>0</v>
      </c>
      <c r="BA12" s="22">
        <f t="shared" si="28"/>
        <v>0</v>
      </c>
      <c r="BB12" s="22">
        <f t="shared" si="29"/>
        <v>0</v>
      </c>
    </row>
    <row r="13" spans="1:57" s="16" customFormat="1">
      <c r="A13" s="586" t="s">
        <v>923</v>
      </c>
      <c r="B13" s="581" t="s">
        <v>898</v>
      </c>
      <c r="C13" s="579">
        <f>+'CY-FUR (REG)- Detail'!C16</f>
        <v>15411000</v>
      </c>
      <c r="D13" s="579">
        <f>+'CY-FUR (REG)- Detail'!D16</f>
        <v>32146000</v>
      </c>
      <c r="E13" s="579">
        <f>+'CY-FUR (REG)- Detail'!E16</f>
        <v>0</v>
      </c>
      <c r="F13" s="579">
        <f t="shared" si="14"/>
        <v>47557000</v>
      </c>
      <c r="G13" s="579">
        <f>+'CY-FUR (REG)- Detail'!G16</f>
        <v>0</v>
      </c>
      <c r="H13" s="579">
        <f>+'CY-FUR (REG)- Detail'!H16</f>
        <v>0</v>
      </c>
      <c r="I13" s="579">
        <f>+'CY-FUR (REG)- Detail'!I16</f>
        <v>0</v>
      </c>
      <c r="J13" s="579">
        <f>+'CY-FUR (REG)- Detail'!J16</f>
        <v>0</v>
      </c>
      <c r="K13" s="579">
        <f t="shared" si="15"/>
        <v>15411000</v>
      </c>
      <c r="L13" s="579">
        <f t="shared" si="16"/>
        <v>32146000</v>
      </c>
      <c r="M13" s="579">
        <f t="shared" si="17"/>
        <v>0</v>
      </c>
      <c r="N13" s="579">
        <f t="shared" si="18"/>
        <v>47557000</v>
      </c>
      <c r="O13" s="579">
        <f>+'CY-FUR (REG)- Detail'!O16</f>
        <v>15411000</v>
      </c>
      <c r="P13" s="579">
        <f>+'CY-FUR (REG)- Detail'!P16</f>
        <v>32146000</v>
      </c>
      <c r="Q13" s="579">
        <f>+'CY-FUR (REG)- Detail'!Q16</f>
        <v>0</v>
      </c>
      <c r="R13" s="579">
        <f t="shared" si="19"/>
        <v>47557000</v>
      </c>
      <c r="S13" s="579">
        <f>+'CY-FUR (REG)- Detail'!S16</f>
        <v>0</v>
      </c>
      <c r="T13" s="579">
        <f>+'CY-FUR (REG)- Detail'!T16</f>
        <v>0</v>
      </c>
      <c r="U13" s="579">
        <f>+'CY-FUR (REG)- Detail'!U16</f>
        <v>0</v>
      </c>
      <c r="V13" s="579">
        <f>+'CY-FUR (REG)- Detail'!V16</f>
        <v>0</v>
      </c>
      <c r="W13" s="579">
        <f>+'CY-FUR (REG)- Detail'!W16</f>
        <v>0</v>
      </c>
      <c r="X13" s="579">
        <f>+'CY-FUR (REG)- Detail'!X16</f>
        <v>-250000</v>
      </c>
      <c r="Y13" s="579">
        <f>+'CY-FUR (REG)- Detail'!Y16</f>
        <v>0</v>
      </c>
      <c r="Z13" s="579">
        <f t="shared" si="20"/>
        <v>-250000</v>
      </c>
      <c r="AA13" s="579">
        <f t="shared" si="1"/>
        <v>15411000</v>
      </c>
      <c r="AB13" s="579">
        <f t="shared" si="2"/>
        <v>31896000</v>
      </c>
      <c r="AC13" s="579">
        <f t="shared" si="3"/>
        <v>0</v>
      </c>
      <c r="AD13" s="579">
        <f t="shared" si="4"/>
        <v>47307000</v>
      </c>
      <c r="AE13" s="579">
        <f>+'CY-FUR (REG)- Detail'!AE16</f>
        <v>13146657.119999999</v>
      </c>
      <c r="AF13" s="579">
        <f>+'CY-FUR (REG)- Detail'!AF16</f>
        <v>26199471.27</v>
      </c>
      <c r="AG13" s="579">
        <f>+'CY-FUR (REG)- Detail'!AG16</f>
        <v>0</v>
      </c>
      <c r="AH13" s="579">
        <f t="shared" si="5"/>
        <v>39346128.390000001</v>
      </c>
      <c r="AI13" s="579">
        <f>+'CY-FUR (REG)- Detail'!AI16</f>
        <v>0</v>
      </c>
      <c r="AJ13" s="579">
        <f>+'CY-FUR (REG)- Detail'!AJ16</f>
        <v>0</v>
      </c>
      <c r="AK13" s="579">
        <f>+'CY-FUR (REG)- Detail'!AK16</f>
        <v>0</v>
      </c>
      <c r="AL13" s="579">
        <f t="shared" si="21"/>
        <v>0</v>
      </c>
      <c r="AM13" s="579">
        <f t="shared" si="22"/>
        <v>13146657.119999999</v>
      </c>
      <c r="AN13" s="579">
        <f t="shared" si="23"/>
        <v>26199471.27</v>
      </c>
      <c r="AO13" s="579">
        <f t="shared" si="24"/>
        <v>0</v>
      </c>
      <c r="AP13" s="579">
        <f t="shared" si="25"/>
        <v>39346128.390000001</v>
      </c>
      <c r="AQ13" s="579">
        <f t="shared" si="6"/>
        <v>2264342.8800000008</v>
      </c>
      <c r="AR13" s="579">
        <f t="shared" si="7"/>
        <v>5696528.7300000004</v>
      </c>
      <c r="AS13" s="579">
        <f t="shared" si="8"/>
        <v>0</v>
      </c>
      <c r="AT13" s="579">
        <f t="shared" si="9"/>
        <v>7960871.6100000013</v>
      </c>
      <c r="AU13" s="564">
        <f t="shared" si="10"/>
        <v>0.85306969826747125</v>
      </c>
      <c r="AV13" s="564">
        <f t="shared" si="11"/>
        <v>0.82140303705793827</v>
      </c>
      <c r="AW13" s="564" t="str">
        <f t="shared" si="12"/>
        <v xml:space="preserve"> </v>
      </c>
      <c r="AX13" s="564">
        <f t="shared" si="13"/>
        <v>0.83171895047244593</v>
      </c>
      <c r="AY13" s="22">
        <f t="shared" si="26"/>
        <v>0</v>
      </c>
      <c r="AZ13" s="22">
        <f t="shared" si="27"/>
        <v>0</v>
      </c>
      <c r="BA13" s="22">
        <f t="shared" si="28"/>
        <v>0</v>
      </c>
      <c r="BB13" s="22">
        <f t="shared" si="29"/>
        <v>0</v>
      </c>
    </row>
    <row r="14" spans="1:57" s="16" customFormat="1">
      <c r="A14" s="586" t="s">
        <v>923</v>
      </c>
      <c r="B14" s="581" t="s">
        <v>899</v>
      </c>
      <c r="C14" s="579">
        <f>+'CY-FUR (REG)- Detail'!C23</f>
        <v>17615000</v>
      </c>
      <c r="D14" s="579">
        <f>+'CY-FUR (REG)- Detail'!D23</f>
        <v>15371000</v>
      </c>
      <c r="E14" s="579">
        <f>+'CY-FUR (REG)- Detail'!E23</f>
        <v>0</v>
      </c>
      <c r="F14" s="579">
        <f t="shared" si="14"/>
        <v>32986000</v>
      </c>
      <c r="G14" s="579">
        <f>+'CY-FUR (REG)- Detail'!G23</f>
        <v>0</v>
      </c>
      <c r="H14" s="579">
        <f>+'CY-FUR (REG)- Detail'!H23</f>
        <v>0</v>
      </c>
      <c r="I14" s="579">
        <f>+'CY-FUR (REG)- Detail'!I23</f>
        <v>0</v>
      </c>
      <c r="J14" s="579">
        <f>+'CY-FUR (REG)- Detail'!J23</f>
        <v>0</v>
      </c>
      <c r="K14" s="579">
        <f t="shared" si="15"/>
        <v>17615000</v>
      </c>
      <c r="L14" s="579">
        <f t="shared" si="16"/>
        <v>15371000</v>
      </c>
      <c r="M14" s="579">
        <f t="shared" si="17"/>
        <v>0</v>
      </c>
      <c r="N14" s="579">
        <f t="shared" si="18"/>
        <v>32986000</v>
      </c>
      <c r="O14" s="579">
        <f>+'CY-FUR (REG)- Detail'!O23</f>
        <v>17615000</v>
      </c>
      <c r="P14" s="579">
        <f>+'CY-FUR (REG)- Detail'!P23</f>
        <v>15371000</v>
      </c>
      <c r="Q14" s="579">
        <f>+'CY-FUR (REG)- Detail'!Q23</f>
        <v>0</v>
      </c>
      <c r="R14" s="579">
        <f t="shared" si="19"/>
        <v>32986000</v>
      </c>
      <c r="S14" s="579">
        <f>+'CY-FUR (REG)- Detail'!S23</f>
        <v>0</v>
      </c>
      <c r="T14" s="579">
        <f>+'CY-FUR (REG)- Detail'!T23</f>
        <v>0</v>
      </c>
      <c r="U14" s="579">
        <f>+'CY-FUR (REG)- Detail'!U23</f>
        <v>0</v>
      </c>
      <c r="V14" s="579">
        <f>+'CY-FUR (REG)- Detail'!V23</f>
        <v>0</v>
      </c>
      <c r="W14" s="579">
        <f>+'CY-FUR (REG)- Detail'!W23</f>
        <v>0</v>
      </c>
      <c r="X14" s="579">
        <f>+'CY-FUR (REG)- Detail'!X23</f>
        <v>0</v>
      </c>
      <c r="Y14" s="579">
        <f>+'CY-FUR (REG)- Detail'!Y23</f>
        <v>0</v>
      </c>
      <c r="Z14" s="579">
        <f t="shared" si="20"/>
        <v>0</v>
      </c>
      <c r="AA14" s="579">
        <f t="shared" si="1"/>
        <v>17615000</v>
      </c>
      <c r="AB14" s="579">
        <f t="shared" si="2"/>
        <v>15371000</v>
      </c>
      <c r="AC14" s="579">
        <f t="shared" si="3"/>
        <v>0</v>
      </c>
      <c r="AD14" s="579">
        <f t="shared" si="4"/>
        <v>32986000</v>
      </c>
      <c r="AE14" s="579">
        <f>+'CY-FUR (REG)- Detail'!AE23</f>
        <v>13724706.930000002</v>
      </c>
      <c r="AF14" s="579">
        <f>+'CY-FUR (REG)- Detail'!AF23</f>
        <v>10930037.849999998</v>
      </c>
      <c r="AG14" s="579">
        <f>+'CY-FUR (REG)- Detail'!AG23</f>
        <v>0</v>
      </c>
      <c r="AH14" s="579">
        <f t="shared" si="5"/>
        <v>24654744.780000001</v>
      </c>
      <c r="AI14" s="579">
        <f>+'CY-FUR (REG)- Detail'!AI23</f>
        <v>0</v>
      </c>
      <c r="AJ14" s="579">
        <f>+'CY-FUR (REG)- Detail'!AJ23</f>
        <v>0</v>
      </c>
      <c r="AK14" s="579">
        <f>+'CY-FUR (REG)- Detail'!AK23</f>
        <v>0</v>
      </c>
      <c r="AL14" s="579">
        <f t="shared" si="21"/>
        <v>0</v>
      </c>
      <c r="AM14" s="579">
        <f t="shared" si="22"/>
        <v>13724706.930000002</v>
      </c>
      <c r="AN14" s="579">
        <f t="shared" si="23"/>
        <v>10930037.849999998</v>
      </c>
      <c r="AO14" s="579">
        <f t="shared" si="24"/>
        <v>0</v>
      </c>
      <c r="AP14" s="579">
        <f t="shared" si="25"/>
        <v>24654744.780000001</v>
      </c>
      <c r="AQ14" s="579">
        <f t="shared" si="6"/>
        <v>3890293.0699999984</v>
      </c>
      <c r="AR14" s="579">
        <f t="shared" si="7"/>
        <v>4440962.1500000022</v>
      </c>
      <c r="AS14" s="579">
        <f t="shared" si="8"/>
        <v>0</v>
      </c>
      <c r="AT14" s="579">
        <f t="shared" si="9"/>
        <v>8331255.2200000007</v>
      </c>
      <c r="AU14" s="564">
        <f t="shared" si="10"/>
        <v>0.77914884643769522</v>
      </c>
      <c r="AV14" s="564">
        <f t="shared" si="11"/>
        <v>0.7110817676143385</v>
      </c>
      <c r="AW14" s="564" t="str">
        <f t="shared" si="12"/>
        <v xml:space="preserve"> </v>
      </c>
      <c r="AX14" s="564">
        <f t="shared" si="13"/>
        <v>0.74743056993876189</v>
      </c>
      <c r="AY14" s="22">
        <f t="shared" si="26"/>
        <v>0</v>
      </c>
      <c r="AZ14" s="22">
        <f t="shared" si="27"/>
        <v>0</v>
      </c>
      <c r="BA14" s="22">
        <f t="shared" si="28"/>
        <v>0</v>
      </c>
      <c r="BB14" s="22">
        <f t="shared" si="29"/>
        <v>0</v>
      </c>
    </row>
    <row r="15" spans="1:57" s="16" customFormat="1" ht="24">
      <c r="A15" s="586" t="s">
        <v>923</v>
      </c>
      <c r="B15" s="581" t="s">
        <v>900</v>
      </c>
      <c r="C15" s="579">
        <f>+'CY-FUR (REG)- Detail'!C43</f>
        <v>0</v>
      </c>
      <c r="D15" s="579">
        <f>+'CY-FUR (REG)- Detail'!D43</f>
        <v>1038116000</v>
      </c>
      <c r="E15" s="579">
        <f>+'CY-FUR (REG)- Detail'!E43</f>
        <v>0</v>
      </c>
      <c r="F15" s="579">
        <f t="shared" si="14"/>
        <v>1038116000</v>
      </c>
      <c r="G15" s="579">
        <f>+'CY-FUR (REG)- Detail'!G43</f>
        <v>0</v>
      </c>
      <c r="H15" s="579">
        <f>+'CY-FUR (REG)- Detail'!H43</f>
        <v>0</v>
      </c>
      <c r="I15" s="579">
        <f>+'CY-FUR (REG)- Detail'!I43</f>
        <v>0</v>
      </c>
      <c r="J15" s="579">
        <f>+'CY-FUR (REG)- Detail'!J43</f>
        <v>0</v>
      </c>
      <c r="K15" s="579">
        <f t="shared" si="15"/>
        <v>0</v>
      </c>
      <c r="L15" s="579">
        <f t="shared" si="16"/>
        <v>1038116000</v>
      </c>
      <c r="M15" s="579">
        <f t="shared" si="17"/>
        <v>0</v>
      </c>
      <c r="N15" s="579">
        <f t="shared" si="18"/>
        <v>1038116000</v>
      </c>
      <c r="O15" s="579">
        <f>+'CY-FUR (REG)- Detail'!O43</f>
        <v>0</v>
      </c>
      <c r="P15" s="579">
        <f>+'CY-FUR (REG)- Detail'!P43</f>
        <v>1038116000</v>
      </c>
      <c r="Q15" s="579">
        <f>+'CY-FUR (REG)- Detail'!Q43</f>
        <v>0</v>
      </c>
      <c r="R15" s="579">
        <f t="shared" si="19"/>
        <v>1038116000</v>
      </c>
      <c r="S15" s="579">
        <f>+'CY-FUR (REG)- Detail'!S43</f>
        <v>0</v>
      </c>
      <c r="T15" s="579">
        <f>+'CY-FUR (REG)- Detail'!T43</f>
        <v>0</v>
      </c>
      <c r="U15" s="579">
        <f>+'CY-FUR (REG)- Detail'!U43</f>
        <v>0</v>
      </c>
      <c r="V15" s="579">
        <f>+'CY-FUR (REG)- Detail'!V43</f>
        <v>0</v>
      </c>
      <c r="W15" s="579">
        <f>+'CY-FUR (REG)- Detail'!W43</f>
        <v>0</v>
      </c>
      <c r="X15" s="579">
        <f>+'CY-FUR (REG)- Detail'!X43</f>
        <v>-67325400</v>
      </c>
      <c r="Y15" s="579">
        <f>+'CY-FUR (REG)- Detail'!Y43</f>
        <v>0</v>
      </c>
      <c r="Z15" s="579">
        <f t="shared" si="20"/>
        <v>-67325400</v>
      </c>
      <c r="AA15" s="579">
        <f t="shared" si="1"/>
        <v>0</v>
      </c>
      <c r="AB15" s="579">
        <f t="shared" si="2"/>
        <v>970790600</v>
      </c>
      <c r="AC15" s="579">
        <f t="shared" si="3"/>
        <v>0</v>
      </c>
      <c r="AD15" s="579">
        <f t="shared" si="4"/>
        <v>970790600</v>
      </c>
      <c r="AE15" s="579">
        <f>+'CY-FUR (REG)- Detail'!AE43</f>
        <v>0</v>
      </c>
      <c r="AF15" s="579">
        <f>+'CY-FUR (REG)- Detail'!AF43</f>
        <v>733624734.60000014</v>
      </c>
      <c r="AG15" s="579">
        <f>+'CY-FUR (REG)- Detail'!AG43</f>
        <v>0</v>
      </c>
      <c r="AH15" s="579">
        <f t="shared" si="5"/>
        <v>733624734.60000014</v>
      </c>
      <c r="AI15" s="579">
        <f>+'CY-FUR (REG)- Detail'!AI43</f>
        <v>0</v>
      </c>
      <c r="AJ15" s="579">
        <f>+'CY-FUR (REG)- Detail'!AJ43</f>
        <v>0</v>
      </c>
      <c r="AK15" s="579">
        <f>+'CY-FUR (REG)- Detail'!AK43</f>
        <v>0</v>
      </c>
      <c r="AL15" s="579">
        <f t="shared" si="21"/>
        <v>0</v>
      </c>
      <c r="AM15" s="579">
        <f t="shared" si="22"/>
        <v>0</v>
      </c>
      <c r="AN15" s="579">
        <f t="shared" si="23"/>
        <v>733624734.60000014</v>
      </c>
      <c r="AO15" s="579">
        <f t="shared" si="24"/>
        <v>0</v>
      </c>
      <c r="AP15" s="579">
        <f t="shared" si="25"/>
        <v>733624734.60000014</v>
      </c>
      <c r="AQ15" s="579">
        <f t="shared" si="6"/>
        <v>0</v>
      </c>
      <c r="AR15" s="579">
        <f t="shared" si="7"/>
        <v>237165865.39999986</v>
      </c>
      <c r="AS15" s="579">
        <f t="shared" si="8"/>
        <v>0</v>
      </c>
      <c r="AT15" s="579">
        <f t="shared" si="9"/>
        <v>237165865.39999986</v>
      </c>
      <c r="AU15" s="564" t="str">
        <f t="shared" si="10"/>
        <v xml:space="preserve"> </v>
      </c>
      <c r="AV15" s="564">
        <f t="shared" si="11"/>
        <v>0.75569822637343231</v>
      </c>
      <c r="AW15" s="564" t="str">
        <f t="shared" si="12"/>
        <v xml:space="preserve"> </v>
      </c>
      <c r="AX15" s="564">
        <f t="shared" si="13"/>
        <v>0.75569822637343231</v>
      </c>
      <c r="AY15" s="22">
        <f t="shared" si="26"/>
        <v>0</v>
      </c>
      <c r="AZ15" s="22">
        <f t="shared" si="27"/>
        <v>0</v>
      </c>
      <c r="BA15" s="22">
        <f t="shared" si="28"/>
        <v>0</v>
      </c>
      <c r="BB15" s="22">
        <f t="shared" si="29"/>
        <v>0</v>
      </c>
    </row>
    <row r="16" spans="1:57" s="39" customFormat="1" ht="16.5">
      <c r="A16" s="586"/>
      <c r="B16" s="580"/>
      <c r="C16" s="37"/>
      <c r="D16" s="37"/>
      <c r="E16" s="37"/>
      <c r="F16" s="37">
        <f t="shared" si="14"/>
        <v>0</v>
      </c>
      <c r="G16" s="37"/>
      <c r="H16" s="37"/>
      <c r="I16" s="37"/>
      <c r="J16" s="37"/>
      <c r="K16" s="37">
        <f t="shared" si="15"/>
        <v>0</v>
      </c>
      <c r="L16" s="37">
        <f t="shared" si="16"/>
        <v>0</v>
      </c>
      <c r="M16" s="37">
        <f t="shared" si="17"/>
        <v>0</v>
      </c>
      <c r="N16" s="37">
        <f t="shared" si="18"/>
        <v>0</v>
      </c>
      <c r="O16" s="37"/>
      <c r="P16" s="37"/>
      <c r="Q16" s="37"/>
      <c r="R16" s="37">
        <f t="shared" si="19"/>
        <v>0</v>
      </c>
      <c r="S16" s="37"/>
      <c r="T16" s="37"/>
      <c r="U16" s="37"/>
      <c r="V16" s="37"/>
      <c r="W16" s="37"/>
      <c r="X16" s="37"/>
      <c r="Y16" s="37"/>
      <c r="Z16" s="37">
        <f t="shared" si="20"/>
        <v>0</v>
      </c>
      <c r="AA16" s="37">
        <f t="shared" si="1"/>
        <v>0</v>
      </c>
      <c r="AB16" s="37">
        <f t="shared" si="2"/>
        <v>0</v>
      </c>
      <c r="AC16" s="37">
        <f t="shared" si="3"/>
        <v>0</v>
      </c>
      <c r="AD16" s="37">
        <f t="shared" si="4"/>
        <v>0</v>
      </c>
      <c r="AE16" s="37"/>
      <c r="AF16" s="37"/>
      <c r="AG16" s="37"/>
      <c r="AH16" s="37">
        <f t="shared" si="5"/>
        <v>0</v>
      </c>
      <c r="AI16" s="37"/>
      <c r="AJ16" s="37"/>
      <c r="AK16" s="37"/>
      <c r="AL16" s="37">
        <f t="shared" si="21"/>
        <v>0</v>
      </c>
      <c r="AM16" s="37">
        <f t="shared" si="22"/>
        <v>0</v>
      </c>
      <c r="AN16" s="37">
        <f t="shared" si="23"/>
        <v>0</v>
      </c>
      <c r="AO16" s="37">
        <f t="shared" si="24"/>
        <v>0</v>
      </c>
      <c r="AP16" s="37">
        <f t="shared" si="25"/>
        <v>0</v>
      </c>
      <c r="AQ16" s="37">
        <f t="shared" si="6"/>
        <v>0</v>
      </c>
      <c r="AR16" s="37">
        <f t="shared" si="7"/>
        <v>0</v>
      </c>
      <c r="AS16" s="37">
        <f t="shared" si="8"/>
        <v>0</v>
      </c>
      <c r="AT16" s="37">
        <f t="shared" si="9"/>
        <v>0</v>
      </c>
      <c r="AU16" s="38" t="str">
        <f t="shared" si="10"/>
        <v xml:space="preserve"> </v>
      </c>
      <c r="AV16" s="38" t="str">
        <f t="shared" si="11"/>
        <v xml:space="preserve"> </v>
      </c>
      <c r="AW16" s="38" t="str">
        <f t="shared" si="12"/>
        <v xml:space="preserve"> </v>
      </c>
      <c r="AX16" s="38" t="str">
        <f t="shared" si="13"/>
        <v xml:space="preserve"> </v>
      </c>
      <c r="AY16" s="22">
        <f t="shared" si="26"/>
        <v>0</v>
      </c>
      <c r="AZ16" s="22">
        <f t="shared" si="27"/>
        <v>0</v>
      </c>
      <c r="BA16" s="22">
        <f t="shared" si="28"/>
        <v>0</v>
      </c>
      <c r="BB16" s="22">
        <f t="shared" si="29"/>
        <v>0</v>
      </c>
    </row>
    <row r="17" spans="1:54" s="39" customFormat="1" ht="16.5">
      <c r="A17" s="586" t="s">
        <v>924</v>
      </c>
      <c r="B17" s="580" t="s">
        <v>889</v>
      </c>
      <c r="C17" s="37">
        <f>SUM(C18:C18)</f>
        <v>195012000</v>
      </c>
      <c r="D17" s="37">
        <f t="shared" ref="D17:AI17" si="31">SUM(D18:D18)</f>
        <v>2757820000</v>
      </c>
      <c r="E17" s="37">
        <f t="shared" si="31"/>
        <v>0</v>
      </c>
      <c r="F17" s="37">
        <f t="shared" si="14"/>
        <v>2952832000</v>
      </c>
      <c r="G17" s="37">
        <f t="shared" si="31"/>
        <v>0</v>
      </c>
      <c r="H17" s="37">
        <f t="shared" si="31"/>
        <v>0</v>
      </c>
      <c r="I17" s="37">
        <f t="shared" si="31"/>
        <v>0</v>
      </c>
      <c r="J17" s="37">
        <f t="shared" si="31"/>
        <v>0</v>
      </c>
      <c r="K17" s="37">
        <f t="shared" si="15"/>
        <v>195012000</v>
      </c>
      <c r="L17" s="37">
        <f t="shared" si="16"/>
        <v>2757820000</v>
      </c>
      <c r="M17" s="37">
        <f t="shared" si="17"/>
        <v>0</v>
      </c>
      <c r="N17" s="37">
        <f t="shared" si="18"/>
        <v>2952832000</v>
      </c>
      <c r="O17" s="37">
        <f t="shared" si="31"/>
        <v>195012000</v>
      </c>
      <c r="P17" s="37">
        <f t="shared" si="31"/>
        <v>2757820000</v>
      </c>
      <c r="Q17" s="37">
        <f t="shared" si="31"/>
        <v>0</v>
      </c>
      <c r="R17" s="37">
        <f t="shared" si="19"/>
        <v>2952832000</v>
      </c>
      <c r="S17" s="37">
        <f t="shared" si="31"/>
        <v>0</v>
      </c>
      <c r="T17" s="37">
        <f t="shared" si="31"/>
        <v>0</v>
      </c>
      <c r="U17" s="37">
        <f t="shared" si="31"/>
        <v>0</v>
      </c>
      <c r="V17" s="37">
        <f t="shared" si="31"/>
        <v>0</v>
      </c>
      <c r="W17" s="37">
        <f t="shared" si="31"/>
        <v>0</v>
      </c>
      <c r="X17" s="37">
        <f t="shared" si="31"/>
        <v>-2452457826.4000001</v>
      </c>
      <c r="Y17" s="37">
        <f t="shared" si="31"/>
        <v>0</v>
      </c>
      <c r="Z17" s="37">
        <f t="shared" si="20"/>
        <v>-2452457826.4000001</v>
      </c>
      <c r="AA17" s="37">
        <f t="shared" si="1"/>
        <v>195012000</v>
      </c>
      <c r="AB17" s="37">
        <f t="shared" si="2"/>
        <v>305362173.5999999</v>
      </c>
      <c r="AC17" s="37">
        <f t="shared" si="3"/>
        <v>0</v>
      </c>
      <c r="AD17" s="37">
        <f t="shared" si="4"/>
        <v>500374173.5999999</v>
      </c>
      <c r="AE17" s="37">
        <f>SUM(AE18:AE18)</f>
        <v>126868952.05</v>
      </c>
      <c r="AF17" s="37">
        <f>SUM(AF18:AF18)</f>
        <v>238583204.04999936</v>
      </c>
      <c r="AG17" s="37">
        <f>SUM(AG18:AG18)</f>
        <v>0</v>
      </c>
      <c r="AH17" s="37">
        <f t="shared" si="5"/>
        <v>365452156.09999937</v>
      </c>
      <c r="AI17" s="37">
        <f t="shared" si="31"/>
        <v>0</v>
      </c>
      <c r="AJ17" s="37">
        <f>SUM(AJ18:AJ18)</f>
        <v>0</v>
      </c>
      <c r="AK17" s="37">
        <f>SUM(AK18:AK18)</f>
        <v>0</v>
      </c>
      <c r="AL17" s="37">
        <f t="shared" si="21"/>
        <v>0</v>
      </c>
      <c r="AM17" s="37">
        <f t="shared" si="22"/>
        <v>126868952.05</v>
      </c>
      <c r="AN17" s="37">
        <f t="shared" si="23"/>
        <v>238583204.04999936</v>
      </c>
      <c r="AO17" s="37">
        <f t="shared" si="24"/>
        <v>0</v>
      </c>
      <c r="AP17" s="37">
        <f t="shared" si="25"/>
        <v>365452156.09999937</v>
      </c>
      <c r="AQ17" s="37">
        <f t="shared" si="6"/>
        <v>68143047.950000003</v>
      </c>
      <c r="AR17" s="37">
        <f t="shared" si="7"/>
        <v>66778969.550000548</v>
      </c>
      <c r="AS17" s="37">
        <f t="shared" si="8"/>
        <v>0</v>
      </c>
      <c r="AT17" s="37">
        <f t="shared" si="9"/>
        <v>134922017.50000054</v>
      </c>
      <c r="AU17" s="38">
        <f t="shared" si="10"/>
        <v>0.65056997543740891</v>
      </c>
      <c r="AV17" s="38">
        <f t="shared" si="11"/>
        <v>0.78131224060031856</v>
      </c>
      <c r="AW17" s="38" t="str">
        <f t="shared" si="12"/>
        <v xml:space="preserve"> </v>
      </c>
      <c r="AX17" s="38">
        <f t="shared" si="13"/>
        <v>0.73035775102202327</v>
      </c>
      <c r="AY17" s="22">
        <f t="shared" si="26"/>
        <v>0</v>
      </c>
      <c r="AZ17" s="22">
        <f t="shared" si="27"/>
        <v>0</v>
      </c>
      <c r="BA17" s="22">
        <f t="shared" si="28"/>
        <v>0</v>
      </c>
      <c r="BB17" s="22">
        <f t="shared" si="29"/>
        <v>0</v>
      </c>
    </row>
    <row r="18" spans="1:54" s="16" customFormat="1">
      <c r="A18" s="586" t="s">
        <v>924</v>
      </c>
      <c r="B18" s="581" t="s">
        <v>901</v>
      </c>
      <c r="C18" s="579">
        <f>SUM('CY-FUR (REG)- Detail'!C19:C22)</f>
        <v>195012000</v>
      </c>
      <c r="D18" s="579">
        <f>SUM('CY-FUR (REG)- Detail'!D19:D22)</f>
        <v>2757820000</v>
      </c>
      <c r="E18" s="579">
        <f>SUM('CY-FUR (REG)- Detail'!E19:E22)</f>
        <v>0</v>
      </c>
      <c r="F18" s="579">
        <f t="shared" si="14"/>
        <v>2952832000</v>
      </c>
      <c r="G18" s="579">
        <f>SUM('CY-FUR (REG)- Detail'!G19:G22)</f>
        <v>0</v>
      </c>
      <c r="H18" s="579">
        <f>SUM('CY-FUR (REG)- Detail'!H19:H22)</f>
        <v>0</v>
      </c>
      <c r="I18" s="579">
        <f>SUM('CY-FUR (REG)- Detail'!I19:I22)</f>
        <v>0</v>
      </c>
      <c r="J18" s="579">
        <f>SUM('CY-FUR (REG)- Detail'!J19:J22)</f>
        <v>0</v>
      </c>
      <c r="K18" s="579">
        <f t="shared" si="15"/>
        <v>195012000</v>
      </c>
      <c r="L18" s="579">
        <f t="shared" si="16"/>
        <v>2757820000</v>
      </c>
      <c r="M18" s="579">
        <f t="shared" si="17"/>
        <v>0</v>
      </c>
      <c r="N18" s="579">
        <f t="shared" si="18"/>
        <v>2952832000</v>
      </c>
      <c r="O18" s="579">
        <f>SUM('CY-FUR (REG)- Detail'!O19:O22)</f>
        <v>195012000</v>
      </c>
      <c r="P18" s="579">
        <f>SUM('CY-FUR (REG)- Detail'!P19:P22)</f>
        <v>2757820000</v>
      </c>
      <c r="Q18" s="579">
        <f>SUM('CY-FUR (REG)- Detail'!Q19:Q22)</f>
        <v>0</v>
      </c>
      <c r="R18" s="579">
        <f t="shared" si="19"/>
        <v>2952832000</v>
      </c>
      <c r="S18" s="579">
        <f>SUM('CY-FUR (REG)- Detail'!S19:S22)</f>
        <v>0</v>
      </c>
      <c r="T18" s="579">
        <f>SUM('CY-FUR (REG)- Detail'!T19:T22)</f>
        <v>0</v>
      </c>
      <c r="U18" s="579">
        <f>SUM('CY-FUR (REG)- Detail'!U19:U22)</f>
        <v>0</v>
      </c>
      <c r="V18" s="579">
        <f>SUM('CY-FUR (REG)- Detail'!V19:V22)</f>
        <v>0</v>
      </c>
      <c r="W18" s="579">
        <f>SUM('CY-FUR (REG)- Detail'!W19:W22)</f>
        <v>0</v>
      </c>
      <c r="X18" s="579">
        <f>SUM('CY-FUR (REG)- Detail'!X19:X22)</f>
        <v>-2452457826.4000001</v>
      </c>
      <c r="Y18" s="579">
        <f>SUM('CY-FUR (REG)- Detail'!Y19:Y22)</f>
        <v>0</v>
      </c>
      <c r="Z18" s="579">
        <f t="shared" si="20"/>
        <v>-2452457826.4000001</v>
      </c>
      <c r="AA18" s="579">
        <f t="shared" si="1"/>
        <v>195012000</v>
      </c>
      <c r="AB18" s="579">
        <f t="shared" si="2"/>
        <v>305362173.5999999</v>
      </c>
      <c r="AC18" s="579">
        <f t="shared" si="3"/>
        <v>0</v>
      </c>
      <c r="AD18" s="579">
        <f t="shared" si="4"/>
        <v>500374173.5999999</v>
      </c>
      <c r="AE18" s="579">
        <f>SUM('CY-FUR (REG)- Detail'!AE19:AE22)</f>
        <v>126868952.05</v>
      </c>
      <c r="AF18" s="579">
        <f>SUM('CY-FUR (REG)- Detail'!AF19:AF22)</f>
        <v>238583204.04999936</v>
      </c>
      <c r="AG18" s="579">
        <f>SUM('CY-FUR (REG)- Detail'!AG19:AG22)</f>
        <v>0</v>
      </c>
      <c r="AH18" s="579">
        <f t="shared" si="5"/>
        <v>365452156.09999937</v>
      </c>
      <c r="AI18" s="579">
        <f>SUM('CY-FUR (REG)- Detail'!AI19:AI22)</f>
        <v>0</v>
      </c>
      <c r="AJ18" s="579">
        <f>SUM('CY-FUR (REG)- Detail'!AJ19:AJ22)</f>
        <v>0</v>
      </c>
      <c r="AK18" s="579">
        <f>SUM('CY-FUR (REG)- Detail'!AK19:AK22)</f>
        <v>0</v>
      </c>
      <c r="AL18" s="579">
        <f t="shared" si="21"/>
        <v>0</v>
      </c>
      <c r="AM18" s="579">
        <f t="shared" si="22"/>
        <v>126868952.05</v>
      </c>
      <c r="AN18" s="579">
        <f t="shared" si="23"/>
        <v>238583204.04999936</v>
      </c>
      <c r="AO18" s="579">
        <f t="shared" si="24"/>
        <v>0</v>
      </c>
      <c r="AP18" s="579">
        <f t="shared" si="25"/>
        <v>365452156.09999937</v>
      </c>
      <c r="AQ18" s="579">
        <f t="shared" si="6"/>
        <v>68143047.950000003</v>
      </c>
      <c r="AR18" s="579">
        <f t="shared" si="7"/>
        <v>66778969.550000548</v>
      </c>
      <c r="AS18" s="579">
        <f t="shared" si="8"/>
        <v>0</v>
      </c>
      <c r="AT18" s="579">
        <f t="shared" si="9"/>
        <v>134922017.50000054</v>
      </c>
      <c r="AU18" s="564">
        <f t="shared" si="10"/>
        <v>0.65056997543740891</v>
      </c>
      <c r="AV18" s="564">
        <f t="shared" si="11"/>
        <v>0.78131224060031856</v>
      </c>
      <c r="AW18" s="564" t="str">
        <f t="shared" si="12"/>
        <v xml:space="preserve"> </v>
      </c>
      <c r="AX18" s="564">
        <f t="shared" si="13"/>
        <v>0.73035775102202327</v>
      </c>
      <c r="AY18" s="22">
        <f t="shared" si="26"/>
        <v>0</v>
      </c>
      <c r="AZ18" s="22">
        <f t="shared" si="27"/>
        <v>0</v>
      </c>
      <c r="BA18" s="22">
        <f t="shared" si="28"/>
        <v>0</v>
      </c>
      <c r="BB18" s="22">
        <f t="shared" si="29"/>
        <v>0</v>
      </c>
    </row>
    <row r="19" spans="1:54" s="39" customFormat="1" ht="16.5">
      <c r="A19" s="586"/>
      <c r="B19" s="580"/>
      <c r="C19" s="37"/>
      <c r="D19" s="37"/>
      <c r="E19" s="37"/>
      <c r="F19" s="37">
        <f t="shared" si="14"/>
        <v>0</v>
      </c>
      <c r="G19" s="37"/>
      <c r="H19" s="37"/>
      <c r="I19" s="37"/>
      <c r="J19" s="37"/>
      <c r="K19" s="37">
        <f t="shared" si="15"/>
        <v>0</v>
      </c>
      <c r="L19" s="37">
        <f t="shared" si="16"/>
        <v>0</v>
      </c>
      <c r="M19" s="37">
        <f t="shared" si="17"/>
        <v>0</v>
      </c>
      <c r="N19" s="37">
        <f t="shared" si="18"/>
        <v>0</v>
      </c>
      <c r="O19" s="37"/>
      <c r="P19" s="37"/>
      <c r="Q19" s="37"/>
      <c r="R19" s="37">
        <f t="shared" si="19"/>
        <v>0</v>
      </c>
      <c r="S19" s="37"/>
      <c r="T19" s="37"/>
      <c r="U19" s="37"/>
      <c r="V19" s="37"/>
      <c r="W19" s="37"/>
      <c r="X19" s="37"/>
      <c r="Y19" s="37"/>
      <c r="Z19" s="37">
        <f t="shared" si="20"/>
        <v>0</v>
      </c>
      <c r="AA19" s="37">
        <f t="shared" si="1"/>
        <v>0</v>
      </c>
      <c r="AB19" s="37">
        <f t="shared" si="2"/>
        <v>0</v>
      </c>
      <c r="AC19" s="37">
        <f t="shared" si="3"/>
        <v>0</v>
      </c>
      <c r="AD19" s="37">
        <f t="shared" si="4"/>
        <v>0</v>
      </c>
      <c r="AE19" s="37"/>
      <c r="AF19" s="37"/>
      <c r="AG19" s="37"/>
      <c r="AH19" s="37">
        <f t="shared" si="5"/>
        <v>0</v>
      </c>
      <c r="AI19" s="37"/>
      <c r="AJ19" s="37"/>
      <c r="AK19" s="37"/>
      <c r="AL19" s="37">
        <f t="shared" si="21"/>
        <v>0</v>
      </c>
      <c r="AM19" s="37">
        <f t="shared" si="22"/>
        <v>0</v>
      </c>
      <c r="AN19" s="37">
        <f t="shared" si="23"/>
        <v>0</v>
      </c>
      <c r="AO19" s="37">
        <f t="shared" si="24"/>
        <v>0</v>
      </c>
      <c r="AP19" s="37">
        <f t="shared" si="25"/>
        <v>0</v>
      </c>
      <c r="AQ19" s="37">
        <f t="shared" si="6"/>
        <v>0</v>
      </c>
      <c r="AR19" s="37">
        <f t="shared" si="7"/>
        <v>0</v>
      </c>
      <c r="AS19" s="37">
        <f t="shared" si="8"/>
        <v>0</v>
      </c>
      <c r="AT19" s="37">
        <f t="shared" si="9"/>
        <v>0</v>
      </c>
      <c r="AU19" s="38" t="str">
        <f t="shared" si="10"/>
        <v xml:space="preserve"> </v>
      </c>
      <c r="AV19" s="38" t="str">
        <f t="shared" si="11"/>
        <v xml:space="preserve"> </v>
      </c>
      <c r="AW19" s="38" t="str">
        <f t="shared" si="12"/>
        <v xml:space="preserve"> </v>
      </c>
      <c r="AX19" s="38" t="str">
        <f t="shared" si="13"/>
        <v xml:space="preserve"> </v>
      </c>
      <c r="AY19" s="22">
        <f t="shared" si="26"/>
        <v>0</v>
      </c>
      <c r="AZ19" s="22">
        <f t="shared" si="27"/>
        <v>0</v>
      </c>
      <c r="BA19" s="22">
        <f t="shared" si="28"/>
        <v>0</v>
      </c>
      <c r="BB19" s="22">
        <f t="shared" si="29"/>
        <v>0</v>
      </c>
    </row>
    <row r="20" spans="1:54" s="39" customFormat="1" ht="16.5">
      <c r="A20" s="586" t="s">
        <v>926</v>
      </c>
      <c r="B20" s="580" t="s">
        <v>890</v>
      </c>
      <c r="C20" s="37">
        <f>SUM(C21:C23)</f>
        <v>12752000</v>
      </c>
      <c r="D20" s="37">
        <f t="shared" ref="D20:AI20" si="32">SUM(D21:D23)</f>
        <v>126880000</v>
      </c>
      <c r="E20" s="37">
        <f t="shared" si="32"/>
        <v>95397000</v>
      </c>
      <c r="F20" s="37">
        <f t="shared" si="14"/>
        <v>235029000</v>
      </c>
      <c r="G20" s="37">
        <f t="shared" si="32"/>
        <v>0</v>
      </c>
      <c r="H20" s="37">
        <f t="shared" si="32"/>
        <v>0</v>
      </c>
      <c r="I20" s="37">
        <f t="shared" si="32"/>
        <v>0</v>
      </c>
      <c r="J20" s="37">
        <f t="shared" si="32"/>
        <v>0</v>
      </c>
      <c r="K20" s="37">
        <f t="shared" si="15"/>
        <v>12752000</v>
      </c>
      <c r="L20" s="37">
        <f t="shared" si="16"/>
        <v>126880000</v>
      </c>
      <c r="M20" s="37">
        <f t="shared" si="17"/>
        <v>95397000</v>
      </c>
      <c r="N20" s="37">
        <f t="shared" si="18"/>
        <v>235029000</v>
      </c>
      <c r="O20" s="37">
        <f t="shared" si="32"/>
        <v>12752000</v>
      </c>
      <c r="P20" s="37">
        <f t="shared" si="32"/>
        <v>126880000</v>
      </c>
      <c r="Q20" s="37">
        <f t="shared" si="32"/>
        <v>95397000</v>
      </c>
      <c r="R20" s="37">
        <f t="shared" si="19"/>
        <v>235029000</v>
      </c>
      <c r="S20" s="37">
        <f t="shared" si="32"/>
        <v>0</v>
      </c>
      <c r="T20" s="37">
        <f t="shared" si="32"/>
        <v>0</v>
      </c>
      <c r="U20" s="37">
        <f t="shared" si="32"/>
        <v>0</v>
      </c>
      <c r="V20" s="37">
        <f t="shared" si="32"/>
        <v>0</v>
      </c>
      <c r="W20" s="37">
        <f t="shared" si="32"/>
        <v>0</v>
      </c>
      <c r="X20" s="37">
        <f t="shared" si="32"/>
        <v>-69559099</v>
      </c>
      <c r="Y20" s="37">
        <f t="shared" si="32"/>
        <v>-78697000</v>
      </c>
      <c r="Z20" s="37">
        <f t="shared" si="20"/>
        <v>-148256099</v>
      </c>
      <c r="AA20" s="37">
        <f t="shared" si="1"/>
        <v>12752000</v>
      </c>
      <c r="AB20" s="37">
        <f t="shared" si="2"/>
        <v>57320901</v>
      </c>
      <c r="AC20" s="37">
        <f t="shared" si="3"/>
        <v>16700000</v>
      </c>
      <c r="AD20" s="37">
        <f t="shared" si="4"/>
        <v>86772901</v>
      </c>
      <c r="AE20" s="37">
        <f>SUM(AE21:AE23)</f>
        <v>12599375.74</v>
      </c>
      <c r="AF20" s="37">
        <f>SUM(AF21:AF23)</f>
        <v>22922841.52</v>
      </c>
      <c r="AG20" s="37">
        <f>SUM(AG21:AG23)</f>
        <v>16700000</v>
      </c>
      <c r="AH20" s="37">
        <f t="shared" si="5"/>
        <v>52222217.259999998</v>
      </c>
      <c r="AI20" s="37">
        <f t="shared" si="32"/>
        <v>0</v>
      </c>
      <c r="AJ20" s="37">
        <f>SUM(AJ21:AJ23)</f>
        <v>0</v>
      </c>
      <c r="AK20" s="37">
        <f>SUM(AK21:AK23)</f>
        <v>0</v>
      </c>
      <c r="AL20" s="37">
        <f t="shared" si="21"/>
        <v>0</v>
      </c>
      <c r="AM20" s="37">
        <f t="shared" si="22"/>
        <v>12599375.74</v>
      </c>
      <c r="AN20" s="37">
        <f t="shared" si="23"/>
        <v>22922841.52</v>
      </c>
      <c r="AO20" s="37">
        <f t="shared" si="24"/>
        <v>16700000</v>
      </c>
      <c r="AP20" s="37">
        <f t="shared" si="25"/>
        <v>52222217.259999998</v>
      </c>
      <c r="AQ20" s="37">
        <f t="shared" si="6"/>
        <v>152624.25999999978</v>
      </c>
      <c r="AR20" s="37">
        <f t="shared" si="7"/>
        <v>34398059.480000004</v>
      </c>
      <c r="AS20" s="37">
        <f t="shared" si="8"/>
        <v>0</v>
      </c>
      <c r="AT20" s="37">
        <f t="shared" si="9"/>
        <v>34550683.740000002</v>
      </c>
      <c r="AU20" s="38">
        <f t="shared" si="10"/>
        <v>0.98803134723964869</v>
      </c>
      <c r="AV20" s="38">
        <f t="shared" si="11"/>
        <v>0.39990371958738052</v>
      </c>
      <c r="AW20" s="38">
        <f t="shared" si="12"/>
        <v>1</v>
      </c>
      <c r="AX20" s="38">
        <f t="shared" si="13"/>
        <v>0.60182633815596409</v>
      </c>
      <c r="AY20" s="22">
        <f t="shared" si="26"/>
        <v>0</v>
      </c>
      <c r="AZ20" s="22">
        <f t="shared" si="27"/>
        <v>0</v>
      </c>
      <c r="BA20" s="22">
        <f t="shared" si="28"/>
        <v>0</v>
      </c>
      <c r="BB20" s="22">
        <f t="shared" si="29"/>
        <v>0</v>
      </c>
    </row>
    <row r="21" spans="1:54" s="16" customFormat="1">
      <c r="A21" s="586" t="s">
        <v>926</v>
      </c>
      <c r="B21" s="581" t="s">
        <v>903</v>
      </c>
      <c r="C21" s="579">
        <f>SUM('CY-FUR (REG)- Detail'!C25:C26)</f>
        <v>10569000</v>
      </c>
      <c r="D21" s="579">
        <f>SUM('CY-FUR (REG)- Detail'!D25:D26)</f>
        <v>41535000</v>
      </c>
      <c r="E21" s="579">
        <f>SUM('CY-FUR (REG)- Detail'!E25:E26)</f>
        <v>0</v>
      </c>
      <c r="F21" s="579">
        <f t="shared" si="14"/>
        <v>52104000</v>
      </c>
      <c r="G21" s="579">
        <f>SUM('CY-FUR (REG)- Detail'!G25:G26)</f>
        <v>0</v>
      </c>
      <c r="H21" s="579">
        <f>SUM('CY-FUR (REG)- Detail'!H25:H26)</f>
        <v>0</v>
      </c>
      <c r="I21" s="579">
        <f>SUM('CY-FUR (REG)- Detail'!I25:I26)</f>
        <v>0</v>
      </c>
      <c r="J21" s="579">
        <f>SUM('CY-FUR (REG)- Detail'!J25:J26)</f>
        <v>0</v>
      </c>
      <c r="K21" s="579">
        <f t="shared" si="15"/>
        <v>10569000</v>
      </c>
      <c r="L21" s="579">
        <f t="shared" si="16"/>
        <v>41535000</v>
      </c>
      <c r="M21" s="579">
        <f t="shared" si="17"/>
        <v>0</v>
      </c>
      <c r="N21" s="579">
        <f t="shared" si="18"/>
        <v>52104000</v>
      </c>
      <c r="O21" s="579">
        <f>SUM('CY-FUR (REG)- Detail'!O25:O26)</f>
        <v>10569000</v>
      </c>
      <c r="P21" s="579">
        <f>SUM('CY-FUR (REG)- Detail'!P25:P26)</f>
        <v>41535000</v>
      </c>
      <c r="Q21" s="579">
        <f>SUM('CY-FUR (REG)- Detail'!Q25:Q26)</f>
        <v>0</v>
      </c>
      <c r="R21" s="579">
        <f t="shared" si="19"/>
        <v>52104000</v>
      </c>
      <c r="S21" s="579">
        <f>SUM('CY-FUR (REG)- Detail'!S25:S26)</f>
        <v>0</v>
      </c>
      <c r="T21" s="579">
        <f>SUM('CY-FUR (REG)- Detail'!T25:T26)</f>
        <v>0</v>
      </c>
      <c r="U21" s="579">
        <f>SUM('CY-FUR (REG)- Detail'!U25:U26)</f>
        <v>0</v>
      </c>
      <c r="V21" s="579">
        <f>SUM('CY-FUR (REG)- Detail'!V25:V26)</f>
        <v>0</v>
      </c>
      <c r="W21" s="579">
        <f>SUM('CY-FUR (REG)- Detail'!W25:W26)</f>
        <v>0</v>
      </c>
      <c r="X21" s="579">
        <f>SUM('CY-FUR (REG)- Detail'!X25:X26)</f>
        <v>-22923099</v>
      </c>
      <c r="Y21" s="579">
        <f>SUM('CY-FUR (REG)- Detail'!Y25:Y26)</f>
        <v>0</v>
      </c>
      <c r="Z21" s="579">
        <f t="shared" si="20"/>
        <v>-22923099</v>
      </c>
      <c r="AA21" s="579">
        <f t="shared" si="1"/>
        <v>10569000</v>
      </c>
      <c r="AB21" s="579">
        <f t="shared" si="2"/>
        <v>18611901</v>
      </c>
      <c r="AC21" s="579">
        <f t="shared" si="3"/>
        <v>0</v>
      </c>
      <c r="AD21" s="579">
        <f t="shared" si="4"/>
        <v>29180901</v>
      </c>
      <c r="AE21" s="579">
        <f>SUM('CY-FUR (REG)- Detail'!AE25:AE26)</f>
        <v>10516328.43</v>
      </c>
      <c r="AF21" s="579">
        <f>SUM('CY-FUR (REG)- Detail'!AF25:AF26)</f>
        <v>10616070.82</v>
      </c>
      <c r="AG21" s="579">
        <f>SUM('CY-FUR (REG)- Detail'!AG25:AG26)</f>
        <v>0</v>
      </c>
      <c r="AH21" s="579">
        <f t="shared" si="5"/>
        <v>21132399.25</v>
      </c>
      <c r="AI21" s="579">
        <f>SUM('CY-FUR (REG)- Detail'!AI25:AI26)</f>
        <v>0</v>
      </c>
      <c r="AJ21" s="579">
        <f>SUM('CY-FUR (REG)- Detail'!AJ25:AJ26)</f>
        <v>0</v>
      </c>
      <c r="AK21" s="579">
        <f>SUM('CY-FUR (REG)- Detail'!AK25:AK26)</f>
        <v>0</v>
      </c>
      <c r="AL21" s="579">
        <f t="shared" si="21"/>
        <v>0</v>
      </c>
      <c r="AM21" s="579">
        <f t="shared" si="22"/>
        <v>10516328.43</v>
      </c>
      <c r="AN21" s="579">
        <f t="shared" si="23"/>
        <v>10616070.82</v>
      </c>
      <c r="AO21" s="579">
        <f t="shared" si="24"/>
        <v>0</v>
      </c>
      <c r="AP21" s="579">
        <f t="shared" si="25"/>
        <v>21132399.25</v>
      </c>
      <c r="AQ21" s="579">
        <f t="shared" si="6"/>
        <v>52671.570000000298</v>
      </c>
      <c r="AR21" s="579">
        <f t="shared" si="7"/>
        <v>7995830.1799999997</v>
      </c>
      <c r="AS21" s="579">
        <f t="shared" si="8"/>
        <v>0</v>
      </c>
      <c r="AT21" s="579">
        <f t="shared" si="9"/>
        <v>8048501.75</v>
      </c>
      <c r="AU21" s="564">
        <f t="shared" si="10"/>
        <v>0.99501640931024693</v>
      </c>
      <c r="AV21" s="564">
        <f t="shared" si="11"/>
        <v>0.57039153711380697</v>
      </c>
      <c r="AW21" s="564" t="str">
        <f t="shared" si="12"/>
        <v xml:space="preserve"> </v>
      </c>
      <c r="AX21" s="564">
        <f t="shared" si="13"/>
        <v>0.7241859752719767</v>
      </c>
      <c r="AY21" s="22">
        <f t="shared" si="26"/>
        <v>0</v>
      </c>
      <c r="AZ21" s="22">
        <f t="shared" si="27"/>
        <v>0</v>
      </c>
      <c r="BA21" s="22">
        <f t="shared" si="28"/>
        <v>0</v>
      </c>
      <c r="BB21" s="22">
        <f t="shared" si="29"/>
        <v>0</v>
      </c>
    </row>
    <row r="22" spans="1:54" s="16" customFormat="1">
      <c r="A22" s="586" t="s">
        <v>926</v>
      </c>
      <c r="B22" s="581" t="s">
        <v>905</v>
      </c>
      <c r="C22" s="579">
        <f>+'CY-FUR (REG)- Detail'!C60</f>
        <v>2183000</v>
      </c>
      <c r="D22" s="579">
        <f>+'CY-FUR (REG)- Detail'!D60</f>
        <v>8281000</v>
      </c>
      <c r="E22" s="579">
        <f>+'CY-FUR (REG)- Detail'!E60</f>
        <v>0</v>
      </c>
      <c r="F22" s="579">
        <f t="shared" si="14"/>
        <v>10464000</v>
      </c>
      <c r="G22" s="579">
        <f>+'CY-FUR (REG)- Detail'!G60</f>
        <v>0</v>
      </c>
      <c r="H22" s="579">
        <f>+'CY-FUR (REG)- Detail'!H60</f>
        <v>0</v>
      </c>
      <c r="I22" s="579">
        <f>+'CY-FUR (REG)- Detail'!I60</f>
        <v>0</v>
      </c>
      <c r="J22" s="579">
        <f>+'CY-FUR (REG)- Detail'!J60</f>
        <v>0</v>
      </c>
      <c r="K22" s="579">
        <f t="shared" si="15"/>
        <v>2183000</v>
      </c>
      <c r="L22" s="579">
        <f t="shared" si="16"/>
        <v>8281000</v>
      </c>
      <c r="M22" s="579">
        <f t="shared" si="17"/>
        <v>0</v>
      </c>
      <c r="N22" s="579">
        <f t="shared" si="18"/>
        <v>10464000</v>
      </c>
      <c r="O22" s="579">
        <f>+'CY-FUR (REG)- Detail'!O60</f>
        <v>2183000</v>
      </c>
      <c r="P22" s="579">
        <f>+'CY-FUR (REG)- Detail'!P60</f>
        <v>8281000</v>
      </c>
      <c r="Q22" s="579">
        <f>+'CY-FUR (REG)- Detail'!Q60</f>
        <v>0</v>
      </c>
      <c r="R22" s="579">
        <f t="shared" si="19"/>
        <v>10464000</v>
      </c>
      <c r="S22" s="579">
        <f>+'CY-FUR (REG)- Detail'!S60</f>
        <v>0</v>
      </c>
      <c r="T22" s="579">
        <f>+'CY-FUR (REG)- Detail'!T60</f>
        <v>0</v>
      </c>
      <c r="U22" s="579">
        <f>+'CY-FUR (REG)- Detail'!U60</f>
        <v>0</v>
      </c>
      <c r="V22" s="579">
        <f>+'CY-FUR (REG)- Detail'!V60</f>
        <v>0</v>
      </c>
      <c r="W22" s="579">
        <f>+'CY-FUR (REG)- Detail'!W60</f>
        <v>0</v>
      </c>
      <c r="X22" s="579">
        <f>+'CY-FUR (REG)- Detail'!X60</f>
        <v>0</v>
      </c>
      <c r="Y22" s="579">
        <f>+'CY-FUR (REG)- Detail'!Y60</f>
        <v>0</v>
      </c>
      <c r="Z22" s="579">
        <f t="shared" si="20"/>
        <v>0</v>
      </c>
      <c r="AA22" s="579">
        <f t="shared" si="1"/>
        <v>2183000</v>
      </c>
      <c r="AB22" s="579">
        <f t="shared" si="2"/>
        <v>8281000</v>
      </c>
      <c r="AC22" s="579">
        <f t="shared" si="3"/>
        <v>0</v>
      </c>
      <c r="AD22" s="579">
        <f t="shared" si="4"/>
        <v>10464000</v>
      </c>
      <c r="AE22" s="579">
        <f>+'CY-FUR (REG)- Detail'!AE60</f>
        <v>2083047.31</v>
      </c>
      <c r="AF22" s="579">
        <f>+'CY-FUR (REG)- Detail'!AF60</f>
        <v>6870770.6999999993</v>
      </c>
      <c r="AG22" s="579">
        <f>+'CY-FUR (REG)- Detail'!AG60</f>
        <v>0</v>
      </c>
      <c r="AH22" s="579">
        <f t="shared" si="5"/>
        <v>8953818.0099999998</v>
      </c>
      <c r="AI22" s="579">
        <f>+'CY-FUR (REG)- Detail'!AI60</f>
        <v>0</v>
      </c>
      <c r="AJ22" s="579">
        <f>+'CY-FUR (REG)- Detail'!AJ60</f>
        <v>0</v>
      </c>
      <c r="AK22" s="579">
        <f>+'CY-FUR (REG)- Detail'!AK60</f>
        <v>0</v>
      </c>
      <c r="AL22" s="579">
        <f t="shared" si="21"/>
        <v>0</v>
      </c>
      <c r="AM22" s="579">
        <f t="shared" si="22"/>
        <v>2083047.31</v>
      </c>
      <c r="AN22" s="579">
        <f t="shared" si="23"/>
        <v>6870770.6999999993</v>
      </c>
      <c r="AO22" s="579">
        <f t="shared" si="24"/>
        <v>0</v>
      </c>
      <c r="AP22" s="579">
        <f t="shared" si="25"/>
        <v>8953818.0099999998</v>
      </c>
      <c r="AQ22" s="579">
        <f t="shared" si="6"/>
        <v>99952.689999999944</v>
      </c>
      <c r="AR22" s="579">
        <f t="shared" si="7"/>
        <v>1410229.3000000007</v>
      </c>
      <c r="AS22" s="579">
        <f t="shared" si="8"/>
        <v>0</v>
      </c>
      <c r="AT22" s="579">
        <f t="shared" si="9"/>
        <v>1510181.9900000007</v>
      </c>
      <c r="AU22" s="564">
        <f t="shared" si="10"/>
        <v>0.95421315162620246</v>
      </c>
      <c r="AV22" s="564">
        <f t="shared" si="11"/>
        <v>0.82970301895906284</v>
      </c>
      <c r="AW22" s="564" t="str">
        <f t="shared" si="12"/>
        <v xml:space="preserve"> </v>
      </c>
      <c r="AX22" s="564">
        <f t="shared" si="13"/>
        <v>0.85567832664373089</v>
      </c>
      <c r="AY22" s="22">
        <f t="shared" si="26"/>
        <v>0</v>
      </c>
      <c r="AZ22" s="22">
        <f t="shared" si="27"/>
        <v>0</v>
      </c>
      <c r="BA22" s="22">
        <f t="shared" si="28"/>
        <v>0</v>
      </c>
      <c r="BB22" s="22">
        <f t="shared" si="29"/>
        <v>0</v>
      </c>
    </row>
    <row r="23" spans="1:54" s="16" customFormat="1">
      <c r="A23" s="586" t="s">
        <v>926</v>
      </c>
      <c r="B23" s="581" t="s">
        <v>933</v>
      </c>
      <c r="C23" s="579">
        <f>+'CY-FUR (REG)- Detail'!C256</f>
        <v>0</v>
      </c>
      <c r="D23" s="579">
        <f>+'CY-FUR (REG)- Detail'!D256</f>
        <v>77064000</v>
      </c>
      <c r="E23" s="579">
        <f>+'CY-FUR (REG)- Detail'!E256</f>
        <v>95397000</v>
      </c>
      <c r="F23" s="579">
        <f t="shared" si="14"/>
        <v>172461000</v>
      </c>
      <c r="G23" s="579">
        <f>+'CY-FUR (REG)- Detail'!G256</f>
        <v>0</v>
      </c>
      <c r="H23" s="579">
        <f>+'CY-FUR (REG)- Detail'!H256</f>
        <v>0</v>
      </c>
      <c r="I23" s="579">
        <f>+'CY-FUR (REG)- Detail'!I256</f>
        <v>0</v>
      </c>
      <c r="J23" s="579">
        <f>+'CY-FUR (REG)- Detail'!J256</f>
        <v>0</v>
      </c>
      <c r="K23" s="579">
        <f t="shared" si="15"/>
        <v>0</v>
      </c>
      <c r="L23" s="579">
        <f t="shared" si="16"/>
        <v>77064000</v>
      </c>
      <c r="M23" s="579">
        <f t="shared" si="17"/>
        <v>95397000</v>
      </c>
      <c r="N23" s="579">
        <f t="shared" si="18"/>
        <v>172461000</v>
      </c>
      <c r="O23" s="579">
        <f>+'CY-FUR (REG)- Detail'!O256</f>
        <v>0</v>
      </c>
      <c r="P23" s="579">
        <f>+'CY-FUR (REG)- Detail'!P256</f>
        <v>77064000</v>
      </c>
      <c r="Q23" s="579">
        <f>+'CY-FUR (REG)- Detail'!Q256</f>
        <v>95397000</v>
      </c>
      <c r="R23" s="579">
        <f t="shared" si="19"/>
        <v>172461000</v>
      </c>
      <c r="S23" s="579">
        <f>+'CY-FUR (REG)- Detail'!S256</f>
        <v>0</v>
      </c>
      <c r="T23" s="579">
        <f>+'CY-FUR (REG)- Detail'!T256</f>
        <v>0</v>
      </c>
      <c r="U23" s="579">
        <f>+'CY-FUR (REG)- Detail'!U256</f>
        <v>0</v>
      </c>
      <c r="V23" s="579">
        <f>+'CY-FUR (REG)- Detail'!V256</f>
        <v>0</v>
      </c>
      <c r="W23" s="579">
        <f>+'CY-FUR (REG)- Detail'!W256</f>
        <v>0</v>
      </c>
      <c r="X23" s="579">
        <f>+'CY-FUR (REG)- Detail'!X256</f>
        <v>-46636000</v>
      </c>
      <c r="Y23" s="579">
        <f>+'CY-FUR (REG)- Detail'!Y256</f>
        <v>-78697000</v>
      </c>
      <c r="Z23" s="579">
        <f t="shared" si="20"/>
        <v>-125333000</v>
      </c>
      <c r="AA23" s="579">
        <f t="shared" si="1"/>
        <v>0</v>
      </c>
      <c r="AB23" s="579">
        <f t="shared" si="2"/>
        <v>30428000</v>
      </c>
      <c r="AC23" s="579">
        <f t="shared" si="3"/>
        <v>16700000</v>
      </c>
      <c r="AD23" s="579">
        <f t="shared" si="4"/>
        <v>47128000</v>
      </c>
      <c r="AE23" s="579">
        <f>+'CY-FUR (REG)- Detail'!AE256</f>
        <v>0</v>
      </c>
      <c r="AF23" s="579">
        <f>+'CY-FUR (REG)- Detail'!AF256</f>
        <v>5436000</v>
      </c>
      <c r="AG23" s="579">
        <f>+'CY-FUR (REG)- Detail'!AG256</f>
        <v>16700000</v>
      </c>
      <c r="AH23" s="579">
        <f t="shared" si="5"/>
        <v>22136000</v>
      </c>
      <c r="AI23" s="579">
        <f>+'CY-FUR (REG)- Detail'!AI256</f>
        <v>0</v>
      </c>
      <c r="AJ23" s="579">
        <f>+'CY-FUR (REG)- Detail'!AJ256</f>
        <v>0</v>
      </c>
      <c r="AK23" s="579">
        <f>+'CY-FUR (REG)- Detail'!AK256</f>
        <v>0</v>
      </c>
      <c r="AL23" s="579">
        <f t="shared" si="21"/>
        <v>0</v>
      </c>
      <c r="AM23" s="579">
        <f t="shared" si="22"/>
        <v>0</v>
      </c>
      <c r="AN23" s="579">
        <f t="shared" si="23"/>
        <v>5436000</v>
      </c>
      <c r="AO23" s="579">
        <f t="shared" si="24"/>
        <v>16700000</v>
      </c>
      <c r="AP23" s="579">
        <f t="shared" si="25"/>
        <v>22136000</v>
      </c>
      <c r="AQ23" s="579">
        <f t="shared" si="6"/>
        <v>0</v>
      </c>
      <c r="AR23" s="579">
        <f t="shared" si="7"/>
        <v>24992000</v>
      </c>
      <c r="AS23" s="579">
        <f t="shared" si="8"/>
        <v>0</v>
      </c>
      <c r="AT23" s="579">
        <f t="shared" si="9"/>
        <v>24992000</v>
      </c>
      <c r="AU23" s="564" t="str">
        <f t="shared" si="10"/>
        <v xml:space="preserve"> </v>
      </c>
      <c r="AV23" s="564">
        <f t="shared" si="11"/>
        <v>0.17865124227685028</v>
      </c>
      <c r="AW23" s="564">
        <f t="shared" si="12"/>
        <v>1</v>
      </c>
      <c r="AX23" s="564">
        <f t="shared" si="13"/>
        <v>0.46969954167373962</v>
      </c>
      <c r="AY23" s="22">
        <f t="shared" si="26"/>
        <v>0</v>
      </c>
      <c r="AZ23" s="22">
        <f t="shared" si="27"/>
        <v>0</v>
      </c>
      <c r="BA23" s="22">
        <f t="shared" si="28"/>
        <v>0</v>
      </c>
      <c r="BB23" s="22">
        <f t="shared" si="29"/>
        <v>0</v>
      </c>
    </row>
    <row r="24" spans="1:54" s="39" customFormat="1" ht="16.5">
      <c r="A24" s="586"/>
      <c r="B24" s="580"/>
      <c r="C24" s="37"/>
      <c r="D24" s="37"/>
      <c r="E24" s="37"/>
      <c r="F24" s="37">
        <f t="shared" si="14"/>
        <v>0</v>
      </c>
      <c r="G24" s="37"/>
      <c r="H24" s="37"/>
      <c r="I24" s="37"/>
      <c r="J24" s="37"/>
      <c r="K24" s="37">
        <f t="shared" si="15"/>
        <v>0</v>
      </c>
      <c r="L24" s="37">
        <f t="shared" si="16"/>
        <v>0</v>
      </c>
      <c r="M24" s="37">
        <f t="shared" si="17"/>
        <v>0</v>
      </c>
      <c r="N24" s="37">
        <f t="shared" si="18"/>
        <v>0</v>
      </c>
      <c r="O24" s="37"/>
      <c r="P24" s="37"/>
      <c r="Q24" s="37"/>
      <c r="R24" s="37">
        <f t="shared" si="19"/>
        <v>0</v>
      </c>
      <c r="S24" s="37"/>
      <c r="T24" s="37"/>
      <c r="U24" s="37"/>
      <c r="V24" s="37"/>
      <c r="W24" s="37"/>
      <c r="X24" s="37"/>
      <c r="Y24" s="37"/>
      <c r="Z24" s="37">
        <f t="shared" si="20"/>
        <v>0</v>
      </c>
      <c r="AA24" s="37">
        <f t="shared" si="1"/>
        <v>0</v>
      </c>
      <c r="AB24" s="37">
        <f t="shared" si="2"/>
        <v>0</v>
      </c>
      <c r="AC24" s="37">
        <f t="shared" si="3"/>
        <v>0</v>
      </c>
      <c r="AD24" s="37">
        <f t="shared" si="4"/>
        <v>0</v>
      </c>
      <c r="AE24" s="37"/>
      <c r="AF24" s="37"/>
      <c r="AG24" s="37"/>
      <c r="AH24" s="37">
        <f t="shared" si="5"/>
        <v>0</v>
      </c>
      <c r="AI24" s="37"/>
      <c r="AJ24" s="37"/>
      <c r="AK24" s="37"/>
      <c r="AL24" s="37">
        <f t="shared" si="21"/>
        <v>0</v>
      </c>
      <c r="AM24" s="37">
        <f t="shared" si="22"/>
        <v>0</v>
      </c>
      <c r="AN24" s="37">
        <f t="shared" si="23"/>
        <v>0</v>
      </c>
      <c r="AO24" s="37">
        <f t="shared" si="24"/>
        <v>0</v>
      </c>
      <c r="AP24" s="37">
        <f t="shared" si="25"/>
        <v>0</v>
      </c>
      <c r="AQ24" s="37">
        <f t="shared" si="6"/>
        <v>0</v>
      </c>
      <c r="AR24" s="37">
        <f t="shared" si="7"/>
        <v>0</v>
      </c>
      <c r="AS24" s="37">
        <f t="shared" si="8"/>
        <v>0</v>
      </c>
      <c r="AT24" s="37">
        <f t="shared" si="9"/>
        <v>0</v>
      </c>
      <c r="AU24" s="38" t="str">
        <f t="shared" si="10"/>
        <v xml:space="preserve"> </v>
      </c>
      <c r="AV24" s="38" t="str">
        <f t="shared" si="11"/>
        <v xml:space="preserve"> </v>
      </c>
      <c r="AW24" s="38" t="str">
        <f t="shared" si="12"/>
        <v xml:space="preserve"> </v>
      </c>
      <c r="AX24" s="38" t="str">
        <f t="shared" si="13"/>
        <v xml:space="preserve"> </v>
      </c>
      <c r="AY24" s="22">
        <f t="shared" si="26"/>
        <v>0</v>
      </c>
      <c r="AZ24" s="22">
        <f t="shared" si="27"/>
        <v>0</v>
      </c>
      <c r="BA24" s="22">
        <f t="shared" si="28"/>
        <v>0</v>
      </c>
      <c r="BB24" s="22">
        <f t="shared" si="29"/>
        <v>0</v>
      </c>
    </row>
    <row r="25" spans="1:54" s="39" customFormat="1" ht="16.5">
      <c r="A25" s="586" t="s">
        <v>927</v>
      </c>
      <c r="B25" s="580" t="s">
        <v>896</v>
      </c>
      <c r="C25" s="37">
        <f>SUM(C26:C27)</f>
        <v>156055000</v>
      </c>
      <c r="D25" s="37">
        <f t="shared" ref="D25:AI25" si="33">SUM(D26:D27)</f>
        <v>139931000</v>
      </c>
      <c r="E25" s="37">
        <f t="shared" si="33"/>
        <v>0</v>
      </c>
      <c r="F25" s="37">
        <f t="shared" si="14"/>
        <v>295986000</v>
      </c>
      <c r="G25" s="37">
        <f t="shared" si="33"/>
        <v>467000</v>
      </c>
      <c r="H25" s="37">
        <f t="shared" si="33"/>
        <v>-467000</v>
      </c>
      <c r="I25" s="37">
        <f t="shared" si="33"/>
        <v>0</v>
      </c>
      <c r="J25" s="37">
        <f t="shared" si="33"/>
        <v>0</v>
      </c>
      <c r="K25" s="37">
        <f t="shared" si="15"/>
        <v>156522000</v>
      </c>
      <c r="L25" s="37">
        <f t="shared" si="16"/>
        <v>139464000</v>
      </c>
      <c r="M25" s="37">
        <f t="shared" si="17"/>
        <v>0</v>
      </c>
      <c r="N25" s="37">
        <f t="shared" si="18"/>
        <v>295986000</v>
      </c>
      <c r="O25" s="37">
        <f t="shared" si="33"/>
        <v>156522000</v>
      </c>
      <c r="P25" s="37">
        <f t="shared" si="33"/>
        <v>139464000</v>
      </c>
      <c r="Q25" s="37">
        <f t="shared" si="33"/>
        <v>0</v>
      </c>
      <c r="R25" s="37">
        <f t="shared" si="19"/>
        <v>295986000</v>
      </c>
      <c r="S25" s="37">
        <f t="shared" si="33"/>
        <v>0</v>
      </c>
      <c r="T25" s="37">
        <f t="shared" si="33"/>
        <v>0</v>
      </c>
      <c r="U25" s="37">
        <f t="shared" si="33"/>
        <v>0</v>
      </c>
      <c r="V25" s="37">
        <f t="shared" si="33"/>
        <v>0</v>
      </c>
      <c r="W25" s="37">
        <f t="shared" si="33"/>
        <v>0</v>
      </c>
      <c r="X25" s="37">
        <f t="shared" si="33"/>
        <v>0</v>
      </c>
      <c r="Y25" s="37">
        <f t="shared" si="33"/>
        <v>0</v>
      </c>
      <c r="Z25" s="37">
        <f t="shared" si="20"/>
        <v>0</v>
      </c>
      <c r="AA25" s="37">
        <f t="shared" si="1"/>
        <v>156522000</v>
      </c>
      <c r="AB25" s="37">
        <f t="shared" si="2"/>
        <v>139464000</v>
      </c>
      <c r="AC25" s="37">
        <f t="shared" si="3"/>
        <v>0</v>
      </c>
      <c r="AD25" s="37">
        <f t="shared" si="4"/>
        <v>295986000</v>
      </c>
      <c r="AE25" s="37">
        <f>SUM(AE26:AE27)</f>
        <v>150744896.49000001</v>
      </c>
      <c r="AF25" s="37">
        <f>SUM(AF26:AF27)</f>
        <v>100193872.98999999</v>
      </c>
      <c r="AG25" s="37">
        <f>SUM(AG26:AG27)</f>
        <v>0</v>
      </c>
      <c r="AH25" s="37">
        <f t="shared" si="5"/>
        <v>250938769.48000002</v>
      </c>
      <c r="AI25" s="37">
        <f t="shared" si="33"/>
        <v>0</v>
      </c>
      <c r="AJ25" s="37">
        <f>SUM(AJ26:AJ27)</f>
        <v>0</v>
      </c>
      <c r="AK25" s="37">
        <f>SUM(AK26:AK27)</f>
        <v>0</v>
      </c>
      <c r="AL25" s="37">
        <f t="shared" si="21"/>
        <v>0</v>
      </c>
      <c r="AM25" s="37">
        <f t="shared" si="22"/>
        <v>150744896.49000001</v>
      </c>
      <c r="AN25" s="37">
        <f t="shared" si="23"/>
        <v>100193872.98999999</v>
      </c>
      <c r="AO25" s="37">
        <f t="shared" si="24"/>
        <v>0</v>
      </c>
      <c r="AP25" s="37">
        <f t="shared" si="25"/>
        <v>250938769.48000002</v>
      </c>
      <c r="AQ25" s="37">
        <f t="shared" si="6"/>
        <v>5777103.5099999905</v>
      </c>
      <c r="AR25" s="37">
        <f t="shared" si="7"/>
        <v>39270127.010000005</v>
      </c>
      <c r="AS25" s="37">
        <f t="shared" si="8"/>
        <v>0</v>
      </c>
      <c r="AT25" s="37">
        <f t="shared" si="9"/>
        <v>45047230.519999996</v>
      </c>
      <c r="AU25" s="38">
        <f t="shared" si="10"/>
        <v>0.96309078909035162</v>
      </c>
      <c r="AV25" s="38">
        <f t="shared" si="11"/>
        <v>0.71842104765387482</v>
      </c>
      <c r="AW25" s="38" t="str">
        <f t="shared" si="12"/>
        <v xml:space="preserve"> </v>
      </c>
      <c r="AX25" s="38">
        <f t="shared" si="13"/>
        <v>0.84780621205057005</v>
      </c>
      <c r="AY25" s="22">
        <f t="shared" si="26"/>
        <v>0</v>
      </c>
      <c r="AZ25" s="22">
        <f t="shared" si="27"/>
        <v>0</v>
      </c>
      <c r="BA25" s="22">
        <f t="shared" si="28"/>
        <v>0</v>
      </c>
      <c r="BB25" s="22">
        <f t="shared" si="29"/>
        <v>0</v>
      </c>
    </row>
    <row r="26" spans="1:54" s="16" customFormat="1">
      <c r="A26" s="586" t="s">
        <v>927</v>
      </c>
      <c r="B26" s="581" t="s">
        <v>906</v>
      </c>
      <c r="C26" s="579">
        <f>+'CY-FUR (REG)- Detail'!C37+'CY-FUR (REG)- Detail'!C38+'CY-FUR (REG)- Detail'!C39</f>
        <v>129243000</v>
      </c>
      <c r="D26" s="579">
        <f>+'CY-FUR (REG)- Detail'!D37+'CY-FUR (REG)- Detail'!D38+'CY-FUR (REG)- Detail'!D39</f>
        <v>122379000</v>
      </c>
      <c r="E26" s="579">
        <f>+'CY-FUR (REG)- Detail'!E37+'CY-FUR (REG)- Detail'!E38+'CY-FUR (REG)- Detail'!E39</f>
        <v>0</v>
      </c>
      <c r="F26" s="579">
        <f t="shared" si="14"/>
        <v>251622000</v>
      </c>
      <c r="G26" s="579">
        <f>+'CY-FUR (REG)- Detail'!G37+'CY-FUR (REG)- Detail'!G38+'CY-FUR (REG)- Detail'!G39</f>
        <v>467000</v>
      </c>
      <c r="H26" s="579">
        <f>+'CY-FUR (REG)- Detail'!H37+'CY-FUR (REG)- Detail'!H38+'CY-FUR (REG)- Detail'!H39</f>
        <v>-467000</v>
      </c>
      <c r="I26" s="579">
        <f>+'CY-FUR (REG)- Detail'!I37+'CY-FUR (REG)- Detail'!I38+'CY-FUR (REG)- Detail'!I39</f>
        <v>0</v>
      </c>
      <c r="J26" s="579">
        <f>+'CY-FUR (REG)- Detail'!J37+'CY-FUR (REG)- Detail'!J38+'CY-FUR (REG)- Detail'!J39</f>
        <v>0</v>
      </c>
      <c r="K26" s="579">
        <f t="shared" si="15"/>
        <v>129710000</v>
      </c>
      <c r="L26" s="579">
        <f t="shared" si="16"/>
        <v>121912000</v>
      </c>
      <c r="M26" s="579">
        <f t="shared" si="17"/>
        <v>0</v>
      </c>
      <c r="N26" s="579">
        <f t="shared" si="18"/>
        <v>251622000</v>
      </c>
      <c r="O26" s="579">
        <f>+'CY-FUR (REG)- Detail'!O37+'CY-FUR (REG)- Detail'!O38+'CY-FUR (REG)- Detail'!O39</f>
        <v>129710000</v>
      </c>
      <c r="P26" s="579">
        <f>+'CY-FUR (REG)- Detail'!P37+'CY-FUR (REG)- Detail'!P38+'CY-FUR (REG)- Detail'!P39</f>
        <v>121912000</v>
      </c>
      <c r="Q26" s="579">
        <f>+'CY-FUR (REG)- Detail'!Q37+'CY-FUR (REG)- Detail'!Q38+'CY-FUR (REG)- Detail'!Q39</f>
        <v>0</v>
      </c>
      <c r="R26" s="579">
        <f t="shared" si="19"/>
        <v>251622000</v>
      </c>
      <c r="S26" s="579">
        <f>+'CY-FUR (REG)- Detail'!S37+'CY-FUR (REG)- Detail'!S38+'CY-FUR (REG)- Detail'!S39</f>
        <v>0</v>
      </c>
      <c r="T26" s="579">
        <f>+'CY-FUR (REG)- Detail'!T37+'CY-FUR (REG)- Detail'!T38+'CY-FUR (REG)- Detail'!T39</f>
        <v>0</v>
      </c>
      <c r="U26" s="579">
        <f>+'CY-FUR (REG)- Detail'!U37+'CY-FUR (REG)- Detail'!U38+'CY-FUR (REG)- Detail'!U39</f>
        <v>0</v>
      </c>
      <c r="V26" s="579">
        <f>+'CY-FUR (REG)- Detail'!V37+'CY-FUR (REG)- Detail'!V38+'CY-FUR (REG)- Detail'!V39</f>
        <v>0</v>
      </c>
      <c r="W26" s="579">
        <f>+'CY-FUR (REG)- Detail'!W37+'CY-FUR (REG)- Detail'!W38+'CY-FUR (REG)- Detail'!W39</f>
        <v>0</v>
      </c>
      <c r="X26" s="579">
        <f>+'CY-FUR (REG)- Detail'!X37+'CY-FUR (REG)- Detail'!X38+'CY-FUR (REG)- Detail'!X39</f>
        <v>0</v>
      </c>
      <c r="Y26" s="579">
        <f>+'CY-FUR (REG)- Detail'!Y37+'CY-FUR (REG)- Detail'!Y38+'CY-FUR (REG)- Detail'!Y39</f>
        <v>0</v>
      </c>
      <c r="Z26" s="579">
        <f t="shared" si="20"/>
        <v>0</v>
      </c>
      <c r="AA26" s="579">
        <f t="shared" si="1"/>
        <v>129710000</v>
      </c>
      <c r="AB26" s="579">
        <f t="shared" si="2"/>
        <v>121912000</v>
      </c>
      <c r="AC26" s="579">
        <f t="shared" si="3"/>
        <v>0</v>
      </c>
      <c r="AD26" s="579">
        <f t="shared" si="4"/>
        <v>251622000</v>
      </c>
      <c r="AE26" s="579">
        <f>+'CY-FUR (REG)- Detail'!AE37+'CY-FUR (REG)- Detail'!AE38+'CY-FUR (REG)- Detail'!AE39</f>
        <v>128335787.43000001</v>
      </c>
      <c r="AF26" s="579">
        <f>+'CY-FUR (REG)- Detail'!AF37+'CY-FUR (REG)- Detail'!AF38+'CY-FUR (REG)- Detail'!AF39</f>
        <v>91842216.609999999</v>
      </c>
      <c r="AG26" s="579">
        <f>+'CY-FUR (REG)- Detail'!AG37+'CY-FUR (REG)- Detail'!AG38+'CY-FUR (REG)- Detail'!AG39</f>
        <v>0</v>
      </c>
      <c r="AH26" s="579">
        <f t="shared" si="5"/>
        <v>220178004.04000002</v>
      </c>
      <c r="AI26" s="579">
        <f>+'CY-FUR (REG)- Detail'!AI37+'CY-FUR (REG)- Detail'!AI38+'CY-FUR (REG)- Detail'!AI39</f>
        <v>0</v>
      </c>
      <c r="AJ26" s="579">
        <f>+'CY-FUR (REG)- Detail'!AJ37+'CY-FUR (REG)- Detail'!AJ38+'CY-FUR (REG)- Detail'!AJ39</f>
        <v>0</v>
      </c>
      <c r="AK26" s="579">
        <f>+'CY-FUR (REG)- Detail'!AK37+'CY-FUR (REG)- Detail'!AK38+'CY-FUR (REG)- Detail'!AK39</f>
        <v>0</v>
      </c>
      <c r="AL26" s="579">
        <f t="shared" si="21"/>
        <v>0</v>
      </c>
      <c r="AM26" s="579">
        <f t="shared" si="22"/>
        <v>128335787.43000001</v>
      </c>
      <c r="AN26" s="579">
        <f t="shared" si="23"/>
        <v>91842216.609999999</v>
      </c>
      <c r="AO26" s="579">
        <f t="shared" si="24"/>
        <v>0</v>
      </c>
      <c r="AP26" s="579">
        <f t="shared" si="25"/>
        <v>220178004.04000002</v>
      </c>
      <c r="AQ26" s="579">
        <f t="shared" si="6"/>
        <v>1374212.5699999928</v>
      </c>
      <c r="AR26" s="579">
        <f t="shared" si="7"/>
        <v>30069783.390000001</v>
      </c>
      <c r="AS26" s="579">
        <f t="shared" si="8"/>
        <v>0</v>
      </c>
      <c r="AT26" s="579">
        <f t="shared" si="9"/>
        <v>31443995.959999993</v>
      </c>
      <c r="AU26" s="564">
        <f t="shared" si="10"/>
        <v>0.98940550019273765</v>
      </c>
      <c r="AV26" s="564">
        <f t="shared" si="11"/>
        <v>0.75334845306450549</v>
      </c>
      <c r="AW26" s="564" t="str">
        <f t="shared" si="12"/>
        <v xml:space="preserve"> </v>
      </c>
      <c r="AX26" s="564">
        <f t="shared" si="13"/>
        <v>0.87503479043962773</v>
      </c>
      <c r="AY26" s="22">
        <f t="shared" si="26"/>
        <v>0</v>
      </c>
      <c r="AZ26" s="22">
        <f t="shared" si="27"/>
        <v>0</v>
      </c>
      <c r="BA26" s="22">
        <f t="shared" si="28"/>
        <v>0</v>
      </c>
      <c r="BB26" s="22">
        <f t="shared" si="29"/>
        <v>0</v>
      </c>
    </row>
    <row r="27" spans="1:54" s="16" customFormat="1">
      <c r="A27" s="586" t="s">
        <v>927</v>
      </c>
      <c r="B27" s="581" t="s">
        <v>907</v>
      </c>
      <c r="C27" s="579">
        <f>+'CY-FUR (REG)- Detail'!C41</f>
        <v>26812000</v>
      </c>
      <c r="D27" s="579">
        <f>+'CY-FUR (REG)- Detail'!D41</f>
        <v>17552000</v>
      </c>
      <c r="E27" s="579">
        <f>+'CY-FUR (REG)- Detail'!E41</f>
        <v>0</v>
      </c>
      <c r="F27" s="579">
        <f t="shared" si="14"/>
        <v>44364000</v>
      </c>
      <c r="G27" s="579">
        <f>+'CY-FUR (REG)- Detail'!G41</f>
        <v>0</v>
      </c>
      <c r="H27" s="579">
        <f>+'CY-FUR (REG)- Detail'!H41</f>
        <v>0</v>
      </c>
      <c r="I27" s="579">
        <f>+'CY-FUR (REG)- Detail'!I41</f>
        <v>0</v>
      </c>
      <c r="J27" s="579">
        <f>+'CY-FUR (REG)- Detail'!J41</f>
        <v>0</v>
      </c>
      <c r="K27" s="579">
        <f t="shared" si="15"/>
        <v>26812000</v>
      </c>
      <c r="L27" s="579">
        <f t="shared" si="16"/>
        <v>17552000</v>
      </c>
      <c r="M27" s="579">
        <f t="shared" si="17"/>
        <v>0</v>
      </c>
      <c r="N27" s="579">
        <f t="shared" si="18"/>
        <v>44364000</v>
      </c>
      <c r="O27" s="579">
        <f>+'CY-FUR (REG)- Detail'!O41</f>
        <v>26812000</v>
      </c>
      <c r="P27" s="579">
        <f>+'CY-FUR (REG)- Detail'!P41</f>
        <v>17552000</v>
      </c>
      <c r="Q27" s="579">
        <f>+'CY-FUR (REG)- Detail'!Q41</f>
        <v>0</v>
      </c>
      <c r="R27" s="579">
        <f t="shared" si="19"/>
        <v>44364000</v>
      </c>
      <c r="S27" s="579">
        <f>+'CY-FUR (REG)- Detail'!S41</f>
        <v>0</v>
      </c>
      <c r="T27" s="579">
        <f>+'CY-FUR (REG)- Detail'!T41</f>
        <v>0</v>
      </c>
      <c r="U27" s="579">
        <f>+'CY-FUR (REG)- Detail'!U41</f>
        <v>0</v>
      </c>
      <c r="V27" s="579">
        <f>+'CY-FUR (REG)- Detail'!V41</f>
        <v>0</v>
      </c>
      <c r="W27" s="579">
        <f>+'CY-FUR (REG)- Detail'!W41</f>
        <v>0</v>
      </c>
      <c r="X27" s="579">
        <f>+'CY-FUR (REG)- Detail'!X41</f>
        <v>0</v>
      </c>
      <c r="Y27" s="579">
        <f>+'CY-FUR (REG)- Detail'!Y41</f>
        <v>0</v>
      </c>
      <c r="Z27" s="579">
        <f t="shared" si="20"/>
        <v>0</v>
      </c>
      <c r="AA27" s="579">
        <f t="shared" si="1"/>
        <v>26812000</v>
      </c>
      <c r="AB27" s="579">
        <f t="shared" si="2"/>
        <v>17552000</v>
      </c>
      <c r="AC27" s="579">
        <f t="shared" si="3"/>
        <v>0</v>
      </c>
      <c r="AD27" s="579">
        <f t="shared" si="4"/>
        <v>44364000</v>
      </c>
      <c r="AE27" s="579">
        <f>+'CY-FUR (REG)- Detail'!AE41</f>
        <v>22409109.059999999</v>
      </c>
      <c r="AF27" s="579">
        <f>+'CY-FUR (REG)- Detail'!AF41</f>
        <v>8351656.3800000018</v>
      </c>
      <c r="AG27" s="579">
        <f>+'CY-FUR (REG)- Detail'!AG41</f>
        <v>0</v>
      </c>
      <c r="AH27" s="579">
        <f t="shared" si="5"/>
        <v>30760765.440000001</v>
      </c>
      <c r="AI27" s="579">
        <f>+'CY-FUR (REG)- Detail'!AI41</f>
        <v>0</v>
      </c>
      <c r="AJ27" s="579">
        <f>+'CY-FUR (REG)- Detail'!AJ41</f>
        <v>0</v>
      </c>
      <c r="AK27" s="579">
        <f>+'CY-FUR (REG)- Detail'!AK41</f>
        <v>0</v>
      </c>
      <c r="AL27" s="579">
        <f t="shared" si="21"/>
        <v>0</v>
      </c>
      <c r="AM27" s="579">
        <f t="shared" si="22"/>
        <v>22409109.059999999</v>
      </c>
      <c r="AN27" s="579">
        <f t="shared" si="23"/>
        <v>8351656.3800000018</v>
      </c>
      <c r="AO27" s="579">
        <f t="shared" si="24"/>
        <v>0</v>
      </c>
      <c r="AP27" s="579">
        <f t="shared" si="25"/>
        <v>30760765.440000001</v>
      </c>
      <c r="AQ27" s="579">
        <f t="shared" si="6"/>
        <v>4402890.9400000013</v>
      </c>
      <c r="AR27" s="579">
        <f t="shared" si="7"/>
        <v>9200343.6199999973</v>
      </c>
      <c r="AS27" s="579">
        <f t="shared" si="8"/>
        <v>0</v>
      </c>
      <c r="AT27" s="579">
        <f t="shared" si="9"/>
        <v>13603234.559999999</v>
      </c>
      <c r="AU27" s="564">
        <f t="shared" si="10"/>
        <v>0.83578655303595395</v>
      </c>
      <c r="AV27" s="564">
        <f t="shared" si="11"/>
        <v>0.47582363149498641</v>
      </c>
      <c r="AW27" s="564" t="str">
        <f t="shared" si="12"/>
        <v xml:space="preserve"> </v>
      </c>
      <c r="AX27" s="564">
        <f t="shared" si="13"/>
        <v>0.69337222612929406</v>
      </c>
      <c r="AY27" s="22">
        <f t="shared" si="26"/>
        <v>0</v>
      </c>
      <c r="AZ27" s="22">
        <f t="shared" si="27"/>
        <v>0</v>
      </c>
      <c r="BA27" s="22">
        <f t="shared" si="28"/>
        <v>0</v>
      </c>
      <c r="BB27" s="22">
        <f t="shared" si="29"/>
        <v>0</v>
      </c>
    </row>
    <row r="28" spans="1:54" s="39" customFormat="1" ht="16.5">
      <c r="A28" s="586"/>
      <c r="B28" s="580"/>
      <c r="C28" s="37"/>
      <c r="D28" s="37"/>
      <c r="E28" s="37"/>
      <c r="F28" s="37">
        <f t="shared" si="14"/>
        <v>0</v>
      </c>
      <c r="G28" s="37"/>
      <c r="H28" s="37"/>
      <c r="I28" s="37"/>
      <c r="J28" s="37"/>
      <c r="K28" s="37">
        <f t="shared" si="15"/>
        <v>0</v>
      </c>
      <c r="L28" s="37">
        <f t="shared" si="16"/>
        <v>0</v>
      </c>
      <c r="M28" s="37">
        <f t="shared" si="17"/>
        <v>0</v>
      </c>
      <c r="N28" s="37">
        <f t="shared" si="18"/>
        <v>0</v>
      </c>
      <c r="O28" s="37"/>
      <c r="P28" s="37"/>
      <c r="Q28" s="37"/>
      <c r="R28" s="37">
        <f t="shared" si="19"/>
        <v>0</v>
      </c>
      <c r="S28" s="37"/>
      <c r="T28" s="37"/>
      <c r="U28" s="37"/>
      <c r="V28" s="37"/>
      <c r="W28" s="37"/>
      <c r="X28" s="37"/>
      <c r="Y28" s="37"/>
      <c r="Z28" s="37">
        <f t="shared" si="20"/>
        <v>0</v>
      </c>
      <c r="AA28" s="37">
        <f t="shared" si="1"/>
        <v>0</v>
      </c>
      <c r="AB28" s="37">
        <f t="shared" si="2"/>
        <v>0</v>
      </c>
      <c r="AC28" s="37">
        <f t="shared" si="3"/>
        <v>0</v>
      </c>
      <c r="AD28" s="37">
        <f t="shared" si="4"/>
        <v>0</v>
      </c>
      <c r="AE28" s="37"/>
      <c r="AF28" s="37"/>
      <c r="AG28" s="37"/>
      <c r="AH28" s="37">
        <f t="shared" si="5"/>
        <v>0</v>
      </c>
      <c r="AI28" s="37"/>
      <c r="AJ28" s="37"/>
      <c r="AK28" s="37"/>
      <c r="AL28" s="37">
        <f t="shared" si="21"/>
        <v>0</v>
      </c>
      <c r="AM28" s="37">
        <f t="shared" si="22"/>
        <v>0</v>
      </c>
      <c r="AN28" s="37">
        <f t="shared" si="23"/>
        <v>0</v>
      </c>
      <c r="AO28" s="37">
        <f t="shared" si="24"/>
        <v>0</v>
      </c>
      <c r="AP28" s="37">
        <f t="shared" si="25"/>
        <v>0</v>
      </c>
      <c r="AQ28" s="37">
        <f t="shared" si="6"/>
        <v>0</v>
      </c>
      <c r="AR28" s="37">
        <f t="shared" si="7"/>
        <v>0</v>
      </c>
      <c r="AS28" s="37">
        <f t="shared" si="8"/>
        <v>0</v>
      </c>
      <c r="AT28" s="37">
        <f t="shared" si="9"/>
        <v>0</v>
      </c>
      <c r="AU28" s="38" t="str">
        <f t="shared" si="10"/>
        <v xml:space="preserve"> </v>
      </c>
      <c r="AV28" s="38" t="str">
        <f t="shared" si="11"/>
        <v xml:space="preserve"> </v>
      </c>
      <c r="AW28" s="38" t="str">
        <f t="shared" si="12"/>
        <v xml:space="preserve"> </v>
      </c>
      <c r="AX28" s="38" t="str">
        <f t="shared" si="13"/>
        <v xml:space="preserve"> </v>
      </c>
      <c r="AY28" s="22">
        <f t="shared" si="26"/>
        <v>0</v>
      </c>
      <c r="AZ28" s="22">
        <f t="shared" si="27"/>
        <v>0</v>
      </c>
      <c r="BA28" s="22">
        <f t="shared" si="28"/>
        <v>0</v>
      </c>
      <c r="BB28" s="22">
        <f t="shared" si="29"/>
        <v>0</v>
      </c>
    </row>
    <row r="29" spans="1:54" s="39" customFormat="1" ht="16.5">
      <c r="A29" s="586" t="s">
        <v>928</v>
      </c>
      <c r="B29" s="580" t="s">
        <v>892</v>
      </c>
      <c r="C29" s="37">
        <f>SUM(C30:C31)</f>
        <v>17696000</v>
      </c>
      <c r="D29" s="37">
        <f t="shared" ref="D29:AI29" si="34">SUM(D30:D31)</f>
        <v>191606000</v>
      </c>
      <c r="E29" s="37">
        <f t="shared" si="34"/>
        <v>0</v>
      </c>
      <c r="F29" s="37">
        <f t="shared" si="14"/>
        <v>209302000</v>
      </c>
      <c r="G29" s="37">
        <f t="shared" si="34"/>
        <v>0</v>
      </c>
      <c r="H29" s="37">
        <f t="shared" si="34"/>
        <v>0</v>
      </c>
      <c r="I29" s="37">
        <f t="shared" si="34"/>
        <v>0</v>
      </c>
      <c r="J29" s="37">
        <f t="shared" si="34"/>
        <v>0</v>
      </c>
      <c r="K29" s="37">
        <f t="shared" si="15"/>
        <v>17696000</v>
      </c>
      <c r="L29" s="37">
        <f t="shared" si="16"/>
        <v>191606000</v>
      </c>
      <c r="M29" s="37">
        <f t="shared" si="17"/>
        <v>0</v>
      </c>
      <c r="N29" s="37">
        <f t="shared" si="18"/>
        <v>209302000</v>
      </c>
      <c r="O29" s="37">
        <f t="shared" si="34"/>
        <v>17696000</v>
      </c>
      <c r="P29" s="37">
        <f t="shared" si="34"/>
        <v>191606000</v>
      </c>
      <c r="Q29" s="37">
        <f t="shared" si="34"/>
        <v>0</v>
      </c>
      <c r="R29" s="37">
        <f t="shared" si="19"/>
        <v>209302000</v>
      </c>
      <c r="S29" s="37">
        <f t="shared" si="34"/>
        <v>0</v>
      </c>
      <c r="T29" s="37">
        <f t="shared" si="34"/>
        <v>0</v>
      </c>
      <c r="U29" s="37">
        <f t="shared" si="34"/>
        <v>0</v>
      </c>
      <c r="V29" s="37">
        <f t="shared" si="34"/>
        <v>0</v>
      </c>
      <c r="W29" s="37">
        <f t="shared" si="34"/>
        <v>0</v>
      </c>
      <c r="X29" s="37">
        <f t="shared" si="34"/>
        <v>-155214835.06</v>
      </c>
      <c r="Y29" s="37">
        <f t="shared" si="34"/>
        <v>0</v>
      </c>
      <c r="Z29" s="37">
        <f t="shared" si="20"/>
        <v>-155214835.06</v>
      </c>
      <c r="AA29" s="37">
        <f t="shared" si="1"/>
        <v>17696000</v>
      </c>
      <c r="AB29" s="37">
        <f t="shared" si="2"/>
        <v>36391164.939999998</v>
      </c>
      <c r="AC29" s="37">
        <f t="shared" si="3"/>
        <v>0</v>
      </c>
      <c r="AD29" s="37">
        <f t="shared" si="4"/>
        <v>54087164.939999998</v>
      </c>
      <c r="AE29" s="37">
        <f>SUM(AE30:AE31)</f>
        <v>17677962.5</v>
      </c>
      <c r="AF29" s="37">
        <f>SUM(AF30:AF31)</f>
        <v>25624006.599999998</v>
      </c>
      <c r="AG29" s="37">
        <f>SUM(AG30:AG31)</f>
        <v>0</v>
      </c>
      <c r="AH29" s="37">
        <f t="shared" si="5"/>
        <v>43301969.099999994</v>
      </c>
      <c r="AI29" s="37">
        <f t="shared" si="34"/>
        <v>0</v>
      </c>
      <c r="AJ29" s="37">
        <f>SUM(AJ30:AJ31)</f>
        <v>0</v>
      </c>
      <c r="AK29" s="37">
        <f>SUM(AK30:AK31)</f>
        <v>0</v>
      </c>
      <c r="AL29" s="37">
        <f t="shared" si="21"/>
        <v>0</v>
      </c>
      <c r="AM29" s="37">
        <f t="shared" si="22"/>
        <v>17677962.5</v>
      </c>
      <c r="AN29" s="37">
        <f t="shared" si="23"/>
        <v>25624006.599999998</v>
      </c>
      <c r="AO29" s="37">
        <f t="shared" si="24"/>
        <v>0</v>
      </c>
      <c r="AP29" s="37">
        <f t="shared" si="25"/>
        <v>43301969.099999994</v>
      </c>
      <c r="AQ29" s="37">
        <f t="shared" si="6"/>
        <v>18037.5</v>
      </c>
      <c r="AR29" s="37">
        <f t="shared" si="7"/>
        <v>10767158.34</v>
      </c>
      <c r="AS29" s="37">
        <f t="shared" si="8"/>
        <v>0</v>
      </c>
      <c r="AT29" s="37">
        <f t="shared" si="9"/>
        <v>10785195.84</v>
      </c>
      <c r="AU29" s="38">
        <f t="shared" si="10"/>
        <v>0.99898070185352617</v>
      </c>
      <c r="AV29" s="38">
        <f t="shared" si="11"/>
        <v>0.70412713201810462</v>
      </c>
      <c r="AW29" s="38" t="str">
        <f t="shared" si="12"/>
        <v xml:space="preserve"> </v>
      </c>
      <c r="AX29" s="38">
        <f t="shared" si="13"/>
        <v>0.80059602214380732</v>
      </c>
      <c r="AY29" s="22">
        <f t="shared" si="26"/>
        <v>0</v>
      </c>
      <c r="AZ29" s="22">
        <f t="shared" si="27"/>
        <v>0</v>
      </c>
      <c r="BA29" s="22">
        <f t="shared" si="28"/>
        <v>0</v>
      </c>
      <c r="BB29" s="22">
        <f t="shared" si="29"/>
        <v>0</v>
      </c>
    </row>
    <row r="30" spans="1:54" s="16" customFormat="1" ht="24">
      <c r="A30" s="586" t="s">
        <v>928</v>
      </c>
      <c r="B30" s="581" t="s">
        <v>915</v>
      </c>
      <c r="C30" s="579">
        <f>SUM('CY-FUR (REG)- Detail'!C82:C94)</f>
        <v>17696000</v>
      </c>
      <c r="D30" s="579">
        <f>SUM('CY-FUR (REG)- Detail'!D82:D94)</f>
        <v>179649000</v>
      </c>
      <c r="E30" s="579">
        <f>SUM('CY-FUR (REG)- Detail'!E82:E94)</f>
        <v>0</v>
      </c>
      <c r="F30" s="579">
        <f t="shared" si="14"/>
        <v>197345000</v>
      </c>
      <c r="G30" s="579">
        <f>SUM('CY-FUR (REG)- Detail'!G81:G93)</f>
        <v>0</v>
      </c>
      <c r="H30" s="579">
        <f>SUM('CY-FUR (REG)- Detail'!H81:H93)</f>
        <v>0</v>
      </c>
      <c r="I30" s="579">
        <f>SUM('CY-FUR (REG)- Detail'!I81:I93)</f>
        <v>0</v>
      </c>
      <c r="J30" s="579">
        <f>SUM('CY-FUR (REG)- Detail'!J81:J93)</f>
        <v>0</v>
      </c>
      <c r="K30" s="579">
        <f t="shared" si="15"/>
        <v>17696000</v>
      </c>
      <c r="L30" s="579">
        <f t="shared" si="16"/>
        <v>179649000</v>
      </c>
      <c r="M30" s="579">
        <f t="shared" si="17"/>
        <v>0</v>
      </c>
      <c r="N30" s="579">
        <f t="shared" si="18"/>
        <v>197345000</v>
      </c>
      <c r="O30" s="579">
        <f>SUM('CY-FUR (REG)- Detail'!O82:O94)</f>
        <v>17696000</v>
      </c>
      <c r="P30" s="579">
        <f>SUM('CY-FUR (REG)- Detail'!P82:P94)</f>
        <v>179649000</v>
      </c>
      <c r="Q30" s="579">
        <f>SUM('CY-FUR (REG)- Detail'!Q82:Q94)</f>
        <v>0</v>
      </c>
      <c r="R30" s="579">
        <f t="shared" si="19"/>
        <v>197345000</v>
      </c>
      <c r="S30" s="579">
        <f>SUM('CY-FUR (REG)- Detail'!S81:S93)</f>
        <v>0</v>
      </c>
      <c r="T30" s="579">
        <f>SUM('CY-FUR (REG)- Detail'!T81:T93)</f>
        <v>0</v>
      </c>
      <c r="U30" s="579">
        <f>SUM('CY-FUR (REG)- Detail'!U81:U93)</f>
        <v>0</v>
      </c>
      <c r="V30" s="579">
        <f>SUM('CY-FUR (REG)- Detail'!V81:V93)</f>
        <v>0</v>
      </c>
      <c r="W30" s="579">
        <f>SUM('CY-FUR (REG)- Detail'!W82:W94)</f>
        <v>0</v>
      </c>
      <c r="X30" s="579">
        <f>SUM('CY-FUR (REG)- Detail'!X82:X94)</f>
        <v>-155214835.06</v>
      </c>
      <c r="Y30" s="579">
        <f>SUM('CY-FUR (REG)- Detail'!Y82:Y94)</f>
        <v>0</v>
      </c>
      <c r="Z30" s="579">
        <f t="shared" si="20"/>
        <v>-155214835.06</v>
      </c>
      <c r="AA30" s="579">
        <f t="shared" si="1"/>
        <v>17696000</v>
      </c>
      <c r="AB30" s="579">
        <f t="shared" si="2"/>
        <v>24434164.939999998</v>
      </c>
      <c r="AC30" s="579">
        <f t="shared" si="3"/>
        <v>0</v>
      </c>
      <c r="AD30" s="579">
        <f t="shared" si="4"/>
        <v>42130164.939999998</v>
      </c>
      <c r="AE30" s="579">
        <f>SUM('CY-FUR (REG)- Detail'!AE82:AE94)</f>
        <v>17677962.5</v>
      </c>
      <c r="AF30" s="579">
        <f>SUM('CY-FUR (REG)- Detail'!AF82:AF94)</f>
        <v>13667006.599999998</v>
      </c>
      <c r="AG30" s="579">
        <f>SUM('CY-FUR (REG)- Detail'!AG82:AG94)</f>
        <v>0</v>
      </c>
      <c r="AH30" s="579">
        <f t="shared" si="5"/>
        <v>31344969.099999998</v>
      </c>
      <c r="AI30" s="579">
        <f>SUM('CY-FUR (REG)- Detail'!AI82:AI94)</f>
        <v>0</v>
      </c>
      <c r="AJ30" s="579">
        <f>SUM('CY-FUR (REG)- Detail'!AJ82:AJ94)</f>
        <v>0</v>
      </c>
      <c r="AK30" s="579">
        <f>SUM('CY-FUR (REG)- Detail'!AK82:AK94)</f>
        <v>0</v>
      </c>
      <c r="AL30" s="579">
        <f t="shared" si="21"/>
        <v>0</v>
      </c>
      <c r="AM30" s="579">
        <f t="shared" si="22"/>
        <v>17677962.5</v>
      </c>
      <c r="AN30" s="579">
        <f t="shared" si="23"/>
        <v>13667006.599999998</v>
      </c>
      <c r="AO30" s="579">
        <f t="shared" si="24"/>
        <v>0</v>
      </c>
      <c r="AP30" s="579">
        <f t="shared" si="25"/>
        <v>31344969.099999998</v>
      </c>
      <c r="AQ30" s="579">
        <f t="shared" si="6"/>
        <v>18037.5</v>
      </c>
      <c r="AR30" s="579">
        <f t="shared" si="7"/>
        <v>10767158.34</v>
      </c>
      <c r="AS30" s="579">
        <f t="shared" si="8"/>
        <v>0</v>
      </c>
      <c r="AT30" s="579">
        <f t="shared" si="9"/>
        <v>10785195.84</v>
      </c>
      <c r="AU30" s="564">
        <f t="shared" si="10"/>
        <v>0.99898070185352617</v>
      </c>
      <c r="AV30" s="564">
        <f t="shared" si="11"/>
        <v>0.55934003202321014</v>
      </c>
      <c r="AW30" s="564" t="str">
        <f t="shared" si="12"/>
        <v xml:space="preserve"> </v>
      </c>
      <c r="AX30" s="564">
        <f t="shared" si="13"/>
        <v>0.74400299986103025</v>
      </c>
      <c r="AY30" s="22">
        <f t="shared" si="26"/>
        <v>0</v>
      </c>
      <c r="AZ30" s="22">
        <f t="shared" si="27"/>
        <v>0</v>
      </c>
      <c r="BA30" s="22">
        <f t="shared" si="28"/>
        <v>0</v>
      </c>
      <c r="BB30" s="22">
        <f t="shared" si="29"/>
        <v>0</v>
      </c>
    </row>
    <row r="31" spans="1:54" s="16" customFormat="1" ht="24">
      <c r="A31" s="586" t="s">
        <v>928</v>
      </c>
      <c r="B31" s="581" t="s">
        <v>356</v>
      </c>
      <c r="C31" s="579">
        <f>+'CY-FUR (REG)- Detail'!C30</f>
        <v>0</v>
      </c>
      <c r="D31" s="579">
        <f>+'CY-FUR (REG)- Detail'!D30</f>
        <v>11957000</v>
      </c>
      <c r="E31" s="579">
        <f>+'CY-FUR (REG)- Detail'!E30</f>
        <v>0</v>
      </c>
      <c r="F31" s="579">
        <f t="shared" si="14"/>
        <v>11957000</v>
      </c>
      <c r="G31" s="579">
        <f>+'CY-FUR (REG)- Detail'!G30</f>
        <v>0</v>
      </c>
      <c r="H31" s="579">
        <f>+'CY-FUR (REG)- Detail'!H30</f>
        <v>0</v>
      </c>
      <c r="I31" s="579">
        <f>+'CY-FUR (REG)- Detail'!I30</f>
        <v>0</v>
      </c>
      <c r="J31" s="579">
        <f>+'CY-FUR (REG)- Detail'!J30</f>
        <v>0</v>
      </c>
      <c r="K31" s="579">
        <f t="shared" si="15"/>
        <v>0</v>
      </c>
      <c r="L31" s="579">
        <f t="shared" si="16"/>
        <v>11957000</v>
      </c>
      <c r="M31" s="579">
        <f t="shared" si="17"/>
        <v>0</v>
      </c>
      <c r="N31" s="579">
        <f t="shared" si="18"/>
        <v>11957000</v>
      </c>
      <c r="O31" s="579">
        <f>+'CY-FUR (REG)- Detail'!O30</f>
        <v>0</v>
      </c>
      <c r="P31" s="579">
        <f>+'CY-FUR (REG)- Detail'!P30</f>
        <v>11957000</v>
      </c>
      <c r="Q31" s="579">
        <f>+'CY-FUR (REG)- Detail'!Q30</f>
        <v>0</v>
      </c>
      <c r="R31" s="579">
        <f t="shared" si="19"/>
        <v>11957000</v>
      </c>
      <c r="S31" s="579">
        <f>+'CY-FUR (REG)- Detail'!S30</f>
        <v>0</v>
      </c>
      <c r="T31" s="579">
        <f>+'CY-FUR (REG)- Detail'!T30</f>
        <v>0</v>
      </c>
      <c r="U31" s="579">
        <f>+'CY-FUR (REG)- Detail'!U30</f>
        <v>0</v>
      </c>
      <c r="V31" s="579">
        <f>+'CY-FUR (REG)- Detail'!V30</f>
        <v>0</v>
      </c>
      <c r="W31" s="579">
        <f>+'CY-FUR (REG)- Detail'!W30</f>
        <v>0</v>
      </c>
      <c r="X31" s="579">
        <f>+'CY-FUR (REG)- Detail'!X30</f>
        <v>0</v>
      </c>
      <c r="Y31" s="579">
        <f>+'CY-FUR (REG)- Detail'!Y30</f>
        <v>0</v>
      </c>
      <c r="Z31" s="579">
        <f t="shared" si="20"/>
        <v>0</v>
      </c>
      <c r="AA31" s="579">
        <f t="shared" si="1"/>
        <v>0</v>
      </c>
      <c r="AB31" s="579">
        <f t="shared" si="2"/>
        <v>11957000</v>
      </c>
      <c r="AC31" s="579">
        <f t="shared" si="3"/>
        <v>0</v>
      </c>
      <c r="AD31" s="579">
        <f t="shared" si="4"/>
        <v>11957000</v>
      </c>
      <c r="AE31" s="579">
        <f>+'CY-FUR (REG)- Detail'!AE30</f>
        <v>0</v>
      </c>
      <c r="AF31" s="579">
        <f>+'CY-FUR (REG)- Detail'!AF30</f>
        <v>11957000</v>
      </c>
      <c r="AG31" s="579">
        <f>+'CY-FUR (REG)- Detail'!AG30</f>
        <v>0</v>
      </c>
      <c r="AH31" s="579">
        <f t="shared" si="5"/>
        <v>11957000</v>
      </c>
      <c r="AI31" s="579">
        <f>+'CY-FUR (REG)- Detail'!AI30</f>
        <v>0</v>
      </c>
      <c r="AJ31" s="579">
        <f>+'CY-FUR (REG)- Detail'!AJ30</f>
        <v>0</v>
      </c>
      <c r="AK31" s="579">
        <f>+'CY-FUR (REG)- Detail'!AK30</f>
        <v>0</v>
      </c>
      <c r="AL31" s="579">
        <f t="shared" si="21"/>
        <v>0</v>
      </c>
      <c r="AM31" s="579">
        <f t="shared" si="22"/>
        <v>0</v>
      </c>
      <c r="AN31" s="579">
        <f t="shared" si="23"/>
        <v>11957000</v>
      </c>
      <c r="AO31" s="579">
        <f t="shared" si="24"/>
        <v>0</v>
      </c>
      <c r="AP31" s="579">
        <f t="shared" si="25"/>
        <v>11957000</v>
      </c>
      <c r="AQ31" s="579">
        <f t="shared" si="6"/>
        <v>0</v>
      </c>
      <c r="AR31" s="579">
        <f t="shared" si="7"/>
        <v>0</v>
      </c>
      <c r="AS31" s="579">
        <f t="shared" si="8"/>
        <v>0</v>
      </c>
      <c r="AT31" s="579">
        <f t="shared" si="9"/>
        <v>0</v>
      </c>
      <c r="AU31" s="564" t="str">
        <f t="shared" si="10"/>
        <v xml:space="preserve"> </v>
      </c>
      <c r="AV31" s="564">
        <f t="shared" si="11"/>
        <v>1</v>
      </c>
      <c r="AW31" s="564" t="str">
        <f t="shared" si="12"/>
        <v xml:space="preserve"> </v>
      </c>
      <c r="AX31" s="564">
        <f t="shared" si="13"/>
        <v>1</v>
      </c>
      <c r="AY31" s="22">
        <f t="shared" si="26"/>
        <v>0</v>
      </c>
      <c r="AZ31" s="22">
        <f t="shared" si="27"/>
        <v>0</v>
      </c>
      <c r="BA31" s="22">
        <f t="shared" si="28"/>
        <v>0</v>
      </c>
      <c r="BB31" s="22">
        <f t="shared" si="29"/>
        <v>0</v>
      </c>
    </row>
    <row r="32" spans="1:54" s="16" customFormat="1">
      <c r="A32" s="586"/>
      <c r="B32" s="581"/>
      <c r="C32" s="579"/>
      <c r="D32" s="579"/>
      <c r="E32" s="579"/>
      <c r="F32" s="579">
        <f t="shared" si="14"/>
        <v>0</v>
      </c>
      <c r="G32" s="579"/>
      <c r="H32" s="579"/>
      <c r="I32" s="579"/>
      <c r="J32" s="579"/>
      <c r="K32" s="579">
        <f t="shared" si="15"/>
        <v>0</v>
      </c>
      <c r="L32" s="579">
        <f t="shared" si="16"/>
        <v>0</v>
      </c>
      <c r="M32" s="579">
        <f t="shared" si="17"/>
        <v>0</v>
      </c>
      <c r="N32" s="579">
        <f t="shared" si="18"/>
        <v>0</v>
      </c>
      <c r="O32" s="579"/>
      <c r="P32" s="579"/>
      <c r="Q32" s="579"/>
      <c r="R32" s="579">
        <f t="shared" si="19"/>
        <v>0</v>
      </c>
      <c r="S32" s="579"/>
      <c r="T32" s="579"/>
      <c r="U32" s="579"/>
      <c r="V32" s="579"/>
      <c r="W32" s="579"/>
      <c r="X32" s="579"/>
      <c r="Y32" s="579"/>
      <c r="Z32" s="579">
        <f t="shared" si="20"/>
        <v>0</v>
      </c>
      <c r="AA32" s="579">
        <f t="shared" si="1"/>
        <v>0</v>
      </c>
      <c r="AB32" s="579">
        <f t="shared" si="2"/>
        <v>0</v>
      </c>
      <c r="AC32" s="579">
        <f t="shared" si="3"/>
        <v>0</v>
      </c>
      <c r="AD32" s="579">
        <f t="shared" si="4"/>
        <v>0</v>
      </c>
      <c r="AE32" s="579"/>
      <c r="AF32" s="579"/>
      <c r="AG32" s="579"/>
      <c r="AH32" s="579">
        <f t="shared" si="5"/>
        <v>0</v>
      </c>
      <c r="AI32" s="579"/>
      <c r="AJ32" s="579"/>
      <c r="AK32" s="579"/>
      <c r="AL32" s="579">
        <f t="shared" si="21"/>
        <v>0</v>
      </c>
      <c r="AM32" s="579">
        <f t="shared" si="22"/>
        <v>0</v>
      </c>
      <c r="AN32" s="579">
        <f t="shared" si="23"/>
        <v>0</v>
      </c>
      <c r="AO32" s="579">
        <f t="shared" si="24"/>
        <v>0</v>
      </c>
      <c r="AP32" s="579">
        <f t="shared" si="25"/>
        <v>0</v>
      </c>
      <c r="AQ32" s="579">
        <f t="shared" si="6"/>
        <v>0</v>
      </c>
      <c r="AR32" s="579">
        <f t="shared" si="7"/>
        <v>0</v>
      </c>
      <c r="AS32" s="579">
        <f t="shared" si="8"/>
        <v>0</v>
      </c>
      <c r="AT32" s="579">
        <f t="shared" si="9"/>
        <v>0</v>
      </c>
      <c r="AU32" s="564" t="str">
        <f t="shared" si="10"/>
        <v xml:space="preserve"> </v>
      </c>
      <c r="AV32" s="564" t="str">
        <f t="shared" si="11"/>
        <v xml:space="preserve"> </v>
      </c>
      <c r="AW32" s="564" t="str">
        <f t="shared" si="12"/>
        <v xml:space="preserve"> </v>
      </c>
      <c r="AX32" s="564" t="str">
        <f t="shared" si="13"/>
        <v xml:space="preserve"> </v>
      </c>
      <c r="AY32" s="22">
        <f t="shared" si="26"/>
        <v>0</v>
      </c>
      <c r="AZ32" s="22">
        <f t="shared" si="27"/>
        <v>0</v>
      </c>
      <c r="BA32" s="22">
        <f t="shared" si="28"/>
        <v>0</v>
      </c>
      <c r="BB32" s="22">
        <f t="shared" si="29"/>
        <v>0</v>
      </c>
    </row>
    <row r="33" spans="1:54" s="39" customFormat="1" ht="16.5">
      <c r="A33" s="587" t="s">
        <v>925</v>
      </c>
      <c r="B33" s="580" t="s">
        <v>894</v>
      </c>
      <c r="C33" s="37">
        <f>+C34</f>
        <v>15754000</v>
      </c>
      <c r="D33" s="37">
        <f t="shared" ref="D33:AI33" si="35">+D34</f>
        <v>26327000</v>
      </c>
      <c r="E33" s="37">
        <f t="shared" si="35"/>
        <v>150000000</v>
      </c>
      <c r="F33" s="37">
        <f t="shared" si="14"/>
        <v>192081000</v>
      </c>
      <c r="G33" s="37">
        <f t="shared" si="35"/>
        <v>0</v>
      </c>
      <c r="H33" s="37">
        <f t="shared" si="35"/>
        <v>0</v>
      </c>
      <c r="I33" s="37">
        <f t="shared" si="35"/>
        <v>0</v>
      </c>
      <c r="J33" s="37">
        <f t="shared" si="35"/>
        <v>0</v>
      </c>
      <c r="K33" s="37">
        <f t="shared" si="15"/>
        <v>15754000</v>
      </c>
      <c r="L33" s="37">
        <f t="shared" si="16"/>
        <v>26327000</v>
      </c>
      <c r="M33" s="37">
        <f t="shared" si="17"/>
        <v>150000000</v>
      </c>
      <c r="N33" s="37">
        <f t="shared" si="18"/>
        <v>192081000</v>
      </c>
      <c r="O33" s="37">
        <f t="shared" si="35"/>
        <v>15754000</v>
      </c>
      <c r="P33" s="37">
        <f t="shared" si="35"/>
        <v>26327000</v>
      </c>
      <c r="Q33" s="37">
        <f t="shared" si="35"/>
        <v>150000000</v>
      </c>
      <c r="R33" s="37">
        <f t="shared" si="19"/>
        <v>192081000</v>
      </c>
      <c r="S33" s="37">
        <f t="shared" si="35"/>
        <v>0</v>
      </c>
      <c r="T33" s="37">
        <f t="shared" si="35"/>
        <v>0</v>
      </c>
      <c r="U33" s="37">
        <f t="shared" si="35"/>
        <v>0</v>
      </c>
      <c r="V33" s="37">
        <f t="shared" si="35"/>
        <v>0</v>
      </c>
      <c r="W33" s="37">
        <f t="shared" si="35"/>
        <v>0</v>
      </c>
      <c r="X33" s="37">
        <f t="shared" si="35"/>
        <v>-360000</v>
      </c>
      <c r="Y33" s="37">
        <f t="shared" si="35"/>
        <v>0</v>
      </c>
      <c r="Z33" s="37">
        <f t="shared" si="20"/>
        <v>-360000</v>
      </c>
      <c r="AA33" s="37">
        <f t="shared" si="1"/>
        <v>15754000</v>
      </c>
      <c r="AB33" s="37">
        <f t="shared" si="2"/>
        <v>25967000</v>
      </c>
      <c r="AC33" s="37">
        <f t="shared" si="3"/>
        <v>150000000</v>
      </c>
      <c r="AD33" s="37">
        <f t="shared" si="4"/>
        <v>191721000</v>
      </c>
      <c r="AE33" s="37">
        <f>+AE34</f>
        <v>15242805.48</v>
      </c>
      <c r="AF33" s="37">
        <f>+AF34</f>
        <v>16088373.539999999</v>
      </c>
      <c r="AG33" s="37">
        <f>+AG34</f>
        <v>62213737.180000007</v>
      </c>
      <c r="AH33" s="37">
        <f t="shared" si="5"/>
        <v>93544916.200000003</v>
      </c>
      <c r="AI33" s="37">
        <f t="shared" si="35"/>
        <v>0</v>
      </c>
      <c r="AJ33" s="37">
        <f>+AJ34</f>
        <v>0</v>
      </c>
      <c r="AK33" s="37">
        <f>+AK34</f>
        <v>0</v>
      </c>
      <c r="AL33" s="37">
        <f t="shared" si="21"/>
        <v>0</v>
      </c>
      <c r="AM33" s="37">
        <f t="shared" si="22"/>
        <v>15242805.48</v>
      </c>
      <c r="AN33" s="37">
        <f t="shared" si="23"/>
        <v>16088373.539999999</v>
      </c>
      <c r="AO33" s="37">
        <f t="shared" si="24"/>
        <v>62213737.180000007</v>
      </c>
      <c r="AP33" s="37">
        <f t="shared" si="25"/>
        <v>93544916.200000003</v>
      </c>
      <c r="AQ33" s="37">
        <f t="shared" si="6"/>
        <v>511194.51999999955</v>
      </c>
      <c r="AR33" s="37">
        <f t="shared" si="7"/>
        <v>9878626.4600000009</v>
      </c>
      <c r="AS33" s="37">
        <f t="shared" si="8"/>
        <v>87786262.819999993</v>
      </c>
      <c r="AT33" s="37">
        <f t="shared" si="9"/>
        <v>98176083.799999997</v>
      </c>
      <c r="AU33" s="38">
        <f t="shared" si="10"/>
        <v>0.96755144598197285</v>
      </c>
      <c r="AV33" s="38">
        <f t="shared" si="11"/>
        <v>0.61956997496822885</v>
      </c>
      <c r="AW33" s="38">
        <f t="shared" si="12"/>
        <v>0.41475824786666671</v>
      </c>
      <c r="AX33" s="38">
        <f t="shared" si="13"/>
        <v>0.48792211703464933</v>
      </c>
      <c r="AY33" s="22">
        <f t="shared" si="26"/>
        <v>0</v>
      </c>
      <c r="AZ33" s="22">
        <f t="shared" si="27"/>
        <v>0</v>
      </c>
      <c r="BA33" s="22">
        <f t="shared" si="28"/>
        <v>0</v>
      </c>
      <c r="BB33" s="22">
        <f t="shared" si="29"/>
        <v>0</v>
      </c>
    </row>
    <row r="34" spans="1:54" s="16" customFormat="1">
      <c r="A34" s="587" t="s">
        <v>925</v>
      </c>
      <c r="B34" s="581" t="s">
        <v>917</v>
      </c>
      <c r="C34" s="579">
        <f>+'CY-FUR (REG)- Detail'!C17</f>
        <v>15754000</v>
      </c>
      <c r="D34" s="579">
        <f>+'CY-FUR (REG)- Detail'!D17</f>
        <v>26327000</v>
      </c>
      <c r="E34" s="579">
        <f>+'CY-FUR (REG)- Detail'!E17</f>
        <v>150000000</v>
      </c>
      <c r="F34" s="579">
        <f t="shared" si="14"/>
        <v>192081000</v>
      </c>
      <c r="G34" s="579">
        <f>+'CY-FUR (REG)- Detail'!G17</f>
        <v>0</v>
      </c>
      <c r="H34" s="579">
        <f>+'CY-FUR (REG)- Detail'!H17</f>
        <v>0</v>
      </c>
      <c r="I34" s="579">
        <f>+'CY-FUR (REG)- Detail'!I17</f>
        <v>0</v>
      </c>
      <c r="J34" s="579">
        <f>+'CY-FUR (REG)- Detail'!J17</f>
        <v>0</v>
      </c>
      <c r="K34" s="579">
        <f t="shared" si="15"/>
        <v>15754000</v>
      </c>
      <c r="L34" s="579">
        <f t="shared" si="16"/>
        <v>26327000</v>
      </c>
      <c r="M34" s="579">
        <f t="shared" si="17"/>
        <v>150000000</v>
      </c>
      <c r="N34" s="579">
        <f t="shared" si="18"/>
        <v>192081000</v>
      </c>
      <c r="O34" s="579">
        <f>+'CY-FUR (REG)- Detail'!O17</f>
        <v>15754000</v>
      </c>
      <c r="P34" s="579">
        <f>+'CY-FUR (REG)- Detail'!P17</f>
        <v>26327000</v>
      </c>
      <c r="Q34" s="579">
        <f>+'CY-FUR (REG)- Detail'!Q17</f>
        <v>150000000</v>
      </c>
      <c r="R34" s="579">
        <f t="shared" si="19"/>
        <v>192081000</v>
      </c>
      <c r="S34" s="579">
        <f>+'CY-FUR (REG)- Detail'!S17</f>
        <v>0</v>
      </c>
      <c r="T34" s="579">
        <f>+'CY-FUR (REG)- Detail'!T17</f>
        <v>0</v>
      </c>
      <c r="U34" s="579">
        <f>+'CY-FUR (REG)- Detail'!U17</f>
        <v>0</v>
      </c>
      <c r="V34" s="579">
        <f>+'CY-FUR (REG)- Detail'!V17</f>
        <v>0</v>
      </c>
      <c r="W34" s="579">
        <f>+'CY-FUR (REG)- Detail'!W17</f>
        <v>0</v>
      </c>
      <c r="X34" s="579">
        <f>+'CY-FUR (REG)- Detail'!X17</f>
        <v>-360000</v>
      </c>
      <c r="Y34" s="579">
        <f>+'CY-FUR (REG)- Detail'!Y17</f>
        <v>0</v>
      </c>
      <c r="Z34" s="579">
        <f t="shared" si="20"/>
        <v>-360000</v>
      </c>
      <c r="AA34" s="579">
        <f t="shared" si="1"/>
        <v>15754000</v>
      </c>
      <c r="AB34" s="579">
        <f t="shared" si="2"/>
        <v>25967000</v>
      </c>
      <c r="AC34" s="579">
        <f t="shared" si="3"/>
        <v>150000000</v>
      </c>
      <c r="AD34" s="579">
        <f t="shared" si="4"/>
        <v>191721000</v>
      </c>
      <c r="AE34" s="579">
        <f>+'CY-FUR (REG)- Detail'!AE17</f>
        <v>15242805.48</v>
      </c>
      <c r="AF34" s="579">
        <f>+'CY-FUR (REG)- Detail'!AF17</f>
        <v>16088373.539999999</v>
      </c>
      <c r="AG34" s="579">
        <f>+'CY-FUR (REG)- Detail'!AG17</f>
        <v>62213737.180000007</v>
      </c>
      <c r="AH34" s="579">
        <f t="shared" si="5"/>
        <v>93544916.200000003</v>
      </c>
      <c r="AI34" s="579">
        <f>+'CY-FUR (REG)- Detail'!AI17</f>
        <v>0</v>
      </c>
      <c r="AJ34" s="579">
        <f>+'CY-FUR (REG)- Detail'!AJ17</f>
        <v>0</v>
      </c>
      <c r="AK34" s="579">
        <f>+'CY-FUR (REG)- Detail'!AK17</f>
        <v>0</v>
      </c>
      <c r="AL34" s="579">
        <f t="shared" si="21"/>
        <v>0</v>
      </c>
      <c r="AM34" s="579">
        <f t="shared" si="22"/>
        <v>15242805.48</v>
      </c>
      <c r="AN34" s="579">
        <f t="shared" si="23"/>
        <v>16088373.539999999</v>
      </c>
      <c r="AO34" s="579">
        <f t="shared" si="24"/>
        <v>62213737.180000007</v>
      </c>
      <c r="AP34" s="579">
        <f t="shared" si="25"/>
        <v>93544916.200000003</v>
      </c>
      <c r="AQ34" s="579">
        <f t="shared" si="6"/>
        <v>511194.51999999955</v>
      </c>
      <c r="AR34" s="579">
        <f t="shared" si="7"/>
        <v>9878626.4600000009</v>
      </c>
      <c r="AS34" s="579">
        <f t="shared" si="8"/>
        <v>87786262.819999993</v>
      </c>
      <c r="AT34" s="579">
        <f t="shared" si="9"/>
        <v>98176083.799999997</v>
      </c>
      <c r="AU34" s="564">
        <f t="shared" si="10"/>
        <v>0.96755144598197285</v>
      </c>
      <c r="AV34" s="564">
        <f t="shared" si="11"/>
        <v>0.61956997496822885</v>
      </c>
      <c r="AW34" s="564">
        <f t="shared" si="12"/>
        <v>0.41475824786666671</v>
      </c>
      <c r="AX34" s="564">
        <f t="shared" si="13"/>
        <v>0.48792211703464933</v>
      </c>
      <c r="AY34" s="22">
        <f t="shared" si="26"/>
        <v>0</v>
      </c>
      <c r="AZ34" s="22">
        <f t="shared" si="27"/>
        <v>0</v>
      </c>
      <c r="BA34" s="22">
        <f t="shared" si="28"/>
        <v>0</v>
      </c>
      <c r="BB34" s="22">
        <f t="shared" si="29"/>
        <v>0</v>
      </c>
    </row>
    <row r="35" spans="1:54" s="39" customFormat="1" ht="16.5">
      <c r="A35" s="586"/>
      <c r="B35" s="580"/>
      <c r="C35" s="37"/>
      <c r="D35" s="37"/>
      <c r="E35" s="37"/>
      <c r="F35" s="37">
        <f t="shared" si="14"/>
        <v>0</v>
      </c>
      <c r="G35" s="37"/>
      <c r="H35" s="37"/>
      <c r="I35" s="37"/>
      <c r="J35" s="37"/>
      <c r="K35" s="37">
        <f t="shared" si="15"/>
        <v>0</v>
      </c>
      <c r="L35" s="37">
        <f t="shared" si="16"/>
        <v>0</v>
      </c>
      <c r="M35" s="37">
        <f t="shared" si="17"/>
        <v>0</v>
      </c>
      <c r="N35" s="37">
        <f t="shared" si="18"/>
        <v>0</v>
      </c>
      <c r="O35" s="37"/>
      <c r="P35" s="37"/>
      <c r="Q35" s="37"/>
      <c r="R35" s="37">
        <f t="shared" si="19"/>
        <v>0</v>
      </c>
      <c r="S35" s="37"/>
      <c r="T35" s="37"/>
      <c r="U35" s="37"/>
      <c r="V35" s="37"/>
      <c r="W35" s="37"/>
      <c r="X35" s="37"/>
      <c r="Y35" s="37"/>
      <c r="Z35" s="37">
        <f t="shared" si="20"/>
        <v>0</v>
      </c>
      <c r="AA35" s="37">
        <f t="shared" si="1"/>
        <v>0</v>
      </c>
      <c r="AB35" s="37">
        <f t="shared" si="2"/>
        <v>0</v>
      </c>
      <c r="AC35" s="37">
        <f t="shared" si="3"/>
        <v>0</v>
      </c>
      <c r="AD35" s="37">
        <f t="shared" si="4"/>
        <v>0</v>
      </c>
      <c r="AE35" s="37"/>
      <c r="AF35" s="37"/>
      <c r="AG35" s="37"/>
      <c r="AH35" s="37">
        <f t="shared" si="5"/>
        <v>0</v>
      </c>
      <c r="AI35" s="37"/>
      <c r="AJ35" s="37"/>
      <c r="AK35" s="37"/>
      <c r="AL35" s="37">
        <f t="shared" si="21"/>
        <v>0</v>
      </c>
      <c r="AM35" s="37">
        <f t="shared" si="22"/>
        <v>0</v>
      </c>
      <c r="AN35" s="37">
        <f t="shared" si="23"/>
        <v>0</v>
      </c>
      <c r="AO35" s="37">
        <f t="shared" si="24"/>
        <v>0</v>
      </c>
      <c r="AP35" s="37">
        <f t="shared" si="25"/>
        <v>0</v>
      </c>
      <c r="AQ35" s="37">
        <f t="shared" si="6"/>
        <v>0</v>
      </c>
      <c r="AR35" s="37">
        <f t="shared" si="7"/>
        <v>0</v>
      </c>
      <c r="AS35" s="37">
        <f t="shared" si="8"/>
        <v>0</v>
      </c>
      <c r="AT35" s="37">
        <f t="shared" si="9"/>
        <v>0</v>
      </c>
      <c r="AU35" s="38" t="str">
        <f t="shared" si="10"/>
        <v xml:space="preserve"> </v>
      </c>
      <c r="AV35" s="38" t="str">
        <f t="shared" si="11"/>
        <v xml:space="preserve"> </v>
      </c>
      <c r="AW35" s="38" t="str">
        <f t="shared" si="12"/>
        <v xml:space="preserve"> </v>
      </c>
      <c r="AX35" s="38" t="str">
        <f t="shared" si="13"/>
        <v xml:space="preserve"> </v>
      </c>
      <c r="AY35" s="22">
        <f t="shared" si="26"/>
        <v>0</v>
      </c>
      <c r="AZ35" s="22">
        <f t="shared" si="27"/>
        <v>0</v>
      </c>
      <c r="BA35" s="22">
        <f t="shared" si="28"/>
        <v>0</v>
      </c>
      <c r="BB35" s="22">
        <f t="shared" si="29"/>
        <v>0</v>
      </c>
    </row>
    <row r="36" spans="1:54" s="39" customFormat="1" ht="16.5">
      <c r="A36" s="587" t="s">
        <v>929</v>
      </c>
      <c r="B36" s="580" t="s">
        <v>893</v>
      </c>
      <c r="C36" s="37">
        <f>+C37</f>
        <v>31108000</v>
      </c>
      <c r="D36" s="37">
        <f t="shared" ref="D36:AI36" si="36">+D37</f>
        <v>237794000</v>
      </c>
      <c r="E36" s="37">
        <f t="shared" si="36"/>
        <v>10772495000</v>
      </c>
      <c r="F36" s="37">
        <f t="shared" si="14"/>
        <v>11041397000</v>
      </c>
      <c r="G36" s="37">
        <f t="shared" si="36"/>
        <v>0</v>
      </c>
      <c r="H36" s="37">
        <f t="shared" si="36"/>
        <v>0</v>
      </c>
      <c r="I36" s="37">
        <f t="shared" si="36"/>
        <v>0</v>
      </c>
      <c r="J36" s="37">
        <f t="shared" si="36"/>
        <v>0</v>
      </c>
      <c r="K36" s="37">
        <f t="shared" si="15"/>
        <v>31108000</v>
      </c>
      <c r="L36" s="37">
        <f t="shared" si="16"/>
        <v>237794000</v>
      </c>
      <c r="M36" s="37">
        <f t="shared" si="17"/>
        <v>10772495000</v>
      </c>
      <c r="N36" s="37">
        <f t="shared" si="18"/>
        <v>11041397000</v>
      </c>
      <c r="O36" s="37">
        <f t="shared" si="36"/>
        <v>31108000</v>
      </c>
      <c r="P36" s="37">
        <f t="shared" si="36"/>
        <v>237794000</v>
      </c>
      <c r="Q36" s="37">
        <f t="shared" si="36"/>
        <v>10772495000</v>
      </c>
      <c r="R36" s="37">
        <f t="shared" si="19"/>
        <v>11041397000</v>
      </c>
      <c r="S36" s="37">
        <f t="shared" si="36"/>
        <v>0</v>
      </c>
      <c r="T36" s="37">
        <f t="shared" si="36"/>
        <v>0</v>
      </c>
      <c r="U36" s="37">
        <f t="shared" si="36"/>
        <v>0</v>
      </c>
      <c r="V36" s="37">
        <f t="shared" si="36"/>
        <v>0</v>
      </c>
      <c r="W36" s="37">
        <f t="shared" si="36"/>
        <v>0</v>
      </c>
      <c r="X36" s="37">
        <f t="shared" si="36"/>
        <v>-95814118</v>
      </c>
      <c r="Y36" s="37">
        <f t="shared" si="36"/>
        <v>-5666909586.1000004</v>
      </c>
      <c r="Z36" s="37">
        <f t="shared" si="20"/>
        <v>-5762723704.1000004</v>
      </c>
      <c r="AA36" s="37">
        <f t="shared" si="1"/>
        <v>31108000</v>
      </c>
      <c r="AB36" s="37">
        <f t="shared" si="2"/>
        <v>141979882</v>
      </c>
      <c r="AC36" s="37">
        <f t="shared" si="3"/>
        <v>5105585413.8999996</v>
      </c>
      <c r="AD36" s="37">
        <f t="shared" si="4"/>
        <v>5278673295.8999996</v>
      </c>
      <c r="AE36" s="37">
        <f>+AE37</f>
        <v>29849655.530000001</v>
      </c>
      <c r="AF36" s="37">
        <f>+AF37</f>
        <v>43573632.049999975</v>
      </c>
      <c r="AG36" s="37">
        <f>+AG37</f>
        <v>1131694554.2099991</v>
      </c>
      <c r="AH36" s="37">
        <f t="shared" si="5"/>
        <v>1205117841.789999</v>
      </c>
      <c r="AI36" s="37">
        <f t="shared" si="36"/>
        <v>0</v>
      </c>
      <c r="AJ36" s="37">
        <f>+AJ37</f>
        <v>0</v>
      </c>
      <c r="AK36" s="37">
        <f>+AK37</f>
        <v>0</v>
      </c>
      <c r="AL36" s="37">
        <f t="shared" si="21"/>
        <v>0</v>
      </c>
      <c r="AM36" s="37">
        <f t="shared" si="22"/>
        <v>29849655.530000001</v>
      </c>
      <c r="AN36" s="37">
        <f t="shared" si="23"/>
        <v>43573632.049999975</v>
      </c>
      <c r="AO36" s="37">
        <f t="shared" si="24"/>
        <v>1131694554.2099991</v>
      </c>
      <c r="AP36" s="37">
        <f t="shared" si="25"/>
        <v>1205117841.789999</v>
      </c>
      <c r="AQ36" s="37">
        <f t="shared" si="6"/>
        <v>1258344.4699999988</v>
      </c>
      <c r="AR36" s="37">
        <f t="shared" si="7"/>
        <v>98406249.950000018</v>
      </c>
      <c r="AS36" s="37">
        <f t="shared" si="8"/>
        <v>3973890859.6900005</v>
      </c>
      <c r="AT36" s="37">
        <f t="shared" si="9"/>
        <v>4073555454.1100006</v>
      </c>
      <c r="AU36" s="38">
        <f t="shared" si="10"/>
        <v>0.95954916838112392</v>
      </c>
      <c r="AV36" s="38">
        <f t="shared" si="11"/>
        <v>0.30690004412033511</v>
      </c>
      <c r="AW36" s="38">
        <f t="shared" si="12"/>
        <v>0.22165813760141023</v>
      </c>
      <c r="AX36" s="38">
        <f t="shared" si="13"/>
        <v>0.22829938021093796</v>
      </c>
      <c r="AY36" s="22">
        <f t="shared" si="26"/>
        <v>0</v>
      </c>
      <c r="AZ36" s="22">
        <f t="shared" si="27"/>
        <v>0</v>
      </c>
      <c r="BA36" s="22">
        <f t="shared" si="28"/>
        <v>0</v>
      </c>
      <c r="BB36" s="22">
        <f t="shared" si="29"/>
        <v>0</v>
      </c>
    </row>
    <row r="37" spans="1:54" s="16" customFormat="1">
      <c r="A37" s="587" t="s">
        <v>929</v>
      </c>
      <c r="B37" s="581" t="s">
        <v>920</v>
      </c>
      <c r="C37" s="579">
        <f>SUM('CY-FUR (REG)- Detail'!C64:C66)</f>
        <v>31108000</v>
      </c>
      <c r="D37" s="579">
        <f>SUM('CY-FUR (REG)- Detail'!D64:D66)</f>
        <v>237794000</v>
      </c>
      <c r="E37" s="579">
        <f>SUM('CY-FUR (REG)- Detail'!E64:E66)</f>
        <v>10772495000</v>
      </c>
      <c r="F37" s="579">
        <f t="shared" si="14"/>
        <v>11041397000</v>
      </c>
      <c r="G37" s="579">
        <f>SUM('CY-FUR (REG)- Detail'!G64:G66)</f>
        <v>0</v>
      </c>
      <c r="H37" s="579">
        <f>SUM('CY-FUR (REG)- Detail'!H64:H66)</f>
        <v>0</v>
      </c>
      <c r="I37" s="579">
        <f>SUM('CY-FUR (REG)- Detail'!I64:I66)</f>
        <v>0</v>
      </c>
      <c r="J37" s="579">
        <f>SUM('CY-FUR (REG)- Detail'!J64:J66)</f>
        <v>0</v>
      </c>
      <c r="K37" s="579">
        <f t="shared" si="15"/>
        <v>31108000</v>
      </c>
      <c r="L37" s="579">
        <f t="shared" si="16"/>
        <v>237794000</v>
      </c>
      <c r="M37" s="579">
        <f t="shared" si="17"/>
        <v>10772495000</v>
      </c>
      <c r="N37" s="579">
        <f t="shared" si="18"/>
        <v>11041397000</v>
      </c>
      <c r="O37" s="579">
        <f>SUM('CY-FUR (REG)- Detail'!O64:O66)</f>
        <v>31108000</v>
      </c>
      <c r="P37" s="579">
        <f>SUM('CY-FUR (REG)- Detail'!P64:P66)</f>
        <v>237794000</v>
      </c>
      <c r="Q37" s="579">
        <f>SUM('CY-FUR (REG)- Detail'!Q64:Q66)</f>
        <v>10772495000</v>
      </c>
      <c r="R37" s="579">
        <f t="shared" si="19"/>
        <v>11041397000</v>
      </c>
      <c r="S37" s="579">
        <f>SUM('CY-FUR (REG)- Detail'!S64:S66)</f>
        <v>0</v>
      </c>
      <c r="T37" s="579">
        <f>SUM('CY-FUR (REG)- Detail'!T64:T66)</f>
        <v>0</v>
      </c>
      <c r="U37" s="579">
        <f>SUM('CY-FUR (REG)- Detail'!U64:U66)</f>
        <v>0</v>
      </c>
      <c r="V37" s="579">
        <f>SUM('CY-FUR (REG)- Detail'!V64:V66)</f>
        <v>0</v>
      </c>
      <c r="W37" s="579">
        <f>SUM('CY-FUR (REG)- Detail'!W64:W66)</f>
        <v>0</v>
      </c>
      <c r="X37" s="579">
        <f>SUM('CY-FUR (REG)- Detail'!X64:X66)</f>
        <v>-95814118</v>
      </c>
      <c r="Y37" s="579">
        <f>SUM('CY-FUR (REG)- Detail'!Y64:Y66)</f>
        <v>-5666909586.1000004</v>
      </c>
      <c r="Z37" s="579">
        <f t="shared" si="20"/>
        <v>-5762723704.1000004</v>
      </c>
      <c r="AA37" s="579">
        <f t="shared" si="1"/>
        <v>31108000</v>
      </c>
      <c r="AB37" s="579">
        <f t="shared" si="2"/>
        <v>141979882</v>
      </c>
      <c r="AC37" s="579">
        <f t="shared" si="3"/>
        <v>5105585413.8999996</v>
      </c>
      <c r="AD37" s="579">
        <f t="shared" si="4"/>
        <v>5278673295.8999996</v>
      </c>
      <c r="AE37" s="579">
        <f>SUM('CY-FUR (REG)- Detail'!AE64:AE66)</f>
        <v>29849655.530000001</v>
      </c>
      <c r="AF37" s="579">
        <f>SUM('CY-FUR (REG)- Detail'!AF64:AF66)</f>
        <v>43573632.049999975</v>
      </c>
      <c r="AG37" s="579">
        <f>SUM('CY-FUR (REG)- Detail'!AG64:AG66)</f>
        <v>1131694554.2099991</v>
      </c>
      <c r="AH37" s="579">
        <f t="shared" si="5"/>
        <v>1205117841.789999</v>
      </c>
      <c r="AI37" s="579">
        <f>SUM('CY-FUR (REG)- Detail'!AI64:AI66)</f>
        <v>0</v>
      </c>
      <c r="AJ37" s="579">
        <f>SUM('CY-FUR (REG)- Detail'!AJ64:AJ66)</f>
        <v>0</v>
      </c>
      <c r="AK37" s="579">
        <f>SUM('CY-FUR (REG)- Detail'!AK64:AK66)</f>
        <v>0</v>
      </c>
      <c r="AL37" s="579">
        <f t="shared" si="21"/>
        <v>0</v>
      </c>
      <c r="AM37" s="579">
        <f t="shared" si="22"/>
        <v>29849655.530000001</v>
      </c>
      <c r="AN37" s="579">
        <f t="shared" si="23"/>
        <v>43573632.049999975</v>
      </c>
      <c r="AO37" s="579">
        <f t="shared" si="24"/>
        <v>1131694554.2099991</v>
      </c>
      <c r="AP37" s="579">
        <f t="shared" si="25"/>
        <v>1205117841.789999</v>
      </c>
      <c r="AQ37" s="579">
        <f t="shared" si="6"/>
        <v>1258344.4699999988</v>
      </c>
      <c r="AR37" s="579">
        <f t="shared" si="7"/>
        <v>98406249.950000018</v>
      </c>
      <c r="AS37" s="579">
        <f t="shared" si="8"/>
        <v>3973890859.6900005</v>
      </c>
      <c r="AT37" s="579">
        <f t="shared" si="9"/>
        <v>4073555454.1100006</v>
      </c>
      <c r="AU37" s="564">
        <f t="shared" si="10"/>
        <v>0.95954916838112392</v>
      </c>
      <c r="AV37" s="564">
        <f t="shared" si="11"/>
        <v>0.30690004412033511</v>
      </c>
      <c r="AW37" s="564">
        <f t="shared" si="12"/>
        <v>0.22165813760141023</v>
      </c>
      <c r="AX37" s="564">
        <f t="shared" si="13"/>
        <v>0.22829938021093796</v>
      </c>
      <c r="AY37" s="22">
        <f t="shared" si="26"/>
        <v>0</v>
      </c>
      <c r="AZ37" s="22">
        <f t="shared" si="27"/>
        <v>0</v>
      </c>
      <c r="BA37" s="22">
        <f t="shared" si="28"/>
        <v>0</v>
      </c>
      <c r="BB37" s="22">
        <f t="shared" si="29"/>
        <v>0</v>
      </c>
    </row>
    <row r="38" spans="1:54" s="39" customFormat="1" ht="16.5">
      <c r="A38" s="586"/>
      <c r="B38" s="580"/>
      <c r="C38" s="37"/>
      <c r="D38" s="37"/>
      <c r="E38" s="37"/>
      <c r="F38" s="37">
        <f t="shared" si="14"/>
        <v>0</v>
      </c>
      <c r="G38" s="37"/>
      <c r="H38" s="37"/>
      <c r="I38" s="37"/>
      <c r="J38" s="37"/>
      <c r="K38" s="37">
        <f t="shared" si="15"/>
        <v>0</v>
      </c>
      <c r="L38" s="37">
        <f t="shared" si="16"/>
        <v>0</v>
      </c>
      <c r="M38" s="37">
        <f t="shared" si="17"/>
        <v>0</v>
      </c>
      <c r="N38" s="37">
        <f t="shared" si="18"/>
        <v>0</v>
      </c>
      <c r="O38" s="37"/>
      <c r="P38" s="37"/>
      <c r="Q38" s="37"/>
      <c r="R38" s="37">
        <f t="shared" si="19"/>
        <v>0</v>
      </c>
      <c r="S38" s="37"/>
      <c r="T38" s="37"/>
      <c r="U38" s="37"/>
      <c r="V38" s="37"/>
      <c r="W38" s="37"/>
      <c r="X38" s="37"/>
      <c r="Y38" s="37"/>
      <c r="Z38" s="37">
        <f t="shared" si="20"/>
        <v>0</v>
      </c>
      <c r="AA38" s="37">
        <f t="shared" si="1"/>
        <v>0</v>
      </c>
      <c r="AB38" s="37">
        <f t="shared" si="2"/>
        <v>0</v>
      </c>
      <c r="AC38" s="37">
        <f t="shared" si="3"/>
        <v>0</v>
      </c>
      <c r="AD38" s="37">
        <f t="shared" si="4"/>
        <v>0</v>
      </c>
      <c r="AE38" s="37"/>
      <c r="AF38" s="37"/>
      <c r="AG38" s="37"/>
      <c r="AH38" s="37">
        <f t="shared" si="5"/>
        <v>0</v>
      </c>
      <c r="AI38" s="37"/>
      <c r="AJ38" s="37"/>
      <c r="AK38" s="37"/>
      <c r="AL38" s="37">
        <f t="shared" si="21"/>
        <v>0</v>
      </c>
      <c r="AM38" s="37">
        <f t="shared" si="22"/>
        <v>0</v>
      </c>
      <c r="AN38" s="37">
        <f t="shared" si="23"/>
        <v>0</v>
      </c>
      <c r="AO38" s="37">
        <f t="shared" si="24"/>
        <v>0</v>
      </c>
      <c r="AP38" s="37">
        <f t="shared" si="25"/>
        <v>0</v>
      </c>
      <c r="AQ38" s="37">
        <f t="shared" si="6"/>
        <v>0</v>
      </c>
      <c r="AR38" s="37">
        <f t="shared" si="7"/>
        <v>0</v>
      </c>
      <c r="AS38" s="37">
        <f t="shared" si="8"/>
        <v>0</v>
      </c>
      <c r="AT38" s="37">
        <f t="shared" si="9"/>
        <v>0</v>
      </c>
      <c r="AU38" s="38" t="str">
        <f t="shared" si="10"/>
        <v xml:space="preserve"> </v>
      </c>
      <c r="AV38" s="38" t="str">
        <f t="shared" si="11"/>
        <v xml:space="preserve"> </v>
      </c>
      <c r="AW38" s="38" t="str">
        <f t="shared" si="12"/>
        <v xml:space="preserve"> </v>
      </c>
      <c r="AX38" s="38" t="str">
        <f t="shared" si="13"/>
        <v xml:space="preserve"> </v>
      </c>
      <c r="AY38" s="22">
        <f t="shared" si="26"/>
        <v>0</v>
      </c>
      <c r="AZ38" s="22">
        <f t="shared" si="27"/>
        <v>0</v>
      </c>
      <c r="BA38" s="22">
        <f t="shared" si="28"/>
        <v>0</v>
      </c>
      <c r="BB38" s="22">
        <f t="shared" si="29"/>
        <v>0</v>
      </c>
    </row>
    <row r="39" spans="1:54" s="39" customFormat="1" ht="16.5">
      <c r="A39" s="587" t="s">
        <v>930</v>
      </c>
      <c r="B39" s="580" t="s">
        <v>891</v>
      </c>
      <c r="C39" s="37">
        <f>SUM(C40:C44)</f>
        <v>82305000</v>
      </c>
      <c r="D39" s="37">
        <f t="shared" ref="D39:AI39" si="37">SUM(D40:D44)</f>
        <v>7141883000</v>
      </c>
      <c r="E39" s="37">
        <f t="shared" si="37"/>
        <v>0</v>
      </c>
      <c r="F39" s="37">
        <f t="shared" si="14"/>
        <v>7224188000</v>
      </c>
      <c r="G39" s="37">
        <f t="shared" si="37"/>
        <v>0</v>
      </c>
      <c r="H39" s="37">
        <f t="shared" si="37"/>
        <v>-14000000</v>
      </c>
      <c r="I39" s="37">
        <f t="shared" si="37"/>
        <v>0</v>
      </c>
      <c r="J39" s="37">
        <f t="shared" si="37"/>
        <v>-14000000</v>
      </c>
      <c r="K39" s="37">
        <f t="shared" si="15"/>
        <v>82305000</v>
      </c>
      <c r="L39" s="37">
        <f t="shared" si="16"/>
        <v>7127883000</v>
      </c>
      <c r="M39" s="37">
        <f t="shared" si="17"/>
        <v>0</v>
      </c>
      <c r="N39" s="37">
        <f t="shared" si="18"/>
        <v>7210188000</v>
      </c>
      <c r="O39" s="37">
        <f t="shared" si="37"/>
        <v>82305000</v>
      </c>
      <c r="P39" s="37">
        <f t="shared" si="37"/>
        <v>7134883000</v>
      </c>
      <c r="Q39" s="37">
        <f t="shared" si="37"/>
        <v>0</v>
      </c>
      <c r="R39" s="37">
        <f t="shared" si="19"/>
        <v>7217188000</v>
      </c>
      <c r="S39" s="37">
        <f t="shared" si="37"/>
        <v>0</v>
      </c>
      <c r="T39" s="37">
        <f t="shared" si="37"/>
        <v>0</v>
      </c>
      <c r="U39" s="37">
        <f t="shared" si="37"/>
        <v>0</v>
      </c>
      <c r="V39" s="37">
        <f t="shared" si="37"/>
        <v>0</v>
      </c>
      <c r="W39" s="37">
        <f t="shared" si="37"/>
        <v>0</v>
      </c>
      <c r="X39" s="37">
        <f t="shared" si="37"/>
        <v>-1107405982</v>
      </c>
      <c r="Y39" s="37">
        <f t="shared" si="37"/>
        <v>0</v>
      </c>
      <c r="Z39" s="37">
        <f t="shared" si="20"/>
        <v>-1107405982</v>
      </c>
      <c r="AA39" s="37">
        <f t="shared" si="1"/>
        <v>82305000</v>
      </c>
      <c r="AB39" s="37">
        <f t="shared" si="2"/>
        <v>6027477018</v>
      </c>
      <c r="AC39" s="37">
        <f t="shared" si="3"/>
        <v>0</v>
      </c>
      <c r="AD39" s="37">
        <f t="shared" si="4"/>
        <v>6109782018</v>
      </c>
      <c r="AE39" s="37">
        <f>SUM(AE40:AE44)</f>
        <v>75751270.070000008</v>
      </c>
      <c r="AF39" s="37">
        <f>SUM(AF40:AF44)</f>
        <v>4269324769.150001</v>
      </c>
      <c r="AG39" s="37">
        <f>SUM(AG40:AG44)</f>
        <v>0</v>
      </c>
      <c r="AH39" s="37">
        <f t="shared" si="5"/>
        <v>4345076039.2200012</v>
      </c>
      <c r="AI39" s="37">
        <f t="shared" si="37"/>
        <v>0</v>
      </c>
      <c r="AJ39" s="37">
        <f>SUM(AJ40:AJ44)</f>
        <v>0</v>
      </c>
      <c r="AK39" s="37">
        <f>SUM(AK40:AK44)</f>
        <v>0</v>
      </c>
      <c r="AL39" s="37">
        <f t="shared" si="21"/>
        <v>0</v>
      </c>
      <c r="AM39" s="37">
        <f t="shared" si="22"/>
        <v>75751270.070000008</v>
      </c>
      <c r="AN39" s="37">
        <f t="shared" si="23"/>
        <v>4269324769.150001</v>
      </c>
      <c r="AO39" s="37">
        <f t="shared" si="24"/>
        <v>0</v>
      </c>
      <c r="AP39" s="37">
        <f t="shared" si="25"/>
        <v>4345076039.2200012</v>
      </c>
      <c r="AQ39" s="37">
        <f t="shared" si="6"/>
        <v>6553729.9299999923</v>
      </c>
      <c r="AR39" s="37">
        <f t="shared" si="7"/>
        <v>1758152248.849999</v>
      </c>
      <c r="AS39" s="37">
        <f t="shared" si="8"/>
        <v>0</v>
      </c>
      <c r="AT39" s="37">
        <f t="shared" si="9"/>
        <v>1764705978.779999</v>
      </c>
      <c r="AU39" s="38">
        <f t="shared" si="10"/>
        <v>0.92037263920782464</v>
      </c>
      <c r="AV39" s="38">
        <f t="shared" si="11"/>
        <v>0.70831041850519105</v>
      </c>
      <c r="AW39" s="38" t="str">
        <f t="shared" si="12"/>
        <v xml:space="preserve"> </v>
      </c>
      <c r="AX39" s="38">
        <f t="shared" si="13"/>
        <v>0.71116711306868119</v>
      </c>
      <c r="AY39" s="22">
        <f t="shared" si="26"/>
        <v>0</v>
      </c>
      <c r="AZ39" s="22">
        <f t="shared" si="27"/>
        <v>-7000000</v>
      </c>
      <c r="BA39" s="22">
        <f t="shared" si="28"/>
        <v>0</v>
      </c>
      <c r="BB39" s="22">
        <f t="shared" si="29"/>
        <v>-7000000</v>
      </c>
    </row>
    <row r="40" spans="1:54" s="16" customFormat="1">
      <c r="A40" s="587" t="s">
        <v>930</v>
      </c>
      <c r="B40" s="581" t="s">
        <v>909</v>
      </c>
      <c r="C40" s="579">
        <f>+'CY-FUR (REG)- Detail'!C46</f>
        <v>15088000</v>
      </c>
      <c r="D40" s="579">
        <f>+'CY-FUR (REG)- Detail'!D46</f>
        <v>126829000</v>
      </c>
      <c r="E40" s="579">
        <f>+'CY-FUR (REG)- Detail'!E46</f>
        <v>0</v>
      </c>
      <c r="F40" s="579">
        <f t="shared" si="14"/>
        <v>141917000</v>
      </c>
      <c r="G40" s="579">
        <f>+'CY-FUR (REG)- Detail'!G44</f>
        <v>0</v>
      </c>
      <c r="H40" s="579">
        <f>+'CY-FUR (REG)- Detail'!H44</f>
        <v>0</v>
      </c>
      <c r="I40" s="579">
        <f>+'CY-FUR (REG)- Detail'!I44</f>
        <v>0</v>
      </c>
      <c r="J40" s="579">
        <f>+'CY-FUR (REG)- Detail'!J44</f>
        <v>0</v>
      </c>
      <c r="K40" s="579">
        <f t="shared" si="15"/>
        <v>15088000</v>
      </c>
      <c r="L40" s="579">
        <f t="shared" si="16"/>
        <v>126829000</v>
      </c>
      <c r="M40" s="579">
        <f t="shared" si="17"/>
        <v>0</v>
      </c>
      <c r="N40" s="579">
        <f t="shared" si="18"/>
        <v>141917000</v>
      </c>
      <c r="O40" s="579">
        <f>+'CY-FUR (REG)- Detail'!O46</f>
        <v>15088000</v>
      </c>
      <c r="P40" s="579">
        <f>+'CY-FUR (REG)- Detail'!P46</f>
        <v>126829000</v>
      </c>
      <c r="Q40" s="579">
        <f>+'CY-FUR (REG)- Detail'!Q46</f>
        <v>0</v>
      </c>
      <c r="R40" s="579">
        <f t="shared" si="19"/>
        <v>141917000</v>
      </c>
      <c r="S40" s="579">
        <f>+'CY-FUR (REG)- Detail'!S44</f>
        <v>0</v>
      </c>
      <c r="T40" s="579">
        <f>+'CY-FUR (REG)- Detail'!T44</f>
        <v>0</v>
      </c>
      <c r="U40" s="579">
        <f>+'CY-FUR (REG)- Detail'!U44</f>
        <v>0</v>
      </c>
      <c r="V40" s="579">
        <f>+'CY-FUR (REG)- Detail'!V44</f>
        <v>0</v>
      </c>
      <c r="W40" s="579">
        <f>+'CY-FUR (REG)- Detail'!W46</f>
        <v>0</v>
      </c>
      <c r="X40" s="579">
        <f>+'CY-FUR (REG)- Detail'!X46</f>
        <v>-71861065</v>
      </c>
      <c r="Y40" s="579">
        <f>+'CY-FUR (REG)- Detail'!Y46</f>
        <v>0</v>
      </c>
      <c r="Z40" s="579">
        <f t="shared" si="20"/>
        <v>-71861065</v>
      </c>
      <c r="AA40" s="579">
        <f t="shared" si="1"/>
        <v>15088000</v>
      </c>
      <c r="AB40" s="579">
        <f t="shared" si="2"/>
        <v>54967935</v>
      </c>
      <c r="AC40" s="579">
        <f t="shared" si="3"/>
        <v>0</v>
      </c>
      <c r="AD40" s="579">
        <f t="shared" si="4"/>
        <v>70055935</v>
      </c>
      <c r="AE40" s="579">
        <f>+'CY-FUR (REG)- Detail'!AE46</f>
        <v>12297654.220000001</v>
      </c>
      <c r="AF40" s="579">
        <f>+'CY-FUR (REG)- Detail'!AF46</f>
        <v>35268871.920000002</v>
      </c>
      <c r="AG40" s="579">
        <f>+'CY-FUR (REG)- Detail'!AG46</f>
        <v>0</v>
      </c>
      <c r="AH40" s="579">
        <f t="shared" si="5"/>
        <v>47566526.140000001</v>
      </c>
      <c r="AI40" s="579">
        <f>+'CY-FUR (REG)- Detail'!AI46</f>
        <v>0</v>
      </c>
      <c r="AJ40" s="579">
        <f>+'CY-FUR (REG)- Detail'!AJ46</f>
        <v>0</v>
      </c>
      <c r="AK40" s="579">
        <f>+'CY-FUR (REG)- Detail'!AK46</f>
        <v>0</v>
      </c>
      <c r="AL40" s="579">
        <f t="shared" si="21"/>
        <v>0</v>
      </c>
      <c r="AM40" s="579">
        <f t="shared" si="22"/>
        <v>12297654.220000001</v>
      </c>
      <c r="AN40" s="579">
        <f t="shared" si="23"/>
        <v>35268871.920000002</v>
      </c>
      <c r="AO40" s="579">
        <f t="shared" si="24"/>
        <v>0</v>
      </c>
      <c r="AP40" s="579">
        <f t="shared" si="25"/>
        <v>47566526.140000001</v>
      </c>
      <c r="AQ40" s="579">
        <f t="shared" si="6"/>
        <v>2790345.7799999993</v>
      </c>
      <c r="AR40" s="579">
        <f t="shared" si="7"/>
        <v>19699063.079999998</v>
      </c>
      <c r="AS40" s="579">
        <f t="shared" si="8"/>
        <v>0</v>
      </c>
      <c r="AT40" s="579">
        <f t="shared" si="9"/>
        <v>22489408.859999999</v>
      </c>
      <c r="AU40" s="564">
        <f t="shared" si="10"/>
        <v>0.81506191808059392</v>
      </c>
      <c r="AV40" s="564">
        <f t="shared" si="11"/>
        <v>0.6416262848513411</v>
      </c>
      <c r="AW40" s="564" t="str">
        <f t="shared" si="12"/>
        <v xml:space="preserve"> </v>
      </c>
      <c r="AX40" s="564">
        <f t="shared" si="13"/>
        <v>0.67897924908146612</v>
      </c>
      <c r="AY40" s="22">
        <f t="shared" si="26"/>
        <v>0</v>
      </c>
      <c r="AZ40" s="22">
        <f t="shared" si="27"/>
        <v>0</v>
      </c>
      <c r="BA40" s="22">
        <f t="shared" si="28"/>
        <v>0</v>
      </c>
      <c r="BB40" s="22">
        <f t="shared" si="29"/>
        <v>0</v>
      </c>
    </row>
    <row r="41" spans="1:54" s="16" customFormat="1" ht="24">
      <c r="A41" s="587" t="s">
        <v>930</v>
      </c>
      <c r="B41" s="581" t="s">
        <v>910</v>
      </c>
      <c r="C41" s="579">
        <f>SUM('CY-FUR (REG)- Detail'!C48:C59)</f>
        <v>43309000</v>
      </c>
      <c r="D41" s="579">
        <f>SUM('CY-FUR (REG)- Detail'!D48:D59)</f>
        <v>6692815000</v>
      </c>
      <c r="E41" s="579">
        <f>SUM('CY-FUR (REG)- Detail'!E48:E59)</f>
        <v>0</v>
      </c>
      <c r="F41" s="579">
        <f t="shared" si="14"/>
        <v>6736124000</v>
      </c>
      <c r="G41" s="579">
        <f>SUM('CY-FUR (REG)- Detail'!G48:G59)</f>
        <v>0</v>
      </c>
      <c r="H41" s="579">
        <f>SUM('CY-FUR (REG)- Detail'!H48:H59)</f>
        <v>0</v>
      </c>
      <c r="I41" s="579">
        <f>SUM('CY-FUR (REG)- Detail'!I48:I59)</f>
        <v>0</v>
      </c>
      <c r="J41" s="579">
        <f>SUM('CY-FUR (REG)- Detail'!J48:J59)</f>
        <v>0</v>
      </c>
      <c r="K41" s="579">
        <f t="shared" si="15"/>
        <v>43309000</v>
      </c>
      <c r="L41" s="579">
        <f t="shared" si="16"/>
        <v>6692815000</v>
      </c>
      <c r="M41" s="579">
        <f t="shared" si="17"/>
        <v>0</v>
      </c>
      <c r="N41" s="579">
        <f t="shared" si="18"/>
        <v>6736124000</v>
      </c>
      <c r="O41" s="579">
        <f>SUM('CY-FUR (REG)- Detail'!O48:O59)</f>
        <v>43309000</v>
      </c>
      <c r="P41" s="579">
        <f>SUM('CY-FUR (REG)- Detail'!P48:P59)</f>
        <v>6692815000</v>
      </c>
      <c r="Q41" s="579">
        <f>SUM('CY-FUR (REG)- Detail'!Q48:Q59)</f>
        <v>0</v>
      </c>
      <c r="R41" s="579">
        <f t="shared" si="19"/>
        <v>6736124000</v>
      </c>
      <c r="S41" s="579">
        <f>SUM('CY-FUR (REG)- Detail'!S48:S59)</f>
        <v>0</v>
      </c>
      <c r="T41" s="579">
        <f>SUM('CY-FUR (REG)- Detail'!T48:T59)</f>
        <v>0</v>
      </c>
      <c r="U41" s="579">
        <f>SUM('CY-FUR (REG)- Detail'!U48:U59)</f>
        <v>0</v>
      </c>
      <c r="V41" s="579">
        <f>SUM('CY-FUR (REG)- Detail'!V48:V59)</f>
        <v>0</v>
      </c>
      <c r="W41" s="579">
        <f>SUM('CY-FUR (REG)- Detail'!W48:W59)</f>
        <v>0</v>
      </c>
      <c r="X41" s="579">
        <f>SUM('CY-FUR (REG)- Detail'!X48:X59)</f>
        <v>-975714917</v>
      </c>
      <c r="Y41" s="579">
        <f>SUM('CY-FUR (REG)- Detail'!Y48:Y59)</f>
        <v>0</v>
      </c>
      <c r="Z41" s="579">
        <f t="shared" si="20"/>
        <v>-975714917</v>
      </c>
      <c r="AA41" s="579">
        <f t="shared" si="1"/>
        <v>43309000</v>
      </c>
      <c r="AB41" s="579">
        <f t="shared" si="2"/>
        <v>5717100083</v>
      </c>
      <c r="AC41" s="579">
        <f t="shared" si="3"/>
        <v>0</v>
      </c>
      <c r="AD41" s="579">
        <f t="shared" si="4"/>
        <v>5760409083</v>
      </c>
      <c r="AE41" s="579">
        <f>SUM('CY-FUR (REG)- Detail'!AE48:AE59)</f>
        <v>42694344.540000007</v>
      </c>
      <c r="AF41" s="579">
        <f>SUM('CY-FUR (REG)- Detail'!AF48:AF59)</f>
        <v>4034802715.1100011</v>
      </c>
      <c r="AG41" s="579">
        <f>SUM('CY-FUR (REG)- Detail'!AG48:AG59)</f>
        <v>0</v>
      </c>
      <c r="AH41" s="579">
        <f t="shared" si="5"/>
        <v>4077497059.650001</v>
      </c>
      <c r="AI41" s="579">
        <f>SUM('CY-FUR (REG)- Detail'!AI48:AI59)</f>
        <v>0</v>
      </c>
      <c r="AJ41" s="579">
        <f>SUM('CY-FUR (REG)- Detail'!AJ48:AJ59)</f>
        <v>0</v>
      </c>
      <c r="AK41" s="579">
        <f>SUM('CY-FUR (REG)- Detail'!AK48:AK59)</f>
        <v>0</v>
      </c>
      <c r="AL41" s="579">
        <f t="shared" si="21"/>
        <v>0</v>
      </c>
      <c r="AM41" s="579">
        <f t="shared" si="22"/>
        <v>42694344.540000007</v>
      </c>
      <c r="AN41" s="579">
        <f t="shared" si="23"/>
        <v>4034802715.1100011</v>
      </c>
      <c r="AO41" s="579">
        <f t="shared" si="24"/>
        <v>0</v>
      </c>
      <c r="AP41" s="579">
        <f t="shared" si="25"/>
        <v>4077497059.650001</v>
      </c>
      <c r="AQ41" s="579">
        <f t="shared" si="6"/>
        <v>614655.45999999344</v>
      </c>
      <c r="AR41" s="579">
        <f t="shared" si="7"/>
        <v>1682297367.8899989</v>
      </c>
      <c r="AS41" s="579">
        <f t="shared" si="8"/>
        <v>0</v>
      </c>
      <c r="AT41" s="579">
        <f t="shared" si="9"/>
        <v>1682912023.349999</v>
      </c>
      <c r="AU41" s="564">
        <f t="shared" si="10"/>
        <v>0.98580767369368971</v>
      </c>
      <c r="AV41" s="564">
        <f t="shared" si="11"/>
        <v>0.70574288652172279</v>
      </c>
      <c r="AW41" s="564" t="str">
        <f t="shared" si="12"/>
        <v xml:space="preserve"> </v>
      </c>
      <c r="AX41" s="564">
        <f t="shared" si="13"/>
        <v>0.70784852271749688</v>
      </c>
      <c r="AY41" s="22">
        <f t="shared" si="26"/>
        <v>0</v>
      </c>
      <c r="AZ41" s="22">
        <f t="shared" si="27"/>
        <v>0</v>
      </c>
      <c r="BA41" s="22">
        <f t="shared" si="28"/>
        <v>0</v>
      </c>
      <c r="BB41" s="22">
        <f t="shared" si="29"/>
        <v>0</v>
      </c>
    </row>
    <row r="42" spans="1:54" s="16" customFormat="1">
      <c r="A42" s="587" t="s">
        <v>930</v>
      </c>
      <c r="B42" s="581" t="s">
        <v>912</v>
      </c>
      <c r="C42" s="579">
        <f>+'CY-FUR (REG)- Detail'!C61</f>
        <v>17952000</v>
      </c>
      <c r="D42" s="579">
        <f>+'CY-FUR (REG)- Detail'!D61</f>
        <v>144527000</v>
      </c>
      <c r="E42" s="579">
        <f>+'CY-FUR (REG)- Detail'!E61</f>
        <v>0</v>
      </c>
      <c r="F42" s="579">
        <f t="shared" si="14"/>
        <v>162479000</v>
      </c>
      <c r="G42" s="579">
        <f>+'CY-FUR (REG)- Detail'!G61</f>
        <v>0</v>
      </c>
      <c r="H42" s="579">
        <f>+'CY-FUR (REG)- Detail'!H61</f>
        <v>-7000000</v>
      </c>
      <c r="I42" s="579">
        <f>+'CY-FUR (REG)- Detail'!I61</f>
        <v>0</v>
      </c>
      <c r="J42" s="579">
        <f>+'CY-FUR (REG)- Detail'!J61</f>
        <v>-7000000</v>
      </c>
      <c r="K42" s="579">
        <f t="shared" si="15"/>
        <v>17952000</v>
      </c>
      <c r="L42" s="579">
        <f t="shared" si="16"/>
        <v>137527000</v>
      </c>
      <c r="M42" s="579">
        <f t="shared" si="17"/>
        <v>0</v>
      </c>
      <c r="N42" s="579">
        <f t="shared" si="18"/>
        <v>155479000</v>
      </c>
      <c r="O42" s="579">
        <f>+'CY-FUR (REG)- Detail'!O61</f>
        <v>17952000</v>
      </c>
      <c r="P42" s="579">
        <f>+'CY-FUR (REG)- Detail'!P61</f>
        <v>137527000</v>
      </c>
      <c r="Q42" s="579">
        <f>+'CY-FUR (REG)- Detail'!Q61</f>
        <v>0</v>
      </c>
      <c r="R42" s="579">
        <f t="shared" si="19"/>
        <v>155479000</v>
      </c>
      <c r="S42" s="579">
        <f>+'CY-FUR (REG)- Detail'!S61</f>
        <v>0</v>
      </c>
      <c r="T42" s="579">
        <f>+'CY-FUR (REG)- Detail'!T61</f>
        <v>0</v>
      </c>
      <c r="U42" s="579">
        <f>+'CY-FUR (REG)- Detail'!U61</f>
        <v>0</v>
      </c>
      <c r="V42" s="579">
        <f>+'CY-FUR (REG)- Detail'!V61</f>
        <v>0</v>
      </c>
      <c r="W42" s="579">
        <f>+'CY-FUR (REG)- Detail'!W61</f>
        <v>0</v>
      </c>
      <c r="X42" s="579">
        <f>+'CY-FUR (REG)- Detail'!X61</f>
        <v>-4230000</v>
      </c>
      <c r="Y42" s="579">
        <f>+'CY-FUR (REG)- Detail'!Y61</f>
        <v>0</v>
      </c>
      <c r="Z42" s="579">
        <f t="shared" si="20"/>
        <v>-4230000</v>
      </c>
      <c r="AA42" s="579">
        <f t="shared" si="1"/>
        <v>17952000</v>
      </c>
      <c r="AB42" s="579">
        <f t="shared" si="2"/>
        <v>133297000</v>
      </c>
      <c r="AC42" s="579">
        <f t="shared" si="3"/>
        <v>0</v>
      </c>
      <c r="AD42" s="579">
        <f t="shared" si="4"/>
        <v>151249000</v>
      </c>
      <c r="AE42" s="579">
        <f>+'CY-FUR (REG)- Detail'!AE61</f>
        <v>14840343.440000001</v>
      </c>
      <c r="AF42" s="579">
        <f>+'CY-FUR (REG)- Detail'!AF61</f>
        <v>115130827.45000002</v>
      </c>
      <c r="AG42" s="579">
        <f>+'CY-FUR (REG)- Detail'!AG61</f>
        <v>0</v>
      </c>
      <c r="AH42" s="579">
        <f t="shared" si="5"/>
        <v>129971170.89000002</v>
      </c>
      <c r="AI42" s="579">
        <f>+'CY-FUR (REG)- Detail'!AI61</f>
        <v>0</v>
      </c>
      <c r="AJ42" s="579">
        <f>+'CY-FUR (REG)- Detail'!AJ61</f>
        <v>0</v>
      </c>
      <c r="AK42" s="579">
        <f>+'CY-FUR (REG)- Detail'!AK61</f>
        <v>0</v>
      </c>
      <c r="AL42" s="579">
        <f t="shared" si="21"/>
        <v>0</v>
      </c>
      <c r="AM42" s="579">
        <f t="shared" si="22"/>
        <v>14840343.440000001</v>
      </c>
      <c r="AN42" s="579">
        <f t="shared" si="23"/>
        <v>115130827.45000002</v>
      </c>
      <c r="AO42" s="579">
        <f t="shared" si="24"/>
        <v>0</v>
      </c>
      <c r="AP42" s="579">
        <f t="shared" si="25"/>
        <v>129971170.89000002</v>
      </c>
      <c r="AQ42" s="579">
        <f t="shared" si="6"/>
        <v>3111656.5599999987</v>
      </c>
      <c r="AR42" s="579">
        <f t="shared" si="7"/>
        <v>18166172.549999982</v>
      </c>
      <c r="AS42" s="579">
        <f t="shared" si="8"/>
        <v>0</v>
      </c>
      <c r="AT42" s="579">
        <f t="shared" si="9"/>
        <v>21277829.109999981</v>
      </c>
      <c r="AU42" s="564">
        <f t="shared" si="10"/>
        <v>0.82666797237076661</v>
      </c>
      <c r="AV42" s="564">
        <f t="shared" si="11"/>
        <v>0.8637165686399545</v>
      </c>
      <c r="AW42" s="564" t="str">
        <f t="shared" si="12"/>
        <v xml:space="preserve"> </v>
      </c>
      <c r="AX42" s="564">
        <f t="shared" si="13"/>
        <v>0.85931920799476369</v>
      </c>
      <c r="AY42" s="22">
        <f t="shared" si="26"/>
        <v>0</v>
      </c>
      <c r="AZ42" s="22">
        <f t="shared" si="27"/>
        <v>0</v>
      </c>
      <c r="BA42" s="22">
        <f t="shared" si="28"/>
        <v>0</v>
      </c>
      <c r="BB42" s="22">
        <f t="shared" si="29"/>
        <v>0</v>
      </c>
    </row>
    <row r="43" spans="1:54" s="16" customFormat="1">
      <c r="A43" s="587" t="s">
        <v>930</v>
      </c>
      <c r="B43" s="581" t="s">
        <v>911</v>
      </c>
      <c r="C43" s="579">
        <f>+'CY-FUR (REG)- Detail'!C62</f>
        <v>5956000</v>
      </c>
      <c r="D43" s="579">
        <f>+'CY-FUR (REG)- Detail'!D62</f>
        <v>164907000</v>
      </c>
      <c r="E43" s="579">
        <f>+'CY-FUR (REG)- Detail'!E62</f>
        <v>0</v>
      </c>
      <c r="F43" s="579">
        <f t="shared" si="14"/>
        <v>170863000</v>
      </c>
      <c r="G43" s="579">
        <f>+'CY-FUR (REG)- Detail'!G61</f>
        <v>0</v>
      </c>
      <c r="H43" s="579">
        <f>+'CY-FUR (REG)- Detail'!H61</f>
        <v>-7000000</v>
      </c>
      <c r="I43" s="579">
        <f>+'CY-FUR (REG)- Detail'!I61</f>
        <v>0</v>
      </c>
      <c r="J43" s="579">
        <f>+'CY-FUR (REG)- Detail'!J61</f>
        <v>-7000000</v>
      </c>
      <c r="K43" s="579">
        <f t="shared" si="15"/>
        <v>5956000</v>
      </c>
      <c r="L43" s="579">
        <f t="shared" si="16"/>
        <v>157907000</v>
      </c>
      <c r="M43" s="579">
        <f t="shared" si="17"/>
        <v>0</v>
      </c>
      <c r="N43" s="579">
        <f t="shared" si="18"/>
        <v>163863000</v>
      </c>
      <c r="O43" s="579">
        <f>+'CY-FUR (REG)- Detail'!O62</f>
        <v>5956000</v>
      </c>
      <c r="P43" s="579">
        <f>+'CY-FUR (REG)- Detail'!P62</f>
        <v>164907000</v>
      </c>
      <c r="Q43" s="579">
        <f>+'CY-FUR (REG)- Detail'!Q62</f>
        <v>0</v>
      </c>
      <c r="R43" s="579">
        <f t="shared" si="19"/>
        <v>170863000</v>
      </c>
      <c r="S43" s="579">
        <f>+'CY-FUR (REG)- Detail'!S61</f>
        <v>0</v>
      </c>
      <c r="T43" s="579">
        <f>+'CY-FUR (REG)- Detail'!T61</f>
        <v>0</v>
      </c>
      <c r="U43" s="579">
        <f>+'CY-FUR (REG)- Detail'!U61</f>
        <v>0</v>
      </c>
      <c r="V43" s="579">
        <f>+'CY-FUR (REG)- Detail'!V61</f>
        <v>0</v>
      </c>
      <c r="W43" s="579">
        <f>+'CY-FUR (REG)- Detail'!W62</f>
        <v>0</v>
      </c>
      <c r="X43" s="579">
        <f>+'CY-FUR (REG)- Detail'!X62</f>
        <v>-55600000</v>
      </c>
      <c r="Y43" s="579">
        <f>+'CY-FUR (REG)- Detail'!Y62</f>
        <v>0</v>
      </c>
      <c r="Z43" s="579">
        <f t="shared" si="20"/>
        <v>-55600000</v>
      </c>
      <c r="AA43" s="579">
        <f t="shared" si="1"/>
        <v>5956000</v>
      </c>
      <c r="AB43" s="579">
        <f t="shared" si="2"/>
        <v>109307000</v>
      </c>
      <c r="AC43" s="579">
        <f t="shared" si="3"/>
        <v>0</v>
      </c>
      <c r="AD43" s="579">
        <f t="shared" si="4"/>
        <v>115263000</v>
      </c>
      <c r="AE43" s="579">
        <f>+'CY-FUR (REG)- Detail'!AE62</f>
        <v>5918927.8699999992</v>
      </c>
      <c r="AF43" s="579">
        <f>+'CY-FUR (REG)- Detail'!AF62</f>
        <v>71317354.670000002</v>
      </c>
      <c r="AG43" s="579">
        <f>+'CY-FUR (REG)- Detail'!AG62</f>
        <v>0</v>
      </c>
      <c r="AH43" s="579">
        <f t="shared" si="5"/>
        <v>77236282.540000007</v>
      </c>
      <c r="AI43" s="579">
        <f>+'CY-FUR (REG)- Detail'!AI62</f>
        <v>0</v>
      </c>
      <c r="AJ43" s="579">
        <f>+'CY-FUR (REG)- Detail'!AJ62</f>
        <v>0</v>
      </c>
      <c r="AK43" s="579">
        <f>+'CY-FUR (REG)- Detail'!AK62</f>
        <v>0</v>
      </c>
      <c r="AL43" s="579">
        <f t="shared" si="21"/>
        <v>0</v>
      </c>
      <c r="AM43" s="579">
        <f t="shared" si="22"/>
        <v>5918927.8699999992</v>
      </c>
      <c r="AN43" s="579">
        <f t="shared" si="23"/>
        <v>71317354.670000002</v>
      </c>
      <c r="AO43" s="579">
        <f t="shared" si="24"/>
        <v>0</v>
      </c>
      <c r="AP43" s="579">
        <f t="shared" si="25"/>
        <v>77236282.540000007</v>
      </c>
      <c r="AQ43" s="579">
        <f t="shared" si="6"/>
        <v>37072.13000000082</v>
      </c>
      <c r="AR43" s="579">
        <f t="shared" si="7"/>
        <v>37989645.329999998</v>
      </c>
      <c r="AS43" s="579">
        <f t="shared" si="8"/>
        <v>0</v>
      </c>
      <c r="AT43" s="579">
        <f t="shared" si="9"/>
        <v>38026717.460000001</v>
      </c>
      <c r="AU43" s="564">
        <f t="shared" si="10"/>
        <v>0.99377566655473459</v>
      </c>
      <c r="AV43" s="564">
        <f t="shared" si="11"/>
        <v>0.65245002305433319</v>
      </c>
      <c r="AW43" s="564" t="str">
        <f t="shared" si="12"/>
        <v xml:space="preserve"> </v>
      </c>
      <c r="AX43" s="564">
        <f t="shared" si="13"/>
        <v>0.67008738745304219</v>
      </c>
      <c r="AY43" s="22">
        <f t="shared" si="26"/>
        <v>0</v>
      </c>
      <c r="AZ43" s="22">
        <f t="shared" si="27"/>
        <v>-7000000</v>
      </c>
      <c r="BA43" s="22">
        <f t="shared" si="28"/>
        <v>0</v>
      </c>
      <c r="BB43" s="22">
        <f t="shared" si="29"/>
        <v>-7000000</v>
      </c>
    </row>
    <row r="44" spans="1:54" s="16" customFormat="1" ht="24">
      <c r="A44" s="587" t="s">
        <v>930</v>
      </c>
      <c r="B44" s="581" t="s">
        <v>934</v>
      </c>
      <c r="C44" s="579">
        <f>+'CY-FUR (REG)- Detail'!C29</f>
        <v>0</v>
      </c>
      <c r="D44" s="579">
        <f>+'CY-FUR (REG)- Detail'!D29</f>
        <v>12805000</v>
      </c>
      <c r="E44" s="579">
        <f>+'CY-FUR (REG)- Detail'!E29</f>
        <v>0</v>
      </c>
      <c r="F44" s="579">
        <f t="shared" si="14"/>
        <v>12805000</v>
      </c>
      <c r="G44" s="579">
        <f>+'CY-FUR (REG)- Detail'!G29</f>
        <v>0</v>
      </c>
      <c r="H44" s="579">
        <f>+'CY-FUR (REG)- Detail'!H29</f>
        <v>0</v>
      </c>
      <c r="I44" s="579">
        <f>+'CY-FUR (REG)- Detail'!I29</f>
        <v>0</v>
      </c>
      <c r="J44" s="579">
        <f>+'CY-FUR (REG)- Detail'!J29</f>
        <v>0</v>
      </c>
      <c r="K44" s="579">
        <f t="shared" si="15"/>
        <v>0</v>
      </c>
      <c r="L44" s="579">
        <f t="shared" si="16"/>
        <v>12805000</v>
      </c>
      <c r="M44" s="579">
        <f t="shared" si="17"/>
        <v>0</v>
      </c>
      <c r="N44" s="579">
        <f t="shared" si="18"/>
        <v>12805000</v>
      </c>
      <c r="O44" s="579">
        <f>+'CY-FUR (REG)- Detail'!O29</f>
        <v>0</v>
      </c>
      <c r="P44" s="579">
        <f>+'CY-FUR (REG)- Detail'!P29</f>
        <v>12805000</v>
      </c>
      <c r="Q44" s="579">
        <f>+'CY-FUR (REG)- Detail'!Q29</f>
        <v>0</v>
      </c>
      <c r="R44" s="579">
        <f t="shared" si="19"/>
        <v>12805000</v>
      </c>
      <c r="S44" s="579">
        <f>+'CY-FUR (REG)- Detail'!S29</f>
        <v>0</v>
      </c>
      <c r="T44" s="579">
        <f>+'CY-FUR (REG)- Detail'!T29</f>
        <v>0</v>
      </c>
      <c r="U44" s="579">
        <f>+'CY-FUR (REG)- Detail'!U29</f>
        <v>0</v>
      </c>
      <c r="V44" s="579">
        <f>+'CY-FUR (REG)- Detail'!V29</f>
        <v>0</v>
      </c>
      <c r="W44" s="579">
        <f>+'CY-FUR (REG)- Detail'!W29</f>
        <v>0</v>
      </c>
      <c r="X44" s="579">
        <f>+'CY-FUR (REG)- Detail'!X29</f>
        <v>0</v>
      </c>
      <c r="Y44" s="579">
        <f>+'CY-FUR (REG)- Detail'!Y29</f>
        <v>0</v>
      </c>
      <c r="Z44" s="579">
        <f t="shared" si="20"/>
        <v>0</v>
      </c>
      <c r="AA44" s="579">
        <f t="shared" si="1"/>
        <v>0</v>
      </c>
      <c r="AB44" s="579">
        <f t="shared" si="2"/>
        <v>12805000</v>
      </c>
      <c r="AC44" s="579">
        <f t="shared" si="3"/>
        <v>0</v>
      </c>
      <c r="AD44" s="579">
        <f t="shared" si="4"/>
        <v>12805000</v>
      </c>
      <c r="AE44" s="579">
        <f>+'CY-FUR (REG)- Detail'!AE29</f>
        <v>0</v>
      </c>
      <c r="AF44" s="579">
        <f>+'CY-FUR (REG)- Detail'!AF29</f>
        <v>12805000</v>
      </c>
      <c r="AG44" s="579">
        <f>+'CY-FUR (REG)- Detail'!AG29</f>
        <v>0</v>
      </c>
      <c r="AH44" s="579">
        <f t="shared" si="5"/>
        <v>12805000</v>
      </c>
      <c r="AI44" s="579">
        <f>+'CY-FUR (REG)- Detail'!AI29</f>
        <v>0</v>
      </c>
      <c r="AJ44" s="579">
        <f>+'CY-FUR (REG)- Detail'!AJ29</f>
        <v>0</v>
      </c>
      <c r="AK44" s="579">
        <f>+'CY-FUR (REG)- Detail'!AK29</f>
        <v>0</v>
      </c>
      <c r="AL44" s="579">
        <f t="shared" si="21"/>
        <v>0</v>
      </c>
      <c r="AM44" s="579">
        <f t="shared" si="22"/>
        <v>0</v>
      </c>
      <c r="AN44" s="579">
        <f t="shared" si="23"/>
        <v>12805000</v>
      </c>
      <c r="AO44" s="579">
        <f t="shared" si="24"/>
        <v>0</v>
      </c>
      <c r="AP44" s="579">
        <f t="shared" si="25"/>
        <v>12805000</v>
      </c>
      <c r="AQ44" s="579">
        <f t="shared" si="6"/>
        <v>0</v>
      </c>
      <c r="AR44" s="579">
        <f t="shared" si="7"/>
        <v>0</v>
      </c>
      <c r="AS44" s="579">
        <f t="shared" si="8"/>
        <v>0</v>
      </c>
      <c r="AT44" s="579">
        <f t="shared" si="9"/>
        <v>0</v>
      </c>
      <c r="AU44" s="564" t="str">
        <f t="shared" si="10"/>
        <v xml:space="preserve"> </v>
      </c>
      <c r="AV44" s="564">
        <f t="shared" si="11"/>
        <v>1</v>
      </c>
      <c r="AW44" s="564" t="str">
        <f t="shared" si="12"/>
        <v xml:space="preserve"> </v>
      </c>
      <c r="AX44" s="564">
        <f t="shared" si="13"/>
        <v>1</v>
      </c>
      <c r="AY44" s="22">
        <f t="shared" si="26"/>
        <v>0</v>
      </c>
      <c r="AZ44" s="22">
        <f t="shared" si="27"/>
        <v>0</v>
      </c>
      <c r="BA44" s="22">
        <f t="shared" si="28"/>
        <v>0</v>
      </c>
      <c r="BB44" s="22">
        <f t="shared" si="29"/>
        <v>0</v>
      </c>
    </row>
    <row r="45" spans="1:54" s="39" customFormat="1" ht="16.5">
      <c r="A45" s="586"/>
      <c r="B45" s="580"/>
      <c r="C45" s="37"/>
      <c r="D45" s="37"/>
      <c r="E45" s="37"/>
      <c r="F45" s="37">
        <f t="shared" si="14"/>
        <v>0</v>
      </c>
      <c r="G45" s="37"/>
      <c r="H45" s="37"/>
      <c r="I45" s="37"/>
      <c r="J45" s="37"/>
      <c r="K45" s="37">
        <f t="shared" si="15"/>
        <v>0</v>
      </c>
      <c r="L45" s="37">
        <f t="shared" si="16"/>
        <v>0</v>
      </c>
      <c r="M45" s="37">
        <f t="shared" si="17"/>
        <v>0</v>
      </c>
      <c r="N45" s="37">
        <f t="shared" si="18"/>
        <v>0</v>
      </c>
      <c r="O45" s="37"/>
      <c r="P45" s="37"/>
      <c r="Q45" s="37"/>
      <c r="R45" s="37">
        <f t="shared" si="19"/>
        <v>0</v>
      </c>
      <c r="S45" s="37"/>
      <c r="T45" s="37"/>
      <c r="U45" s="37"/>
      <c r="V45" s="37"/>
      <c r="W45" s="37"/>
      <c r="X45" s="37"/>
      <c r="Y45" s="37"/>
      <c r="Z45" s="37">
        <f t="shared" si="20"/>
        <v>0</v>
      </c>
      <c r="AA45" s="37">
        <f t="shared" si="1"/>
        <v>0</v>
      </c>
      <c r="AB45" s="37">
        <f t="shared" si="2"/>
        <v>0</v>
      </c>
      <c r="AC45" s="37">
        <f t="shared" si="3"/>
        <v>0</v>
      </c>
      <c r="AD45" s="37">
        <f t="shared" si="4"/>
        <v>0</v>
      </c>
      <c r="AE45" s="37"/>
      <c r="AF45" s="37"/>
      <c r="AG45" s="37"/>
      <c r="AH45" s="37">
        <f t="shared" si="5"/>
        <v>0</v>
      </c>
      <c r="AI45" s="37"/>
      <c r="AJ45" s="37"/>
      <c r="AK45" s="37"/>
      <c r="AL45" s="37">
        <f t="shared" si="21"/>
        <v>0</v>
      </c>
      <c r="AM45" s="37">
        <f t="shared" si="22"/>
        <v>0</v>
      </c>
      <c r="AN45" s="37">
        <f t="shared" si="23"/>
        <v>0</v>
      </c>
      <c r="AO45" s="37">
        <f t="shared" si="24"/>
        <v>0</v>
      </c>
      <c r="AP45" s="37">
        <f t="shared" si="25"/>
        <v>0</v>
      </c>
      <c r="AQ45" s="37">
        <f t="shared" si="6"/>
        <v>0</v>
      </c>
      <c r="AR45" s="37">
        <f t="shared" si="7"/>
        <v>0</v>
      </c>
      <c r="AS45" s="37">
        <f t="shared" si="8"/>
        <v>0</v>
      </c>
      <c r="AT45" s="37">
        <f t="shared" si="9"/>
        <v>0</v>
      </c>
      <c r="AU45" s="38" t="str">
        <f t="shared" si="10"/>
        <v xml:space="preserve"> </v>
      </c>
      <c r="AV45" s="38" t="str">
        <f t="shared" si="11"/>
        <v xml:space="preserve"> </v>
      </c>
      <c r="AW45" s="38" t="str">
        <f t="shared" si="12"/>
        <v xml:space="preserve"> </v>
      </c>
      <c r="AX45" s="38" t="str">
        <f t="shared" si="13"/>
        <v xml:space="preserve"> </v>
      </c>
      <c r="AY45" s="22">
        <f t="shared" si="26"/>
        <v>0</v>
      </c>
      <c r="AZ45" s="22">
        <f t="shared" si="27"/>
        <v>0</v>
      </c>
      <c r="BA45" s="22">
        <f t="shared" si="28"/>
        <v>0</v>
      </c>
      <c r="BB45" s="22">
        <f t="shared" si="29"/>
        <v>0</v>
      </c>
    </row>
    <row r="46" spans="1:54" s="39" customFormat="1" ht="16.5">
      <c r="A46" s="587" t="s">
        <v>931</v>
      </c>
      <c r="B46" s="580" t="s">
        <v>895</v>
      </c>
      <c r="C46" s="37">
        <f>SUM(C47:C48)</f>
        <v>99388000</v>
      </c>
      <c r="D46" s="37">
        <f t="shared" ref="D46:AI46" si="38">SUM(D47:D48)</f>
        <v>65755000</v>
      </c>
      <c r="E46" s="37">
        <f t="shared" si="38"/>
        <v>22000000</v>
      </c>
      <c r="F46" s="37">
        <f t="shared" si="14"/>
        <v>187143000</v>
      </c>
      <c r="G46" s="37">
        <f t="shared" si="38"/>
        <v>0</v>
      </c>
      <c r="H46" s="37">
        <f t="shared" si="38"/>
        <v>0</v>
      </c>
      <c r="I46" s="37">
        <f t="shared" si="38"/>
        <v>0</v>
      </c>
      <c r="J46" s="37">
        <f t="shared" si="38"/>
        <v>0</v>
      </c>
      <c r="K46" s="37">
        <f t="shared" si="15"/>
        <v>99388000</v>
      </c>
      <c r="L46" s="37">
        <f t="shared" si="16"/>
        <v>65755000</v>
      </c>
      <c r="M46" s="37">
        <f t="shared" si="17"/>
        <v>22000000</v>
      </c>
      <c r="N46" s="37">
        <f t="shared" si="18"/>
        <v>187143000</v>
      </c>
      <c r="O46" s="37">
        <f t="shared" si="38"/>
        <v>99388000</v>
      </c>
      <c r="P46" s="37">
        <f t="shared" si="38"/>
        <v>65755000</v>
      </c>
      <c r="Q46" s="37">
        <f t="shared" si="38"/>
        <v>22000000</v>
      </c>
      <c r="R46" s="37">
        <f t="shared" si="19"/>
        <v>187143000</v>
      </c>
      <c r="S46" s="37">
        <f t="shared" si="38"/>
        <v>0</v>
      </c>
      <c r="T46" s="37">
        <f t="shared" si="38"/>
        <v>0</v>
      </c>
      <c r="U46" s="37">
        <f t="shared" si="38"/>
        <v>0</v>
      </c>
      <c r="V46" s="37">
        <f t="shared" si="38"/>
        <v>0</v>
      </c>
      <c r="W46" s="37">
        <f t="shared" si="38"/>
        <v>0</v>
      </c>
      <c r="X46" s="37">
        <f t="shared" si="38"/>
        <v>0</v>
      </c>
      <c r="Y46" s="37">
        <f t="shared" si="38"/>
        <v>0</v>
      </c>
      <c r="Z46" s="37">
        <f t="shared" si="20"/>
        <v>0</v>
      </c>
      <c r="AA46" s="37">
        <f t="shared" si="1"/>
        <v>99388000</v>
      </c>
      <c r="AB46" s="37">
        <f t="shared" si="2"/>
        <v>65755000</v>
      </c>
      <c r="AC46" s="37">
        <f t="shared" si="3"/>
        <v>22000000</v>
      </c>
      <c r="AD46" s="37">
        <f t="shared" si="4"/>
        <v>187143000</v>
      </c>
      <c r="AE46" s="37">
        <f>SUM(AE47:AE48)</f>
        <v>91510604.739999995</v>
      </c>
      <c r="AF46" s="37">
        <f>SUM(AF47:AF48)</f>
        <v>51846416.060000002</v>
      </c>
      <c r="AG46" s="37">
        <f>SUM(AG47:AG48)</f>
        <v>8121591.8600000003</v>
      </c>
      <c r="AH46" s="37">
        <f t="shared" si="5"/>
        <v>151478612.66000003</v>
      </c>
      <c r="AI46" s="37">
        <f t="shared" si="38"/>
        <v>0</v>
      </c>
      <c r="AJ46" s="37">
        <f>SUM(AJ47:AJ48)</f>
        <v>0</v>
      </c>
      <c r="AK46" s="37">
        <f>SUM(AK47:AK48)</f>
        <v>0</v>
      </c>
      <c r="AL46" s="37">
        <f t="shared" si="21"/>
        <v>0</v>
      </c>
      <c r="AM46" s="37">
        <f t="shared" si="22"/>
        <v>91510604.739999995</v>
      </c>
      <c r="AN46" s="37">
        <f t="shared" si="23"/>
        <v>51846416.060000002</v>
      </c>
      <c r="AO46" s="37">
        <f t="shared" si="24"/>
        <v>8121591.8600000003</v>
      </c>
      <c r="AP46" s="37">
        <f t="shared" si="25"/>
        <v>151478612.66000003</v>
      </c>
      <c r="AQ46" s="37">
        <f t="shared" si="6"/>
        <v>7877395.2600000054</v>
      </c>
      <c r="AR46" s="37">
        <f t="shared" si="7"/>
        <v>13908583.939999998</v>
      </c>
      <c r="AS46" s="37">
        <f t="shared" si="8"/>
        <v>13878408.140000001</v>
      </c>
      <c r="AT46" s="37">
        <f t="shared" si="9"/>
        <v>35664387.340000004</v>
      </c>
      <c r="AU46" s="38">
        <f t="shared" si="10"/>
        <v>0.9207409822111321</v>
      </c>
      <c r="AV46" s="38">
        <f t="shared" si="11"/>
        <v>0.78847868694395862</v>
      </c>
      <c r="AW46" s="38">
        <f t="shared" si="12"/>
        <v>0.36916326636363639</v>
      </c>
      <c r="AX46" s="38">
        <f t="shared" si="13"/>
        <v>0.80942708335337166</v>
      </c>
      <c r="AY46" s="22">
        <f t="shared" si="26"/>
        <v>0</v>
      </c>
      <c r="AZ46" s="22">
        <f t="shared" si="27"/>
        <v>0</v>
      </c>
      <c r="BA46" s="22">
        <f t="shared" si="28"/>
        <v>0</v>
      </c>
      <c r="BB46" s="22">
        <f t="shared" si="29"/>
        <v>0</v>
      </c>
    </row>
    <row r="47" spans="1:54" s="16" customFormat="1">
      <c r="A47" s="587" t="s">
        <v>931</v>
      </c>
      <c r="B47" s="581" t="s">
        <v>914</v>
      </c>
      <c r="C47" s="579">
        <f>+'CY-FUR (REG)- Detail'!C40</f>
        <v>28195000</v>
      </c>
      <c r="D47" s="579">
        <f>+'CY-FUR (REG)- Detail'!D40</f>
        <v>23255000</v>
      </c>
      <c r="E47" s="579">
        <f>+'CY-FUR (REG)- Detail'!E40</f>
        <v>0</v>
      </c>
      <c r="F47" s="579">
        <f t="shared" si="14"/>
        <v>51450000</v>
      </c>
      <c r="G47" s="579">
        <f>+'CY-FUR (REG)- Detail'!G40</f>
        <v>0</v>
      </c>
      <c r="H47" s="579">
        <f>+'CY-FUR (REG)- Detail'!H40</f>
        <v>0</v>
      </c>
      <c r="I47" s="579">
        <f>+'CY-FUR (REG)- Detail'!I40</f>
        <v>0</v>
      </c>
      <c r="J47" s="579">
        <f>+'CY-FUR (REG)- Detail'!J40</f>
        <v>0</v>
      </c>
      <c r="K47" s="579">
        <f t="shared" si="15"/>
        <v>28195000</v>
      </c>
      <c r="L47" s="579">
        <f t="shared" si="16"/>
        <v>23255000</v>
      </c>
      <c r="M47" s="579">
        <f t="shared" si="17"/>
        <v>0</v>
      </c>
      <c r="N47" s="579">
        <f t="shared" si="18"/>
        <v>51450000</v>
      </c>
      <c r="O47" s="579">
        <f>+'CY-FUR (REG)- Detail'!O40</f>
        <v>28195000</v>
      </c>
      <c r="P47" s="579">
        <f>+'CY-FUR (REG)- Detail'!P40</f>
        <v>23255000</v>
      </c>
      <c r="Q47" s="579">
        <f>+'CY-FUR (REG)- Detail'!Q40</f>
        <v>0</v>
      </c>
      <c r="R47" s="579">
        <f t="shared" si="19"/>
        <v>51450000</v>
      </c>
      <c r="S47" s="579">
        <f>+'CY-FUR (REG)- Detail'!S40</f>
        <v>0</v>
      </c>
      <c r="T47" s="579">
        <f>+'CY-FUR (REG)- Detail'!T40</f>
        <v>0</v>
      </c>
      <c r="U47" s="579">
        <f>+'CY-FUR (REG)- Detail'!U40</f>
        <v>0</v>
      </c>
      <c r="V47" s="579">
        <f>+'CY-FUR (REG)- Detail'!V40</f>
        <v>0</v>
      </c>
      <c r="W47" s="579">
        <f>+'CY-FUR (REG)- Detail'!W40</f>
        <v>0</v>
      </c>
      <c r="X47" s="579">
        <f>+'CY-FUR (REG)- Detail'!X40</f>
        <v>0</v>
      </c>
      <c r="Y47" s="579">
        <f>+'CY-FUR (REG)- Detail'!Y40</f>
        <v>0</v>
      </c>
      <c r="Z47" s="579">
        <f t="shared" si="20"/>
        <v>0</v>
      </c>
      <c r="AA47" s="579">
        <f t="shared" si="1"/>
        <v>28195000</v>
      </c>
      <c r="AB47" s="579">
        <f t="shared" si="2"/>
        <v>23255000</v>
      </c>
      <c r="AC47" s="579">
        <f t="shared" si="3"/>
        <v>0</v>
      </c>
      <c r="AD47" s="579">
        <f t="shared" si="4"/>
        <v>51450000</v>
      </c>
      <c r="AE47" s="579">
        <f>+'CY-FUR (REG)- Detail'!AE40</f>
        <v>23752356.670000002</v>
      </c>
      <c r="AF47" s="579">
        <f>+'CY-FUR (REG)- Detail'!AF40</f>
        <v>16130769.859999999</v>
      </c>
      <c r="AG47" s="579">
        <f>+'CY-FUR (REG)- Detail'!AG40</f>
        <v>0</v>
      </c>
      <c r="AH47" s="579">
        <f t="shared" si="5"/>
        <v>39883126.530000001</v>
      </c>
      <c r="AI47" s="579">
        <f>+'CY-FUR (REG)- Detail'!AI40</f>
        <v>0</v>
      </c>
      <c r="AJ47" s="579">
        <f>+'CY-FUR (REG)- Detail'!AJ40</f>
        <v>0</v>
      </c>
      <c r="AK47" s="579">
        <f>+'CY-FUR (REG)- Detail'!AK40</f>
        <v>0</v>
      </c>
      <c r="AL47" s="579">
        <f t="shared" si="21"/>
        <v>0</v>
      </c>
      <c r="AM47" s="579">
        <f t="shared" si="22"/>
        <v>23752356.670000002</v>
      </c>
      <c r="AN47" s="579">
        <f t="shared" si="23"/>
        <v>16130769.859999999</v>
      </c>
      <c r="AO47" s="579">
        <f t="shared" si="24"/>
        <v>0</v>
      </c>
      <c r="AP47" s="579">
        <f t="shared" si="25"/>
        <v>39883126.530000001</v>
      </c>
      <c r="AQ47" s="579">
        <f t="shared" si="6"/>
        <v>4442643.3299999982</v>
      </c>
      <c r="AR47" s="579">
        <f t="shared" si="7"/>
        <v>7124230.1400000006</v>
      </c>
      <c r="AS47" s="579">
        <f t="shared" si="8"/>
        <v>0</v>
      </c>
      <c r="AT47" s="579">
        <f t="shared" si="9"/>
        <v>11566873.469999999</v>
      </c>
      <c r="AU47" s="564">
        <f t="shared" si="10"/>
        <v>0.84243151870899102</v>
      </c>
      <c r="AV47" s="564">
        <f t="shared" si="11"/>
        <v>0.69364738163835726</v>
      </c>
      <c r="AW47" s="564" t="str">
        <f t="shared" si="12"/>
        <v xml:space="preserve"> </v>
      </c>
      <c r="AX47" s="564">
        <f t="shared" si="13"/>
        <v>0.77518224548104964</v>
      </c>
      <c r="AY47" s="22">
        <f t="shared" si="26"/>
        <v>0</v>
      </c>
      <c r="AZ47" s="22">
        <f t="shared" si="27"/>
        <v>0</v>
      </c>
      <c r="BA47" s="22">
        <f t="shared" si="28"/>
        <v>0</v>
      </c>
      <c r="BB47" s="22">
        <f t="shared" si="29"/>
        <v>0</v>
      </c>
    </row>
    <row r="48" spans="1:54" s="16" customFormat="1">
      <c r="A48" s="587" t="s">
        <v>931</v>
      </c>
      <c r="B48" s="581" t="s">
        <v>750</v>
      </c>
      <c r="C48" s="579">
        <f>+'CY-FUR (REG)- Detail'!C42</f>
        <v>71193000</v>
      </c>
      <c r="D48" s="579">
        <f>+'CY-FUR (REG)- Detail'!D42</f>
        <v>42500000</v>
      </c>
      <c r="E48" s="579">
        <f>+'CY-FUR (REG)- Detail'!E42</f>
        <v>22000000</v>
      </c>
      <c r="F48" s="579">
        <f t="shared" si="14"/>
        <v>135693000</v>
      </c>
      <c r="G48" s="579">
        <f>+'CY-FUR (REG)- Detail'!G42</f>
        <v>0</v>
      </c>
      <c r="H48" s="579">
        <f>+'CY-FUR (REG)- Detail'!H42</f>
        <v>0</v>
      </c>
      <c r="I48" s="579">
        <f>+'CY-FUR (REG)- Detail'!I42</f>
        <v>0</v>
      </c>
      <c r="J48" s="579">
        <f>+'CY-FUR (REG)- Detail'!J42</f>
        <v>0</v>
      </c>
      <c r="K48" s="579">
        <f t="shared" si="15"/>
        <v>71193000</v>
      </c>
      <c r="L48" s="579">
        <f t="shared" si="16"/>
        <v>42500000</v>
      </c>
      <c r="M48" s="579">
        <f t="shared" si="17"/>
        <v>22000000</v>
      </c>
      <c r="N48" s="579">
        <f t="shared" si="18"/>
        <v>135693000</v>
      </c>
      <c r="O48" s="579">
        <f>+'CY-FUR (REG)- Detail'!O42</f>
        <v>71193000</v>
      </c>
      <c r="P48" s="579">
        <f>+'CY-FUR (REG)- Detail'!P42</f>
        <v>42500000</v>
      </c>
      <c r="Q48" s="579">
        <f>+'CY-FUR (REG)- Detail'!Q42</f>
        <v>22000000</v>
      </c>
      <c r="R48" s="579">
        <f t="shared" si="19"/>
        <v>135693000</v>
      </c>
      <c r="S48" s="579">
        <f>+'CY-FUR (REG)- Detail'!S42</f>
        <v>0</v>
      </c>
      <c r="T48" s="579">
        <f>+'CY-FUR (REG)- Detail'!T42</f>
        <v>0</v>
      </c>
      <c r="U48" s="579">
        <f>+'CY-FUR (REG)- Detail'!U42</f>
        <v>0</v>
      </c>
      <c r="V48" s="579">
        <f>+'CY-FUR (REG)- Detail'!V42</f>
        <v>0</v>
      </c>
      <c r="W48" s="579">
        <f>+'CY-FUR (REG)- Detail'!W42</f>
        <v>0</v>
      </c>
      <c r="X48" s="579">
        <f>+'CY-FUR (REG)- Detail'!X42</f>
        <v>0</v>
      </c>
      <c r="Y48" s="579">
        <f>+'CY-FUR (REG)- Detail'!Y42</f>
        <v>0</v>
      </c>
      <c r="Z48" s="579">
        <f t="shared" si="20"/>
        <v>0</v>
      </c>
      <c r="AA48" s="579">
        <f t="shared" si="1"/>
        <v>71193000</v>
      </c>
      <c r="AB48" s="579">
        <f t="shared" si="2"/>
        <v>42500000</v>
      </c>
      <c r="AC48" s="579">
        <f t="shared" si="3"/>
        <v>22000000</v>
      </c>
      <c r="AD48" s="579">
        <f t="shared" si="4"/>
        <v>135693000</v>
      </c>
      <c r="AE48" s="579">
        <f>+'CY-FUR (REG)- Detail'!AE42</f>
        <v>67758248.069999993</v>
      </c>
      <c r="AF48" s="579">
        <f>+'CY-FUR (REG)- Detail'!AF42</f>
        <v>35715646.200000003</v>
      </c>
      <c r="AG48" s="579">
        <f>+'CY-FUR (REG)- Detail'!AG42</f>
        <v>8121591.8600000003</v>
      </c>
      <c r="AH48" s="579">
        <f t="shared" si="5"/>
        <v>111595486.13</v>
      </c>
      <c r="AI48" s="579">
        <f>+'CY-FUR (REG)- Detail'!AI42</f>
        <v>0</v>
      </c>
      <c r="AJ48" s="579">
        <f>+'CY-FUR (REG)- Detail'!AJ42</f>
        <v>0</v>
      </c>
      <c r="AK48" s="579">
        <f>+'CY-FUR (REG)- Detail'!AK42</f>
        <v>0</v>
      </c>
      <c r="AL48" s="579">
        <f t="shared" si="21"/>
        <v>0</v>
      </c>
      <c r="AM48" s="579">
        <f t="shared" si="22"/>
        <v>67758248.069999993</v>
      </c>
      <c r="AN48" s="579">
        <f t="shared" si="23"/>
        <v>35715646.200000003</v>
      </c>
      <c r="AO48" s="579">
        <f t="shared" si="24"/>
        <v>8121591.8600000003</v>
      </c>
      <c r="AP48" s="579">
        <f t="shared" si="25"/>
        <v>111595486.13</v>
      </c>
      <c r="AQ48" s="579">
        <f t="shared" si="6"/>
        <v>3434751.9300000072</v>
      </c>
      <c r="AR48" s="579">
        <f t="shared" si="7"/>
        <v>6784353.799999997</v>
      </c>
      <c r="AS48" s="579">
        <f t="shared" si="8"/>
        <v>13878408.140000001</v>
      </c>
      <c r="AT48" s="579">
        <f t="shared" si="9"/>
        <v>24097513.870000005</v>
      </c>
      <c r="AU48" s="564">
        <f t="shared" si="10"/>
        <v>0.95175435885550541</v>
      </c>
      <c r="AV48" s="564">
        <f t="shared" si="11"/>
        <v>0.84036814588235298</v>
      </c>
      <c r="AW48" s="564">
        <f t="shared" si="12"/>
        <v>0.36916326636363639</v>
      </c>
      <c r="AX48" s="564">
        <f t="shared" si="13"/>
        <v>0.82241151813284397</v>
      </c>
      <c r="AY48" s="22">
        <f t="shared" si="26"/>
        <v>0</v>
      </c>
      <c r="AZ48" s="22">
        <f t="shared" si="27"/>
        <v>0</v>
      </c>
      <c r="BA48" s="22">
        <f t="shared" si="28"/>
        <v>0</v>
      </c>
      <c r="BB48" s="22">
        <f t="shared" si="29"/>
        <v>0</v>
      </c>
    </row>
    <row r="49" spans="1:57" s="24" customFormat="1" ht="18">
      <c r="A49" s="585"/>
      <c r="B49" s="582"/>
      <c r="C49" s="22"/>
      <c r="D49" s="22"/>
      <c r="E49" s="22"/>
      <c r="F49" s="22">
        <f t="shared" si="14"/>
        <v>0</v>
      </c>
      <c r="G49" s="22"/>
      <c r="H49" s="22"/>
      <c r="I49" s="22"/>
      <c r="J49" s="22"/>
      <c r="K49" s="22">
        <f t="shared" si="15"/>
        <v>0</v>
      </c>
      <c r="L49" s="22">
        <f t="shared" si="16"/>
        <v>0</v>
      </c>
      <c r="M49" s="22">
        <f t="shared" si="17"/>
        <v>0</v>
      </c>
      <c r="N49" s="22">
        <f t="shared" si="18"/>
        <v>0</v>
      </c>
      <c r="O49" s="22"/>
      <c r="P49" s="22"/>
      <c r="Q49" s="22"/>
      <c r="R49" s="22">
        <f t="shared" si="19"/>
        <v>0</v>
      </c>
      <c r="S49" s="22"/>
      <c r="T49" s="22"/>
      <c r="U49" s="22"/>
      <c r="V49" s="22"/>
      <c r="W49" s="22"/>
      <c r="X49" s="22"/>
      <c r="Y49" s="22"/>
      <c r="Z49" s="22">
        <f t="shared" si="20"/>
        <v>0</v>
      </c>
      <c r="AA49" s="22">
        <f t="shared" si="1"/>
        <v>0</v>
      </c>
      <c r="AB49" s="22">
        <f t="shared" si="2"/>
        <v>0</v>
      </c>
      <c r="AC49" s="22">
        <f t="shared" si="3"/>
        <v>0</v>
      </c>
      <c r="AD49" s="22">
        <f t="shared" si="4"/>
        <v>0</v>
      </c>
      <c r="AE49" s="22"/>
      <c r="AF49" s="22"/>
      <c r="AG49" s="22"/>
      <c r="AH49" s="22">
        <f t="shared" si="5"/>
        <v>0</v>
      </c>
      <c r="AI49" s="22"/>
      <c r="AJ49" s="22"/>
      <c r="AK49" s="22"/>
      <c r="AL49" s="22">
        <f t="shared" si="21"/>
        <v>0</v>
      </c>
      <c r="AM49" s="22">
        <f t="shared" si="22"/>
        <v>0</v>
      </c>
      <c r="AN49" s="22">
        <f t="shared" si="23"/>
        <v>0</v>
      </c>
      <c r="AO49" s="22">
        <f t="shared" si="24"/>
        <v>0</v>
      </c>
      <c r="AP49" s="22">
        <f t="shared" si="25"/>
        <v>0</v>
      </c>
      <c r="AQ49" s="22">
        <f t="shared" si="6"/>
        <v>0</v>
      </c>
      <c r="AR49" s="22">
        <f t="shared" si="7"/>
        <v>0</v>
      </c>
      <c r="AS49" s="22">
        <f t="shared" si="8"/>
        <v>0</v>
      </c>
      <c r="AT49" s="22">
        <f t="shared" si="9"/>
        <v>0</v>
      </c>
      <c r="AU49" s="12" t="str">
        <f t="shared" si="10"/>
        <v xml:space="preserve"> </v>
      </c>
      <c r="AV49" s="12" t="str">
        <f t="shared" si="11"/>
        <v xml:space="preserve"> </v>
      </c>
      <c r="AW49" s="12" t="str">
        <f t="shared" si="12"/>
        <v xml:space="preserve"> </v>
      </c>
      <c r="AX49" s="12" t="str">
        <f t="shared" si="13"/>
        <v xml:space="preserve"> </v>
      </c>
      <c r="AY49" s="22">
        <f t="shared" si="26"/>
        <v>0</v>
      </c>
      <c r="AZ49" s="22">
        <f t="shared" si="27"/>
        <v>0</v>
      </c>
      <c r="BA49" s="22">
        <f t="shared" si="28"/>
        <v>0</v>
      </c>
      <c r="BB49" s="22">
        <f t="shared" si="29"/>
        <v>0</v>
      </c>
      <c r="BC49" s="23"/>
      <c r="BD49" s="23"/>
      <c r="BE49" s="23"/>
    </row>
    <row r="50" spans="1:57" s="24" customFormat="1" ht="18">
      <c r="A50" s="585"/>
      <c r="B50" s="575" t="s">
        <v>952</v>
      </c>
      <c r="C50" s="22">
        <f>+'CY-FUR (REG)- Detail'!C263</f>
        <v>0</v>
      </c>
      <c r="D50" s="22">
        <f>+'CY-FUR (REG)- Detail'!D263</f>
        <v>223684000</v>
      </c>
      <c r="E50" s="22">
        <f>+'CY-FUR (REG)- Detail'!E263</f>
        <v>46176000</v>
      </c>
      <c r="F50" s="22">
        <f t="shared" si="14"/>
        <v>269860000</v>
      </c>
      <c r="G50" s="22">
        <f>+'CY-FUR (REG)- Detail'!G293+'CY-FUR (REG)- Detail'!G295</f>
        <v>0</v>
      </c>
      <c r="H50" s="22">
        <f>+'CY-FUR (REG)- Detail'!H293+'CY-FUR (REG)- Detail'!H295</f>
        <v>0</v>
      </c>
      <c r="I50" s="22">
        <f>+'CY-FUR (REG)- Detail'!I293+'CY-FUR (REG)- Detail'!I295</f>
        <v>0</v>
      </c>
      <c r="J50" s="22">
        <f>SUM(G50:I50)</f>
        <v>0</v>
      </c>
      <c r="K50" s="22">
        <f t="shared" si="15"/>
        <v>0</v>
      </c>
      <c r="L50" s="22">
        <f t="shared" si="16"/>
        <v>223684000</v>
      </c>
      <c r="M50" s="22">
        <f t="shared" si="17"/>
        <v>46176000</v>
      </c>
      <c r="N50" s="22">
        <f t="shared" si="18"/>
        <v>269860000</v>
      </c>
      <c r="O50" s="22">
        <f>+'CY-FUR (REG)- Detail'!O263</f>
        <v>0</v>
      </c>
      <c r="P50" s="22">
        <f>+'CY-FUR (REG)- Detail'!P263</f>
        <v>223684000</v>
      </c>
      <c r="Q50" s="22">
        <f>+'CY-FUR (REG)- Detail'!Q263</f>
        <v>46176000</v>
      </c>
      <c r="R50" s="22">
        <f t="shared" si="19"/>
        <v>269860000</v>
      </c>
      <c r="S50" s="22">
        <f>+'CY-FUR (REG)- Detail'!S263</f>
        <v>0</v>
      </c>
      <c r="T50" s="22">
        <f>+'CY-FUR (REG)- Detail'!T263</f>
        <v>0</v>
      </c>
      <c r="U50" s="22">
        <f>+'CY-FUR (REG)- Detail'!U263</f>
        <v>0</v>
      </c>
      <c r="V50" s="22">
        <f>SUM(S50:U50)</f>
        <v>0</v>
      </c>
      <c r="W50" s="22">
        <f>+'CY-FUR (REG)- Detail'!W263</f>
        <v>0</v>
      </c>
      <c r="X50" s="22">
        <f>+'CY-FUR (REG)- Detail'!X263</f>
        <v>0</v>
      </c>
      <c r="Y50" s="22">
        <f>+'CY-FUR (REG)- Detail'!Y263</f>
        <v>0</v>
      </c>
      <c r="Z50" s="22">
        <f t="shared" si="20"/>
        <v>0</v>
      </c>
      <c r="AA50" s="22">
        <f t="shared" si="1"/>
        <v>0</v>
      </c>
      <c r="AB50" s="22">
        <f t="shared" si="2"/>
        <v>223684000</v>
      </c>
      <c r="AC50" s="22">
        <f t="shared" si="3"/>
        <v>46176000</v>
      </c>
      <c r="AD50" s="22">
        <f t="shared" si="4"/>
        <v>269860000</v>
      </c>
      <c r="AE50" s="22">
        <f>+'CY-FUR (REG)- Detail'!AE263</f>
        <v>0</v>
      </c>
      <c r="AF50" s="22">
        <f>+'CY-FUR (REG)- Detail'!AF263</f>
        <v>32337772.780000001</v>
      </c>
      <c r="AG50" s="22">
        <f>+'CY-FUR (REG)- Detail'!AG263</f>
        <v>0</v>
      </c>
      <c r="AH50" s="22">
        <f t="shared" si="5"/>
        <v>32337772.780000001</v>
      </c>
      <c r="AI50" s="22">
        <f>+'CY-FUR (REG)- Detail'!AI263</f>
        <v>0</v>
      </c>
      <c r="AJ50" s="22">
        <f>+'CY-FUR (REG)- Detail'!AJ263</f>
        <v>0</v>
      </c>
      <c r="AK50" s="22">
        <f>+'CY-FUR (REG)- Detail'!AK263</f>
        <v>0</v>
      </c>
      <c r="AL50" s="22">
        <f t="shared" si="21"/>
        <v>0</v>
      </c>
      <c r="AM50" s="22">
        <f t="shared" si="22"/>
        <v>0</v>
      </c>
      <c r="AN50" s="22">
        <f t="shared" si="23"/>
        <v>32337772.780000001</v>
      </c>
      <c r="AO50" s="22">
        <f t="shared" si="24"/>
        <v>0</v>
      </c>
      <c r="AP50" s="22">
        <f t="shared" si="25"/>
        <v>32337772.780000001</v>
      </c>
      <c r="AQ50" s="22">
        <f t="shared" si="6"/>
        <v>0</v>
      </c>
      <c r="AR50" s="22">
        <f t="shared" si="7"/>
        <v>191346227.22</v>
      </c>
      <c r="AS50" s="22">
        <f t="shared" si="8"/>
        <v>46176000</v>
      </c>
      <c r="AT50" s="22">
        <f t="shared" si="9"/>
        <v>237522227.22</v>
      </c>
      <c r="AU50" s="12" t="str">
        <f t="shared" si="10"/>
        <v xml:space="preserve"> </v>
      </c>
      <c r="AV50" s="12">
        <f t="shared" si="11"/>
        <v>0.144569002610826</v>
      </c>
      <c r="AW50" s="12">
        <f t="shared" si="12"/>
        <v>0</v>
      </c>
      <c r="AX50" s="12">
        <f t="shared" si="13"/>
        <v>0.11983166375157489</v>
      </c>
      <c r="AY50" s="22">
        <f t="shared" si="26"/>
        <v>0</v>
      </c>
      <c r="AZ50" s="22">
        <f t="shared" si="27"/>
        <v>0</v>
      </c>
      <c r="BA50" s="22">
        <f t="shared" si="28"/>
        <v>0</v>
      </c>
      <c r="BB50" s="22">
        <f t="shared" si="29"/>
        <v>0</v>
      </c>
      <c r="BC50" s="23"/>
      <c r="BD50" s="823">
        <f>+AT50-'CY (ALL FUNDS)'!Q1710</f>
        <v>0</v>
      </c>
      <c r="BE50" s="23"/>
    </row>
    <row r="51" spans="1:57" s="24" customFormat="1" ht="18">
      <c r="A51" s="585"/>
      <c r="B51" s="575"/>
      <c r="C51" s="22"/>
      <c r="D51" s="22"/>
      <c r="E51" s="22"/>
      <c r="F51" s="22">
        <f t="shared" si="14"/>
        <v>0</v>
      </c>
      <c r="G51" s="22"/>
      <c r="H51" s="22"/>
      <c r="I51" s="22"/>
      <c r="J51" s="22"/>
      <c r="K51" s="22">
        <f t="shared" si="15"/>
        <v>0</v>
      </c>
      <c r="L51" s="22">
        <f t="shared" si="16"/>
        <v>0</v>
      </c>
      <c r="M51" s="22">
        <f t="shared" si="17"/>
        <v>0</v>
      </c>
      <c r="N51" s="22">
        <f t="shared" si="18"/>
        <v>0</v>
      </c>
      <c r="O51" s="22"/>
      <c r="P51" s="22"/>
      <c r="Q51" s="22"/>
      <c r="R51" s="22">
        <f t="shared" si="19"/>
        <v>0</v>
      </c>
      <c r="S51" s="22"/>
      <c r="T51" s="22"/>
      <c r="U51" s="22"/>
      <c r="V51" s="22"/>
      <c r="W51" s="22"/>
      <c r="X51" s="22"/>
      <c r="Y51" s="22"/>
      <c r="Z51" s="22">
        <f t="shared" si="20"/>
        <v>0</v>
      </c>
      <c r="AA51" s="22">
        <f t="shared" si="1"/>
        <v>0</v>
      </c>
      <c r="AB51" s="22">
        <f t="shared" si="2"/>
        <v>0</v>
      </c>
      <c r="AC51" s="22">
        <f t="shared" si="3"/>
        <v>0</v>
      </c>
      <c r="AD51" s="22">
        <f t="shared" si="4"/>
        <v>0</v>
      </c>
      <c r="AE51" s="22"/>
      <c r="AF51" s="22"/>
      <c r="AG51" s="22"/>
      <c r="AH51" s="22">
        <f t="shared" si="5"/>
        <v>0</v>
      </c>
      <c r="AI51" s="22"/>
      <c r="AJ51" s="22"/>
      <c r="AK51" s="22"/>
      <c r="AL51" s="22">
        <f t="shared" si="21"/>
        <v>0</v>
      </c>
      <c r="AM51" s="22"/>
      <c r="AN51" s="22"/>
      <c r="AO51" s="22"/>
      <c r="AP51" s="22">
        <f t="shared" si="25"/>
        <v>0</v>
      </c>
      <c r="AQ51" s="22">
        <f t="shared" si="6"/>
        <v>0</v>
      </c>
      <c r="AR51" s="22">
        <f t="shared" si="7"/>
        <v>0</v>
      </c>
      <c r="AS51" s="22">
        <f t="shared" si="8"/>
        <v>0</v>
      </c>
      <c r="AT51" s="22">
        <f t="shared" si="9"/>
        <v>0</v>
      </c>
      <c r="AU51" s="12" t="str">
        <f t="shared" si="10"/>
        <v xml:space="preserve"> </v>
      </c>
      <c r="AV51" s="12" t="str">
        <f t="shared" si="11"/>
        <v xml:space="preserve"> </v>
      </c>
      <c r="AW51" s="12" t="str">
        <f t="shared" si="12"/>
        <v xml:space="preserve"> </v>
      </c>
      <c r="AX51" s="12" t="str">
        <f t="shared" si="13"/>
        <v xml:space="preserve"> </v>
      </c>
      <c r="AY51" s="22">
        <f t="shared" si="26"/>
        <v>0</v>
      </c>
      <c r="AZ51" s="22">
        <f t="shared" si="27"/>
        <v>0</v>
      </c>
      <c r="BA51" s="22">
        <f t="shared" si="28"/>
        <v>0</v>
      </c>
      <c r="BB51" s="22">
        <f t="shared" si="29"/>
        <v>0</v>
      </c>
    </row>
    <row r="52" spans="1:57" s="24" customFormat="1" ht="18">
      <c r="A52" s="585"/>
      <c r="B52" s="576" t="s">
        <v>879</v>
      </c>
      <c r="C52" s="22">
        <f>+C53+C60+C66+C71</f>
        <v>8133806000</v>
      </c>
      <c r="D52" s="22">
        <f>+D53+D60+D66+D71</f>
        <v>5644376000</v>
      </c>
      <c r="E52" s="22">
        <f>+E53+E60+E66+E71</f>
        <v>0</v>
      </c>
      <c r="F52" s="22">
        <f t="shared" si="14"/>
        <v>13778182000</v>
      </c>
      <c r="G52" s="22">
        <f>+G53+G60+G66+G71</f>
        <v>92746903</v>
      </c>
      <c r="H52" s="22">
        <f>+H53+H60+H66+H71</f>
        <v>-94096903</v>
      </c>
      <c r="I52" s="22">
        <f>+I53+I60+I66+I71</f>
        <v>1350000</v>
      </c>
      <c r="J52" s="22">
        <f>+J53+J60+J66+J71</f>
        <v>0</v>
      </c>
      <c r="K52" s="22">
        <f t="shared" si="15"/>
        <v>8226552903</v>
      </c>
      <c r="L52" s="22">
        <f t="shared" si="16"/>
        <v>5550279097</v>
      </c>
      <c r="M52" s="22">
        <f t="shared" si="17"/>
        <v>1350000</v>
      </c>
      <c r="N52" s="22">
        <f t="shared" si="18"/>
        <v>13778182000</v>
      </c>
      <c r="O52" s="22">
        <f>+O53+O60+O66+O71</f>
        <v>8226552903</v>
      </c>
      <c r="P52" s="22">
        <f>+P53+P60+P66+P71</f>
        <v>5550279097</v>
      </c>
      <c r="Q52" s="22">
        <f>+Q53+Q60+Q66+Q71</f>
        <v>1350000</v>
      </c>
      <c r="R52" s="22">
        <f t="shared" si="19"/>
        <v>13778182000</v>
      </c>
      <c r="S52" s="22">
        <f t="shared" ref="S52:Y52" si="39">+S53+S60+S66+S71</f>
        <v>0</v>
      </c>
      <c r="T52" s="22">
        <f t="shared" si="39"/>
        <v>0</v>
      </c>
      <c r="U52" s="22">
        <f t="shared" si="39"/>
        <v>0</v>
      </c>
      <c r="V52" s="22">
        <f t="shared" si="39"/>
        <v>0</v>
      </c>
      <c r="W52" s="22">
        <f t="shared" si="39"/>
        <v>827006</v>
      </c>
      <c r="X52" s="22">
        <f t="shared" si="39"/>
        <v>3959941354.46</v>
      </c>
      <c r="Y52" s="22">
        <f t="shared" si="39"/>
        <v>5745606586.1000004</v>
      </c>
      <c r="Z52" s="22">
        <f t="shared" si="20"/>
        <v>9706374946.5600014</v>
      </c>
      <c r="AA52" s="22">
        <f t="shared" si="1"/>
        <v>8227379909</v>
      </c>
      <c r="AB52" s="22">
        <f t="shared" si="2"/>
        <v>9510220451.4599991</v>
      </c>
      <c r="AC52" s="22">
        <f t="shared" si="3"/>
        <v>5746956586.1000004</v>
      </c>
      <c r="AD52" s="22">
        <f t="shared" si="4"/>
        <v>23484556946.559998</v>
      </c>
      <c r="AE52" s="22">
        <f>+AE53+AE60+AE66+AE71</f>
        <v>7538179997.7300005</v>
      </c>
      <c r="AF52" s="22">
        <f>+AF53+AF60+AF66+AF71</f>
        <v>4351091828.6800003</v>
      </c>
      <c r="AG52" s="22">
        <f>+AG53+AG60+AG66+AG71</f>
        <v>0</v>
      </c>
      <c r="AH52" s="22">
        <f t="shared" si="5"/>
        <v>11889271826.41</v>
      </c>
      <c r="AI52" s="22">
        <f>+AI53+AI60+AI66+AI71</f>
        <v>763888.76999999979</v>
      </c>
      <c r="AJ52" s="22">
        <f>+AJ53+AJ60+AJ66+AJ71</f>
        <v>2949488999.0600004</v>
      </c>
      <c r="AK52" s="22">
        <f>+AK53+AK60+AK66+AK71</f>
        <v>3877002061.4500003</v>
      </c>
      <c r="AL52" s="22">
        <f t="shared" si="21"/>
        <v>6827254949.2800007</v>
      </c>
      <c r="AM52" s="22">
        <f>+AM53+AM60+AM66+AM71</f>
        <v>7538943886.5</v>
      </c>
      <c r="AN52" s="22">
        <f>+AN53+AN60+AN66+AN71</f>
        <v>7300580827.7399998</v>
      </c>
      <c r="AO52" s="22">
        <f>+AO53+AO60+AO66+AO71</f>
        <v>3877002061.4500003</v>
      </c>
      <c r="AP52" s="22">
        <f t="shared" si="25"/>
        <v>18716526775.689999</v>
      </c>
      <c r="AQ52" s="22">
        <f t="shared" si="6"/>
        <v>688436022.5</v>
      </c>
      <c r="AR52" s="22">
        <f t="shared" si="7"/>
        <v>2209639623.7199993</v>
      </c>
      <c r="AS52" s="22">
        <f t="shared" si="8"/>
        <v>1869954524.6500001</v>
      </c>
      <c r="AT52" s="22">
        <f t="shared" si="9"/>
        <v>4768030170.8699989</v>
      </c>
      <c r="AU52" s="85">
        <f t="shared" si="10"/>
        <v>0.91632378349917765</v>
      </c>
      <c r="AV52" s="85">
        <f t="shared" si="11"/>
        <v>0.76765631932530254</v>
      </c>
      <c r="AW52" s="85">
        <f t="shared" si="12"/>
        <v>0.67461829637397897</v>
      </c>
      <c r="AX52" s="85">
        <f t="shared" si="13"/>
        <v>0.79697167880493414</v>
      </c>
      <c r="AY52" s="22">
        <f t="shared" si="26"/>
        <v>0</v>
      </c>
      <c r="AZ52" s="22">
        <f t="shared" si="27"/>
        <v>0</v>
      </c>
      <c r="BA52" s="22">
        <f t="shared" si="28"/>
        <v>0</v>
      </c>
      <c r="BB52" s="22">
        <f t="shared" si="29"/>
        <v>0</v>
      </c>
      <c r="BD52" s="824">
        <f>+AT52-'CY (ALL FUNDS)'!Q1723-'CY (ALL FUNDS)'!Q1727-'CY (ALL FUNDS)'!Q1734</f>
        <v>0</v>
      </c>
    </row>
    <row r="53" spans="1:57" s="39" customFormat="1" ht="16.5">
      <c r="A53" s="586" t="s">
        <v>939</v>
      </c>
      <c r="B53" s="591" t="s">
        <v>436</v>
      </c>
      <c r="C53" s="37">
        <f>SUM(C54:C58)</f>
        <v>3920618000</v>
      </c>
      <c r="D53" s="37">
        <f t="shared" ref="D53:AO53" si="40">SUM(D54:D58)</f>
        <v>2276000000</v>
      </c>
      <c r="E53" s="37">
        <f t="shared" si="40"/>
        <v>0</v>
      </c>
      <c r="F53" s="37">
        <f t="shared" si="14"/>
        <v>6196618000</v>
      </c>
      <c r="G53" s="37">
        <f t="shared" si="40"/>
        <v>49881496</v>
      </c>
      <c r="H53" s="37">
        <f t="shared" si="40"/>
        <v>-49881496</v>
      </c>
      <c r="I53" s="37">
        <f t="shared" si="40"/>
        <v>0</v>
      </c>
      <c r="J53" s="37">
        <f t="shared" si="40"/>
        <v>0</v>
      </c>
      <c r="K53" s="37">
        <f t="shared" si="15"/>
        <v>3970499496</v>
      </c>
      <c r="L53" s="37">
        <f t="shared" si="16"/>
        <v>2226118504</v>
      </c>
      <c r="M53" s="37">
        <f t="shared" si="17"/>
        <v>0</v>
      </c>
      <c r="N53" s="37">
        <f t="shared" si="18"/>
        <v>6196618000</v>
      </c>
      <c r="O53" s="37">
        <f t="shared" si="40"/>
        <v>3970499496</v>
      </c>
      <c r="P53" s="37">
        <f t="shared" si="40"/>
        <v>2226118504</v>
      </c>
      <c r="Q53" s="37">
        <f t="shared" si="40"/>
        <v>0</v>
      </c>
      <c r="R53" s="37">
        <f t="shared" si="19"/>
        <v>6196618000</v>
      </c>
      <c r="S53" s="37">
        <f t="shared" si="40"/>
        <v>0</v>
      </c>
      <c r="T53" s="37">
        <f t="shared" si="40"/>
        <v>0</v>
      </c>
      <c r="U53" s="37">
        <f t="shared" si="40"/>
        <v>0</v>
      </c>
      <c r="V53" s="37">
        <f t="shared" si="40"/>
        <v>0</v>
      </c>
      <c r="W53" s="37">
        <f t="shared" si="40"/>
        <v>0</v>
      </c>
      <c r="X53" s="37">
        <f t="shared" si="40"/>
        <v>1454215165.79</v>
      </c>
      <c r="Y53" s="37">
        <f t="shared" si="40"/>
        <v>3164313960.0999999</v>
      </c>
      <c r="Z53" s="37">
        <f t="shared" si="20"/>
        <v>4618529125.8899994</v>
      </c>
      <c r="AA53" s="37">
        <f t="shared" si="1"/>
        <v>3970499496</v>
      </c>
      <c r="AB53" s="37">
        <f t="shared" si="2"/>
        <v>3680333669.79</v>
      </c>
      <c r="AC53" s="37">
        <f t="shared" si="3"/>
        <v>3164313960.0999999</v>
      </c>
      <c r="AD53" s="37">
        <f t="shared" si="4"/>
        <v>10815147125.889999</v>
      </c>
      <c r="AE53" s="37">
        <f t="shared" si="40"/>
        <v>3697641587.1500001</v>
      </c>
      <c r="AF53" s="37">
        <f t="shared" si="40"/>
        <v>1863192605.8</v>
      </c>
      <c r="AG53" s="37">
        <f t="shared" si="40"/>
        <v>0</v>
      </c>
      <c r="AH53" s="37">
        <f t="shared" si="5"/>
        <v>5560834192.9499998</v>
      </c>
      <c r="AI53" s="37">
        <f t="shared" si="40"/>
        <v>0</v>
      </c>
      <c r="AJ53" s="37">
        <f t="shared" si="40"/>
        <v>1168037691.7200003</v>
      </c>
      <c r="AK53" s="37">
        <f t="shared" si="40"/>
        <v>1697229511.3699999</v>
      </c>
      <c r="AL53" s="37">
        <f t="shared" si="21"/>
        <v>2865267203.0900002</v>
      </c>
      <c r="AM53" s="37">
        <f t="shared" si="40"/>
        <v>3697641587.1500001</v>
      </c>
      <c r="AN53" s="37">
        <f t="shared" si="40"/>
        <v>3031230297.5199995</v>
      </c>
      <c r="AO53" s="37">
        <f t="shared" si="40"/>
        <v>1697229511.3699999</v>
      </c>
      <c r="AP53" s="37">
        <f t="shared" si="25"/>
        <v>8426101396.04</v>
      </c>
      <c r="AQ53" s="37">
        <f t="shared" si="6"/>
        <v>272857908.8499999</v>
      </c>
      <c r="AR53" s="37">
        <f t="shared" si="7"/>
        <v>649103372.27000046</v>
      </c>
      <c r="AS53" s="37">
        <f t="shared" si="8"/>
        <v>1467084448.73</v>
      </c>
      <c r="AT53" s="37">
        <f t="shared" si="9"/>
        <v>2389045729.8500004</v>
      </c>
      <c r="AU53" s="38">
        <f t="shared" si="10"/>
        <v>0.93127869450055711</v>
      </c>
      <c r="AV53" s="38">
        <f t="shared" si="11"/>
        <v>0.82362920579778887</v>
      </c>
      <c r="AW53" s="38">
        <f t="shared" si="12"/>
        <v>0.53636571236956632</v>
      </c>
      <c r="AX53" s="38">
        <f t="shared" si="13"/>
        <v>0.77910187424718924</v>
      </c>
      <c r="AY53" s="22">
        <f t="shared" si="26"/>
        <v>0</v>
      </c>
      <c r="AZ53" s="22">
        <f t="shared" si="27"/>
        <v>0</v>
      </c>
      <c r="BA53" s="22">
        <f t="shared" si="28"/>
        <v>0</v>
      </c>
      <c r="BB53" s="22">
        <f t="shared" si="29"/>
        <v>0</v>
      </c>
    </row>
    <row r="54" spans="1:57" s="16" customFormat="1">
      <c r="A54" s="586" t="s">
        <v>939</v>
      </c>
      <c r="B54" s="592" t="s">
        <v>441</v>
      </c>
      <c r="C54" s="40">
        <f>SUM('CY-FUR (REG)- Detail'!C68:C79)</f>
        <v>2881546000</v>
      </c>
      <c r="D54" s="40">
        <f>SUM('CY-FUR (REG)- Detail'!D68:D79)</f>
        <v>1198130000</v>
      </c>
      <c r="E54" s="40">
        <f>SUM('CY-FUR (REG)- Detail'!E68:E79)</f>
        <v>0</v>
      </c>
      <c r="F54" s="40">
        <f t="shared" si="14"/>
        <v>4079676000</v>
      </c>
      <c r="G54" s="40">
        <f>SUM('CY-FUR (REG)- Detail'!G68:G79)</f>
        <v>49040671</v>
      </c>
      <c r="H54" s="40">
        <f>SUM('CY-FUR (REG)- Detail'!H68:H79)</f>
        <v>-49040671</v>
      </c>
      <c r="I54" s="40">
        <f>SUM('CY-FUR (REG)- Detail'!I68:I79)</f>
        <v>0</v>
      </c>
      <c r="J54" s="40">
        <f>SUM(G54:I54)</f>
        <v>0</v>
      </c>
      <c r="K54" s="40">
        <f t="shared" si="15"/>
        <v>2930586671</v>
      </c>
      <c r="L54" s="40">
        <f t="shared" si="16"/>
        <v>1149089329</v>
      </c>
      <c r="M54" s="40">
        <f t="shared" si="17"/>
        <v>0</v>
      </c>
      <c r="N54" s="40">
        <f t="shared" si="18"/>
        <v>4079676000</v>
      </c>
      <c r="O54" s="40">
        <f>SUM('CY-FUR (REG)- Detail'!O68:O79)</f>
        <v>2930586671</v>
      </c>
      <c r="P54" s="40">
        <f>SUM('CY-FUR (REG)- Detail'!P68:P79)</f>
        <v>1149089329</v>
      </c>
      <c r="Q54" s="40">
        <f>SUM('CY-FUR (REG)- Detail'!Q68:Q79)</f>
        <v>0</v>
      </c>
      <c r="R54" s="40">
        <f t="shared" si="19"/>
        <v>4079676000</v>
      </c>
      <c r="S54" s="40">
        <f>SUM('CY-FUR (REG)- Detail'!S68:S79)</f>
        <v>0</v>
      </c>
      <c r="T54" s="40">
        <f>SUM('CY-FUR (REG)- Detail'!T68:T79)</f>
        <v>0</v>
      </c>
      <c r="U54" s="40">
        <f>SUM('CY-FUR (REG)- Detail'!U68:U79)</f>
        <v>0</v>
      </c>
      <c r="V54" s="40">
        <f>SUM(S54:U54)</f>
        <v>0</v>
      </c>
      <c r="W54" s="40">
        <f>SUM('CY-FUR (REG)- Detail'!W68:W79)</f>
        <v>0</v>
      </c>
      <c r="X54" s="40">
        <f>SUM('CY-FUR (REG)- Detail'!X68:X79)</f>
        <v>656279868</v>
      </c>
      <c r="Y54" s="40">
        <f>SUM('CY-FUR (REG)- Detail'!Y68:Y79)</f>
        <v>1991669435.0999999</v>
      </c>
      <c r="Z54" s="40">
        <f t="shared" si="20"/>
        <v>2647949303.0999999</v>
      </c>
      <c r="AA54" s="40">
        <f t="shared" si="1"/>
        <v>2930586671</v>
      </c>
      <c r="AB54" s="40">
        <f t="shared" si="2"/>
        <v>1805369197</v>
      </c>
      <c r="AC54" s="40">
        <f t="shared" si="3"/>
        <v>1991669435.0999999</v>
      </c>
      <c r="AD54" s="40">
        <f t="shared" si="4"/>
        <v>6727625303.1000004</v>
      </c>
      <c r="AE54" s="40">
        <f>SUM('CY-FUR (REG)- Detail'!AE68:AE79)</f>
        <v>2743308772.8400002</v>
      </c>
      <c r="AF54" s="40">
        <f>SUM('CY-FUR (REG)- Detail'!AF68:AF79)</f>
        <v>990988297.47000003</v>
      </c>
      <c r="AG54" s="40">
        <f>SUM('CY-FUR (REG)- Detail'!AG68:AG79)</f>
        <v>0</v>
      </c>
      <c r="AH54" s="40">
        <f t="shared" si="5"/>
        <v>3734297070.3100004</v>
      </c>
      <c r="AI54" s="40">
        <f>SUM('CY-FUR (REG)- Detail'!AI68:AI79)</f>
        <v>0</v>
      </c>
      <c r="AJ54" s="40">
        <f>SUM('CY-FUR (REG)- Detail'!AJ68:AJ79)</f>
        <v>501760548.38000005</v>
      </c>
      <c r="AK54" s="40">
        <f>SUM('CY-FUR (REG)- Detail'!AK68:AK79)</f>
        <v>668343608.60000002</v>
      </c>
      <c r="AL54" s="40">
        <f t="shared" si="21"/>
        <v>1170104156.98</v>
      </c>
      <c r="AM54" s="40">
        <f>+AI54+AE54</f>
        <v>2743308772.8400002</v>
      </c>
      <c r="AN54" s="40">
        <f>+AJ54+AF54</f>
        <v>1492748845.8500001</v>
      </c>
      <c r="AO54" s="40">
        <f>+AK54+AG54</f>
        <v>668343608.60000002</v>
      </c>
      <c r="AP54" s="40">
        <f t="shared" si="25"/>
        <v>4904401227.2900009</v>
      </c>
      <c r="AQ54" s="40">
        <f t="shared" si="6"/>
        <v>187277898.15999985</v>
      </c>
      <c r="AR54" s="40">
        <f t="shared" si="7"/>
        <v>312620351.14999986</v>
      </c>
      <c r="AS54" s="40">
        <f t="shared" si="8"/>
        <v>1323325826.5</v>
      </c>
      <c r="AT54" s="40">
        <f t="shared" si="9"/>
        <v>1823224075.8099997</v>
      </c>
      <c r="AU54" s="564">
        <f t="shared" si="10"/>
        <v>0.9360954241643038</v>
      </c>
      <c r="AV54" s="564">
        <f t="shared" si="11"/>
        <v>0.82683854822078262</v>
      </c>
      <c r="AW54" s="564">
        <f t="shared" si="12"/>
        <v>0.33556954624171509</v>
      </c>
      <c r="AX54" s="564">
        <f t="shared" si="13"/>
        <v>0.72899440832861451</v>
      </c>
      <c r="AY54" s="22">
        <f t="shared" si="26"/>
        <v>0</v>
      </c>
      <c r="AZ54" s="22">
        <f t="shared" si="27"/>
        <v>0</v>
      </c>
      <c r="BA54" s="22">
        <f t="shared" si="28"/>
        <v>0</v>
      </c>
      <c r="BB54" s="22">
        <f t="shared" si="29"/>
        <v>0</v>
      </c>
    </row>
    <row r="55" spans="1:57" s="16" customFormat="1">
      <c r="A55" s="586" t="s">
        <v>939</v>
      </c>
      <c r="B55" s="592" t="s">
        <v>56</v>
      </c>
      <c r="C55" s="40">
        <f>+'CY-FUR (REG)- Detail'!C99</f>
        <v>282323000</v>
      </c>
      <c r="D55" s="40">
        <f>+'CY-FUR (REG)- Detail'!D99</f>
        <v>308173000</v>
      </c>
      <c r="E55" s="40">
        <f>+'CY-FUR (REG)- Detail'!E99</f>
        <v>0</v>
      </c>
      <c r="F55" s="41">
        <f t="shared" si="14"/>
        <v>590496000</v>
      </c>
      <c r="G55" s="40">
        <f>+'CY-FUR (REG)- Detail'!G99</f>
        <v>0</v>
      </c>
      <c r="H55" s="40">
        <f>+'CY-FUR (REG)- Detail'!H99</f>
        <v>0</v>
      </c>
      <c r="I55" s="40">
        <f>+'CY-FUR (REG)- Detail'!I99</f>
        <v>0</v>
      </c>
      <c r="J55" s="41">
        <f>SUM(G55:I55)</f>
        <v>0</v>
      </c>
      <c r="K55" s="40">
        <f t="shared" si="15"/>
        <v>282323000</v>
      </c>
      <c r="L55" s="40">
        <f t="shared" si="16"/>
        <v>308173000</v>
      </c>
      <c r="M55" s="40">
        <f t="shared" si="17"/>
        <v>0</v>
      </c>
      <c r="N55" s="41">
        <f t="shared" si="18"/>
        <v>590496000</v>
      </c>
      <c r="O55" s="40">
        <f>+'CY-FUR (REG)- Detail'!O99</f>
        <v>282323000</v>
      </c>
      <c r="P55" s="40">
        <f>+'CY-FUR (REG)- Detail'!P99</f>
        <v>308173000</v>
      </c>
      <c r="Q55" s="40">
        <f>+'CY-FUR (REG)- Detail'!Q99</f>
        <v>0</v>
      </c>
      <c r="R55" s="41">
        <f t="shared" si="19"/>
        <v>590496000</v>
      </c>
      <c r="S55" s="40">
        <f>+'CY-FUR (REG)- Detail'!S99</f>
        <v>0</v>
      </c>
      <c r="T55" s="40">
        <f>+'CY-FUR (REG)- Detail'!T99</f>
        <v>0</v>
      </c>
      <c r="U55" s="40">
        <f>+'CY-FUR (REG)- Detail'!U99</f>
        <v>0</v>
      </c>
      <c r="V55" s="41">
        <f>SUM(S55:U55)</f>
        <v>0</v>
      </c>
      <c r="W55" s="40">
        <f>+'CY-FUR (REG)- Detail'!W99</f>
        <v>0</v>
      </c>
      <c r="X55" s="40">
        <f>+'CY-FUR (REG)- Detail'!X99</f>
        <v>144699414</v>
      </c>
      <c r="Y55" s="40">
        <f>+'CY-FUR (REG)- Detail'!Y99</f>
        <v>473471882</v>
      </c>
      <c r="Z55" s="41">
        <f t="shared" si="20"/>
        <v>618171296</v>
      </c>
      <c r="AA55" s="41">
        <f t="shared" ref="AA55:AC58" si="41">+O55+W55+S55</f>
        <v>282323000</v>
      </c>
      <c r="AB55" s="41">
        <f t="shared" si="41"/>
        <v>452872414</v>
      </c>
      <c r="AC55" s="41">
        <f t="shared" si="41"/>
        <v>473471882</v>
      </c>
      <c r="AD55" s="41">
        <f t="shared" ref="AD55:AD76" si="42">SUM(AA55:AC55)</f>
        <v>1208667296</v>
      </c>
      <c r="AE55" s="40">
        <f>+'CY-FUR (REG)- Detail'!AE99</f>
        <v>260300649.81999999</v>
      </c>
      <c r="AF55" s="40">
        <f>+'CY-FUR (REG)- Detail'!AF99</f>
        <v>253483859.41999996</v>
      </c>
      <c r="AG55" s="40">
        <f>+'CY-FUR (REG)- Detail'!AG99</f>
        <v>0</v>
      </c>
      <c r="AH55" s="41">
        <f t="shared" si="5"/>
        <v>513784509.23999995</v>
      </c>
      <c r="AI55" s="40">
        <f>+'CY-FUR (REG)- Detail'!AI99</f>
        <v>0</v>
      </c>
      <c r="AJ55" s="40">
        <f>+'CY-FUR (REG)- Detail'!AJ99</f>
        <v>113489912.02000001</v>
      </c>
      <c r="AK55" s="40">
        <f>+'CY-FUR (REG)- Detail'!AK99</f>
        <v>370676018.92000002</v>
      </c>
      <c r="AL55" s="41">
        <f t="shared" si="21"/>
        <v>484165930.94000006</v>
      </c>
      <c r="AM55" s="41">
        <f t="shared" ref="AM55:AO76" si="43">+AI55+AE55</f>
        <v>260300649.81999999</v>
      </c>
      <c r="AN55" s="41">
        <f t="shared" si="43"/>
        <v>366973771.43999994</v>
      </c>
      <c r="AO55" s="41">
        <f t="shared" si="43"/>
        <v>370676018.92000002</v>
      </c>
      <c r="AP55" s="41">
        <f t="shared" si="25"/>
        <v>997950440.18000007</v>
      </c>
      <c r="AQ55" s="172">
        <f t="shared" si="6"/>
        <v>22022350.180000007</v>
      </c>
      <c r="AR55" s="41">
        <f t="shared" si="7"/>
        <v>85898642.560000062</v>
      </c>
      <c r="AS55" s="41">
        <f t="shared" si="8"/>
        <v>102795863.07999998</v>
      </c>
      <c r="AT55" s="41">
        <f t="shared" si="9"/>
        <v>210716855.82000005</v>
      </c>
      <c r="AU55" s="8">
        <f t="shared" si="10"/>
        <v>0.92199590476156745</v>
      </c>
      <c r="AV55" s="8">
        <f t="shared" si="11"/>
        <v>0.81032485109592023</v>
      </c>
      <c r="AW55" s="8">
        <f t="shared" si="12"/>
        <v>0.78288919154865466</v>
      </c>
      <c r="AX55" s="8">
        <f t="shared" si="13"/>
        <v>0.82566182065374594</v>
      </c>
      <c r="AY55" s="22">
        <f t="shared" si="26"/>
        <v>0</v>
      </c>
      <c r="AZ55" s="22">
        <f t="shared" si="27"/>
        <v>0</v>
      </c>
      <c r="BA55" s="22">
        <f t="shared" si="28"/>
        <v>0</v>
      </c>
      <c r="BB55" s="22">
        <f t="shared" si="29"/>
        <v>0</v>
      </c>
    </row>
    <row r="56" spans="1:57" s="16" customFormat="1">
      <c r="A56" s="586" t="s">
        <v>939</v>
      </c>
      <c r="B56" s="592" t="s">
        <v>437</v>
      </c>
      <c r="C56" s="40">
        <f>+'CY-FUR (REG)- Detail'!C149</f>
        <v>208238000</v>
      </c>
      <c r="D56" s="40">
        <f>+'CY-FUR (REG)- Detail'!D149</f>
        <v>224761000</v>
      </c>
      <c r="E56" s="40">
        <f>+'CY-FUR (REG)- Detail'!E149</f>
        <v>0</v>
      </c>
      <c r="F56" s="41">
        <f t="shared" si="14"/>
        <v>432999000</v>
      </c>
      <c r="G56" s="40">
        <f>+'CY-FUR (REG)- Detail'!G149</f>
        <v>0</v>
      </c>
      <c r="H56" s="40">
        <f>+'CY-FUR (REG)- Detail'!H149</f>
        <v>0</v>
      </c>
      <c r="I56" s="40">
        <f>+'CY-FUR (REG)- Detail'!I149</f>
        <v>0</v>
      </c>
      <c r="J56" s="41">
        <f>SUM(G56:I56)</f>
        <v>0</v>
      </c>
      <c r="K56" s="40">
        <f t="shared" si="15"/>
        <v>208238000</v>
      </c>
      <c r="L56" s="40">
        <f t="shared" si="16"/>
        <v>224761000</v>
      </c>
      <c r="M56" s="40">
        <f t="shared" si="17"/>
        <v>0</v>
      </c>
      <c r="N56" s="41">
        <f t="shared" si="18"/>
        <v>432999000</v>
      </c>
      <c r="O56" s="40">
        <f>+'CY-FUR (REG)- Detail'!O149</f>
        <v>208238000</v>
      </c>
      <c r="P56" s="40">
        <f>+'CY-FUR (REG)- Detail'!P149</f>
        <v>224761000</v>
      </c>
      <c r="Q56" s="40">
        <f>+'CY-FUR (REG)- Detail'!Q149</f>
        <v>0</v>
      </c>
      <c r="R56" s="41">
        <f t="shared" si="19"/>
        <v>432999000</v>
      </c>
      <c r="S56" s="40">
        <f>+'CY-FUR (REG)- Detail'!S149</f>
        <v>0</v>
      </c>
      <c r="T56" s="40">
        <f>+'CY-FUR (REG)- Detail'!T149</f>
        <v>0</v>
      </c>
      <c r="U56" s="40">
        <f>+'CY-FUR (REG)- Detail'!U149</f>
        <v>0</v>
      </c>
      <c r="V56" s="41">
        <f>SUM(S56:U56)</f>
        <v>0</v>
      </c>
      <c r="W56" s="40">
        <f>+'CY-FUR (REG)- Detail'!W149</f>
        <v>0</v>
      </c>
      <c r="X56" s="40">
        <f>+'CY-FUR (REG)- Detail'!X149</f>
        <v>218676768.78999999</v>
      </c>
      <c r="Y56" s="40">
        <f>+'CY-FUR (REG)- Detail'!Y149</f>
        <v>354065592</v>
      </c>
      <c r="Z56" s="41">
        <f t="shared" si="20"/>
        <v>572742360.78999996</v>
      </c>
      <c r="AA56" s="41">
        <f t="shared" si="41"/>
        <v>208238000</v>
      </c>
      <c r="AB56" s="41">
        <f t="shared" si="41"/>
        <v>443437768.78999996</v>
      </c>
      <c r="AC56" s="41">
        <f t="shared" si="41"/>
        <v>354065592</v>
      </c>
      <c r="AD56" s="41">
        <f>SUM(AA56:AC56)</f>
        <v>1005741360.79</v>
      </c>
      <c r="AE56" s="40">
        <f>+'CY-FUR (REG)- Detail'!AE149</f>
        <v>191650876.61999997</v>
      </c>
      <c r="AF56" s="40">
        <f>+'CY-FUR (REG)- Detail'!AF149</f>
        <v>200394683.25999999</v>
      </c>
      <c r="AG56" s="40">
        <f>+'CY-FUR (REG)- Detail'!AG149</f>
        <v>0</v>
      </c>
      <c r="AH56" s="41">
        <f t="shared" si="5"/>
        <v>392045559.88</v>
      </c>
      <c r="AI56" s="40">
        <f>+'CY-FUR (REG)- Detail'!AI149</f>
        <v>0</v>
      </c>
      <c r="AJ56" s="40">
        <f>+'CY-FUR (REG)- Detail'!AJ149</f>
        <v>182387998.73000005</v>
      </c>
      <c r="AK56" s="40">
        <f>+'CY-FUR (REG)- Detail'!AK149</f>
        <v>333410181.06999999</v>
      </c>
      <c r="AL56" s="41">
        <f t="shared" si="21"/>
        <v>515798179.80000007</v>
      </c>
      <c r="AM56" s="41">
        <f t="shared" ref="AM56:AO58" si="44">+AI56+AE56</f>
        <v>191650876.61999997</v>
      </c>
      <c r="AN56" s="41">
        <f t="shared" si="44"/>
        <v>382782681.99000001</v>
      </c>
      <c r="AO56" s="41">
        <f t="shared" si="44"/>
        <v>333410181.06999999</v>
      </c>
      <c r="AP56" s="41">
        <f t="shared" si="25"/>
        <v>907843739.68000007</v>
      </c>
      <c r="AQ56" s="41">
        <f t="shared" ref="AQ56:AS58" si="45">+AA56-AM56</f>
        <v>16587123.380000025</v>
      </c>
      <c r="AR56" s="41">
        <f t="shared" si="45"/>
        <v>60655086.799999952</v>
      </c>
      <c r="AS56" s="41">
        <f t="shared" si="45"/>
        <v>20655410.930000007</v>
      </c>
      <c r="AT56" s="41">
        <f>SUM(AQ56:AS56)</f>
        <v>97897621.109999985</v>
      </c>
      <c r="AU56" s="8">
        <f t="shared" si="10"/>
        <v>0.92034535781173454</v>
      </c>
      <c r="AV56" s="8">
        <f t="shared" si="11"/>
        <v>0.86321623671003866</v>
      </c>
      <c r="AW56" s="8">
        <f t="shared" si="12"/>
        <v>0.94166219085756286</v>
      </c>
      <c r="AX56" s="8">
        <f t="shared" si="13"/>
        <v>0.90266123585381608</v>
      </c>
      <c r="AY56" s="22">
        <f t="shared" si="26"/>
        <v>0</v>
      </c>
      <c r="AZ56" s="22">
        <f t="shared" si="27"/>
        <v>0</v>
      </c>
      <c r="BA56" s="22">
        <f t="shared" si="28"/>
        <v>0</v>
      </c>
      <c r="BB56" s="22">
        <f t="shared" si="29"/>
        <v>0</v>
      </c>
    </row>
    <row r="57" spans="1:57" s="16" customFormat="1">
      <c r="A57" s="586" t="s">
        <v>939</v>
      </c>
      <c r="B57" s="592" t="s">
        <v>438</v>
      </c>
      <c r="C57" s="40">
        <f>+'CY-FUR (REG)- Detail'!C156</f>
        <v>126459000</v>
      </c>
      <c r="D57" s="40">
        <f>+'CY-FUR (REG)- Detail'!D156</f>
        <v>198746000</v>
      </c>
      <c r="E57" s="40">
        <f>+'CY-FUR (REG)- Detail'!E156</f>
        <v>0</v>
      </c>
      <c r="F57" s="41">
        <f t="shared" si="14"/>
        <v>325205000</v>
      </c>
      <c r="G57" s="40">
        <f>+'CY-FUR (REG)- Detail'!G156</f>
        <v>0</v>
      </c>
      <c r="H57" s="40">
        <f>+'CY-FUR (REG)- Detail'!H156</f>
        <v>0</v>
      </c>
      <c r="I57" s="40">
        <f>+'CY-FUR (REG)- Detail'!I156</f>
        <v>0</v>
      </c>
      <c r="J57" s="41">
        <f>SUM(G57:I57)</f>
        <v>0</v>
      </c>
      <c r="K57" s="40">
        <f t="shared" si="15"/>
        <v>126459000</v>
      </c>
      <c r="L57" s="40">
        <f t="shared" si="16"/>
        <v>198746000</v>
      </c>
      <c r="M57" s="40">
        <f t="shared" si="17"/>
        <v>0</v>
      </c>
      <c r="N57" s="41">
        <f t="shared" si="18"/>
        <v>325205000</v>
      </c>
      <c r="O57" s="40">
        <f>+'CY-FUR (REG)- Detail'!O156</f>
        <v>126459000</v>
      </c>
      <c r="P57" s="40">
        <f>+'CY-FUR (REG)- Detail'!P156</f>
        <v>198746000</v>
      </c>
      <c r="Q57" s="40">
        <f>+'CY-FUR (REG)- Detail'!Q156</f>
        <v>0</v>
      </c>
      <c r="R57" s="41">
        <f t="shared" si="19"/>
        <v>325205000</v>
      </c>
      <c r="S57" s="40">
        <f>+'CY-FUR (REG)- Detail'!S156</f>
        <v>0</v>
      </c>
      <c r="T57" s="40">
        <f>+'CY-FUR (REG)- Detail'!T156</f>
        <v>0</v>
      </c>
      <c r="U57" s="40">
        <f>+'CY-FUR (REG)- Detail'!U156</f>
        <v>0</v>
      </c>
      <c r="V57" s="41">
        <f>SUM(S57:U57)</f>
        <v>0</v>
      </c>
      <c r="W57" s="40">
        <f>+'CY-FUR (REG)- Detail'!W156</f>
        <v>0</v>
      </c>
      <c r="X57" s="40">
        <f>+'CY-FUR (REG)- Detail'!X156</f>
        <v>135594717</v>
      </c>
      <c r="Y57" s="40">
        <f>+'CY-FUR (REG)- Detail'!Y156</f>
        <v>52000000</v>
      </c>
      <c r="Z57" s="41">
        <f t="shared" si="20"/>
        <v>187594717</v>
      </c>
      <c r="AA57" s="41">
        <f t="shared" si="41"/>
        <v>126459000</v>
      </c>
      <c r="AB57" s="41">
        <f t="shared" si="41"/>
        <v>334340717</v>
      </c>
      <c r="AC57" s="41">
        <f t="shared" si="41"/>
        <v>52000000</v>
      </c>
      <c r="AD57" s="41">
        <f>SUM(AA57:AC57)</f>
        <v>512799717</v>
      </c>
      <c r="AE57" s="40">
        <f>+'CY-FUR (REG)- Detail'!AE156</f>
        <v>115210349.85000002</v>
      </c>
      <c r="AF57" s="40">
        <f>+'CY-FUR (REG)- Detail'!AF156</f>
        <v>163142673.00999999</v>
      </c>
      <c r="AG57" s="40">
        <f>+'CY-FUR (REG)- Detail'!AG156</f>
        <v>0</v>
      </c>
      <c r="AH57" s="41">
        <f t="shared" si="5"/>
        <v>278353022.86000001</v>
      </c>
      <c r="AI57" s="40">
        <f>+'CY-FUR (REG)- Detail'!AI156</f>
        <v>0</v>
      </c>
      <c r="AJ57" s="40">
        <f>+'CY-FUR (REG)- Detail'!AJ156</f>
        <v>106075487.45999999</v>
      </c>
      <c r="AK57" s="40">
        <f>+'CY-FUR (REG)- Detail'!AK156</f>
        <v>45415000</v>
      </c>
      <c r="AL57" s="41">
        <f t="shared" si="21"/>
        <v>151490487.45999998</v>
      </c>
      <c r="AM57" s="41">
        <f t="shared" si="44"/>
        <v>115210349.85000002</v>
      </c>
      <c r="AN57" s="41">
        <f t="shared" si="44"/>
        <v>269218160.46999997</v>
      </c>
      <c r="AO57" s="41">
        <f t="shared" si="44"/>
        <v>45415000</v>
      </c>
      <c r="AP57" s="41">
        <f t="shared" si="25"/>
        <v>429843510.31999999</v>
      </c>
      <c r="AQ57" s="41">
        <f t="shared" si="45"/>
        <v>11248650.149999976</v>
      </c>
      <c r="AR57" s="41">
        <f t="shared" si="45"/>
        <v>65122556.530000031</v>
      </c>
      <c r="AS57" s="41">
        <f t="shared" si="45"/>
        <v>6585000</v>
      </c>
      <c r="AT57" s="41">
        <f>SUM(AQ57:AS57)</f>
        <v>82956206.680000007</v>
      </c>
      <c r="AU57" s="8">
        <f t="shared" si="10"/>
        <v>0.91104903446967023</v>
      </c>
      <c r="AV57" s="8">
        <f t="shared" si="11"/>
        <v>0.8052209820139854</v>
      </c>
      <c r="AW57" s="8">
        <f t="shared" si="12"/>
        <v>0.8733653846153846</v>
      </c>
      <c r="AX57" s="8">
        <f t="shared" si="13"/>
        <v>0.8382288368540578</v>
      </c>
      <c r="AY57" s="22">
        <f t="shared" si="26"/>
        <v>0</v>
      </c>
      <c r="AZ57" s="22">
        <f t="shared" si="27"/>
        <v>0</v>
      </c>
      <c r="BA57" s="22">
        <f t="shared" si="28"/>
        <v>0</v>
      </c>
      <c r="BB57" s="22">
        <f t="shared" si="29"/>
        <v>0</v>
      </c>
    </row>
    <row r="58" spans="1:57" s="16" customFormat="1">
      <c r="A58" s="586" t="s">
        <v>939</v>
      </c>
      <c r="B58" s="592" t="s">
        <v>439</v>
      </c>
      <c r="C58" s="40">
        <f>+'CY-FUR (REG)- Detail'!C164</f>
        <v>422052000</v>
      </c>
      <c r="D58" s="40">
        <f>+'CY-FUR (REG)- Detail'!D164</f>
        <v>346190000</v>
      </c>
      <c r="E58" s="40">
        <f>+'CY-FUR (REG)- Detail'!E164</f>
        <v>0</v>
      </c>
      <c r="F58" s="41">
        <f t="shared" si="14"/>
        <v>768242000</v>
      </c>
      <c r="G58" s="40">
        <f>+'CY-FUR (REG)- Detail'!G164</f>
        <v>840825</v>
      </c>
      <c r="H58" s="40">
        <f>+'CY-FUR (REG)- Detail'!H164</f>
        <v>-840825</v>
      </c>
      <c r="I58" s="40">
        <f>+'CY-FUR (REG)- Detail'!I164</f>
        <v>0</v>
      </c>
      <c r="J58" s="41">
        <f>SUM(G58:I58)</f>
        <v>0</v>
      </c>
      <c r="K58" s="40">
        <f t="shared" si="15"/>
        <v>422892825</v>
      </c>
      <c r="L58" s="40">
        <f t="shared" si="16"/>
        <v>345349175</v>
      </c>
      <c r="M58" s="40">
        <f t="shared" si="17"/>
        <v>0</v>
      </c>
      <c r="N58" s="41">
        <f t="shared" si="18"/>
        <v>768242000</v>
      </c>
      <c r="O58" s="40">
        <f>+'CY-FUR (REG)- Detail'!O164</f>
        <v>422892825</v>
      </c>
      <c r="P58" s="40">
        <f>+'CY-FUR (REG)- Detail'!P164</f>
        <v>345349175</v>
      </c>
      <c r="Q58" s="40">
        <f>+'CY-FUR (REG)- Detail'!Q164</f>
        <v>0</v>
      </c>
      <c r="R58" s="41">
        <f t="shared" si="19"/>
        <v>768242000</v>
      </c>
      <c r="S58" s="40">
        <f>+'CY-FUR (REG)- Detail'!S164</f>
        <v>0</v>
      </c>
      <c r="T58" s="40">
        <f>+'CY-FUR (REG)- Detail'!T164</f>
        <v>0</v>
      </c>
      <c r="U58" s="40">
        <f>+'CY-FUR (REG)- Detail'!U164</f>
        <v>0</v>
      </c>
      <c r="V58" s="41">
        <f>SUM(S58:U58)</f>
        <v>0</v>
      </c>
      <c r="W58" s="40">
        <f>+'CY-FUR (REG)- Detail'!W164</f>
        <v>0</v>
      </c>
      <c r="X58" s="40">
        <f>+'CY-FUR (REG)- Detail'!X164</f>
        <v>298964398</v>
      </c>
      <c r="Y58" s="40">
        <f>+'CY-FUR (REG)- Detail'!Y164</f>
        <v>293107051</v>
      </c>
      <c r="Z58" s="41">
        <f t="shared" si="20"/>
        <v>592071449</v>
      </c>
      <c r="AA58" s="41">
        <f t="shared" si="41"/>
        <v>422892825</v>
      </c>
      <c r="AB58" s="41">
        <f t="shared" si="41"/>
        <v>644313573</v>
      </c>
      <c r="AC58" s="41">
        <f t="shared" si="41"/>
        <v>293107051</v>
      </c>
      <c r="AD58" s="41">
        <f>SUM(AA58:AC58)</f>
        <v>1360313449</v>
      </c>
      <c r="AE58" s="40">
        <f>+'CY-FUR (REG)- Detail'!AE164</f>
        <v>387170938.01999998</v>
      </c>
      <c r="AF58" s="40">
        <f>+'CY-FUR (REG)- Detail'!AF164</f>
        <v>255183092.64000005</v>
      </c>
      <c r="AG58" s="40">
        <f>+'CY-FUR (REG)- Detail'!AG164</f>
        <v>0</v>
      </c>
      <c r="AH58" s="41">
        <f t="shared" si="5"/>
        <v>642354030.66000009</v>
      </c>
      <c r="AI58" s="40">
        <f>+'CY-FUR (REG)- Detail'!AI164</f>
        <v>0</v>
      </c>
      <c r="AJ58" s="40">
        <f>+'CY-FUR (REG)- Detail'!AJ164</f>
        <v>264323745.13</v>
      </c>
      <c r="AK58" s="40">
        <f>+'CY-FUR (REG)- Detail'!AK164</f>
        <v>279384702.78000003</v>
      </c>
      <c r="AL58" s="41">
        <f t="shared" si="21"/>
        <v>543708447.91000009</v>
      </c>
      <c r="AM58" s="41">
        <f t="shared" si="44"/>
        <v>387170938.01999998</v>
      </c>
      <c r="AN58" s="41">
        <f t="shared" si="44"/>
        <v>519506837.77000004</v>
      </c>
      <c r="AO58" s="41">
        <f t="shared" si="44"/>
        <v>279384702.78000003</v>
      </c>
      <c r="AP58" s="41">
        <f t="shared" si="25"/>
        <v>1186062478.5699999</v>
      </c>
      <c r="AQ58" s="41">
        <f t="shared" si="45"/>
        <v>35721886.980000019</v>
      </c>
      <c r="AR58" s="41">
        <f t="shared" si="45"/>
        <v>124806735.22999996</v>
      </c>
      <c r="AS58" s="41">
        <f t="shared" si="45"/>
        <v>13722348.219999969</v>
      </c>
      <c r="AT58" s="41">
        <f>SUM(AQ58:AS58)</f>
        <v>174250970.42999995</v>
      </c>
      <c r="AU58" s="8">
        <f t="shared" si="10"/>
        <v>0.91552969246995375</v>
      </c>
      <c r="AV58" s="8">
        <f t="shared" si="11"/>
        <v>0.80629503946520154</v>
      </c>
      <c r="AW58" s="8">
        <f t="shared" si="12"/>
        <v>0.95318315211734717</v>
      </c>
      <c r="AX58" s="8">
        <f t="shared" si="13"/>
        <v>0.8719038097005537</v>
      </c>
      <c r="AY58" s="22">
        <f t="shared" si="26"/>
        <v>0</v>
      </c>
      <c r="AZ58" s="22">
        <f t="shared" si="27"/>
        <v>0</v>
      </c>
      <c r="BA58" s="22">
        <f t="shared" si="28"/>
        <v>0</v>
      </c>
      <c r="BB58" s="22">
        <f t="shared" si="29"/>
        <v>0</v>
      </c>
    </row>
    <row r="59" spans="1:57">
      <c r="B59" s="592"/>
      <c r="C59" s="26"/>
      <c r="D59" s="26"/>
      <c r="E59" s="26"/>
      <c r="F59" s="27">
        <f t="shared" si="14"/>
        <v>0</v>
      </c>
      <c r="G59" s="26"/>
      <c r="H59" s="26"/>
      <c r="I59" s="26"/>
      <c r="J59" s="27"/>
      <c r="K59" s="26">
        <f t="shared" si="15"/>
        <v>0</v>
      </c>
      <c r="L59" s="26">
        <f t="shared" si="16"/>
        <v>0</v>
      </c>
      <c r="M59" s="26">
        <f t="shared" si="17"/>
        <v>0</v>
      </c>
      <c r="N59" s="27">
        <f t="shared" si="18"/>
        <v>0</v>
      </c>
      <c r="O59" s="26"/>
      <c r="P59" s="26"/>
      <c r="Q59" s="26"/>
      <c r="R59" s="27">
        <f t="shared" si="19"/>
        <v>0</v>
      </c>
      <c r="S59" s="26"/>
      <c r="T59" s="26"/>
      <c r="U59" s="26"/>
      <c r="V59" s="27"/>
      <c r="W59" s="26"/>
      <c r="X59" s="26"/>
      <c r="Y59" s="26"/>
      <c r="Z59" s="27">
        <f t="shared" si="20"/>
        <v>0</v>
      </c>
      <c r="AA59" s="27"/>
      <c r="AB59" s="27"/>
      <c r="AC59" s="27"/>
      <c r="AD59" s="27"/>
      <c r="AE59" s="26"/>
      <c r="AF59" s="26"/>
      <c r="AG59" s="26"/>
      <c r="AH59" s="27">
        <f t="shared" si="5"/>
        <v>0</v>
      </c>
      <c r="AI59" s="26"/>
      <c r="AJ59" s="26"/>
      <c r="AK59" s="26"/>
      <c r="AL59" s="27">
        <f t="shared" si="21"/>
        <v>0</v>
      </c>
      <c r="AM59" s="27"/>
      <c r="AN59" s="27"/>
      <c r="AO59" s="27"/>
      <c r="AP59" s="27">
        <f t="shared" si="25"/>
        <v>0</v>
      </c>
      <c r="AQ59" s="27"/>
      <c r="AR59" s="27"/>
      <c r="AS59" s="27"/>
      <c r="AT59" s="27"/>
      <c r="AU59" s="8" t="str">
        <f t="shared" si="10"/>
        <v xml:space="preserve"> </v>
      </c>
      <c r="AV59" s="8" t="str">
        <f t="shared" si="11"/>
        <v xml:space="preserve"> </v>
      </c>
      <c r="AW59" s="8" t="str">
        <f t="shared" si="12"/>
        <v xml:space="preserve"> </v>
      </c>
      <c r="AX59" s="8" t="str">
        <f t="shared" si="13"/>
        <v xml:space="preserve"> </v>
      </c>
      <c r="AY59" s="22">
        <f t="shared" si="26"/>
        <v>0</v>
      </c>
      <c r="AZ59" s="22">
        <f t="shared" si="27"/>
        <v>0</v>
      </c>
      <c r="BA59" s="22">
        <f t="shared" si="28"/>
        <v>0</v>
      </c>
      <c r="BB59" s="22">
        <f t="shared" si="29"/>
        <v>0</v>
      </c>
    </row>
    <row r="60" spans="1:57" s="39" customFormat="1" ht="16.5">
      <c r="A60" s="586" t="s">
        <v>936</v>
      </c>
      <c r="B60" s="591" t="s">
        <v>440</v>
      </c>
      <c r="C60" s="37">
        <f>SUM(C61:C64)</f>
        <v>1526094000</v>
      </c>
      <c r="D60" s="37">
        <f t="shared" ref="D60:AT60" si="46">SUM(D61:D64)</f>
        <v>1069039000</v>
      </c>
      <c r="E60" s="37">
        <f t="shared" si="46"/>
        <v>0</v>
      </c>
      <c r="F60" s="37">
        <f t="shared" si="14"/>
        <v>2595133000</v>
      </c>
      <c r="G60" s="37">
        <f>SUM(G61:G64)</f>
        <v>0</v>
      </c>
      <c r="H60" s="37">
        <f>SUM(H61:H64)</f>
        <v>0</v>
      </c>
      <c r="I60" s="37">
        <f>SUM(I61:I64)</f>
        <v>0</v>
      </c>
      <c r="J60" s="37">
        <f>SUM(J61:J64)</f>
        <v>0</v>
      </c>
      <c r="K60" s="37">
        <f t="shared" si="15"/>
        <v>1526094000</v>
      </c>
      <c r="L60" s="37">
        <f t="shared" si="16"/>
        <v>1069039000</v>
      </c>
      <c r="M60" s="37">
        <f t="shared" si="17"/>
        <v>0</v>
      </c>
      <c r="N60" s="37">
        <f t="shared" si="18"/>
        <v>2595133000</v>
      </c>
      <c r="O60" s="37">
        <f t="shared" si="46"/>
        <v>1526094000</v>
      </c>
      <c r="P60" s="37">
        <f t="shared" si="46"/>
        <v>1069039000</v>
      </c>
      <c r="Q60" s="37">
        <f t="shared" si="46"/>
        <v>0</v>
      </c>
      <c r="R60" s="37">
        <f t="shared" si="19"/>
        <v>2595133000</v>
      </c>
      <c r="S60" s="37">
        <f>SUM(S61:S64)</f>
        <v>0</v>
      </c>
      <c r="T60" s="37">
        <f>SUM(T61:T64)</f>
        <v>0</v>
      </c>
      <c r="U60" s="37">
        <f>SUM(U61:U64)</f>
        <v>0</v>
      </c>
      <c r="V60" s="37">
        <f>SUM(V61:V64)</f>
        <v>0</v>
      </c>
      <c r="W60" s="37">
        <f t="shared" si="46"/>
        <v>827006</v>
      </c>
      <c r="X60" s="37">
        <f t="shared" si="46"/>
        <v>793774307</v>
      </c>
      <c r="Y60" s="37">
        <f t="shared" si="46"/>
        <v>1102560729</v>
      </c>
      <c r="Z60" s="37">
        <f t="shared" si="20"/>
        <v>1897162042</v>
      </c>
      <c r="AA60" s="37">
        <f>+O60+W60</f>
        <v>1526921006</v>
      </c>
      <c r="AB60" s="37">
        <f>+P60+X60</f>
        <v>1862813307</v>
      </c>
      <c r="AC60" s="37">
        <f>+Q60+Y60</f>
        <v>1102560729</v>
      </c>
      <c r="AD60" s="37">
        <f>SUM(AA60:AC60)</f>
        <v>4492295042</v>
      </c>
      <c r="AE60" s="37">
        <f t="shared" si="46"/>
        <v>1373045383.28</v>
      </c>
      <c r="AF60" s="37">
        <f t="shared" si="46"/>
        <v>821686399.06999993</v>
      </c>
      <c r="AG60" s="37">
        <f t="shared" si="46"/>
        <v>0</v>
      </c>
      <c r="AH60" s="37">
        <f t="shared" si="5"/>
        <v>2194731782.3499999</v>
      </c>
      <c r="AI60" s="37">
        <f t="shared" si="46"/>
        <v>763888.76999999979</v>
      </c>
      <c r="AJ60" s="37">
        <f t="shared" si="46"/>
        <v>631458971.04999995</v>
      </c>
      <c r="AK60" s="37">
        <f t="shared" si="46"/>
        <v>1072210380.1300001</v>
      </c>
      <c r="AL60" s="37">
        <f t="shared" si="21"/>
        <v>1704433239.95</v>
      </c>
      <c r="AM60" s="37">
        <f t="shared" si="46"/>
        <v>1373809272.05</v>
      </c>
      <c r="AN60" s="37">
        <f t="shared" si="46"/>
        <v>1453145370.1199999</v>
      </c>
      <c r="AO60" s="37">
        <f t="shared" si="46"/>
        <v>1072210380.1300001</v>
      </c>
      <c r="AP60" s="37">
        <f t="shared" si="25"/>
        <v>3899165022.3000002</v>
      </c>
      <c r="AQ60" s="37">
        <f t="shared" si="46"/>
        <v>153111733.95000005</v>
      </c>
      <c r="AR60" s="37">
        <f t="shared" si="46"/>
        <v>409667936.88</v>
      </c>
      <c r="AS60" s="37">
        <f t="shared" si="46"/>
        <v>30350348.86999993</v>
      </c>
      <c r="AT60" s="37">
        <f t="shared" si="46"/>
        <v>593130019.70000005</v>
      </c>
      <c r="AU60" s="38">
        <f t="shared" si="10"/>
        <v>0.89972517677839847</v>
      </c>
      <c r="AV60" s="38">
        <f t="shared" si="11"/>
        <v>0.78008105517575621</v>
      </c>
      <c r="AW60" s="38">
        <f t="shared" si="12"/>
        <v>0.9724728551709555</v>
      </c>
      <c r="AX60" s="38">
        <f t="shared" si="13"/>
        <v>0.86796726079773823</v>
      </c>
      <c r="AY60" s="22">
        <f t="shared" si="26"/>
        <v>0</v>
      </c>
      <c r="AZ60" s="22">
        <f t="shared" si="27"/>
        <v>0</v>
      </c>
      <c r="BA60" s="22">
        <f t="shared" si="28"/>
        <v>0</v>
      </c>
      <c r="BB60" s="22">
        <f t="shared" si="29"/>
        <v>0</v>
      </c>
    </row>
    <row r="61" spans="1:57" s="16" customFormat="1">
      <c r="A61" s="586" t="s">
        <v>936</v>
      </c>
      <c r="B61" s="592" t="s">
        <v>115</v>
      </c>
      <c r="C61" s="40">
        <f>+'CY-FUR (REG)- Detail'!C118</f>
        <v>336145000</v>
      </c>
      <c r="D61" s="40">
        <f>+'CY-FUR (REG)- Detail'!D118</f>
        <v>247569000</v>
      </c>
      <c r="E61" s="40">
        <f>+'CY-FUR (REG)- Detail'!E118</f>
        <v>0</v>
      </c>
      <c r="F61" s="41">
        <f t="shared" si="14"/>
        <v>583714000</v>
      </c>
      <c r="G61" s="40">
        <f>+'CY-FUR (REG)- Detail'!G118</f>
        <v>0</v>
      </c>
      <c r="H61" s="40">
        <f>+'CY-FUR (REG)- Detail'!H118</f>
        <v>0</v>
      </c>
      <c r="I61" s="40">
        <f>+'CY-FUR (REG)- Detail'!I118</f>
        <v>0</v>
      </c>
      <c r="J61" s="41">
        <f>SUM(G61:I61)</f>
        <v>0</v>
      </c>
      <c r="K61" s="40">
        <f t="shared" si="15"/>
        <v>336145000</v>
      </c>
      <c r="L61" s="40">
        <f t="shared" si="16"/>
        <v>247569000</v>
      </c>
      <c r="M61" s="40">
        <f t="shared" si="17"/>
        <v>0</v>
      </c>
      <c r="N61" s="41">
        <f t="shared" si="18"/>
        <v>583714000</v>
      </c>
      <c r="O61" s="40">
        <f>+'CY-FUR (REG)- Detail'!O118</f>
        <v>336145000</v>
      </c>
      <c r="P61" s="40">
        <f>+'CY-FUR (REG)- Detail'!P118</f>
        <v>247569000</v>
      </c>
      <c r="Q61" s="40">
        <f>+'CY-FUR (REG)- Detail'!Q118</f>
        <v>0</v>
      </c>
      <c r="R61" s="41">
        <f t="shared" si="19"/>
        <v>583714000</v>
      </c>
      <c r="S61" s="40">
        <f>+'CY-FUR (REG)- Detail'!S118</f>
        <v>0</v>
      </c>
      <c r="T61" s="40">
        <f>+'CY-FUR (REG)- Detail'!T118</f>
        <v>0</v>
      </c>
      <c r="U61" s="40">
        <f>+'CY-FUR (REG)- Detail'!U118</f>
        <v>0</v>
      </c>
      <c r="V61" s="41">
        <f>SUM(S61:U61)</f>
        <v>0</v>
      </c>
      <c r="W61" s="40">
        <f>+'CY-FUR (REG)- Detail'!W118</f>
        <v>0</v>
      </c>
      <c r="X61" s="40">
        <f>+'CY-FUR (REG)- Detail'!X118</f>
        <v>152669232</v>
      </c>
      <c r="Y61" s="40">
        <f>+'CY-FUR (REG)- Detail'!Y118</f>
        <v>64550000</v>
      </c>
      <c r="Z61" s="41">
        <f t="shared" si="20"/>
        <v>217219232</v>
      </c>
      <c r="AA61" s="41">
        <f t="shared" ref="AA61:AC64" si="47">+O61+W61+S61</f>
        <v>336145000</v>
      </c>
      <c r="AB61" s="41">
        <f t="shared" si="47"/>
        <v>400238232</v>
      </c>
      <c r="AC61" s="41">
        <f t="shared" si="47"/>
        <v>64550000</v>
      </c>
      <c r="AD61" s="41">
        <f t="shared" si="42"/>
        <v>800933232</v>
      </c>
      <c r="AE61" s="40">
        <f>+'CY-FUR (REG)- Detail'!AE118</f>
        <v>311023533.09999996</v>
      </c>
      <c r="AF61" s="40">
        <f>+'CY-FUR (REG)- Detail'!AF118</f>
        <v>225438953.56000006</v>
      </c>
      <c r="AG61" s="40">
        <f>+'CY-FUR (REG)- Detail'!AG118</f>
        <v>0</v>
      </c>
      <c r="AH61" s="41">
        <f t="shared" si="5"/>
        <v>536462486.66000003</v>
      </c>
      <c r="AI61" s="40">
        <f>+'CY-FUR (REG)- Detail'!AI118</f>
        <v>0</v>
      </c>
      <c r="AJ61" s="40">
        <f>+'CY-FUR (REG)- Detail'!AJ118</f>
        <v>135713638.26999998</v>
      </c>
      <c r="AK61" s="40">
        <f>+'CY-FUR (REG)- Detail'!AK118</f>
        <v>59739805.579999998</v>
      </c>
      <c r="AL61" s="41">
        <f t="shared" si="21"/>
        <v>195453443.84999996</v>
      </c>
      <c r="AM61" s="41">
        <f t="shared" si="43"/>
        <v>311023533.09999996</v>
      </c>
      <c r="AN61" s="41">
        <f t="shared" si="43"/>
        <v>361152591.83000004</v>
      </c>
      <c r="AO61" s="41">
        <f t="shared" si="43"/>
        <v>59739805.579999998</v>
      </c>
      <c r="AP61" s="41">
        <f t="shared" si="25"/>
        <v>731915930.51000011</v>
      </c>
      <c r="AQ61" s="41">
        <f t="shared" ref="AQ61:AS64" si="48">+AA61-AM61</f>
        <v>25121466.900000036</v>
      </c>
      <c r="AR61" s="41">
        <f t="shared" si="48"/>
        <v>39085640.169999957</v>
      </c>
      <c r="AS61" s="41">
        <f t="shared" si="48"/>
        <v>4810194.4200000018</v>
      </c>
      <c r="AT61" s="41">
        <f t="shared" ref="AT61:AT76" si="49">SUM(AQ61:AS61)</f>
        <v>69017301.489999995</v>
      </c>
      <c r="AU61" s="8">
        <f t="shared" si="10"/>
        <v>0.92526598075235378</v>
      </c>
      <c r="AV61" s="8">
        <f t="shared" si="11"/>
        <v>0.9023440614988526</v>
      </c>
      <c r="AW61" s="8">
        <f t="shared" si="12"/>
        <v>0.92548110890782331</v>
      </c>
      <c r="AX61" s="8">
        <f t="shared" si="13"/>
        <v>0.91382889517811905</v>
      </c>
      <c r="AY61" s="22">
        <f t="shared" si="26"/>
        <v>0</v>
      </c>
      <c r="AZ61" s="22">
        <f t="shared" si="27"/>
        <v>0</v>
      </c>
      <c r="BA61" s="22">
        <f t="shared" si="28"/>
        <v>0</v>
      </c>
      <c r="BB61" s="22">
        <f t="shared" si="29"/>
        <v>0</v>
      </c>
    </row>
    <row r="62" spans="1:57" s="16" customFormat="1">
      <c r="A62" s="586" t="s">
        <v>936</v>
      </c>
      <c r="B62" s="592" t="s">
        <v>442</v>
      </c>
      <c r="C62" s="40">
        <f>+'CY-FUR (REG)- Detail'!C109</f>
        <v>408702000</v>
      </c>
      <c r="D62" s="40">
        <f>+'CY-FUR (REG)- Detail'!D109</f>
        <v>248619000</v>
      </c>
      <c r="E62" s="40">
        <f>+'CY-FUR (REG)- Detail'!E109</f>
        <v>0</v>
      </c>
      <c r="F62" s="41">
        <f t="shared" si="14"/>
        <v>657321000</v>
      </c>
      <c r="G62" s="40">
        <f>+'CY-FUR (REG)- Detail'!G109</f>
        <v>0</v>
      </c>
      <c r="H62" s="40">
        <f>+'CY-FUR (REG)- Detail'!H109</f>
        <v>0</v>
      </c>
      <c r="I62" s="40">
        <f>+'CY-FUR (REG)- Detail'!I109</f>
        <v>0</v>
      </c>
      <c r="J62" s="41">
        <f>SUM(G62:I62)</f>
        <v>0</v>
      </c>
      <c r="K62" s="40">
        <f t="shared" si="15"/>
        <v>408702000</v>
      </c>
      <c r="L62" s="40">
        <f t="shared" si="16"/>
        <v>248619000</v>
      </c>
      <c r="M62" s="40">
        <f t="shared" si="17"/>
        <v>0</v>
      </c>
      <c r="N62" s="41">
        <f t="shared" si="18"/>
        <v>657321000</v>
      </c>
      <c r="O62" s="40">
        <f>+'CY-FUR (REG)- Detail'!O109</f>
        <v>408702000</v>
      </c>
      <c r="P62" s="40">
        <f>+'CY-FUR (REG)- Detail'!P109</f>
        <v>248619000</v>
      </c>
      <c r="Q62" s="40">
        <f>+'CY-FUR (REG)- Detail'!Q109</f>
        <v>0</v>
      </c>
      <c r="R62" s="41">
        <f t="shared" si="19"/>
        <v>657321000</v>
      </c>
      <c r="S62" s="40">
        <f>+'CY-FUR (REG)- Detail'!S109</f>
        <v>0</v>
      </c>
      <c r="T62" s="40">
        <f>+'CY-FUR (REG)- Detail'!T109</f>
        <v>0</v>
      </c>
      <c r="U62" s="40">
        <f>+'CY-FUR (REG)- Detail'!U109</f>
        <v>0</v>
      </c>
      <c r="V62" s="41">
        <f>SUM(S62:U62)</f>
        <v>0</v>
      </c>
      <c r="W62" s="40">
        <f>+'CY-FUR (REG)- Detail'!W109</f>
        <v>0</v>
      </c>
      <c r="X62" s="40">
        <f>+'CY-FUR (REG)- Detail'!X109</f>
        <v>217675441</v>
      </c>
      <c r="Y62" s="40">
        <f>+'CY-FUR (REG)- Detail'!Y109</f>
        <v>298230229</v>
      </c>
      <c r="Z62" s="41">
        <f t="shared" si="20"/>
        <v>515905670</v>
      </c>
      <c r="AA62" s="41">
        <f t="shared" si="47"/>
        <v>408702000</v>
      </c>
      <c r="AB62" s="41">
        <f t="shared" si="47"/>
        <v>466294441</v>
      </c>
      <c r="AC62" s="41">
        <f t="shared" si="47"/>
        <v>298230229</v>
      </c>
      <c r="AD62" s="41">
        <f t="shared" si="42"/>
        <v>1173226670</v>
      </c>
      <c r="AE62" s="40">
        <f>+'CY-FUR (REG)- Detail'!AE109</f>
        <v>371304829.38999999</v>
      </c>
      <c r="AF62" s="40">
        <f>+'CY-FUR (REG)- Detail'!AF109</f>
        <v>206249063</v>
      </c>
      <c r="AG62" s="40">
        <f>+'CY-FUR (REG)- Detail'!AG109</f>
        <v>0</v>
      </c>
      <c r="AH62" s="41">
        <f t="shared" si="5"/>
        <v>577553892.38999999</v>
      </c>
      <c r="AI62" s="40">
        <f>+'CY-FUR (REG)- Detail'!AI109</f>
        <v>0</v>
      </c>
      <c r="AJ62" s="40">
        <f>+'CY-FUR (REG)- Detail'!AJ109</f>
        <v>181987002.38</v>
      </c>
      <c r="AK62" s="40">
        <f>+'CY-FUR (REG)- Detail'!AK109</f>
        <v>294070135.32000005</v>
      </c>
      <c r="AL62" s="41">
        <f t="shared" si="21"/>
        <v>476057137.70000005</v>
      </c>
      <c r="AM62" s="41">
        <f t="shared" si="43"/>
        <v>371304829.38999999</v>
      </c>
      <c r="AN62" s="41">
        <f t="shared" si="43"/>
        <v>388236065.38</v>
      </c>
      <c r="AO62" s="41">
        <f t="shared" si="43"/>
        <v>294070135.32000005</v>
      </c>
      <c r="AP62" s="41">
        <f t="shared" si="25"/>
        <v>1053611030.09</v>
      </c>
      <c r="AQ62" s="41">
        <f t="shared" si="48"/>
        <v>37397170.610000014</v>
      </c>
      <c r="AR62" s="41">
        <f t="shared" si="48"/>
        <v>78058375.620000005</v>
      </c>
      <c r="AS62" s="41">
        <f t="shared" si="48"/>
        <v>4160093.6799999475</v>
      </c>
      <c r="AT62" s="41">
        <f t="shared" si="49"/>
        <v>119615639.90999997</v>
      </c>
      <c r="AU62" s="8">
        <f t="shared" si="10"/>
        <v>0.90849770588350431</v>
      </c>
      <c r="AV62" s="8">
        <f t="shared" si="11"/>
        <v>0.8325985284049312</v>
      </c>
      <c r="AW62" s="8">
        <f t="shared" si="12"/>
        <v>0.98605073102767204</v>
      </c>
      <c r="AX62" s="8">
        <f t="shared" si="13"/>
        <v>0.89804558405580737</v>
      </c>
      <c r="AY62" s="22">
        <f t="shared" si="26"/>
        <v>0</v>
      </c>
      <c r="AZ62" s="22">
        <f t="shared" si="27"/>
        <v>0</v>
      </c>
      <c r="BA62" s="22">
        <f t="shared" si="28"/>
        <v>0</v>
      </c>
      <c r="BB62" s="22">
        <f t="shared" si="29"/>
        <v>0</v>
      </c>
    </row>
    <row r="63" spans="1:57" s="16" customFormat="1">
      <c r="A63" s="586" t="s">
        <v>936</v>
      </c>
      <c r="B63" s="592" t="s">
        <v>443</v>
      </c>
      <c r="C63" s="40">
        <f>+'CY-FUR (REG)- Detail'!C128</f>
        <v>339824000</v>
      </c>
      <c r="D63" s="40">
        <f>+'CY-FUR (REG)- Detail'!D128</f>
        <v>223470000</v>
      </c>
      <c r="E63" s="40">
        <f>+'CY-FUR (REG)- Detail'!E128</f>
        <v>0</v>
      </c>
      <c r="F63" s="41">
        <f t="shared" si="14"/>
        <v>563294000</v>
      </c>
      <c r="G63" s="40">
        <f>+'CY-FUR (REG)- Detail'!G128</f>
        <v>0</v>
      </c>
      <c r="H63" s="40">
        <f>+'CY-FUR (REG)- Detail'!H128</f>
        <v>0</v>
      </c>
      <c r="I63" s="40">
        <f>+'CY-FUR (REG)- Detail'!I128</f>
        <v>0</v>
      </c>
      <c r="J63" s="41">
        <f>SUM(G63:I63)</f>
        <v>0</v>
      </c>
      <c r="K63" s="40">
        <f t="shared" si="15"/>
        <v>339824000</v>
      </c>
      <c r="L63" s="40">
        <f t="shared" si="16"/>
        <v>223470000</v>
      </c>
      <c r="M63" s="40">
        <f t="shared" si="17"/>
        <v>0</v>
      </c>
      <c r="N63" s="41">
        <f t="shared" si="18"/>
        <v>563294000</v>
      </c>
      <c r="O63" s="40">
        <f>+'CY-FUR (REG)- Detail'!O128</f>
        <v>339824000</v>
      </c>
      <c r="P63" s="40">
        <f>+'CY-FUR (REG)- Detail'!P128</f>
        <v>223470000</v>
      </c>
      <c r="Q63" s="40">
        <f>+'CY-FUR (REG)- Detail'!Q128</f>
        <v>0</v>
      </c>
      <c r="R63" s="41">
        <f t="shared" si="19"/>
        <v>563294000</v>
      </c>
      <c r="S63" s="40">
        <f>+'CY-FUR (REG)- Detail'!S128</f>
        <v>0</v>
      </c>
      <c r="T63" s="40">
        <f>+'CY-FUR (REG)- Detail'!T128</f>
        <v>0</v>
      </c>
      <c r="U63" s="40">
        <f>+'CY-FUR (REG)- Detail'!U128</f>
        <v>0</v>
      </c>
      <c r="V63" s="41">
        <f>SUM(S63:U63)</f>
        <v>0</v>
      </c>
      <c r="W63" s="40">
        <f>+'CY-FUR (REG)- Detail'!W128</f>
        <v>0</v>
      </c>
      <c r="X63" s="40">
        <f>+'CY-FUR (REG)- Detail'!X128</f>
        <v>167639684</v>
      </c>
      <c r="Y63" s="40">
        <f>+'CY-FUR (REG)- Detail'!Y128</f>
        <v>412488500</v>
      </c>
      <c r="Z63" s="41">
        <f t="shared" si="20"/>
        <v>580128184</v>
      </c>
      <c r="AA63" s="41">
        <f t="shared" si="47"/>
        <v>339824000</v>
      </c>
      <c r="AB63" s="41">
        <f t="shared" si="47"/>
        <v>391109684</v>
      </c>
      <c r="AC63" s="41">
        <f t="shared" si="47"/>
        <v>412488500</v>
      </c>
      <c r="AD63" s="41">
        <f t="shared" si="42"/>
        <v>1143422184</v>
      </c>
      <c r="AE63" s="40">
        <f>+'CY-FUR (REG)- Detail'!AE128</f>
        <v>303830308.55000001</v>
      </c>
      <c r="AF63" s="40">
        <f>+'CY-FUR (REG)- Detail'!AF128</f>
        <v>171208628.93999997</v>
      </c>
      <c r="AG63" s="40">
        <f>+'CY-FUR (REG)- Detail'!AG128</f>
        <v>0</v>
      </c>
      <c r="AH63" s="41">
        <f t="shared" si="5"/>
        <v>475038937.49000001</v>
      </c>
      <c r="AI63" s="40">
        <f>+'CY-FUR (REG)- Detail'!AI128</f>
        <v>0</v>
      </c>
      <c r="AJ63" s="40">
        <f>+'CY-FUR (REG)- Detail'!AJ128</f>
        <v>127209037.57999998</v>
      </c>
      <c r="AK63" s="40">
        <f>+'CY-FUR (REG)- Detail'!AK128</f>
        <v>401602644.66000003</v>
      </c>
      <c r="AL63" s="41">
        <f t="shared" si="21"/>
        <v>528811682.24000001</v>
      </c>
      <c r="AM63" s="41">
        <f t="shared" si="43"/>
        <v>303830308.55000001</v>
      </c>
      <c r="AN63" s="41">
        <f t="shared" si="43"/>
        <v>298417666.51999998</v>
      </c>
      <c r="AO63" s="41">
        <f t="shared" si="43"/>
        <v>401602644.66000003</v>
      </c>
      <c r="AP63" s="41">
        <f t="shared" si="25"/>
        <v>1003850619.73</v>
      </c>
      <c r="AQ63" s="41">
        <f t="shared" si="48"/>
        <v>35993691.449999988</v>
      </c>
      <c r="AR63" s="41">
        <f t="shared" si="48"/>
        <v>92692017.480000019</v>
      </c>
      <c r="AS63" s="41">
        <f t="shared" si="48"/>
        <v>10885855.339999974</v>
      </c>
      <c r="AT63" s="41">
        <f t="shared" si="49"/>
        <v>139571564.26999998</v>
      </c>
      <c r="AU63" s="8">
        <f t="shared" si="10"/>
        <v>0.89408137315198455</v>
      </c>
      <c r="AV63" s="8">
        <f t="shared" si="11"/>
        <v>0.76300249962616618</v>
      </c>
      <c r="AW63" s="8">
        <f t="shared" si="12"/>
        <v>0.97360931192021116</v>
      </c>
      <c r="AX63" s="8">
        <f t="shared" si="13"/>
        <v>0.87793523142804442</v>
      </c>
      <c r="AY63" s="22">
        <f t="shared" si="26"/>
        <v>0</v>
      </c>
      <c r="AZ63" s="22">
        <f t="shared" si="27"/>
        <v>0</v>
      </c>
      <c r="BA63" s="22">
        <f t="shared" si="28"/>
        <v>0</v>
      </c>
      <c r="BB63" s="22">
        <f t="shared" si="29"/>
        <v>0</v>
      </c>
    </row>
    <row r="64" spans="1:57" s="16" customFormat="1">
      <c r="A64" s="586" t="s">
        <v>936</v>
      </c>
      <c r="B64" s="592" t="s">
        <v>444</v>
      </c>
      <c r="C64" s="40">
        <f>+'CY-FUR (REG)- Detail'!C138</f>
        <v>441423000</v>
      </c>
      <c r="D64" s="40">
        <f>+'CY-FUR (REG)- Detail'!D138</f>
        <v>349381000</v>
      </c>
      <c r="E64" s="40">
        <f>+'CY-FUR (REG)- Detail'!E138</f>
        <v>0</v>
      </c>
      <c r="F64" s="41">
        <f t="shared" si="14"/>
        <v>790804000</v>
      </c>
      <c r="G64" s="40">
        <f>+'CY-FUR (REG)- Detail'!G138</f>
        <v>0</v>
      </c>
      <c r="H64" s="40">
        <f>+'CY-FUR (REG)- Detail'!H138</f>
        <v>0</v>
      </c>
      <c r="I64" s="40">
        <f>+'CY-FUR (REG)- Detail'!I138</f>
        <v>0</v>
      </c>
      <c r="J64" s="41">
        <f>SUM(G64:I64)</f>
        <v>0</v>
      </c>
      <c r="K64" s="40">
        <f t="shared" si="15"/>
        <v>441423000</v>
      </c>
      <c r="L64" s="40">
        <f t="shared" si="16"/>
        <v>349381000</v>
      </c>
      <c r="M64" s="40">
        <f t="shared" si="17"/>
        <v>0</v>
      </c>
      <c r="N64" s="41">
        <f t="shared" si="18"/>
        <v>790804000</v>
      </c>
      <c r="O64" s="40">
        <f>+'CY-FUR (REG)- Detail'!O138</f>
        <v>441423000</v>
      </c>
      <c r="P64" s="40">
        <f>+'CY-FUR (REG)- Detail'!P138</f>
        <v>349381000</v>
      </c>
      <c r="Q64" s="40">
        <f>+'CY-FUR (REG)- Detail'!Q138</f>
        <v>0</v>
      </c>
      <c r="R64" s="41">
        <f t="shared" si="19"/>
        <v>790804000</v>
      </c>
      <c r="S64" s="40">
        <f>+'CY-FUR (REG)- Detail'!S138</f>
        <v>0</v>
      </c>
      <c r="T64" s="40">
        <f>+'CY-FUR (REG)- Detail'!T138</f>
        <v>0</v>
      </c>
      <c r="U64" s="40">
        <f>+'CY-FUR (REG)- Detail'!U138</f>
        <v>0</v>
      </c>
      <c r="V64" s="41">
        <f>SUM(S64:U64)</f>
        <v>0</v>
      </c>
      <c r="W64" s="40">
        <f>+'CY-FUR (REG)- Detail'!W138</f>
        <v>827006</v>
      </c>
      <c r="X64" s="40">
        <f>+'CY-FUR (REG)- Detail'!X138</f>
        <v>255789950</v>
      </c>
      <c r="Y64" s="40">
        <f>+'CY-FUR (REG)- Detail'!Y138</f>
        <v>327292000</v>
      </c>
      <c r="Z64" s="41">
        <f t="shared" si="20"/>
        <v>583908956</v>
      </c>
      <c r="AA64" s="41">
        <f t="shared" si="47"/>
        <v>442250006</v>
      </c>
      <c r="AB64" s="41">
        <f t="shared" si="47"/>
        <v>605170950</v>
      </c>
      <c r="AC64" s="41">
        <f t="shared" si="47"/>
        <v>327292000</v>
      </c>
      <c r="AD64" s="41">
        <f t="shared" si="42"/>
        <v>1374712956</v>
      </c>
      <c r="AE64" s="40">
        <f>+'CY-FUR (REG)- Detail'!AE138</f>
        <v>386886712.24000001</v>
      </c>
      <c r="AF64" s="40">
        <f>+'CY-FUR (REG)- Detail'!AF138</f>
        <v>218789753.56999999</v>
      </c>
      <c r="AG64" s="40">
        <f>+'CY-FUR (REG)- Detail'!AG138</f>
        <v>0</v>
      </c>
      <c r="AH64" s="41">
        <f t="shared" si="5"/>
        <v>605676465.80999994</v>
      </c>
      <c r="AI64" s="40">
        <f>+'CY-FUR (REG)- Detail'!AI138</f>
        <v>763888.76999999979</v>
      </c>
      <c r="AJ64" s="40">
        <f>+'CY-FUR (REG)- Detail'!AJ138</f>
        <v>186549292.82000002</v>
      </c>
      <c r="AK64" s="40">
        <f>+'CY-FUR (REG)- Detail'!AK138</f>
        <v>316797794.56999999</v>
      </c>
      <c r="AL64" s="41">
        <f t="shared" si="21"/>
        <v>504110976.16000003</v>
      </c>
      <c r="AM64" s="41">
        <f t="shared" si="43"/>
        <v>387650601.00999999</v>
      </c>
      <c r="AN64" s="41">
        <f t="shared" si="43"/>
        <v>405339046.38999999</v>
      </c>
      <c r="AO64" s="41">
        <f t="shared" si="43"/>
        <v>316797794.56999999</v>
      </c>
      <c r="AP64" s="41">
        <f t="shared" si="25"/>
        <v>1109787441.97</v>
      </c>
      <c r="AQ64" s="41">
        <f t="shared" si="48"/>
        <v>54599404.99000001</v>
      </c>
      <c r="AR64" s="41">
        <f t="shared" si="48"/>
        <v>199831903.61000001</v>
      </c>
      <c r="AS64" s="41">
        <f t="shared" si="48"/>
        <v>10494205.430000007</v>
      </c>
      <c r="AT64" s="41">
        <f t="shared" si="49"/>
        <v>264925514.03000003</v>
      </c>
      <c r="AU64" s="8">
        <f t="shared" si="10"/>
        <v>0.87654176540587769</v>
      </c>
      <c r="AV64" s="8">
        <f t="shared" si="11"/>
        <v>0.66979263692350066</v>
      </c>
      <c r="AW64" s="8">
        <f t="shared" si="12"/>
        <v>0.96793626049521531</v>
      </c>
      <c r="AX64" s="8">
        <f t="shared" si="13"/>
        <v>0.80728666819227968</v>
      </c>
      <c r="AY64" s="22">
        <f t="shared" si="26"/>
        <v>0</v>
      </c>
      <c r="AZ64" s="22">
        <f t="shared" si="27"/>
        <v>0</v>
      </c>
      <c r="BA64" s="22">
        <f t="shared" si="28"/>
        <v>0</v>
      </c>
      <c r="BB64" s="22">
        <f t="shared" si="29"/>
        <v>0</v>
      </c>
    </row>
    <row r="65" spans="1:58">
      <c r="B65" s="592"/>
      <c r="C65" s="26"/>
      <c r="D65" s="26"/>
      <c r="E65" s="26"/>
      <c r="F65" s="27">
        <f t="shared" si="14"/>
        <v>0</v>
      </c>
      <c r="G65" s="26"/>
      <c r="H65" s="26"/>
      <c r="I65" s="26"/>
      <c r="J65" s="27"/>
      <c r="K65" s="26">
        <f t="shared" si="15"/>
        <v>0</v>
      </c>
      <c r="L65" s="26">
        <f t="shared" si="16"/>
        <v>0</v>
      </c>
      <c r="M65" s="26">
        <f t="shared" si="17"/>
        <v>0</v>
      </c>
      <c r="N65" s="27">
        <f t="shared" si="18"/>
        <v>0</v>
      </c>
      <c r="O65" s="26"/>
      <c r="P65" s="26"/>
      <c r="Q65" s="26"/>
      <c r="R65" s="27">
        <f t="shared" si="19"/>
        <v>0</v>
      </c>
      <c r="S65" s="26"/>
      <c r="T65" s="26"/>
      <c r="U65" s="26"/>
      <c r="V65" s="27"/>
      <c r="W65" s="26"/>
      <c r="X65" s="26"/>
      <c r="Y65" s="26"/>
      <c r="Z65" s="27">
        <f t="shared" si="20"/>
        <v>0</v>
      </c>
      <c r="AA65" s="27"/>
      <c r="AB65" s="27"/>
      <c r="AC65" s="27"/>
      <c r="AD65" s="27"/>
      <c r="AE65" s="26"/>
      <c r="AF65" s="26"/>
      <c r="AG65" s="26"/>
      <c r="AH65" s="27">
        <f t="shared" si="5"/>
        <v>0</v>
      </c>
      <c r="AI65" s="26"/>
      <c r="AJ65" s="26"/>
      <c r="AK65" s="26"/>
      <c r="AL65" s="27">
        <f t="shared" si="21"/>
        <v>0</v>
      </c>
      <c r="AM65" s="27"/>
      <c r="AN65" s="27"/>
      <c r="AO65" s="27"/>
      <c r="AP65" s="27">
        <f t="shared" si="25"/>
        <v>0</v>
      </c>
      <c r="AQ65" s="27"/>
      <c r="AR65" s="27"/>
      <c r="AS65" s="27"/>
      <c r="AT65" s="27"/>
      <c r="AU65" s="8" t="str">
        <f t="shared" si="10"/>
        <v xml:space="preserve"> </v>
      </c>
      <c r="AV65" s="8" t="str">
        <f t="shared" si="11"/>
        <v xml:space="preserve"> </v>
      </c>
      <c r="AW65" s="8" t="str">
        <f t="shared" si="12"/>
        <v xml:space="preserve"> </v>
      </c>
      <c r="AX65" s="8" t="str">
        <f t="shared" si="13"/>
        <v xml:space="preserve"> </v>
      </c>
      <c r="AY65" s="22">
        <f t="shared" si="26"/>
        <v>0</v>
      </c>
      <c r="AZ65" s="22">
        <f t="shared" si="27"/>
        <v>0</v>
      </c>
      <c r="BA65" s="22">
        <f t="shared" si="28"/>
        <v>0</v>
      </c>
      <c r="BB65" s="22">
        <f t="shared" si="29"/>
        <v>0</v>
      </c>
    </row>
    <row r="66" spans="1:58" s="39" customFormat="1" ht="16.5">
      <c r="A66" s="586" t="s">
        <v>937</v>
      </c>
      <c r="B66" s="591" t="s">
        <v>445</v>
      </c>
      <c r="C66" s="37">
        <f>SUM(C67:C69)</f>
        <v>1181987000</v>
      </c>
      <c r="D66" s="37">
        <f t="shared" ref="D66:AT66" si="50">SUM(D67:D69)</f>
        <v>991925000</v>
      </c>
      <c r="E66" s="37">
        <f t="shared" si="50"/>
        <v>0</v>
      </c>
      <c r="F66" s="37">
        <f t="shared" si="14"/>
        <v>2173912000</v>
      </c>
      <c r="G66" s="37">
        <f>SUM(G67:G69)</f>
        <v>27571837</v>
      </c>
      <c r="H66" s="37">
        <f>SUM(H67:H69)</f>
        <v>-27571837</v>
      </c>
      <c r="I66" s="37">
        <f>SUM(I67:I69)</f>
        <v>0</v>
      </c>
      <c r="J66" s="37">
        <f>SUM(J67:J69)</f>
        <v>0</v>
      </c>
      <c r="K66" s="37">
        <f t="shared" si="15"/>
        <v>1209558837</v>
      </c>
      <c r="L66" s="37">
        <f t="shared" si="16"/>
        <v>964353163</v>
      </c>
      <c r="M66" s="37">
        <f t="shared" si="17"/>
        <v>0</v>
      </c>
      <c r="N66" s="37">
        <f t="shared" si="18"/>
        <v>2173912000</v>
      </c>
      <c r="O66" s="37">
        <f t="shared" si="50"/>
        <v>1209558837</v>
      </c>
      <c r="P66" s="37">
        <f t="shared" si="50"/>
        <v>964353163</v>
      </c>
      <c r="Q66" s="37">
        <f t="shared" si="50"/>
        <v>0</v>
      </c>
      <c r="R66" s="37">
        <f t="shared" si="19"/>
        <v>2173912000</v>
      </c>
      <c r="S66" s="37">
        <f>SUM(S67:S69)</f>
        <v>0</v>
      </c>
      <c r="T66" s="37">
        <f>SUM(T67:T69)</f>
        <v>0</v>
      </c>
      <c r="U66" s="37">
        <f>SUM(U67:U69)</f>
        <v>0</v>
      </c>
      <c r="V66" s="37">
        <f>SUM(V67:V69)</f>
        <v>0</v>
      </c>
      <c r="W66" s="37">
        <f t="shared" si="50"/>
        <v>0</v>
      </c>
      <c r="X66" s="37">
        <f t="shared" si="50"/>
        <v>828061632.66000009</v>
      </c>
      <c r="Y66" s="37">
        <f t="shared" si="50"/>
        <v>421589949</v>
      </c>
      <c r="Z66" s="37">
        <f t="shared" si="20"/>
        <v>1249651581.6600001</v>
      </c>
      <c r="AA66" s="37">
        <f>+O66+W66</f>
        <v>1209558837</v>
      </c>
      <c r="AB66" s="37">
        <f>+P66+X66</f>
        <v>1792414795.6600001</v>
      </c>
      <c r="AC66" s="37">
        <f>+Q66+Y66</f>
        <v>421589949</v>
      </c>
      <c r="AD66" s="37">
        <f>SUM(AA66:AC66)</f>
        <v>3423563581.6599998</v>
      </c>
      <c r="AE66" s="37">
        <f t="shared" si="50"/>
        <v>1080081296.71</v>
      </c>
      <c r="AF66" s="37">
        <f t="shared" si="50"/>
        <v>722035787.75999999</v>
      </c>
      <c r="AG66" s="37">
        <f t="shared" si="50"/>
        <v>0</v>
      </c>
      <c r="AH66" s="37">
        <f t="shared" si="5"/>
        <v>1802117084.47</v>
      </c>
      <c r="AI66" s="37">
        <f t="shared" si="50"/>
        <v>0</v>
      </c>
      <c r="AJ66" s="37">
        <f t="shared" si="50"/>
        <v>570554954.25999999</v>
      </c>
      <c r="AK66" s="37">
        <f t="shared" si="50"/>
        <v>281161500.81999999</v>
      </c>
      <c r="AL66" s="37">
        <f t="shared" si="21"/>
        <v>851716455.07999992</v>
      </c>
      <c r="AM66" s="37">
        <f t="shared" si="50"/>
        <v>1080081296.71</v>
      </c>
      <c r="AN66" s="37">
        <f t="shared" si="50"/>
        <v>1292590742.02</v>
      </c>
      <c r="AO66" s="37">
        <f t="shared" si="50"/>
        <v>281161500.81999999</v>
      </c>
      <c r="AP66" s="37">
        <f t="shared" si="25"/>
        <v>2653833539.5500002</v>
      </c>
      <c r="AQ66" s="37">
        <f t="shared" si="50"/>
        <v>129477540.28999987</v>
      </c>
      <c r="AR66" s="37">
        <f t="shared" si="50"/>
        <v>499824053.63999987</v>
      </c>
      <c r="AS66" s="37">
        <f t="shared" si="50"/>
        <v>140428448.18000001</v>
      </c>
      <c r="AT66" s="37">
        <f t="shared" si="50"/>
        <v>769730042.10999978</v>
      </c>
      <c r="AU66" s="38">
        <f t="shared" si="10"/>
        <v>0.8929547399189478</v>
      </c>
      <c r="AV66" s="38">
        <f t="shared" si="11"/>
        <v>0.72114487402679817</v>
      </c>
      <c r="AW66" s="38">
        <f t="shared" si="12"/>
        <v>0.6669075045240227</v>
      </c>
      <c r="AX66" s="38">
        <f t="shared" si="13"/>
        <v>0.77516700836711872</v>
      </c>
      <c r="AY66" s="22">
        <f t="shared" si="26"/>
        <v>0</v>
      </c>
      <c r="AZ66" s="22">
        <f t="shared" si="27"/>
        <v>0</v>
      </c>
      <c r="BA66" s="22">
        <f t="shared" si="28"/>
        <v>0</v>
      </c>
      <c r="BB66" s="22">
        <f t="shared" si="29"/>
        <v>0</v>
      </c>
    </row>
    <row r="67" spans="1:58" s="16" customFormat="1">
      <c r="A67" s="586" t="s">
        <v>937</v>
      </c>
      <c r="B67" s="592" t="s">
        <v>446</v>
      </c>
      <c r="C67" s="40">
        <f>+'CY-FUR (REG)- Detail'!C173</f>
        <v>413566000</v>
      </c>
      <c r="D67" s="40">
        <f>+'CY-FUR (REG)- Detail'!D173</f>
        <v>341822000</v>
      </c>
      <c r="E67" s="40">
        <f>+'CY-FUR (REG)- Detail'!E173</f>
        <v>0</v>
      </c>
      <c r="F67" s="41">
        <f t="shared" si="14"/>
        <v>755388000</v>
      </c>
      <c r="G67" s="40">
        <f>+'CY-FUR (REG)- Detail'!G173</f>
        <v>16641681</v>
      </c>
      <c r="H67" s="40">
        <f>+'CY-FUR (REG)- Detail'!H173</f>
        <v>-16641681</v>
      </c>
      <c r="I67" s="40">
        <f>+'CY-FUR (REG)- Detail'!I173</f>
        <v>0</v>
      </c>
      <c r="J67" s="41">
        <f>SUM(G67:I67)</f>
        <v>0</v>
      </c>
      <c r="K67" s="40">
        <f t="shared" si="15"/>
        <v>430207681</v>
      </c>
      <c r="L67" s="40">
        <f t="shared" si="16"/>
        <v>325180319</v>
      </c>
      <c r="M67" s="40">
        <f t="shared" si="17"/>
        <v>0</v>
      </c>
      <c r="N67" s="41">
        <f t="shared" si="18"/>
        <v>755388000</v>
      </c>
      <c r="O67" s="40">
        <f>+'CY-FUR (REG)- Detail'!O173</f>
        <v>430207681</v>
      </c>
      <c r="P67" s="40">
        <f>+'CY-FUR (REG)- Detail'!P173</f>
        <v>325180319</v>
      </c>
      <c r="Q67" s="40">
        <f>+'CY-FUR (REG)- Detail'!Q173</f>
        <v>0</v>
      </c>
      <c r="R67" s="41">
        <f t="shared" si="19"/>
        <v>755388000</v>
      </c>
      <c r="S67" s="40">
        <f>+'CY-FUR (REG)- Detail'!S173</f>
        <v>0</v>
      </c>
      <c r="T67" s="40">
        <f>+'CY-FUR (REG)- Detail'!T173</f>
        <v>0</v>
      </c>
      <c r="U67" s="40">
        <f>+'CY-FUR (REG)- Detail'!U173</f>
        <v>0</v>
      </c>
      <c r="V67" s="41">
        <f>SUM(S67:U67)</f>
        <v>0</v>
      </c>
      <c r="W67" s="40">
        <f>+'CY-FUR (REG)- Detail'!W173</f>
        <v>0</v>
      </c>
      <c r="X67" s="40">
        <f>+'CY-FUR (REG)- Detail'!X173</f>
        <v>257522900.06</v>
      </c>
      <c r="Y67" s="40">
        <f>+'CY-FUR (REG)- Detail'!Y173</f>
        <v>303830932</v>
      </c>
      <c r="Z67" s="41">
        <f t="shared" si="20"/>
        <v>561353832.05999994</v>
      </c>
      <c r="AA67" s="41">
        <f t="shared" ref="AA67:AC69" si="51">+O67+W67+S67</f>
        <v>430207681</v>
      </c>
      <c r="AB67" s="41">
        <f t="shared" si="51"/>
        <v>582703219.05999994</v>
      </c>
      <c r="AC67" s="41">
        <f t="shared" si="51"/>
        <v>303830932</v>
      </c>
      <c r="AD67" s="41">
        <f t="shared" si="42"/>
        <v>1316741832.0599999</v>
      </c>
      <c r="AE67" s="40">
        <f>+'CY-FUR (REG)- Detail'!AE173</f>
        <v>396551613.13000005</v>
      </c>
      <c r="AF67" s="40">
        <f>+'CY-FUR (REG)- Detail'!AF173</f>
        <v>214230165.46000004</v>
      </c>
      <c r="AG67" s="40">
        <f>+'CY-FUR (REG)- Detail'!AG173</f>
        <v>0</v>
      </c>
      <c r="AH67" s="41">
        <f t="shared" si="5"/>
        <v>610781778.59000015</v>
      </c>
      <c r="AI67" s="40">
        <f>+'CY-FUR (REG)- Detail'!AI173</f>
        <v>0</v>
      </c>
      <c r="AJ67" s="40">
        <f>+'CY-FUR (REG)- Detail'!AJ173</f>
        <v>180608552.14999998</v>
      </c>
      <c r="AK67" s="40">
        <f>+'CY-FUR (REG)- Detail'!AK173</f>
        <v>194779712.66</v>
      </c>
      <c r="AL67" s="41">
        <f t="shared" si="21"/>
        <v>375388264.80999994</v>
      </c>
      <c r="AM67" s="41">
        <f t="shared" si="43"/>
        <v>396551613.13000005</v>
      </c>
      <c r="AN67" s="41">
        <f t="shared" si="43"/>
        <v>394838717.61000001</v>
      </c>
      <c r="AO67" s="41">
        <f t="shared" si="43"/>
        <v>194779712.66</v>
      </c>
      <c r="AP67" s="41">
        <f t="shared" si="25"/>
        <v>986170043.39999998</v>
      </c>
      <c r="AQ67" s="41">
        <f t="shared" ref="AQ67:AS69" si="52">+AA67-AM67</f>
        <v>33656067.869999945</v>
      </c>
      <c r="AR67" s="41">
        <f t="shared" si="52"/>
        <v>187864501.44999993</v>
      </c>
      <c r="AS67" s="41">
        <f t="shared" si="52"/>
        <v>109051219.34</v>
      </c>
      <c r="AT67" s="41">
        <f t="shared" si="49"/>
        <v>330571788.65999985</v>
      </c>
      <c r="AU67" s="8">
        <f t="shared" si="10"/>
        <v>0.92176785920751625</v>
      </c>
      <c r="AV67" s="8">
        <f t="shared" si="11"/>
        <v>0.67759831196220688</v>
      </c>
      <c r="AW67" s="8">
        <f t="shared" si="12"/>
        <v>0.64107927187611036</v>
      </c>
      <c r="AX67" s="8">
        <f t="shared" si="13"/>
        <v>0.74894715075404639</v>
      </c>
      <c r="AY67" s="22">
        <f t="shared" si="26"/>
        <v>0</v>
      </c>
      <c r="AZ67" s="22">
        <f t="shared" si="27"/>
        <v>0</v>
      </c>
      <c r="BA67" s="22">
        <f t="shared" si="28"/>
        <v>0</v>
      </c>
      <c r="BB67" s="22">
        <f t="shared" si="29"/>
        <v>0</v>
      </c>
    </row>
    <row r="68" spans="1:58" s="16" customFormat="1">
      <c r="A68" s="586" t="s">
        <v>937</v>
      </c>
      <c r="B68" s="592" t="s">
        <v>447</v>
      </c>
      <c r="C68" s="40">
        <f>+'CY-FUR (REG)- Detail'!C183</f>
        <v>498268000</v>
      </c>
      <c r="D68" s="40">
        <f>+'CY-FUR (REG)- Detail'!D183</f>
        <v>420868000</v>
      </c>
      <c r="E68" s="40">
        <f>+'CY-FUR (REG)- Detail'!E183</f>
        <v>0</v>
      </c>
      <c r="F68" s="41">
        <f t="shared" si="14"/>
        <v>919136000</v>
      </c>
      <c r="G68" s="40">
        <f>+'CY-FUR (REG)- Detail'!G183</f>
        <v>10930156</v>
      </c>
      <c r="H68" s="40">
        <f>+'CY-FUR (REG)- Detail'!H183</f>
        <v>-10930156</v>
      </c>
      <c r="I68" s="40">
        <f>+'CY-FUR (REG)- Detail'!I183</f>
        <v>0</v>
      </c>
      <c r="J68" s="41">
        <f>SUM(G68:I68)</f>
        <v>0</v>
      </c>
      <c r="K68" s="40">
        <f t="shared" si="15"/>
        <v>509198156</v>
      </c>
      <c r="L68" s="40">
        <f t="shared" si="16"/>
        <v>409937844</v>
      </c>
      <c r="M68" s="40">
        <f t="shared" si="17"/>
        <v>0</v>
      </c>
      <c r="N68" s="41">
        <f t="shared" si="18"/>
        <v>919136000</v>
      </c>
      <c r="O68" s="40">
        <f>+'CY-FUR (REG)- Detail'!O183</f>
        <v>509198156</v>
      </c>
      <c r="P68" s="40">
        <f>+'CY-FUR (REG)- Detail'!P183</f>
        <v>409937844</v>
      </c>
      <c r="Q68" s="40">
        <f>+'CY-FUR (REG)- Detail'!Q183</f>
        <v>0</v>
      </c>
      <c r="R68" s="41">
        <f t="shared" si="19"/>
        <v>919136000</v>
      </c>
      <c r="S68" s="40">
        <f>+'CY-FUR (REG)- Detail'!S183</f>
        <v>0</v>
      </c>
      <c r="T68" s="40">
        <f>+'CY-FUR (REG)- Detail'!T183</f>
        <v>0</v>
      </c>
      <c r="U68" s="40">
        <f>+'CY-FUR (REG)- Detail'!U183</f>
        <v>0</v>
      </c>
      <c r="V68" s="41">
        <f>SUM(S68:U68)</f>
        <v>0</v>
      </c>
      <c r="W68" s="40">
        <f>+'CY-FUR (REG)- Detail'!W183</f>
        <v>0</v>
      </c>
      <c r="X68" s="40">
        <f>+'CY-FUR (REG)- Detail'!X183</f>
        <v>307330343.60000002</v>
      </c>
      <c r="Y68" s="40">
        <f>+'CY-FUR (REG)- Detail'!Y183</f>
        <v>77874017</v>
      </c>
      <c r="Z68" s="41">
        <f t="shared" si="20"/>
        <v>385204360.60000002</v>
      </c>
      <c r="AA68" s="41">
        <f t="shared" si="51"/>
        <v>509198156</v>
      </c>
      <c r="AB68" s="41">
        <f t="shared" si="51"/>
        <v>717268187.60000002</v>
      </c>
      <c r="AC68" s="41">
        <f t="shared" si="51"/>
        <v>77874017</v>
      </c>
      <c r="AD68" s="41">
        <f t="shared" si="42"/>
        <v>1304340360.5999999</v>
      </c>
      <c r="AE68" s="40">
        <f>+'CY-FUR (REG)- Detail'!AE183</f>
        <v>471963150.01000005</v>
      </c>
      <c r="AF68" s="40">
        <f>+'CY-FUR (REG)- Detail'!AF183</f>
        <v>337374898.74000001</v>
      </c>
      <c r="AG68" s="40">
        <f>+'CY-FUR (REG)- Detail'!AG183</f>
        <v>0</v>
      </c>
      <c r="AH68" s="41">
        <f t="shared" si="5"/>
        <v>809338048.75</v>
      </c>
      <c r="AI68" s="40">
        <f>+'CY-FUR (REG)- Detail'!AI183</f>
        <v>0</v>
      </c>
      <c r="AJ68" s="40">
        <f>+'CY-FUR (REG)- Detail'!AJ183</f>
        <v>212483854.07000002</v>
      </c>
      <c r="AK68" s="40">
        <f>+'CY-FUR (REG)- Detail'!AK183</f>
        <v>55203243.989999995</v>
      </c>
      <c r="AL68" s="41">
        <f t="shared" si="21"/>
        <v>267687098.06</v>
      </c>
      <c r="AM68" s="41">
        <f t="shared" si="43"/>
        <v>471963150.01000005</v>
      </c>
      <c r="AN68" s="41">
        <f t="shared" si="43"/>
        <v>549858752.81000006</v>
      </c>
      <c r="AO68" s="41">
        <f t="shared" si="43"/>
        <v>55203243.989999995</v>
      </c>
      <c r="AP68" s="41">
        <f t="shared" si="25"/>
        <v>1077025146.8100002</v>
      </c>
      <c r="AQ68" s="172">
        <f t="shared" si="52"/>
        <v>37235005.98999995</v>
      </c>
      <c r="AR68" s="41">
        <f t="shared" si="52"/>
        <v>167409434.78999996</v>
      </c>
      <c r="AS68" s="41">
        <f t="shared" si="52"/>
        <v>22670773.010000005</v>
      </c>
      <c r="AT68" s="41">
        <f t="shared" si="49"/>
        <v>227315213.7899999</v>
      </c>
      <c r="AU68" s="8">
        <f t="shared" si="10"/>
        <v>0.9268752143909964</v>
      </c>
      <c r="AV68" s="8">
        <f t="shared" si="11"/>
        <v>0.76660133868454872</v>
      </c>
      <c r="AW68" s="8">
        <f t="shared" si="12"/>
        <v>0.70887885480467761</v>
      </c>
      <c r="AX68" s="8">
        <f t="shared" si="13"/>
        <v>0.82572400528537337</v>
      </c>
      <c r="AY68" s="22">
        <f t="shared" si="26"/>
        <v>0</v>
      </c>
      <c r="AZ68" s="22">
        <f t="shared" si="27"/>
        <v>0</v>
      </c>
      <c r="BA68" s="22">
        <f t="shared" si="28"/>
        <v>0</v>
      </c>
      <c r="BB68" s="22">
        <f t="shared" si="29"/>
        <v>0</v>
      </c>
    </row>
    <row r="69" spans="1:58" s="16" customFormat="1">
      <c r="A69" s="586" t="s">
        <v>937</v>
      </c>
      <c r="B69" s="592" t="s">
        <v>448</v>
      </c>
      <c r="C69" s="40">
        <f>+'CY-FUR (REG)- Detail'!C195</f>
        <v>270153000</v>
      </c>
      <c r="D69" s="40">
        <f>+'CY-FUR (REG)- Detail'!D195</f>
        <v>229235000</v>
      </c>
      <c r="E69" s="40">
        <f>+'CY-FUR (REG)- Detail'!E195</f>
        <v>0</v>
      </c>
      <c r="F69" s="41">
        <f t="shared" si="14"/>
        <v>499388000</v>
      </c>
      <c r="G69" s="40">
        <f>+'CY-FUR (REG)- Detail'!G195</f>
        <v>0</v>
      </c>
      <c r="H69" s="40">
        <f>+'CY-FUR (REG)- Detail'!H195</f>
        <v>0</v>
      </c>
      <c r="I69" s="40">
        <f>+'CY-FUR (REG)- Detail'!I195</f>
        <v>0</v>
      </c>
      <c r="J69" s="41">
        <f>SUM(G69:I69)</f>
        <v>0</v>
      </c>
      <c r="K69" s="40">
        <f t="shared" si="15"/>
        <v>270153000</v>
      </c>
      <c r="L69" s="40">
        <f t="shared" si="16"/>
        <v>229235000</v>
      </c>
      <c r="M69" s="40">
        <f t="shared" si="17"/>
        <v>0</v>
      </c>
      <c r="N69" s="41">
        <f t="shared" si="18"/>
        <v>499388000</v>
      </c>
      <c r="O69" s="40">
        <f>+'CY-FUR (REG)- Detail'!O195</f>
        <v>270153000</v>
      </c>
      <c r="P69" s="40">
        <f>+'CY-FUR (REG)- Detail'!P195</f>
        <v>229235000</v>
      </c>
      <c r="Q69" s="40">
        <f>+'CY-FUR (REG)- Detail'!Q195</f>
        <v>0</v>
      </c>
      <c r="R69" s="41">
        <f t="shared" si="19"/>
        <v>499388000</v>
      </c>
      <c r="S69" s="40">
        <f>+'CY-FUR (REG)- Detail'!S195</f>
        <v>0</v>
      </c>
      <c r="T69" s="40">
        <f>+'CY-FUR (REG)- Detail'!T195</f>
        <v>0</v>
      </c>
      <c r="U69" s="40">
        <f>+'CY-FUR (REG)- Detail'!U195</f>
        <v>0</v>
      </c>
      <c r="V69" s="41">
        <f>SUM(S69:U69)</f>
        <v>0</v>
      </c>
      <c r="W69" s="40">
        <f>+'CY-FUR (REG)- Detail'!W195</f>
        <v>0</v>
      </c>
      <c r="X69" s="40">
        <f>+'CY-FUR (REG)- Detail'!X195</f>
        <v>263208389</v>
      </c>
      <c r="Y69" s="40">
        <f>+'CY-FUR (REG)- Detail'!Y195</f>
        <v>39885000</v>
      </c>
      <c r="Z69" s="41">
        <f t="shared" si="20"/>
        <v>303093389</v>
      </c>
      <c r="AA69" s="41">
        <f t="shared" si="51"/>
        <v>270153000</v>
      </c>
      <c r="AB69" s="41">
        <f t="shared" si="51"/>
        <v>492443389</v>
      </c>
      <c r="AC69" s="41">
        <f t="shared" si="51"/>
        <v>39885000</v>
      </c>
      <c r="AD69" s="41">
        <f t="shared" si="42"/>
        <v>802481389</v>
      </c>
      <c r="AE69" s="40">
        <f>+'CY-FUR (REG)- Detail'!AE195</f>
        <v>211566533.57000002</v>
      </c>
      <c r="AF69" s="40">
        <f>+'CY-FUR (REG)- Detail'!AF195</f>
        <v>170430723.56</v>
      </c>
      <c r="AG69" s="40">
        <f>+'CY-FUR (REG)- Detail'!AG195</f>
        <v>0</v>
      </c>
      <c r="AH69" s="41">
        <f t="shared" si="5"/>
        <v>381997257.13</v>
      </c>
      <c r="AI69" s="40">
        <f>+'CY-FUR (REG)- Detail'!AI195</f>
        <v>0</v>
      </c>
      <c r="AJ69" s="40">
        <f>+'CY-FUR (REG)- Detail'!AJ195</f>
        <v>177462548.03999999</v>
      </c>
      <c r="AK69" s="40">
        <f>+'CY-FUR (REG)- Detail'!AK195</f>
        <v>31178544.170000002</v>
      </c>
      <c r="AL69" s="41">
        <f t="shared" si="21"/>
        <v>208641092.20999998</v>
      </c>
      <c r="AM69" s="41">
        <f t="shared" si="43"/>
        <v>211566533.57000002</v>
      </c>
      <c r="AN69" s="41">
        <f t="shared" si="43"/>
        <v>347893271.60000002</v>
      </c>
      <c r="AO69" s="41">
        <f t="shared" si="43"/>
        <v>31178544.170000002</v>
      </c>
      <c r="AP69" s="41">
        <f t="shared" si="25"/>
        <v>590638349.34000003</v>
      </c>
      <c r="AQ69" s="41">
        <f t="shared" si="52"/>
        <v>58586466.429999977</v>
      </c>
      <c r="AR69" s="41">
        <f t="shared" si="52"/>
        <v>144550117.39999998</v>
      </c>
      <c r="AS69" s="41">
        <f t="shared" si="52"/>
        <v>8706455.8299999982</v>
      </c>
      <c r="AT69" s="41">
        <f t="shared" si="49"/>
        <v>211843039.65999997</v>
      </c>
      <c r="AU69" s="8">
        <f t="shared" si="10"/>
        <v>0.78313597690938108</v>
      </c>
      <c r="AV69" s="8">
        <f t="shared" si="11"/>
        <v>0.70646348264815473</v>
      </c>
      <c r="AW69" s="8">
        <f t="shared" si="12"/>
        <v>0.78171102344239696</v>
      </c>
      <c r="AX69" s="8">
        <f t="shared" si="13"/>
        <v>0.73601501223101895</v>
      </c>
      <c r="AY69" s="22">
        <f t="shared" si="26"/>
        <v>0</v>
      </c>
      <c r="AZ69" s="22">
        <f t="shared" si="27"/>
        <v>0</v>
      </c>
      <c r="BA69" s="22">
        <f t="shared" si="28"/>
        <v>0</v>
      </c>
      <c r="BB69" s="22">
        <f t="shared" si="29"/>
        <v>0</v>
      </c>
    </row>
    <row r="70" spans="1:58">
      <c r="B70" s="593"/>
      <c r="C70" s="26"/>
      <c r="D70" s="26"/>
      <c r="E70" s="26"/>
      <c r="F70" s="27">
        <f t="shared" si="14"/>
        <v>0</v>
      </c>
      <c r="G70" s="26"/>
      <c r="H70" s="26"/>
      <c r="I70" s="26"/>
      <c r="J70" s="27"/>
      <c r="K70" s="40">
        <f t="shared" si="15"/>
        <v>0</v>
      </c>
      <c r="L70" s="40">
        <f t="shared" si="16"/>
        <v>0</v>
      </c>
      <c r="M70" s="40">
        <f t="shared" si="17"/>
        <v>0</v>
      </c>
      <c r="N70" s="27">
        <f t="shared" si="18"/>
        <v>0</v>
      </c>
      <c r="O70" s="26"/>
      <c r="P70" s="26"/>
      <c r="Q70" s="26"/>
      <c r="R70" s="27">
        <f t="shared" si="19"/>
        <v>0</v>
      </c>
      <c r="S70" s="26"/>
      <c r="T70" s="26"/>
      <c r="U70" s="26"/>
      <c r="V70" s="27"/>
      <c r="W70" s="26"/>
      <c r="X70" s="26"/>
      <c r="Y70" s="26"/>
      <c r="Z70" s="27">
        <f t="shared" si="20"/>
        <v>0</v>
      </c>
      <c r="AA70" s="27"/>
      <c r="AB70" s="27"/>
      <c r="AC70" s="27"/>
      <c r="AD70" s="27"/>
      <c r="AE70" s="26"/>
      <c r="AF70" s="26"/>
      <c r="AG70" s="26"/>
      <c r="AH70" s="27">
        <f t="shared" si="5"/>
        <v>0</v>
      </c>
      <c r="AI70" s="26"/>
      <c r="AJ70" s="26"/>
      <c r="AK70" s="26"/>
      <c r="AL70" s="27">
        <f t="shared" si="21"/>
        <v>0</v>
      </c>
      <c r="AM70" s="27"/>
      <c r="AN70" s="27"/>
      <c r="AO70" s="27"/>
      <c r="AP70" s="27">
        <f t="shared" si="25"/>
        <v>0</v>
      </c>
      <c r="AQ70" s="27"/>
      <c r="AR70" s="27"/>
      <c r="AS70" s="27"/>
      <c r="AT70" s="27"/>
      <c r="AU70" s="8" t="str">
        <f t="shared" si="10"/>
        <v xml:space="preserve"> </v>
      </c>
      <c r="AV70" s="8" t="str">
        <f t="shared" si="11"/>
        <v xml:space="preserve"> </v>
      </c>
      <c r="AW70" s="8" t="str">
        <f t="shared" si="12"/>
        <v xml:space="preserve"> </v>
      </c>
      <c r="AX70" s="8" t="str">
        <f t="shared" si="13"/>
        <v xml:space="preserve"> </v>
      </c>
      <c r="AY70" s="22">
        <f t="shared" si="26"/>
        <v>0</v>
      </c>
      <c r="AZ70" s="22">
        <f t="shared" si="27"/>
        <v>0</v>
      </c>
      <c r="BA70" s="22">
        <f t="shared" si="28"/>
        <v>0</v>
      </c>
      <c r="BB70" s="22">
        <f t="shared" si="29"/>
        <v>0</v>
      </c>
    </row>
    <row r="71" spans="1:58" s="39" customFormat="1" ht="16.5">
      <c r="A71" s="586" t="s">
        <v>938</v>
      </c>
      <c r="B71" s="591" t="s">
        <v>449</v>
      </c>
      <c r="C71" s="37">
        <f>SUM(C72:C76)</f>
        <v>1505107000</v>
      </c>
      <c r="D71" s="37">
        <f t="shared" ref="D71:AT71" si="53">SUM(D72:D76)</f>
        <v>1307412000</v>
      </c>
      <c r="E71" s="37">
        <f t="shared" si="53"/>
        <v>0</v>
      </c>
      <c r="F71" s="37">
        <f t="shared" si="14"/>
        <v>2812519000</v>
      </c>
      <c r="G71" s="37">
        <f>SUM(G72:G76)</f>
        <v>15293570</v>
      </c>
      <c r="H71" s="37">
        <f>SUM(H72:H76)</f>
        <v>-16643570</v>
      </c>
      <c r="I71" s="37">
        <f>SUM(I72:I76)</f>
        <v>1350000</v>
      </c>
      <c r="J71" s="37">
        <f>SUM(J72:J76)</f>
        <v>0</v>
      </c>
      <c r="K71" s="37">
        <f t="shared" si="15"/>
        <v>1520400570</v>
      </c>
      <c r="L71" s="37">
        <f t="shared" si="16"/>
        <v>1290768430</v>
      </c>
      <c r="M71" s="37">
        <f t="shared" si="17"/>
        <v>1350000</v>
      </c>
      <c r="N71" s="37">
        <f t="shared" si="18"/>
        <v>2812519000</v>
      </c>
      <c r="O71" s="37">
        <f t="shared" si="53"/>
        <v>1520400570</v>
      </c>
      <c r="P71" s="37">
        <f t="shared" si="53"/>
        <v>1290768430</v>
      </c>
      <c r="Q71" s="37">
        <f t="shared" si="53"/>
        <v>1350000</v>
      </c>
      <c r="R71" s="37">
        <f t="shared" si="19"/>
        <v>2812519000</v>
      </c>
      <c r="S71" s="37">
        <f>SUM(S72:S76)</f>
        <v>0</v>
      </c>
      <c r="T71" s="37">
        <f>SUM(T72:T76)</f>
        <v>0</v>
      </c>
      <c r="U71" s="37">
        <f>SUM(U72:U76)</f>
        <v>0</v>
      </c>
      <c r="V71" s="37">
        <f>SUM(V72:V76)</f>
        <v>0</v>
      </c>
      <c r="W71" s="37">
        <f t="shared" si="53"/>
        <v>0</v>
      </c>
      <c r="X71" s="37">
        <f t="shared" si="53"/>
        <v>883890249.00999999</v>
      </c>
      <c r="Y71" s="37">
        <f t="shared" si="53"/>
        <v>1057141948</v>
      </c>
      <c r="Z71" s="37">
        <f t="shared" si="20"/>
        <v>1941032197.01</v>
      </c>
      <c r="AA71" s="37">
        <f>+O71+W71</f>
        <v>1520400570</v>
      </c>
      <c r="AB71" s="37">
        <f>+P71+X71</f>
        <v>2174658679.0100002</v>
      </c>
      <c r="AC71" s="37">
        <f>+Q71+Y71</f>
        <v>1058491948</v>
      </c>
      <c r="AD71" s="37">
        <f>SUM(AA71:AC71)</f>
        <v>4753551197.0100002</v>
      </c>
      <c r="AE71" s="37">
        <f t="shared" si="53"/>
        <v>1387411730.5900002</v>
      </c>
      <c r="AF71" s="37">
        <f t="shared" si="53"/>
        <v>944177036.04999995</v>
      </c>
      <c r="AG71" s="37">
        <f t="shared" si="53"/>
        <v>0</v>
      </c>
      <c r="AH71" s="37">
        <f t="shared" si="5"/>
        <v>2331588766.6400003</v>
      </c>
      <c r="AI71" s="37">
        <f t="shared" si="53"/>
        <v>0</v>
      </c>
      <c r="AJ71" s="37">
        <f t="shared" si="53"/>
        <v>579437382.02999997</v>
      </c>
      <c r="AK71" s="37">
        <f t="shared" si="53"/>
        <v>826400669.13</v>
      </c>
      <c r="AL71" s="37">
        <f t="shared" si="21"/>
        <v>1405838051.1599998</v>
      </c>
      <c r="AM71" s="37">
        <f t="shared" si="53"/>
        <v>1387411730.5900002</v>
      </c>
      <c r="AN71" s="37">
        <f t="shared" si="53"/>
        <v>1523614418.0799997</v>
      </c>
      <c r="AO71" s="37">
        <f t="shared" si="53"/>
        <v>826400669.13</v>
      </c>
      <c r="AP71" s="37">
        <f t="shared" si="25"/>
        <v>3737426817.8000002</v>
      </c>
      <c r="AQ71" s="37">
        <f t="shared" si="53"/>
        <v>132988839.40999985</v>
      </c>
      <c r="AR71" s="37">
        <f t="shared" si="53"/>
        <v>651044260.93000007</v>
      </c>
      <c r="AS71" s="37">
        <f t="shared" si="53"/>
        <v>232091278.87000003</v>
      </c>
      <c r="AT71" s="37">
        <f t="shared" si="53"/>
        <v>1016124379.2099998</v>
      </c>
      <c r="AU71" s="38">
        <f t="shared" si="10"/>
        <v>0.91253039361199406</v>
      </c>
      <c r="AV71" s="38">
        <f t="shared" si="11"/>
        <v>0.70062232422313542</v>
      </c>
      <c r="AW71" s="38">
        <f t="shared" si="12"/>
        <v>0.78073401568284773</v>
      </c>
      <c r="AX71" s="38">
        <f t="shared" si="13"/>
        <v>0.7862388902323918</v>
      </c>
      <c r="AY71" s="22">
        <f t="shared" si="26"/>
        <v>0</v>
      </c>
      <c r="AZ71" s="22">
        <f t="shared" si="27"/>
        <v>0</v>
      </c>
      <c r="BA71" s="22">
        <f t="shared" si="28"/>
        <v>0</v>
      </c>
      <c r="BB71" s="22">
        <f t="shared" si="29"/>
        <v>0</v>
      </c>
    </row>
    <row r="72" spans="1:58" s="16" customFormat="1">
      <c r="A72" s="586" t="s">
        <v>938</v>
      </c>
      <c r="B72" s="592" t="s">
        <v>450</v>
      </c>
      <c r="C72" s="40">
        <f>+'CY-FUR (REG)- Detail'!C203</f>
        <v>338196000</v>
      </c>
      <c r="D72" s="40">
        <f>+'CY-FUR (REG)- Detail'!D203</f>
        <v>317465000</v>
      </c>
      <c r="E72" s="40">
        <f>+'CY-FUR (REG)- Detail'!E203</f>
        <v>0</v>
      </c>
      <c r="F72" s="41">
        <f t="shared" si="14"/>
        <v>655661000</v>
      </c>
      <c r="G72" s="40">
        <f>+'CY-FUR (REG)- Detail'!G203</f>
        <v>9755113</v>
      </c>
      <c r="H72" s="40">
        <f>+'CY-FUR (REG)- Detail'!H203</f>
        <v>-11105113</v>
      </c>
      <c r="I72" s="40">
        <f>+'CY-FUR (REG)- Detail'!I203</f>
        <v>1350000</v>
      </c>
      <c r="J72" s="41">
        <f>SUM(G72:I72)</f>
        <v>0</v>
      </c>
      <c r="K72" s="40">
        <f t="shared" si="15"/>
        <v>347951113</v>
      </c>
      <c r="L72" s="40">
        <f t="shared" si="16"/>
        <v>306359887</v>
      </c>
      <c r="M72" s="40">
        <f t="shared" si="17"/>
        <v>1350000</v>
      </c>
      <c r="N72" s="41">
        <f t="shared" si="18"/>
        <v>655661000</v>
      </c>
      <c r="O72" s="40">
        <f>+'CY-FUR (REG)- Detail'!O203</f>
        <v>347951113</v>
      </c>
      <c r="P72" s="40">
        <f>+'CY-FUR (REG)- Detail'!P203</f>
        <v>306359887</v>
      </c>
      <c r="Q72" s="40">
        <f>+'CY-FUR (REG)- Detail'!Q203</f>
        <v>1350000</v>
      </c>
      <c r="R72" s="41">
        <f t="shared" si="19"/>
        <v>655661000</v>
      </c>
      <c r="S72" s="40">
        <f>+'CY-FUR (REG)- Detail'!S203</f>
        <v>0</v>
      </c>
      <c r="T72" s="40">
        <f>+'CY-FUR (REG)- Detail'!T203</f>
        <v>0</v>
      </c>
      <c r="U72" s="40">
        <f>+'CY-FUR (REG)- Detail'!U203</f>
        <v>0</v>
      </c>
      <c r="V72" s="41">
        <f>SUM(S72:U72)</f>
        <v>0</v>
      </c>
      <c r="W72" s="40">
        <f>+'CY-FUR (REG)- Detail'!W203</f>
        <v>0</v>
      </c>
      <c r="X72" s="40">
        <f>+'CY-FUR (REG)- Detail'!X203</f>
        <v>189147214</v>
      </c>
      <c r="Y72" s="40">
        <f>+'CY-FUR (REG)- Detail'!Y203</f>
        <v>217245000</v>
      </c>
      <c r="Z72" s="41">
        <f t="shared" si="20"/>
        <v>406392214</v>
      </c>
      <c r="AA72" s="41">
        <f t="shared" ref="AA72:AC76" si="54">+O72+W72+S72</f>
        <v>347951113</v>
      </c>
      <c r="AB72" s="41">
        <f t="shared" si="54"/>
        <v>495507101</v>
      </c>
      <c r="AC72" s="41">
        <f t="shared" si="54"/>
        <v>218595000</v>
      </c>
      <c r="AD72" s="41">
        <f t="shared" si="42"/>
        <v>1062053214</v>
      </c>
      <c r="AE72" s="40">
        <f>+'CY-FUR (REG)- Detail'!AE203</f>
        <v>317884841.42000008</v>
      </c>
      <c r="AF72" s="40">
        <f>+'CY-FUR (REG)- Detail'!AF203</f>
        <v>188802218.79000002</v>
      </c>
      <c r="AG72" s="40">
        <f>+'CY-FUR (REG)- Detail'!AG203</f>
        <v>0</v>
      </c>
      <c r="AH72" s="41">
        <f t="shared" si="5"/>
        <v>506687060.2100001</v>
      </c>
      <c r="AI72" s="40">
        <f>+'CY-FUR (REG)- Detail'!AI203</f>
        <v>0</v>
      </c>
      <c r="AJ72" s="40">
        <f>+'CY-FUR (REG)- Detail'!AJ203</f>
        <v>108837992.75000003</v>
      </c>
      <c r="AK72" s="40">
        <f>+'CY-FUR (REG)- Detail'!AK203</f>
        <v>192137399.43999997</v>
      </c>
      <c r="AL72" s="41">
        <f t="shared" si="21"/>
        <v>300975392.19</v>
      </c>
      <c r="AM72" s="41">
        <f t="shared" si="43"/>
        <v>317884841.42000008</v>
      </c>
      <c r="AN72" s="41">
        <f t="shared" si="43"/>
        <v>297640211.54000008</v>
      </c>
      <c r="AO72" s="41">
        <f t="shared" si="43"/>
        <v>192137399.43999997</v>
      </c>
      <c r="AP72" s="41">
        <f t="shared" si="25"/>
        <v>807662452.4000001</v>
      </c>
      <c r="AQ72" s="41">
        <f t="shared" ref="AQ72:AS76" si="55">+AA72-AM72</f>
        <v>30066271.579999924</v>
      </c>
      <c r="AR72" s="41">
        <f t="shared" si="55"/>
        <v>197866889.45999992</v>
      </c>
      <c r="AS72" s="41">
        <f t="shared" si="55"/>
        <v>26457600.560000032</v>
      </c>
      <c r="AT72" s="41">
        <f t="shared" si="49"/>
        <v>254390761.59999987</v>
      </c>
      <c r="AU72" s="8">
        <f t="shared" si="10"/>
        <v>0.9135905290810209</v>
      </c>
      <c r="AV72" s="8">
        <f t="shared" si="11"/>
        <v>0.60067799419891676</v>
      </c>
      <c r="AW72" s="8">
        <f t="shared" si="12"/>
        <v>0.87896520707243975</v>
      </c>
      <c r="AX72" s="8">
        <f t="shared" si="13"/>
        <v>0.76047267853755596</v>
      </c>
      <c r="AY72" s="22">
        <f t="shared" si="26"/>
        <v>0</v>
      </c>
      <c r="AZ72" s="22">
        <f t="shared" si="27"/>
        <v>0</v>
      </c>
      <c r="BA72" s="22">
        <f t="shared" si="28"/>
        <v>0</v>
      </c>
      <c r="BB72" s="22">
        <f t="shared" si="29"/>
        <v>0</v>
      </c>
    </row>
    <row r="73" spans="1:58" s="16" customFormat="1">
      <c r="A73" s="586" t="s">
        <v>938</v>
      </c>
      <c r="B73" s="592" t="s">
        <v>451</v>
      </c>
      <c r="C73" s="40">
        <f>+'CY-FUR (REG)- Detail'!C217</f>
        <v>370281000</v>
      </c>
      <c r="D73" s="40">
        <f>+'CY-FUR (REG)- Detail'!D217</f>
        <v>304245000</v>
      </c>
      <c r="E73" s="40">
        <f>+'CY-FUR (REG)- Detail'!E217</f>
        <v>0</v>
      </c>
      <c r="F73" s="41">
        <f t="shared" si="14"/>
        <v>674526000</v>
      </c>
      <c r="G73" s="40">
        <f>+'CY-FUR (REG)- Detail'!G217</f>
        <v>0</v>
      </c>
      <c r="H73" s="40">
        <f>+'CY-FUR (REG)- Detail'!H217</f>
        <v>0</v>
      </c>
      <c r="I73" s="40">
        <f>+'CY-FUR (REG)- Detail'!I217</f>
        <v>0</v>
      </c>
      <c r="J73" s="41">
        <f>SUM(G73:I73)</f>
        <v>0</v>
      </c>
      <c r="K73" s="40">
        <f t="shared" si="15"/>
        <v>370281000</v>
      </c>
      <c r="L73" s="40">
        <f t="shared" si="16"/>
        <v>304245000</v>
      </c>
      <c r="M73" s="40">
        <f t="shared" si="17"/>
        <v>0</v>
      </c>
      <c r="N73" s="41">
        <f t="shared" si="18"/>
        <v>674526000</v>
      </c>
      <c r="O73" s="40">
        <f>+'CY-FUR (REG)- Detail'!O217</f>
        <v>370281000</v>
      </c>
      <c r="P73" s="40">
        <f>+'CY-FUR (REG)- Detail'!P217</f>
        <v>304245000</v>
      </c>
      <c r="Q73" s="40">
        <f>+'CY-FUR (REG)- Detail'!Q217</f>
        <v>0</v>
      </c>
      <c r="R73" s="41">
        <f t="shared" si="19"/>
        <v>674526000</v>
      </c>
      <c r="S73" s="40">
        <f>+'CY-FUR (REG)- Detail'!S217</f>
        <v>0</v>
      </c>
      <c r="T73" s="40">
        <f>+'CY-FUR (REG)- Detail'!T217</f>
        <v>0</v>
      </c>
      <c r="U73" s="40">
        <f>+'CY-FUR (REG)- Detail'!U217</f>
        <v>0</v>
      </c>
      <c r="V73" s="41">
        <f>SUM(S73:U73)</f>
        <v>0</v>
      </c>
      <c r="W73" s="40">
        <f>+'CY-FUR (REG)- Detail'!W217</f>
        <v>0</v>
      </c>
      <c r="X73" s="40">
        <f>+'CY-FUR (REG)- Detail'!X217</f>
        <v>214241681.66</v>
      </c>
      <c r="Y73" s="40">
        <f>+'CY-FUR (REG)- Detail'!Y217</f>
        <v>367765968</v>
      </c>
      <c r="Z73" s="41">
        <f t="shared" si="20"/>
        <v>582007649.65999997</v>
      </c>
      <c r="AA73" s="41">
        <f t="shared" si="54"/>
        <v>370281000</v>
      </c>
      <c r="AB73" s="41">
        <f t="shared" si="54"/>
        <v>518486681.65999997</v>
      </c>
      <c r="AC73" s="41">
        <f t="shared" si="54"/>
        <v>367765968</v>
      </c>
      <c r="AD73" s="41">
        <f t="shared" si="42"/>
        <v>1256533649.6599998</v>
      </c>
      <c r="AE73" s="40">
        <f>+'CY-FUR (REG)- Detail'!AE217</f>
        <v>342464431.40000004</v>
      </c>
      <c r="AF73" s="40">
        <f>+'CY-FUR (REG)- Detail'!AF217</f>
        <v>236822968.73999998</v>
      </c>
      <c r="AG73" s="40">
        <f>+'CY-FUR (REG)- Detail'!AG217</f>
        <v>0</v>
      </c>
      <c r="AH73" s="41">
        <f t="shared" ref="AH73:AH78" si="56">SUM(AE73:AG73)</f>
        <v>579287400.13999999</v>
      </c>
      <c r="AI73" s="40">
        <f>+'CY-FUR (REG)- Detail'!AI217</f>
        <v>0</v>
      </c>
      <c r="AJ73" s="40">
        <f>+'CY-FUR (REG)- Detail'!AJ217</f>
        <v>150138349.23999998</v>
      </c>
      <c r="AK73" s="40">
        <f>+'CY-FUR (REG)- Detail'!AK217</f>
        <v>217026257.72999999</v>
      </c>
      <c r="AL73" s="41">
        <f t="shared" si="21"/>
        <v>367164606.96999997</v>
      </c>
      <c r="AM73" s="41">
        <f t="shared" si="43"/>
        <v>342464431.40000004</v>
      </c>
      <c r="AN73" s="41">
        <f t="shared" si="43"/>
        <v>386961317.97999996</v>
      </c>
      <c r="AO73" s="41">
        <f t="shared" si="43"/>
        <v>217026257.72999999</v>
      </c>
      <c r="AP73" s="41">
        <f t="shared" si="25"/>
        <v>946452007.11000001</v>
      </c>
      <c r="AQ73" s="41">
        <f t="shared" si="55"/>
        <v>27816568.599999964</v>
      </c>
      <c r="AR73" s="41">
        <f t="shared" si="55"/>
        <v>131525363.68000001</v>
      </c>
      <c r="AS73" s="41">
        <f t="shared" si="55"/>
        <v>150739710.27000001</v>
      </c>
      <c r="AT73" s="41">
        <f t="shared" si="49"/>
        <v>310081642.54999995</v>
      </c>
      <c r="AU73" s="8">
        <f t="shared" ref="AU73:AX78" si="57">IF(AA73=0," ",AM73/AA73)</f>
        <v>0.92487713763331103</v>
      </c>
      <c r="AV73" s="8">
        <f t="shared" si="57"/>
        <v>0.74632836612330122</v>
      </c>
      <c r="AW73" s="8">
        <f t="shared" si="57"/>
        <v>0.59012055658722606</v>
      </c>
      <c r="AX73" s="8">
        <f t="shared" si="57"/>
        <v>0.75322456136856863</v>
      </c>
      <c r="AY73" s="22">
        <f t="shared" si="26"/>
        <v>0</v>
      </c>
      <c r="AZ73" s="22">
        <f t="shared" si="27"/>
        <v>0</v>
      </c>
      <c r="BA73" s="22">
        <f t="shared" si="28"/>
        <v>0</v>
      </c>
      <c r="BB73" s="22">
        <f t="shared" si="29"/>
        <v>0</v>
      </c>
    </row>
    <row r="74" spans="1:58" s="16" customFormat="1">
      <c r="A74" s="586" t="s">
        <v>938</v>
      </c>
      <c r="B74" s="592" t="s">
        <v>452</v>
      </c>
      <c r="C74" s="40">
        <f>+'CY-FUR (REG)- Detail'!C226</f>
        <v>424206000</v>
      </c>
      <c r="D74" s="40">
        <f>+'CY-FUR (REG)- Detail'!D226</f>
        <v>273244000</v>
      </c>
      <c r="E74" s="40">
        <f>+'CY-FUR (REG)- Detail'!E226</f>
        <v>0</v>
      </c>
      <c r="F74" s="41">
        <f>SUM(C74:E74)</f>
        <v>697450000</v>
      </c>
      <c r="G74" s="40">
        <f>+'CY-FUR (REG)- Detail'!G226</f>
        <v>0</v>
      </c>
      <c r="H74" s="40">
        <f>+'CY-FUR (REG)- Detail'!H226</f>
        <v>0</v>
      </c>
      <c r="I74" s="40">
        <f>+'CY-FUR (REG)- Detail'!I226</f>
        <v>0</v>
      </c>
      <c r="J74" s="41">
        <f>SUM(G74:I74)</f>
        <v>0</v>
      </c>
      <c r="K74" s="40">
        <f t="shared" ref="K74:M76" si="58">+C74+G74</f>
        <v>424206000</v>
      </c>
      <c r="L74" s="40">
        <f t="shared" si="58"/>
        <v>273244000</v>
      </c>
      <c r="M74" s="40">
        <f t="shared" si="58"/>
        <v>0</v>
      </c>
      <c r="N74" s="41">
        <f>SUM(K74:M74)</f>
        <v>697450000</v>
      </c>
      <c r="O74" s="40">
        <f>+'CY-FUR (REG)- Detail'!O226</f>
        <v>424206000</v>
      </c>
      <c r="P74" s="40">
        <f>+'CY-FUR (REG)- Detail'!P226</f>
        <v>273244000</v>
      </c>
      <c r="Q74" s="40">
        <f>+'CY-FUR (REG)- Detail'!Q226</f>
        <v>0</v>
      </c>
      <c r="R74" s="41">
        <f>SUM(O74:Q74)</f>
        <v>697450000</v>
      </c>
      <c r="S74" s="40">
        <f>+'CY-FUR (REG)- Detail'!S226</f>
        <v>0</v>
      </c>
      <c r="T74" s="40">
        <f>+'CY-FUR (REG)- Detail'!T226</f>
        <v>0</v>
      </c>
      <c r="U74" s="40">
        <f>+'CY-FUR (REG)- Detail'!U226</f>
        <v>0</v>
      </c>
      <c r="V74" s="41">
        <f>SUM(S74:U74)</f>
        <v>0</v>
      </c>
      <c r="W74" s="40">
        <f>+'CY-FUR (REG)- Detail'!W226</f>
        <v>0</v>
      </c>
      <c r="X74" s="40">
        <f>+'CY-FUR (REG)- Detail'!X226</f>
        <v>191553986.76999998</v>
      </c>
      <c r="Y74" s="40">
        <f>+'CY-FUR (REG)- Detail'!Y226</f>
        <v>228100000</v>
      </c>
      <c r="Z74" s="41">
        <f>SUM(W74:Y74)</f>
        <v>419653986.76999998</v>
      </c>
      <c r="AA74" s="41">
        <f t="shared" si="54"/>
        <v>424206000</v>
      </c>
      <c r="AB74" s="41">
        <f t="shared" si="54"/>
        <v>464797986.76999998</v>
      </c>
      <c r="AC74" s="41">
        <f t="shared" si="54"/>
        <v>228100000</v>
      </c>
      <c r="AD74" s="41">
        <f t="shared" si="42"/>
        <v>1117103986.77</v>
      </c>
      <c r="AE74" s="40">
        <f>+'CY-FUR (REG)- Detail'!AE226</f>
        <v>382258504.67000002</v>
      </c>
      <c r="AF74" s="40">
        <f>+'CY-FUR (REG)- Detail'!AF226</f>
        <v>197041996.25999999</v>
      </c>
      <c r="AG74" s="40">
        <f>+'CY-FUR (REG)- Detail'!AG226</f>
        <v>0</v>
      </c>
      <c r="AH74" s="41">
        <f t="shared" si="56"/>
        <v>579300500.93000007</v>
      </c>
      <c r="AI74" s="40">
        <f>+'CY-FUR (REG)- Detail'!AI226</f>
        <v>0</v>
      </c>
      <c r="AJ74" s="40">
        <f>+'CY-FUR (REG)- Detail'!AJ226</f>
        <v>126531744.58999999</v>
      </c>
      <c r="AK74" s="40">
        <f>+'CY-FUR (REG)- Detail'!AK226</f>
        <v>213606240.40000001</v>
      </c>
      <c r="AL74" s="41">
        <f>SUM(AI74:AK74)</f>
        <v>340137984.99000001</v>
      </c>
      <c r="AM74" s="41">
        <f t="shared" si="43"/>
        <v>382258504.67000002</v>
      </c>
      <c r="AN74" s="41">
        <f t="shared" si="43"/>
        <v>323573740.84999996</v>
      </c>
      <c r="AO74" s="41">
        <f t="shared" si="43"/>
        <v>213606240.40000001</v>
      </c>
      <c r="AP74" s="41">
        <f>SUM(AM74:AO74)</f>
        <v>919438485.91999996</v>
      </c>
      <c r="AQ74" s="41">
        <f t="shared" si="55"/>
        <v>41947495.329999983</v>
      </c>
      <c r="AR74" s="41">
        <f t="shared" si="55"/>
        <v>141224245.92000002</v>
      </c>
      <c r="AS74" s="41">
        <f t="shared" si="55"/>
        <v>14493759.599999994</v>
      </c>
      <c r="AT74" s="41">
        <f t="shared" si="49"/>
        <v>197665500.84999999</v>
      </c>
      <c r="AU74" s="8">
        <f t="shared" si="57"/>
        <v>0.90111527104755718</v>
      </c>
      <c r="AV74" s="8">
        <f t="shared" si="57"/>
        <v>0.69615994487970267</v>
      </c>
      <c r="AW74" s="8">
        <f t="shared" si="57"/>
        <v>0.93645874791757999</v>
      </c>
      <c r="AX74" s="8">
        <f t="shared" si="57"/>
        <v>0.82305541543940686</v>
      </c>
      <c r="AY74" s="22">
        <f t="shared" ref="AY74:BA76" si="59">+K74-O74</f>
        <v>0</v>
      </c>
      <c r="AZ74" s="22">
        <f t="shared" si="59"/>
        <v>0</v>
      </c>
      <c r="BA74" s="22">
        <f t="shared" si="59"/>
        <v>0</v>
      </c>
      <c r="BB74" s="22">
        <f>SUM(AY74:BA74)</f>
        <v>0</v>
      </c>
      <c r="BC74" s="39"/>
    </row>
    <row r="75" spans="1:58" s="16" customFormat="1">
      <c r="A75" s="586" t="s">
        <v>938</v>
      </c>
      <c r="B75" s="592" t="s">
        <v>453</v>
      </c>
      <c r="C75" s="40">
        <f>+'CY-FUR (REG)- Detail'!C234</f>
        <v>193528000</v>
      </c>
      <c r="D75" s="40">
        <f>+'CY-FUR (REG)- Detail'!D234</f>
        <v>209274000</v>
      </c>
      <c r="E75" s="40">
        <f>+'CY-FUR (REG)- Detail'!E234</f>
        <v>0</v>
      </c>
      <c r="F75" s="41">
        <f>SUM(C75:E75)</f>
        <v>402802000</v>
      </c>
      <c r="G75" s="40">
        <f>+'CY-FUR (REG)- Detail'!G234</f>
        <v>0</v>
      </c>
      <c r="H75" s="40">
        <f>+'CY-FUR (REG)- Detail'!H234</f>
        <v>0</v>
      </c>
      <c r="I75" s="40">
        <f>+'CY-FUR (REG)- Detail'!I234</f>
        <v>0</v>
      </c>
      <c r="J75" s="41">
        <f>SUM(G75:I75)</f>
        <v>0</v>
      </c>
      <c r="K75" s="40">
        <f t="shared" si="58"/>
        <v>193528000</v>
      </c>
      <c r="L75" s="40">
        <f t="shared" si="58"/>
        <v>209274000</v>
      </c>
      <c r="M75" s="40">
        <f t="shared" si="58"/>
        <v>0</v>
      </c>
      <c r="N75" s="41">
        <f>SUM(K75:M75)</f>
        <v>402802000</v>
      </c>
      <c r="O75" s="40">
        <f>+'CY-FUR (REG)- Detail'!O234</f>
        <v>193528000</v>
      </c>
      <c r="P75" s="40">
        <f>+'CY-FUR (REG)- Detail'!P234</f>
        <v>209274000</v>
      </c>
      <c r="Q75" s="40">
        <f>+'CY-FUR (REG)- Detail'!Q234</f>
        <v>0</v>
      </c>
      <c r="R75" s="41">
        <f>SUM(O75:Q75)</f>
        <v>402802000</v>
      </c>
      <c r="S75" s="40">
        <f>+'CY-FUR (REG)- Detail'!S234</f>
        <v>0</v>
      </c>
      <c r="T75" s="40">
        <f>+'CY-FUR (REG)- Detail'!T234</f>
        <v>0</v>
      </c>
      <c r="U75" s="40">
        <f>+'CY-FUR (REG)- Detail'!U234</f>
        <v>0</v>
      </c>
      <c r="V75" s="41">
        <f>SUM(S75:U75)</f>
        <v>0</v>
      </c>
      <c r="W75" s="40">
        <f>+'CY-FUR (REG)- Detail'!W234</f>
        <v>0</v>
      </c>
      <c r="X75" s="40">
        <f>+'CY-FUR (REG)- Detail'!X234</f>
        <v>137856297.57999998</v>
      </c>
      <c r="Y75" s="40">
        <f>+'CY-FUR (REG)- Detail'!Y234</f>
        <v>128257980</v>
      </c>
      <c r="Z75" s="41">
        <f>SUM(W75:Y75)</f>
        <v>266114277.57999998</v>
      </c>
      <c r="AA75" s="41">
        <f t="shared" si="54"/>
        <v>193528000</v>
      </c>
      <c r="AB75" s="41">
        <f t="shared" si="54"/>
        <v>347130297.57999998</v>
      </c>
      <c r="AC75" s="41">
        <f t="shared" si="54"/>
        <v>128257980</v>
      </c>
      <c r="AD75" s="41">
        <f t="shared" si="42"/>
        <v>668916277.57999992</v>
      </c>
      <c r="AE75" s="40">
        <f>+'CY-FUR (REG)- Detail'!AE234</f>
        <v>176529892.00000003</v>
      </c>
      <c r="AF75" s="40">
        <f>+'CY-FUR (REG)- Detail'!AF234</f>
        <v>148161439.72999999</v>
      </c>
      <c r="AG75" s="40">
        <f>+'CY-FUR (REG)- Detail'!AG234</f>
        <v>0</v>
      </c>
      <c r="AH75" s="41">
        <f t="shared" si="56"/>
        <v>324691331.73000002</v>
      </c>
      <c r="AI75" s="40">
        <f>+'CY-FUR (REG)- Detail'!AI234</f>
        <v>0</v>
      </c>
      <c r="AJ75" s="40">
        <f>+'CY-FUR (REG)- Detail'!AJ234</f>
        <v>79685626.910000011</v>
      </c>
      <c r="AK75" s="40">
        <f>+'CY-FUR (REG)- Detail'!AK234</f>
        <v>108471610.72999999</v>
      </c>
      <c r="AL75" s="41">
        <f>SUM(AI75:AK75)</f>
        <v>188157237.63999999</v>
      </c>
      <c r="AM75" s="41">
        <f t="shared" si="43"/>
        <v>176529892.00000003</v>
      </c>
      <c r="AN75" s="41">
        <f t="shared" si="43"/>
        <v>227847066.63999999</v>
      </c>
      <c r="AO75" s="41">
        <f t="shared" si="43"/>
        <v>108471610.72999999</v>
      </c>
      <c r="AP75" s="41">
        <f>SUM(AM75:AO75)</f>
        <v>512848569.37</v>
      </c>
      <c r="AQ75" s="41">
        <f t="shared" si="55"/>
        <v>16998107.99999997</v>
      </c>
      <c r="AR75" s="41">
        <f t="shared" si="55"/>
        <v>119283230.94</v>
      </c>
      <c r="AS75" s="41">
        <f t="shared" si="55"/>
        <v>19786369.270000011</v>
      </c>
      <c r="AT75" s="41">
        <f t="shared" si="49"/>
        <v>156067708.20999998</v>
      </c>
      <c r="AU75" s="8">
        <f t="shared" si="57"/>
        <v>0.91216719027737603</v>
      </c>
      <c r="AV75" s="8">
        <f t="shared" si="57"/>
        <v>0.65637332214567101</v>
      </c>
      <c r="AW75" s="8">
        <f t="shared" si="57"/>
        <v>0.84572991661025687</v>
      </c>
      <c r="AX75" s="8">
        <f t="shared" si="57"/>
        <v>0.76668573715290578</v>
      </c>
      <c r="AY75" s="22">
        <f t="shared" si="59"/>
        <v>0</v>
      </c>
      <c r="AZ75" s="22">
        <f t="shared" si="59"/>
        <v>0</v>
      </c>
      <c r="BA75" s="22">
        <f t="shared" si="59"/>
        <v>0</v>
      </c>
      <c r="BB75" s="22">
        <f>SUM(AY75:BA75)</f>
        <v>0</v>
      </c>
      <c r="BC75" s="39"/>
    </row>
    <row r="76" spans="1:58" s="16" customFormat="1">
      <c r="A76" s="586" t="s">
        <v>938</v>
      </c>
      <c r="B76" s="593" t="s">
        <v>57</v>
      </c>
      <c r="C76" s="40">
        <f>+'CY-FUR (REG)- Detail'!C242</f>
        <v>178896000</v>
      </c>
      <c r="D76" s="40">
        <f>+'CY-FUR (REG)- Detail'!D242</f>
        <v>203184000</v>
      </c>
      <c r="E76" s="40">
        <f>+'CY-FUR (REG)- Detail'!E242</f>
        <v>0</v>
      </c>
      <c r="F76" s="41">
        <f>SUM(C76:E76)</f>
        <v>382080000</v>
      </c>
      <c r="G76" s="40">
        <f>+'CY-FUR (REG)- Detail'!G242</f>
        <v>5538457</v>
      </c>
      <c r="H76" s="40">
        <f>+'CY-FUR (REG)- Detail'!H242</f>
        <v>-5538457</v>
      </c>
      <c r="I76" s="40">
        <f>+'CY-FUR (REG)- Detail'!I242</f>
        <v>0</v>
      </c>
      <c r="J76" s="41">
        <f>SUM(G76:I76)</f>
        <v>0</v>
      </c>
      <c r="K76" s="40">
        <f t="shared" si="58"/>
        <v>184434457</v>
      </c>
      <c r="L76" s="40">
        <f t="shared" si="58"/>
        <v>197645543</v>
      </c>
      <c r="M76" s="40">
        <f t="shared" si="58"/>
        <v>0</v>
      </c>
      <c r="N76" s="41">
        <f>SUM(K76:M76)</f>
        <v>382080000</v>
      </c>
      <c r="O76" s="40">
        <f>+'CY-FUR (REG)- Detail'!O242</f>
        <v>184434457</v>
      </c>
      <c r="P76" s="40">
        <f>+'CY-FUR (REG)- Detail'!P242</f>
        <v>197645543</v>
      </c>
      <c r="Q76" s="40">
        <f>+'CY-FUR (REG)- Detail'!Q242</f>
        <v>0</v>
      </c>
      <c r="R76" s="41">
        <f>SUM(O76:Q76)</f>
        <v>382080000</v>
      </c>
      <c r="S76" s="40">
        <f>+'CY-FUR (REG)- Detail'!S242</f>
        <v>0</v>
      </c>
      <c r="T76" s="40">
        <f>+'CY-FUR (REG)- Detail'!T242</f>
        <v>0</v>
      </c>
      <c r="U76" s="40">
        <f>+'CY-FUR (REG)- Detail'!U242</f>
        <v>0</v>
      </c>
      <c r="V76" s="41">
        <f>SUM(S76:U76)</f>
        <v>0</v>
      </c>
      <c r="W76" s="40">
        <f>+'CY-FUR (REG)- Detail'!W242</f>
        <v>0</v>
      </c>
      <c r="X76" s="40">
        <f>+'CY-FUR (REG)- Detail'!X242</f>
        <v>151091069</v>
      </c>
      <c r="Y76" s="40">
        <f>+'CY-FUR (REG)- Detail'!Y242</f>
        <v>115773000</v>
      </c>
      <c r="Z76" s="41">
        <f>SUM(W76:Y76)</f>
        <v>266864069</v>
      </c>
      <c r="AA76" s="41">
        <f t="shared" si="54"/>
        <v>184434457</v>
      </c>
      <c r="AB76" s="41">
        <f t="shared" si="54"/>
        <v>348736612</v>
      </c>
      <c r="AC76" s="41">
        <f t="shared" si="54"/>
        <v>115773000</v>
      </c>
      <c r="AD76" s="41">
        <f t="shared" si="42"/>
        <v>648944069</v>
      </c>
      <c r="AE76" s="40">
        <f>+'CY-FUR (REG)- Detail'!AE242</f>
        <v>168274061.09999999</v>
      </c>
      <c r="AF76" s="40">
        <f>+'CY-FUR (REG)- Detail'!AF242</f>
        <v>173348412.53</v>
      </c>
      <c r="AG76" s="40">
        <f>+'CY-FUR (REG)- Detail'!AG242</f>
        <v>0</v>
      </c>
      <c r="AH76" s="41">
        <f t="shared" si="56"/>
        <v>341622473.63</v>
      </c>
      <c r="AI76" s="40">
        <f>+'CY-FUR (REG)- Detail'!AI242</f>
        <v>0</v>
      </c>
      <c r="AJ76" s="40">
        <f>+'CY-FUR (REG)- Detail'!AJ242</f>
        <v>114243668.54000001</v>
      </c>
      <c r="AK76" s="40">
        <f>+'CY-FUR (REG)- Detail'!AK242</f>
        <v>95159160.830000013</v>
      </c>
      <c r="AL76" s="41">
        <f>SUM(AI76:AK76)</f>
        <v>209402829.37</v>
      </c>
      <c r="AM76" s="41">
        <f t="shared" si="43"/>
        <v>168274061.09999999</v>
      </c>
      <c r="AN76" s="41">
        <f t="shared" si="43"/>
        <v>287592081.06999999</v>
      </c>
      <c r="AO76" s="41">
        <f t="shared" si="43"/>
        <v>95159160.830000013</v>
      </c>
      <c r="AP76" s="41">
        <f>SUM(AM76:AO76)</f>
        <v>551025303</v>
      </c>
      <c r="AQ76" s="172">
        <f t="shared" si="55"/>
        <v>16160395.900000006</v>
      </c>
      <c r="AR76" s="41">
        <f t="shared" si="55"/>
        <v>61144530.930000007</v>
      </c>
      <c r="AS76" s="41">
        <f t="shared" si="55"/>
        <v>20613839.169999987</v>
      </c>
      <c r="AT76" s="41">
        <f t="shared" si="49"/>
        <v>97918766</v>
      </c>
      <c r="AU76" s="8">
        <f t="shared" si="57"/>
        <v>0.91237865113241823</v>
      </c>
      <c r="AV76" s="8">
        <f t="shared" si="57"/>
        <v>0.82466844940846074</v>
      </c>
      <c r="AW76" s="8">
        <f t="shared" si="57"/>
        <v>0.8219460567662582</v>
      </c>
      <c r="AX76" s="8">
        <f t="shared" si="57"/>
        <v>0.84911062343032218</v>
      </c>
      <c r="AY76" s="22">
        <f t="shared" si="59"/>
        <v>0</v>
      </c>
      <c r="AZ76" s="22">
        <f t="shared" si="59"/>
        <v>0</v>
      </c>
      <c r="BA76" s="22">
        <f t="shared" si="59"/>
        <v>0</v>
      </c>
      <c r="BB76" s="22">
        <f>SUM(AY76:BA76)</f>
        <v>0</v>
      </c>
    </row>
    <row r="77" spans="1:58" ht="16.5">
      <c r="B77" s="577"/>
      <c r="C77" s="29"/>
      <c r="D77" s="29"/>
      <c r="E77" s="29"/>
      <c r="F77" s="27"/>
      <c r="G77" s="29"/>
      <c r="H77" s="29"/>
      <c r="I77" s="29"/>
      <c r="J77" s="27"/>
      <c r="K77" s="29"/>
      <c r="L77" s="29"/>
      <c r="M77" s="29"/>
      <c r="N77" s="27"/>
      <c r="O77" s="29"/>
      <c r="P77" s="29"/>
      <c r="Q77" s="29"/>
      <c r="R77" s="27"/>
      <c r="S77" s="29"/>
      <c r="T77" s="29"/>
      <c r="U77" s="29"/>
      <c r="V77" s="27"/>
      <c r="W77" s="29"/>
      <c r="X77" s="29"/>
      <c r="Y77" s="29"/>
      <c r="Z77" s="27"/>
      <c r="AA77" s="27"/>
      <c r="AB77" s="27"/>
      <c r="AC77" s="27"/>
      <c r="AD77" s="27"/>
      <c r="AE77" s="29"/>
      <c r="AF77" s="29"/>
      <c r="AG77" s="29"/>
      <c r="AH77" s="27">
        <f t="shared" si="56"/>
        <v>0</v>
      </c>
      <c r="AI77" s="29"/>
      <c r="AJ77" s="29"/>
      <c r="AK77" s="29"/>
      <c r="AL77" s="27"/>
      <c r="AM77" s="27"/>
      <c r="AN77" s="27"/>
      <c r="AO77" s="27"/>
      <c r="AP77" s="27"/>
      <c r="AQ77" s="27"/>
      <c r="AR77" s="27"/>
      <c r="AS77" s="27"/>
      <c r="AT77" s="27"/>
      <c r="AU77" s="8" t="str">
        <f t="shared" si="57"/>
        <v xml:space="preserve"> </v>
      </c>
      <c r="AV77" s="8" t="str">
        <f t="shared" si="57"/>
        <v xml:space="preserve"> </v>
      </c>
      <c r="AW77" s="8" t="str">
        <f t="shared" si="57"/>
        <v xml:space="preserve"> </v>
      </c>
      <c r="AX77" s="8" t="str">
        <f t="shared" si="57"/>
        <v xml:space="preserve"> </v>
      </c>
      <c r="AY77" s="27"/>
      <c r="AZ77" s="27"/>
      <c r="BA77" s="27"/>
      <c r="BB77" s="27"/>
    </row>
    <row r="78" spans="1:58" s="35" customFormat="1" ht="15" customHeight="1">
      <c r="A78" s="588"/>
      <c r="B78" s="13" t="s">
        <v>454</v>
      </c>
      <c r="C78" s="32">
        <f>+C52+C50+C9</f>
        <v>8866448000</v>
      </c>
      <c r="D78" s="32">
        <f t="shared" ref="D78:AT78" si="60">+D52+D50+D9</f>
        <v>17861900000</v>
      </c>
      <c r="E78" s="32">
        <f t="shared" si="60"/>
        <v>11086068000</v>
      </c>
      <c r="F78" s="32">
        <f t="shared" si="60"/>
        <v>37814416000</v>
      </c>
      <c r="G78" s="32">
        <f t="shared" si="60"/>
        <v>100299274</v>
      </c>
      <c r="H78" s="32">
        <f t="shared" si="60"/>
        <v>-108649274</v>
      </c>
      <c r="I78" s="32">
        <f t="shared" si="60"/>
        <v>1350000</v>
      </c>
      <c r="J78" s="32">
        <f t="shared" si="60"/>
        <v>-7000000</v>
      </c>
      <c r="K78" s="32">
        <f t="shared" si="60"/>
        <v>8966747274</v>
      </c>
      <c r="L78" s="32">
        <f t="shared" si="60"/>
        <v>17753250726</v>
      </c>
      <c r="M78" s="32">
        <f t="shared" si="60"/>
        <v>11087418000</v>
      </c>
      <c r="N78" s="32">
        <f t="shared" si="60"/>
        <v>37807416000</v>
      </c>
      <c r="O78" s="32">
        <f t="shared" si="60"/>
        <v>8966747274</v>
      </c>
      <c r="P78" s="32">
        <f t="shared" si="60"/>
        <v>17760250726</v>
      </c>
      <c r="Q78" s="32">
        <f t="shared" si="60"/>
        <v>11087418000</v>
      </c>
      <c r="R78" s="32">
        <f t="shared" si="60"/>
        <v>37814416000</v>
      </c>
      <c r="S78" s="32">
        <f t="shared" si="60"/>
        <v>0</v>
      </c>
      <c r="T78" s="32">
        <f t="shared" si="60"/>
        <v>0</v>
      </c>
      <c r="U78" s="32">
        <f t="shared" si="60"/>
        <v>0</v>
      </c>
      <c r="V78" s="32">
        <f t="shared" si="60"/>
        <v>0</v>
      </c>
      <c r="W78" s="32">
        <f t="shared" si="60"/>
        <v>0</v>
      </c>
      <c r="X78" s="32">
        <f t="shared" si="60"/>
        <v>0</v>
      </c>
      <c r="Y78" s="32">
        <f t="shared" si="60"/>
        <v>0</v>
      </c>
      <c r="Z78" s="32">
        <f t="shared" si="60"/>
        <v>0</v>
      </c>
      <c r="AA78" s="32">
        <f t="shared" si="60"/>
        <v>8966747274</v>
      </c>
      <c r="AB78" s="32">
        <f t="shared" si="60"/>
        <v>17760250726</v>
      </c>
      <c r="AC78" s="32">
        <f t="shared" si="60"/>
        <v>11087418000</v>
      </c>
      <c r="AD78" s="32">
        <f t="shared" si="60"/>
        <v>37814416000</v>
      </c>
      <c r="AE78" s="32">
        <f t="shared" si="60"/>
        <v>8178413051.3200006</v>
      </c>
      <c r="AF78" s="32">
        <f t="shared" si="60"/>
        <v>10115832939.5</v>
      </c>
      <c r="AG78" s="32">
        <f t="shared" si="60"/>
        <v>1218729883.249999</v>
      </c>
      <c r="AH78" s="32">
        <f t="shared" si="56"/>
        <v>19512975874.07</v>
      </c>
      <c r="AI78" s="32">
        <f t="shared" si="60"/>
        <v>763888.76999999979</v>
      </c>
      <c r="AJ78" s="32">
        <f t="shared" si="60"/>
        <v>2949488999.0600004</v>
      </c>
      <c r="AK78" s="32">
        <f t="shared" si="60"/>
        <v>3877002061.4500003</v>
      </c>
      <c r="AL78" s="32">
        <f t="shared" si="60"/>
        <v>6827254949.2800007</v>
      </c>
      <c r="AM78" s="32">
        <f t="shared" si="60"/>
        <v>8179176940.0900002</v>
      </c>
      <c r="AN78" s="32">
        <f t="shared" si="60"/>
        <v>13065321938.560001</v>
      </c>
      <c r="AO78" s="32">
        <f t="shared" si="60"/>
        <v>5095731944.6999989</v>
      </c>
      <c r="AP78" s="32">
        <f t="shared" si="60"/>
        <v>26340230823.349998</v>
      </c>
      <c r="AQ78" s="32">
        <f t="shared" si="60"/>
        <v>787570333.91000009</v>
      </c>
      <c r="AR78" s="32">
        <f t="shared" si="60"/>
        <v>4694928787.4399986</v>
      </c>
      <c r="AS78" s="32">
        <f t="shared" si="60"/>
        <v>5991686055.3000011</v>
      </c>
      <c r="AT78" s="32">
        <f t="shared" si="60"/>
        <v>11474185176.649998</v>
      </c>
      <c r="AU78" s="33">
        <f t="shared" si="57"/>
        <v>0.91216766684239659</v>
      </c>
      <c r="AV78" s="33">
        <f t="shared" si="57"/>
        <v>0.73564963356249868</v>
      </c>
      <c r="AW78" s="33">
        <f t="shared" si="57"/>
        <v>0.45959590814561141</v>
      </c>
      <c r="AX78" s="33">
        <f t="shared" si="57"/>
        <v>0.6965658500014914</v>
      </c>
      <c r="AY78" s="32">
        <f>+AY52+AY50+AY9</f>
        <v>0</v>
      </c>
      <c r="AZ78" s="32">
        <f>+AZ52+AZ50+AZ9</f>
        <v>-7000000</v>
      </c>
      <c r="BA78" s="32">
        <f>+BA52+BA50+BA9</f>
        <v>0</v>
      </c>
      <c r="BB78" s="32">
        <f>+BB52+BB50+BB9</f>
        <v>-7000000</v>
      </c>
      <c r="BC78" s="34"/>
      <c r="BD78" s="825">
        <f>+AT78-'CY (ALL FUNDS)'!Q1737</f>
        <v>0</v>
      </c>
      <c r="BE78" s="34"/>
      <c r="BF78" s="34"/>
    </row>
    <row r="79" spans="1:58" s="160" customFormat="1" ht="15" customHeight="1">
      <c r="A79" s="589"/>
      <c r="AT79" s="161">
        <f>+AT78-'CY-FUR (REG)- Detail'!AT267</f>
        <v>0</v>
      </c>
      <c r="AU79" s="162"/>
      <c r="AV79" s="162"/>
      <c r="AW79" s="162"/>
      <c r="AX79" s="163">
        <f>+AX78-'CY-FUR (REG)- Detail'!AX267</f>
        <v>0</v>
      </c>
    </row>
    <row r="80" spans="1:58" s="160" customFormat="1" ht="15" hidden="1" customHeight="1">
      <c r="A80" s="589"/>
      <c r="C80" s="161">
        <f>+C78-'CY-FUR (REG)- Detail'!C267</f>
        <v>0</v>
      </c>
      <c r="D80" s="161">
        <f>+D78-'CY-FUR (REG)- Detail'!D267</f>
        <v>0</v>
      </c>
      <c r="E80" s="161">
        <f>+E78-'CY-FUR (REG)- Detail'!E267</f>
        <v>0</v>
      </c>
      <c r="F80" s="161">
        <f>+F78-'CY-FUR (REG)- Detail'!F267</f>
        <v>0</v>
      </c>
      <c r="G80" s="161">
        <f>+G78-'CY-FUR (REG)- Detail'!G267</f>
        <v>0</v>
      </c>
      <c r="H80" s="161">
        <f>+H78-'CY-FUR (REG)- Detail'!H267</f>
        <v>-7000000</v>
      </c>
      <c r="I80" s="161">
        <f>+I78-'CY-FUR (REG)- Detail'!I267</f>
        <v>0</v>
      </c>
      <c r="J80" s="161">
        <f>+J78-'CY-FUR (REG)- Detail'!J267</f>
        <v>-7000000</v>
      </c>
      <c r="K80" s="161">
        <f>+K78-'CY-FUR (REG)- Detail'!K267</f>
        <v>0</v>
      </c>
      <c r="L80" s="161">
        <f>+L78-'CY-FUR (REG)- Detail'!L267</f>
        <v>-7000000</v>
      </c>
      <c r="M80" s="161">
        <f>+M78-'CY-FUR (REG)- Detail'!M267</f>
        <v>0</v>
      </c>
      <c r="N80" s="161">
        <f>+N78-'CY-FUR (REG)- Detail'!N267</f>
        <v>-7000000</v>
      </c>
      <c r="O80" s="161">
        <f>+O78-'CY-FUR (REG)- Detail'!O267</f>
        <v>0</v>
      </c>
      <c r="P80" s="161">
        <f>+P78-'CY-FUR (REG)- Detail'!P267</f>
        <v>0</v>
      </c>
      <c r="Q80" s="161">
        <f>+Q78-'CY-FUR (REG)- Detail'!Q267</f>
        <v>0</v>
      </c>
      <c r="R80" s="161">
        <f>+R78-'CY-FUR (REG)- Detail'!R267</f>
        <v>0</v>
      </c>
      <c r="S80" s="161">
        <f>+S78-'CY-FUR (REG)- Detail'!S267</f>
        <v>0</v>
      </c>
      <c r="T80" s="161">
        <f>+T78-'CY-FUR (REG)- Detail'!T267</f>
        <v>0</v>
      </c>
      <c r="U80" s="161">
        <f>+U78-'CY-FUR (REG)- Detail'!U267</f>
        <v>0</v>
      </c>
      <c r="V80" s="161">
        <f>+V78-'CY-FUR (REG)- Detail'!V267</f>
        <v>0</v>
      </c>
      <c r="W80" s="161">
        <f>+W78-'CY-FUR (REG)- Detail'!W267</f>
        <v>0</v>
      </c>
      <c r="X80" s="161">
        <f>+X78-'CY-FUR (REG)- Detail'!X267</f>
        <v>4.76837158203125E-7</v>
      </c>
      <c r="Y80" s="161">
        <f>+Y78-'CY-FUR (REG)- Detail'!Y267</f>
        <v>4.76837158203125E-7</v>
      </c>
      <c r="Z80" s="161">
        <f>+Z78-'CY-FUR (REG)- Detail'!Z267</f>
        <v>9.5367431640625E-7</v>
      </c>
      <c r="AA80" s="161">
        <f>+AA78-'CY-FUR (REG)- Detail'!AA267</f>
        <v>0</v>
      </c>
      <c r="AB80" s="161">
        <f>+AB78-'CY-FUR (REG)- Detail'!AB267</f>
        <v>0</v>
      </c>
      <c r="AC80" s="161">
        <f>+AC78-'CY-FUR (REG)- Detail'!AC267</f>
        <v>0</v>
      </c>
      <c r="AD80" s="161">
        <f>+AD78-'CY-FUR (REG)- Detail'!AD267</f>
        <v>0</v>
      </c>
      <c r="AE80" s="161">
        <f>+AE78-'CY-FUR (REG)- Detail'!AE267</f>
        <v>0</v>
      </c>
      <c r="AF80" s="161">
        <f>+AF78-'CY-FUR (REG)- Detail'!AF267</f>
        <v>0</v>
      </c>
      <c r="AG80" s="161">
        <f>+AG78-'CY-FUR (REG)- Detail'!AG267</f>
        <v>0</v>
      </c>
      <c r="AH80" s="161">
        <f>+AH78-'CY-FUR (REG)- Detail'!AH267</f>
        <v>0</v>
      </c>
      <c r="AI80" s="161">
        <f>+AI78-'CY-FUR (REG)- Detail'!AI267</f>
        <v>0</v>
      </c>
      <c r="AJ80" s="161">
        <f>+AJ78-'CY-FUR (REG)- Detail'!AJ267</f>
        <v>0</v>
      </c>
      <c r="AK80" s="161">
        <f>+AK78-'CY-FUR (REG)- Detail'!AK267</f>
        <v>0</v>
      </c>
      <c r="AL80" s="161">
        <f>+AL78-'CY-FUR (REG)- Detail'!AL267</f>
        <v>0</v>
      </c>
      <c r="AM80" s="161">
        <f>+AM78-'CY-FUR (REG)- Detail'!AM267</f>
        <v>0</v>
      </c>
      <c r="AN80" s="161">
        <f>+AN78-'CY-FUR (REG)- Detail'!AN267</f>
        <v>0</v>
      </c>
      <c r="AO80" s="161">
        <f>+AO78-'CY-FUR (REG)- Detail'!AO267</f>
        <v>0</v>
      </c>
      <c r="AP80" s="161">
        <f>+AP78-'CY-FUR (REG)- Detail'!AP267</f>
        <v>0</v>
      </c>
      <c r="AQ80" s="161">
        <f>+AQ78-'CY-FUR (REG)- Detail'!AQ267</f>
        <v>1.1920928955078125E-6</v>
      </c>
      <c r="AR80" s="161">
        <f>+AR78-'CY-FUR (REG)- Detail'!AR267</f>
        <v>0</v>
      </c>
      <c r="AS80" s="161">
        <f>+AS78-'CY-FUR (REG)- Detail'!AS267</f>
        <v>0</v>
      </c>
      <c r="AT80" s="161">
        <f>+AT78-'CY-FUR (REG)- Detail'!AT267</f>
        <v>0</v>
      </c>
      <c r="AU80" s="161">
        <f>+AU78-'CY-FUR (REG)- Detail'!AU267</f>
        <v>0</v>
      </c>
      <c r="AV80" s="161">
        <f>+AV78-'CY-FUR (REG)- Detail'!AV267</f>
        <v>0</v>
      </c>
      <c r="AW80" s="161">
        <f>+AW78-'CY-FUR (REG)- Detail'!AW267</f>
        <v>0</v>
      </c>
      <c r="AX80" s="161">
        <f>+AX78-'CY-FUR (REG)- Detail'!AX267</f>
        <v>0</v>
      </c>
      <c r="AY80" s="161">
        <f>+AY78-'CY-FUR (REG)- Detail'!AY267</f>
        <v>0</v>
      </c>
      <c r="AZ80" s="161">
        <f>+AZ78-'CY-FUR (REG)- Detail'!AZ267</f>
        <v>-7000000</v>
      </c>
      <c r="BA80" s="161">
        <f>+BA78-'CY-FUR (REG)- Detail'!BA267</f>
        <v>0</v>
      </c>
      <c r="BB80" s="161">
        <f>+BB78-'CY-FUR (REG)- Detail'!BB267</f>
        <v>-7000000</v>
      </c>
    </row>
    <row r="81" spans="1:54" s="160" customFormat="1" ht="15" hidden="1" customHeight="1">
      <c r="A81" s="589"/>
      <c r="F81" s="161">
        <f>+F78-'CY-FUR (REG)- Detail'!F267</f>
        <v>0</v>
      </c>
      <c r="J81" s="161">
        <f>+J78-'CY-FUR (REG)- Detail'!J267</f>
        <v>-7000000</v>
      </c>
      <c r="N81" s="161">
        <f>+N78-'CY-FUR (REG)- Detail'!N267</f>
        <v>-7000000</v>
      </c>
      <c r="R81" s="161">
        <f>+R78-'CY-FUR (REG)- Detail'!R267</f>
        <v>0</v>
      </c>
      <c r="AD81" s="161">
        <f>+AD78-'CY-FUR (REG)- Detail'!AD267</f>
        <v>0</v>
      </c>
      <c r="AH81" s="161">
        <f>+AH78-'CY-FUR (REG)- Detail'!AH267</f>
        <v>0</v>
      </c>
      <c r="AL81" s="161">
        <f>+AL78-'CY-FUR (REG)- Detail'!AL267</f>
        <v>0</v>
      </c>
      <c r="AP81" s="161">
        <f>+AP78-'CY-FUR (REG)- Detail'!AP267</f>
        <v>0</v>
      </c>
      <c r="AT81" s="161">
        <f>+AT78-'CY-FUR (REG)- Detail'!AT267</f>
        <v>0</v>
      </c>
      <c r="AU81" s="162"/>
      <c r="AV81" s="162"/>
      <c r="AW81" s="162"/>
      <c r="AX81" s="163">
        <f>+AX78-'CY-FUR (REG)- Detail'!AX267</f>
        <v>0</v>
      </c>
      <c r="BB81" s="161">
        <f>+BB78-'CY-FUR (REG)- Detail'!BB267</f>
        <v>-7000000</v>
      </c>
    </row>
    <row r="82" spans="1:54" s="160" customFormat="1" ht="15" customHeight="1">
      <c r="A82" s="589"/>
      <c r="B82" s="578" t="s">
        <v>881</v>
      </c>
      <c r="AU82" s="162"/>
      <c r="AV82" s="162"/>
      <c r="AW82" s="162"/>
      <c r="AX82" s="162"/>
    </row>
    <row r="83" spans="1:54" ht="15" customHeight="1">
      <c r="B83" s="108" t="s">
        <v>873</v>
      </c>
      <c r="C83" s="166"/>
      <c r="D83" s="166"/>
      <c r="AT83" s="30">
        <f>+AT78-'CY (ALL FUNDS)'!Q1737</f>
        <v>0</v>
      </c>
    </row>
    <row r="84" spans="1:54" ht="15" customHeight="1">
      <c r="B84" s="513" t="s">
        <v>874</v>
      </c>
      <c r="C84" s="228"/>
      <c r="D84" s="166">
        <v>15600000</v>
      </c>
    </row>
    <row r="85" spans="1:54" ht="15" customHeight="1">
      <c r="B85" s="514" t="s">
        <v>875</v>
      </c>
      <c r="C85" s="166"/>
      <c r="D85" s="166">
        <v>12612283000</v>
      </c>
      <c r="G85" s="30"/>
      <c r="H85" s="30"/>
      <c r="I85" s="30"/>
    </row>
    <row r="86" spans="1:54" ht="15" customHeight="1" thickBot="1">
      <c r="B86" s="515" t="s">
        <v>876</v>
      </c>
      <c r="C86" s="109"/>
      <c r="D86" s="229">
        <f>SUM(D84:D85)</f>
        <v>12627883000</v>
      </c>
    </row>
    <row r="87" spans="1:54" ht="15" customHeight="1" thickTop="1">
      <c r="B87" s="515"/>
      <c r="C87" s="109"/>
      <c r="D87" s="109"/>
    </row>
    <row r="88" spans="1:54" ht="15" customHeight="1">
      <c r="B88" s="108"/>
    </row>
    <row r="89" spans="1:54" ht="15" customHeight="1">
      <c r="B89" s="108"/>
    </row>
    <row r="90" spans="1:54" ht="15" hidden="1" customHeight="1">
      <c r="B90" s="17" t="s">
        <v>948</v>
      </c>
      <c r="C90" s="30">
        <f>+C9-C48-C26</f>
        <v>532206000</v>
      </c>
      <c r="D90" s="30">
        <f t="shared" ref="D90:AT90" si="61">+D9-D48-D26</f>
        <v>11828961000</v>
      </c>
      <c r="E90" s="30">
        <f t="shared" si="61"/>
        <v>11017892000</v>
      </c>
      <c r="F90" s="30">
        <f t="shared" si="61"/>
        <v>23379059000</v>
      </c>
      <c r="G90" s="30">
        <f t="shared" si="61"/>
        <v>7085371</v>
      </c>
      <c r="H90" s="30">
        <f t="shared" si="61"/>
        <v>-14085371</v>
      </c>
      <c r="I90" s="30">
        <f t="shared" si="61"/>
        <v>0</v>
      </c>
      <c r="J90" s="30">
        <f t="shared" si="61"/>
        <v>-7000000</v>
      </c>
      <c r="K90" s="30">
        <f t="shared" si="61"/>
        <v>539291371</v>
      </c>
      <c r="L90" s="30">
        <f t="shared" si="61"/>
        <v>11814875629</v>
      </c>
      <c r="M90" s="30">
        <f t="shared" si="61"/>
        <v>11017892000</v>
      </c>
      <c r="N90" s="30">
        <f t="shared" si="61"/>
        <v>23372059000</v>
      </c>
      <c r="O90" s="30">
        <f t="shared" si="61"/>
        <v>539291371</v>
      </c>
      <c r="P90" s="30">
        <f t="shared" si="61"/>
        <v>11821875629</v>
      </c>
      <c r="Q90" s="30">
        <f t="shared" si="61"/>
        <v>11017892000</v>
      </c>
      <c r="R90" s="30">
        <f t="shared" si="61"/>
        <v>23379059000</v>
      </c>
      <c r="S90" s="30">
        <f t="shared" si="61"/>
        <v>0</v>
      </c>
      <c r="T90" s="30">
        <f t="shared" si="61"/>
        <v>0</v>
      </c>
      <c r="U90" s="30">
        <f t="shared" si="61"/>
        <v>0</v>
      </c>
      <c r="V90" s="30">
        <f t="shared" si="61"/>
        <v>0</v>
      </c>
      <c r="W90" s="30">
        <f t="shared" si="61"/>
        <v>-827006</v>
      </c>
      <c r="X90" s="30">
        <f t="shared" si="61"/>
        <v>-3959941354.46</v>
      </c>
      <c r="Y90" s="30">
        <f t="shared" si="61"/>
        <v>-5745606586.1000004</v>
      </c>
      <c r="Z90" s="30">
        <f t="shared" si="61"/>
        <v>-9706374946.5600014</v>
      </c>
      <c r="AA90" s="30">
        <f t="shared" si="61"/>
        <v>538464365</v>
      </c>
      <c r="AB90" s="30">
        <f t="shared" si="61"/>
        <v>7861934274.54</v>
      </c>
      <c r="AC90" s="30">
        <f t="shared" si="61"/>
        <v>5272285413.8999996</v>
      </c>
      <c r="AD90" s="30">
        <f t="shared" si="61"/>
        <v>13672684053.440001</v>
      </c>
      <c r="AE90" s="30">
        <f t="shared" si="61"/>
        <v>444139018.08999997</v>
      </c>
      <c r="AF90" s="30">
        <f t="shared" si="61"/>
        <v>5604845475.2300014</v>
      </c>
      <c r="AG90" s="30">
        <f t="shared" si="61"/>
        <v>1210608291.3899992</v>
      </c>
      <c r="AH90" s="30">
        <f t="shared" si="61"/>
        <v>7259592784.71</v>
      </c>
      <c r="AI90" s="30">
        <f t="shared" si="61"/>
        <v>0</v>
      </c>
      <c r="AJ90" s="30">
        <f t="shared" si="61"/>
        <v>0</v>
      </c>
      <c r="AK90" s="30">
        <f t="shared" si="61"/>
        <v>0</v>
      </c>
      <c r="AL90" s="30">
        <f t="shared" si="61"/>
        <v>0</v>
      </c>
      <c r="AM90" s="30">
        <f t="shared" si="61"/>
        <v>444139018.08999997</v>
      </c>
      <c r="AN90" s="30">
        <f t="shared" si="61"/>
        <v>5604845475.2300014</v>
      </c>
      <c r="AO90" s="30">
        <f t="shared" si="61"/>
        <v>1210608291.3899992</v>
      </c>
      <c r="AP90" s="30">
        <f t="shared" si="61"/>
        <v>7259592784.71</v>
      </c>
      <c r="AQ90" s="30">
        <f t="shared" si="61"/>
        <v>94325346.910000086</v>
      </c>
      <c r="AR90" s="30">
        <f t="shared" si="61"/>
        <v>2257088799.309999</v>
      </c>
      <c r="AS90" s="30">
        <f t="shared" si="61"/>
        <v>4061677122.5100007</v>
      </c>
      <c r="AT90" s="30">
        <f t="shared" si="61"/>
        <v>6413091268.7299995</v>
      </c>
      <c r="AU90" s="9">
        <v>0.50224133679913308</v>
      </c>
      <c r="AV90" s="9">
        <v>0.39117709190788796</v>
      </c>
      <c r="AW90" s="9">
        <v>0.30816372360155103</v>
      </c>
      <c r="AX90" s="9">
        <v>0.39288250734603425</v>
      </c>
    </row>
    <row r="91" spans="1:54" ht="15" customHeight="1"/>
    <row r="92" spans="1:54" ht="15" customHeight="1">
      <c r="AT92" s="30">
        <f>+AT90-'CY (ALL FUNDS)'!Q12</f>
        <v>0</v>
      </c>
    </row>
    <row r="93" spans="1:54" ht="15" customHeight="1"/>
  </sheetData>
  <autoFilter ref="B7:BF92">
    <filterColumn colId="5"/>
    <filterColumn colId="6"/>
    <filterColumn colId="7"/>
    <filterColumn colId="8"/>
    <filterColumn colId="9"/>
    <filterColumn colId="10"/>
    <filterColumn colId="11"/>
    <filterColumn colId="12"/>
    <filterColumn colId="17"/>
    <filterColumn colId="18"/>
    <filterColumn colId="19"/>
    <filterColumn colId="20"/>
    <filterColumn colId="48"/>
  </autoFilter>
  <mergeCells count="14">
    <mergeCell ref="C5:F5"/>
    <mergeCell ref="O5:R5"/>
    <mergeCell ref="W5:Z5"/>
    <mergeCell ref="AE5:AH5"/>
    <mergeCell ref="B5:B7"/>
    <mergeCell ref="G5:J5"/>
    <mergeCell ref="K5:N5"/>
    <mergeCell ref="S5:V5"/>
    <mergeCell ref="AM5:AP5"/>
    <mergeCell ref="AQ5:AT5"/>
    <mergeCell ref="AU5:AX5"/>
    <mergeCell ref="AA5:AD5"/>
    <mergeCell ref="AY5:BB5"/>
    <mergeCell ref="AI5:AL5"/>
  </mergeCells>
  <pageMargins left="0.24" right="0.2" top="0.19" bottom="0.26" header="0.3" footer="0.3"/>
  <pageSetup paperSize="9" scale="80" fitToHeight="5" orientation="portrait" horizontalDpi="300" verticalDpi="300" r:id="rId1"/>
  <headerFooter>
    <oddFooter>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5">
    <tabColor theme="3" tint="0.39997558519241921"/>
  </sheetPr>
  <dimension ref="A1:AR85"/>
  <sheetViews>
    <sheetView workbookViewId="0">
      <pane xSplit="2" ySplit="7" topLeftCell="AG8" activePane="bottomRight" state="frozen"/>
      <selection pane="topRight" activeCell="B1" sqref="B1"/>
      <selection pane="bottomLeft" activeCell="A8" sqref="A8"/>
      <selection pane="bottomRight" activeCell="B3" sqref="B3"/>
    </sheetView>
  </sheetViews>
  <sheetFormatPr defaultRowHeight="15"/>
  <cols>
    <col min="1" max="1" width="0" style="17" hidden="1" customWidth="1"/>
    <col min="2" max="2" width="54.140625" style="17" customWidth="1"/>
    <col min="3" max="6" width="19.140625" style="17" customWidth="1"/>
    <col min="7" max="14" width="19.140625" style="17" hidden="1" customWidth="1"/>
    <col min="15" max="38" width="19.140625" style="17" customWidth="1"/>
    <col min="39" max="39" width="7.7109375" style="9" customWidth="1"/>
    <col min="40" max="40" width="7.85546875" style="9" customWidth="1"/>
    <col min="41" max="41" width="7" style="9" customWidth="1"/>
    <col min="42" max="42" width="8.85546875" style="9" customWidth="1"/>
    <col min="43" max="55" width="19.140625" style="17" customWidth="1"/>
    <col min="56" max="16384" width="9.140625" style="17"/>
  </cols>
  <sheetData>
    <row r="1" spans="1:44">
      <c r="B1" s="15" t="s">
        <v>48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L1" s="16"/>
      <c r="AM1" s="16"/>
      <c r="AN1" s="16"/>
      <c r="AO1" s="16"/>
      <c r="AP1" s="16"/>
    </row>
    <row r="2" spans="1:44">
      <c r="B2" s="15" t="s">
        <v>759</v>
      </c>
      <c r="C2" s="15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</row>
    <row r="3" spans="1:44">
      <c r="B3" s="15"/>
      <c r="C3" s="15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44">
      <c r="B4" s="15"/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44" s="18" customFormat="1" ht="15" customHeight="1">
      <c r="B5" s="1493" t="s">
        <v>0</v>
      </c>
      <c r="C5" s="1504" t="s">
        <v>49</v>
      </c>
      <c r="D5" s="1505"/>
      <c r="E5" s="1505"/>
      <c r="F5" s="1506"/>
      <c r="G5" s="1507" t="s">
        <v>693</v>
      </c>
      <c r="H5" s="1507"/>
      <c r="I5" s="1507"/>
      <c r="J5" s="1507"/>
      <c r="K5" s="1507" t="s">
        <v>694</v>
      </c>
      <c r="L5" s="1507"/>
      <c r="M5" s="1507"/>
      <c r="N5" s="1507"/>
      <c r="O5" s="1499" t="s">
        <v>50</v>
      </c>
      <c r="P5" s="1500"/>
      <c r="Q5" s="1500"/>
      <c r="R5" s="1501"/>
      <c r="S5" s="1490" t="s">
        <v>53</v>
      </c>
      <c r="T5" s="1502"/>
      <c r="U5" s="1502"/>
      <c r="V5" s="1503"/>
      <c r="W5" s="1490" t="s">
        <v>63</v>
      </c>
      <c r="X5" s="1502"/>
      <c r="Y5" s="1502"/>
      <c r="Z5" s="1503"/>
      <c r="AA5" s="1499" t="s">
        <v>54</v>
      </c>
      <c r="AB5" s="1500"/>
      <c r="AC5" s="1500"/>
      <c r="AD5" s="1501"/>
      <c r="AE5" s="1499" t="s">
        <v>55</v>
      </c>
      <c r="AF5" s="1500"/>
      <c r="AG5" s="1500"/>
      <c r="AH5" s="1501"/>
      <c r="AI5" s="1499" t="s">
        <v>68</v>
      </c>
      <c r="AJ5" s="1500"/>
      <c r="AK5" s="1500"/>
      <c r="AL5" s="1501"/>
      <c r="AM5" s="1508" t="s">
        <v>52</v>
      </c>
      <c r="AN5" s="1509"/>
      <c r="AO5" s="1509"/>
      <c r="AP5" s="1510"/>
    </row>
    <row r="6" spans="1:44" s="18" customFormat="1" hidden="1">
      <c r="B6" s="1494"/>
      <c r="C6" s="76"/>
      <c r="D6" s="77"/>
      <c r="E6" s="77"/>
      <c r="F6" s="78"/>
      <c r="G6" s="605"/>
      <c r="H6" s="605"/>
      <c r="I6" s="605"/>
      <c r="J6" s="605"/>
      <c r="K6" s="605"/>
      <c r="L6" s="605"/>
      <c r="M6" s="605"/>
      <c r="N6" s="605"/>
      <c r="O6" s="98"/>
      <c r="P6" s="99"/>
      <c r="Q6" s="99"/>
      <c r="R6" s="100"/>
      <c r="S6" s="86"/>
      <c r="T6" s="134"/>
      <c r="U6" s="134"/>
      <c r="V6" s="135"/>
      <c r="W6" s="86"/>
      <c r="X6" s="134"/>
      <c r="Y6" s="134"/>
      <c r="Z6" s="135"/>
      <c r="AA6" s="76"/>
      <c r="AB6" s="77"/>
      <c r="AC6" s="77"/>
      <c r="AD6" s="78"/>
      <c r="AE6" s="76"/>
      <c r="AF6" s="77"/>
      <c r="AG6" s="77"/>
      <c r="AH6" s="78"/>
      <c r="AI6" s="76"/>
      <c r="AJ6" s="77"/>
      <c r="AK6" s="77"/>
      <c r="AL6" s="78"/>
      <c r="AM6" s="82"/>
      <c r="AN6" s="83"/>
      <c r="AO6" s="83"/>
      <c r="AP6" s="84"/>
    </row>
    <row r="7" spans="1:44" s="18" customFormat="1" ht="15.75" thickBot="1">
      <c r="B7" s="1495"/>
      <c r="C7" s="71" t="s">
        <v>1</v>
      </c>
      <c r="D7" s="71" t="s">
        <v>2</v>
      </c>
      <c r="E7" s="72" t="s">
        <v>3</v>
      </c>
      <c r="F7" s="73" t="s">
        <v>4</v>
      </c>
      <c r="G7" s="71" t="s">
        <v>1</v>
      </c>
      <c r="H7" s="71" t="s">
        <v>2</v>
      </c>
      <c r="I7" s="71" t="s">
        <v>3</v>
      </c>
      <c r="J7" s="71" t="s">
        <v>4</v>
      </c>
      <c r="K7" s="71" t="s">
        <v>1</v>
      </c>
      <c r="L7" s="71" t="s">
        <v>2</v>
      </c>
      <c r="M7" s="71" t="s">
        <v>3</v>
      </c>
      <c r="N7" s="71" t="s">
        <v>4</v>
      </c>
      <c r="O7" s="71" t="s">
        <v>1</v>
      </c>
      <c r="P7" s="71" t="s">
        <v>2</v>
      </c>
      <c r="Q7" s="72" t="s">
        <v>3</v>
      </c>
      <c r="R7" s="73" t="s">
        <v>4</v>
      </c>
      <c r="S7" s="74" t="s">
        <v>1</v>
      </c>
      <c r="T7" s="74" t="s">
        <v>2</v>
      </c>
      <c r="U7" s="74" t="s">
        <v>3</v>
      </c>
      <c r="V7" s="74" t="s">
        <v>4</v>
      </c>
      <c r="W7" s="71" t="s">
        <v>1</v>
      </c>
      <c r="X7" s="71" t="s">
        <v>2</v>
      </c>
      <c r="Y7" s="72" t="s">
        <v>3</v>
      </c>
      <c r="Z7" s="73" t="s">
        <v>4</v>
      </c>
      <c r="AA7" s="71" t="s">
        <v>1</v>
      </c>
      <c r="AB7" s="71" t="s">
        <v>2</v>
      </c>
      <c r="AC7" s="72" t="s">
        <v>3</v>
      </c>
      <c r="AD7" s="73" t="s">
        <v>4</v>
      </c>
      <c r="AE7" s="71" t="s">
        <v>1</v>
      </c>
      <c r="AF7" s="71" t="s">
        <v>2</v>
      </c>
      <c r="AG7" s="72" t="s">
        <v>3</v>
      </c>
      <c r="AH7" s="73" t="s">
        <v>4</v>
      </c>
      <c r="AI7" s="71" t="s">
        <v>1</v>
      </c>
      <c r="AJ7" s="71" t="s">
        <v>2</v>
      </c>
      <c r="AK7" s="72" t="s">
        <v>3</v>
      </c>
      <c r="AL7" s="73" t="s">
        <v>4</v>
      </c>
      <c r="AM7" s="75" t="s">
        <v>1</v>
      </c>
      <c r="AN7" s="75" t="s">
        <v>2</v>
      </c>
      <c r="AO7" s="75" t="s">
        <v>3</v>
      </c>
      <c r="AP7" s="75" t="s">
        <v>4</v>
      </c>
    </row>
    <row r="8" spans="1:44">
      <c r="B8" s="7"/>
      <c r="C8" s="7"/>
      <c r="D8" s="20"/>
      <c r="E8" s="20"/>
      <c r="F8" s="19"/>
      <c r="G8" s="19"/>
      <c r="H8" s="19"/>
      <c r="I8" s="19"/>
      <c r="J8" s="19"/>
      <c r="K8" s="19"/>
      <c r="L8" s="19"/>
      <c r="M8" s="19"/>
      <c r="N8" s="19"/>
      <c r="O8" s="20"/>
      <c r="P8" s="20"/>
      <c r="Q8" s="20"/>
      <c r="R8" s="19"/>
      <c r="S8" s="20"/>
      <c r="T8" s="20"/>
      <c r="U8" s="20"/>
      <c r="V8" s="19"/>
      <c r="W8" s="20"/>
      <c r="X8" s="20"/>
      <c r="Y8" s="20"/>
      <c r="Z8" s="19"/>
      <c r="AA8" s="20"/>
      <c r="AB8" s="20"/>
      <c r="AC8" s="20"/>
      <c r="AD8" s="19"/>
      <c r="AE8" s="20"/>
      <c r="AF8" s="20"/>
      <c r="AG8" s="20"/>
      <c r="AH8" s="19"/>
      <c r="AI8" s="20"/>
      <c r="AJ8" s="20"/>
      <c r="AK8" s="20"/>
      <c r="AL8" s="19"/>
      <c r="AM8" s="11"/>
      <c r="AN8" s="11"/>
      <c r="AO8" s="11"/>
      <c r="AP8" s="11"/>
    </row>
    <row r="9" spans="1:44" s="24" customFormat="1" ht="18">
      <c r="A9" s="585"/>
      <c r="B9" s="575" t="s">
        <v>922</v>
      </c>
      <c r="C9" s="22">
        <f>+C12+C17+C20+C25+C29+C32+C35+C38+C44+C10</f>
        <v>0</v>
      </c>
      <c r="D9" s="22">
        <f t="shared" ref="D9:AL9" si="0">+D12+D17+D20+D25+D29+D32+D35+D38+D44+D10</f>
        <v>331436476.73999971</v>
      </c>
      <c r="E9" s="22">
        <f t="shared" si="0"/>
        <v>3586846323.0499997</v>
      </c>
      <c r="F9" s="22">
        <f t="shared" si="0"/>
        <v>3918282799.7899995</v>
      </c>
      <c r="G9" s="22">
        <f t="shared" si="0"/>
        <v>0</v>
      </c>
      <c r="H9" s="22">
        <f t="shared" si="0"/>
        <v>44750570.57</v>
      </c>
      <c r="I9" s="22">
        <f t="shared" si="0"/>
        <v>-56454837</v>
      </c>
      <c r="J9" s="22">
        <f t="shared" si="0"/>
        <v>-11704266.43</v>
      </c>
      <c r="K9" s="22">
        <f t="shared" si="0"/>
        <v>0</v>
      </c>
      <c r="L9" s="22">
        <f t="shared" si="0"/>
        <v>2621061.09</v>
      </c>
      <c r="M9" s="22">
        <f t="shared" si="0"/>
        <v>0</v>
      </c>
      <c r="N9" s="22">
        <f t="shared" si="0"/>
        <v>2621061.09</v>
      </c>
      <c r="O9" s="22">
        <f t="shared" si="0"/>
        <v>0</v>
      </c>
      <c r="P9" s="22">
        <f t="shared" si="0"/>
        <v>51917141.459999993</v>
      </c>
      <c r="Q9" s="22">
        <f t="shared" si="0"/>
        <v>-96454837</v>
      </c>
      <c r="R9" s="22">
        <f t="shared" si="0"/>
        <v>-44537695.539999992</v>
      </c>
      <c r="S9" s="22">
        <f t="shared" si="0"/>
        <v>0</v>
      </c>
      <c r="T9" s="22">
        <f t="shared" si="0"/>
        <v>383353618.19999969</v>
      </c>
      <c r="U9" s="22">
        <f t="shared" si="0"/>
        <v>3490391486.0499997</v>
      </c>
      <c r="V9" s="22">
        <f t="shared" si="0"/>
        <v>3873745104.25</v>
      </c>
      <c r="W9" s="22">
        <f t="shared" si="0"/>
        <v>0</v>
      </c>
      <c r="X9" s="22">
        <f t="shared" si="0"/>
        <v>243521829.93000001</v>
      </c>
      <c r="Y9" s="22">
        <f t="shared" si="0"/>
        <v>1623216053.24</v>
      </c>
      <c r="Z9" s="22">
        <f t="shared" si="0"/>
        <v>1866737883.1700001</v>
      </c>
      <c r="AA9" s="22">
        <f t="shared" si="0"/>
        <v>0</v>
      </c>
      <c r="AB9" s="22">
        <f t="shared" si="0"/>
        <v>2619570.0599999996</v>
      </c>
      <c r="AC9" s="22">
        <f t="shared" si="0"/>
        <v>0</v>
      </c>
      <c r="AD9" s="22">
        <f t="shared" si="0"/>
        <v>2619570.0599999996</v>
      </c>
      <c r="AE9" s="22">
        <f t="shared" si="0"/>
        <v>0</v>
      </c>
      <c r="AF9" s="22">
        <f t="shared" si="0"/>
        <v>246141399.99000001</v>
      </c>
      <c r="AG9" s="22">
        <f t="shared" si="0"/>
        <v>1623216053.24</v>
      </c>
      <c r="AH9" s="22">
        <f t="shared" si="0"/>
        <v>1869357453.23</v>
      </c>
      <c r="AI9" s="22">
        <f t="shared" si="0"/>
        <v>0</v>
      </c>
      <c r="AJ9" s="22">
        <f t="shared" si="0"/>
        <v>137212218.20999974</v>
      </c>
      <c r="AK9" s="22">
        <f t="shared" si="0"/>
        <v>1867175432.8099999</v>
      </c>
      <c r="AL9" s="22">
        <f t="shared" si="0"/>
        <v>2004387651.0200002</v>
      </c>
      <c r="AM9" s="604" t="str">
        <f t="shared" ref="AM9:AM46" si="1">IF(S9=0," ",AE9/S9)</f>
        <v xml:space="preserve"> </v>
      </c>
      <c r="AN9" s="604">
        <f t="shared" ref="AN9:AN46" si="2">IF(T9=0," ",AF9/T9)</f>
        <v>0.6420740233149056</v>
      </c>
      <c r="AO9" s="604">
        <f t="shared" ref="AO9:AO46" si="3">IF(U9=0," ",AG9/U9)</f>
        <v>0.46505271965264799</v>
      </c>
      <c r="AP9" s="604">
        <f t="shared" ref="AP9:AP46" si="4">IF(V9=0," ",AH9/V9)</f>
        <v>0.48257110442787599</v>
      </c>
      <c r="AR9" s="824">
        <f>+'CONAP (ALL FUNDS)'!Q1272+'CONAP (ALL FUNDS)'!Q1280+'CONAP (ALL FUNDS)'!Q1286-AL9</f>
        <v>0</v>
      </c>
    </row>
    <row r="10" spans="1:44" s="39" customFormat="1" ht="16.5">
      <c r="A10" s="586"/>
      <c r="B10" s="580" t="s">
        <v>932</v>
      </c>
      <c r="C10" s="37">
        <f>+'CONAP-FUR (REG)-Detail'!C9</f>
        <v>0</v>
      </c>
      <c r="D10" s="37">
        <f>+'CONAP-FUR (REG)-Detail'!D9</f>
        <v>11759648.140000001</v>
      </c>
      <c r="E10" s="37">
        <f>+'CONAP-FUR (REG)-Detail'!E9</f>
        <v>883480</v>
      </c>
      <c r="F10" s="37">
        <f t="shared" ref="F10:F74" si="5">SUM(C10:E10)</f>
        <v>12643128.140000001</v>
      </c>
      <c r="G10" s="37">
        <f>+'CONAP-FUR (REG)-Detail'!G9</f>
        <v>0</v>
      </c>
      <c r="H10" s="37">
        <f>+'CONAP-FUR (REG)-Detail'!H9</f>
        <v>-250000</v>
      </c>
      <c r="I10" s="37">
        <f>+'CONAP-FUR (REG)-Detail'!I9</f>
        <v>0</v>
      </c>
      <c r="J10" s="37">
        <f t="shared" ref="J10:J74" si="6">SUM(G10:I10)</f>
        <v>-250000</v>
      </c>
      <c r="K10" s="37">
        <f>+'CONAP-FUR (REG)-Detail'!K9</f>
        <v>0</v>
      </c>
      <c r="L10" s="37">
        <f>+'CONAP-FUR (REG)-Detail'!L9</f>
        <v>0</v>
      </c>
      <c r="M10" s="37">
        <f>+'CONAP-FUR (REG)-Detail'!M9</f>
        <v>0</v>
      </c>
      <c r="N10" s="37">
        <f t="shared" ref="N10:N74" si="7">SUM(K10:M10)</f>
        <v>0</v>
      </c>
      <c r="O10" s="37">
        <f t="shared" ref="O10:O74" si="8">+G10+K10</f>
        <v>0</v>
      </c>
      <c r="P10" s="37">
        <f t="shared" ref="P10:P74" si="9">+H10+L10</f>
        <v>-250000</v>
      </c>
      <c r="Q10" s="37">
        <f t="shared" ref="Q10:Q74" si="10">+I10+M10</f>
        <v>0</v>
      </c>
      <c r="R10" s="37">
        <f t="shared" ref="R10:R74" si="11">SUM(O10:Q10)</f>
        <v>-250000</v>
      </c>
      <c r="S10" s="37">
        <f t="shared" ref="S10:S74" si="12">+C10+O10</f>
        <v>0</v>
      </c>
      <c r="T10" s="37">
        <f t="shared" ref="T10:T74" si="13">+D10+P10</f>
        <v>11509648.140000001</v>
      </c>
      <c r="U10" s="37">
        <f t="shared" ref="U10:U74" si="14">+E10+Q10</f>
        <v>883480</v>
      </c>
      <c r="V10" s="37">
        <f t="shared" ref="V10:V74" si="15">SUM(S10:U10)</f>
        <v>12393128.140000001</v>
      </c>
      <c r="W10" s="37">
        <f>+'CONAP-FUR (REG)-Detail'!W9</f>
        <v>0</v>
      </c>
      <c r="X10" s="37">
        <f>+'CONAP-FUR (REG)-Detail'!X9</f>
        <v>11509648.140000001</v>
      </c>
      <c r="Y10" s="37">
        <f>+'CONAP-FUR (REG)-Detail'!Y9</f>
        <v>737309</v>
      </c>
      <c r="Z10" s="37">
        <f t="shared" ref="Z10:Z74" si="16">SUM(W10:Y10)</f>
        <v>12246957.140000001</v>
      </c>
      <c r="AA10" s="37">
        <f>+'CONAP-FUR (REG)-Detail'!AA9</f>
        <v>0</v>
      </c>
      <c r="AB10" s="37">
        <f>+'CONAP-FUR (REG)-Detail'!AB9</f>
        <v>0</v>
      </c>
      <c r="AC10" s="37">
        <f>+'CONAP-FUR (REG)-Detail'!AC9</f>
        <v>0</v>
      </c>
      <c r="AD10" s="37">
        <f t="shared" ref="AD10:AD74" si="17">SUM(AA10:AC10)</f>
        <v>0</v>
      </c>
      <c r="AE10" s="37">
        <f t="shared" ref="AE10:AE74" si="18">+W10+AA10</f>
        <v>0</v>
      </c>
      <c r="AF10" s="37">
        <f t="shared" ref="AF10:AF74" si="19">+X10+AB10</f>
        <v>11509648.140000001</v>
      </c>
      <c r="AG10" s="37">
        <f t="shared" ref="AG10:AG74" si="20">+Y10+AC10</f>
        <v>737309</v>
      </c>
      <c r="AH10" s="37">
        <f t="shared" ref="AH10:AH74" si="21">SUM(AE10:AG10)</f>
        <v>12246957.140000001</v>
      </c>
      <c r="AI10" s="37">
        <f t="shared" ref="AI10:AI73" si="22">+S10-AE10</f>
        <v>0</v>
      </c>
      <c r="AJ10" s="37">
        <f t="shared" ref="AJ10:AJ73" si="23">+T10-AF10</f>
        <v>0</v>
      </c>
      <c r="AK10" s="37">
        <f t="shared" ref="AK10:AK73" si="24">+U10-AG10</f>
        <v>146171</v>
      </c>
      <c r="AL10" s="37">
        <f t="shared" ref="AL10:AL73" si="25">SUM(AI10:AK10)</f>
        <v>146171</v>
      </c>
      <c r="AM10" s="602" t="str">
        <f t="shared" si="1"/>
        <v xml:space="preserve"> </v>
      </c>
      <c r="AN10" s="602">
        <f t="shared" si="2"/>
        <v>1</v>
      </c>
      <c r="AO10" s="602">
        <f t="shared" si="3"/>
        <v>0.83455086702585235</v>
      </c>
      <c r="AP10" s="602">
        <f t="shared" si="4"/>
        <v>0.98820547981520346</v>
      </c>
    </row>
    <row r="11" spans="1:44" s="39" customFormat="1" ht="16.5">
      <c r="A11" s="586"/>
      <c r="B11" s="580"/>
      <c r="C11" s="37"/>
      <c r="D11" s="37"/>
      <c r="E11" s="37"/>
      <c r="F11" s="37">
        <f t="shared" si="5"/>
        <v>0</v>
      </c>
      <c r="G11" s="37"/>
      <c r="H11" s="37"/>
      <c r="I11" s="37"/>
      <c r="J11" s="37">
        <f t="shared" si="6"/>
        <v>0</v>
      </c>
      <c r="K11" s="37"/>
      <c r="L11" s="37"/>
      <c r="M11" s="37"/>
      <c r="N11" s="37">
        <f t="shared" si="7"/>
        <v>0</v>
      </c>
      <c r="O11" s="37">
        <f t="shared" si="8"/>
        <v>0</v>
      </c>
      <c r="P11" s="37">
        <f t="shared" si="9"/>
        <v>0</v>
      </c>
      <c r="Q11" s="37">
        <f t="shared" si="10"/>
        <v>0</v>
      </c>
      <c r="R11" s="37">
        <f t="shared" si="11"/>
        <v>0</v>
      </c>
      <c r="S11" s="37">
        <f t="shared" si="12"/>
        <v>0</v>
      </c>
      <c r="T11" s="37">
        <f t="shared" si="13"/>
        <v>0</v>
      </c>
      <c r="U11" s="37">
        <f t="shared" si="14"/>
        <v>0</v>
      </c>
      <c r="V11" s="37">
        <f t="shared" si="15"/>
        <v>0</v>
      </c>
      <c r="W11" s="37"/>
      <c r="X11" s="37"/>
      <c r="Y11" s="37"/>
      <c r="Z11" s="37">
        <f t="shared" si="16"/>
        <v>0</v>
      </c>
      <c r="AA11" s="37"/>
      <c r="AB11" s="37"/>
      <c r="AC11" s="37"/>
      <c r="AD11" s="37">
        <f t="shared" si="17"/>
        <v>0</v>
      </c>
      <c r="AE11" s="37">
        <f t="shared" si="18"/>
        <v>0</v>
      </c>
      <c r="AF11" s="37">
        <f t="shared" si="19"/>
        <v>0</v>
      </c>
      <c r="AG11" s="37">
        <f t="shared" si="20"/>
        <v>0</v>
      </c>
      <c r="AH11" s="37">
        <f t="shared" si="21"/>
        <v>0</v>
      </c>
      <c r="AI11" s="37">
        <f t="shared" si="22"/>
        <v>0</v>
      </c>
      <c r="AJ11" s="37">
        <f t="shared" si="23"/>
        <v>0</v>
      </c>
      <c r="AK11" s="37">
        <f t="shared" si="24"/>
        <v>0</v>
      </c>
      <c r="AL11" s="37">
        <f t="shared" si="25"/>
        <v>0</v>
      </c>
      <c r="AM11" s="602" t="str">
        <f t="shared" si="1"/>
        <v xml:space="preserve"> </v>
      </c>
      <c r="AN11" s="602" t="str">
        <f t="shared" si="2"/>
        <v xml:space="preserve"> </v>
      </c>
      <c r="AO11" s="602" t="str">
        <f t="shared" si="3"/>
        <v xml:space="preserve"> </v>
      </c>
      <c r="AP11" s="602" t="str">
        <f t="shared" si="4"/>
        <v xml:space="preserve"> </v>
      </c>
    </row>
    <row r="12" spans="1:44" s="39" customFormat="1" ht="16.5">
      <c r="A12" s="586" t="s">
        <v>923</v>
      </c>
      <c r="B12" s="580" t="s">
        <v>888</v>
      </c>
      <c r="C12" s="37">
        <f>SUM(C13:C15)</f>
        <v>0</v>
      </c>
      <c r="D12" s="37">
        <f>SUM(D13:D15)</f>
        <v>32945007.559999995</v>
      </c>
      <c r="E12" s="37">
        <f>SUM(E13:E15)</f>
        <v>0</v>
      </c>
      <c r="F12" s="37">
        <f t="shared" si="5"/>
        <v>32945007.559999995</v>
      </c>
      <c r="G12" s="37">
        <f>SUM(G13:G15)</f>
        <v>0</v>
      </c>
      <c r="H12" s="37">
        <f>SUM(H13:H15)</f>
        <v>-12900000</v>
      </c>
      <c r="I12" s="37">
        <f>SUM(I13:I15)</f>
        <v>0</v>
      </c>
      <c r="J12" s="37">
        <f t="shared" si="6"/>
        <v>-12900000</v>
      </c>
      <c r="K12" s="37">
        <f>SUM(K13:K15)</f>
        <v>0</v>
      </c>
      <c r="L12" s="37">
        <f>SUM(L13:L15)</f>
        <v>0</v>
      </c>
      <c r="M12" s="37">
        <f>SUM(M13:M15)</f>
        <v>0</v>
      </c>
      <c r="N12" s="37">
        <f t="shared" si="7"/>
        <v>0</v>
      </c>
      <c r="O12" s="37">
        <f t="shared" si="8"/>
        <v>0</v>
      </c>
      <c r="P12" s="37">
        <f t="shared" si="9"/>
        <v>-12900000</v>
      </c>
      <c r="Q12" s="37">
        <f t="shared" si="10"/>
        <v>0</v>
      </c>
      <c r="R12" s="37">
        <f t="shared" si="11"/>
        <v>-12900000</v>
      </c>
      <c r="S12" s="37">
        <f t="shared" si="12"/>
        <v>0</v>
      </c>
      <c r="T12" s="37">
        <f t="shared" si="13"/>
        <v>20045007.559999995</v>
      </c>
      <c r="U12" s="37">
        <f t="shared" si="14"/>
        <v>0</v>
      </c>
      <c r="V12" s="37">
        <f t="shared" si="15"/>
        <v>20045007.559999995</v>
      </c>
      <c r="W12" s="37">
        <f>SUM(W13:W15)</f>
        <v>0</v>
      </c>
      <c r="X12" s="37">
        <f>SUM(X13:X15)</f>
        <v>19968279.489999998</v>
      </c>
      <c r="Y12" s="37">
        <f>SUM(Y13:Y15)</f>
        <v>0</v>
      </c>
      <c r="Z12" s="37">
        <f t="shared" si="16"/>
        <v>19968279.489999998</v>
      </c>
      <c r="AA12" s="37">
        <f>SUM(AA13:AA15)</f>
        <v>0</v>
      </c>
      <c r="AB12" s="37">
        <f>SUM(AB13:AB15)</f>
        <v>0</v>
      </c>
      <c r="AC12" s="37">
        <f>SUM(AC13:AC15)</f>
        <v>0</v>
      </c>
      <c r="AD12" s="37">
        <f t="shared" si="17"/>
        <v>0</v>
      </c>
      <c r="AE12" s="37">
        <f t="shared" si="18"/>
        <v>0</v>
      </c>
      <c r="AF12" s="37">
        <f t="shared" si="19"/>
        <v>19968279.489999998</v>
      </c>
      <c r="AG12" s="37">
        <f t="shared" si="20"/>
        <v>0</v>
      </c>
      <c r="AH12" s="37">
        <f t="shared" si="21"/>
        <v>19968279.489999998</v>
      </c>
      <c r="AI12" s="37">
        <f t="shared" si="22"/>
        <v>0</v>
      </c>
      <c r="AJ12" s="37">
        <f t="shared" si="23"/>
        <v>76728.069999996573</v>
      </c>
      <c r="AK12" s="37">
        <f t="shared" si="24"/>
        <v>0</v>
      </c>
      <c r="AL12" s="37">
        <f t="shared" si="25"/>
        <v>76728.069999996573</v>
      </c>
      <c r="AM12" s="602" t="str">
        <f t="shared" si="1"/>
        <v xml:space="preserve"> </v>
      </c>
      <c r="AN12" s="602">
        <f t="shared" si="2"/>
        <v>0.99617221047333959</v>
      </c>
      <c r="AO12" s="602" t="str">
        <f t="shared" si="3"/>
        <v xml:space="preserve"> </v>
      </c>
      <c r="AP12" s="602">
        <f t="shared" si="4"/>
        <v>0.99617221047333959</v>
      </c>
    </row>
    <row r="13" spans="1:44" s="16" customFormat="1" ht="12.75">
      <c r="A13" s="586" t="s">
        <v>923</v>
      </c>
      <c r="B13" s="581" t="s">
        <v>898</v>
      </c>
      <c r="C13" s="579">
        <f>+'CONAP-FUR (REG)-Detail'!C12</f>
        <v>0</v>
      </c>
      <c r="D13" s="579">
        <f>+'CONAP-FUR (REG)-Detail'!D12</f>
        <v>1025959.4799999967</v>
      </c>
      <c r="E13" s="579">
        <f>+'CONAP-FUR (REG)-Detail'!E12</f>
        <v>0</v>
      </c>
      <c r="F13" s="579">
        <f t="shared" si="5"/>
        <v>1025959.4799999967</v>
      </c>
      <c r="G13" s="579">
        <f>+'CONAP-FUR (REG)-Detail'!G12</f>
        <v>0</v>
      </c>
      <c r="H13" s="579">
        <f>+'CONAP-FUR (REG)-Detail'!H12</f>
        <v>-200000</v>
      </c>
      <c r="I13" s="579">
        <f>+'CONAP-FUR (REG)-Detail'!I12</f>
        <v>0</v>
      </c>
      <c r="J13" s="579">
        <f t="shared" si="6"/>
        <v>-200000</v>
      </c>
      <c r="K13" s="579">
        <f>+'CONAP-FUR (REG)-Detail'!K12</f>
        <v>0</v>
      </c>
      <c r="L13" s="579">
        <f>+'CONAP-FUR (REG)-Detail'!L12</f>
        <v>0</v>
      </c>
      <c r="M13" s="579">
        <f>+'CONAP-FUR (REG)-Detail'!M12</f>
        <v>0</v>
      </c>
      <c r="N13" s="579">
        <f t="shared" si="7"/>
        <v>0</v>
      </c>
      <c r="O13" s="579">
        <f t="shared" si="8"/>
        <v>0</v>
      </c>
      <c r="P13" s="579">
        <f t="shared" si="9"/>
        <v>-200000</v>
      </c>
      <c r="Q13" s="579">
        <f t="shared" si="10"/>
        <v>0</v>
      </c>
      <c r="R13" s="579">
        <f t="shared" si="11"/>
        <v>-200000</v>
      </c>
      <c r="S13" s="579">
        <f t="shared" si="12"/>
        <v>0</v>
      </c>
      <c r="T13" s="579">
        <f t="shared" si="13"/>
        <v>825959.47999999672</v>
      </c>
      <c r="U13" s="579">
        <f t="shared" si="14"/>
        <v>0</v>
      </c>
      <c r="V13" s="579">
        <f t="shared" si="15"/>
        <v>825959.47999999672</v>
      </c>
      <c r="W13" s="579">
        <f>+'CONAP-FUR (REG)-Detail'!W12</f>
        <v>0</v>
      </c>
      <c r="X13" s="579">
        <f>+'CONAP-FUR (REG)-Detail'!X12</f>
        <v>823423.39</v>
      </c>
      <c r="Y13" s="579">
        <f>+'CONAP-FUR (REG)-Detail'!Y12</f>
        <v>0</v>
      </c>
      <c r="Z13" s="579">
        <f t="shared" si="16"/>
        <v>823423.39</v>
      </c>
      <c r="AA13" s="579">
        <f>+'CONAP-FUR (REG)-Detail'!AA12</f>
        <v>0</v>
      </c>
      <c r="AB13" s="579">
        <f>+'CONAP-FUR (REG)-Detail'!AB12</f>
        <v>0</v>
      </c>
      <c r="AC13" s="579">
        <f>+'CONAP-FUR (REG)-Detail'!AC12</f>
        <v>0</v>
      </c>
      <c r="AD13" s="579">
        <f t="shared" si="17"/>
        <v>0</v>
      </c>
      <c r="AE13" s="579">
        <f t="shared" si="18"/>
        <v>0</v>
      </c>
      <c r="AF13" s="579">
        <f t="shared" si="19"/>
        <v>823423.39</v>
      </c>
      <c r="AG13" s="579">
        <f t="shared" si="20"/>
        <v>0</v>
      </c>
      <c r="AH13" s="579">
        <f t="shared" si="21"/>
        <v>823423.39</v>
      </c>
      <c r="AI13" s="579">
        <f t="shared" si="22"/>
        <v>0</v>
      </c>
      <c r="AJ13" s="579">
        <f t="shared" si="23"/>
        <v>2536.0899999967078</v>
      </c>
      <c r="AK13" s="579">
        <f t="shared" si="24"/>
        <v>0</v>
      </c>
      <c r="AL13" s="579">
        <f t="shared" si="25"/>
        <v>2536.0899999967078</v>
      </c>
      <c r="AM13" s="603" t="str">
        <f t="shared" si="1"/>
        <v xml:space="preserve"> </v>
      </c>
      <c r="AN13" s="603">
        <f t="shared" si="2"/>
        <v>0.99692952249909794</v>
      </c>
      <c r="AO13" s="603" t="str">
        <f t="shared" si="3"/>
        <v xml:space="preserve"> </v>
      </c>
      <c r="AP13" s="603">
        <f t="shared" si="4"/>
        <v>0.99692952249909794</v>
      </c>
    </row>
    <row r="14" spans="1:44" s="16" customFormat="1" ht="12.75">
      <c r="A14" s="586" t="s">
        <v>923</v>
      </c>
      <c r="B14" s="581" t="s">
        <v>899</v>
      </c>
      <c r="C14" s="579">
        <f>+'CONAP-FUR (REG)-Detail'!C16</f>
        <v>0</v>
      </c>
      <c r="D14" s="579">
        <f>+'CONAP-FUR (REG)-Detail'!D16</f>
        <v>784921.86000000127</v>
      </c>
      <c r="E14" s="579">
        <f>+'CONAP-FUR (REG)-Detail'!E16</f>
        <v>0</v>
      </c>
      <c r="F14" s="579">
        <f t="shared" si="5"/>
        <v>784921.86000000127</v>
      </c>
      <c r="G14" s="579">
        <f>+'CONAP-FUR (REG)-Detail'!G16</f>
        <v>0</v>
      </c>
      <c r="H14" s="579">
        <f>+'CONAP-FUR (REG)-Detail'!H16</f>
        <v>-500000</v>
      </c>
      <c r="I14" s="579">
        <f>+'CONAP-FUR (REG)-Detail'!I16</f>
        <v>0</v>
      </c>
      <c r="J14" s="579">
        <f t="shared" si="6"/>
        <v>-500000</v>
      </c>
      <c r="K14" s="579">
        <f>+'CONAP-FUR (REG)-Detail'!K16</f>
        <v>0</v>
      </c>
      <c r="L14" s="579">
        <f>+'CONAP-FUR (REG)-Detail'!L16</f>
        <v>0</v>
      </c>
      <c r="M14" s="579">
        <f>+'CONAP-FUR (REG)-Detail'!M16</f>
        <v>0</v>
      </c>
      <c r="N14" s="579">
        <f t="shared" si="7"/>
        <v>0</v>
      </c>
      <c r="O14" s="579">
        <f t="shared" si="8"/>
        <v>0</v>
      </c>
      <c r="P14" s="579">
        <f t="shared" si="9"/>
        <v>-500000</v>
      </c>
      <c r="Q14" s="579">
        <f t="shared" si="10"/>
        <v>0</v>
      </c>
      <c r="R14" s="579">
        <f t="shared" si="11"/>
        <v>-500000</v>
      </c>
      <c r="S14" s="579">
        <f t="shared" si="12"/>
        <v>0</v>
      </c>
      <c r="T14" s="579">
        <f t="shared" si="13"/>
        <v>284921.86000000127</v>
      </c>
      <c r="U14" s="579">
        <f t="shared" si="14"/>
        <v>0</v>
      </c>
      <c r="V14" s="579">
        <f t="shared" si="15"/>
        <v>284921.86000000127</v>
      </c>
      <c r="W14" s="579">
        <f>+'CONAP-FUR (REG)-Detail'!W16</f>
        <v>0</v>
      </c>
      <c r="X14" s="579">
        <f>+'CONAP-FUR (REG)-Detail'!X16</f>
        <v>219926.13000000012</v>
      </c>
      <c r="Y14" s="579">
        <f>+'CONAP-FUR (REG)-Detail'!Y16</f>
        <v>0</v>
      </c>
      <c r="Z14" s="579">
        <f t="shared" si="16"/>
        <v>219926.13000000012</v>
      </c>
      <c r="AA14" s="579">
        <f>+'CONAP-FUR (REG)-Detail'!AA16</f>
        <v>0</v>
      </c>
      <c r="AB14" s="579">
        <f>+'CONAP-FUR (REG)-Detail'!AB16</f>
        <v>0</v>
      </c>
      <c r="AC14" s="579">
        <f>+'CONAP-FUR (REG)-Detail'!AC16</f>
        <v>0</v>
      </c>
      <c r="AD14" s="579">
        <f t="shared" si="17"/>
        <v>0</v>
      </c>
      <c r="AE14" s="579">
        <f t="shared" si="18"/>
        <v>0</v>
      </c>
      <c r="AF14" s="579">
        <f t="shared" si="19"/>
        <v>219926.13000000012</v>
      </c>
      <c r="AG14" s="579">
        <f t="shared" si="20"/>
        <v>0</v>
      </c>
      <c r="AH14" s="579">
        <f t="shared" si="21"/>
        <v>219926.13000000012</v>
      </c>
      <c r="AI14" s="579">
        <f t="shared" si="22"/>
        <v>0</v>
      </c>
      <c r="AJ14" s="579">
        <f t="shared" si="23"/>
        <v>64995.730000001146</v>
      </c>
      <c r="AK14" s="579">
        <f t="shared" si="24"/>
        <v>0</v>
      </c>
      <c r="AL14" s="579">
        <f t="shared" si="25"/>
        <v>64995.730000001146</v>
      </c>
      <c r="AM14" s="603" t="str">
        <f t="shared" si="1"/>
        <v xml:space="preserve"> </v>
      </c>
      <c r="AN14" s="603">
        <f t="shared" si="2"/>
        <v>0.7718822627368751</v>
      </c>
      <c r="AO14" s="603" t="str">
        <f t="shared" si="3"/>
        <v xml:space="preserve"> </v>
      </c>
      <c r="AP14" s="603">
        <f t="shared" si="4"/>
        <v>0.7718822627368751</v>
      </c>
    </row>
    <row r="15" spans="1:44" s="16" customFormat="1" ht="12.75">
      <c r="A15" s="586" t="s">
        <v>923</v>
      </c>
      <c r="B15" s="581" t="s">
        <v>900</v>
      </c>
      <c r="C15" s="579">
        <f>+'CONAP-FUR (REG)-Detail'!C24</f>
        <v>0</v>
      </c>
      <c r="D15" s="579">
        <f>+'CONAP-FUR (REG)-Detail'!D24</f>
        <v>31134126.219999999</v>
      </c>
      <c r="E15" s="579">
        <f>+'CONAP-FUR (REG)-Detail'!E24</f>
        <v>0</v>
      </c>
      <c r="F15" s="579">
        <f t="shared" si="5"/>
        <v>31134126.219999999</v>
      </c>
      <c r="G15" s="579">
        <f>+'CONAP-FUR (REG)-Detail'!G24</f>
        <v>0</v>
      </c>
      <c r="H15" s="579">
        <f>+'CONAP-FUR (REG)-Detail'!H24</f>
        <v>-12200000</v>
      </c>
      <c r="I15" s="579">
        <f>+'CONAP-FUR (REG)-Detail'!I24</f>
        <v>0</v>
      </c>
      <c r="J15" s="579">
        <f t="shared" si="6"/>
        <v>-12200000</v>
      </c>
      <c r="K15" s="579">
        <f>+'CONAP-FUR (REG)-Detail'!K24</f>
        <v>0</v>
      </c>
      <c r="L15" s="579">
        <f>+'CONAP-FUR (REG)-Detail'!L24</f>
        <v>0</v>
      </c>
      <c r="M15" s="579">
        <f>+'CONAP-FUR (REG)-Detail'!M24</f>
        <v>0</v>
      </c>
      <c r="N15" s="579">
        <f t="shared" si="7"/>
        <v>0</v>
      </c>
      <c r="O15" s="579">
        <f t="shared" si="8"/>
        <v>0</v>
      </c>
      <c r="P15" s="579">
        <f t="shared" si="9"/>
        <v>-12200000</v>
      </c>
      <c r="Q15" s="579">
        <f t="shared" si="10"/>
        <v>0</v>
      </c>
      <c r="R15" s="579">
        <f t="shared" si="11"/>
        <v>-12200000</v>
      </c>
      <c r="S15" s="579">
        <f t="shared" si="12"/>
        <v>0</v>
      </c>
      <c r="T15" s="579">
        <f t="shared" si="13"/>
        <v>18934126.219999999</v>
      </c>
      <c r="U15" s="579">
        <f t="shared" si="14"/>
        <v>0</v>
      </c>
      <c r="V15" s="579">
        <f t="shared" si="15"/>
        <v>18934126.219999999</v>
      </c>
      <c r="W15" s="579">
        <f>+'CONAP-FUR (REG)-Detail'!W24</f>
        <v>0</v>
      </c>
      <c r="X15" s="579">
        <f>+'CONAP-FUR (REG)-Detail'!X24</f>
        <v>18924929.969999999</v>
      </c>
      <c r="Y15" s="579">
        <f>+'CONAP-FUR (REG)-Detail'!Y24</f>
        <v>0</v>
      </c>
      <c r="Z15" s="579">
        <f t="shared" si="16"/>
        <v>18924929.969999999</v>
      </c>
      <c r="AA15" s="579">
        <f>+'CONAP-FUR (REG)-Detail'!AA24</f>
        <v>0</v>
      </c>
      <c r="AB15" s="579">
        <f>+'CONAP-FUR (REG)-Detail'!AB24</f>
        <v>0</v>
      </c>
      <c r="AC15" s="579">
        <f>+'CONAP-FUR (REG)-Detail'!AC24</f>
        <v>0</v>
      </c>
      <c r="AD15" s="579">
        <f t="shared" si="17"/>
        <v>0</v>
      </c>
      <c r="AE15" s="579">
        <f t="shared" si="18"/>
        <v>0</v>
      </c>
      <c r="AF15" s="579">
        <f t="shared" si="19"/>
        <v>18924929.969999999</v>
      </c>
      <c r="AG15" s="579">
        <f t="shared" si="20"/>
        <v>0</v>
      </c>
      <c r="AH15" s="579">
        <f t="shared" si="21"/>
        <v>18924929.969999999</v>
      </c>
      <c r="AI15" s="579">
        <f t="shared" si="22"/>
        <v>0</v>
      </c>
      <c r="AJ15" s="579">
        <f t="shared" si="23"/>
        <v>9196.25</v>
      </c>
      <c r="AK15" s="579">
        <f t="shared" si="24"/>
        <v>0</v>
      </c>
      <c r="AL15" s="579">
        <f t="shared" si="25"/>
        <v>9196.25</v>
      </c>
      <c r="AM15" s="603" t="str">
        <f t="shared" si="1"/>
        <v xml:space="preserve"> </v>
      </c>
      <c r="AN15" s="603">
        <f t="shared" si="2"/>
        <v>0.99951430291035637</v>
      </c>
      <c r="AO15" s="603" t="str">
        <f t="shared" si="3"/>
        <v xml:space="preserve"> </v>
      </c>
      <c r="AP15" s="603">
        <f t="shared" si="4"/>
        <v>0.99951430291035637</v>
      </c>
    </row>
    <row r="16" spans="1:44" s="39" customFormat="1" ht="16.5">
      <c r="A16" s="586"/>
      <c r="B16" s="580"/>
      <c r="C16" s="37"/>
      <c r="D16" s="37"/>
      <c r="E16" s="37"/>
      <c r="F16" s="37">
        <f t="shared" si="5"/>
        <v>0</v>
      </c>
      <c r="G16" s="37"/>
      <c r="H16" s="37"/>
      <c r="I16" s="37"/>
      <c r="J16" s="37">
        <f t="shared" si="6"/>
        <v>0</v>
      </c>
      <c r="K16" s="37"/>
      <c r="L16" s="37"/>
      <c r="M16" s="37"/>
      <c r="N16" s="37">
        <f t="shared" si="7"/>
        <v>0</v>
      </c>
      <c r="O16" s="37">
        <f t="shared" si="8"/>
        <v>0</v>
      </c>
      <c r="P16" s="37">
        <f t="shared" si="9"/>
        <v>0</v>
      </c>
      <c r="Q16" s="37">
        <f t="shared" si="10"/>
        <v>0</v>
      </c>
      <c r="R16" s="37">
        <f t="shared" si="11"/>
        <v>0</v>
      </c>
      <c r="S16" s="37">
        <f t="shared" si="12"/>
        <v>0</v>
      </c>
      <c r="T16" s="37">
        <f t="shared" si="13"/>
        <v>0</v>
      </c>
      <c r="U16" s="37">
        <f t="shared" si="14"/>
        <v>0</v>
      </c>
      <c r="V16" s="37">
        <f t="shared" si="15"/>
        <v>0</v>
      </c>
      <c r="W16" s="37"/>
      <c r="X16" s="37"/>
      <c r="Y16" s="37"/>
      <c r="Z16" s="37">
        <f t="shared" si="16"/>
        <v>0</v>
      </c>
      <c r="AA16" s="37"/>
      <c r="AB16" s="37"/>
      <c r="AC16" s="37"/>
      <c r="AD16" s="37">
        <f t="shared" si="17"/>
        <v>0</v>
      </c>
      <c r="AE16" s="37">
        <f t="shared" si="18"/>
        <v>0</v>
      </c>
      <c r="AF16" s="37">
        <f t="shared" si="19"/>
        <v>0</v>
      </c>
      <c r="AG16" s="37">
        <f t="shared" si="20"/>
        <v>0</v>
      </c>
      <c r="AH16" s="37">
        <f t="shared" si="21"/>
        <v>0</v>
      </c>
      <c r="AI16" s="37">
        <f t="shared" si="22"/>
        <v>0</v>
      </c>
      <c r="AJ16" s="37">
        <f t="shared" si="23"/>
        <v>0</v>
      </c>
      <c r="AK16" s="37">
        <f t="shared" si="24"/>
        <v>0</v>
      </c>
      <c r="AL16" s="37">
        <f t="shared" si="25"/>
        <v>0</v>
      </c>
      <c r="AM16" s="602" t="str">
        <f t="shared" si="1"/>
        <v xml:space="preserve"> </v>
      </c>
      <c r="AN16" s="602" t="str">
        <f t="shared" si="2"/>
        <v xml:space="preserve"> </v>
      </c>
      <c r="AO16" s="602" t="str">
        <f t="shared" si="3"/>
        <v xml:space="preserve"> </v>
      </c>
      <c r="AP16" s="602" t="str">
        <f t="shared" si="4"/>
        <v xml:space="preserve"> </v>
      </c>
    </row>
    <row r="17" spans="1:42" s="39" customFormat="1" ht="16.5">
      <c r="A17" s="586" t="s">
        <v>924</v>
      </c>
      <c r="B17" s="580" t="s">
        <v>889</v>
      </c>
      <c r="C17" s="37">
        <f>SUM(C18:C18)</f>
        <v>0</v>
      </c>
      <c r="D17" s="37">
        <f>SUM(D18:D18)</f>
        <v>11645511.739999816</v>
      </c>
      <c r="E17" s="37">
        <f>SUM(E18:E18)</f>
        <v>0</v>
      </c>
      <c r="F17" s="37">
        <f t="shared" si="5"/>
        <v>11645511.739999816</v>
      </c>
      <c r="G17" s="37">
        <f>SUM(G18:G18)</f>
        <v>0</v>
      </c>
      <c r="H17" s="37">
        <f>SUM(H18:H18)</f>
        <v>97554392.370000005</v>
      </c>
      <c r="I17" s="37">
        <f>SUM(I18:I18)</f>
        <v>0</v>
      </c>
      <c r="J17" s="37">
        <f t="shared" si="6"/>
        <v>97554392.370000005</v>
      </c>
      <c r="K17" s="37">
        <f>SUM(K18:K18)</f>
        <v>0</v>
      </c>
      <c r="L17" s="37">
        <f>SUM(L18:L18)</f>
        <v>0</v>
      </c>
      <c r="M17" s="37">
        <f>SUM(M18:M18)</f>
        <v>0</v>
      </c>
      <c r="N17" s="37">
        <f t="shared" si="7"/>
        <v>0</v>
      </c>
      <c r="O17" s="37">
        <f t="shared" si="8"/>
        <v>0</v>
      </c>
      <c r="P17" s="37">
        <f t="shared" si="9"/>
        <v>97554392.370000005</v>
      </c>
      <c r="Q17" s="37">
        <f t="shared" si="10"/>
        <v>0</v>
      </c>
      <c r="R17" s="37">
        <f t="shared" si="11"/>
        <v>97554392.370000005</v>
      </c>
      <c r="S17" s="37">
        <f t="shared" si="12"/>
        <v>0</v>
      </c>
      <c r="T17" s="37">
        <f t="shared" si="13"/>
        <v>109199904.10999982</v>
      </c>
      <c r="U17" s="37">
        <f t="shared" si="14"/>
        <v>0</v>
      </c>
      <c r="V17" s="37">
        <f t="shared" si="15"/>
        <v>109199904.10999982</v>
      </c>
      <c r="W17" s="37">
        <f>SUM(W18:W18)</f>
        <v>0</v>
      </c>
      <c r="X17" s="37">
        <f>SUM(X18:X18)</f>
        <v>99429398.800000012</v>
      </c>
      <c r="Y17" s="37">
        <f>SUM(Y18:Y18)</f>
        <v>0</v>
      </c>
      <c r="Z17" s="37">
        <f t="shared" si="16"/>
        <v>99429398.800000012</v>
      </c>
      <c r="AA17" s="37">
        <f>SUM(AA18:AA18)</f>
        <v>0</v>
      </c>
      <c r="AB17" s="37">
        <f>SUM(AB18:AB18)</f>
        <v>0</v>
      </c>
      <c r="AC17" s="37">
        <f>SUM(AC18:AC18)</f>
        <v>0</v>
      </c>
      <c r="AD17" s="37">
        <f t="shared" si="17"/>
        <v>0</v>
      </c>
      <c r="AE17" s="37">
        <f t="shared" si="18"/>
        <v>0</v>
      </c>
      <c r="AF17" s="37">
        <f t="shared" si="19"/>
        <v>99429398.800000012</v>
      </c>
      <c r="AG17" s="37">
        <f t="shared" si="20"/>
        <v>0</v>
      </c>
      <c r="AH17" s="37">
        <f t="shared" si="21"/>
        <v>99429398.800000012</v>
      </c>
      <c r="AI17" s="37">
        <f t="shared" si="22"/>
        <v>0</v>
      </c>
      <c r="AJ17" s="37">
        <f t="shared" si="23"/>
        <v>9770505.3099998087</v>
      </c>
      <c r="AK17" s="37">
        <f t="shared" si="24"/>
        <v>0</v>
      </c>
      <c r="AL17" s="37">
        <f t="shared" si="25"/>
        <v>9770505.3099998087</v>
      </c>
      <c r="AM17" s="602" t="str">
        <f t="shared" si="1"/>
        <v xml:space="preserve"> </v>
      </c>
      <c r="AN17" s="602">
        <f t="shared" si="2"/>
        <v>0.91052642958222996</v>
      </c>
      <c r="AO17" s="602" t="str">
        <f t="shared" si="3"/>
        <v xml:space="preserve"> </v>
      </c>
      <c r="AP17" s="602">
        <f t="shared" si="4"/>
        <v>0.91052642958222996</v>
      </c>
    </row>
    <row r="18" spans="1:42" s="16" customFormat="1" ht="12.75">
      <c r="A18" s="586" t="s">
        <v>924</v>
      </c>
      <c r="B18" s="581" t="s">
        <v>901</v>
      </c>
      <c r="C18" s="579">
        <f>SUM('CONAP-FUR (REG)-Detail'!C14:C15)</f>
        <v>0</v>
      </c>
      <c r="D18" s="579">
        <f>SUM('CONAP-FUR (REG)-Detail'!D14:D15)</f>
        <v>11645511.739999816</v>
      </c>
      <c r="E18" s="579">
        <f>SUM('CONAP-FUR (REG)-Detail'!E14:E15)</f>
        <v>0</v>
      </c>
      <c r="F18" s="579">
        <f t="shared" si="5"/>
        <v>11645511.739999816</v>
      </c>
      <c r="G18" s="579">
        <f>SUM('CONAP-FUR (REG)-Detail'!G14:G15)</f>
        <v>0</v>
      </c>
      <c r="H18" s="579">
        <f>SUM('CONAP-FUR (REG)-Detail'!H14:H15)</f>
        <v>97554392.370000005</v>
      </c>
      <c r="I18" s="579">
        <f>SUM('CONAP-FUR (REG)-Detail'!I14:I15)</f>
        <v>0</v>
      </c>
      <c r="J18" s="579">
        <f t="shared" si="6"/>
        <v>97554392.370000005</v>
      </c>
      <c r="K18" s="579">
        <f>SUM('CONAP-FUR (REG)-Detail'!K14:K15)</f>
        <v>0</v>
      </c>
      <c r="L18" s="579">
        <f>SUM('CONAP-FUR (REG)-Detail'!L14:L15)</f>
        <v>0</v>
      </c>
      <c r="M18" s="579">
        <f>SUM('CONAP-FUR (REG)-Detail'!M14:M15)</f>
        <v>0</v>
      </c>
      <c r="N18" s="579">
        <f t="shared" si="7"/>
        <v>0</v>
      </c>
      <c r="O18" s="579">
        <f t="shared" si="8"/>
        <v>0</v>
      </c>
      <c r="P18" s="579">
        <f t="shared" si="9"/>
        <v>97554392.370000005</v>
      </c>
      <c r="Q18" s="579">
        <f t="shared" si="10"/>
        <v>0</v>
      </c>
      <c r="R18" s="579">
        <f t="shared" si="11"/>
        <v>97554392.370000005</v>
      </c>
      <c r="S18" s="579">
        <f t="shared" si="12"/>
        <v>0</v>
      </c>
      <c r="T18" s="579">
        <f t="shared" si="13"/>
        <v>109199904.10999982</v>
      </c>
      <c r="U18" s="579">
        <f t="shared" si="14"/>
        <v>0</v>
      </c>
      <c r="V18" s="579">
        <f t="shared" si="15"/>
        <v>109199904.10999982</v>
      </c>
      <c r="W18" s="579">
        <f>SUM('CONAP-FUR (REG)-Detail'!W14:W15)</f>
        <v>0</v>
      </c>
      <c r="X18" s="579">
        <f>SUM('CONAP-FUR (REG)-Detail'!X14:X15)</f>
        <v>99429398.800000012</v>
      </c>
      <c r="Y18" s="579">
        <f>SUM('CONAP-FUR (REG)-Detail'!Y14:Y15)</f>
        <v>0</v>
      </c>
      <c r="Z18" s="579">
        <f t="shared" si="16"/>
        <v>99429398.800000012</v>
      </c>
      <c r="AA18" s="579">
        <f>SUM('CONAP-FUR (REG)-Detail'!AA14:AA15)</f>
        <v>0</v>
      </c>
      <c r="AB18" s="579">
        <f>SUM('CONAP-FUR (REG)-Detail'!AB14:AB15)</f>
        <v>0</v>
      </c>
      <c r="AC18" s="579">
        <f>SUM('CONAP-FUR (REG)-Detail'!AC14:AC15)</f>
        <v>0</v>
      </c>
      <c r="AD18" s="579">
        <f t="shared" si="17"/>
        <v>0</v>
      </c>
      <c r="AE18" s="579">
        <f t="shared" si="18"/>
        <v>0</v>
      </c>
      <c r="AF18" s="579">
        <f t="shared" si="19"/>
        <v>99429398.800000012</v>
      </c>
      <c r="AG18" s="579">
        <f t="shared" si="20"/>
        <v>0</v>
      </c>
      <c r="AH18" s="579">
        <f t="shared" si="21"/>
        <v>99429398.800000012</v>
      </c>
      <c r="AI18" s="579">
        <f t="shared" si="22"/>
        <v>0</v>
      </c>
      <c r="AJ18" s="579">
        <f t="shared" si="23"/>
        <v>9770505.3099998087</v>
      </c>
      <c r="AK18" s="579">
        <f t="shared" si="24"/>
        <v>0</v>
      </c>
      <c r="AL18" s="579">
        <f t="shared" si="25"/>
        <v>9770505.3099998087</v>
      </c>
      <c r="AM18" s="603" t="str">
        <f t="shared" si="1"/>
        <v xml:space="preserve"> </v>
      </c>
      <c r="AN18" s="603">
        <f t="shared" si="2"/>
        <v>0.91052642958222996</v>
      </c>
      <c r="AO18" s="603" t="str">
        <f t="shared" si="3"/>
        <v xml:space="preserve"> </v>
      </c>
      <c r="AP18" s="603">
        <f t="shared" si="4"/>
        <v>0.91052642958222996</v>
      </c>
    </row>
    <row r="19" spans="1:42" s="39" customFormat="1" ht="16.5">
      <c r="A19" s="586"/>
      <c r="B19" s="580"/>
      <c r="C19" s="37"/>
      <c r="D19" s="37"/>
      <c r="E19" s="37"/>
      <c r="F19" s="37">
        <f t="shared" si="5"/>
        <v>0</v>
      </c>
      <c r="G19" s="37"/>
      <c r="H19" s="37"/>
      <c r="I19" s="37"/>
      <c r="J19" s="37">
        <f t="shared" si="6"/>
        <v>0</v>
      </c>
      <c r="K19" s="37"/>
      <c r="L19" s="37"/>
      <c r="M19" s="37"/>
      <c r="N19" s="37">
        <f t="shared" si="7"/>
        <v>0</v>
      </c>
      <c r="O19" s="37">
        <f t="shared" si="8"/>
        <v>0</v>
      </c>
      <c r="P19" s="37">
        <f t="shared" si="9"/>
        <v>0</v>
      </c>
      <c r="Q19" s="37">
        <f t="shared" si="10"/>
        <v>0</v>
      </c>
      <c r="R19" s="37">
        <f t="shared" si="11"/>
        <v>0</v>
      </c>
      <c r="S19" s="37">
        <f t="shared" si="12"/>
        <v>0</v>
      </c>
      <c r="T19" s="37">
        <f t="shared" si="13"/>
        <v>0</v>
      </c>
      <c r="U19" s="37">
        <f t="shared" si="14"/>
        <v>0</v>
      </c>
      <c r="V19" s="37">
        <f t="shared" si="15"/>
        <v>0</v>
      </c>
      <c r="W19" s="37"/>
      <c r="X19" s="37"/>
      <c r="Y19" s="37"/>
      <c r="Z19" s="37">
        <f t="shared" si="16"/>
        <v>0</v>
      </c>
      <c r="AA19" s="37"/>
      <c r="AB19" s="37"/>
      <c r="AC19" s="37"/>
      <c r="AD19" s="37">
        <f t="shared" si="17"/>
        <v>0</v>
      </c>
      <c r="AE19" s="37">
        <f t="shared" si="18"/>
        <v>0</v>
      </c>
      <c r="AF19" s="37">
        <f t="shared" si="19"/>
        <v>0</v>
      </c>
      <c r="AG19" s="37">
        <f t="shared" si="20"/>
        <v>0</v>
      </c>
      <c r="AH19" s="37">
        <f t="shared" si="21"/>
        <v>0</v>
      </c>
      <c r="AI19" s="37">
        <f t="shared" si="22"/>
        <v>0</v>
      </c>
      <c r="AJ19" s="37">
        <f t="shared" si="23"/>
        <v>0</v>
      </c>
      <c r="AK19" s="37">
        <f t="shared" si="24"/>
        <v>0</v>
      </c>
      <c r="AL19" s="37">
        <f t="shared" si="25"/>
        <v>0</v>
      </c>
      <c r="AM19" s="602" t="str">
        <f t="shared" si="1"/>
        <v xml:space="preserve"> </v>
      </c>
      <c r="AN19" s="602" t="str">
        <f t="shared" si="2"/>
        <v xml:space="preserve"> </v>
      </c>
      <c r="AO19" s="602" t="str">
        <f t="shared" si="3"/>
        <v xml:space="preserve"> </v>
      </c>
      <c r="AP19" s="602" t="str">
        <f t="shared" si="4"/>
        <v xml:space="preserve"> </v>
      </c>
    </row>
    <row r="20" spans="1:42" s="39" customFormat="1" ht="16.5">
      <c r="A20" s="586" t="s">
        <v>926</v>
      </c>
      <c r="B20" s="580" t="s">
        <v>890</v>
      </c>
      <c r="C20" s="37">
        <f>SUM(C21:C23)</f>
        <v>0</v>
      </c>
      <c r="D20" s="37">
        <f t="shared" ref="D20:AL20" si="26">SUM(D21:D23)</f>
        <v>101548888.49000001</v>
      </c>
      <c r="E20" s="37">
        <f t="shared" si="26"/>
        <v>2900000000</v>
      </c>
      <c r="F20" s="37">
        <f t="shared" si="26"/>
        <v>3001548888.4899998</v>
      </c>
      <c r="G20" s="37">
        <f t="shared" si="26"/>
        <v>0</v>
      </c>
      <c r="H20" s="37">
        <f t="shared" si="26"/>
        <v>-5380509.7999999998</v>
      </c>
      <c r="I20" s="37">
        <f t="shared" si="26"/>
        <v>0</v>
      </c>
      <c r="J20" s="37">
        <f t="shared" si="26"/>
        <v>-5380509.7999999998</v>
      </c>
      <c r="K20" s="37">
        <f t="shared" si="26"/>
        <v>0</v>
      </c>
      <c r="L20" s="37">
        <f t="shared" si="26"/>
        <v>0</v>
      </c>
      <c r="M20" s="37">
        <f t="shared" si="26"/>
        <v>0</v>
      </c>
      <c r="N20" s="37">
        <f t="shared" si="26"/>
        <v>0</v>
      </c>
      <c r="O20" s="37">
        <f t="shared" si="26"/>
        <v>0</v>
      </c>
      <c r="P20" s="37">
        <f t="shared" si="26"/>
        <v>-835000</v>
      </c>
      <c r="Q20" s="37">
        <f t="shared" si="26"/>
        <v>-40000000</v>
      </c>
      <c r="R20" s="37">
        <f t="shared" si="26"/>
        <v>-40835000</v>
      </c>
      <c r="S20" s="37">
        <f t="shared" si="26"/>
        <v>0</v>
      </c>
      <c r="T20" s="37">
        <f t="shared" si="26"/>
        <v>100713888.49000001</v>
      </c>
      <c r="U20" s="37">
        <f t="shared" si="26"/>
        <v>2860000000</v>
      </c>
      <c r="V20" s="37">
        <f t="shared" si="26"/>
        <v>2960713888.4899998</v>
      </c>
      <c r="W20" s="37">
        <f t="shared" si="26"/>
        <v>0</v>
      </c>
      <c r="X20" s="37">
        <f t="shared" si="26"/>
        <v>558904.01</v>
      </c>
      <c r="Y20" s="37">
        <f t="shared" si="26"/>
        <v>1186580452.04</v>
      </c>
      <c r="Z20" s="37">
        <f t="shared" si="26"/>
        <v>1187139356.05</v>
      </c>
      <c r="AA20" s="37">
        <f t="shared" si="26"/>
        <v>0</v>
      </c>
      <c r="AB20" s="37">
        <f t="shared" si="26"/>
        <v>0</v>
      </c>
      <c r="AC20" s="37">
        <f t="shared" si="26"/>
        <v>0</v>
      </c>
      <c r="AD20" s="37">
        <f t="shared" si="26"/>
        <v>0</v>
      </c>
      <c r="AE20" s="37">
        <f t="shared" si="26"/>
        <v>0</v>
      </c>
      <c r="AF20" s="37">
        <f t="shared" si="26"/>
        <v>558904.01</v>
      </c>
      <c r="AG20" s="37">
        <f t="shared" si="26"/>
        <v>1186580452.04</v>
      </c>
      <c r="AH20" s="37">
        <f t="shared" si="26"/>
        <v>1187139356.05</v>
      </c>
      <c r="AI20" s="37">
        <f t="shared" si="26"/>
        <v>0</v>
      </c>
      <c r="AJ20" s="37">
        <f t="shared" si="26"/>
        <v>100154984.48</v>
      </c>
      <c r="AK20" s="37">
        <f t="shared" si="26"/>
        <v>1673419547.96</v>
      </c>
      <c r="AL20" s="37">
        <f t="shared" si="26"/>
        <v>1773574532.4400001</v>
      </c>
      <c r="AM20" s="602" t="str">
        <f t="shared" si="1"/>
        <v xml:space="preserve"> </v>
      </c>
      <c r="AN20" s="602">
        <f t="shared" si="2"/>
        <v>5.5494234050499818E-3</v>
      </c>
      <c r="AO20" s="602">
        <f t="shared" si="3"/>
        <v>0.41488826994405592</v>
      </c>
      <c r="AP20" s="602">
        <f t="shared" si="4"/>
        <v>0.4009638893731321</v>
      </c>
    </row>
    <row r="21" spans="1:42" s="16" customFormat="1" ht="12.75">
      <c r="A21" s="586" t="s">
        <v>926</v>
      </c>
      <c r="B21" s="581" t="s">
        <v>903</v>
      </c>
      <c r="C21" s="579">
        <f>SUM('CONAP-FUR (REG)-Detail'!C17:C18)</f>
        <v>0</v>
      </c>
      <c r="D21" s="579">
        <f>SUM('CONAP-FUR (REG)-Detail'!D17:D18)</f>
        <v>687462.62000000291</v>
      </c>
      <c r="E21" s="579">
        <f>SUM('CONAP-FUR (REG)-Detail'!E17:E18)</f>
        <v>0</v>
      </c>
      <c r="F21" s="579">
        <f t="shared" si="5"/>
        <v>687462.62000000291</v>
      </c>
      <c r="G21" s="579">
        <f>SUM('CONAP-FUR (REG)-Detail'!G17:G18)</f>
        <v>0</v>
      </c>
      <c r="H21" s="579">
        <f>SUM('CONAP-FUR (REG)-Detail'!H17:H18)</f>
        <v>-135000</v>
      </c>
      <c r="I21" s="579">
        <f>SUM('CONAP-FUR (REG)-Detail'!I17:I18)</f>
        <v>0</v>
      </c>
      <c r="J21" s="579">
        <f t="shared" si="6"/>
        <v>-135000</v>
      </c>
      <c r="K21" s="579">
        <f>SUM('CONAP-FUR (REG)-Detail'!K17:K18)</f>
        <v>0</v>
      </c>
      <c r="L21" s="579">
        <f>SUM('CONAP-FUR (REG)-Detail'!L17:L18)</f>
        <v>0</v>
      </c>
      <c r="M21" s="579">
        <f>SUM('CONAP-FUR (REG)-Detail'!M17:M18)</f>
        <v>0</v>
      </c>
      <c r="N21" s="579">
        <f t="shared" si="7"/>
        <v>0</v>
      </c>
      <c r="O21" s="579">
        <f t="shared" si="8"/>
        <v>0</v>
      </c>
      <c r="P21" s="579">
        <f t="shared" si="9"/>
        <v>-135000</v>
      </c>
      <c r="Q21" s="579">
        <f t="shared" si="10"/>
        <v>0</v>
      </c>
      <c r="R21" s="579">
        <f t="shared" si="11"/>
        <v>-135000</v>
      </c>
      <c r="S21" s="579">
        <f t="shared" si="12"/>
        <v>0</v>
      </c>
      <c r="T21" s="579">
        <f t="shared" si="13"/>
        <v>552462.62000000291</v>
      </c>
      <c r="U21" s="579">
        <f t="shared" si="14"/>
        <v>0</v>
      </c>
      <c r="V21" s="579">
        <f t="shared" si="15"/>
        <v>552462.62000000291</v>
      </c>
      <c r="W21" s="579">
        <f>SUM('CONAP-FUR (REG)-Detail'!W17:W18)</f>
        <v>0</v>
      </c>
      <c r="X21" s="579">
        <f>SUM('CONAP-FUR (REG)-Detail'!X17:X18)</f>
        <v>548912</v>
      </c>
      <c r="Y21" s="579">
        <f>SUM('CONAP-FUR (REG)-Detail'!Y17:Y18)</f>
        <v>0</v>
      </c>
      <c r="Z21" s="579">
        <f t="shared" si="16"/>
        <v>548912</v>
      </c>
      <c r="AA21" s="579">
        <f>SUM('CONAP-FUR (REG)-Detail'!AA17:AA18)</f>
        <v>0</v>
      </c>
      <c r="AB21" s="579">
        <f>SUM('CONAP-FUR (REG)-Detail'!AB17:AB18)</f>
        <v>0</v>
      </c>
      <c r="AC21" s="579">
        <f>SUM('CONAP-FUR (REG)-Detail'!AC17:AC18)</f>
        <v>0</v>
      </c>
      <c r="AD21" s="579">
        <f t="shared" si="17"/>
        <v>0</v>
      </c>
      <c r="AE21" s="579">
        <f t="shared" si="18"/>
        <v>0</v>
      </c>
      <c r="AF21" s="579">
        <f t="shared" si="19"/>
        <v>548912</v>
      </c>
      <c r="AG21" s="579">
        <f t="shared" si="20"/>
        <v>0</v>
      </c>
      <c r="AH21" s="579">
        <f t="shared" si="21"/>
        <v>548912</v>
      </c>
      <c r="AI21" s="579">
        <f t="shared" si="22"/>
        <v>0</v>
      </c>
      <c r="AJ21" s="579">
        <f t="shared" si="23"/>
        <v>3550.6200000029057</v>
      </c>
      <c r="AK21" s="579">
        <f t="shared" si="24"/>
        <v>0</v>
      </c>
      <c r="AL21" s="579">
        <f t="shared" si="25"/>
        <v>3550.6200000029057</v>
      </c>
      <c r="AM21" s="603" t="str">
        <f t="shared" si="1"/>
        <v xml:space="preserve"> </v>
      </c>
      <c r="AN21" s="603">
        <f t="shared" si="2"/>
        <v>0.99357310364273532</v>
      </c>
      <c r="AO21" s="603" t="str">
        <f t="shared" si="3"/>
        <v xml:space="preserve"> </v>
      </c>
      <c r="AP21" s="603">
        <f t="shared" si="4"/>
        <v>0.99357310364273532</v>
      </c>
    </row>
    <row r="22" spans="1:42" s="16" customFormat="1" ht="12.75">
      <c r="A22" s="586" t="s">
        <v>926</v>
      </c>
      <c r="B22" s="581" t="s">
        <v>905</v>
      </c>
      <c r="C22" s="579">
        <f>+'CONAP-FUR (REG)-Detail'!C38</f>
        <v>0</v>
      </c>
      <c r="D22" s="579">
        <f>+'CONAP-FUR (REG)-Detail'!D38</f>
        <v>861425.87000000104</v>
      </c>
      <c r="E22" s="579">
        <f>+'CONAP-FUR (REG)-Detail'!E38</f>
        <v>0</v>
      </c>
      <c r="F22" s="579">
        <f t="shared" si="5"/>
        <v>861425.87000000104</v>
      </c>
      <c r="G22" s="579">
        <f>+'CONAP-FUR (REG)-Detail'!G38</f>
        <v>0</v>
      </c>
      <c r="H22" s="579">
        <f>+'CONAP-FUR (REG)-Detail'!H38</f>
        <v>-700000</v>
      </c>
      <c r="I22" s="579">
        <f>+'CONAP-FUR (REG)-Detail'!I38</f>
        <v>0</v>
      </c>
      <c r="J22" s="579">
        <f t="shared" si="6"/>
        <v>-700000</v>
      </c>
      <c r="K22" s="579">
        <f>+'CONAP-FUR (REG)-Detail'!K38</f>
        <v>0</v>
      </c>
      <c r="L22" s="579">
        <f>+'CONAP-FUR (REG)-Detail'!L38</f>
        <v>0</v>
      </c>
      <c r="M22" s="579">
        <f>+'CONAP-FUR (REG)-Detail'!M38</f>
        <v>0</v>
      </c>
      <c r="N22" s="579">
        <f t="shared" si="7"/>
        <v>0</v>
      </c>
      <c r="O22" s="579">
        <f t="shared" si="8"/>
        <v>0</v>
      </c>
      <c r="P22" s="579">
        <f t="shared" si="9"/>
        <v>-700000</v>
      </c>
      <c r="Q22" s="579">
        <f t="shared" si="10"/>
        <v>0</v>
      </c>
      <c r="R22" s="579">
        <f t="shared" si="11"/>
        <v>-700000</v>
      </c>
      <c r="S22" s="579">
        <f t="shared" si="12"/>
        <v>0</v>
      </c>
      <c r="T22" s="579">
        <f t="shared" si="13"/>
        <v>161425.87000000104</v>
      </c>
      <c r="U22" s="579">
        <f t="shared" si="14"/>
        <v>0</v>
      </c>
      <c r="V22" s="579">
        <f t="shared" si="15"/>
        <v>161425.87000000104</v>
      </c>
      <c r="W22" s="579">
        <f>+'CONAP-FUR (REG)-Detail'!W38</f>
        <v>0</v>
      </c>
      <c r="X22" s="579">
        <f>+'CONAP-FUR (REG)-Detail'!X38</f>
        <v>9992.0100000000093</v>
      </c>
      <c r="Y22" s="579">
        <f>+'CONAP-FUR (REG)-Detail'!Y38</f>
        <v>0</v>
      </c>
      <c r="Z22" s="579">
        <f t="shared" si="16"/>
        <v>9992.0100000000093</v>
      </c>
      <c r="AA22" s="579">
        <f>+'CONAP-FUR (REG)-Detail'!AA38</f>
        <v>0</v>
      </c>
      <c r="AB22" s="579">
        <f>+'CONAP-FUR (REG)-Detail'!AB38</f>
        <v>0</v>
      </c>
      <c r="AC22" s="579">
        <f>+'CONAP-FUR (REG)-Detail'!AC38</f>
        <v>0</v>
      </c>
      <c r="AD22" s="579">
        <f t="shared" si="17"/>
        <v>0</v>
      </c>
      <c r="AE22" s="579">
        <f t="shared" si="18"/>
        <v>0</v>
      </c>
      <c r="AF22" s="579">
        <f t="shared" si="19"/>
        <v>9992.0100000000093</v>
      </c>
      <c r="AG22" s="579">
        <f t="shared" si="20"/>
        <v>0</v>
      </c>
      <c r="AH22" s="579">
        <f t="shared" si="21"/>
        <v>9992.0100000000093</v>
      </c>
      <c r="AI22" s="579">
        <f t="shared" si="22"/>
        <v>0</v>
      </c>
      <c r="AJ22" s="579">
        <f t="shared" si="23"/>
        <v>151433.86000000103</v>
      </c>
      <c r="AK22" s="579">
        <f t="shared" si="24"/>
        <v>0</v>
      </c>
      <c r="AL22" s="579">
        <f t="shared" si="25"/>
        <v>151433.86000000103</v>
      </c>
      <c r="AM22" s="603" t="str">
        <f t="shared" si="1"/>
        <v xml:space="preserve"> </v>
      </c>
      <c r="AN22" s="603">
        <f t="shared" si="2"/>
        <v>6.1898442919960384E-2</v>
      </c>
      <c r="AO22" s="603" t="str">
        <f t="shared" si="3"/>
        <v xml:space="preserve"> </v>
      </c>
      <c r="AP22" s="603">
        <f t="shared" si="4"/>
        <v>6.1898442919960384E-2</v>
      </c>
    </row>
    <row r="23" spans="1:42" s="16" customFormat="1" ht="12.75">
      <c r="A23" s="586" t="s">
        <v>926</v>
      </c>
      <c r="B23" s="581" t="s">
        <v>933</v>
      </c>
      <c r="C23" s="579">
        <f>+'CONAP-FUR (REG)-Detail'!C56</f>
        <v>0</v>
      </c>
      <c r="D23" s="579">
        <f>+'CONAP-FUR (REG)-Detail'!D56</f>
        <v>100000000</v>
      </c>
      <c r="E23" s="579">
        <f>+'CONAP-FUR (REG)-Detail'!E56</f>
        <v>2900000000</v>
      </c>
      <c r="F23" s="579">
        <f>SUM(C23:E23)</f>
        <v>3000000000</v>
      </c>
      <c r="G23" s="579">
        <f>+'CONAP-FUR (REG)-Detail'!G39</f>
        <v>0</v>
      </c>
      <c r="H23" s="579">
        <f>+'CONAP-FUR (REG)-Detail'!H39</f>
        <v>-4545509.8</v>
      </c>
      <c r="I23" s="579">
        <f>+'CONAP-FUR (REG)-Detail'!I39</f>
        <v>0</v>
      </c>
      <c r="J23" s="579">
        <f>SUM(G23:I23)</f>
        <v>-4545509.8</v>
      </c>
      <c r="K23" s="579">
        <f>+'CONAP-FUR (REG)-Detail'!K39</f>
        <v>0</v>
      </c>
      <c r="L23" s="579">
        <f>+'CONAP-FUR (REG)-Detail'!L39</f>
        <v>0</v>
      </c>
      <c r="M23" s="579">
        <f>+'CONAP-FUR (REG)-Detail'!M39</f>
        <v>0</v>
      </c>
      <c r="N23" s="579">
        <f>SUM(K23:M23)</f>
        <v>0</v>
      </c>
      <c r="O23" s="579">
        <f>+'CONAP-FUR (REG)-Detail'!O56</f>
        <v>0</v>
      </c>
      <c r="P23" s="579">
        <f>+'CONAP-FUR (REG)-Detail'!P56</f>
        <v>0</v>
      </c>
      <c r="Q23" s="579">
        <f>+'CONAP-FUR (REG)-Detail'!Q56</f>
        <v>-40000000</v>
      </c>
      <c r="R23" s="579">
        <f>SUM(O23:Q23)</f>
        <v>-40000000</v>
      </c>
      <c r="S23" s="579">
        <f>+C23+O23</f>
        <v>0</v>
      </c>
      <c r="T23" s="579">
        <f>+D23+P23</f>
        <v>100000000</v>
      </c>
      <c r="U23" s="579">
        <f>+E23+Q23</f>
        <v>2860000000</v>
      </c>
      <c r="V23" s="579">
        <f>SUM(S23:U23)</f>
        <v>2960000000</v>
      </c>
      <c r="W23" s="579">
        <f>+'CONAP-FUR (REG)-Detail'!W56</f>
        <v>0</v>
      </c>
      <c r="X23" s="579">
        <f>+'CONAP-FUR (REG)-Detail'!X56</f>
        <v>0</v>
      </c>
      <c r="Y23" s="579">
        <f>+'CONAP-FUR (REG)-Detail'!Y56</f>
        <v>1186580452.04</v>
      </c>
      <c r="Z23" s="579">
        <f>SUM(W23:Y23)</f>
        <v>1186580452.04</v>
      </c>
      <c r="AA23" s="579">
        <f>+'CONAP-FUR (REG)-Detail'!AA56</f>
        <v>0</v>
      </c>
      <c r="AB23" s="579">
        <f>+'CONAP-FUR (REG)-Detail'!AB56</f>
        <v>0</v>
      </c>
      <c r="AC23" s="579">
        <f>+'CONAP-FUR (REG)-Detail'!AC56</f>
        <v>0</v>
      </c>
      <c r="AD23" s="579">
        <f>SUM(AA23:AC23)</f>
        <v>0</v>
      </c>
      <c r="AE23" s="579">
        <f>+W23+AA23</f>
        <v>0</v>
      </c>
      <c r="AF23" s="579">
        <f>+X23+AB23</f>
        <v>0</v>
      </c>
      <c r="AG23" s="579">
        <f>+Y23+AC23</f>
        <v>1186580452.04</v>
      </c>
      <c r="AH23" s="579">
        <f>SUM(AE23:AG23)</f>
        <v>1186580452.04</v>
      </c>
      <c r="AI23" s="579">
        <f>+S23-AE23</f>
        <v>0</v>
      </c>
      <c r="AJ23" s="579">
        <f>+T23-AF23</f>
        <v>100000000</v>
      </c>
      <c r="AK23" s="579">
        <f>+U23-AG23</f>
        <v>1673419547.96</v>
      </c>
      <c r="AL23" s="579">
        <f>SUM(AI23:AK23)</f>
        <v>1773419547.96</v>
      </c>
      <c r="AM23" s="603" t="str">
        <f>IF(S23=0," ",AE23/S23)</f>
        <v xml:space="preserve"> </v>
      </c>
      <c r="AN23" s="603">
        <f>IF(T23=0," ",AF23/T23)</f>
        <v>0</v>
      </c>
      <c r="AO23" s="603">
        <f>IF(U23=0," ",AG23/U23)</f>
        <v>0.41488826994405592</v>
      </c>
      <c r="AP23" s="603">
        <f>IF(V23=0," ",AH23/V23)</f>
        <v>0.40087177433783783</v>
      </c>
    </row>
    <row r="24" spans="1:42" s="39" customFormat="1" ht="16.5">
      <c r="A24" s="586"/>
      <c r="B24" s="580"/>
      <c r="C24" s="37"/>
      <c r="D24" s="37"/>
      <c r="E24" s="37"/>
      <c r="F24" s="37">
        <f t="shared" si="5"/>
        <v>0</v>
      </c>
      <c r="G24" s="37"/>
      <c r="H24" s="37"/>
      <c r="I24" s="37"/>
      <c r="J24" s="37">
        <f t="shared" si="6"/>
        <v>0</v>
      </c>
      <c r="K24" s="37"/>
      <c r="L24" s="37"/>
      <c r="M24" s="37"/>
      <c r="N24" s="37">
        <f t="shared" si="7"/>
        <v>0</v>
      </c>
      <c r="O24" s="37">
        <f t="shared" si="8"/>
        <v>0</v>
      </c>
      <c r="P24" s="37">
        <f t="shared" si="9"/>
        <v>0</v>
      </c>
      <c r="Q24" s="37">
        <f t="shared" si="10"/>
        <v>0</v>
      </c>
      <c r="R24" s="37">
        <f t="shared" si="11"/>
        <v>0</v>
      </c>
      <c r="S24" s="37">
        <f t="shared" si="12"/>
        <v>0</v>
      </c>
      <c r="T24" s="37">
        <f t="shared" si="13"/>
        <v>0</v>
      </c>
      <c r="U24" s="37">
        <f t="shared" si="14"/>
        <v>0</v>
      </c>
      <c r="V24" s="37">
        <f t="shared" si="15"/>
        <v>0</v>
      </c>
      <c r="W24" s="37"/>
      <c r="X24" s="37"/>
      <c r="Y24" s="37"/>
      <c r="Z24" s="37">
        <f t="shared" si="16"/>
        <v>0</v>
      </c>
      <c r="AA24" s="37"/>
      <c r="AB24" s="37"/>
      <c r="AC24" s="37"/>
      <c r="AD24" s="37">
        <f t="shared" si="17"/>
        <v>0</v>
      </c>
      <c r="AE24" s="37">
        <f t="shared" si="18"/>
        <v>0</v>
      </c>
      <c r="AF24" s="37">
        <f t="shared" si="19"/>
        <v>0</v>
      </c>
      <c r="AG24" s="37">
        <f t="shared" si="20"/>
        <v>0</v>
      </c>
      <c r="AH24" s="37">
        <f t="shared" si="21"/>
        <v>0</v>
      </c>
      <c r="AI24" s="37">
        <f t="shared" si="22"/>
        <v>0</v>
      </c>
      <c r="AJ24" s="37">
        <f t="shared" si="23"/>
        <v>0</v>
      </c>
      <c r="AK24" s="37">
        <f t="shared" si="24"/>
        <v>0</v>
      </c>
      <c r="AL24" s="37">
        <f t="shared" si="25"/>
        <v>0</v>
      </c>
      <c r="AM24" s="602" t="str">
        <f t="shared" si="1"/>
        <v xml:space="preserve"> </v>
      </c>
      <c r="AN24" s="602" t="str">
        <f t="shared" si="2"/>
        <v xml:space="preserve"> </v>
      </c>
      <c r="AO24" s="602" t="str">
        <f t="shared" si="3"/>
        <v xml:space="preserve"> </v>
      </c>
      <c r="AP24" s="602" t="str">
        <f t="shared" si="4"/>
        <v xml:space="preserve"> </v>
      </c>
    </row>
    <row r="25" spans="1:42" s="39" customFormat="1" ht="16.5">
      <c r="A25" s="586" t="s">
        <v>927</v>
      </c>
      <c r="B25" s="580" t="s">
        <v>896</v>
      </c>
      <c r="C25" s="37">
        <f>SUM(C26:C27)</f>
        <v>0</v>
      </c>
      <c r="D25" s="37">
        <f>SUM(D26:D27)</f>
        <v>18295509.850000001</v>
      </c>
      <c r="E25" s="37">
        <f>SUM(E26:E27)</f>
        <v>5954652</v>
      </c>
      <c r="F25" s="37">
        <f t="shared" si="5"/>
        <v>24250161.850000001</v>
      </c>
      <c r="G25" s="37">
        <f>SUM(G26:G27)</f>
        <v>0</v>
      </c>
      <c r="H25" s="37">
        <f>SUM(H26:H27)</f>
        <v>-350000</v>
      </c>
      <c r="I25" s="37">
        <f>SUM(I26:I27)</f>
        <v>0</v>
      </c>
      <c r="J25" s="37">
        <f t="shared" si="6"/>
        <v>-350000</v>
      </c>
      <c r="K25" s="37">
        <f>SUM(K26:K27)</f>
        <v>0</v>
      </c>
      <c r="L25" s="37">
        <f>SUM(L26:L27)</f>
        <v>0</v>
      </c>
      <c r="M25" s="37">
        <f>SUM(M26:M27)</f>
        <v>0</v>
      </c>
      <c r="N25" s="37">
        <f t="shared" si="7"/>
        <v>0</v>
      </c>
      <c r="O25" s="37">
        <f t="shared" si="8"/>
        <v>0</v>
      </c>
      <c r="P25" s="37">
        <f t="shared" si="9"/>
        <v>-350000</v>
      </c>
      <c r="Q25" s="37">
        <f t="shared" si="10"/>
        <v>0</v>
      </c>
      <c r="R25" s="37">
        <f t="shared" si="11"/>
        <v>-350000</v>
      </c>
      <c r="S25" s="37">
        <f t="shared" si="12"/>
        <v>0</v>
      </c>
      <c r="T25" s="37">
        <f t="shared" si="13"/>
        <v>17945509.850000001</v>
      </c>
      <c r="U25" s="37">
        <f t="shared" si="14"/>
        <v>5954652</v>
      </c>
      <c r="V25" s="37">
        <f t="shared" si="15"/>
        <v>23900161.850000001</v>
      </c>
      <c r="W25" s="37">
        <f>SUM(W26:W27)</f>
        <v>0</v>
      </c>
      <c r="X25" s="37">
        <f>SUM(X26:X27)</f>
        <v>6515162.9199999999</v>
      </c>
      <c r="Y25" s="37">
        <f>SUM(Y26:Y27)</f>
        <v>4033400</v>
      </c>
      <c r="Z25" s="37">
        <f t="shared" si="16"/>
        <v>10548562.92</v>
      </c>
      <c r="AA25" s="37">
        <f>SUM(AA26:AA27)</f>
        <v>0</v>
      </c>
      <c r="AB25" s="37">
        <f>SUM(AB26:AB27)</f>
        <v>0</v>
      </c>
      <c r="AC25" s="37">
        <f>SUM(AC26:AC27)</f>
        <v>0</v>
      </c>
      <c r="AD25" s="37">
        <f t="shared" si="17"/>
        <v>0</v>
      </c>
      <c r="AE25" s="37">
        <f t="shared" si="18"/>
        <v>0</v>
      </c>
      <c r="AF25" s="37">
        <f t="shared" si="19"/>
        <v>6515162.9199999999</v>
      </c>
      <c r="AG25" s="37">
        <f t="shared" si="20"/>
        <v>4033400</v>
      </c>
      <c r="AH25" s="37">
        <f t="shared" si="21"/>
        <v>10548562.92</v>
      </c>
      <c r="AI25" s="37">
        <f t="shared" si="22"/>
        <v>0</v>
      </c>
      <c r="AJ25" s="37">
        <f t="shared" si="23"/>
        <v>11430346.930000002</v>
      </c>
      <c r="AK25" s="37">
        <f t="shared" si="24"/>
        <v>1921252</v>
      </c>
      <c r="AL25" s="37">
        <f t="shared" si="25"/>
        <v>13351598.930000002</v>
      </c>
      <c r="AM25" s="602" t="str">
        <f t="shared" si="1"/>
        <v xml:space="preserve"> </v>
      </c>
      <c r="AN25" s="602">
        <f t="shared" si="2"/>
        <v>0.36305253929578374</v>
      </c>
      <c r="AO25" s="602">
        <f t="shared" si="3"/>
        <v>0.6773527655352487</v>
      </c>
      <c r="AP25" s="602">
        <f t="shared" si="4"/>
        <v>0.44135947640036588</v>
      </c>
    </row>
    <row r="26" spans="1:42" s="16" customFormat="1" ht="12.75">
      <c r="A26" s="586" t="s">
        <v>927</v>
      </c>
      <c r="B26" s="581" t="s">
        <v>906</v>
      </c>
      <c r="C26" s="579">
        <f>SUM('CONAP-FUR (REG)-Detail'!C78:C80)</f>
        <v>0</v>
      </c>
      <c r="D26" s="579">
        <f>SUM('CONAP-FUR (REG)-Detail'!D78:D80)</f>
        <v>17498074.260000002</v>
      </c>
      <c r="E26" s="579">
        <f>SUM('CONAP-FUR (REG)-Detail'!E78:E80)</f>
        <v>1154652</v>
      </c>
      <c r="F26" s="579">
        <f t="shared" si="5"/>
        <v>18652726.260000002</v>
      </c>
      <c r="G26" s="579">
        <f>SUM('CONAP-FUR (REG)-Detail'!G78:G80)</f>
        <v>0</v>
      </c>
      <c r="H26" s="579">
        <f>SUM('CONAP-FUR (REG)-Detail'!H78:H80)</f>
        <v>0</v>
      </c>
      <c r="I26" s="579">
        <f>SUM('CONAP-FUR (REG)-Detail'!I78:I80)</f>
        <v>0</v>
      </c>
      <c r="J26" s="579">
        <f t="shared" si="6"/>
        <v>0</v>
      </c>
      <c r="K26" s="579">
        <f>SUM('CONAP-FUR (REG)-Detail'!K78:K80)</f>
        <v>0</v>
      </c>
      <c r="L26" s="579">
        <f>SUM('CONAP-FUR (REG)-Detail'!L78:L80)</f>
        <v>0</v>
      </c>
      <c r="M26" s="579">
        <f>SUM('CONAP-FUR (REG)-Detail'!M78:M80)</f>
        <v>0</v>
      </c>
      <c r="N26" s="579">
        <f t="shared" si="7"/>
        <v>0</v>
      </c>
      <c r="O26" s="579">
        <f t="shared" si="8"/>
        <v>0</v>
      </c>
      <c r="P26" s="579">
        <f t="shared" si="9"/>
        <v>0</v>
      </c>
      <c r="Q26" s="579">
        <f t="shared" si="10"/>
        <v>0</v>
      </c>
      <c r="R26" s="579">
        <f t="shared" si="11"/>
        <v>0</v>
      </c>
      <c r="S26" s="579">
        <f t="shared" si="12"/>
        <v>0</v>
      </c>
      <c r="T26" s="579">
        <f t="shared" si="13"/>
        <v>17498074.260000002</v>
      </c>
      <c r="U26" s="579">
        <f t="shared" si="14"/>
        <v>1154652</v>
      </c>
      <c r="V26" s="579">
        <f t="shared" si="15"/>
        <v>18652726.260000002</v>
      </c>
      <c r="W26" s="579">
        <f>SUM('CONAP-FUR (REG)-Detail'!W78:W80)</f>
        <v>0</v>
      </c>
      <c r="X26" s="579">
        <f>SUM('CONAP-FUR (REG)-Detail'!X78:X80)</f>
        <v>6125719.0800000001</v>
      </c>
      <c r="Y26" s="579">
        <f>SUM('CONAP-FUR (REG)-Detail'!Y78:Y80)</f>
        <v>0</v>
      </c>
      <c r="Z26" s="579">
        <f t="shared" si="16"/>
        <v>6125719.0800000001</v>
      </c>
      <c r="AA26" s="579">
        <f>SUM('CONAP-FUR (REG)-Detail'!AA78:AA80)</f>
        <v>0</v>
      </c>
      <c r="AB26" s="579">
        <f>SUM('CONAP-FUR (REG)-Detail'!AB78:AB80)</f>
        <v>0</v>
      </c>
      <c r="AC26" s="579">
        <f>SUM('CONAP-FUR (REG)-Detail'!AC78:AC80)</f>
        <v>0</v>
      </c>
      <c r="AD26" s="579">
        <f t="shared" si="17"/>
        <v>0</v>
      </c>
      <c r="AE26" s="579">
        <f t="shared" si="18"/>
        <v>0</v>
      </c>
      <c r="AF26" s="579">
        <f t="shared" si="19"/>
        <v>6125719.0800000001</v>
      </c>
      <c r="AG26" s="579">
        <f t="shared" si="20"/>
        <v>0</v>
      </c>
      <c r="AH26" s="579">
        <f t="shared" si="21"/>
        <v>6125719.0800000001</v>
      </c>
      <c r="AI26" s="579">
        <f t="shared" si="22"/>
        <v>0</v>
      </c>
      <c r="AJ26" s="579">
        <f t="shared" si="23"/>
        <v>11372355.180000002</v>
      </c>
      <c r="AK26" s="579">
        <f t="shared" si="24"/>
        <v>1154652</v>
      </c>
      <c r="AL26" s="579">
        <f t="shared" si="25"/>
        <v>12527007.180000002</v>
      </c>
      <c r="AM26" s="603" t="str">
        <f t="shared" si="1"/>
        <v xml:space="preserve"> </v>
      </c>
      <c r="AN26" s="603">
        <f t="shared" si="2"/>
        <v>0.35007961384660391</v>
      </c>
      <c r="AO26" s="603">
        <f t="shared" si="3"/>
        <v>0</v>
      </c>
      <c r="AP26" s="603">
        <f t="shared" si="4"/>
        <v>0.32840878028303833</v>
      </c>
    </row>
    <row r="27" spans="1:42" s="16" customFormat="1" ht="12.75">
      <c r="A27" s="586" t="s">
        <v>927</v>
      </c>
      <c r="B27" s="581" t="s">
        <v>907</v>
      </c>
      <c r="C27" s="579">
        <f>+'CONAP-FUR (REG)-Detail'!C23</f>
        <v>0</v>
      </c>
      <c r="D27" s="579">
        <f>+'CONAP-FUR (REG)-Detail'!D23</f>
        <v>797435.59000000008</v>
      </c>
      <c r="E27" s="579">
        <f>+'CONAP-FUR (REG)-Detail'!E23</f>
        <v>4800000</v>
      </c>
      <c r="F27" s="579">
        <f t="shared" si="5"/>
        <v>5597435.5899999999</v>
      </c>
      <c r="G27" s="579">
        <f>+'CONAP-FUR (REG)-Detail'!G23</f>
        <v>0</v>
      </c>
      <c r="H27" s="579">
        <f>+'CONAP-FUR (REG)-Detail'!H23</f>
        <v>-350000</v>
      </c>
      <c r="I27" s="579">
        <f>+'CONAP-FUR (REG)-Detail'!I23</f>
        <v>0</v>
      </c>
      <c r="J27" s="579">
        <f t="shared" si="6"/>
        <v>-350000</v>
      </c>
      <c r="K27" s="579">
        <f>+'CONAP-FUR (REG)-Detail'!K23</f>
        <v>0</v>
      </c>
      <c r="L27" s="579">
        <f>+'CONAP-FUR (REG)-Detail'!L23</f>
        <v>0</v>
      </c>
      <c r="M27" s="579">
        <f>+'CONAP-FUR (REG)-Detail'!M23</f>
        <v>0</v>
      </c>
      <c r="N27" s="579">
        <f t="shared" si="7"/>
        <v>0</v>
      </c>
      <c r="O27" s="579">
        <f t="shared" si="8"/>
        <v>0</v>
      </c>
      <c r="P27" s="579">
        <f t="shared" si="9"/>
        <v>-350000</v>
      </c>
      <c r="Q27" s="579">
        <f t="shared" si="10"/>
        <v>0</v>
      </c>
      <c r="R27" s="579">
        <f t="shared" si="11"/>
        <v>-350000</v>
      </c>
      <c r="S27" s="579">
        <f t="shared" si="12"/>
        <v>0</v>
      </c>
      <c r="T27" s="579">
        <f t="shared" si="13"/>
        <v>447435.59000000008</v>
      </c>
      <c r="U27" s="579">
        <f t="shared" si="14"/>
        <v>4800000</v>
      </c>
      <c r="V27" s="579">
        <f t="shared" si="15"/>
        <v>5247435.59</v>
      </c>
      <c r="W27" s="579">
        <f>+'CONAP-FUR (REG)-Detail'!W23</f>
        <v>0</v>
      </c>
      <c r="X27" s="579">
        <f>+'CONAP-FUR (REG)-Detail'!X23</f>
        <v>389443.83999999997</v>
      </c>
      <c r="Y27" s="579">
        <f>+'CONAP-FUR (REG)-Detail'!Y23</f>
        <v>4033400</v>
      </c>
      <c r="Z27" s="579">
        <f t="shared" si="16"/>
        <v>4422843.84</v>
      </c>
      <c r="AA27" s="579">
        <f>+'CONAP-FUR (REG)-Detail'!AA23</f>
        <v>0</v>
      </c>
      <c r="AB27" s="579">
        <f>+'CONAP-FUR (REG)-Detail'!AB23</f>
        <v>0</v>
      </c>
      <c r="AC27" s="579">
        <f>+'CONAP-FUR (REG)-Detail'!AC23</f>
        <v>0</v>
      </c>
      <c r="AD27" s="579">
        <f t="shared" si="17"/>
        <v>0</v>
      </c>
      <c r="AE27" s="579">
        <f t="shared" si="18"/>
        <v>0</v>
      </c>
      <c r="AF27" s="579">
        <f t="shared" si="19"/>
        <v>389443.83999999997</v>
      </c>
      <c r="AG27" s="579">
        <f t="shared" si="20"/>
        <v>4033400</v>
      </c>
      <c r="AH27" s="579">
        <f t="shared" si="21"/>
        <v>4422843.84</v>
      </c>
      <c r="AI27" s="579">
        <f t="shared" si="22"/>
        <v>0</v>
      </c>
      <c r="AJ27" s="579">
        <f t="shared" si="23"/>
        <v>57991.750000000116</v>
      </c>
      <c r="AK27" s="579">
        <f t="shared" si="24"/>
        <v>766600</v>
      </c>
      <c r="AL27" s="579">
        <f t="shared" si="25"/>
        <v>824591.75000000012</v>
      </c>
      <c r="AM27" s="603" t="str">
        <f t="shared" si="1"/>
        <v xml:space="preserve"> </v>
      </c>
      <c r="AN27" s="603">
        <f t="shared" si="2"/>
        <v>0.87039084217685925</v>
      </c>
      <c r="AO27" s="603">
        <f t="shared" si="3"/>
        <v>0.84029166666666666</v>
      </c>
      <c r="AP27" s="603">
        <f t="shared" si="4"/>
        <v>0.84285814740224374</v>
      </c>
    </row>
    <row r="28" spans="1:42" s="39" customFormat="1" ht="16.5">
      <c r="A28" s="586"/>
      <c r="B28" s="580"/>
      <c r="C28" s="37"/>
      <c r="D28" s="37"/>
      <c r="E28" s="37"/>
      <c r="F28" s="37">
        <f t="shared" si="5"/>
        <v>0</v>
      </c>
      <c r="G28" s="37"/>
      <c r="H28" s="37"/>
      <c r="I28" s="37"/>
      <c r="J28" s="37">
        <f t="shared" si="6"/>
        <v>0</v>
      </c>
      <c r="K28" s="37"/>
      <c r="L28" s="37"/>
      <c r="M28" s="37"/>
      <c r="N28" s="37">
        <f t="shared" si="7"/>
        <v>0</v>
      </c>
      <c r="O28" s="37">
        <f t="shared" si="8"/>
        <v>0</v>
      </c>
      <c r="P28" s="37">
        <f t="shared" si="9"/>
        <v>0</v>
      </c>
      <c r="Q28" s="37">
        <f t="shared" si="10"/>
        <v>0</v>
      </c>
      <c r="R28" s="37">
        <f t="shared" si="11"/>
        <v>0</v>
      </c>
      <c r="S28" s="37">
        <f t="shared" si="12"/>
        <v>0</v>
      </c>
      <c r="T28" s="37">
        <f t="shared" si="13"/>
        <v>0</v>
      </c>
      <c r="U28" s="37">
        <f t="shared" si="14"/>
        <v>0</v>
      </c>
      <c r="V28" s="37">
        <f t="shared" si="15"/>
        <v>0</v>
      </c>
      <c r="W28" s="37"/>
      <c r="X28" s="37"/>
      <c r="Y28" s="37"/>
      <c r="Z28" s="37">
        <f t="shared" si="16"/>
        <v>0</v>
      </c>
      <c r="AA28" s="37"/>
      <c r="AB28" s="37"/>
      <c r="AC28" s="37"/>
      <c r="AD28" s="37">
        <f t="shared" si="17"/>
        <v>0</v>
      </c>
      <c r="AE28" s="37">
        <f t="shared" si="18"/>
        <v>0</v>
      </c>
      <c r="AF28" s="37">
        <f t="shared" si="19"/>
        <v>0</v>
      </c>
      <c r="AG28" s="37">
        <f t="shared" si="20"/>
        <v>0</v>
      </c>
      <c r="AH28" s="37">
        <f t="shared" si="21"/>
        <v>0</v>
      </c>
      <c r="AI28" s="37">
        <f t="shared" si="22"/>
        <v>0</v>
      </c>
      <c r="AJ28" s="37">
        <f t="shared" si="23"/>
        <v>0</v>
      </c>
      <c r="AK28" s="37">
        <f t="shared" si="24"/>
        <v>0</v>
      </c>
      <c r="AL28" s="37">
        <f t="shared" si="25"/>
        <v>0</v>
      </c>
      <c r="AM28" s="602" t="str">
        <f t="shared" si="1"/>
        <v xml:space="preserve"> </v>
      </c>
      <c r="AN28" s="602" t="str">
        <f t="shared" si="2"/>
        <v xml:space="preserve"> </v>
      </c>
      <c r="AO28" s="602" t="str">
        <f t="shared" si="3"/>
        <v xml:space="preserve"> </v>
      </c>
      <c r="AP28" s="602" t="str">
        <f t="shared" si="4"/>
        <v xml:space="preserve"> </v>
      </c>
    </row>
    <row r="29" spans="1:42" s="39" customFormat="1" ht="16.5">
      <c r="A29" s="586" t="s">
        <v>928</v>
      </c>
      <c r="B29" s="580" t="s">
        <v>892</v>
      </c>
      <c r="C29" s="37">
        <f>SUM(C30:C30)</f>
        <v>0</v>
      </c>
      <c r="D29" s="37">
        <f>SUM(D30:D30)</f>
        <v>9781548.9199999943</v>
      </c>
      <c r="E29" s="37">
        <f>SUM(E30:E30)</f>
        <v>0</v>
      </c>
      <c r="F29" s="37">
        <f t="shared" si="5"/>
        <v>9781548.9199999943</v>
      </c>
      <c r="G29" s="37">
        <f>SUM(G30:G30)</f>
        <v>0</v>
      </c>
      <c r="H29" s="37">
        <f>SUM(H30:H30)</f>
        <v>-5646483.54</v>
      </c>
      <c r="I29" s="37">
        <f>SUM(I30:I30)</f>
        <v>0</v>
      </c>
      <c r="J29" s="37">
        <f t="shared" si="6"/>
        <v>-5646483.54</v>
      </c>
      <c r="K29" s="37">
        <f>SUM(K30:K30)</f>
        <v>0</v>
      </c>
      <c r="L29" s="37">
        <f>SUM(L30:L30)</f>
        <v>0</v>
      </c>
      <c r="M29" s="37">
        <f>SUM(M30:M30)</f>
        <v>0</v>
      </c>
      <c r="N29" s="37">
        <f t="shared" si="7"/>
        <v>0</v>
      </c>
      <c r="O29" s="37">
        <f t="shared" si="8"/>
        <v>0</v>
      </c>
      <c r="P29" s="37">
        <f t="shared" si="9"/>
        <v>-5646483.54</v>
      </c>
      <c r="Q29" s="37">
        <f t="shared" si="10"/>
        <v>0</v>
      </c>
      <c r="R29" s="37">
        <f t="shared" si="11"/>
        <v>-5646483.54</v>
      </c>
      <c r="S29" s="37">
        <f t="shared" si="12"/>
        <v>0</v>
      </c>
      <c r="T29" s="37">
        <f t="shared" si="13"/>
        <v>4135065.3799999943</v>
      </c>
      <c r="U29" s="37">
        <f t="shared" si="14"/>
        <v>0</v>
      </c>
      <c r="V29" s="37">
        <f t="shared" si="15"/>
        <v>4135065.3799999943</v>
      </c>
      <c r="W29" s="37">
        <f>SUM(W30:W30)</f>
        <v>0</v>
      </c>
      <c r="X29" s="37">
        <f>SUM(X30:X30)</f>
        <v>4135065.24</v>
      </c>
      <c r="Y29" s="37">
        <f>SUM(Y30:Y30)</f>
        <v>0</v>
      </c>
      <c r="Z29" s="37">
        <f t="shared" si="16"/>
        <v>4135065.24</v>
      </c>
      <c r="AA29" s="37">
        <f>SUM(AA30:AA30)</f>
        <v>0</v>
      </c>
      <c r="AB29" s="37">
        <f>SUM(AB30:AB30)</f>
        <v>0</v>
      </c>
      <c r="AC29" s="37">
        <f>SUM(AC30:AC30)</f>
        <v>0</v>
      </c>
      <c r="AD29" s="37">
        <f t="shared" si="17"/>
        <v>0</v>
      </c>
      <c r="AE29" s="37">
        <f t="shared" si="18"/>
        <v>0</v>
      </c>
      <c r="AF29" s="37">
        <f t="shared" si="19"/>
        <v>4135065.24</v>
      </c>
      <c r="AG29" s="37">
        <f t="shared" si="20"/>
        <v>0</v>
      </c>
      <c r="AH29" s="37">
        <f t="shared" si="21"/>
        <v>4135065.24</v>
      </c>
      <c r="AI29" s="37">
        <f t="shared" si="22"/>
        <v>0</v>
      </c>
      <c r="AJ29" s="37">
        <f t="shared" si="23"/>
        <v>0.13999999407678843</v>
      </c>
      <c r="AK29" s="37">
        <f t="shared" si="24"/>
        <v>0</v>
      </c>
      <c r="AL29" s="37">
        <f t="shared" si="25"/>
        <v>0.13999999407678843</v>
      </c>
      <c r="AM29" s="602" t="str">
        <f t="shared" si="1"/>
        <v xml:space="preserve"> </v>
      </c>
      <c r="AN29" s="602">
        <f t="shared" si="2"/>
        <v>0.99999996614322118</v>
      </c>
      <c r="AO29" s="602" t="str">
        <f t="shared" si="3"/>
        <v xml:space="preserve"> </v>
      </c>
      <c r="AP29" s="602">
        <f t="shared" si="4"/>
        <v>0.99999996614322118</v>
      </c>
    </row>
    <row r="30" spans="1:42" s="16" customFormat="1" ht="24">
      <c r="A30" s="586" t="s">
        <v>928</v>
      </c>
      <c r="B30" s="581" t="s">
        <v>915</v>
      </c>
      <c r="C30" s="579">
        <f>SUM('CONAP-FUR (REG)-Detail'!C48:C51)</f>
        <v>0</v>
      </c>
      <c r="D30" s="579">
        <f>SUM('CONAP-FUR (REG)-Detail'!D48:D51)</f>
        <v>9781548.9199999943</v>
      </c>
      <c r="E30" s="579">
        <f>SUM('CONAP-FUR (REG)-Detail'!E48:E51)</f>
        <v>0</v>
      </c>
      <c r="F30" s="579">
        <f t="shared" si="5"/>
        <v>9781548.9199999943</v>
      </c>
      <c r="G30" s="579">
        <f>SUM('CONAP-FUR (REG)-Detail'!G48:G51)</f>
        <v>0</v>
      </c>
      <c r="H30" s="579">
        <f>SUM('CONAP-FUR (REG)-Detail'!H48:H51)</f>
        <v>-5646483.54</v>
      </c>
      <c r="I30" s="579">
        <f>SUM('CONAP-FUR (REG)-Detail'!I48:I51)</f>
        <v>0</v>
      </c>
      <c r="J30" s="579">
        <f t="shared" si="6"/>
        <v>-5646483.54</v>
      </c>
      <c r="K30" s="579">
        <f>SUM('CONAP-FUR (REG)-Detail'!K48:K51)</f>
        <v>0</v>
      </c>
      <c r="L30" s="579">
        <f>SUM('CONAP-FUR (REG)-Detail'!L48:L51)</f>
        <v>0</v>
      </c>
      <c r="M30" s="579">
        <f>SUM('CONAP-FUR (REG)-Detail'!M48:M51)</f>
        <v>0</v>
      </c>
      <c r="N30" s="579">
        <f t="shared" si="7"/>
        <v>0</v>
      </c>
      <c r="O30" s="579">
        <f t="shared" si="8"/>
        <v>0</v>
      </c>
      <c r="P30" s="579">
        <f t="shared" si="9"/>
        <v>-5646483.54</v>
      </c>
      <c r="Q30" s="579">
        <f t="shared" si="10"/>
        <v>0</v>
      </c>
      <c r="R30" s="579">
        <f t="shared" si="11"/>
        <v>-5646483.54</v>
      </c>
      <c r="S30" s="579">
        <f t="shared" si="12"/>
        <v>0</v>
      </c>
      <c r="T30" s="579">
        <f t="shared" si="13"/>
        <v>4135065.3799999943</v>
      </c>
      <c r="U30" s="579">
        <f t="shared" si="14"/>
        <v>0</v>
      </c>
      <c r="V30" s="579">
        <f t="shared" si="15"/>
        <v>4135065.3799999943</v>
      </c>
      <c r="W30" s="579">
        <f>SUM('CONAP-FUR (REG)-Detail'!W48:W51)</f>
        <v>0</v>
      </c>
      <c r="X30" s="579">
        <f>SUM('CONAP-FUR (REG)-Detail'!X48:X51)</f>
        <v>4135065.24</v>
      </c>
      <c r="Y30" s="579">
        <f>SUM('CONAP-FUR (REG)-Detail'!Y48:Y51)</f>
        <v>0</v>
      </c>
      <c r="Z30" s="579">
        <f t="shared" si="16"/>
        <v>4135065.24</v>
      </c>
      <c r="AA30" s="579">
        <f>SUM('CONAP-FUR (REG)-Detail'!AA48:AA51)</f>
        <v>0</v>
      </c>
      <c r="AB30" s="579">
        <f>SUM('CONAP-FUR (REG)-Detail'!AB48:AB51)</f>
        <v>0</v>
      </c>
      <c r="AC30" s="579">
        <f>SUM('CONAP-FUR (REG)-Detail'!AC48:AC51)</f>
        <v>0</v>
      </c>
      <c r="AD30" s="579">
        <f t="shared" si="17"/>
        <v>0</v>
      </c>
      <c r="AE30" s="579">
        <f t="shared" si="18"/>
        <v>0</v>
      </c>
      <c r="AF30" s="579">
        <f t="shared" si="19"/>
        <v>4135065.24</v>
      </c>
      <c r="AG30" s="579">
        <f t="shared" si="20"/>
        <v>0</v>
      </c>
      <c r="AH30" s="579">
        <f t="shared" si="21"/>
        <v>4135065.24</v>
      </c>
      <c r="AI30" s="579">
        <f t="shared" si="22"/>
        <v>0</v>
      </c>
      <c r="AJ30" s="579">
        <f t="shared" si="23"/>
        <v>0.13999999407678843</v>
      </c>
      <c r="AK30" s="579">
        <f t="shared" si="24"/>
        <v>0</v>
      </c>
      <c r="AL30" s="579">
        <f t="shared" si="25"/>
        <v>0.13999999407678843</v>
      </c>
      <c r="AM30" s="603" t="str">
        <f t="shared" si="1"/>
        <v xml:space="preserve"> </v>
      </c>
      <c r="AN30" s="603">
        <f t="shared" si="2"/>
        <v>0.99999996614322118</v>
      </c>
      <c r="AO30" s="603" t="str">
        <f t="shared" si="3"/>
        <v xml:space="preserve"> </v>
      </c>
      <c r="AP30" s="603">
        <f t="shared" si="4"/>
        <v>0.99999996614322118</v>
      </c>
    </row>
    <row r="31" spans="1:42" s="16" customFormat="1" ht="12.75">
      <c r="A31" s="586"/>
      <c r="B31" s="581"/>
      <c r="C31" s="579"/>
      <c r="D31" s="579"/>
      <c r="E31" s="579"/>
      <c r="F31" s="579">
        <f t="shared" si="5"/>
        <v>0</v>
      </c>
      <c r="G31" s="579"/>
      <c r="H31" s="579"/>
      <c r="I31" s="579"/>
      <c r="J31" s="579">
        <f t="shared" si="6"/>
        <v>0</v>
      </c>
      <c r="K31" s="579"/>
      <c r="L31" s="579"/>
      <c r="M31" s="579"/>
      <c r="N31" s="579">
        <f t="shared" si="7"/>
        <v>0</v>
      </c>
      <c r="O31" s="579">
        <f t="shared" si="8"/>
        <v>0</v>
      </c>
      <c r="P31" s="579">
        <f t="shared" si="9"/>
        <v>0</v>
      </c>
      <c r="Q31" s="579">
        <f t="shared" si="10"/>
        <v>0</v>
      </c>
      <c r="R31" s="579">
        <f t="shared" si="11"/>
        <v>0</v>
      </c>
      <c r="S31" s="579">
        <f t="shared" si="12"/>
        <v>0</v>
      </c>
      <c r="T31" s="579">
        <f t="shared" si="13"/>
        <v>0</v>
      </c>
      <c r="U31" s="579">
        <f t="shared" si="14"/>
        <v>0</v>
      </c>
      <c r="V31" s="579">
        <f t="shared" si="15"/>
        <v>0</v>
      </c>
      <c r="W31" s="579"/>
      <c r="X31" s="579"/>
      <c r="Y31" s="579"/>
      <c r="Z31" s="579">
        <f t="shared" si="16"/>
        <v>0</v>
      </c>
      <c r="AA31" s="579"/>
      <c r="AB31" s="579"/>
      <c r="AC31" s="579"/>
      <c r="AD31" s="579">
        <f t="shared" si="17"/>
        <v>0</v>
      </c>
      <c r="AE31" s="579">
        <f t="shared" si="18"/>
        <v>0</v>
      </c>
      <c r="AF31" s="579">
        <f t="shared" si="19"/>
        <v>0</v>
      </c>
      <c r="AG31" s="579">
        <f t="shared" si="20"/>
        <v>0</v>
      </c>
      <c r="AH31" s="579">
        <f t="shared" si="21"/>
        <v>0</v>
      </c>
      <c r="AI31" s="579">
        <f t="shared" si="22"/>
        <v>0</v>
      </c>
      <c r="AJ31" s="579">
        <f t="shared" si="23"/>
        <v>0</v>
      </c>
      <c r="AK31" s="579">
        <f t="shared" si="24"/>
        <v>0</v>
      </c>
      <c r="AL31" s="579">
        <f t="shared" si="25"/>
        <v>0</v>
      </c>
      <c r="AM31" s="603" t="str">
        <f t="shared" si="1"/>
        <v xml:space="preserve"> </v>
      </c>
      <c r="AN31" s="603" t="str">
        <f t="shared" si="2"/>
        <v xml:space="preserve"> </v>
      </c>
      <c r="AO31" s="603" t="str">
        <f t="shared" si="3"/>
        <v xml:space="preserve"> </v>
      </c>
      <c r="AP31" s="603" t="str">
        <f t="shared" si="4"/>
        <v xml:space="preserve"> </v>
      </c>
    </row>
    <row r="32" spans="1:42" s="39" customFormat="1" ht="16.5">
      <c r="A32" s="587" t="s">
        <v>925</v>
      </c>
      <c r="B32" s="580" t="s">
        <v>894</v>
      </c>
      <c r="C32" s="37">
        <f>+C33</f>
        <v>0</v>
      </c>
      <c r="D32" s="37">
        <f>+D33</f>
        <v>8353813.3499999996</v>
      </c>
      <c r="E32" s="37">
        <f>+E33</f>
        <v>22134427.200000003</v>
      </c>
      <c r="F32" s="37">
        <f t="shared" si="5"/>
        <v>30488240.550000004</v>
      </c>
      <c r="G32" s="37">
        <f>+G33</f>
        <v>0</v>
      </c>
      <c r="H32" s="37">
        <f>+H33</f>
        <v>-200000</v>
      </c>
      <c r="I32" s="37">
        <f>+I33</f>
        <v>0</v>
      </c>
      <c r="J32" s="37">
        <f t="shared" si="6"/>
        <v>-200000</v>
      </c>
      <c r="K32" s="37">
        <f>+K33</f>
        <v>0</v>
      </c>
      <c r="L32" s="37">
        <f>+L33</f>
        <v>0</v>
      </c>
      <c r="M32" s="37">
        <f>+M33</f>
        <v>0</v>
      </c>
      <c r="N32" s="37">
        <f t="shared" si="7"/>
        <v>0</v>
      </c>
      <c r="O32" s="37">
        <f t="shared" si="8"/>
        <v>0</v>
      </c>
      <c r="P32" s="37">
        <f t="shared" si="9"/>
        <v>-200000</v>
      </c>
      <c r="Q32" s="37">
        <f t="shared" si="10"/>
        <v>0</v>
      </c>
      <c r="R32" s="37">
        <f t="shared" si="11"/>
        <v>-200000</v>
      </c>
      <c r="S32" s="37">
        <f t="shared" si="12"/>
        <v>0</v>
      </c>
      <c r="T32" s="37">
        <f t="shared" si="13"/>
        <v>8153813.3499999996</v>
      </c>
      <c r="U32" s="37">
        <f t="shared" si="14"/>
        <v>22134427.200000003</v>
      </c>
      <c r="V32" s="37">
        <f t="shared" si="15"/>
        <v>30288240.550000004</v>
      </c>
      <c r="W32" s="37">
        <f>+W33</f>
        <v>0</v>
      </c>
      <c r="X32" s="37">
        <f>+X33</f>
        <v>8153813.3500000006</v>
      </c>
      <c r="Y32" s="37">
        <f>+Y33</f>
        <v>22134427.199999999</v>
      </c>
      <c r="Z32" s="37">
        <f t="shared" si="16"/>
        <v>30288240.550000001</v>
      </c>
      <c r="AA32" s="37">
        <f>+AA33</f>
        <v>0</v>
      </c>
      <c r="AB32" s="37">
        <f>+AB33</f>
        <v>0</v>
      </c>
      <c r="AC32" s="37">
        <f>+AC33</f>
        <v>0</v>
      </c>
      <c r="AD32" s="37">
        <f t="shared" si="17"/>
        <v>0</v>
      </c>
      <c r="AE32" s="37">
        <f t="shared" si="18"/>
        <v>0</v>
      </c>
      <c r="AF32" s="37">
        <f t="shared" si="19"/>
        <v>8153813.3500000006</v>
      </c>
      <c r="AG32" s="37">
        <f t="shared" si="20"/>
        <v>22134427.199999999</v>
      </c>
      <c r="AH32" s="37">
        <f t="shared" si="21"/>
        <v>30288240.550000001</v>
      </c>
      <c r="AI32" s="37">
        <f t="shared" si="22"/>
        <v>0</v>
      </c>
      <c r="AJ32" s="37">
        <f t="shared" si="23"/>
        <v>0</v>
      </c>
      <c r="AK32" s="37">
        <f t="shared" si="24"/>
        <v>0</v>
      </c>
      <c r="AL32" s="37">
        <f t="shared" si="25"/>
        <v>0</v>
      </c>
      <c r="AM32" s="602" t="str">
        <f t="shared" si="1"/>
        <v xml:space="preserve"> </v>
      </c>
      <c r="AN32" s="602">
        <f t="shared" si="2"/>
        <v>1.0000000000000002</v>
      </c>
      <c r="AO32" s="602">
        <f t="shared" si="3"/>
        <v>0.99999999999999978</v>
      </c>
      <c r="AP32" s="602">
        <f t="shared" si="4"/>
        <v>0.99999999999999989</v>
      </c>
    </row>
    <row r="33" spans="1:44" s="16" customFormat="1" ht="12.75">
      <c r="A33" s="587" t="s">
        <v>925</v>
      </c>
      <c r="B33" s="581" t="s">
        <v>917</v>
      </c>
      <c r="C33" s="579">
        <f>+'CONAP-FUR (REG)-Detail'!C13</f>
        <v>0</v>
      </c>
      <c r="D33" s="579">
        <f>+'CONAP-FUR (REG)-Detail'!D13</f>
        <v>8353813.3499999996</v>
      </c>
      <c r="E33" s="579">
        <f>+'CONAP-FUR (REG)-Detail'!E13</f>
        <v>22134427.200000003</v>
      </c>
      <c r="F33" s="579">
        <f t="shared" si="5"/>
        <v>30488240.550000004</v>
      </c>
      <c r="G33" s="579">
        <f>+'CONAP-FUR (REG)-Detail'!G13</f>
        <v>0</v>
      </c>
      <c r="H33" s="579">
        <f>+'CONAP-FUR (REG)-Detail'!H13</f>
        <v>-200000</v>
      </c>
      <c r="I33" s="579">
        <f>+'CONAP-FUR (REG)-Detail'!I13</f>
        <v>0</v>
      </c>
      <c r="J33" s="579">
        <f t="shared" si="6"/>
        <v>-200000</v>
      </c>
      <c r="K33" s="579">
        <f>+'CONAP-FUR (REG)-Detail'!K13</f>
        <v>0</v>
      </c>
      <c r="L33" s="579">
        <f>+'CONAP-FUR (REG)-Detail'!L13</f>
        <v>0</v>
      </c>
      <c r="M33" s="579">
        <f>+'CONAP-FUR (REG)-Detail'!M13</f>
        <v>0</v>
      </c>
      <c r="N33" s="579">
        <f t="shared" si="7"/>
        <v>0</v>
      </c>
      <c r="O33" s="579">
        <f t="shared" si="8"/>
        <v>0</v>
      </c>
      <c r="P33" s="579">
        <f t="shared" si="9"/>
        <v>-200000</v>
      </c>
      <c r="Q33" s="579">
        <f t="shared" si="10"/>
        <v>0</v>
      </c>
      <c r="R33" s="579">
        <f t="shared" si="11"/>
        <v>-200000</v>
      </c>
      <c r="S33" s="579">
        <f t="shared" si="12"/>
        <v>0</v>
      </c>
      <c r="T33" s="579">
        <f t="shared" si="13"/>
        <v>8153813.3499999996</v>
      </c>
      <c r="U33" s="579">
        <f t="shared" si="14"/>
        <v>22134427.200000003</v>
      </c>
      <c r="V33" s="579">
        <f t="shared" si="15"/>
        <v>30288240.550000004</v>
      </c>
      <c r="W33" s="579">
        <f>+'CONAP-FUR (REG)-Detail'!W13</f>
        <v>0</v>
      </c>
      <c r="X33" s="579">
        <f>+'CONAP-FUR (REG)-Detail'!X13</f>
        <v>8153813.3500000006</v>
      </c>
      <c r="Y33" s="579">
        <f>+'CONAP-FUR (REG)-Detail'!Y13</f>
        <v>22134427.199999999</v>
      </c>
      <c r="Z33" s="579">
        <f t="shared" si="16"/>
        <v>30288240.550000001</v>
      </c>
      <c r="AA33" s="579">
        <f>+'CONAP-FUR (REG)-Detail'!AA13</f>
        <v>0</v>
      </c>
      <c r="AB33" s="579">
        <f>+'CONAP-FUR (REG)-Detail'!AB13</f>
        <v>0</v>
      </c>
      <c r="AC33" s="579">
        <f>+'CONAP-FUR (REG)-Detail'!AC13</f>
        <v>0</v>
      </c>
      <c r="AD33" s="579">
        <f t="shared" si="17"/>
        <v>0</v>
      </c>
      <c r="AE33" s="579">
        <f t="shared" si="18"/>
        <v>0</v>
      </c>
      <c r="AF33" s="579">
        <f t="shared" si="19"/>
        <v>8153813.3500000006</v>
      </c>
      <c r="AG33" s="579">
        <f t="shared" si="20"/>
        <v>22134427.199999999</v>
      </c>
      <c r="AH33" s="579">
        <f t="shared" si="21"/>
        <v>30288240.550000001</v>
      </c>
      <c r="AI33" s="579">
        <f t="shared" si="22"/>
        <v>0</v>
      </c>
      <c r="AJ33" s="579">
        <f t="shared" si="23"/>
        <v>0</v>
      </c>
      <c r="AK33" s="579">
        <f t="shared" si="24"/>
        <v>0</v>
      </c>
      <c r="AL33" s="579">
        <f t="shared" si="25"/>
        <v>0</v>
      </c>
      <c r="AM33" s="603" t="str">
        <f t="shared" si="1"/>
        <v xml:space="preserve"> </v>
      </c>
      <c r="AN33" s="603">
        <f t="shared" si="2"/>
        <v>1.0000000000000002</v>
      </c>
      <c r="AO33" s="603">
        <f t="shared" si="3"/>
        <v>0.99999999999999978</v>
      </c>
      <c r="AP33" s="603">
        <f t="shared" si="4"/>
        <v>0.99999999999999989</v>
      </c>
    </row>
    <row r="34" spans="1:44" s="39" customFormat="1" ht="16.5">
      <c r="A34" s="586"/>
      <c r="B34" s="580"/>
      <c r="C34" s="37"/>
      <c r="D34" s="37"/>
      <c r="E34" s="37"/>
      <c r="F34" s="37">
        <f t="shared" si="5"/>
        <v>0</v>
      </c>
      <c r="G34" s="37"/>
      <c r="H34" s="37"/>
      <c r="I34" s="37"/>
      <c r="J34" s="37">
        <f t="shared" si="6"/>
        <v>0</v>
      </c>
      <c r="K34" s="37"/>
      <c r="L34" s="37"/>
      <c r="M34" s="37"/>
      <c r="N34" s="37">
        <f t="shared" si="7"/>
        <v>0</v>
      </c>
      <c r="O34" s="37">
        <f t="shared" si="8"/>
        <v>0</v>
      </c>
      <c r="P34" s="37">
        <f t="shared" si="9"/>
        <v>0</v>
      </c>
      <c r="Q34" s="37">
        <f t="shared" si="10"/>
        <v>0</v>
      </c>
      <c r="R34" s="37">
        <f t="shared" si="11"/>
        <v>0</v>
      </c>
      <c r="S34" s="37">
        <f t="shared" si="12"/>
        <v>0</v>
      </c>
      <c r="T34" s="37">
        <f t="shared" si="13"/>
        <v>0</v>
      </c>
      <c r="U34" s="37">
        <f t="shared" si="14"/>
        <v>0</v>
      </c>
      <c r="V34" s="37">
        <f t="shared" si="15"/>
        <v>0</v>
      </c>
      <c r="W34" s="37"/>
      <c r="X34" s="37"/>
      <c r="Y34" s="37"/>
      <c r="Z34" s="37">
        <f t="shared" si="16"/>
        <v>0</v>
      </c>
      <c r="AA34" s="37"/>
      <c r="AB34" s="37"/>
      <c r="AC34" s="37"/>
      <c r="AD34" s="37">
        <f t="shared" si="17"/>
        <v>0</v>
      </c>
      <c r="AE34" s="37">
        <f t="shared" si="18"/>
        <v>0</v>
      </c>
      <c r="AF34" s="37">
        <f t="shared" si="19"/>
        <v>0</v>
      </c>
      <c r="AG34" s="37">
        <f t="shared" si="20"/>
        <v>0</v>
      </c>
      <c r="AH34" s="37">
        <f t="shared" si="21"/>
        <v>0</v>
      </c>
      <c r="AI34" s="37">
        <f t="shared" si="22"/>
        <v>0</v>
      </c>
      <c r="AJ34" s="37">
        <f t="shared" si="23"/>
        <v>0</v>
      </c>
      <c r="AK34" s="37">
        <f t="shared" si="24"/>
        <v>0</v>
      </c>
      <c r="AL34" s="37">
        <f t="shared" si="25"/>
        <v>0</v>
      </c>
      <c r="AM34" s="602" t="str">
        <f t="shared" si="1"/>
        <v xml:space="preserve"> </v>
      </c>
      <c r="AN34" s="602" t="str">
        <f t="shared" si="2"/>
        <v xml:space="preserve"> </v>
      </c>
      <c r="AO34" s="602" t="str">
        <f t="shared" si="3"/>
        <v xml:space="preserve"> </v>
      </c>
      <c r="AP34" s="602" t="str">
        <f t="shared" si="4"/>
        <v xml:space="preserve"> </v>
      </c>
    </row>
    <row r="35" spans="1:44" s="39" customFormat="1" ht="16.5">
      <c r="A35" s="587" t="s">
        <v>929</v>
      </c>
      <c r="B35" s="580" t="s">
        <v>893</v>
      </c>
      <c r="C35" s="37">
        <f>+C36</f>
        <v>0</v>
      </c>
      <c r="D35" s="37">
        <f>+D36</f>
        <v>8989627.2200000007</v>
      </c>
      <c r="E35" s="37">
        <f>+E36</f>
        <v>574873763.85000002</v>
      </c>
      <c r="F35" s="37">
        <f t="shared" si="5"/>
        <v>583863391.07000005</v>
      </c>
      <c r="G35" s="37">
        <f>+G36</f>
        <v>0</v>
      </c>
      <c r="H35" s="37">
        <f>+H36</f>
        <v>-2419140</v>
      </c>
      <c r="I35" s="37">
        <f>+I36</f>
        <v>-53454837</v>
      </c>
      <c r="J35" s="37">
        <f t="shared" si="6"/>
        <v>-55873977</v>
      </c>
      <c r="K35" s="37">
        <f>+K36</f>
        <v>0</v>
      </c>
      <c r="L35" s="37">
        <f>+L36</f>
        <v>0</v>
      </c>
      <c r="M35" s="37">
        <f>+M36</f>
        <v>0</v>
      </c>
      <c r="N35" s="37">
        <f t="shared" si="7"/>
        <v>0</v>
      </c>
      <c r="O35" s="37">
        <f t="shared" si="8"/>
        <v>0</v>
      </c>
      <c r="P35" s="37">
        <f t="shared" si="9"/>
        <v>-2419140</v>
      </c>
      <c r="Q35" s="37">
        <f t="shared" si="10"/>
        <v>-53454837</v>
      </c>
      <c r="R35" s="37">
        <f t="shared" si="11"/>
        <v>-55873977</v>
      </c>
      <c r="S35" s="37">
        <f t="shared" si="12"/>
        <v>0</v>
      </c>
      <c r="T35" s="37">
        <f t="shared" si="13"/>
        <v>6570487.2200000007</v>
      </c>
      <c r="U35" s="37">
        <f t="shared" si="14"/>
        <v>521418926.85000002</v>
      </c>
      <c r="V35" s="37">
        <f t="shared" si="15"/>
        <v>527989414.07000005</v>
      </c>
      <c r="W35" s="37">
        <f>+W36</f>
        <v>0</v>
      </c>
      <c r="X35" s="37">
        <f>+X36</f>
        <v>3980958.4500000007</v>
      </c>
      <c r="Y35" s="37">
        <f>+Y36</f>
        <v>329732785</v>
      </c>
      <c r="Z35" s="37">
        <f t="shared" si="16"/>
        <v>333713743.44999999</v>
      </c>
      <c r="AA35" s="37">
        <f>+AA36</f>
        <v>0</v>
      </c>
      <c r="AB35" s="37">
        <f>+AB36</f>
        <v>0</v>
      </c>
      <c r="AC35" s="37">
        <f>+AC36</f>
        <v>0</v>
      </c>
      <c r="AD35" s="37">
        <f t="shared" si="17"/>
        <v>0</v>
      </c>
      <c r="AE35" s="37">
        <f t="shared" si="18"/>
        <v>0</v>
      </c>
      <c r="AF35" s="37">
        <f t="shared" si="19"/>
        <v>3980958.4500000007</v>
      </c>
      <c r="AG35" s="37">
        <f t="shared" si="20"/>
        <v>329732785</v>
      </c>
      <c r="AH35" s="37">
        <f t="shared" si="21"/>
        <v>333713743.44999999</v>
      </c>
      <c r="AI35" s="37">
        <f t="shared" si="22"/>
        <v>0</v>
      </c>
      <c r="AJ35" s="37">
        <f t="shared" si="23"/>
        <v>2589528.77</v>
      </c>
      <c r="AK35" s="37">
        <f t="shared" si="24"/>
        <v>191686141.85000002</v>
      </c>
      <c r="AL35" s="37">
        <f t="shared" si="25"/>
        <v>194275670.62000003</v>
      </c>
      <c r="AM35" s="602" t="str">
        <f t="shared" si="1"/>
        <v xml:space="preserve"> </v>
      </c>
      <c r="AN35" s="602">
        <f t="shared" si="2"/>
        <v>0.60588481747324674</v>
      </c>
      <c r="AO35" s="602">
        <f t="shared" si="3"/>
        <v>0.63237594191676971</v>
      </c>
      <c r="AP35" s="602">
        <f t="shared" si="4"/>
        <v>0.63204627698417593</v>
      </c>
    </row>
    <row r="36" spans="1:44" s="16" customFormat="1" ht="12.75">
      <c r="A36" s="587" t="s">
        <v>929</v>
      </c>
      <c r="B36" s="581" t="s">
        <v>920</v>
      </c>
      <c r="C36" s="579">
        <f>SUM('CONAP-FUR (REG)-Detail'!C41:C43)</f>
        <v>0</v>
      </c>
      <c r="D36" s="579">
        <f>SUM('CONAP-FUR (REG)-Detail'!D41:D43)</f>
        <v>8989627.2200000007</v>
      </c>
      <c r="E36" s="579">
        <f>SUM('CONAP-FUR (REG)-Detail'!E41:E43)</f>
        <v>574873763.85000002</v>
      </c>
      <c r="F36" s="579">
        <f t="shared" si="5"/>
        <v>583863391.07000005</v>
      </c>
      <c r="G36" s="579">
        <f>SUM('CONAP-FUR (REG)-Detail'!G41:G43)</f>
        <v>0</v>
      </c>
      <c r="H36" s="579">
        <f>SUM('CONAP-FUR (REG)-Detail'!H41:H43)</f>
        <v>-2419140</v>
      </c>
      <c r="I36" s="579">
        <f>SUM('CONAP-FUR (REG)-Detail'!I41:I43)</f>
        <v>-53454837</v>
      </c>
      <c r="J36" s="579">
        <f t="shared" si="6"/>
        <v>-55873977</v>
      </c>
      <c r="K36" s="579">
        <f>SUM('CONAP-FUR (REG)-Detail'!K41:K43)</f>
        <v>0</v>
      </c>
      <c r="L36" s="579">
        <f>SUM('CONAP-FUR (REG)-Detail'!L41:L43)</f>
        <v>0</v>
      </c>
      <c r="M36" s="579">
        <f>SUM('CONAP-FUR (REG)-Detail'!M41:M43)</f>
        <v>0</v>
      </c>
      <c r="N36" s="579">
        <f t="shared" si="7"/>
        <v>0</v>
      </c>
      <c r="O36" s="579">
        <f t="shared" si="8"/>
        <v>0</v>
      </c>
      <c r="P36" s="579">
        <f t="shared" si="9"/>
        <v>-2419140</v>
      </c>
      <c r="Q36" s="579">
        <f t="shared" si="10"/>
        <v>-53454837</v>
      </c>
      <c r="R36" s="579">
        <f t="shared" si="11"/>
        <v>-55873977</v>
      </c>
      <c r="S36" s="579">
        <f t="shared" si="12"/>
        <v>0</v>
      </c>
      <c r="T36" s="579">
        <f t="shared" si="13"/>
        <v>6570487.2200000007</v>
      </c>
      <c r="U36" s="579">
        <f t="shared" si="14"/>
        <v>521418926.85000002</v>
      </c>
      <c r="V36" s="579">
        <f t="shared" si="15"/>
        <v>527989414.07000005</v>
      </c>
      <c r="W36" s="579">
        <f>SUM('CONAP-FUR (REG)-Detail'!W41:W43)</f>
        <v>0</v>
      </c>
      <c r="X36" s="579">
        <f>SUM('CONAP-FUR (REG)-Detail'!X41:X43)</f>
        <v>3980958.4500000007</v>
      </c>
      <c r="Y36" s="579">
        <f>SUM('CONAP-FUR (REG)-Detail'!Y41:Y43)</f>
        <v>329732785</v>
      </c>
      <c r="Z36" s="579">
        <f t="shared" si="16"/>
        <v>333713743.44999999</v>
      </c>
      <c r="AA36" s="579">
        <f>SUM('CONAP-FUR (REG)-Detail'!AA41:AA43)</f>
        <v>0</v>
      </c>
      <c r="AB36" s="579">
        <f>SUM('CONAP-FUR (REG)-Detail'!AB41:AB43)</f>
        <v>0</v>
      </c>
      <c r="AC36" s="579">
        <f>SUM('CONAP-FUR (REG)-Detail'!AC41:AC43)</f>
        <v>0</v>
      </c>
      <c r="AD36" s="579">
        <f t="shared" si="17"/>
        <v>0</v>
      </c>
      <c r="AE36" s="579">
        <f t="shared" si="18"/>
        <v>0</v>
      </c>
      <c r="AF36" s="579">
        <f t="shared" si="19"/>
        <v>3980958.4500000007</v>
      </c>
      <c r="AG36" s="579">
        <f t="shared" si="20"/>
        <v>329732785</v>
      </c>
      <c r="AH36" s="579">
        <f t="shared" si="21"/>
        <v>333713743.44999999</v>
      </c>
      <c r="AI36" s="579">
        <f t="shared" si="22"/>
        <v>0</v>
      </c>
      <c r="AJ36" s="579">
        <f t="shared" si="23"/>
        <v>2589528.77</v>
      </c>
      <c r="AK36" s="579">
        <f t="shared" si="24"/>
        <v>191686141.85000002</v>
      </c>
      <c r="AL36" s="579">
        <f t="shared" si="25"/>
        <v>194275670.62000003</v>
      </c>
      <c r="AM36" s="603" t="str">
        <f t="shared" si="1"/>
        <v xml:space="preserve"> </v>
      </c>
      <c r="AN36" s="603">
        <f t="shared" si="2"/>
        <v>0.60588481747324674</v>
      </c>
      <c r="AO36" s="603">
        <f t="shared" si="3"/>
        <v>0.63237594191676971</v>
      </c>
      <c r="AP36" s="603">
        <f t="shared" si="4"/>
        <v>0.63204627698417593</v>
      </c>
    </row>
    <row r="37" spans="1:44" s="39" customFormat="1" ht="16.5">
      <c r="A37" s="586"/>
      <c r="B37" s="580"/>
      <c r="C37" s="37"/>
      <c r="D37" s="37"/>
      <c r="E37" s="37"/>
      <c r="F37" s="37">
        <f t="shared" si="5"/>
        <v>0</v>
      </c>
      <c r="G37" s="37"/>
      <c r="H37" s="37"/>
      <c r="I37" s="37"/>
      <c r="J37" s="37">
        <f t="shared" si="6"/>
        <v>0</v>
      </c>
      <c r="K37" s="37"/>
      <c r="L37" s="37"/>
      <c r="M37" s="37"/>
      <c r="N37" s="37">
        <f t="shared" si="7"/>
        <v>0</v>
      </c>
      <c r="O37" s="37">
        <f t="shared" si="8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/>
      <c r="X37" s="37"/>
      <c r="Y37" s="37"/>
      <c r="Z37" s="37">
        <f t="shared" si="16"/>
        <v>0</v>
      </c>
      <c r="AA37" s="37"/>
      <c r="AB37" s="37"/>
      <c r="AC37" s="37"/>
      <c r="AD37" s="37">
        <f t="shared" si="17"/>
        <v>0</v>
      </c>
      <c r="AE37" s="37">
        <f t="shared" si="18"/>
        <v>0</v>
      </c>
      <c r="AF37" s="37">
        <f t="shared" si="19"/>
        <v>0</v>
      </c>
      <c r="AG37" s="37">
        <f t="shared" si="20"/>
        <v>0</v>
      </c>
      <c r="AH37" s="37">
        <f t="shared" si="21"/>
        <v>0</v>
      </c>
      <c r="AI37" s="37">
        <f t="shared" si="22"/>
        <v>0</v>
      </c>
      <c r="AJ37" s="37">
        <f t="shared" si="23"/>
        <v>0</v>
      </c>
      <c r="AK37" s="37">
        <f t="shared" si="24"/>
        <v>0</v>
      </c>
      <c r="AL37" s="37">
        <f t="shared" si="25"/>
        <v>0</v>
      </c>
      <c r="AM37" s="602" t="str">
        <f t="shared" si="1"/>
        <v xml:space="preserve"> </v>
      </c>
      <c r="AN37" s="602" t="str">
        <f t="shared" si="2"/>
        <v xml:space="preserve"> </v>
      </c>
      <c r="AO37" s="602" t="str">
        <f t="shared" si="3"/>
        <v xml:space="preserve"> </v>
      </c>
      <c r="AP37" s="602" t="str">
        <f t="shared" si="4"/>
        <v xml:space="preserve"> </v>
      </c>
    </row>
    <row r="38" spans="1:44" s="39" customFormat="1" ht="16.5">
      <c r="A38" s="587" t="s">
        <v>930</v>
      </c>
      <c r="B38" s="580" t="s">
        <v>891</v>
      </c>
      <c r="C38" s="37">
        <f>SUM(C39:C42)</f>
        <v>0</v>
      </c>
      <c r="D38" s="37">
        <f>SUM(D39:D42)</f>
        <v>128002741.29999995</v>
      </c>
      <c r="E38" s="37">
        <f>SUM(E39:E42)</f>
        <v>83000000</v>
      </c>
      <c r="F38" s="37">
        <f t="shared" si="5"/>
        <v>211002741.29999995</v>
      </c>
      <c r="G38" s="37">
        <f>SUM(G39:G42)</f>
        <v>0</v>
      </c>
      <c r="H38" s="37">
        <f>SUM(H39:H42)</f>
        <v>-25592688.460000001</v>
      </c>
      <c r="I38" s="37">
        <f>SUM(I39:I42)</f>
        <v>-3000000</v>
      </c>
      <c r="J38" s="37">
        <f t="shared" si="6"/>
        <v>-28592688.460000001</v>
      </c>
      <c r="K38" s="37">
        <f>SUM(K39:K42)</f>
        <v>0</v>
      </c>
      <c r="L38" s="37">
        <f>SUM(L39:L42)</f>
        <v>0</v>
      </c>
      <c r="M38" s="37">
        <f>SUM(M39:M42)</f>
        <v>0</v>
      </c>
      <c r="N38" s="37">
        <f t="shared" si="7"/>
        <v>0</v>
      </c>
      <c r="O38" s="37">
        <f t="shared" si="8"/>
        <v>0</v>
      </c>
      <c r="P38" s="37">
        <f t="shared" si="9"/>
        <v>-25592688.460000001</v>
      </c>
      <c r="Q38" s="37">
        <f t="shared" si="10"/>
        <v>-3000000</v>
      </c>
      <c r="R38" s="37">
        <f t="shared" si="11"/>
        <v>-28592688.460000001</v>
      </c>
      <c r="S38" s="37">
        <f t="shared" si="12"/>
        <v>0</v>
      </c>
      <c r="T38" s="37">
        <f t="shared" si="13"/>
        <v>102410052.83999994</v>
      </c>
      <c r="U38" s="37">
        <f t="shared" si="14"/>
        <v>80000000</v>
      </c>
      <c r="V38" s="37">
        <f t="shared" si="15"/>
        <v>182410052.83999994</v>
      </c>
      <c r="W38" s="37">
        <f>SUM(W39:W42)</f>
        <v>0</v>
      </c>
      <c r="X38" s="37">
        <f>SUM(X39:X42)</f>
        <v>89226573.780000001</v>
      </c>
      <c r="Y38" s="37">
        <f>SUM(Y39:Y42)</f>
        <v>79997680</v>
      </c>
      <c r="Z38" s="37">
        <f t="shared" si="16"/>
        <v>169224253.78</v>
      </c>
      <c r="AA38" s="37">
        <f>SUM(AA39:AA42)</f>
        <v>0</v>
      </c>
      <c r="AB38" s="37">
        <f>SUM(AB39:AB42)</f>
        <v>0</v>
      </c>
      <c r="AC38" s="37">
        <f>SUM(AC39:AC42)</f>
        <v>0</v>
      </c>
      <c r="AD38" s="37">
        <f t="shared" si="17"/>
        <v>0</v>
      </c>
      <c r="AE38" s="37">
        <f t="shared" si="18"/>
        <v>0</v>
      </c>
      <c r="AF38" s="37">
        <f t="shared" si="19"/>
        <v>89226573.780000001</v>
      </c>
      <c r="AG38" s="37">
        <f t="shared" si="20"/>
        <v>79997680</v>
      </c>
      <c r="AH38" s="37">
        <f t="shared" si="21"/>
        <v>169224253.78</v>
      </c>
      <c r="AI38" s="37">
        <f t="shared" si="22"/>
        <v>0</v>
      </c>
      <c r="AJ38" s="37">
        <f t="shared" si="23"/>
        <v>13183479.059999943</v>
      </c>
      <c r="AK38" s="37">
        <f t="shared" si="24"/>
        <v>2320</v>
      </c>
      <c r="AL38" s="37">
        <f t="shared" si="25"/>
        <v>13185799.059999943</v>
      </c>
      <c r="AM38" s="602" t="str">
        <f t="shared" si="1"/>
        <v xml:space="preserve"> </v>
      </c>
      <c r="AN38" s="602">
        <f t="shared" si="2"/>
        <v>0.87126772524375984</v>
      </c>
      <c r="AO38" s="602">
        <f t="shared" si="3"/>
        <v>0.99997100000000005</v>
      </c>
      <c r="AP38" s="602">
        <f t="shared" si="4"/>
        <v>0.92771341899908444</v>
      </c>
    </row>
    <row r="39" spans="1:44" s="16" customFormat="1" ht="12.75">
      <c r="A39" s="587" t="s">
        <v>930</v>
      </c>
      <c r="B39" s="581" t="s">
        <v>909</v>
      </c>
      <c r="C39" s="579">
        <f>+'CONAP-FUR (REG)-Detail'!C28</f>
        <v>0</v>
      </c>
      <c r="D39" s="579">
        <f>+'CONAP-FUR (REG)-Detail'!D28</f>
        <v>300590.90000000037</v>
      </c>
      <c r="E39" s="579">
        <f>+'CONAP-FUR (REG)-Detail'!E28</f>
        <v>0</v>
      </c>
      <c r="F39" s="579">
        <f t="shared" si="5"/>
        <v>300590.90000000037</v>
      </c>
      <c r="G39" s="579">
        <f>+'CONAP-FUR (REG)-Detail'!G28</f>
        <v>0</v>
      </c>
      <c r="H39" s="579">
        <f>+'CONAP-FUR (REG)-Detail'!H28</f>
        <v>-160000</v>
      </c>
      <c r="I39" s="579">
        <f>+'CONAP-FUR (REG)-Detail'!I28</f>
        <v>0</v>
      </c>
      <c r="J39" s="579">
        <f t="shared" si="6"/>
        <v>-160000</v>
      </c>
      <c r="K39" s="579">
        <f>+'CONAP-FUR (REG)-Detail'!K28</f>
        <v>0</v>
      </c>
      <c r="L39" s="579">
        <f>+'CONAP-FUR (REG)-Detail'!L28</f>
        <v>0</v>
      </c>
      <c r="M39" s="579">
        <f>+'CONAP-FUR (REG)-Detail'!M28</f>
        <v>0</v>
      </c>
      <c r="N39" s="579">
        <f t="shared" si="7"/>
        <v>0</v>
      </c>
      <c r="O39" s="579">
        <f t="shared" si="8"/>
        <v>0</v>
      </c>
      <c r="P39" s="579">
        <f t="shared" si="9"/>
        <v>-160000</v>
      </c>
      <c r="Q39" s="579">
        <f t="shared" si="10"/>
        <v>0</v>
      </c>
      <c r="R39" s="579">
        <f t="shared" si="11"/>
        <v>-160000</v>
      </c>
      <c r="S39" s="579">
        <f t="shared" si="12"/>
        <v>0</v>
      </c>
      <c r="T39" s="579">
        <f t="shared" si="13"/>
        <v>140590.90000000037</v>
      </c>
      <c r="U39" s="579">
        <f t="shared" si="14"/>
        <v>0</v>
      </c>
      <c r="V39" s="579">
        <f t="shared" si="15"/>
        <v>140590.90000000037</v>
      </c>
      <c r="W39" s="579">
        <f>+'CONAP-FUR (REG)-Detail'!W28</f>
        <v>0</v>
      </c>
      <c r="X39" s="579">
        <f>+'CONAP-FUR (REG)-Detail'!X28</f>
        <v>136581.56</v>
      </c>
      <c r="Y39" s="579">
        <f>+'CONAP-FUR (REG)-Detail'!Y28</f>
        <v>0</v>
      </c>
      <c r="Z39" s="579">
        <f t="shared" si="16"/>
        <v>136581.56</v>
      </c>
      <c r="AA39" s="579">
        <f>+'CONAP-FUR (REG)-Detail'!AA28</f>
        <v>0</v>
      </c>
      <c r="AB39" s="579">
        <f>+'CONAP-FUR (REG)-Detail'!AB28</f>
        <v>0</v>
      </c>
      <c r="AC39" s="579">
        <f>+'CONAP-FUR (REG)-Detail'!AC28</f>
        <v>0</v>
      </c>
      <c r="AD39" s="579">
        <f t="shared" si="17"/>
        <v>0</v>
      </c>
      <c r="AE39" s="579">
        <f t="shared" si="18"/>
        <v>0</v>
      </c>
      <c r="AF39" s="579">
        <f t="shared" si="19"/>
        <v>136581.56</v>
      </c>
      <c r="AG39" s="579">
        <f t="shared" si="20"/>
        <v>0</v>
      </c>
      <c r="AH39" s="579">
        <f t="shared" si="21"/>
        <v>136581.56</v>
      </c>
      <c r="AI39" s="579">
        <f t="shared" si="22"/>
        <v>0</v>
      </c>
      <c r="AJ39" s="579">
        <f t="shared" si="23"/>
        <v>4009.3400000003749</v>
      </c>
      <c r="AK39" s="579">
        <f t="shared" si="24"/>
        <v>0</v>
      </c>
      <c r="AL39" s="579">
        <f t="shared" si="25"/>
        <v>4009.3400000003749</v>
      </c>
      <c r="AM39" s="603" t="str">
        <f t="shared" si="1"/>
        <v xml:space="preserve"> </v>
      </c>
      <c r="AN39" s="603">
        <f t="shared" si="2"/>
        <v>0.97148222253360383</v>
      </c>
      <c r="AO39" s="603" t="str">
        <f t="shared" si="3"/>
        <v xml:space="preserve"> </v>
      </c>
      <c r="AP39" s="603">
        <f t="shared" si="4"/>
        <v>0.97148222253360383</v>
      </c>
    </row>
    <row r="40" spans="1:44" s="16" customFormat="1" ht="12.75">
      <c r="A40" s="587" t="s">
        <v>930</v>
      </c>
      <c r="B40" s="581" t="s">
        <v>910</v>
      </c>
      <c r="C40" s="579">
        <f>SUM('CONAP-FUR (REG)-Detail'!C29:C37)</f>
        <v>0</v>
      </c>
      <c r="D40" s="579">
        <f>SUM('CONAP-FUR (REG)-Detail'!D29:D37)</f>
        <v>105770045.09999993</v>
      </c>
      <c r="E40" s="579">
        <f>SUM('CONAP-FUR (REG)-Detail'!E29:E37)</f>
        <v>3000000</v>
      </c>
      <c r="F40" s="579">
        <f t="shared" si="5"/>
        <v>108770045.09999993</v>
      </c>
      <c r="G40" s="579">
        <f>SUM('CONAP-FUR (REG)-Detail'!G29:G37)</f>
        <v>0</v>
      </c>
      <c r="H40" s="579">
        <f>SUM('CONAP-FUR (REG)-Detail'!H29:H37)</f>
        <v>-17958006.66</v>
      </c>
      <c r="I40" s="579">
        <f>SUM('CONAP-FUR (REG)-Detail'!I29:I37)</f>
        <v>-3000000</v>
      </c>
      <c r="J40" s="579">
        <f t="shared" si="6"/>
        <v>-20958006.66</v>
      </c>
      <c r="K40" s="579">
        <f>SUM('CONAP-FUR (REG)-Detail'!K29:K37)</f>
        <v>0</v>
      </c>
      <c r="L40" s="579">
        <f>SUM('CONAP-FUR (REG)-Detail'!L29:L37)</f>
        <v>0</v>
      </c>
      <c r="M40" s="579">
        <f>SUM('CONAP-FUR (REG)-Detail'!M29:M37)</f>
        <v>0</v>
      </c>
      <c r="N40" s="579">
        <f t="shared" si="7"/>
        <v>0</v>
      </c>
      <c r="O40" s="579">
        <f t="shared" si="8"/>
        <v>0</v>
      </c>
      <c r="P40" s="579">
        <f t="shared" si="9"/>
        <v>-17958006.66</v>
      </c>
      <c r="Q40" s="579">
        <f t="shared" si="10"/>
        <v>-3000000</v>
      </c>
      <c r="R40" s="579">
        <f t="shared" si="11"/>
        <v>-20958006.66</v>
      </c>
      <c r="S40" s="579">
        <f t="shared" si="12"/>
        <v>0</v>
      </c>
      <c r="T40" s="579">
        <f t="shared" si="13"/>
        <v>87812038.439999938</v>
      </c>
      <c r="U40" s="579">
        <f t="shared" si="14"/>
        <v>0</v>
      </c>
      <c r="V40" s="579">
        <f t="shared" si="15"/>
        <v>87812038.439999938</v>
      </c>
      <c r="W40" s="579">
        <f>SUM('CONAP-FUR (REG)-Detail'!W29:W37)</f>
        <v>0</v>
      </c>
      <c r="X40" s="579">
        <f>SUM('CONAP-FUR (REG)-Detail'!X29:X37)</f>
        <v>78001497</v>
      </c>
      <c r="Y40" s="579">
        <f>SUM('CONAP-FUR (REG)-Detail'!Y29:Y37)</f>
        <v>0</v>
      </c>
      <c r="Z40" s="579">
        <f t="shared" si="16"/>
        <v>78001497</v>
      </c>
      <c r="AA40" s="579">
        <f>SUM('CONAP-FUR (REG)-Detail'!AA29:AA37)</f>
        <v>0</v>
      </c>
      <c r="AB40" s="579">
        <f>SUM('CONAP-FUR (REG)-Detail'!AB29:AB37)</f>
        <v>0</v>
      </c>
      <c r="AC40" s="579">
        <f>SUM('CONAP-FUR (REG)-Detail'!AC29:AC37)</f>
        <v>0</v>
      </c>
      <c r="AD40" s="579">
        <f t="shared" si="17"/>
        <v>0</v>
      </c>
      <c r="AE40" s="579">
        <f t="shared" si="18"/>
        <v>0</v>
      </c>
      <c r="AF40" s="579">
        <f t="shared" si="19"/>
        <v>78001497</v>
      </c>
      <c r="AG40" s="579">
        <f t="shared" si="20"/>
        <v>0</v>
      </c>
      <c r="AH40" s="579">
        <f t="shared" si="21"/>
        <v>78001497</v>
      </c>
      <c r="AI40" s="579">
        <f t="shared" si="22"/>
        <v>0</v>
      </c>
      <c r="AJ40" s="579">
        <f t="shared" si="23"/>
        <v>9810541.439999938</v>
      </c>
      <c r="AK40" s="579">
        <f t="shared" si="24"/>
        <v>0</v>
      </c>
      <c r="AL40" s="579">
        <f t="shared" si="25"/>
        <v>9810541.439999938</v>
      </c>
      <c r="AM40" s="603" t="str">
        <f t="shared" si="1"/>
        <v xml:space="preserve"> </v>
      </c>
      <c r="AN40" s="603">
        <f t="shared" si="2"/>
        <v>0.88827794441073971</v>
      </c>
      <c r="AO40" s="603" t="str">
        <f t="shared" si="3"/>
        <v xml:space="preserve"> </v>
      </c>
      <c r="AP40" s="603">
        <f t="shared" si="4"/>
        <v>0.88827794441073971</v>
      </c>
    </row>
    <row r="41" spans="1:44" s="16" customFormat="1" ht="12.75">
      <c r="A41" s="587" t="s">
        <v>930</v>
      </c>
      <c r="B41" s="581" t="s">
        <v>912</v>
      </c>
      <c r="C41" s="579">
        <f>+'CONAP-FUR (REG)-Detail'!C39</f>
        <v>0</v>
      </c>
      <c r="D41" s="579">
        <f>+'CONAP-FUR (REG)-Detail'!D39</f>
        <v>13285994.370000001</v>
      </c>
      <c r="E41" s="579">
        <f>+'CONAP-FUR (REG)-Detail'!E39</f>
        <v>0</v>
      </c>
      <c r="F41" s="579">
        <f t="shared" si="5"/>
        <v>13285994.370000001</v>
      </c>
      <c r="G41" s="579">
        <f>+'CONAP-FUR (REG)-Detail'!G39</f>
        <v>0</v>
      </c>
      <c r="H41" s="579">
        <f>+'CONAP-FUR (REG)-Detail'!H39</f>
        <v>-4545509.8</v>
      </c>
      <c r="I41" s="579">
        <f>+'CONAP-FUR (REG)-Detail'!I39</f>
        <v>0</v>
      </c>
      <c r="J41" s="579">
        <f t="shared" si="6"/>
        <v>-4545509.8</v>
      </c>
      <c r="K41" s="579">
        <f>+'CONAP-FUR (REG)-Detail'!K39</f>
        <v>0</v>
      </c>
      <c r="L41" s="579">
        <f>+'CONAP-FUR (REG)-Detail'!L39</f>
        <v>0</v>
      </c>
      <c r="M41" s="579">
        <f>+'CONAP-FUR (REG)-Detail'!M39</f>
        <v>0</v>
      </c>
      <c r="N41" s="579">
        <f t="shared" si="7"/>
        <v>0</v>
      </c>
      <c r="O41" s="579">
        <f t="shared" si="8"/>
        <v>0</v>
      </c>
      <c r="P41" s="579">
        <f t="shared" si="9"/>
        <v>-4545509.8</v>
      </c>
      <c r="Q41" s="579">
        <f t="shared" si="10"/>
        <v>0</v>
      </c>
      <c r="R41" s="579">
        <f t="shared" si="11"/>
        <v>-4545509.8</v>
      </c>
      <c r="S41" s="579">
        <f t="shared" si="12"/>
        <v>0</v>
      </c>
      <c r="T41" s="579">
        <f t="shared" si="13"/>
        <v>8740484.5700000003</v>
      </c>
      <c r="U41" s="579">
        <f t="shared" si="14"/>
        <v>0</v>
      </c>
      <c r="V41" s="579">
        <f t="shared" si="15"/>
        <v>8740484.5700000003</v>
      </c>
      <c r="W41" s="579">
        <f>+'CONAP-FUR (REG)-Detail'!W39</f>
        <v>0</v>
      </c>
      <c r="X41" s="579">
        <f>+'CONAP-FUR (REG)-Detail'!X39</f>
        <v>5671121.2400000012</v>
      </c>
      <c r="Y41" s="579">
        <f>+'CONAP-FUR (REG)-Detail'!Y39</f>
        <v>0</v>
      </c>
      <c r="Z41" s="579">
        <f t="shared" si="16"/>
        <v>5671121.2400000012</v>
      </c>
      <c r="AA41" s="579">
        <f>+'CONAP-FUR (REG)-Detail'!AA39</f>
        <v>0</v>
      </c>
      <c r="AB41" s="579">
        <f>+'CONAP-FUR (REG)-Detail'!AB39</f>
        <v>0</v>
      </c>
      <c r="AC41" s="579">
        <f>+'CONAP-FUR (REG)-Detail'!AC39</f>
        <v>0</v>
      </c>
      <c r="AD41" s="579">
        <f t="shared" si="17"/>
        <v>0</v>
      </c>
      <c r="AE41" s="579">
        <f t="shared" si="18"/>
        <v>0</v>
      </c>
      <c r="AF41" s="579">
        <f t="shared" si="19"/>
        <v>5671121.2400000012</v>
      </c>
      <c r="AG41" s="579">
        <f t="shared" si="20"/>
        <v>0</v>
      </c>
      <c r="AH41" s="579">
        <f t="shared" si="21"/>
        <v>5671121.2400000012</v>
      </c>
      <c r="AI41" s="579">
        <f t="shared" si="22"/>
        <v>0</v>
      </c>
      <c r="AJ41" s="579">
        <f t="shared" si="23"/>
        <v>3069363.3299999991</v>
      </c>
      <c r="AK41" s="579">
        <f t="shared" si="24"/>
        <v>0</v>
      </c>
      <c r="AL41" s="579">
        <f t="shared" si="25"/>
        <v>3069363.3299999991</v>
      </c>
      <c r="AM41" s="603" t="str">
        <f t="shared" si="1"/>
        <v xml:space="preserve"> </v>
      </c>
      <c r="AN41" s="603">
        <f t="shared" si="2"/>
        <v>0.64883373394022259</v>
      </c>
      <c r="AO41" s="603" t="str">
        <f t="shared" si="3"/>
        <v xml:space="preserve"> </v>
      </c>
      <c r="AP41" s="603">
        <f t="shared" si="4"/>
        <v>0.64883373394022259</v>
      </c>
    </row>
    <row r="42" spans="1:44" s="16" customFormat="1" ht="12.75">
      <c r="A42" s="587" t="s">
        <v>930</v>
      </c>
      <c r="B42" s="581" t="s">
        <v>911</v>
      </c>
      <c r="C42" s="579">
        <f>+'CONAP-FUR (REG)-Detail'!C40</f>
        <v>0</v>
      </c>
      <c r="D42" s="579">
        <f>+'CONAP-FUR (REG)-Detail'!D40</f>
        <v>8646110.9299999997</v>
      </c>
      <c r="E42" s="579">
        <f>+'CONAP-FUR (REG)-Detail'!E40</f>
        <v>80000000</v>
      </c>
      <c r="F42" s="579">
        <f t="shared" si="5"/>
        <v>88646110.930000007</v>
      </c>
      <c r="G42" s="579">
        <f>+'CONAP-FUR (REG)-Detail'!G40</f>
        <v>0</v>
      </c>
      <c r="H42" s="579">
        <f>+'CONAP-FUR (REG)-Detail'!H40</f>
        <v>-2929172</v>
      </c>
      <c r="I42" s="579">
        <f>+'CONAP-FUR (REG)-Detail'!I40</f>
        <v>0</v>
      </c>
      <c r="J42" s="579">
        <f t="shared" si="6"/>
        <v>-2929172</v>
      </c>
      <c r="K42" s="579">
        <f>+'CONAP-FUR (REG)-Detail'!K40</f>
        <v>0</v>
      </c>
      <c r="L42" s="579">
        <f>+'CONAP-FUR (REG)-Detail'!L40</f>
        <v>0</v>
      </c>
      <c r="M42" s="579">
        <f>+'CONAP-FUR (REG)-Detail'!M40</f>
        <v>0</v>
      </c>
      <c r="N42" s="579">
        <f t="shared" si="7"/>
        <v>0</v>
      </c>
      <c r="O42" s="579">
        <f t="shared" si="8"/>
        <v>0</v>
      </c>
      <c r="P42" s="579">
        <f t="shared" si="9"/>
        <v>-2929172</v>
      </c>
      <c r="Q42" s="579">
        <f t="shared" si="10"/>
        <v>0</v>
      </c>
      <c r="R42" s="579">
        <f t="shared" si="11"/>
        <v>-2929172</v>
      </c>
      <c r="S42" s="579">
        <f t="shared" si="12"/>
        <v>0</v>
      </c>
      <c r="T42" s="579">
        <f t="shared" si="13"/>
        <v>5716938.9299999997</v>
      </c>
      <c r="U42" s="579">
        <f t="shared" si="14"/>
        <v>80000000</v>
      </c>
      <c r="V42" s="579">
        <f t="shared" si="15"/>
        <v>85716938.930000007</v>
      </c>
      <c r="W42" s="579">
        <f>+'CONAP-FUR (REG)-Detail'!W40</f>
        <v>0</v>
      </c>
      <c r="X42" s="579">
        <f>+'CONAP-FUR (REG)-Detail'!X40</f>
        <v>5417373.9800000004</v>
      </c>
      <c r="Y42" s="579">
        <f>+'CONAP-FUR (REG)-Detail'!Y40</f>
        <v>79997680</v>
      </c>
      <c r="Z42" s="579">
        <f t="shared" si="16"/>
        <v>85415053.980000004</v>
      </c>
      <c r="AA42" s="579">
        <f>+'CONAP-FUR (REG)-Detail'!AA40</f>
        <v>0</v>
      </c>
      <c r="AB42" s="579">
        <f>+'CONAP-FUR (REG)-Detail'!AB40</f>
        <v>0</v>
      </c>
      <c r="AC42" s="579">
        <f>+'CONAP-FUR (REG)-Detail'!AC40</f>
        <v>0</v>
      </c>
      <c r="AD42" s="579">
        <f t="shared" si="17"/>
        <v>0</v>
      </c>
      <c r="AE42" s="579">
        <f t="shared" si="18"/>
        <v>0</v>
      </c>
      <c r="AF42" s="579">
        <f t="shared" si="19"/>
        <v>5417373.9800000004</v>
      </c>
      <c r="AG42" s="579">
        <f t="shared" si="20"/>
        <v>79997680</v>
      </c>
      <c r="AH42" s="579">
        <f t="shared" si="21"/>
        <v>85415053.980000004</v>
      </c>
      <c r="AI42" s="579">
        <f t="shared" si="22"/>
        <v>0</v>
      </c>
      <c r="AJ42" s="579">
        <f t="shared" si="23"/>
        <v>299564.94999999925</v>
      </c>
      <c r="AK42" s="579">
        <f t="shared" si="24"/>
        <v>2320</v>
      </c>
      <c r="AL42" s="579">
        <f t="shared" si="25"/>
        <v>301884.94999999925</v>
      </c>
      <c r="AM42" s="603" t="str">
        <f t="shared" si="1"/>
        <v xml:space="preserve"> </v>
      </c>
      <c r="AN42" s="603">
        <f t="shared" si="2"/>
        <v>0.94760046352288052</v>
      </c>
      <c r="AO42" s="603">
        <f t="shared" si="3"/>
        <v>0.99997100000000005</v>
      </c>
      <c r="AP42" s="603">
        <f t="shared" si="4"/>
        <v>0.99647811793364982</v>
      </c>
    </row>
    <row r="43" spans="1:44" s="39" customFormat="1" ht="16.5">
      <c r="A43" s="586"/>
      <c r="B43" s="580"/>
      <c r="C43" s="37"/>
      <c r="D43" s="37"/>
      <c r="E43" s="37"/>
      <c r="F43" s="37">
        <f t="shared" si="5"/>
        <v>0</v>
      </c>
      <c r="G43" s="37"/>
      <c r="H43" s="37"/>
      <c r="I43" s="37"/>
      <c r="J43" s="37">
        <f t="shared" si="6"/>
        <v>0</v>
      </c>
      <c r="K43" s="37"/>
      <c r="L43" s="37"/>
      <c r="M43" s="37"/>
      <c r="N43" s="37">
        <f t="shared" si="7"/>
        <v>0</v>
      </c>
      <c r="O43" s="37">
        <f t="shared" si="8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/>
      <c r="X43" s="37"/>
      <c r="Y43" s="37"/>
      <c r="Z43" s="37">
        <f t="shared" si="16"/>
        <v>0</v>
      </c>
      <c r="AA43" s="37"/>
      <c r="AB43" s="37"/>
      <c r="AC43" s="37"/>
      <c r="AD43" s="37">
        <f t="shared" si="17"/>
        <v>0</v>
      </c>
      <c r="AE43" s="37">
        <f t="shared" si="18"/>
        <v>0</v>
      </c>
      <c r="AF43" s="37">
        <f t="shared" si="19"/>
        <v>0</v>
      </c>
      <c r="AG43" s="37">
        <f t="shared" si="20"/>
        <v>0</v>
      </c>
      <c r="AH43" s="37">
        <f t="shared" si="21"/>
        <v>0</v>
      </c>
      <c r="AI43" s="37">
        <f t="shared" si="22"/>
        <v>0</v>
      </c>
      <c r="AJ43" s="37">
        <f t="shared" si="23"/>
        <v>0</v>
      </c>
      <c r="AK43" s="37">
        <f t="shared" si="24"/>
        <v>0</v>
      </c>
      <c r="AL43" s="37">
        <f t="shared" si="25"/>
        <v>0</v>
      </c>
      <c r="AM43" s="602" t="str">
        <f t="shared" si="1"/>
        <v xml:space="preserve"> </v>
      </c>
      <c r="AN43" s="602" t="str">
        <f t="shared" si="2"/>
        <v xml:space="preserve"> </v>
      </c>
      <c r="AO43" s="602" t="str">
        <f t="shared" si="3"/>
        <v xml:space="preserve"> </v>
      </c>
      <c r="AP43" s="602" t="str">
        <f t="shared" si="4"/>
        <v xml:space="preserve"> </v>
      </c>
    </row>
    <row r="44" spans="1:44" s="39" customFormat="1" ht="16.5">
      <c r="A44" s="587" t="s">
        <v>931</v>
      </c>
      <c r="B44" s="580" t="s">
        <v>895</v>
      </c>
      <c r="C44" s="37">
        <f>SUM(C45:C46)</f>
        <v>0</v>
      </c>
      <c r="D44" s="37">
        <f>SUM(D45:D46)</f>
        <v>114180.1700000001</v>
      </c>
      <c r="E44" s="37">
        <f>SUM(E45:E46)</f>
        <v>0</v>
      </c>
      <c r="F44" s="37">
        <f t="shared" si="5"/>
        <v>114180.1700000001</v>
      </c>
      <c r="G44" s="37">
        <f>SUM(G45:G46)</f>
        <v>0</v>
      </c>
      <c r="H44" s="37">
        <f>SUM(H45:H46)</f>
        <v>-65000</v>
      </c>
      <c r="I44" s="37">
        <f>SUM(I45:I46)</f>
        <v>0</v>
      </c>
      <c r="J44" s="37">
        <f t="shared" si="6"/>
        <v>-65000</v>
      </c>
      <c r="K44" s="37">
        <f>SUM(K45:K46)</f>
        <v>0</v>
      </c>
      <c r="L44" s="37">
        <f>SUM(L45:L46)</f>
        <v>2621061.09</v>
      </c>
      <c r="M44" s="37">
        <f>SUM(M45:M46)</f>
        <v>0</v>
      </c>
      <c r="N44" s="37">
        <f t="shared" si="7"/>
        <v>2621061.09</v>
      </c>
      <c r="O44" s="37">
        <f t="shared" si="8"/>
        <v>0</v>
      </c>
      <c r="P44" s="37">
        <f t="shared" si="9"/>
        <v>2556061.09</v>
      </c>
      <c r="Q44" s="37">
        <f t="shared" si="10"/>
        <v>0</v>
      </c>
      <c r="R44" s="37">
        <f t="shared" si="11"/>
        <v>2556061.09</v>
      </c>
      <c r="S44" s="37">
        <f t="shared" si="12"/>
        <v>0</v>
      </c>
      <c r="T44" s="37">
        <f t="shared" si="13"/>
        <v>2670241.2599999998</v>
      </c>
      <c r="U44" s="37">
        <f t="shared" si="14"/>
        <v>0</v>
      </c>
      <c r="V44" s="37">
        <f t="shared" si="15"/>
        <v>2670241.2599999998</v>
      </c>
      <c r="W44" s="37">
        <f>SUM(W45:W46)</f>
        <v>0</v>
      </c>
      <c r="X44" s="37">
        <f>SUM(X45:X46)</f>
        <v>44025.75</v>
      </c>
      <c r="Y44" s="37">
        <f>SUM(Y45:Y46)</f>
        <v>0</v>
      </c>
      <c r="Z44" s="37">
        <f t="shared" si="16"/>
        <v>44025.75</v>
      </c>
      <c r="AA44" s="37">
        <f>SUM(AA45:AA46)</f>
        <v>0</v>
      </c>
      <c r="AB44" s="37">
        <f>SUM(AB45:AB46)</f>
        <v>2619570.0599999996</v>
      </c>
      <c r="AC44" s="37">
        <f>SUM(AC45:AC46)</f>
        <v>0</v>
      </c>
      <c r="AD44" s="37">
        <f t="shared" si="17"/>
        <v>2619570.0599999996</v>
      </c>
      <c r="AE44" s="37">
        <f t="shared" si="18"/>
        <v>0</v>
      </c>
      <c r="AF44" s="37">
        <f t="shared" si="19"/>
        <v>2663595.8099999996</v>
      </c>
      <c r="AG44" s="37">
        <f t="shared" si="20"/>
        <v>0</v>
      </c>
      <c r="AH44" s="37">
        <f t="shared" si="21"/>
        <v>2663595.8099999996</v>
      </c>
      <c r="AI44" s="37">
        <f t="shared" si="22"/>
        <v>0</v>
      </c>
      <c r="AJ44" s="37">
        <f t="shared" si="23"/>
        <v>6645.4500000001863</v>
      </c>
      <c r="AK44" s="37">
        <f t="shared" si="24"/>
        <v>0</v>
      </c>
      <c r="AL44" s="37">
        <f t="shared" si="25"/>
        <v>6645.4500000001863</v>
      </c>
      <c r="AM44" s="602" t="str">
        <f t="shared" si="1"/>
        <v xml:space="preserve"> </v>
      </c>
      <c r="AN44" s="602">
        <f t="shared" si="2"/>
        <v>0.99751129229424007</v>
      </c>
      <c r="AO44" s="602" t="str">
        <f t="shared" si="3"/>
        <v xml:space="preserve"> </v>
      </c>
      <c r="AP44" s="602">
        <f t="shared" si="4"/>
        <v>0.99751129229424007</v>
      </c>
    </row>
    <row r="45" spans="1:44" s="16" customFormat="1" ht="12.75">
      <c r="A45" s="587" t="s">
        <v>931</v>
      </c>
      <c r="B45" s="581" t="s">
        <v>914</v>
      </c>
      <c r="C45" s="579">
        <f>+'CONAP-FUR (REG)-Detail'!C22</f>
        <v>0</v>
      </c>
      <c r="D45" s="579">
        <f>+'CONAP-FUR (REG)-Detail'!D22</f>
        <v>90220.610000000102</v>
      </c>
      <c r="E45" s="579">
        <f>+'CONAP-FUR (REG)-Detail'!E22</f>
        <v>0</v>
      </c>
      <c r="F45" s="579">
        <f t="shared" si="5"/>
        <v>90220.610000000102</v>
      </c>
      <c r="G45" s="579">
        <f>+'CONAP-FUR (REG)-Detail'!G22</f>
        <v>0</v>
      </c>
      <c r="H45" s="579">
        <f>+'CONAP-FUR (REG)-Detail'!H22</f>
        <v>-65000</v>
      </c>
      <c r="I45" s="579">
        <f>+'CONAP-FUR (REG)-Detail'!I22</f>
        <v>0</v>
      </c>
      <c r="J45" s="579">
        <f t="shared" si="6"/>
        <v>-65000</v>
      </c>
      <c r="K45" s="579">
        <f>+'CONAP-FUR (REG)-Detail'!K22</f>
        <v>0</v>
      </c>
      <c r="L45" s="579">
        <f>+'CONAP-FUR (REG)-Detail'!L22</f>
        <v>0</v>
      </c>
      <c r="M45" s="579">
        <f>+'CONAP-FUR (REG)-Detail'!M22</f>
        <v>0</v>
      </c>
      <c r="N45" s="579">
        <f t="shared" si="7"/>
        <v>0</v>
      </c>
      <c r="O45" s="579">
        <f t="shared" si="8"/>
        <v>0</v>
      </c>
      <c r="P45" s="579">
        <f t="shared" si="9"/>
        <v>-65000</v>
      </c>
      <c r="Q45" s="579">
        <f t="shared" si="10"/>
        <v>0</v>
      </c>
      <c r="R45" s="579">
        <f t="shared" si="11"/>
        <v>-65000</v>
      </c>
      <c r="S45" s="579">
        <f t="shared" si="12"/>
        <v>0</v>
      </c>
      <c r="T45" s="579">
        <f t="shared" si="13"/>
        <v>25220.610000000102</v>
      </c>
      <c r="U45" s="579">
        <f t="shared" si="14"/>
        <v>0</v>
      </c>
      <c r="V45" s="579">
        <f t="shared" si="15"/>
        <v>25220.610000000102</v>
      </c>
      <c r="W45" s="579">
        <f>+'CONAP-FUR (REG)-Detail'!W22</f>
        <v>0</v>
      </c>
      <c r="X45" s="579">
        <f>+'CONAP-FUR (REG)-Detail'!X22</f>
        <v>24025.75</v>
      </c>
      <c r="Y45" s="579">
        <f>+'CONAP-FUR (REG)-Detail'!Y22</f>
        <v>0</v>
      </c>
      <c r="Z45" s="579">
        <f t="shared" si="16"/>
        <v>24025.75</v>
      </c>
      <c r="AA45" s="579">
        <f>+'CONAP-FUR (REG)-Detail'!AA22</f>
        <v>0</v>
      </c>
      <c r="AB45" s="579">
        <f>+'CONAP-FUR (REG)-Detail'!AB22</f>
        <v>0</v>
      </c>
      <c r="AC45" s="579">
        <f>+'CONAP-FUR (REG)-Detail'!AC22</f>
        <v>0</v>
      </c>
      <c r="AD45" s="579">
        <f t="shared" si="17"/>
        <v>0</v>
      </c>
      <c r="AE45" s="579">
        <f t="shared" si="18"/>
        <v>0</v>
      </c>
      <c r="AF45" s="579">
        <f t="shared" si="19"/>
        <v>24025.75</v>
      </c>
      <c r="AG45" s="579">
        <f t="shared" si="20"/>
        <v>0</v>
      </c>
      <c r="AH45" s="579">
        <f t="shared" si="21"/>
        <v>24025.75</v>
      </c>
      <c r="AI45" s="579">
        <f t="shared" si="22"/>
        <v>0</v>
      </c>
      <c r="AJ45" s="579">
        <f t="shared" si="23"/>
        <v>1194.8600000001024</v>
      </c>
      <c r="AK45" s="579">
        <f t="shared" si="24"/>
        <v>0</v>
      </c>
      <c r="AL45" s="579">
        <f t="shared" si="25"/>
        <v>1194.8600000001024</v>
      </c>
      <c r="AM45" s="603" t="str">
        <f t="shared" si="1"/>
        <v xml:space="preserve"> </v>
      </c>
      <c r="AN45" s="603">
        <f t="shared" si="2"/>
        <v>0.95262366770668527</v>
      </c>
      <c r="AO45" s="603" t="str">
        <f t="shared" si="3"/>
        <v xml:space="preserve"> </v>
      </c>
      <c r="AP45" s="603">
        <f t="shared" si="4"/>
        <v>0.95262366770668527</v>
      </c>
    </row>
    <row r="46" spans="1:44" s="16" customFormat="1" ht="12.75">
      <c r="A46" s="587" t="s">
        <v>931</v>
      </c>
      <c r="B46" s="581" t="s">
        <v>750</v>
      </c>
      <c r="C46" s="579">
        <f>+'CONAP-FUR (REG)-Detail'!C81</f>
        <v>0</v>
      </c>
      <c r="D46" s="579">
        <f>+'CONAP-FUR (REG)-Detail'!D81</f>
        <v>23959.56</v>
      </c>
      <c r="E46" s="579">
        <f>+'CONAP-FUR (REG)-Detail'!E81</f>
        <v>0</v>
      </c>
      <c r="F46" s="579">
        <f t="shared" si="5"/>
        <v>23959.56</v>
      </c>
      <c r="G46" s="579">
        <f>+'CONAP-FUR (REG)-Detail'!G81</f>
        <v>0</v>
      </c>
      <c r="H46" s="579">
        <f>+'CONAP-FUR (REG)-Detail'!H81</f>
        <v>0</v>
      </c>
      <c r="I46" s="579">
        <f>+'CONAP-FUR (REG)-Detail'!I81</f>
        <v>0</v>
      </c>
      <c r="J46" s="579">
        <f t="shared" si="6"/>
        <v>0</v>
      </c>
      <c r="K46" s="579">
        <f>+'CONAP-FUR (REG)-Detail'!K81</f>
        <v>0</v>
      </c>
      <c r="L46" s="579">
        <f>+'CONAP-FUR (REG)-Detail'!L81</f>
        <v>2621061.09</v>
      </c>
      <c r="M46" s="579">
        <f>+'CONAP-FUR (REG)-Detail'!M81</f>
        <v>0</v>
      </c>
      <c r="N46" s="579">
        <f t="shared" si="7"/>
        <v>2621061.09</v>
      </c>
      <c r="O46" s="579">
        <f t="shared" si="8"/>
        <v>0</v>
      </c>
      <c r="P46" s="579">
        <f t="shared" si="9"/>
        <v>2621061.09</v>
      </c>
      <c r="Q46" s="579">
        <f t="shared" si="10"/>
        <v>0</v>
      </c>
      <c r="R46" s="579">
        <f t="shared" si="11"/>
        <v>2621061.09</v>
      </c>
      <c r="S46" s="579">
        <f t="shared" si="12"/>
        <v>0</v>
      </c>
      <c r="T46" s="579">
        <f t="shared" si="13"/>
        <v>2645020.65</v>
      </c>
      <c r="U46" s="579">
        <f t="shared" si="14"/>
        <v>0</v>
      </c>
      <c r="V46" s="579">
        <f t="shared" si="15"/>
        <v>2645020.65</v>
      </c>
      <c r="W46" s="579">
        <f>+'CONAP-FUR (REG)-Detail'!W81</f>
        <v>0</v>
      </c>
      <c r="X46" s="579">
        <f>+'CONAP-FUR (REG)-Detail'!X81</f>
        <v>20000</v>
      </c>
      <c r="Y46" s="579">
        <f>+'CONAP-FUR (REG)-Detail'!Y81</f>
        <v>0</v>
      </c>
      <c r="Z46" s="579">
        <f t="shared" si="16"/>
        <v>20000</v>
      </c>
      <c r="AA46" s="579">
        <f>+'CONAP-FUR (REG)-Detail'!AA81</f>
        <v>0</v>
      </c>
      <c r="AB46" s="579">
        <f>+'CONAP-FUR (REG)-Detail'!AB81</f>
        <v>2619570.0599999996</v>
      </c>
      <c r="AC46" s="579">
        <f>+'CONAP-FUR (REG)-Detail'!AC81</f>
        <v>0</v>
      </c>
      <c r="AD46" s="579">
        <f t="shared" si="17"/>
        <v>2619570.0599999996</v>
      </c>
      <c r="AE46" s="579">
        <f t="shared" si="18"/>
        <v>0</v>
      </c>
      <c r="AF46" s="579">
        <f t="shared" si="19"/>
        <v>2639570.0599999996</v>
      </c>
      <c r="AG46" s="579">
        <f t="shared" si="20"/>
        <v>0</v>
      </c>
      <c r="AH46" s="579">
        <f t="shared" si="21"/>
        <v>2639570.0599999996</v>
      </c>
      <c r="AI46" s="579">
        <f t="shared" si="22"/>
        <v>0</v>
      </c>
      <c r="AJ46" s="579">
        <f t="shared" si="23"/>
        <v>5450.5900000003166</v>
      </c>
      <c r="AK46" s="579">
        <f t="shared" si="24"/>
        <v>0</v>
      </c>
      <c r="AL46" s="579">
        <f t="shared" si="25"/>
        <v>5450.5900000003166</v>
      </c>
      <c r="AM46" s="603" t="str">
        <f t="shared" si="1"/>
        <v xml:space="preserve"> </v>
      </c>
      <c r="AN46" s="603">
        <f t="shared" si="2"/>
        <v>0.99793930153248511</v>
      </c>
      <c r="AO46" s="603" t="str">
        <f t="shared" si="3"/>
        <v xml:space="preserve"> </v>
      </c>
      <c r="AP46" s="603">
        <f t="shared" si="4"/>
        <v>0.99793930153248511</v>
      </c>
    </row>
    <row r="47" spans="1:44" s="24" customFormat="1" ht="18">
      <c r="B47" s="21"/>
      <c r="C47" s="22"/>
      <c r="D47" s="22"/>
      <c r="E47" s="22"/>
      <c r="F47" s="22">
        <f t="shared" si="5"/>
        <v>0</v>
      </c>
      <c r="G47" s="22"/>
      <c r="H47" s="22"/>
      <c r="I47" s="22"/>
      <c r="J47" s="22">
        <f t="shared" si="6"/>
        <v>0</v>
      </c>
      <c r="K47" s="22"/>
      <c r="L47" s="22"/>
      <c r="M47" s="22"/>
      <c r="N47" s="22">
        <f t="shared" si="7"/>
        <v>0</v>
      </c>
      <c r="O47" s="22">
        <f t="shared" si="8"/>
        <v>0</v>
      </c>
      <c r="P47" s="22">
        <f t="shared" si="9"/>
        <v>0</v>
      </c>
      <c r="Q47" s="22">
        <f t="shared" si="10"/>
        <v>0</v>
      </c>
      <c r="R47" s="22">
        <f t="shared" si="11"/>
        <v>0</v>
      </c>
      <c r="S47" s="22">
        <f t="shared" si="12"/>
        <v>0</v>
      </c>
      <c r="T47" s="22">
        <f t="shared" si="13"/>
        <v>0</v>
      </c>
      <c r="U47" s="22">
        <f t="shared" si="14"/>
        <v>0</v>
      </c>
      <c r="V47" s="22">
        <f t="shared" si="15"/>
        <v>0</v>
      </c>
      <c r="W47" s="22"/>
      <c r="X47" s="22"/>
      <c r="Y47" s="22"/>
      <c r="Z47" s="22">
        <f t="shared" si="16"/>
        <v>0</v>
      </c>
      <c r="AA47" s="22"/>
      <c r="AB47" s="22"/>
      <c r="AC47" s="22"/>
      <c r="AD47" s="22">
        <f t="shared" si="17"/>
        <v>0</v>
      </c>
      <c r="AE47" s="22">
        <f t="shared" si="18"/>
        <v>0</v>
      </c>
      <c r="AF47" s="22">
        <f t="shared" si="19"/>
        <v>0</v>
      </c>
      <c r="AG47" s="22">
        <f t="shared" si="20"/>
        <v>0</v>
      </c>
      <c r="AH47" s="22">
        <f t="shared" si="21"/>
        <v>0</v>
      </c>
      <c r="AI47" s="22">
        <f t="shared" si="22"/>
        <v>0</v>
      </c>
      <c r="AJ47" s="22">
        <f t="shared" si="23"/>
        <v>0</v>
      </c>
      <c r="AK47" s="22">
        <f t="shared" si="24"/>
        <v>0</v>
      </c>
      <c r="AL47" s="22">
        <f t="shared" si="25"/>
        <v>0</v>
      </c>
      <c r="AM47" s="598" t="str">
        <f t="shared" ref="AM47:AM73" si="27">IF(S47=0," ",AE47/S47)</f>
        <v xml:space="preserve"> </v>
      </c>
      <c r="AN47" s="598" t="str">
        <f t="shared" ref="AN47:AN73" si="28">IF(T47=0," ",AF47/T47)</f>
        <v xml:space="preserve"> </v>
      </c>
      <c r="AO47" s="598" t="str">
        <f t="shared" ref="AO47:AO73" si="29">IF(U47=0," ",AG47/U47)</f>
        <v xml:space="preserve"> </v>
      </c>
      <c r="AP47" s="598" t="str">
        <f t="shared" ref="AP47:AP73" si="30">IF(V47=0," ",AH47/V47)</f>
        <v xml:space="preserve"> </v>
      </c>
    </row>
    <row r="48" spans="1:44" s="24" customFormat="1" ht="18">
      <c r="B48" s="594" t="s">
        <v>952</v>
      </c>
      <c r="C48" s="22">
        <f>+'CONAP-FUR (REG)-Detail'!C70</f>
        <v>0</v>
      </c>
      <c r="D48" s="22">
        <f>+'CONAP-FUR (REG)-Detail'!D70</f>
        <v>87991891.479999989</v>
      </c>
      <c r="E48" s="22">
        <f>+'CONAP-FUR (REG)-Detail'!E70</f>
        <v>0</v>
      </c>
      <c r="F48" s="22">
        <f t="shared" si="5"/>
        <v>87991891.479999989</v>
      </c>
      <c r="G48" s="22">
        <f>+'CONAP-FUR (REG)-Detail'!G70</f>
        <v>0</v>
      </c>
      <c r="H48" s="22">
        <f>+'CONAP-FUR (REG)-Detail'!H70</f>
        <v>0</v>
      </c>
      <c r="I48" s="22">
        <f>+'CONAP-FUR (REG)-Detail'!I70</f>
        <v>0</v>
      </c>
      <c r="J48" s="22">
        <f t="shared" si="6"/>
        <v>0</v>
      </c>
      <c r="K48" s="22">
        <f>+'CONAP-FUR (REG)-Detail'!K70</f>
        <v>0</v>
      </c>
      <c r="L48" s="22">
        <f>+'CONAP-FUR (REG)-Detail'!L70</f>
        <v>0</v>
      </c>
      <c r="M48" s="22">
        <f>+'CONAP-FUR (REG)-Detail'!M70</f>
        <v>0</v>
      </c>
      <c r="N48" s="22">
        <f t="shared" si="7"/>
        <v>0</v>
      </c>
      <c r="O48" s="22">
        <f t="shared" si="8"/>
        <v>0</v>
      </c>
      <c r="P48" s="22">
        <f t="shared" si="9"/>
        <v>0</v>
      </c>
      <c r="Q48" s="22">
        <f t="shared" si="10"/>
        <v>0</v>
      </c>
      <c r="R48" s="22">
        <f t="shared" si="11"/>
        <v>0</v>
      </c>
      <c r="S48" s="22">
        <f t="shared" si="12"/>
        <v>0</v>
      </c>
      <c r="T48" s="22">
        <f t="shared" si="13"/>
        <v>87991891.479999989</v>
      </c>
      <c r="U48" s="22">
        <f t="shared" si="14"/>
        <v>0</v>
      </c>
      <c r="V48" s="22">
        <f t="shared" si="15"/>
        <v>87991891.479999989</v>
      </c>
      <c r="W48" s="22">
        <f>+'CONAP-FUR (REG)-Detail'!W70</f>
        <v>0</v>
      </c>
      <c r="X48" s="22">
        <f>+'CONAP-FUR (REG)-Detail'!X70</f>
        <v>61057203.469999991</v>
      </c>
      <c r="Y48" s="22">
        <f>+'CONAP-FUR (REG)-Detail'!Y70</f>
        <v>0</v>
      </c>
      <c r="Z48" s="22">
        <f t="shared" si="16"/>
        <v>61057203.469999991</v>
      </c>
      <c r="AA48" s="22">
        <f>+'CONAP-FUR (REG)-Detail'!AA70</f>
        <v>0</v>
      </c>
      <c r="AB48" s="22">
        <f>+'CONAP-FUR (REG)-Detail'!AB70</f>
        <v>0</v>
      </c>
      <c r="AC48" s="22">
        <f>+'CONAP-FUR (REG)-Detail'!AC70</f>
        <v>0</v>
      </c>
      <c r="AD48" s="22">
        <f t="shared" si="17"/>
        <v>0</v>
      </c>
      <c r="AE48" s="22">
        <f t="shared" si="18"/>
        <v>0</v>
      </c>
      <c r="AF48" s="22">
        <f t="shared" si="19"/>
        <v>61057203.469999991</v>
      </c>
      <c r="AG48" s="22">
        <f t="shared" si="20"/>
        <v>0</v>
      </c>
      <c r="AH48" s="22">
        <f t="shared" si="21"/>
        <v>61057203.469999991</v>
      </c>
      <c r="AI48" s="22">
        <f t="shared" si="22"/>
        <v>0</v>
      </c>
      <c r="AJ48" s="22">
        <f t="shared" si="23"/>
        <v>26934688.009999998</v>
      </c>
      <c r="AK48" s="22">
        <f t="shared" si="24"/>
        <v>0</v>
      </c>
      <c r="AL48" s="22">
        <f t="shared" si="25"/>
        <v>26934688.009999998</v>
      </c>
      <c r="AM48" s="598" t="str">
        <f t="shared" si="27"/>
        <v xml:space="preserve"> </v>
      </c>
      <c r="AN48" s="598">
        <f t="shared" si="28"/>
        <v>0.69389579474920049</v>
      </c>
      <c r="AO48" s="598" t="str">
        <f t="shared" si="29"/>
        <v xml:space="preserve"> </v>
      </c>
      <c r="AP48" s="598">
        <f t="shared" si="30"/>
        <v>0.69389579474920049</v>
      </c>
      <c r="AR48" s="824">
        <f>+AL48-'CONAP (ALL FUNDS)'!Q1276</f>
        <v>0</v>
      </c>
    </row>
    <row r="49" spans="1:44" s="24" customFormat="1" ht="18">
      <c r="B49" s="21"/>
      <c r="C49" s="22"/>
      <c r="D49" s="22"/>
      <c r="E49" s="22"/>
      <c r="F49" s="22">
        <f t="shared" si="5"/>
        <v>0</v>
      </c>
      <c r="G49" s="22"/>
      <c r="H49" s="22"/>
      <c r="I49" s="22"/>
      <c r="J49" s="22">
        <f t="shared" si="6"/>
        <v>0</v>
      </c>
      <c r="K49" s="22"/>
      <c r="L49" s="22"/>
      <c r="M49" s="22"/>
      <c r="N49" s="22">
        <f t="shared" si="7"/>
        <v>0</v>
      </c>
      <c r="O49" s="22">
        <f t="shared" si="8"/>
        <v>0</v>
      </c>
      <c r="P49" s="22">
        <f t="shared" si="9"/>
        <v>0</v>
      </c>
      <c r="Q49" s="22">
        <f t="shared" si="10"/>
        <v>0</v>
      </c>
      <c r="R49" s="22">
        <f t="shared" si="11"/>
        <v>0</v>
      </c>
      <c r="S49" s="22">
        <f t="shared" si="12"/>
        <v>0</v>
      </c>
      <c r="T49" s="22">
        <f t="shared" si="13"/>
        <v>0</v>
      </c>
      <c r="U49" s="22">
        <f t="shared" si="14"/>
        <v>0</v>
      </c>
      <c r="V49" s="22">
        <f t="shared" si="15"/>
        <v>0</v>
      </c>
      <c r="W49" s="22"/>
      <c r="X49" s="22"/>
      <c r="Y49" s="22"/>
      <c r="Z49" s="22">
        <f t="shared" si="16"/>
        <v>0</v>
      </c>
      <c r="AA49" s="22"/>
      <c r="AB49" s="22"/>
      <c r="AC49" s="22"/>
      <c r="AD49" s="22">
        <f t="shared" si="17"/>
        <v>0</v>
      </c>
      <c r="AE49" s="22">
        <f t="shared" si="18"/>
        <v>0</v>
      </c>
      <c r="AF49" s="22">
        <f t="shared" si="19"/>
        <v>0</v>
      </c>
      <c r="AG49" s="22">
        <f t="shared" si="20"/>
        <v>0</v>
      </c>
      <c r="AH49" s="22">
        <f t="shared" si="21"/>
        <v>0</v>
      </c>
      <c r="AI49" s="22">
        <f t="shared" si="22"/>
        <v>0</v>
      </c>
      <c r="AJ49" s="22">
        <f t="shared" si="23"/>
        <v>0</v>
      </c>
      <c r="AK49" s="22">
        <f t="shared" si="24"/>
        <v>0</v>
      </c>
      <c r="AL49" s="22">
        <f t="shared" si="25"/>
        <v>0</v>
      </c>
      <c r="AM49" s="599" t="str">
        <f t="shared" si="27"/>
        <v xml:space="preserve"> </v>
      </c>
      <c r="AN49" s="599" t="str">
        <f t="shared" si="28"/>
        <v xml:space="preserve"> </v>
      </c>
      <c r="AO49" s="599" t="str">
        <f t="shared" si="29"/>
        <v xml:space="preserve"> </v>
      </c>
      <c r="AP49" s="599" t="str">
        <f t="shared" si="30"/>
        <v xml:space="preserve"> </v>
      </c>
    </row>
    <row r="50" spans="1:44" s="607" customFormat="1" ht="18">
      <c r="B50" s="25" t="s">
        <v>435</v>
      </c>
      <c r="C50" s="22" t="e">
        <f>+C51+C58+C64+C69</f>
        <v>#REF!</v>
      </c>
      <c r="D50" s="22" t="e">
        <f>+D51+D58+D64+D69</f>
        <v>#REF!</v>
      </c>
      <c r="E50" s="22" t="e">
        <f>+E51+E58+E64+E69</f>
        <v>#REF!</v>
      </c>
      <c r="F50" s="22" t="e">
        <f t="shared" si="5"/>
        <v>#REF!</v>
      </c>
      <c r="G50" s="22" t="e">
        <f>+G51+G58+G64+G69</f>
        <v>#REF!</v>
      </c>
      <c r="H50" s="22" t="e">
        <f>+H51+H58+H64+H69</f>
        <v>#REF!</v>
      </c>
      <c r="I50" s="22" t="e">
        <f>+I51+I58+I64+I69</f>
        <v>#REF!</v>
      </c>
      <c r="J50" s="22" t="e">
        <f t="shared" si="6"/>
        <v>#REF!</v>
      </c>
      <c r="K50" s="22" t="e">
        <f>+K51+K58+K64+K69</f>
        <v>#REF!</v>
      </c>
      <c r="L50" s="22" t="e">
        <f>+L51+L58+L64+L69</f>
        <v>#REF!</v>
      </c>
      <c r="M50" s="22" t="e">
        <f>+M51+M58+M64+M69</f>
        <v>#REF!</v>
      </c>
      <c r="N50" s="22" t="e">
        <f t="shared" si="7"/>
        <v>#REF!</v>
      </c>
      <c r="O50" s="22" t="e">
        <f t="shared" si="8"/>
        <v>#REF!</v>
      </c>
      <c r="P50" s="22" t="e">
        <f t="shared" si="9"/>
        <v>#REF!</v>
      </c>
      <c r="Q50" s="22" t="e">
        <f t="shared" si="10"/>
        <v>#REF!</v>
      </c>
      <c r="R50" s="22" t="e">
        <f t="shared" si="11"/>
        <v>#REF!</v>
      </c>
      <c r="S50" s="22" t="e">
        <f t="shared" si="12"/>
        <v>#REF!</v>
      </c>
      <c r="T50" s="22" t="e">
        <f t="shared" si="13"/>
        <v>#REF!</v>
      </c>
      <c r="U50" s="22" t="e">
        <f t="shared" si="14"/>
        <v>#REF!</v>
      </c>
      <c r="V50" s="22" t="e">
        <f t="shared" si="15"/>
        <v>#REF!</v>
      </c>
      <c r="W50" s="22" t="e">
        <f>+W51+W58+W64+W69</f>
        <v>#REF!</v>
      </c>
      <c r="X50" s="22" t="e">
        <f>+X51+X58+X64+X69</f>
        <v>#REF!</v>
      </c>
      <c r="Y50" s="22" t="e">
        <f>+Y51+Y58+Y64+Y69</f>
        <v>#REF!</v>
      </c>
      <c r="Z50" s="22" t="e">
        <f t="shared" si="16"/>
        <v>#REF!</v>
      </c>
      <c r="AA50" s="22" t="e">
        <f>+AA51+AA58+AA64+AA69</f>
        <v>#REF!</v>
      </c>
      <c r="AB50" s="22" t="e">
        <f>+AB51+AB58+AB64+AB69</f>
        <v>#REF!</v>
      </c>
      <c r="AC50" s="22" t="e">
        <f>+AC51+AC58+AC64+AC69</f>
        <v>#REF!</v>
      </c>
      <c r="AD50" s="22" t="e">
        <f t="shared" si="17"/>
        <v>#REF!</v>
      </c>
      <c r="AE50" s="22" t="e">
        <f t="shared" si="18"/>
        <v>#REF!</v>
      </c>
      <c r="AF50" s="22" t="e">
        <f t="shared" si="19"/>
        <v>#REF!</v>
      </c>
      <c r="AG50" s="22" t="e">
        <f t="shared" si="20"/>
        <v>#REF!</v>
      </c>
      <c r="AH50" s="22" t="e">
        <f t="shared" si="21"/>
        <v>#REF!</v>
      </c>
      <c r="AI50" s="22" t="e">
        <f t="shared" si="22"/>
        <v>#REF!</v>
      </c>
      <c r="AJ50" s="22" t="e">
        <f t="shared" si="23"/>
        <v>#REF!</v>
      </c>
      <c r="AK50" s="22" t="e">
        <f t="shared" si="24"/>
        <v>#REF!</v>
      </c>
      <c r="AL50" s="22" t="e">
        <f t="shared" si="25"/>
        <v>#REF!</v>
      </c>
      <c r="AM50" s="606" t="e">
        <f t="shared" si="27"/>
        <v>#REF!</v>
      </c>
      <c r="AN50" s="606" t="e">
        <f t="shared" si="28"/>
        <v>#REF!</v>
      </c>
      <c r="AO50" s="606" t="e">
        <f t="shared" si="29"/>
        <v>#REF!</v>
      </c>
      <c r="AP50" s="606" t="e">
        <f t="shared" si="30"/>
        <v>#REF!</v>
      </c>
      <c r="AR50" s="826" t="e">
        <f>+'CONAP (ALL FUNDS)'!Q1293+'CONAP (ALL FUNDS)'!Q1299+'CONAP (ALL FUNDS)'!Q1308-AL50</f>
        <v>#REF!</v>
      </c>
    </row>
    <row r="51" spans="1:44" s="609" customFormat="1" ht="16.5">
      <c r="A51" s="586" t="s">
        <v>939</v>
      </c>
      <c r="B51" s="595" t="s">
        <v>436</v>
      </c>
      <c r="C51" s="37" t="e">
        <f>SUM(C53:C56)</f>
        <v>#REF!</v>
      </c>
      <c r="D51" s="37" t="e">
        <f>SUM(D52:D56)</f>
        <v>#REF!</v>
      </c>
      <c r="E51" s="37" t="e">
        <f>SUM(E52:E56)</f>
        <v>#REF!</v>
      </c>
      <c r="F51" s="37" t="e">
        <f t="shared" si="5"/>
        <v>#REF!</v>
      </c>
      <c r="G51" s="37" t="e">
        <f>SUM(G53:G56)</f>
        <v>#REF!</v>
      </c>
      <c r="H51" s="37" t="e">
        <f>SUM(H52:H56)</f>
        <v>#REF!</v>
      </c>
      <c r="I51" s="37" t="e">
        <f>SUM(I52:I56)</f>
        <v>#REF!</v>
      </c>
      <c r="J51" s="37" t="e">
        <f t="shared" si="6"/>
        <v>#REF!</v>
      </c>
      <c r="K51" s="37" t="e">
        <f>SUM(K53:K56)</f>
        <v>#REF!</v>
      </c>
      <c r="L51" s="37" t="e">
        <f>SUM(L52:L56)</f>
        <v>#REF!</v>
      </c>
      <c r="M51" s="37" t="e">
        <f>SUM(M52:M56)</f>
        <v>#REF!</v>
      </c>
      <c r="N51" s="37" t="e">
        <f t="shared" si="7"/>
        <v>#REF!</v>
      </c>
      <c r="O51" s="37" t="e">
        <f t="shared" si="8"/>
        <v>#REF!</v>
      </c>
      <c r="P51" s="37" t="e">
        <f t="shared" si="9"/>
        <v>#REF!</v>
      </c>
      <c r="Q51" s="37" t="e">
        <f t="shared" si="10"/>
        <v>#REF!</v>
      </c>
      <c r="R51" s="37" t="e">
        <f t="shared" si="11"/>
        <v>#REF!</v>
      </c>
      <c r="S51" s="37" t="e">
        <f t="shared" si="12"/>
        <v>#REF!</v>
      </c>
      <c r="T51" s="37" t="e">
        <f t="shared" si="13"/>
        <v>#REF!</v>
      </c>
      <c r="U51" s="37" t="e">
        <f t="shared" si="14"/>
        <v>#REF!</v>
      </c>
      <c r="V51" s="37" t="e">
        <f t="shared" si="15"/>
        <v>#REF!</v>
      </c>
      <c r="W51" s="37" t="e">
        <f>SUM(W53:W56)</f>
        <v>#REF!</v>
      </c>
      <c r="X51" s="37" t="e">
        <f>SUM(X52:X56)</f>
        <v>#REF!</v>
      </c>
      <c r="Y51" s="37" t="e">
        <f>SUM(Y52:Y56)</f>
        <v>#REF!</v>
      </c>
      <c r="Z51" s="37" t="e">
        <f t="shared" si="16"/>
        <v>#REF!</v>
      </c>
      <c r="AA51" s="37" t="e">
        <f>SUM(AA53:AA56)</f>
        <v>#REF!</v>
      </c>
      <c r="AB51" s="37" t="e">
        <f>SUM(AB52:AB56)</f>
        <v>#REF!</v>
      </c>
      <c r="AC51" s="37" t="e">
        <f>SUM(AC52:AC56)</f>
        <v>#REF!</v>
      </c>
      <c r="AD51" s="37" t="e">
        <f t="shared" si="17"/>
        <v>#REF!</v>
      </c>
      <c r="AE51" s="37" t="e">
        <f t="shared" si="18"/>
        <v>#REF!</v>
      </c>
      <c r="AF51" s="37" t="e">
        <f t="shared" si="19"/>
        <v>#REF!</v>
      </c>
      <c r="AG51" s="37" t="e">
        <f t="shared" si="20"/>
        <v>#REF!</v>
      </c>
      <c r="AH51" s="37" t="e">
        <f t="shared" si="21"/>
        <v>#REF!</v>
      </c>
      <c r="AI51" s="37" t="e">
        <f t="shared" si="22"/>
        <v>#REF!</v>
      </c>
      <c r="AJ51" s="37" t="e">
        <f t="shared" si="23"/>
        <v>#REF!</v>
      </c>
      <c r="AK51" s="37" t="e">
        <f t="shared" si="24"/>
        <v>#REF!</v>
      </c>
      <c r="AL51" s="37" t="e">
        <f t="shared" si="25"/>
        <v>#REF!</v>
      </c>
      <c r="AM51" s="597" t="e">
        <f t="shared" si="27"/>
        <v>#REF!</v>
      </c>
      <c r="AN51" s="608" t="e">
        <f t="shared" si="28"/>
        <v>#REF!</v>
      </c>
      <c r="AO51" s="608" t="e">
        <f t="shared" si="29"/>
        <v>#REF!</v>
      </c>
      <c r="AP51" s="608" t="e">
        <f t="shared" si="30"/>
        <v>#REF!</v>
      </c>
    </row>
    <row r="52" spans="1:44" s="16" customFormat="1">
      <c r="A52" s="586" t="s">
        <v>939</v>
      </c>
      <c r="B52" s="596" t="s">
        <v>441</v>
      </c>
      <c r="C52" s="40">
        <f>+'CONAP-FUR (REG)-Detail'!C83</f>
        <v>0</v>
      </c>
      <c r="D52" s="40">
        <f>+'CONAP-FUR (REG)-Detail'!D83</f>
        <v>6123853.1400000006</v>
      </c>
      <c r="E52" s="40">
        <f>+'CONAP-FUR (REG)-Detail'!E83</f>
        <v>95305000</v>
      </c>
      <c r="F52" s="40">
        <f t="shared" si="5"/>
        <v>101428853.14</v>
      </c>
      <c r="G52" s="40">
        <f>+'CONAP-FUR (REG)-Detail'!G83</f>
        <v>0</v>
      </c>
      <c r="H52" s="40">
        <f>+'CONAP-FUR (REG)-Detail'!H83</f>
        <v>6749570.5700000003</v>
      </c>
      <c r="I52" s="40">
        <f>+'CONAP-FUR (REG)-Detail'!I83</f>
        <v>12962675</v>
      </c>
      <c r="J52" s="40">
        <f t="shared" si="6"/>
        <v>19712245.57</v>
      </c>
      <c r="K52" s="40">
        <f>+'CONAP-FUR (REG)-Detail'!K83</f>
        <v>0</v>
      </c>
      <c r="L52" s="40">
        <f>+'CONAP-FUR (REG)-Detail'!L83</f>
        <v>105665710.47000001</v>
      </c>
      <c r="M52" s="40">
        <f>+'CONAP-FUR (REG)-Detail'!M83</f>
        <v>0</v>
      </c>
      <c r="N52" s="40">
        <f t="shared" si="7"/>
        <v>105665710.47000001</v>
      </c>
      <c r="O52" s="40">
        <f t="shared" si="8"/>
        <v>0</v>
      </c>
      <c r="P52" s="40">
        <f t="shared" si="9"/>
        <v>112415281.04000002</v>
      </c>
      <c r="Q52" s="40">
        <f t="shared" si="10"/>
        <v>12962675</v>
      </c>
      <c r="R52" s="40">
        <f t="shared" si="11"/>
        <v>125377956.04000002</v>
      </c>
      <c r="S52" s="40">
        <f t="shared" si="12"/>
        <v>0</v>
      </c>
      <c r="T52" s="40">
        <f t="shared" si="13"/>
        <v>118539134.18000002</v>
      </c>
      <c r="U52" s="40">
        <f t="shared" si="14"/>
        <v>108267675</v>
      </c>
      <c r="V52" s="40">
        <f t="shared" si="15"/>
        <v>226806809.18000001</v>
      </c>
      <c r="W52" s="40">
        <f>+'CONAP-FUR (REG)-Detail'!W83</f>
        <v>0</v>
      </c>
      <c r="X52" s="40">
        <f>+'CONAP-FUR (REG)-Detail'!X83</f>
        <v>6121486.0300000003</v>
      </c>
      <c r="Y52" s="40">
        <f>+'CONAP-FUR (REG)-Detail'!Y83</f>
        <v>45150623</v>
      </c>
      <c r="Z52" s="40">
        <f t="shared" si="16"/>
        <v>51272109.030000001</v>
      </c>
      <c r="AA52" s="40">
        <f>+'CONAP-FUR (REG)-Detail'!AA83</f>
        <v>0</v>
      </c>
      <c r="AB52" s="40">
        <f>+'CONAP-FUR (REG)-Detail'!AB83</f>
        <v>98959914.810000002</v>
      </c>
      <c r="AC52" s="40">
        <f>+'CONAP-FUR (REG)-Detail'!AC83</f>
        <v>12952075</v>
      </c>
      <c r="AD52" s="40">
        <f t="shared" si="17"/>
        <v>111911989.81</v>
      </c>
      <c r="AE52" s="40">
        <f t="shared" si="18"/>
        <v>0</v>
      </c>
      <c r="AF52" s="40">
        <f t="shared" si="19"/>
        <v>105081400.84</v>
      </c>
      <c r="AG52" s="40">
        <f t="shared" si="20"/>
        <v>58102698</v>
      </c>
      <c r="AH52" s="40">
        <f t="shared" si="21"/>
        <v>163184098.84</v>
      </c>
      <c r="AI52" s="40">
        <f t="shared" si="22"/>
        <v>0</v>
      </c>
      <c r="AJ52" s="40">
        <f t="shared" si="23"/>
        <v>13457733.340000018</v>
      </c>
      <c r="AK52" s="40">
        <f t="shared" si="24"/>
        <v>50164977</v>
      </c>
      <c r="AL52" s="40">
        <f t="shared" si="25"/>
        <v>63622710.340000018</v>
      </c>
      <c r="AM52" s="600" t="str">
        <f t="shared" si="27"/>
        <v xml:space="preserve"> </v>
      </c>
      <c r="AN52" s="600">
        <f t="shared" si="28"/>
        <v>0.88647012285778437</v>
      </c>
      <c r="AO52" s="600">
        <f t="shared" si="29"/>
        <v>0.53665785286328538</v>
      </c>
      <c r="AP52" s="600">
        <f t="shared" si="30"/>
        <v>0.7194850076590632</v>
      </c>
    </row>
    <row r="53" spans="1:44" s="16" customFormat="1">
      <c r="A53" s="586" t="s">
        <v>939</v>
      </c>
      <c r="B53" s="596" t="s">
        <v>56</v>
      </c>
      <c r="C53" s="40" t="e">
        <f>+'CONAP-FUR (REG)-Detail'!#REF!</f>
        <v>#REF!</v>
      </c>
      <c r="D53" s="40" t="e">
        <f>+'CONAP-FUR (REG)-Detail'!#REF!</f>
        <v>#REF!</v>
      </c>
      <c r="E53" s="40" t="e">
        <f>+'CONAP-FUR (REG)-Detail'!#REF!</f>
        <v>#REF!</v>
      </c>
      <c r="F53" s="579" t="e">
        <f t="shared" si="5"/>
        <v>#REF!</v>
      </c>
      <c r="G53" s="40" t="e">
        <f>+'CONAP-FUR (REG)-Detail'!#REF!</f>
        <v>#REF!</v>
      </c>
      <c r="H53" s="40" t="e">
        <f>+'CONAP-FUR (REG)-Detail'!#REF!</f>
        <v>#REF!</v>
      </c>
      <c r="I53" s="40" t="e">
        <f>+'CONAP-FUR (REG)-Detail'!#REF!</f>
        <v>#REF!</v>
      </c>
      <c r="J53" s="579" t="e">
        <f t="shared" si="6"/>
        <v>#REF!</v>
      </c>
      <c r="K53" s="40" t="e">
        <f>+'CONAP-FUR (REG)-Detail'!#REF!</f>
        <v>#REF!</v>
      </c>
      <c r="L53" s="40" t="e">
        <f>+'CONAP-FUR (REG)-Detail'!#REF!</f>
        <v>#REF!</v>
      </c>
      <c r="M53" s="40" t="e">
        <f>+'CONAP-FUR (REG)-Detail'!#REF!</f>
        <v>#REF!</v>
      </c>
      <c r="N53" s="579" t="e">
        <f t="shared" si="7"/>
        <v>#REF!</v>
      </c>
      <c r="O53" s="40" t="e">
        <f t="shared" si="8"/>
        <v>#REF!</v>
      </c>
      <c r="P53" s="40" t="e">
        <f t="shared" si="9"/>
        <v>#REF!</v>
      </c>
      <c r="Q53" s="40" t="e">
        <f t="shared" si="10"/>
        <v>#REF!</v>
      </c>
      <c r="R53" s="579" t="e">
        <f t="shared" si="11"/>
        <v>#REF!</v>
      </c>
      <c r="S53" s="40" t="e">
        <f t="shared" si="12"/>
        <v>#REF!</v>
      </c>
      <c r="T53" s="40" t="e">
        <f t="shared" si="13"/>
        <v>#REF!</v>
      </c>
      <c r="U53" s="40" t="e">
        <f t="shared" si="14"/>
        <v>#REF!</v>
      </c>
      <c r="V53" s="579" t="e">
        <f t="shared" si="15"/>
        <v>#REF!</v>
      </c>
      <c r="W53" s="40" t="e">
        <f>+'CONAP-FUR (REG)-Detail'!#REF!</f>
        <v>#REF!</v>
      </c>
      <c r="X53" s="40" t="e">
        <f>+'CONAP-FUR (REG)-Detail'!#REF!</f>
        <v>#REF!</v>
      </c>
      <c r="Y53" s="40" t="e">
        <f>+'CONAP-FUR (REG)-Detail'!#REF!</f>
        <v>#REF!</v>
      </c>
      <c r="Z53" s="579" t="e">
        <f t="shared" si="16"/>
        <v>#REF!</v>
      </c>
      <c r="AA53" s="40" t="e">
        <f>+'CONAP-FUR (REG)-Detail'!#REF!</f>
        <v>#REF!</v>
      </c>
      <c r="AB53" s="40" t="e">
        <f>+'CONAP-FUR (REG)-Detail'!#REF!</f>
        <v>#REF!</v>
      </c>
      <c r="AC53" s="40" t="e">
        <f>+'CONAP-FUR (REG)-Detail'!#REF!</f>
        <v>#REF!</v>
      </c>
      <c r="AD53" s="579" t="e">
        <f t="shared" si="17"/>
        <v>#REF!</v>
      </c>
      <c r="AE53" s="40" t="e">
        <f t="shared" si="18"/>
        <v>#REF!</v>
      </c>
      <c r="AF53" s="40" t="e">
        <f t="shared" si="19"/>
        <v>#REF!</v>
      </c>
      <c r="AG53" s="40" t="e">
        <f t="shared" si="20"/>
        <v>#REF!</v>
      </c>
      <c r="AH53" s="579" t="e">
        <f t="shared" si="21"/>
        <v>#REF!</v>
      </c>
      <c r="AI53" s="579" t="e">
        <f t="shared" si="22"/>
        <v>#REF!</v>
      </c>
      <c r="AJ53" s="579" t="e">
        <f t="shared" si="23"/>
        <v>#REF!</v>
      </c>
      <c r="AK53" s="579" t="e">
        <f t="shared" si="24"/>
        <v>#REF!</v>
      </c>
      <c r="AL53" s="579" t="e">
        <f t="shared" si="25"/>
        <v>#REF!</v>
      </c>
      <c r="AM53" s="600" t="e">
        <f t="shared" si="27"/>
        <v>#REF!</v>
      </c>
      <c r="AN53" s="600" t="e">
        <f t="shared" si="28"/>
        <v>#REF!</v>
      </c>
      <c r="AO53" s="600" t="e">
        <f t="shared" si="29"/>
        <v>#REF!</v>
      </c>
      <c r="AP53" s="600" t="e">
        <f t="shared" si="30"/>
        <v>#REF!</v>
      </c>
    </row>
    <row r="54" spans="1:44" s="16" customFormat="1">
      <c r="A54" s="586" t="s">
        <v>939</v>
      </c>
      <c r="B54" s="596" t="s">
        <v>437</v>
      </c>
      <c r="C54" s="40" t="e">
        <f>+'CONAP-FUR (REG)-Detail'!#REF!</f>
        <v>#REF!</v>
      </c>
      <c r="D54" s="40" t="e">
        <f>+'CONAP-FUR (REG)-Detail'!#REF!</f>
        <v>#REF!</v>
      </c>
      <c r="E54" s="40" t="e">
        <f>+'CONAP-FUR (REG)-Detail'!#REF!</f>
        <v>#REF!</v>
      </c>
      <c r="F54" s="579" t="e">
        <f t="shared" si="5"/>
        <v>#REF!</v>
      </c>
      <c r="G54" s="40" t="e">
        <f>+'CONAP-FUR (REG)-Detail'!#REF!</f>
        <v>#REF!</v>
      </c>
      <c r="H54" s="40" t="e">
        <f>+'CONAP-FUR (REG)-Detail'!#REF!</f>
        <v>#REF!</v>
      </c>
      <c r="I54" s="40" t="e">
        <f>+'CONAP-FUR (REG)-Detail'!#REF!</f>
        <v>#REF!</v>
      </c>
      <c r="J54" s="579" t="e">
        <f t="shared" si="6"/>
        <v>#REF!</v>
      </c>
      <c r="K54" s="40" t="e">
        <f>+'CONAP-FUR (REG)-Detail'!#REF!</f>
        <v>#REF!</v>
      </c>
      <c r="L54" s="40" t="e">
        <f>+'CONAP-FUR (REG)-Detail'!#REF!</f>
        <v>#REF!</v>
      </c>
      <c r="M54" s="40" t="e">
        <f>+'CONAP-FUR (REG)-Detail'!#REF!</f>
        <v>#REF!</v>
      </c>
      <c r="N54" s="579" t="e">
        <f t="shared" si="7"/>
        <v>#REF!</v>
      </c>
      <c r="O54" s="40" t="e">
        <f t="shared" si="8"/>
        <v>#REF!</v>
      </c>
      <c r="P54" s="40" t="e">
        <f t="shared" si="9"/>
        <v>#REF!</v>
      </c>
      <c r="Q54" s="40" t="e">
        <f t="shared" si="10"/>
        <v>#REF!</v>
      </c>
      <c r="R54" s="579" t="e">
        <f t="shared" si="11"/>
        <v>#REF!</v>
      </c>
      <c r="S54" s="40" t="e">
        <f t="shared" si="12"/>
        <v>#REF!</v>
      </c>
      <c r="T54" s="40" t="e">
        <f t="shared" si="13"/>
        <v>#REF!</v>
      </c>
      <c r="U54" s="40" t="e">
        <f t="shared" si="14"/>
        <v>#REF!</v>
      </c>
      <c r="V54" s="579" t="e">
        <f t="shared" si="15"/>
        <v>#REF!</v>
      </c>
      <c r="W54" s="40" t="e">
        <f>+'CONAP-FUR (REG)-Detail'!#REF!</f>
        <v>#REF!</v>
      </c>
      <c r="X54" s="40" t="e">
        <f>+'CONAP-FUR (REG)-Detail'!#REF!</f>
        <v>#REF!</v>
      </c>
      <c r="Y54" s="40" t="e">
        <f>+'CONAP-FUR (REG)-Detail'!#REF!</f>
        <v>#REF!</v>
      </c>
      <c r="Z54" s="579" t="e">
        <f t="shared" si="16"/>
        <v>#REF!</v>
      </c>
      <c r="AA54" s="40" t="e">
        <f>+'CONAP-FUR (REG)-Detail'!#REF!</f>
        <v>#REF!</v>
      </c>
      <c r="AB54" s="40" t="e">
        <f>+'CONAP-FUR (REG)-Detail'!#REF!</f>
        <v>#REF!</v>
      </c>
      <c r="AC54" s="40" t="e">
        <f>+'CONAP-FUR (REG)-Detail'!#REF!</f>
        <v>#REF!</v>
      </c>
      <c r="AD54" s="579" t="e">
        <f t="shared" si="17"/>
        <v>#REF!</v>
      </c>
      <c r="AE54" s="40" t="e">
        <f t="shared" si="18"/>
        <v>#REF!</v>
      </c>
      <c r="AF54" s="40" t="e">
        <f t="shared" si="19"/>
        <v>#REF!</v>
      </c>
      <c r="AG54" s="40" t="e">
        <f t="shared" si="20"/>
        <v>#REF!</v>
      </c>
      <c r="AH54" s="579" t="e">
        <f t="shared" si="21"/>
        <v>#REF!</v>
      </c>
      <c r="AI54" s="579" t="e">
        <f t="shared" si="22"/>
        <v>#REF!</v>
      </c>
      <c r="AJ54" s="579" t="e">
        <f t="shared" si="23"/>
        <v>#REF!</v>
      </c>
      <c r="AK54" s="579" t="e">
        <f t="shared" si="24"/>
        <v>#REF!</v>
      </c>
      <c r="AL54" s="579" t="e">
        <f t="shared" si="25"/>
        <v>#REF!</v>
      </c>
      <c r="AM54" s="600" t="e">
        <f t="shared" si="27"/>
        <v>#REF!</v>
      </c>
      <c r="AN54" s="600" t="e">
        <f t="shared" si="28"/>
        <v>#REF!</v>
      </c>
      <c r="AO54" s="600" t="e">
        <f t="shared" si="29"/>
        <v>#REF!</v>
      </c>
      <c r="AP54" s="600" t="e">
        <f t="shared" si="30"/>
        <v>#REF!</v>
      </c>
    </row>
    <row r="55" spans="1:44" s="16" customFormat="1">
      <c r="A55" s="586" t="s">
        <v>939</v>
      </c>
      <c r="B55" s="596" t="s">
        <v>438</v>
      </c>
      <c r="C55" s="40" t="e">
        <f>+'CONAP-FUR (REG)-Detail'!#REF!</f>
        <v>#REF!</v>
      </c>
      <c r="D55" s="40" t="e">
        <f>+'CONAP-FUR (REG)-Detail'!#REF!</f>
        <v>#REF!</v>
      </c>
      <c r="E55" s="40" t="e">
        <f>+'CONAP-FUR (REG)-Detail'!#REF!</f>
        <v>#REF!</v>
      </c>
      <c r="F55" s="579" t="e">
        <f t="shared" si="5"/>
        <v>#REF!</v>
      </c>
      <c r="G55" s="40" t="e">
        <f>+'CONAP-FUR (REG)-Detail'!#REF!</f>
        <v>#REF!</v>
      </c>
      <c r="H55" s="40" t="e">
        <f>+'CONAP-FUR (REG)-Detail'!#REF!</f>
        <v>#REF!</v>
      </c>
      <c r="I55" s="40" t="e">
        <f>+'CONAP-FUR (REG)-Detail'!#REF!</f>
        <v>#REF!</v>
      </c>
      <c r="J55" s="579" t="e">
        <f t="shared" si="6"/>
        <v>#REF!</v>
      </c>
      <c r="K55" s="40" t="e">
        <f>+'CONAP-FUR (REG)-Detail'!#REF!</f>
        <v>#REF!</v>
      </c>
      <c r="L55" s="40" t="e">
        <f>+'CONAP-FUR (REG)-Detail'!#REF!</f>
        <v>#REF!</v>
      </c>
      <c r="M55" s="40" t="e">
        <f>+'CONAP-FUR (REG)-Detail'!#REF!</f>
        <v>#REF!</v>
      </c>
      <c r="N55" s="579" t="e">
        <f t="shared" si="7"/>
        <v>#REF!</v>
      </c>
      <c r="O55" s="40" t="e">
        <f t="shared" si="8"/>
        <v>#REF!</v>
      </c>
      <c r="P55" s="40" t="e">
        <f t="shared" si="9"/>
        <v>#REF!</v>
      </c>
      <c r="Q55" s="40" t="e">
        <f t="shared" si="10"/>
        <v>#REF!</v>
      </c>
      <c r="R55" s="579" t="e">
        <f t="shared" si="11"/>
        <v>#REF!</v>
      </c>
      <c r="S55" s="40" t="e">
        <f t="shared" si="12"/>
        <v>#REF!</v>
      </c>
      <c r="T55" s="40" t="e">
        <f t="shared" si="13"/>
        <v>#REF!</v>
      </c>
      <c r="U55" s="40" t="e">
        <f t="shared" si="14"/>
        <v>#REF!</v>
      </c>
      <c r="V55" s="579" t="e">
        <f t="shared" si="15"/>
        <v>#REF!</v>
      </c>
      <c r="W55" s="40" t="e">
        <f>+'CONAP-FUR (REG)-Detail'!#REF!</f>
        <v>#REF!</v>
      </c>
      <c r="X55" s="40" t="e">
        <f>+'CONAP-FUR (REG)-Detail'!#REF!</f>
        <v>#REF!</v>
      </c>
      <c r="Y55" s="40" t="e">
        <f>+'CONAP-FUR (REG)-Detail'!#REF!</f>
        <v>#REF!</v>
      </c>
      <c r="Z55" s="579" t="e">
        <f t="shared" si="16"/>
        <v>#REF!</v>
      </c>
      <c r="AA55" s="40" t="e">
        <f>+'CONAP-FUR (REG)-Detail'!#REF!</f>
        <v>#REF!</v>
      </c>
      <c r="AB55" s="40" t="e">
        <f>+'CONAP-FUR (REG)-Detail'!#REF!</f>
        <v>#REF!</v>
      </c>
      <c r="AC55" s="40" t="e">
        <f>+'CONAP-FUR (REG)-Detail'!#REF!</f>
        <v>#REF!</v>
      </c>
      <c r="AD55" s="579" t="e">
        <f t="shared" si="17"/>
        <v>#REF!</v>
      </c>
      <c r="AE55" s="40" t="e">
        <f t="shared" si="18"/>
        <v>#REF!</v>
      </c>
      <c r="AF55" s="40" t="e">
        <f t="shared" si="19"/>
        <v>#REF!</v>
      </c>
      <c r="AG55" s="40" t="e">
        <f t="shared" si="20"/>
        <v>#REF!</v>
      </c>
      <c r="AH55" s="579" t="e">
        <f t="shared" si="21"/>
        <v>#REF!</v>
      </c>
      <c r="AI55" s="579" t="e">
        <f t="shared" si="22"/>
        <v>#REF!</v>
      </c>
      <c r="AJ55" s="579" t="e">
        <f t="shared" si="23"/>
        <v>#REF!</v>
      </c>
      <c r="AK55" s="579" t="e">
        <f t="shared" si="24"/>
        <v>#REF!</v>
      </c>
      <c r="AL55" s="579" t="e">
        <f t="shared" si="25"/>
        <v>#REF!</v>
      </c>
      <c r="AM55" s="600" t="e">
        <f t="shared" si="27"/>
        <v>#REF!</v>
      </c>
      <c r="AN55" s="600" t="e">
        <f t="shared" si="28"/>
        <v>#REF!</v>
      </c>
      <c r="AO55" s="600" t="e">
        <f t="shared" si="29"/>
        <v>#REF!</v>
      </c>
      <c r="AP55" s="600" t="e">
        <f t="shared" si="30"/>
        <v>#REF!</v>
      </c>
    </row>
    <row r="56" spans="1:44" s="16" customFormat="1">
      <c r="A56" s="586" t="s">
        <v>939</v>
      </c>
      <c r="B56" s="596" t="s">
        <v>439</v>
      </c>
      <c r="C56" s="40" t="e">
        <f>+'CONAP-FUR (REG)-Detail'!#REF!</f>
        <v>#REF!</v>
      </c>
      <c r="D56" s="40" t="e">
        <f>+'CONAP-FUR (REG)-Detail'!#REF!</f>
        <v>#REF!</v>
      </c>
      <c r="E56" s="40" t="e">
        <f>+'CONAP-FUR (REG)-Detail'!#REF!</f>
        <v>#REF!</v>
      </c>
      <c r="F56" s="579" t="e">
        <f t="shared" si="5"/>
        <v>#REF!</v>
      </c>
      <c r="G56" s="40" t="e">
        <f>+'CONAP-FUR (REG)-Detail'!#REF!</f>
        <v>#REF!</v>
      </c>
      <c r="H56" s="40" t="e">
        <f>+'CONAP-FUR (REG)-Detail'!#REF!</f>
        <v>#REF!</v>
      </c>
      <c r="I56" s="40" t="e">
        <f>+'CONAP-FUR (REG)-Detail'!#REF!</f>
        <v>#REF!</v>
      </c>
      <c r="J56" s="579" t="e">
        <f t="shared" si="6"/>
        <v>#REF!</v>
      </c>
      <c r="K56" s="40" t="e">
        <f>+'CONAP-FUR (REG)-Detail'!#REF!</f>
        <v>#REF!</v>
      </c>
      <c r="L56" s="40" t="e">
        <f>+'CONAP-FUR (REG)-Detail'!#REF!</f>
        <v>#REF!</v>
      </c>
      <c r="M56" s="40" t="e">
        <f>+'CONAP-FUR (REG)-Detail'!#REF!</f>
        <v>#REF!</v>
      </c>
      <c r="N56" s="579" t="e">
        <f t="shared" si="7"/>
        <v>#REF!</v>
      </c>
      <c r="O56" s="40" t="e">
        <f t="shared" si="8"/>
        <v>#REF!</v>
      </c>
      <c r="P56" s="40" t="e">
        <f t="shared" si="9"/>
        <v>#REF!</v>
      </c>
      <c r="Q56" s="40" t="e">
        <f t="shared" si="10"/>
        <v>#REF!</v>
      </c>
      <c r="R56" s="579" t="e">
        <f t="shared" si="11"/>
        <v>#REF!</v>
      </c>
      <c r="S56" s="40" t="e">
        <f t="shared" si="12"/>
        <v>#REF!</v>
      </c>
      <c r="T56" s="40" t="e">
        <f t="shared" si="13"/>
        <v>#REF!</v>
      </c>
      <c r="U56" s="40" t="e">
        <f t="shared" si="14"/>
        <v>#REF!</v>
      </c>
      <c r="V56" s="579" t="e">
        <f t="shared" si="15"/>
        <v>#REF!</v>
      </c>
      <c r="W56" s="40" t="e">
        <f>+'CONAP-FUR (REG)-Detail'!#REF!</f>
        <v>#REF!</v>
      </c>
      <c r="X56" s="40" t="e">
        <f>+'CONAP-FUR (REG)-Detail'!#REF!</f>
        <v>#REF!</v>
      </c>
      <c r="Y56" s="40" t="e">
        <f>+'CONAP-FUR (REG)-Detail'!#REF!</f>
        <v>#REF!</v>
      </c>
      <c r="Z56" s="579" t="e">
        <f t="shared" si="16"/>
        <v>#REF!</v>
      </c>
      <c r="AA56" s="40" t="e">
        <f>+'CONAP-FUR (REG)-Detail'!#REF!</f>
        <v>#REF!</v>
      </c>
      <c r="AB56" s="40" t="e">
        <f>+'CONAP-FUR (REG)-Detail'!#REF!</f>
        <v>#REF!</v>
      </c>
      <c r="AC56" s="40" t="e">
        <f>+'CONAP-FUR (REG)-Detail'!#REF!</f>
        <v>#REF!</v>
      </c>
      <c r="AD56" s="579" t="e">
        <f t="shared" si="17"/>
        <v>#REF!</v>
      </c>
      <c r="AE56" s="40" t="e">
        <f t="shared" si="18"/>
        <v>#REF!</v>
      </c>
      <c r="AF56" s="40" t="e">
        <f t="shared" si="19"/>
        <v>#REF!</v>
      </c>
      <c r="AG56" s="40" t="e">
        <f t="shared" si="20"/>
        <v>#REF!</v>
      </c>
      <c r="AH56" s="579" t="e">
        <f t="shared" si="21"/>
        <v>#REF!</v>
      </c>
      <c r="AI56" s="579" t="e">
        <f t="shared" si="22"/>
        <v>#REF!</v>
      </c>
      <c r="AJ56" s="579" t="e">
        <f t="shared" si="23"/>
        <v>#REF!</v>
      </c>
      <c r="AK56" s="579" t="e">
        <f t="shared" si="24"/>
        <v>#REF!</v>
      </c>
      <c r="AL56" s="579" t="e">
        <f t="shared" si="25"/>
        <v>#REF!</v>
      </c>
      <c r="AM56" s="600" t="e">
        <f t="shared" si="27"/>
        <v>#REF!</v>
      </c>
      <c r="AN56" s="600" t="e">
        <f t="shared" si="28"/>
        <v>#REF!</v>
      </c>
      <c r="AO56" s="600" t="e">
        <f t="shared" si="29"/>
        <v>#REF!</v>
      </c>
      <c r="AP56" s="600" t="e">
        <f t="shared" si="30"/>
        <v>#REF!</v>
      </c>
    </row>
    <row r="57" spans="1:44" s="16" customFormat="1">
      <c r="A57" s="583"/>
      <c r="B57" s="596"/>
      <c r="C57" s="40"/>
      <c r="D57" s="40"/>
      <c r="E57" s="40"/>
      <c r="F57" s="41">
        <f t="shared" si="5"/>
        <v>0</v>
      </c>
      <c r="G57" s="40"/>
      <c r="H57" s="40"/>
      <c r="I57" s="40"/>
      <c r="J57" s="41">
        <f t="shared" si="6"/>
        <v>0</v>
      </c>
      <c r="K57" s="40"/>
      <c r="L57" s="40"/>
      <c r="M57" s="40"/>
      <c r="N57" s="41">
        <f t="shared" si="7"/>
        <v>0</v>
      </c>
      <c r="O57" s="40">
        <f t="shared" si="8"/>
        <v>0</v>
      </c>
      <c r="P57" s="40">
        <f t="shared" si="9"/>
        <v>0</v>
      </c>
      <c r="Q57" s="40">
        <f t="shared" si="10"/>
        <v>0</v>
      </c>
      <c r="R57" s="41">
        <f t="shared" si="11"/>
        <v>0</v>
      </c>
      <c r="S57" s="40">
        <f t="shared" si="12"/>
        <v>0</v>
      </c>
      <c r="T57" s="40">
        <f t="shared" si="13"/>
        <v>0</v>
      </c>
      <c r="U57" s="40">
        <f t="shared" si="14"/>
        <v>0</v>
      </c>
      <c r="V57" s="41">
        <f t="shared" si="15"/>
        <v>0</v>
      </c>
      <c r="W57" s="40"/>
      <c r="X57" s="40"/>
      <c r="Y57" s="40"/>
      <c r="Z57" s="41">
        <f t="shared" si="16"/>
        <v>0</v>
      </c>
      <c r="AA57" s="40"/>
      <c r="AB57" s="40"/>
      <c r="AC57" s="40"/>
      <c r="AD57" s="41">
        <f t="shared" si="17"/>
        <v>0</v>
      </c>
      <c r="AE57" s="40">
        <f t="shared" si="18"/>
        <v>0</v>
      </c>
      <c r="AF57" s="40">
        <f t="shared" si="19"/>
        <v>0</v>
      </c>
      <c r="AG57" s="40">
        <f t="shared" si="20"/>
        <v>0</v>
      </c>
      <c r="AH57" s="41">
        <f t="shared" si="21"/>
        <v>0</v>
      </c>
      <c r="AI57" s="41">
        <f t="shared" si="22"/>
        <v>0</v>
      </c>
      <c r="AJ57" s="41">
        <f t="shared" si="23"/>
        <v>0</v>
      </c>
      <c r="AK57" s="41">
        <f t="shared" si="24"/>
        <v>0</v>
      </c>
      <c r="AL57" s="41">
        <f t="shared" si="25"/>
        <v>0</v>
      </c>
      <c r="AM57" s="601" t="str">
        <f t="shared" si="27"/>
        <v xml:space="preserve"> </v>
      </c>
      <c r="AN57" s="601" t="str">
        <f t="shared" si="28"/>
        <v xml:space="preserve"> </v>
      </c>
      <c r="AO57" s="601" t="str">
        <f t="shared" si="29"/>
        <v xml:space="preserve"> </v>
      </c>
      <c r="AP57" s="601" t="str">
        <f t="shared" si="30"/>
        <v xml:space="preserve"> </v>
      </c>
    </row>
    <row r="58" spans="1:44" s="609" customFormat="1" ht="16.5">
      <c r="A58" s="586" t="s">
        <v>936</v>
      </c>
      <c r="B58" s="595" t="s">
        <v>440</v>
      </c>
      <c r="C58" s="37" t="e">
        <f>SUM(C59:C62)</f>
        <v>#REF!</v>
      </c>
      <c r="D58" s="37" t="e">
        <f>SUM(D59:D62)</f>
        <v>#REF!</v>
      </c>
      <c r="E58" s="37" t="e">
        <f>SUM(E59:E62)</f>
        <v>#REF!</v>
      </c>
      <c r="F58" s="37" t="e">
        <f t="shared" si="5"/>
        <v>#REF!</v>
      </c>
      <c r="G58" s="37" t="e">
        <f>SUM(G59:G62)</f>
        <v>#REF!</v>
      </c>
      <c r="H58" s="37" t="e">
        <f>SUM(H59:H62)</f>
        <v>#REF!</v>
      </c>
      <c r="I58" s="37" t="e">
        <f>SUM(I59:I62)</f>
        <v>#REF!</v>
      </c>
      <c r="J58" s="37" t="e">
        <f t="shared" si="6"/>
        <v>#REF!</v>
      </c>
      <c r="K58" s="37" t="e">
        <f>SUM(K59:K62)</f>
        <v>#REF!</v>
      </c>
      <c r="L58" s="37" t="e">
        <f>SUM(L59:L62)</f>
        <v>#REF!</v>
      </c>
      <c r="M58" s="37" t="e">
        <f>SUM(M59:M62)</f>
        <v>#REF!</v>
      </c>
      <c r="N58" s="37" t="e">
        <f t="shared" si="7"/>
        <v>#REF!</v>
      </c>
      <c r="O58" s="37" t="e">
        <f t="shared" si="8"/>
        <v>#REF!</v>
      </c>
      <c r="P58" s="37" t="e">
        <f t="shared" si="9"/>
        <v>#REF!</v>
      </c>
      <c r="Q58" s="37" t="e">
        <f t="shared" si="10"/>
        <v>#REF!</v>
      </c>
      <c r="R58" s="37" t="e">
        <f t="shared" si="11"/>
        <v>#REF!</v>
      </c>
      <c r="S58" s="37" t="e">
        <f t="shared" si="12"/>
        <v>#REF!</v>
      </c>
      <c r="T58" s="37" t="e">
        <f t="shared" si="13"/>
        <v>#REF!</v>
      </c>
      <c r="U58" s="37" t="e">
        <f t="shared" si="14"/>
        <v>#REF!</v>
      </c>
      <c r="V58" s="37" t="e">
        <f t="shared" si="15"/>
        <v>#REF!</v>
      </c>
      <c r="W58" s="37" t="e">
        <f>SUM(W59:W62)</f>
        <v>#REF!</v>
      </c>
      <c r="X58" s="37" t="e">
        <f>SUM(X59:X62)</f>
        <v>#REF!</v>
      </c>
      <c r="Y58" s="37" t="e">
        <f>SUM(Y59:Y62)</f>
        <v>#REF!</v>
      </c>
      <c r="Z58" s="37" t="e">
        <f t="shared" si="16"/>
        <v>#REF!</v>
      </c>
      <c r="AA58" s="37" t="e">
        <f>SUM(AA59:AA62)</f>
        <v>#REF!</v>
      </c>
      <c r="AB58" s="37" t="e">
        <f>SUM(AB59:AB62)</f>
        <v>#REF!</v>
      </c>
      <c r="AC58" s="37" t="e">
        <f>SUM(AC59:AC62)</f>
        <v>#REF!</v>
      </c>
      <c r="AD58" s="37" t="e">
        <f t="shared" si="17"/>
        <v>#REF!</v>
      </c>
      <c r="AE58" s="37" t="e">
        <f t="shared" si="18"/>
        <v>#REF!</v>
      </c>
      <c r="AF58" s="37" t="e">
        <f t="shared" si="19"/>
        <v>#REF!</v>
      </c>
      <c r="AG58" s="37" t="e">
        <f t="shared" si="20"/>
        <v>#REF!</v>
      </c>
      <c r="AH58" s="37" t="e">
        <f t="shared" si="21"/>
        <v>#REF!</v>
      </c>
      <c r="AI58" s="37" t="e">
        <f t="shared" si="22"/>
        <v>#REF!</v>
      </c>
      <c r="AJ58" s="37" t="e">
        <f t="shared" si="23"/>
        <v>#REF!</v>
      </c>
      <c r="AK58" s="37" t="e">
        <f t="shared" si="24"/>
        <v>#REF!</v>
      </c>
      <c r="AL58" s="37" t="e">
        <f t="shared" si="25"/>
        <v>#REF!</v>
      </c>
      <c r="AM58" s="608" t="e">
        <f t="shared" si="27"/>
        <v>#REF!</v>
      </c>
      <c r="AN58" s="608" t="e">
        <f t="shared" si="28"/>
        <v>#REF!</v>
      </c>
      <c r="AO58" s="608" t="e">
        <f t="shared" si="29"/>
        <v>#REF!</v>
      </c>
      <c r="AP58" s="608" t="e">
        <f t="shared" si="30"/>
        <v>#REF!</v>
      </c>
    </row>
    <row r="59" spans="1:44" s="16" customFormat="1">
      <c r="A59" s="586" t="s">
        <v>936</v>
      </c>
      <c r="B59" s="596" t="s">
        <v>115</v>
      </c>
      <c r="C59" s="40" t="e">
        <f>+'CONAP-FUR (REG)-Detail'!#REF!</f>
        <v>#REF!</v>
      </c>
      <c r="D59" s="40" t="e">
        <f>+'CONAP-FUR (REG)-Detail'!#REF!</f>
        <v>#REF!</v>
      </c>
      <c r="E59" s="40" t="e">
        <f>+'CONAP-FUR (REG)-Detail'!#REF!</f>
        <v>#REF!</v>
      </c>
      <c r="F59" s="579" t="e">
        <f t="shared" si="5"/>
        <v>#REF!</v>
      </c>
      <c r="G59" s="40" t="e">
        <f>+'CONAP-FUR (REG)-Detail'!#REF!</f>
        <v>#REF!</v>
      </c>
      <c r="H59" s="40" t="e">
        <f>+'CONAP-FUR (REG)-Detail'!#REF!</f>
        <v>#REF!</v>
      </c>
      <c r="I59" s="40" t="e">
        <f>+'CONAP-FUR (REG)-Detail'!#REF!</f>
        <v>#REF!</v>
      </c>
      <c r="J59" s="579" t="e">
        <f t="shared" si="6"/>
        <v>#REF!</v>
      </c>
      <c r="K59" s="40" t="e">
        <f>+'CONAP-FUR (REG)-Detail'!#REF!</f>
        <v>#REF!</v>
      </c>
      <c r="L59" s="40" t="e">
        <f>+'CONAP-FUR (REG)-Detail'!#REF!</f>
        <v>#REF!</v>
      </c>
      <c r="M59" s="40" t="e">
        <f>+'CONAP-FUR (REG)-Detail'!#REF!</f>
        <v>#REF!</v>
      </c>
      <c r="N59" s="579" t="e">
        <f t="shared" si="7"/>
        <v>#REF!</v>
      </c>
      <c r="O59" s="40" t="e">
        <f t="shared" si="8"/>
        <v>#REF!</v>
      </c>
      <c r="P59" s="40" t="e">
        <f t="shared" si="9"/>
        <v>#REF!</v>
      </c>
      <c r="Q59" s="40" t="e">
        <f t="shared" si="10"/>
        <v>#REF!</v>
      </c>
      <c r="R59" s="579" t="e">
        <f t="shared" si="11"/>
        <v>#REF!</v>
      </c>
      <c r="S59" s="40" t="e">
        <f t="shared" si="12"/>
        <v>#REF!</v>
      </c>
      <c r="T59" s="40" t="e">
        <f t="shared" si="13"/>
        <v>#REF!</v>
      </c>
      <c r="U59" s="40" t="e">
        <f t="shared" si="14"/>
        <v>#REF!</v>
      </c>
      <c r="V59" s="579" t="e">
        <f t="shared" si="15"/>
        <v>#REF!</v>
      </c>
      <c r="W59" s="40" t="e">
        <f>+'CONAP-FUR (REG)-Detail'!#REF!</f>
        <v>#REF!</v>
      </c>
      <c r="X59" s="40" t="e">
        <f>+'CONAP-FUR (REG)-Detail'!#REF!</f>
        <v>#REF!</v>
      </c>
      <c r="Y59" s="40" t="e">
        <f>+'CONAP-FUR (REG)-Detail'!#REF!</f>
        <v>#REF!</v>
      </c>
      <c r="Z59" s="579" t="e">
        <f t="shared" si="16"/>
        <v>#REF!</v>
      </c>
      <c r="AA59" s="40" t="e">
        <f>+'CONAP-FUR (REG)-Detail'!#REF!</f>
        <v>#REF!</v>
      </c>
      <c r="AB59" s="40" t="e">
        <f>+'CONAP-FUR (REG)-Detail'!#REF!</f>
        <v>#REF!</v>
      </c>
      <c r="AC59" s="40" t="e">
        <f>+'CONAP-FUR (REG)-Detail'!#REF!</f>
        <v>#REF!</v>
      </c>
      <c r="AD59" s="579" t="e">
        <f t="shared" si="17"/>
        <v>#REF!</v>
      </c>
      <c r="AE59" s="40" t="e">
        <f t="shared" si="18"/>
        <v>#REF!</v>
      </c>
      <c r="AF59" s="40" t="e">
        <f t="shared" si="19"/>
        <v>#REF!</v>
      </c>
      <c r="AG59" s="40" t="e">
        <f t="shared" si="20"/>
        <v>#REF!</v>
      </c>
      <c r="AH59" s="579" t="e">
        <f t="shared" si="21"/>
        <v>#REF!</v>
      </c>
      <c r="AI59" s="579" t="e">
        <f t="shared" si="22"/>
        <v>#REF!</v>
      </c>
      <c r="AJ59" s="579" t="e">
        <f t="shared" si="23"/>
        <v>#REF!</v>
      </c>
      <c r="AK59" s="579" t="e">
        <f t="shared" si="24"/>
        <v>#REF!</v>
      </c>
      <c r="AL59" s="579" t="e">
        <f t="shared" si="25"/>
        <v>#REF!</v>
      </c>
      <c r="AM59" s="600" t="e">
        <f t="shared" si="27"/>
        <v>#REF!</v>
      </c>
      <c r="AN59" s="600" t="e">
        <f t="shared" si="28"/>
        <v>#REF!</v>
      </c>
      <c r="AO59" s="600" t="e">
        <f t="shared" si="29"/>
        <v>#REF!</v>
      </c>
      <c r="AP59" s="600" t="e">
        <f t="shared" si="30"/>
        <v>#REF!</v>
      </c>
    </row>
    <row r="60" spans="1:44" s="16" customFormat="1">
      <c r="A60" s="586" t="s">
        <v>936</v>
      </c>
      <c r="B60" s="596" t="s">
        <v>442</v>
      </c>
      <c r="C60" s="40" t="e">
        <f>+'CONAP-FUR (REG)-Detail'!#REF!</f>
        <v>#REF!</v>
      </c>
      <c r="D60" s="40" t="e">
        <f>+'CONAP-FUR (REG)-Detail'!#REF!</f>
        <v>#REF!</v>
      </c>
      <c r="E60" s="40" t="e">
        <f>+'CONAP-FUR (REG)-Detail'!#REF!</f>
        <v>#REF!</v>
      </c>
      <c r="F60" s="579" t="e">
        <f t="shared" si="5"/>
        <v>#REF!</v>
      </c>
      <c r="G60" s="40" t="e">
        <f>+'CONAP-FUR (REG)-Detail'!#REF!</f>
        <v>#REF!</v>
      </c>
      <c r="H60" s="40" t="e">
        <f>+'CONAP-FUR (REG)-Detail'!#REF!</f>
        <v>#REF!</v>
      </c>
      <c r="I60" s="40" t="e">
        <f>+'CONAP-FUR (REG)-Detail'!#REF!</f>
        <v>#REF!</v>
      </c>
      <c r="J60" s="579" t="e">
        <f t="shared" si="6"/>
        <v>#REF!</v>
      </c>
      <c r="K60" s="40" t="e">
        <f>+'CONAP-FUR (REG)-Detail'!#REF!</f>
        <v>#REF!</v>
      </c>
      <c r="L60" s="40" t="e">
        <f>+'CONAP-FUR (REG)-Detail'!#REF!</f>
        <v>#REF!</v>
      </c>
      <c r="M60" s="40" t="e">
        <f>+'CONAP-FUR (REG)-Detail'!#REF!</f>
        <v>#REF!</v>
      </c>
      <c r="N60" s="579" t="e">
        <f t="shared" si="7"/>
        <v>#REF!</v>
      </c>
      <c r="O60" s="40" t="e">
        <f t="shared" si="8"/>
        <v>#REF!</v>
      </c>
      <c r="P60" s="40" t="e">
        <f t="shared" si="9"/>
        <v>#REF!</v>
      </c>
      <c r="Q60" s="40" t="e">
        <f t="shared" si="10"/>
        <v>#REF!</v>
      </c>
      <c r="R60" s="579" t="e">
        <f t="shared" si="11"/>
        <v>#REF!</v>
      </c>
      <c r="S60" s="40" t="e">
        <f t="shared" si="12"/>
        <v>#REF!</v>
      </c>
      <c r="T60" s="40" t="e">
        <f t="shared" si="13"/>
        <v>#REF!</v>
      </c>
      <c r="U60" s="40" t="e">
        <f t="shared" si="14"/>
        <v>#REF!</v>
      </c>
      <c r="V60" s="579" t="e">
        <f t="shared" si="15"/>
        <v>#REF!</v>
      </c>
      <c r="W60" s="40" t="e">
        <f>+'CONAP-FUR (REG)-Detail'!#REF!</f>
        <v>#REF!</v>
      </c>
      <c r="X60" s="40" t="e">
        <f>+'CONAP-FUR (REG)-Detail'!#REF!</f>
        <v>#REF!</v>
      </c>
      <c r="Y60" s="40" t="e">
        <f>+'CONAP-FUR (REG)-Detail'!#REF!</f>
        <v>#REF!</v>
      </c>
      <c r="Z60" s="579" t="e">
        <f t="shared" si="16"/>
        <v>#REF!</v>
      </c>
      <c r="AA60" s="40" t="e">
        <f>+'CONAP-FUR (REG)-Detail'!#REF!</f>
        <v>#REF!</v>
      </c>
      <c r="AB60" s="40" t="e">
        <f>+'CONAP-FUR (REG)-Detail'!#REF!</f>
        <v>#REF!</v>
      </c>
      <c r="AC60" s="40" t="e">
        <f>+'CONAP-FUR (REG)-Detail'!#REF!</f>
        <v>#REF!</v>
      </c>
      <c r="AD60" s="579" t="e">
        <f t="shared" si="17"/>
        <v>#REF!</v>
      </c>
      <c r="AE60" s="40" t="e">
        <f t="shared" si="18"/>
        <v>#REF!</v>
      </c>
      <c r="AF60" s="40" t="e">
        <f t="shared" si="19"/>
        <v>#REF!</v>
      </c>
      <c r="AG60" s="40" t="e">
        <f t="shared" si="20"/>
        <v>#REF!</v>
      </c>
      <c r="AH60" s="579" t="e">
        <f t="shared" si="21"/>
        <v>#REF!</v>
      </c>
      <c r="AI60" s="579" t="e">
        <f t="shared" si="22"/>
        <v>#REF!</v>
      </c>
      <c r="AJ60" s="579" t="e">
        <f t="shared" si="23"/>
        <v>#REF!</v>
      </c>
      <c r="AK60" s="579" t="e">
        <f t="shared" si="24"/>
        <v>#REF!</v>
      </c>
      <c r="AL60" s="579" t="e">
        <f t="shared" si="25"/>
        <v>#REF!</v>
      </c>
      <c r="AM60" s="600" t="e">
        <f t="shared" si="27"/>
        <v>#REF!</v>
      </c>
      <c r="AN60" s="600" t="e">
        <f t="shared" si="28"/>
        <v>#REF!</v>
      </c>
      <c r="AO60" s="600" t="e">
        <f t="shared" si="29"/>
        <v>#REF!</v>
      </c>
      <c r="AP60" s="600" t="e">
        <f t="shared" si="30"/>
        <v>#REF!</v>
      </c>
    </row>
    <row r="61" spans="1:44" s="16" customFormat="1">
      <c r="A61" s="586" t="s">
        <v>936</v>
      </c>
      <c r="B61" s="596" t="s">
        <v>443</v>
      </c>
      <c r="C61" s="40" t="e">
        <f>+'CONAP-FUR (REG)-Detail'!#REF!</f>
        <v>#REF!</v>
      </c>
      <c r="D61" s="40" t="e">
        <f>+'CONAP-FUR (REG)-Detail'!#REF!</f>
        <v>#REF!</v>
      </c>
      <c r="E61" s="40" t="e">
        <f>+'CONAP-FUR (REG)-Detail'!#REF!</f>
        <v>#REF!</v>
      </c>
      <c r="F61" s="579" t="e">
        <f t="shared" si="5"/>
        <v>#REF!</v>
      </c>
      <c r="G61" s="40" t="e">
        <f>+'CONAP-FUR (REG)-Detail'!#REF!</f>
        <v>#REF!</v>
      </c>
      <c r="H61" s="40" t="e">
        <f>+'CONAP-FUR (REG)-Detail'!#REF!</f>
        <v>#REF!</v>
      </c>
      <c r="I61" s="40" t="e">
        <f>+'CONAP-FUR (REG)-Detail'!#REF!</f>
        <v>#REF!</v>
      </c>
      <c r="J61" s="579" t="e">
        <f t="shared" si="6"/>
        <v>#REF!</v>
      </c>
      <c r="K61" s="40" t="e">
        <f>+'CONAP-FUR (REG)-Detail'!#REF!</f>
        <v>#REF!</v>
      </c>
      <c r="L61" s="40" t="e">
        <f>+'CONAP-FUR (REG)-Detail'!#REF!</f>
        <v>#REF!</v>
      </c>
      <c r="M61" s="40" t="e">
        <f>+'CONAP-FUR (REG)-Detail'!#REF!</f>
        <v>#REF!</v>
      </c>
      <c r="N61" s="579" t="e">
        <f t="shared" si="7"/>
        <v>#REF!</v>
      </c>
      <c r="O61" s="40" t="e">
        <f t="shared" si="8"/>
        <v>#REF!</v>
      </c>
      <c r="P61" s="40" t="e">
        <f t="shared" si="9"/>
        <v>#REF!</v>
      </c>
      <c r="Q61" s="40" t="e">
        <f t="shared" si="10"/>
        <v>#REF!</v>
      </c>
      <c r="R61" s="579" t="e">
        <f t="shared" si="11"/>
        <v>#REF!</v>
      </c>
      <c r="S61" s="40" t="e">
        <f t="shared" si="12"/>
        <v>#REF!</v>
      </c>
      <c r="T61" s="40" t="e">
        <f t="shared" si="13"/>
        <v>#REF!</v>
      </c>
      <c r="U61" s="40" t="e">
        <f t="shared" si="14"/>
        <v>#REF!</v>
      </c>
      <c r="V61" s="579" t="e">
        <f t="shared" si="15"/>
        <v>#REF!</v>
      </c>
      <c r="W61" s="40" t="e">
        <f>+'CONAP-FUR (REG)-Detail'!#REF!</f>
        <v>#REF!</v>
      </c>
      <c r="X61" s="40" t="e">
        <f>+'CONAP-FUR (REG)-Detail'!#REF!</f>
        <v>#REF!</v>
      </c>
      <c r="Y61" s="40" t="e">
        <f>+'CONAP-FUR (REG)-Detail'!#REF!</f>
        <v>#REF!</v>
      </c>
      <c r="Z61" s="579" t="e">
        <f t="shared" si="16"/>
        <v>#REF!</v>
      </c>
      <c r="AA61" s="40" t="e">
        <f>+'CONAP-FUR (REG)-Detail'!#REF!</f>
        <v>#REF!</v>
      </c>
      <c r="AB61" s="40" t="e">
        <f>+'CONAP-FUR (REG)-Detail'!#REF!</f>
        <v>#REF!</v>
      </c>
      <c r="AC61" s="40" t="e">
        <f>+'CONAP-FUR (REG)-Detail'!#REF!</f>
        <v>#REF!</v>
      </c>
      <c r="AD61" s="579" t="e">
        <f t="shared" si="17"/>
        <v>#REF!</v>
      </c>
      <c r="AE61" s="40" t="e">
        <f t="shared" si="18"/>
        <v>#REF!</v>
      </c>
      <c r="AF61" s="40" t="e">
        <f t="shared" si="19"/>
        <v>#REF!</v>
      </c>
      <c r="AG61" s="40" t="e">
        <f t="shared" si="20"/>
        <v>#REF!</v>
      </c>
      <c r="AH61" s="579" t="e">
        <f t="shared" si="21"/>
        <v>#REF!</v>
      </c>
      <c r="AI61" s="579" t="e">
        <f t="shared" si="22"/>
        <v>#REF!</v>
      </c>
      <c r="AJ61" s="579" t="e">
        <f t="shared" si="23"/>
        <v>#REF!</v>
      </c>
      <c r="AK61" s="579" t="e">
        <f t="shared" si="24"/>
        <v>#REF!</v>
      </c>
      <c r="AL61" s="579" t="e">
        <f t="shared" si="25"/>
        <v>#REF!</v>
      </c>
      <c r="AM61" s="600" t="e">
        <f t="shared" si="27"/>
        <v>#REF!</v>
      </c>
      <c r="AN61" s="600" t="e">
        <f t="shared" si="28"/>
        <v>#REF!</v>
      </c>
      <c r="AO61" s="600" t="e">
        <f t="shared" si="29"/>
        <v>#REF!</v>
      </c>
      <c r="AP61" s="600" t="e">
        <f t="shared" si="30"/>
        <v>#REF!</v>
      </c>
    </row>
    <row r="62" spans="1:44" s="16" customFormat="1">
      <c r="A62" s="586" t="s">
        <v>936</v>
      </c>
      <c r="B62" s="596" t="s">
        <v>444</v>
      </c>
      <c r="C62" s="40" t="e">
        <f>+'CONAP-FUR (REG)-Detail'!#REF!</f>
        <v>#REF!</v>
      </c>
      <c r="D62" s="40" t="e">
        <f>+'CONAP-FUR (REG)-Detail'!#REF!</f>
        <v>#REF!</v>
      </c>
      <c r="E62" s="40" t="e">
        <f>+'CONAP-FUR (REG)-Detail'!#REF!</f>
        <v>#REF!</v>
      </c>
      <c r="F62" s="579" t="e">
        <f t="shared" si="5"/>
        <v>#REF!</v>
      </c>
      <c r="G62" s="40" t="e">
        <f>+'CONAP-FUR (REG)-Detail'!#REF!</f>
        <v>#REF!</v>
      </c>
      <c r="H62" s="40" t="e">
        <f>+'CONAP-FUR (REG)-Detail'!#REF!</f>
        <v>#REF!</v>
      </c>
      <c r="I62" s="40" t="e">
        <f>+'CONAP-FUR (REG)-Detail'!#REF!</f>
        <v>#REF!</v>
      </c>
      <c r="J62" s="579" t="e">
        <f t="shared" si="6"/>
        <v>#REF!</v>
      </c>
      <c r="K62" s="40" t="e">
        <f>+'CONAP-FUR (REG)-Detail'!#REF!</f>
        <v>#REF!</v>
      </c>
      <c r="L62" s="40" t="e">
        <f>+'CONAP-FUR (REG)-Detail'!#REF!</f>
        <v>#REF!</v>
      </c>
      <c r="M62" s="40" t="e">
        <f>+'CONAP-FUR (REG)-Detail'!#REF!</f>
        <v>#REF!</v>
      </c>
      <c r="N62" s="579" t="e">
        <f t="shared" si="7"/>
        <v>#REF!</v>
      </c>
      <c r="O62" s="40" t="e">
        <f t="shared" si="8"/>
        <v>#REF!</v>
      </c>
      <c r="P62" s="40" t="e">
        <f t="shared" si="9"/>
        <v>#REF!</v>
      </c>
      <c r="Q62" s="40" t="e">
        <f t="shared" si="10"/>
        <v>#REF!</v>
      </c>
      <c r="R62" s="579" t="e">
        <f t="shared" si="11"/>
        <v>#REF!</v>
      </c>
      <c r="S62" s="40" t="e">
        <f t="shared" si="12"/>
        <v>#REF!</v>
      </c>
      <c r="T62" s="40" t="e">
        <f t="shared" si="13"/>
        <v>#REF!</v>
      </c>
      <c r="U62" s="40" t="e">
        <f t="shared" si="14"/>
        <v>#REF!</v>
      </c>
      <c r="V62" s="579" t="e">
        <f t="shared" si="15"/>
        <v>#REF!</v>
      </c>
      <c r="W62" s="40" t="e">
        <f>+'CONAP-FUR (REG)-Detail'!#REF!</f>
        <v>#REF!</v>
      </c>
      <c r="X62" s="40" t="e">
        <f>+'CONAP-FUR (REG)-Detail'!#REF!</f>
        <v>#REF!</v>
      </c>
      <c r="Y62" s="40" t="e">
        <f>+'CONAP-FUR (REG)-Detail'!#REF!</f>
        <v>#REF!</v>
      </c>
      <c r="Z62" s="579" t="e">
        <f t="shared" si="16"/>
        <v>#REF!</v>
      </c>
      <c r="AA62" s="40" t="e">
        <f>+'CONAP-FUR (REG)-Detail'!#REF!</f>
        <v>#REF!</v>
      </c>
      <c r="AB62" s="40" t="e">
        <f>+'CONAP-FUR (REG)-Detail'!#REF!</f>
        <v>#REF!</v>
      </c>
      <c r="AC62" s="40" t="e">
        <f>+'CONAP-FUR (REG)-Detail'!#REF!</f>
        <v>#REF!</v>
      </c>
      <c r="AD62" s="579" t="e">
        <f t="shared" si="17"/>
        <v>#REF!</v>
      </c>
      <c r="AE62" s="40" t="e">
        <f t="shared" si="18"/>
        <v>#REF!</v>
      </c>
      <c r="AF62" s="40" t="e">
        <f t="shared" si="19"/>
        <v>#REF!</v>
      </c>
      <c r="AG62" s="40" t="e">
        <f t="shared" si="20"/>
        <v>#REF!</v>
      </c>
      <c r="AH62" s="579" t="e">
        <f t="shared" si="21"/>
        <v>#REF!</v>
      </c>
      <c r="AI62" s="579" t="e">
        <f t="shared" si="22"/>
        <v>#REF!</v>
      </c>
      <c r="AJ62" s="579" t="e">
        <f t="shared" si="23"/>
        <v>#REF!</v>
      </c>
      <c r="AK62" s="579" t="e">
        <f t="shared" si="24"/>
        <v>#REF!</v>
      </c>
      <c r="AL62" s="579" t="e">
        <f t="shared" si="25"/>
        <v>#REF!</v>
      </c>
      <c r="AM62" s="600" t="e">
        <f t="shared" si="27"/>
        <v>#REF!</v>
      </c>
      <c r="AN62" s="600" t="e">
        <f t="shared" si="28"/>
        <v>#REF!</v>
      </c>
      <c r="AO62" s="600" t="e">
        <f t="shared" si="29"/>
        <v>#REF!</v>
      </c>
      <c r="AP62" s="600" t="e">
        <f t="shared" si="30"/>
        <v>#REF!</v>
      </c>
    </row>
    <row r="63" spans="1:44" s="16" customFormat="1">
      <c r="A63" s="583"/>
      <c r="B63" s="596"/>
      <c r="C63" s="40"/>
      <c r="D63" s="40"/>
      <c r="E63" s="40"/>
      <c r="F63" s="41">
        <f t="shared" si="5"/>
        <v>0</v>
      </c>
      <c r="G63" s="40"/>
      <c r="H63" s="40"/>
      <c r="I63" s="40"/>
      <c r="J63" s="41">
        <f t="shared" si="6"/>
        <v>0</v>
      </c>
      <c r="K63" s="40"/>
      <c r="L63" s="40"/>
      <c r="M63" s="40"/>
      <c r="N63" s="41">
        <f t="shared" si="7"/>
        <v>0</v>
      </c>
      <c r="O63" s="40">
        <f t="shared" si="8"/>
        <v>0</v>
      </c>
      <c r="P63" s="40">
        <f t="shared" si="9"/>
        <v>0</v>
      </c>
      <c r="Q63" s="40">
        <f t="shared" si="10"/>
        <v>0</v>
      </c>
      <c r="R63" s="41">
        <f t="shared" si="11"/>
        <v>0</v>
      </c>
      <c r="S63" s="40">
        <f t="shared" si="12"/>
        <v>0</v>
      </c>
      <c r="T63" s="40">
        <f t="shared" si="13"/>
        <v>0</v>
      </c>
      <c r="U63" s="40">
        <f t="shared" si="14"/>
        <v>0</v>
      </c>
      <c r="V63" s="41">
        <f t="shared" si="15"/>
        <v>0</v>
      </c>
      <c r="W63" s="40"/>
      <c r="X63" s="40"/>
      <c r="Y63" s="40"/>
      <c r="Z63" s="41">
        <f t="shared" si="16"/>
        <v>0</v>
      </c>
      <c r="AA63" s="40"/>
      <c r="AB63" s="40"/>
      <c r="AC63" s="40"/>
      <c r="AD63" s="41">
        <f t="shared" si="17"/>
        <v>0</v>
      </c>
      <c r="AE63" s="40">
        <f t="shared" si="18"/>
        <v>0</v>
      </c>
      <c r="AF63" s="40">
        <f t="shared" si="19"/>
        <v>0</v>
      </c>
      <c r="AG63" s="40">
        <f t="shared" si="20"/>
        <v>0</v>
      </c>
      <c r="AH63" s="41">
        <f t="shared" si="21"/>
        <v>0</v>
      </c>
      <c r="AI63" s="41">
        <f t="shared" si="22"/>
        <v>0</v>
      </c>
      <c r="AJ63" s="41">
        <f t="shared" si="23"/>
        <v>0</v>
      </c>
      <c r="AK63" s="41">
        <f t="shared" si="24"/>
        <v>0</v>
      </c>
      <c r="AL63" s="41">
        <f t="shared" si="25"/>
        <v>0</v>
      </c>
      <c r="AM63" s="601" t="str">
        <f t="shared" si="27"/>
        <v xml:space="preserve"> </v>
      </c>
      <c r="AN63" s="601" t="str">
        <f t="shared" si="28"/>
        <v xml:space="preserve"> </v>
      </c>
      <c r="AO63" s="601" t="str">
        <f t="shared" si="29"/>
        <v xml:space="preserve"> </v>
      </c>
      <c r="AP63" s="601" t="str">
        <f t="shared" si="30"/>
        <v xml:space="preserve"> </v>
      </c>
    </row>
    <row r="64" spans="1:44" s="609" customFormat="1" ht="16.5">
      <c r="A64" s="586" t="s">
        <v>937</v>
      </c>
      <c r="B64" s="595" t="s">
        <v>445</v>
      </c>
      <c r="C64" s="37" t="e">
        <f>SUM(C65:C67)</f>
        <v>#REF!</v>
      </c>
      <c r="D64" s="37" t="e">
        <f>SUM(D65:D67)</f>
        <v>#REF!</v>
      </c>
      <c r="E64" s="37" t="e">
        <f>SUM(E65:E67)</f>
        <v>#REF!</v>
      </c>
      <c r="F64" s="37" t="e">
        <f t="shared" si="5"/>
        <v>#REF!</v>
      </c>
      <c r="G64" s="37" t="e">
        <f>SUM(G65:G67)</f>
        <v>#REF!</v>
      </c>
      <c r="H64" s="37" t="e">
        <f>SUM(H65:H67)</f>
        <v>#REF!</v>
      </c>
      <c r="I64" s="37" t="e">
        <f>SUM(I65:I67)</f>
        <v>#REF!</v>
      </c>
      <c r="J64" s="37" t="e">
        <f t="shared" si="6"/>
        <v>#REF!</v>
      </c>
      <c r="K64" s="37" t="e">
        <f>SUM(K65:K67)</f>
        <v>#REF!</v>
      </c>
      <c r="L64" s="37" t="e">
        <f>SUM(L65:L67)</f>
        <v>#REF!</v>
      </c>
      <c r="M64" s="37" t="e">
        <f>SUM(M65:M67)</f>
        <v>#REF!</v>
      </c>
      <c r="N64" s="37" t="e">
        <f t="shared" si="7"/>
        <v>#REF!</v>
      </c>
      <c r="O64" s="37" t="e">
        <f t="shared" si="8"/>
        <v>#REF!</v>
      </c>
      <c r="P64" s="37" t="e">
        <f t="shared" si="9"/>
        <v>#REF!</v>
      </c>
      <c r="Q64" s="37" t="e">
        <f t="shared" si="10"/>
        <v>#REF!</v>
      </c>
      <c r="R64" s="37" t="e">
        <f t="shared" si="11"/>
        <v>#REF!</v>
      </c>
      <c r="S64" s="37" t="e">
        <f t="shared" si="12"/>
        <v>#REF!</v>
      </c>
      <c r="T64" s="37" t="e">
        <f t="shared" si="13"/>
        <v>#REF!</v>
      </c>
      <c r="U64" s="37" t="e">
        <f t="shared" si="14"/>
        <v>#REF!</v>
      </c>
      <c r="V64" s="37" t="e">
        <f t="shared" si="15"/>
        <v>#REF!</v>
      </c>
      <c r="W64" s="37" t="e">
        <f>SUM(W65:W67)</f>
        <v>#REF!</v>
      </c>
      <c r="X64" s="37" t="e">
        <f>SUM(X65:X67)</f>
        <v>#REF!</v>
      </c>
      <c r="Y64" s="37" t="e">
        <f>SUM(Y65:Y67)</f>
        <v>#REF!</v>
      </c>
      <c r="Z64" s="37" t="e">
        <f t="shared" si="16"/>
        <v>#REF!</v>
      </c>
      <c r="AA64" s="37" t="e">
        <f>SUM(AA65:AA67)</f>
        <v>#REF!</v>
      </c>
      <c r="AB64" s="37" t="e">
        <f>SUM(AB65:AB67)</f>
        <v>#REF!</v>
      </c>
      <c r="AC64" s="37" t="e">
        <f>SUM(AC65:AC67)</f>
        <v>#REF!</v>
      </c>
      <c r="AD64" s="37" t="e">
        <f t="shared" si="17"/>
        <v>#REF!</v>
      </c>
      <c r="AE64" s="37" t="e">
        <f t="shared" si="18"/>
        <v>#REF!</v>
      </c>
      <c r="AF64" s="37" t="e">
        <f t="shared" si="19"/>
        <v>#REF!</v>
      </c>
      <c r="AG64" s="37" t="e">
        <f t="shared" si="20"/>
        <v>#REF!</v>
      </c>
      <c r="AH64" s="37" t="e">
        <f t="shared" si="21"/>
        <v>#REF!</v>
      </c>
      <c r="AI64" s="37" t="e">
        <f t="shared" si="22"/>
        <v>#REF!</v>
      </c>
      <c r="AJ64" s="37" t="e">
        <f t="shared" si="23"/>
        <v>#REF!</v>
      </c>
      <c r="AK64" s="37" t="e">
        <f t="shared" si="24"/>
        <v>#REF!</v>
      </c>
      <c r="AL64" s="37" t="e">
        <f t="shared" si="25"/>
        <v>#REF!</v>
      </c>
      <c r="AM64" s="608" t="e">
        <f t="shared" si="27"/>
        <v>#REF!</v>
      </c>
      <c r="AN64" s="608" t="e">
        <f t="shared" si="28"/>
        <v>#REF!</v>
      </c>
      <c r="AO64" s="608" t="e">
        <f t="shared" si="29"/>
        <v>#REF!</v>
      </c>
      <c r="AP64" s="608" t="e">
        <f t="shared" si="30"/>
        <v>#REF!</v>
      </c>
    </row>
    <row r="65" spans="1:44" s="16" customFormat="1">
      <c r="A65" s="586" t="s">
        <v>937</v>
      </c>
      <c r="B65" s="596" t="s">
        <v>446</v>
      </c>
      <c r="C65" s="40" t="e">
        <f>+'CONAP-FUR (REG)-Detail'!#REF!</f>
        <v>#REF!</v>
      </c>
      <c r="D65" s="40" t="e">
        <f>+'CONAP-FUR (REG)-Detail'!#REF!</f>
        <v>#REF!</v>
      </c>
      <c r="E65" s="40" t="e">
        <f>+'CONAP-FUR (REG)-Detail'!#REF!</f>
        <v>#REF!</v>
      </c>
      <c r="F65" s="579" t="e">
        <f t="shared" si="5"/>
        <v>#REF!</v>
      </c>
      <c r="G65" s="40" t="e">
        <f>+'CONAP-FUR (REG)-Detail'!#REF!</f>
        <v>#REF!</v>
      </c>
      <c r="H65" s="40" t="e">
        <f>+'CONAP-FUR (REG)-Detail'!#REF!</f>
        <v>#REF!</v>
      </c>
      <c r="I65" s="40" t="e">
        <f>+'CONAP-FUR (REG)-Detail'!#REF!</f>
        <v>#REF!</v>
      </c>
      <c r="J65" s="579" t="e">
        <f t="shared" si="6"/>
        <v>#REF!</v>
      </c>
      <c r="K65" s="40" t="e">
        <f>+'CONAP-FUR (REG)-Detail'!#REF!</f>
        <v>#REF!</v>
      </c>
      <c r="L65" s="40" t="e">
        <f>+'CONAP-FUR (REG)-Detail'!#REF!</f>
        <v>#REF!</v>
      </c>
      <c r="M65" s="40" t="e">
        <f>+'CONAP-FUR (REG)-Detail'!#REF!</f>
        <v>#REF!</v>
      </c>
      <c r="N65" s="579" t="e">
        <f t="shared" si="7"/>
        <v>#REF!</v>
      </c>
      <c r="O65" s="40" t="e">
        <f t="shared" si="8"/>
        <v>#REF!</v>
      </c>
      <c r="P65" s="40" t="e">
        <f t="shared" si="9"/>
        <v>#REF!</v>
      </c>
      <c r="Q65" s="40" t="e">
        <f t="shared" si="10"/>
        <v>#REF!</v>
      </c>
      <c r="R65" s="579" t="e">
        <f t="shared" si="11"/>
        <v>#REF!</v>
      </c>
      <c r="S65" s="40" t="e">
        <f t="shared" si="12"/>
        <v>#REF!</v>
      </c>
      <c r="T65" s="40" t="e">
        <f t="shared" si="13"/>
        <v>#REF!</v>
      </c>
      <c r="U65" s="40" t="e">
        <f t="shared" si="14"/>
        <v>#REF!</v>
      </c>
      <c r="V65" s="579" t="e">
        <f t="shared" si="15"/>
        <v>#REF!</v>
      </c>
      <c r="W65" s="40" t="e">
        <f>+'CONAP-FUR (REG)-Detail'!#REF!</f>
        <v>#REF!</v>
      </c>
      <c r="X65" s="40" t="e">
        <f>+'CONAP-FUR (REG)-Detail'!#REF!</f>
        <v>#REF!</v>
      </c>
      <c r="Y65" s="40" t="e">
        <f>+'CONAP-FUR (REG)-Detail'!#REF!</f>
        <v>#REF!</v>
      </c>
      <c r="Z65" s="579" t="e">
        <f t="shared" si="16"/>
        <v>#REF!</v>
      </c>
      <c r="AA65" s="40" t="e">
        <f>+'CONAP-FUR (REG)-Detail'!#REF!</f>
        <v>#REF!</v>
      </c>
      <c r="AB65" s="40" t="e">
        <f>+'CONAP-FUR (REG)-Detail'!#REF!</f>
        <v>#REF!</v>
      </c>
      <c r="AC65" s="40" t="e">
        <f>+'CONAP-FUR (REG)-Detail'!#REF!</f>
        <v>#REF!</v>
      </c>
      <c r="AD65" s="579" t="e">
        <f t="shared" si="17"/>
        <v>#REF!</v>
      </c>
      <c r="AE65" s="40" t="e">
        <f t="shared" si="18"/>
        <v>#REF!</v>
      </c>
      <c r="AF65" s="40" t="e">
        <f t="shared" si="19"/>
        <v>#REF!</v>
      </c>
      <c r="AG65" s="40" t="e">
        <f t="shared" si="20"/>
        <v>#REF!</v>
      </c>
      <c r="AH65" s="579" t="e">
        <f t="shared" si="21"/>
        <v>#REF!</v>
      </c>
      <c r="AI65" s="579" t="e">
        <f t="shared" si="22"/>
        <v>#REF!</v>
      </c>
      <c r="AJ65" s="579" t="e">
        <f t="shared" si="23"/>
        <v>#REF!</v>
      </c>
      <c r="AK65" s="579" t="e">
        <f t="shared" si="24"/>
        <v>#REF!</v>
      </c>
      <c r="AL65" s="579" t="e">
        <f t="shared" si="25"/>
        <v>#REF!</v>
      </c>
      <c r="AM65" s="600" t="e">
        <f t="shared" si="27"/>
        <v>#REF!</v>
      </c>
      <c r="AN65" s="600" t="e">
        <f t="shared" si="28"/>
        <v>#REF!</v>
      </c>
      <c r="AO65" s="600" t="e">
        <f t="shared" si="29"/>
        <v>#REF!</v>
      </c>
      <c r="AP65" s="600" t="e">
        <f t="shared" si="30"/>
        <v>#REF!</v>
      </c>
    </row>
    <row r="66" spans="1:44" s="16" customFormat="1">
      <c r="A66" s="586" t="s">
        <v>937</v>
      </c>
      <c r="B66" s="596" t="s">
        <v>447</v>
      </c>
      <c r="C66" s="40" t="e">
        <f>+'CONAP-FUR (REG)-Detail'!#REF!</f>
        <v>#REF!</v>
      </c>
      <c r="D66" s="40" t="e">
        <f>+'CONAP-FUR (REG)-Detail'!#REF!</f>
        <v>#REF!</v>
      </c>
      <c r="E66" s="40" t="e">
        <f>+'CONAP-FUR (REG)-Detail'!#REF!</f>
        <v>#REF!</v>
      </c>
      <c r="F66" s="579" t="e">
        <f t="shared" si="5"/>
        <v>#REF!</v>
      </c>
      <c r="G66" s="40" t="e">
        <f>+'CONAP-FUR (REG)-Detail'!#REF!</f>
        <v>#REF!</v>
      </c>
      <c r="H66" s="40" t="e">
        <f>+'CONAP-FUR (REG)-Detail'!#REF!</f>
        <v>#REF!</v>
      </c>
      <c r="I66" s="40" t="e">
        <f>+'CONAP-FUR (REG)-Detail'!#REF!</f>
        <v>#REF!</v>
      </c>
      <c r="J66" s="579" t="e">
        <f t="shared" si="6"/>
        <v>#REF!</v>
      </c>
      <c r="K66" s="40" t="e">
        <f>+'CONAP-FUR (REG)-Detail'!#REF!</f>
        <v>#REF!</v>
      </c>
      <c r="L66" s="40" t="e">
        <f>+'CONAP-FUR (REG)-Detail'!#REF!</f>
        <v>#REF!</v>
      </c>
      <c r="M66" s="40" t="e">
        <f>+'CONAP-FUR (REG)-Detail'!#REF!</f>
        <v>#REF!</v>
      </c>
      <c r="N66" s="579" t="e">
        <f t="shared" si="7"/>
        <v>#REF!</v>
      </c>
      <c r="O66" s="40" t="e">
        <f t="shared" si="8"/>
        <v>#REF!</v>
      </c>
      <c r="P66" s="40" t="e">
        <f t="shared" si="9"/>
        <v>#REF!</v>
      </c>
      <c r="Q66" s="40" t="e">
        <f t="shared" si="10"/>
        <v>#REF!</v>
      </c>
      <c r="R66" s="579" t="e">
        <f t="shared" si="11"/>
        <v>#REF!</v>
      </c>
      <c r="S66" s="40" t="e">
        <f t="shared" si="12"/>
        <v>#REF!</v>
      </c>
      <c r="T66" s="40" t="e">
        <f t="shared" si="13"/>
        <v>#REF!</v>
      </c>
      <c r="U66" s="40" t="e">
        <f t="shared" si="14"/>
        <v>#REF!</v>
      </c>
      <c r="V66" s="579" t="e">
        <f t="shared" si="15"/>
        <v>#REF!</v>
      </c>
      <c r="W66" s="40" t="e">
        <f>+'CONAP-FUR (REG)-Detail'!#REF!</f>
        <v>#REF!</v>
      </c>
      <c r="X66" s="40" t="e">
        <f>+'CONAP-FUR (REG)-Detail'!#REF!</f>
        <v>#REF!</v>
      </c>
      <c r="Y66" s="40" t="e">
        <f>+'CONAP-FUR (REG)-Detail'!#REF!</f>
        <v>#REF!</v>
      </c>
      <c r="Z66" s="579" t="e">
        <f t="shared" si="16"/>
        <v>#REF!</v>
      </c>
      <c r="AA66" s="40" t="e">
        <f>+'CONAP-FUR (REG)-Detail'!#REF!</f>
        <v>#REF!</v>
      </c>
      <c r="AB66" s="40" t="e">
        <f>+'CONAP-FUR (REG)-Detail'!#REF!</f>
        <v>#REF!</v>
      </c>
      <c r="AC66" s="40" t="e">
        <f>+'CONAP-FUR (REG)-Detail'!#REF!</f>
        <v>#REF!</v>
      </c>
      <c r="AD66" s="579" t="e">
        <f t="shared" si="17"/>
        <v>#REF!</v>
      </c>
      <c r="AE66" s="40" t="e">
        <f t="shared" si="18"/>
        <v>#REF!</v>
      </c>
      <c r="AF66" s="40" t="e">
        <f t="shared" si="19"/>
        <v>#REF!</v>
      </c>
      <c r="AG66" s="40" t="e">
        <f t="shared" si="20"/>
        <v>#REF!</v>
      </c>
      <c r="AH66" s="579" t="e">
        <f t="shared" si="21"/>
        <v>#REF!</v>
      </c>
      <c r="AI66" s="579" t="e">
        <f t="shared" si="22"/>
        <v>#REF!</v>
      </c>
      <c r="AJ66" s="579" t="e">
        <f t="shared" si="23"/>
        <v>#REF!</v>
      </c>
      <c r="AK66" s="579" t="e">
        <f t="shared" si="24"/>
        <v>#REF!</v>
      </c>
      <c r="AL66" s="579" t="e">
        <f t="shared" si="25"/>
        <v>#REF!</v>
      </c>
      <c r="AM66" s="600" t="e">
        <f t="shared" si="27"/>
        <v>#REF!</v>
      </c>
      <c r="AN66" s="600" t="e">
        <f t="shared" si="28"/>
        <v>#REF!</v>
      </c>
      <c r="AO66" s="600" t="e">
        <f t="shared" si="29"/>
        <v>#REF!</v>
      </c>
      <c r="AP66" s="600" t="e">
        <f t="shared" si="30"/>
        <v>#REF!</v>
      </c>
    </row>
    <row r="67" spans="1:44" s="16" customFormat="1">
      <c r="A67" s="586" t="s">
        <v>937</v>
      </c>
      <c r="B67" s="596" t="s">
        <v>448</v>
      </c>
      <c r="C67" s="40" t="e">
        <f>+'CONAP-FUR (REG)-Detail'!#REF!</f>
        <v>#REF!</v>
      </c>
      <c r="D67" s="40" t="e">
        <f>+'CONAP-FUR (REG)-Detail'!#REF!</f>
        <v>#REF!</v>
      </c>
      <c r="E67" s="40" t="e">
        <f>+'CONAP-FUR (REG)-Detail'!#REF!</f>
        <v>#REF!</v>
      </c>
      <c r="F67" s="579" t="e">
        <f t="shared" si="5"/>
        <v>#REF!</v>
      </c>
      <c r="G67" s="40" t="e">
        <f>+'CONAP-FUR (REG)-Detail'!#REF!</f>
        <v>#REF!</v>
      </c>
      <c r="H67" s="40" t="e">
        <f>+'CONAP-FUR (REG)-Detail'!#REF!</f>
        <v>#REF!</v>
      </c>
      <c r="I67" s="40" t="e">
        <f>+'CONAP-FUR (REG)-Detail'!#REF!</f>
        <v>#REF!</v>
      </c>
      <c r="J67" s="579" t="e">
        <f t="shared" si="6"/>
        <v>#REF!</v>
      </c>
      <c r="K67" s="40" t="e">
        <f>+'CONAP-FUR (REG)-Detail'!#REF!</f>
        <v>#REF!</v>
      </c>
      <c r="L67" s="40" t="e">
        <f>+'CONAP-FUR (REG)-Detail'!#REF!</f>
        <v>#REF!</v>
      </c>
      <c r="M67" s="40" t="e">
        <f>+'CONAP-FUR (REG)-Detail'!#REF!</f>
        <v>#REF!</v>
      </c>
      <c r="N67" s="579" t="e">
        <f t="shared" si="7"/>
        <v>#REF!</v>
      </c>
      <c r="O67" s="40" t="e">
        <f t="shared" si="8"/>
        <v>#REF!</v>
      </c>
      <c r="P67" s="40" t="e">
        <f t="shared" si="9"/>
        <v>#REF!</v>
      </c>
      <c r="Q67" s="40" t="e">
        <f t="shared" si="10"/>
        <v>#REF!</v>
      </c>
      <c r="R67" s="579" t="e">
        <f t="shared" si="11"/>
        <v>#REF!</v>
      </c>
      <c r="S67" s="40" t="e">
        <f t="shared" si="12"/>
        <v>#REF!</v>
      </c>
      <c r="T67" s="40" t="e">
        <f t="shared" si="13"/>
        <v>#REF!</v>
      </c>
      <c r="U67" s="40" t="e">
        <f t="shared" si="14"/>
        <v>#REF!</v>
      </c>
      <c r="V67" s="579" t="e">
        <f t="shared" si="15"/>
        <v>#REF!</v>
      </c>
      <c r="W67" s="40" t="e">
        <f>+'CONAP-FUR (REG)-Detail'!#REF!</f>
        <v>#REF!</v>
      </c>
      <c r="X67" s="40" t="e">
        <f>+'CONAP-FUR (REG)-Detail'!#REF!</f>
        <v>#REF!</v>
      </c>
      <c r="Y67" s="40" t="e">
        <f>+'CONAP-FUR (REG)-Detail'!#REF!</f>
        <v>#REF!</v>
      </c>
      <c r="Z67" s="579" t="e">
        <f t="shared" si="16"/>
        <v>#REF!</v>
      </c>
      <c r="AA67" s="40" t="e">
        <f>+'CONAP-FUR (REG)-Detail'!#REF!</f>
        <v>#REF!</v>
      </c>
      <c r="AB67" s="40" t="e">
        <f>+'CONAP-FUR (REG)-Detail'!#REF!</f>
        <v>#REF!</v>
      </c>
      <c r="AC67" s="40" t="e">
        <f>+'CONAP-FUR (REG)-Detail'!#REF!</f>
        <v>#REF!</v>
      </c>
      <c r="AD67" s="579" t="e">
        <f t="shared" si="17"/>
        <v>#REF!</v>
      </c>
      <c r="AE67" s="40" t="e">
        <f t="shared" si="18"/>
        <v>#REF!</v>
      </c>
      <c r="AF67" s="40" t="e">
        <f t="shared" si="19"/>
        <v>#REF!</v>
      </c>
      <c r="AG67" s="40" t="e">
        <f t="shared" si="20"/>
        <v>#REF!</v>
      </c>
      <c r="AH67" s="579" t="e">
        <f t="shared" si="21"/>
        <v>#REF!</v>
      </c>
      <c r="AI67" s="579" t="e">
        <f t="shared" si="22"/>
        <v>#REF!</v>
      </c>
      <c r="AJ67" s="579" t="e">
        <f t="shared" si="23"/>
        <v>#REF!</v>
      </c>
      <c r="AK67" s="579" t="e">
        <f t="shared" si="24"/>
        <v>#REF!</v>
      </c>
      <c r="AL67" s="579" t="e">
        <f t="shared" si="25"/>
        <v>#REF!</v>
      </c>
      <c r="AM67" s="600" t="e">
        <f t="shared" si="27"/>
        <v>#REF!</v>
      </c>
      <c r="AN67" s="600" t="e">
        <f t="shared" si="28"/>
        <v>#REF!</v>
      </c>
      <c r="AO67" s="600" t="e">
        <f t="shared" si="29"/>
        <v>#REF!</v>
      </c>
      <c r="AP67" s="600" t="e">
        <f t="shared" si="30"/>
        <v>#REF!</v>
      </c>
    </row>
    <row r="68" spans="1:44" s="16" customFormat="1">
      <c r="A68" s="583"/>
      <c r="B68" s="596"/>
      <c r="C68" s="40"/>
      <c r="D68" s="40"/>
      <c r="E68" s="40"/>
      <c r="F68" s="41">
        <f t="shared" si="5"/>
        <v>0</v>
      </c>
      <c r="G68" s="40"/>
      <c r="H68" s="40"/>
      <c r="I68" s="40"/>
      <c r="J68" s="41">
        <f t="shared" si="6"/>
        <v>0</v>
      </c>
      <c r="K68" s="40"/>
      <c r="L68" s="40"/>
      <c r="M68" s="40"/>
      <c r="N68" s="41">
        <f t="shared" si="7"/>
        <v>0</v>
      </c>
      <c r="O68" s="40">
        <f t="shared" si="8"/>
        <v>0</v>
      </c>
      <c r="P68" s="40">
        <f t="shared" si="9"/>
        <v>0</v>
      </c>
      <c r="Q68" s="40">
        <f t="shared" si="10"/>
        <v>0</v>
      </c>
      <c r="R68" s="41">
        <f t="shared" si="11"/>
        <v>0</v>
      </c>
      <c r="S68" s="40">
        <f t="shared" si="12"/>
        <v>0</v>
      </c>
      <c r="T68" s="40">
        <f t="shared" si="13"/>
        <v>0</v>
      </c>
      <c r="U68" s="40">
        <f t="shared" si="14"/>
        <v>0</v>
      </c>
      <c r="V68" s="41">
        <f t="shared" si="15"/>
        <v>0</v>
      </c>
      <c r="W68" s="40"/>
      <c r="X68" s="40"/>
      <c r="Y68" s="40"/>
      <c r="Z68" s="41">
        <f t="shared" si="16"/>
        <v>0</v>
      </c>
      <c r="AA68" s="40"/>
      <c r="AB68" s="40"/>
      <c r="AC68" s="40"/>
      <c r="AD68" s="41">
        <f t="shared" si="17"/>
        <v>0</v>
      </c>
      <c r="AE68" s="40">
        <f t="shared" si="18"/>
        <v>0</v>
      </c>
      <c r="AF68" s="40">
        <f t="shared" si="19"/>
        <v>0</v>
      </c>
      <c r="AG68" s="40">
        <f t="shared" si="20"/>
        <v>0</v>
      </c>
      <c r="AH68" s="41">
        <f t="shared" si="21"/>
        <v>0</v>
      </c>
      <c r="AI68" s="41">
        <f t="shared" si="22"/>
        <v>0</v>
      </c>
      <c r="AJ68" s="41">
        <f t="shared" si="23"/>
        <v>0</v>
      </c>
      <c r="AK68" s="41">
        <f t="shared" si="24"/>
        <v>0</v>
      </c>
      <c r="AL68" s="41">
        <f t="shared" si="25"/>
        <v>0</v>
      </c>
      <c r="AM68" s="601" t="str">
        <f t="shared" si="27"/>
        <v xml:space="preserve"> </v>
      </c>
      <c r="AN68" s="601" t="str">
        <f t="shared" si="28"/>
        <v xml:space="preserve"> </v>
      </c>
      <c r="AO68" s="601" t="str">
        <f t="shared" si="29"/>
        <v xml:space="preserve"> </v>
      </c>
      <c r="AP68" s="601" t="str">
        <f t="shared" si="30"/>
        <v xml:space="preserve"> </v>
      </c>
    </row>
    <row r="69" spans="1:44" s="609" customFormat="1" ht="16.5">
      <c r="A69" s="586" t="s">
        <v>938</v>
      </c>
      <c r="B69" s="595" t="s">
        <v>449</v>
      </c>
      <c r="C69" s="37" t="e">
        <f>SUM(C70:C74)</f>
        <v>#REF!</v>
      </c>
      <c r="D69" s="37" t="e">
        <f>SUM(D70:D74)</f>
        <v>#REF!</v>
      </c>
      <c r="E69" s="37" t="e">
        <f>SUM(E70:E74)</f>
        <v>#REF!</v>
      </c>
      <c r="F69" s="37" t="e">
        <f t="shared" si="5"/>
        <v>#REF!</v>
      </c>
      <c r="G69" s="37" t="e">
        <f>SUM(G70:G74)</f>
        <v>#REF!</v>
      </c>
      <c r="H69" s="37" t="e">
        <f>SUM(H70:H74)</f>
        <v>#REF!</v>
      </c>
      <c r="I69" s="37" t="e">
        <f>SUM(I70:I74)</f>
        <v>#REF!</v>
      </c>
      <c r="J69" s="37" t="e">
        <f t="shared" si="6"/>
        <v>#REF!</v>
      </c>
      <c r="K69" s="37" t="e">
        <f>SUM(K70:K74)</f>
        <v>#REF!</v>
      </c>
      <c r="L69" s="37" t="e">
        <f>SUM(L70:L74)</f>
        <v>#REF!</v>
      </c>
      <c r="M69" s="37" t="e">
        <f>SUM(M70:M74)</f>
        <v>#REF!</v>
      </c>
      <c r="N69" s="37" t="e">
        <f t="shared" si="7"/>
        <v>#REF!</v>
      </c>
      <c r="O69" s="37" t="e">
        <f t="shared" si="8"/>
        <v>#REF!</v>
      </c>
      <c r="P69" s="37" t="e">
        <f t="shared" si="9"/>
        <v>#REF!</v>
      </c>
      <c r="Q69" s="37" t="e">
        <f t="shared" si="10"/>
        <v>#REF!</v>
      </c>
      <c r="R69" s="37" t="e">
        <f t="shared" si="11"/>
        <v>#REF!</v>
      </c>
      <c r="S69" s="37" t="e">
        <f t="shared" si="12"/>
        <v>#REF!</v>
      </c>
      <c r="T69" s="37" t="e">
        <f t="shared" si="13"/>
        <v>#REF!</v>
      </c>
      <c r="U69" s="37" t="e">
        <f t="shared" si="14"/>
        <v>#REF!</v>
      </c>
      <c r="V69" s="37" t="e">
        <f t="shared" si="15"/>
        <v>#REF!</v>
      </c>
      <c r="W69" s="37" t="e">
        <f>SUM(W70:W74)</f>
        <v>#REF!</v>
      </c>
      <c r="X69" s="37" t="e">
        <f>SUM(X70:X74)</f>
        <v>#REF!</v>
      </c>
      <c r="Y69" s="37" t="e">
        <f>SUM(Y70:Y74)</f>
        <v>#REF!</v>
      </c>
      <c r="Z69" s="37" t="e">
        <f t="shared" si="16"/>
        <v>#REF!</v>
      </c>
      <c r="AA69" s="37" t="e">
        <f>SUM(AA70:AA74)</f>
        <v>#REF!</v>
      </c>
      <c r="AB69" s="37" t="e">
        <f>SUM(AB70:AB74)</f>
        <v>#REF!</v>
      </c>
      <c r="AC69" s="37" t="e">
        <f>SUM(AC70:AC74)</f>
        <v>#REF!</v>
      </c>
      <c r="AD69" s="37" t="e">
        <f t="shared" si="17"/>
        <v>#REF!</v>
      </c>
      <c r="AE69" s="37" t="e">
        <f t="shared" si="18"/>
        <v>#REF!</v>
      </c>
      <c r="AF69" s="37" t="e">
        <f t="shared" si="19"/>
        <v>#REF!</v>
      </c>
      <c r="AG69" s="37" t="e">
        <f t="shared" si="20"/>
        <v>#REF!</v>
      </c>
      <c r="AH69" s="37" t="e">
        <f t="shared" si="21"/>
        <v>#REF!</v>
      </c>
      <c r="AI69" s="37" t="e">
        <f t="shared" si="22"/>
        <v>#REF!</v>
      </c>
      <c r="AJ69" s="37" t="e">
        <f t="shared" si="23"/>
        <v>#REF!</v>
      </c>
      <c r="AK69" s="37" t="e">
        <f t="shared" si="24"/>
        <v>#REF!</v>
      </c>
      <c r="AL69" s="37" t="e">
        <f t="shared" si="25"/>
        <v>#REF!</v>
      </c>
      <c r="AM69" s="608" t="e">
        <f t="shared" si="27"/>
        <v>#REF!</v>
      </c>
      <c r="AN69" s="608" t="e">
        <f t="shared" si="28"/>
        <v>#REF!</v>
      </c>
      <c r="AO69" s="608" t="e">
        <f t="shared" si="29"/>
        <v>#REF!</v>
      </c>
      <c r="AP69" s="608" t="e">
        <f t="shared" si="30"/>
        <v>#REF!</v>
      </c>
    </row>
    <row r="70" spans="1:44" s="16" customFormat="1">
      <c r="A70" s="586" t="s">
        <v>938</v>
      </c>
      <c r="B70" s="596" t="s">
        <v>450</v>
      </c>
      <c r="C70" s="40" t="e">
        <f>+'CONAP-FUR (REG)-Detail'!#REF!</f>
        <v>#REF!</v>
      </c>
      <c r="D70" s="40" t="e">
        <f>+'CONAP-FUR (REG)-Detail'!#REF!</f>
        <v>#REF!</v>
      </c>
      <c r="E70" s="40" t="e">
        <f>+'CONAP-FUR (REG)-Detail'!#REF!</f>
        <v>#REF!</v>
      </c>
      <c r="F70" s="579" t="e">
        <f t="shared" si="5"/>
        <v>#REF!</v>
      </c>
      <c r="G70" s="40" t="e">
        <f>+'CONAP-FUR (REG)-Detail'!#REF!</f>
        <v>#REF!</v>
      </c>
      <c r="H70" s="40" t="e">
        <f>+'CONAP-FUR (REG)-Detail'!#REF!</f>
        <v>#REF!</v>
      </c>
      <c r="I70" s="40" t="e">
        <f>+'CONAP-FUR (REG)-Detail'!#REF!</f>
        <v>#REF!</v>
      </c>
      <c r="J70" s="579" t="e">
        <f t="shared" si="6"/>
        <v>#REF!</v>
      </c>
      <c r="K70" s="40" t="e">
        <f>+'CONAP-FUR (REG)-Detail'!#REF!</f>
        <v>#REF!</v>
      </c>
      <c r="L70" s="40" t="e">
        <f>+'CONAP-FUR (REG)-Detail'!#REF!</f>
        <v>#REF!</v>
      </c>
      <c r="M70" s="40" t="e">
        <f>+'CONAP-FUR (REG)-Detail'!#REF!</f>
        <v>#REF!</v>
      </c>
      <c r="N70" s="579" t="e">
        <f t="shared" si="7"/>
        <v>#REF!</v>
      </c>
      <c r="O70" s="40" t="e">
        <f t="shared" si="8"/>
        <v>#REF!</v>
      </c>
      <c r="P70" s="40" t="e">
        <f t="shared" si="9"/>
        <v>#REF!</v>
      </c>
      <c r="Q70" s="40" t="e">
        <f t="shared" si="10"/>
        <v>#REF!</v>
      </c>
      <c r="R70" s="579" t="e">
        <f t="shared" si="11"/>
        <v>#REF!</v>
      </c>
      <c r="S70" s="40" t="e">
        <f t="shared" si="12"/>
        <v>#REF!</v>
      </c>
      <c r="T70" s="40" t="e">
        <f t="shared" si="13"/>
        <v>#REF!</v>
      </c>
      <c r="U70" s="40" t="e">
        <f t="shared" si="14"/>
        <v>#REF!</v>
      </c>
      <c r="V70" s="579" t="e">
        <f t="shared" si="15"/>
        <v>#REF!</v>
      </c>
      <c r="W70" s="40" t="e">
        <f>+'CONAP-FUR (REG)-Detail'!#REF!</f>
        <v>#REF!</v>
      </c>
      <c r="X70" s="40" t="e">
        <f>+'CONAP-FUR (REG)-Detail'!#REF!</f>
        <v>#REF!</v>
      </c>
      <c r="Y70" s="40" t="e">
        <f>+'CONAP-FUR (REG)-Detail'!#REF!</f>
        <v>#REF!</v>
      </c>
      <c r="Z70" s="579" t="e">
        <f t="shared" si="16"/>
        <v>#REF!</v>
      </c>
      <c r="AA70" s="40" t="e">
        <f>+'CONAP-FUR (REG)-Detail'!#REF!</f>
        <v>#REF!</v>
      </c>
      <c r="AB70" s="40" t="e">
        <f>+'CONAP-FUR (REG)-Detail'!#REF!</f>
        <v>#REF!</v>
      </c>
      <c r="AC70" s="40" t="e">
        <f>+'CONAP-FUR (REG)-Detail'!#REF!</f>
        <v>#REF!</v>
      </c>
      <c r="AD70" s="579" t="e">
        <f t="shared" si="17"/>
        <v>#REF!</v>
      </c>
      <c r="AE70" s="40" t="e">
        <f t="shared" si="18"/>
        <v>#REF!</v>
      </c>
      <c r="AF70" s="40" t="e">
        <f t="shared" si="19"/>
        <v>#REF!</v>
      </c>
      <c r="AG70" s="40" t="e">
        <f t="shared" si="20"/>
        <v>#REF!</v>
      </c>
      <c r="AH70" s="579" t="e">
        <f t="shared" si="21"/>
        <v>#REF!</v>
      </c>
      <c r="AI70" s="579" t="e">
        <f t="shared" si="22"/>
        <v>#REF!</v>
      </c>
      <c r="AJ70" s="579" t="e">
        <f t="shared" si="23"/>
        <v>#REF!</v>
      </c>
      <c r="AK70" s="579" t="e">
        <f t="shared" si="24"/>
        <v>#REF!</v>
      </c>
      <c r="AL70" s="579" t="e">
        <f t="shared" si="25"/>
        <v>#REF!</v>
      </c>
      <c r="AM70" s="600" t="e">
        <f t="shared" si="27"/>
        <v>#REF!</v>
      </c>
      <c r="AN70" s="600" t="e">
        <f t="shared" si="28"/>
        <v>#REF!</v>
      </c>
      <c r="AO70" s="600" t="e">
        <f t="shared" si="29"/>
        <v>#REF!</v>
      </c>
      <c r="AP70" s="600" t="e">
        <f t="shared" si="30"/>
        <v>#REF!</v>
      </c>
    </row>
    <row r="71" spans="1:44" s="16" customFormat="1">
      <c r="A71" s="586" t="s">
        <v>938</v>
      </c>
      <c r="B71" s="596" t="s">
        <v>451</v>
      </c>
      <c r="C71" s="40" t="e">
        <f>+'CONAP-FUR (REG)-Detail'!#REF!</f>
        <v>#REF!</v>
      </c>
      <c r="D71" s="40" t="e">
        <f>+'CONAP-FUR (REG)-Detail'!#REF!</f>
        <v>#REF!</v>
      </c>
      <c r="E71" s="40" t="e">
        <f>+'CONAP-FUR (REG)-Detail'!#REF!</f>
        <v>#REF!</v>
      </c>
      <c r="F71" s="579" t="e">
        <f t="shared" si="5"/>
        <v>#REF!</v>
      </c>
      <c r="G71" s="40" t="e">
        <f>+'CONAP-FUR (REG)-Detail'!#REF!</f>
        <v>#REF!</v>
      </c>
      <c r="H71" s="40" t="e">
        <f>+'CONAP-FUR (REG)-Detail'!#REF!</f>
        <v>#REF!</v>
      </c>
      <c r="I71" s="40" t="e">
        <f>+'CONAP-FUR (REG)-Detail'!#REF!</f>
        <v>#REF!</v>
      </c>
      <c r="J71" s="579" t="e">
        <f t="shared" si="6"/>
        <v>#REF!</v>
      </c>
      <c r="K71" s="40" t="e">
        <f>+'CONAP-FUR (REG)-Detail'!#REF!</f>
        <v>#REF!</v>
      </c>
      <c r="L71" s="40" t="e">
        <f>+'CONAP-FUR (REG)-Detail'!#REF!</f>
        <v>#REF!</v>
      </c>
      <c r="M71" s="40" t="e">
        <f>+'CONAP-FUR (REG)-Detail'!#REF!</f>
        <v>#REF!</v>
      </c>
      <c r="N71" s="579" t="e">
        <f t="shared" si="7"/>
        <v>#REF!</v>
      </c>
      <c r="O71" s="40" t="e">
        <f t="shared" si="8"/>
        <v>#REF!</v>
      </c>
      <c r="P71" s="40" t="e">
        <f t="shared" si="9"/>
        <v>#REF!</v>
      </c>
      <c r="Q71" s="40" t="e">
        <f t="shared" si="10"/>
        <v>#REF!</v>
      </c>
      <c r="R71" s="579" t="e">
        <f t="shared" si="11"/>
        <v>#REF!</v>
      </c>
      <c r="S71" s="40" t="e">
        <f t="shared" si="12"/>
        <v>#REF!</v>
      </c>
      <c r="T71" s="40" t="e">
        <f t="shared" si="13"/>
        <v>#REF!</v>
      </c>
      <c r="U71" s="40" t="e">
        <f t="shared" si="14"/>
        <v>#REF!</v>
      </c>
      <c r="V71" s="579" t="e">
        <f t="shared" si="15"/>
        <v>#REF!</v>
      </c>
      <c r="W71" s="40" t="e">
        <f>+'CONAP-FUR (REG)-Detail'!#REF!</f>
        <v>#REF!</v>
      </c>
      <c r="X71" s="40" t="e">
        <f>+'CONAP-FUR (REG)-Detail'!#REF!</f>
        <v>#REF!</v>
      </c>
      <c r="Y71" s="40" t="e">
        <f>+'CONAP-FUR (REG)-Detail'!#REF!</f>
        <v>#REF!</v>
      </c>
      <c r="Z71" s="579" t="e">
        <f t="shared" si="16"/>
        <v>#REF!</v>
      </c>
      <c r="AA71" s="40" t="e">
        <f>+'CONAP-FUR (REG)-Detail'!#REF!</f>
        <v>#REF!</v>
      </c>
      <c r="AB71" s="40" t="e">
        <f>+'CONAP-FUR (REG)-Detail'!#REF!</f>
        <v>#REF!</v>
      </c>
      <c r="AC71" s="40" t="e">
        <f>+'CONAP-FUR (REG)-Detail'!#REF!</f>
        <v>#REF!</v>
      </c>
      <c r="AD71" s="579" t="e">
        <f t="shared" si="17"/>
        <v>#REF!</v>
      </c>
      <c r="AE71" s="40" t="e">
        <f t="shared" si="18"/>
        <v>#REF!</v>
      </c>
      <c r="AF71" s="40" t="e">
        <f t="shared" si="19"/>
        <v>#REF!</v>
      </c>
      <c r="AG71" s="40" t="e">
        <f t="shared" si="20"/>
        <v>#REF!</v>
      </c>
      <c r="AH71" s="579" t="e">
        <f t="shared" si="21"/>
        <v>#REF!</v>
      </c>
      <c r="AI71" s="579" t="e">
        <f t="shared" si="22"/>
        <v>#REF!</v>
      </c>
      <c r="AJ71" s="579" t="e">
        <f t="shared" si="23"/>
        <v>#REF!</v>
      </c>
      <c r="AK71" s="579" t="e">
        <f t="shared" si="24"/>
        <v>#REF!</v>
      </c>
      <c r="AL71" s="579" t="e">
        <f t="shared" si="25"/>
        <v>#REF!</v>
      </c>
      <c r="AM71" s="600" t="e">
        <f t="shared" si="27"/>
        <v>#REF!</v>
      </c>
      <c r="AN71" s="600" t="e">
        <f t="shared" si="28"/>
        <v>#REF!</v>
      </c>
      <c r="AO71" s="600" t="e">
        <f t="shared" si="29"/>
        <v>#REF!</v>
      </c>
      <c r="AP71" s="600" t="e">
        <f t="shared" si="30"/>
        <v>#REF!</v>
      </c>
    </row>
    <row r="72" spans="1:44" s="16" customFormat="1">
      <c r="A72" s="586" t="s">
        <v>938</v>
      </c>
      <c r="B72" s="596" t="s">
        <v>452</v>
      </c>
      <c r="C72" s="40" t="e">
        <f>+'CONAP-FUR (REG)-Detail'!#REF!</f>
        <v>#REF!</v>
      </c>
      <c r="D72" s="40" t="e">
        <f>+'CONAP-FUR (REG)-Detail'!#REF!</f>
        <v>#REF!</v>
      </c>
      <c r="E72" s="40" t="e">
        <f>+'CONAP-FUR (REG)-Detail'!#REF!</f>
        <v>#REF!</v>
      </c>
      <c r="F72" s="579" t="e">
        <f t="shared" si="5"/>
        <v>#REF!</v>
      </c>
      <c r="G72" s="40" t="e">
        <f>+'CONAP-FUR (REG)-Detail'!#REF!</f>
        <v>#REF!</v>
      </c>
      <c r="H72" s="40" t="e">
        <f>+'CONAP-FUR (REG)-Detail'!#REF!</f>
        <v>#REF!</v>
      </c>
      <c r="I72" s="40" t="e">
        <f>+'CONAP-FUR (REG)-Detail'!#REF!</f>
        <v>#REF!</v>
      </c>
      <c r="J72" s="579" t="e">
        <f t="shared" si="6"/>
        <v>#REF!</v>
      </c>
      <c r="K72" s="40" t="e">
        <f>+'CONAP-FUR (REG)-Detail'!#REF!</f>
        <v>#REF!</v>
      </c>
      <c r="L72" s="40" t="e">
        <f>+'CONAP-FUR (REG)-Detail'!#REF!</f>
        <v>#REF!</v>
      </c>
      <c r="M72" s="40" t="e">
        <f>+'CONAP-FUR (REG)-Detail'!#REF!</f>
        <v>#REF!</v>
      </c>
      <c r="N72" s="579" t="e">
        <f t="shared" si="7"/>
        <v>#REF!</v>
      </c>
      <c r="O72" s="40" t="e">
        <f t="shared" si="8"/>
        <v>#REF!</v>
      </c>
      <c r="P72" s="40" t="e">
        <f t="shared" si="9"/>
        <v>#REF!</v>
      </c>
      <c r="Q72" s="40" t="e">
        <f t="shared" si="10"/>
        <v>#REF!</v>
      </c>
      <c r="R72" s="579" t="e">
        <f t="shared" si="11"/>
        <v>#REF!</v>
      </c>
      <c r="S72" s="40" t="e">
        <f t="shared" si="12"/>
        <v>#REF!</v>
      </c>
      <c r="T72" s="40" t="e">
        <f t="shared" si="13"/>
        <v>#REF!</v>
      </c>
      <c r="U72" s="40" t="e">
        <f t="shared" si="14"/>
        <v>#REF!</v>
      </c>
      <c r="V72" s="579" t="e">
        <f t="shared" si="15"/>
        <v>#REF!</v>
      </c>
      <c r="W72" s="40" t="e">
        <f>+'CONAP-FUR (REG)-Detail'!#REF!</f>
        <v>#REF!</v>
      </c>
      <c r="X72" s="40" t="e">
        <f>+'CONAP-FUR (REG)-Detail'!#REF!</f>
        <v>#REF!</v>
      </c>
      <c r="Y72" s="40" t="e">
        <f>+'CONAP-FUR (REG)-Detail'!#REF!</f>
        <v>#REF!</v>
      </c>
      <c r="Z72" s="579" t="e">
        <f t="shared" si="16"/>
        <v>#REF!</v>
      </c>
      <c r="AA72" s="40" t="e">
        <f>+'CONAP-FUR (REG)-Detail'!#REF!</f>
        <v>#REF!</v>
      </c>
      <c r="AB72" s="40" t="e">
        <f>+'CONAP-FUR (REG)-Detail'!#REF!</f>
        <v>#REF!</v>
      </c>
      <c r="AC72" s="40" t="e">
        <f>+'CONAP-FUR (REG)-Detail'!#REF!</f>
        <v>#REF!</v>
      </c>
      <c r="AD72" s="579" t="e">
        <f t="shared" si="17"/>
        <v>#REF!</v>
      </c>
      <c r="AE72" s="40" t="e">
        <f t="shared" si="18"/>
        <v>#REF!</v>
      </c>
      <c r="AF72" s="40" t="e">
        <f t="shared" si="19"/>
        <v>#REF!</v>
      </c>
      <c r="AG72" s="40" t="e">
        <f t="shared" si="20"/>
        <v>#REF!</v>
      </c>
      <c r="AH72" s="579" t="e">
        <f t="shared" si="21"/>
        <v>#REF!</v>
      </c>
      <c r="AI72" s="579" t="e">
        <f t="shared" si="22"/>
        <v>#REF!</v>
      </c>
      <c r="AJ72" s="579" t="e">
        <f t="shared" si="23"/>
        <v>#REF!</v>
      </c>
      <c r="AK72" s="579" t="e">
        <f t="shared" si="24"/>
        <v>#REF!</v>
      </c>
      <c r="AL72" s="579" t="e">
        <f t="shared" si="25"/>
        <v>#REF!</v>
      </c>
      <c r="AM72" s="600" t="e">
        <f t="shared" si="27"/>
        <v>#REF!</v>
      </c>
      <c r="AN72" s="600" t="e">
        <f t="shared" si="28"/>
        <v>#REF!</v>
      </c>
      <c r="AO72" s="600" t="e">
        <f t="shared" si="29"/>
        <v>#REF!</v>
      </c>
      <c r="AP72" s="600" t="e">
        <f t="shared" si="30"/>
        <v>#REF!</v>
      </c>
    </row>
    <row r="73" spans="1:44" s="16" customFormat="1">
      <c r="A73" s="586" t="s">
        <v>938</v>
      </c>
      <c r="B73" s="596" t="s">
        <v>453</v>
      </c>
      <c r="C73" s="40" t="e">
        <f>+'CONAP-FUR (REG)-Detail'!#REF!</f>
        <v>#REF!</v>
      </c>
      <c r="D73" s="40" t="e">
        <f>+'CONAP-FUR (REG)-Detail'!#REF!</f>
        <v>#REF!</v>
      </c>
      <c r="E73" s="40" t="e">
        <f>+'CONAP-FUR (REG)-Detail'!#REF!</f>
        <v>#REF!</v>
      </c>
      <c r="F73" s="579" t="e">
        <f t="shared" si="5"/>
        <v>#REF!</v>
      </c>
      <c r="G73" s="40" t="e">
        <f>+'CONAP-FUR (REG)-Detail'!#REF!</f>
        <v>#REF!</v>
      </c>
      <c r="H73" s="40" t="e">
        <f>+'CONAP-FUR (REG)-Detail'!#REF!</f>
        <v>#REF!</v>
      </c>
      <c r="I73" s="40" t="e">
        <f>+'CONAP-FUR (REG)-Detail'!#REF!</f>
        <v>#REF!</v>
      </c>
      <c r="J73" s="579" t="e">
        <f t="shared" si="6"/>
        <v>#REF!</v>
      </c>
      <c r="K73" s="40" t="e">
        <f>+'CONAP-FUR (REG)-Detail'!#REF!</f>
        <v>#REF!</v>
      </c>
      <c r="L73" s="40" t="e">
        <f>+'CONAP-FUR (REG)-Detail'!#REF!</f>
        <v>#REF!</v>
      </c>
      <c r="M73" s="40" t="e">
        <f>+'CONAP-FUR (REG)-Detail'!#REF!</f>
        <v>#REF!</v>
      </c>
      <c r="N73" s="579" t="e">
        <f t="shared" si="7"/>
        <v>#REF!</v>
      </c>
      <c r="O73" s="40" t="e">
        <f t="shared" si="8"/>
        <v>#REF!</v>
      </c>
      <c r="P73" s="40" t="e">
        <f t="shared" si="9"/>
        <v>#REF!</v>
      </c>
      <c r="Q73" s="40" t="e">
        <f t="shared" si="10"/>
        <v>#REF!</v>
      </c>
      <c r="R73" s="579" t="e">
        <f t="shared" si="11"/>
        <v>#REF!</v>
      </c>
      <c r="S73" s="40" t="e">
        <f t="shared" si="12"/>
        <v>#REF!</v>
      </c>
      <c r="T73" s="40" t="e">
        <f t="shared" si="13"/>
        <v>#REF!</v>
      </c>
      <c r="U73" s="40" t="e">
        <f t="shared" si="14"/>
        <v>#REF!</v>
      </c>
      <c r="V73" s="579" t="e">
        <f t="shared" si="15"/>
        <v>#REF!</v>
      </c>
      <c r="W73" s="40" t="e">
        <f>+'CONAP-FUR (REG)-Detail'!#REF!</f>
        <v>#REF!</v>
      </c>
      <c r="X73" s="40" t="e">
        <f>+'CONAP-FUR (REG)-Detail'!#REF!</f>
        <v>#REF!</v>
      </c>
      <c r="Y73" s="40" t="e">
        <f>+'CONAP-FUR (REG)-Detail'!#REF!</f>
        <v>#REF!</v>
      </c>
      <c r="Z73" s="579" t="e">
        <f t="shared" si="16"/>
        <v>#REF!</v>
      </c>
      <c r="AA73" s="40" t="e">
        <f>+'CONAP-FUR (REG)-Detail'!#REF!</f>
        <v>#REF!</v>
      </c>
      <c r="AB73" s="40" t="e">
        <f>+'CONAP-FUR (REG)-Detail'!#REF!</f>
        <v>#REF!</v>
      </c>
      <c r="AC73" s="40" t="e">
        <f>+'CONAP-FUR (REG)-Detail'!#REF!</f>
        <v>#REF!</v>
      </c>
      <c r="AD73" s="579" t="e">
        <f t="shared" si="17"/>
        <v>#REF!</v>
      </c>
      <c r="AE73" s="40" t="e">
        <f t="shared" si="18"/>
        <v>#REF!</v>
      </c>
      <c r="AF73" s="40" t="e">
        <f t="shared" si="19"/>
        <v>#REF!</v>
      </c>
      <c r="AG73" s="40" t="e">
        <f t="shared" si="20"/>
        <v>#REF!</v>
      </c>
      <c r="AH73" s="579" t="e">
        <f t="shared" si="21"/>
        <v>#REF!</v>
      </c>
      <c r="AI73" s="579" t="e">
        <f t="shared" si="22"/>
        <v>#REF!</v>
      </c>
      <c r="AJ73" s="579" t="e">
        <f t="shared" si="23"/>
        <v>#REF!</v>
      </c>
      <c r="AK73" s="579" t="e">
        <f t="shared" si="24"/>
        <v>#REF!</v>
      </c>
      <c r="AL73" s="579" t="e">
        <f t="shared" si="25"/>
        <v>#REF!</v>
      </c>
      <c r="AM73" s="600" t="e">
        <f t="shared" si="27"/>
        <v>#REF!</v>
      </c>
      <c r="AN73" s="600" t="e">
        <f t="shared" si="28"/>
        <v>#REF!</v>
      </c>
      <c r="AO73" s="600" t="e">
        <f t="shared" si="29"/>
        <v>#REF!</v>
      </c>
      <c r="AP73" s="600" t="e">
        <f t="shared" si="30"/>
        <v>#REF!</v>
      </c>
    </row>
    <row r="74" spans="1:44" s="16" customFormat="1">
      <c r="A74" s="586" t="s">
        <v>938</v>
      </c>
      <c r="B74" s="596" t="s">
        <v>57</v>
      </c>
      <c r="C74" s="40" t="e">
        <f>+'CONAP-FUR (REG)-Detail'!#REF!</f>
        <v>#REF!</v>
      </c>
      <c r="D74" s="40" t="e">
        <f>+'CONAP-FUR (REG)-Detail'!#REF!</f>
        <v>#REF!</v>
      </c>
      <c r="E74" s="40" t="e">
        <f>+'CONAP-FUR (REG)-Detail'!#REF!</f>
        <v>#REF!</v>
      </c>
      <c r="F74" s="579" t="e">
        <f t="shared" si="5"/>
        <v>#REF!</v>
      </c>
      <c r="G74" s="40" t="e">
        <f>+'CONAP-FUR (REG)-Detail'!#REF!</f>
        <v>#REF!</v>
      </c>
      <c r="H74" s="40" t="e">
        <f>+'CONAP-FUR (REG)-Detail'!#REF!</f>
        <v>#REF!</v>
      </c>
      <c r="I74" s="40" t="e">
        <f>+'CONAP-FUR (REG)-Detail'!#REF!</f>
        <v>#REF!</v>
      </c>
      <c r="J74" s="579" t="e">
        <f t="shared" si="6"/>
        <v>#REF!</v>
      </c>
      <c r="K74" s="40" t="e">
        <f>+'CONAP-FUR (REG)-Detail'!#REF!</f>
        <v>#REF!</v>
      </c>
      <c r="L74" s="40" t="e">
        <f>+'CONAP-FUR (REG)-Detail'!#REF!</f>
        <v>#REF!</v>
      </c>
      <c r="M74" s="40" t="e">
        <f>+'CONAP-FUR (REG)-Detail'!#REF!</f>
        <v>#REF!</v>
      </c>
      <c r="N74" s="579" t="e">
        <f t="shared" si="7"/>
        <v>#REF!</v>
      </c>
      <c r="O74" s="40" t="e">
        <f t="shared" si="8"/>
        <v>#REF!</v>
      </c>
      <c r="P74" s="40" t="e">
        <f t="shared" si="9"/>
        <v>#REF!</v>
      </c>
      <c r="Q74" s="40" t="e">
        <f t="shared" si="10"/>
        <v>#REF!</v>
      </c>
      <c r="R74" s="579" t="e">
        <f t="shared" si="11"/>
        <v>#REF!</v>
      </c>
      <c r="S74" s="40" t="e">
        <f t="shared" si="12"/>
        <v>#REF!</v>
      </c>
      <c r="T74" s="40" t="e">
        <f t="shared" si="13"/>
        <v>#REF!</v>
      </c>
      <c r="U74" s="40" t="e">
        <f t="shared" si="14"/>
        <v>#REF!</v>
      </c>
      <c r="V74" s="579" t="e">
        <f t="shared" si="15"/>
        <v>#REF!</v>
      </c>
      <c r="W74" s="40" t="e">
        <f>+'CONAP-FUR (REG)-Detail'!#REF!</f>
        <v>#REF!</v>
      </c>
      <c r="X74" s="40" t="e">
        <f>+'CONAP-FUR (REG)-Detail'!#REF!</f>
        <v>#REF!</v>
      </c>
      <c r="Y74" s="40" t="e">
        <f>+'CONAP-FUR (REG)-Detail'!#REF!</f>
        <v>#REF!</v>
      </c>
      <c r="Z74" s="579" t="e">
        <f t="shared" si="16"/>
        <v>#REF!</v>
      </c>
      <c r="AA74" s="40" t="e">
        <f>+'CONAP-FUR (REG)-Detail'!#REF!</f>
        <v>#REF!</v>
      </c>
      <c r="AB74" s="40" t="e">
        <f>+'CONAP-FUR (REG)-Detail'!#REF!</f>
        <v>#REF!</v>
      </c>
      <c r="AC74" s="40" t="e">
        <f>+'CONAP-FUR (REG)-Detail'!#REF!</f>
        <v>#REF!</v>
      </c>
      <c r="AD74" s="579" t="e">
        <f t="shared" si="17"/>
        <v>#REF!</v>
      </c>
      <c r="AE74" s="40" t="e">
        <f t="shared" si="18"/>
        <v>#REF!</v>
      </c>
      <c r="AF74" s="40" t="e">
        <f t="shared" si="19"/>
        <v>#REF!</v>
      </c>
      <c r="AG74" s="40" t="e">
        <f t="shared" si="20"/>
        <v>#REF!</v>
      </c>
      <c r="AH74" s="579" t="e">
        <f t="shared" si="21"/>
        <v>#REF!</v>
      </c>
      <c r="AI74" s="579" t="e">
        <f>+S74-AE74</f>
        <v>#REF!</v>
      </c>
      <c r="AJ74" s="579" t="e">
        <f>+T74-AF74</f>
        <v>#REF!</v>
      </c>
      <c r="AK74" s="579" t="e">
        <f>+U74-AG74</f>
        <v>#REF!</v>
      </c>
      <c r="AL74" s="579" t="e">
        <f>SUM(AI74:AK74)</f>
        <v>#REF!</v>
      </c>
      <c r="AM74" s="600" t="e">
        <f>IF(S74=0," ",AE74/S74)</f>
        <v>#REF!</v>
      </c>
      <c r="AN74" s="600" t="e">
        <f t="shared" ref="AM74:AN76" si="31">IF(T74=0," ",AF74/T74)</f>
        <v>#REF!</v>
      </c>
      <c r="AO74" s="600" t="e">
        <f t="shared" ref="AO74:AP76" si="32">IF(U74=0," ",AG74/U74)</f>
        <v>#REF!</v>
      </c>
      <c r="AP74" s="600" t="e">
        <f t="shared" si="32"/>
        <v>#REF!</v>
      </c>
    </row>
    <row r="75" spans="1:44" ht="16.5">
      <c r="B75" s="28"/>
      <c r="C75" s="29"/>
      <c r="D75" s="29"/>
      <c r="E75" s="29"/>
      <c r="F75" s="27"/>
      <c r="G75" s="27"/>
      <c r="H75" s="27"/>
      <c r="I75" s="27"/>
      <c r="J75" s="27"/>
      <c r="K75" s="27"/>
      <c r="L75" s="27"/>
      <c r="M75" s="27"/>
      <c r="N75" s="27"/>
      <c r="O75" s="29"/>
      <c r="P75" s="29"/>
      <c r="Q75" s="29"/>
      <c r="R75" s="27"/>
      <c r="S75" s="29"/>
      <c r="T75" s="29"/>
      <c r="U75" s="29"/>
      <c r="V75" s="27"/>
      <c r="W75" s="29"/>
      <c r="X75" s="29"/>
      <c r="Y75" s="29"/>
      <c r="Z75" s="27"/>
      <c r="AA75" s="29"/>
      <c r="AB75" s="29"/>
      <c r="AC75" s="29"/>
      <c r="AD75" s="27"/>
      <c r="AE75" s="27"/>
      <c r="AF75" s="27"/>
      <c r="AG75" s="27"/>
      <c r="AH75" s="27"/>
      <c r="AI75" s="27"/>
      <c r="AJ75" s="27"/>
      <c r="AK75" s="27"/>
      <c r="AL75" s="27"/>
      <c r="AM75" s="10" t="str">
        <f>IF(S75=0," ",AE75/S75)</f>
        <v xml:space="preserve"> </v>
      </c>
      <c r="AN75" s="10" t="str">
        <f t="shared" si="31"/>
        <v xml:space="preserve"> </v>
      </c>
      <c r="AO75" s="10" t="str">
        <f t="shared" si="32"/>
        <v xml:space="preserve"> </v>
      </c>
      <c r="AP75" s="10" t="str">
        <f t="shared" si="32"/>
        <v xml:space="preserve"> </v>
      </c>
    </row>
    <row r="76" spans="1:44" s="70" customFormat="1" ht="18">
      <c r="B76" s="31" t="s">
        <v>454</v>
      </c>
      <c r="C76" s="32" t="e">
        <f t="shared" ref="C76:AL76" si="33">+C50+C48+C9</f>
        <v>#REF!</v>
      </c>
      <c r="D76" s="32" t="e">
        <f t="shared" si="33"/>
        <v>#REF!</v>
      </c>
      <c r="E76" s="32" t="e">
        <f t="shared" si="33"/>
        <v>#REF!</v>
      </c>
      <c r="F76" s="32" t="e">
        <f t="shared" si="33"/>
        <v>#REF!</v>
      </c>
      <c r="G76" s="32" t="e">
        <f t="shared" si="33"/>
        <v>#REF!</v>
      </c>
      <c r="H76" s="32" t="e">
        <f t="shared" si="33"/>
        <v>#REF!</v>
      </c>
      <c r="I76" s="32" t="e">
        <f t="shared" si="33"/>
        <v>#REF!</v>
      </c>
      <c r="J76" s="32" t="e">
        <f t="shared" si="33"/>
        <v>#REF!</v>
      </c>
      <c r="K76" s="32" t="e">
        <f t="shared" si="33"/>
        <v>#REF!</v>
      </c>
      <c r="L76" s="32" t="e">
        <f t="shared" si="33"/>
        <v>#REF!</v>
      </c>
      <c r="M76" s="32" t="e">
        <f t="shared" si="33"/>
        <v>#REF!</v>
      </c>
      <c r="N76" s="32" t="e">
        <f t="shared" si="33"/>
        <v>#REF!</v>
      </c>
      <c r="O76" s="32" t="e">
        <f t="shared" si="33"/>
        <v>#REF!</v>
      </c>
      <c r="P76" s="32" t="e">
        <f t="shared" si="33"/>
        <v>#REF!</v>
      </c>
      <c r="Q76" s="32" t="e">
        <f t="shared" si="33"/>
        <v>#REF!</v>
      </c>
      <c r="R76" s="32" t="e">
        <f t="shared" si="33"/>
        <v>#REF!</v>
      </c>
      <c r="S76" s="32" t="e">
        <f t="shared" si="33"/>
        <v>#REF!</v>
      </c>
      <c r="T76" s="32" t="e">
        <f t="shared" si="33"/>
        <v>#REF!</v>
      </c>
      <c r="U76" s="32" t="e">
        <f t="shared" si="33"/>
        <v>#REF!</v>
      </c>
      <c r="V76" s="32" t="e">
        <f t="shared" si="33"/>
        <v>#REF!</v>
      </c>
      <c r="W76" s="32" t="e">
        <f t="shared" si="33"/>
        <v>#REF!</v>
      </c>
      <c r="X76" s="32" t="e">
        <f t="shared" si="33"/>
        <v>#REF!</v>
      </c>
      <c r="Y76" s="32" t="e">
        <f t="shared" si="33"/>
        <v>#REF!</v>
      </c>
      <c r="Z76" s="32" t="e">
        <f t="shared" si="33"/>
        <v>#REF!</v>
      </c>
      <c r="AA76" s="32" t="e">
        <f t="shared" si="33"/>
        <v>#REF!</v>
      </c>
      <c r="AB76" s="32" t="e">
        <f t="shared" si="33"/>
        <v>#REF!</v>
      </c>
      <c r="AC76" s="32" t="e">
        <f t="shared" si="33"/>
        <v>#REF!</v>
      </c>
      <c r="AD76" s="32" t="e">
        <f t="shared" si="33"/>
        <v>#REF!</v>
      </c>
      <c r="AE76" s="32" t="e">
        <f t="shared" si="33"/>
        <v>#REF!</v>
      </c>
      <c r="AF76" s="32" t="e">
        <f t="shared" si="33"/>
        <v>#REF!</v>
      </c>
      <c r="AG76" s="32" t="e">
        <f t="shared" si="33"/>
        <v>#REF!</v>
      </c>
      <c r="AH76" s="32" t="e">
        <f t="shared" si="33"/>
        <v>#REF!</v>
      </c>
      <c r="AI76" s="32" t="e">
        <f t="shared" si="33"/>
        <v>#REF!</v>
      </c>
      <c r="AJ76" s="32" t="e">
        <f t="shared" si="33"/>
        <v>#REF!</v>
      </c>
      <c r="AK76" s="32" t="e">
        <f t="shared" si="33"/>
        <v>#REF!</v>
      </c>
      <c r="AL76" s="32" t="e">
        <f t="shared" si="33"/>
        <v>#REF!</v>
      </c>
      <c r="AM76" s="14" t="e">
        <f t="shared" si="31"/>
        <v>#REF!</v>
      </c>
      <c r="AN76" s="14" t="e">
        <f t="shared" si="31"/>
        <v>#REF!</v>
      </c>
      <c r="AO76" s="14" t="e">
        <f t="shared" si="32"/>
        <v>#REF!</v>
      </c>
      <c r="AP76" s="14" t="e">
        <f t="shared" si="32"/>
        <v>#REF!</v>
      </c>
      <c r="AR76" s="827" t="e">
        <f>+AL76-'CONAP (ALL FUNDS)'!Q1313</f>
        <v>#REF!</v>
      </c>
    </row>
    <row r="77" spans="1:44">
      <c r="AL77" s="30" t="e">
        <f>+AL76-'CONAP-FUR (REG)-Detail'!AL267</f>
        <v>#REF!</v>
      </c>
    </row>
    <row r="78" spans="1:44" hidden="1">
      <c r="C78" s="30" t="e">
        <f>+C76-'CONAP-FUR (REG)-Detail'!C267</f>
        <v>#REF!</v>
      </c>
      <c r="D78" s="30" t="e">
        <f>+D76-'CONAP-FUR (REG)-Detail'!#REF!</f>
        <v>#REF!</v>
      </c>
      <c r="E78" s="30" t="e">
        <f>+E76-'CONAP-FUR (REG)-Detail'!#REF!</f>
        <v>#REF!</v>
      </c>
      <c r="F78" s="30" t="e">
        <f>+F76-'CONAP-FUR (REG)-Detail'!#REF!</f>
        <v>#REF!</v>
      </c>
      <c r="G78" s="30"/>
      <c r="H78" s="30"/>
      <c r="I78" s="30"/>
      <c r="J78" s="30"/>
      <c r="K78" s="30"/>
      <c r="L78" s="30"/>
      <c r="M78" s="30"/>
      <c r="N78" s="30"/>
      <c r="O78" s="30" t="e">
        <f>+O76-'CONAP-FUR (REG)-Detail'!#REF!</f>
        <v>#REF!</v>
      </c>
      <c r="P78" s="30" t="e">
        <f>+P76-'CONAP-FUR (REG)-Detail'!#REF!</f>
        <v>#REF!</v>
      </c>
      <c r="Q78" s="30" t="e">
        <f>+Q76-'CONAP-FUR (REG)-Detail'!#REF!</f>
        <v>#REF!</v>
      </c>
      <c r="R78" s="30" t="e">
        <f>+R76-'CONAP-FUR (REG)-Detail'!#REF!</f>
        <v>#REF!</v>
      </c>
      <c r="S78" s="30" t="e">
        <f>+S76-'CONAP-FUR (REG)-Detail'!#REF!</f>
        <v>#REF!</v>
      </c>
      <c r="T78" s="30" t="e">
        <f>+T76-'CONAP-FUR (REG)-Detail'!#REF!</f>
        <v>#REF!</v>
      </c>
      <c r="U78" s="30" t="e">
        <f>+U76-'CONAP-FUR (REG)-Detail'!#REF!</f>
        <v>#REF!</v>
      </c>
      <c r="V78" s="30" t="e">
        <f>+V76-'CONAP-FUR (REG)-Detail'!#REF!</f>
        <v>#REF!</v>
      </c>
      <c r="W78" s="30" t="e">
        <f>+W76-'CONAP-FUR (REG)-Detail'!#REF!</f>
        <v>#REF!</v>
      </c>
      <c r="X78" s="30" t="e">
        <f>+X76-'CONAP-FUR (REG)-Detail'!#REF!</f>
        <v>#REF!</v>
      </c>
      <c r="Y78" s="30" t="e">
        <f>+Y76-'CONAP-FUR (REG)-Detail'!#REF!</f>
        <v>#REF!</v>
      </c>
      <c r="Z78" s="30" t="e">
        <f>+Z76-'CONAP-FUR (REG)-Detail'!Z267</f>
        <v>#REF!</v>
      </c>
      <c r="AA78" s="30" t="e">
        <f>+AA76-'CONAP-FUR (REG)-Detail'!#REF!</f>
        <v>#REF!</v>
      </c>
      <c r="AB78" s="30" t="e">
        <f>+AB76-'CONAP-FUR (REG)-Detail'!#REF!</f>
        <v>#REF!</v>
      </c>
      <c r="AC78" s="30" t="e">
        <f>+AC76-'CONAP-FUR (REG)-Detail'!#REF!</f>
        <v>#REF!</v>
      </c>
      <c r="AD78" s="30" t="e">
        <f>+AD76-'CONAP-FUR (REG)-Detail'!#REF!</f>
        <v>#REF!</v>
      </c>
      <c r="AE78" s="30" t="e">
        <f>+AE76-'CONAP-FUR (REG)-Detail'!#REF!</f>
        <v>#REF!</v>
      </c>
      <c r="AF78" s="30" t="e">
        <f>+AF76-'CONAP-FUR (REG)-Detail'!#REF!</f>
        <v>#REF!</v>
      </c>
      <c r="AG78" s="30" t="e">
        <f>+AG76-'CONAP-FUR (REG)-Detail'!#REF!</f>
        <v>#REF!</v>
      </c>
      <c r="AH78" s="30" t="e">
        <f>+AH76-'CONAP-FUR (REG)-Detail'!#REF!</f>
        <v>#REF!</v>
      </c>
      <c r="AI78" s="30" t="e">
        <f>+AI76-'CONAP-FUR (REG)-Detail'!#REF!</f>
        <v>#REF!</v>
      </c>
      <c r="AJ78" s="30" t="e">
        <f>+AJ76-'CONAP-FUR (REG)-Detail'!#REF!</f>
        <v>#REF!</v>
      </c>
      <c r="AK78" s="30" t="e">
        <f>+AK76-'CONAP-FUR (REG)-Detail'!#REF!</f>
        <v>#REF!</v>
      </c>
      <c r="AL78" s="30" t="e">
        <f>+AL76-'CONAP-FUR (REG)-Detail'!#REF!</f>
        <v>#REF!</v>
      </c>
      <c r="AM78" s="30"/>
      <c r="AN78" s="30"/>
      <c r="AO78" s="30"/>
      <c r="AP78" s="30"/>
    </row>
    <row r="79" spans="1:44" hidden="1">
      <c r="AL79" s="30"/>
    </row>
    <row r="80" spans="1:44">
      <c r="C80" s="30" t="e">
        <f>+C76-'CONAP-FUR (REG)-Detail'!C267</f>
        <v>#REF!</v>
      </c>
      <c r="D80" s="30" t="e">
        <f>+D76-'CONAP-FUR (REG)-Detail'!D267</f>
        <v>#REF!</v>
      </c>
      <c r="E80" s="30" t="e">
        <f>+E76-'CONAP-FUR (REG)-Detail'!E267</f>
        <v>#REF!</v>
      </c>
      <c r="F80" s="30" t="e">
        <f>+F76-'CONAP-FUR (REG)-Detail'!F267</f>
        <v>#REF!</v>
      </c>
      <c r="G80" s="30" t="e">
        <f>+G76-'CONAP-FUR (REG)-Detail'!G267</f>
        <v>#REF!</v>
      </c>
      <c r="H80" s="30" t="e">
        <f>+H76-'CONAP-FUR (REG)-Detail'!H267</f>
        <v>#REF!</v>
      </c>
      <c r="I80" s="30" t="e">
        <f>+I76-'CONAP-FUR (REG)-Detail'!I267</f>
        <v>#REF!</v>
      </c>
      <c r="J80" s="30" t="e">
        <f>+J76-'CONAP-FUR (REG)-Detail'!J267</f>
        <v>#REF!</v>
      </c>
      <c r="K80" s="30" t="e">
        <f>+K76-'CONAP-FUR (REG)-Detail'!K267</f>
        <v>#REF!</v>
      </c>
      <c r="L80" s="30" t="e">
        <f>+L76-'CONAP-FUR (REG)-Detail'!L267</f>
        <v>#REF!</v>
      </c>
      <c r="M80" s="30" t="e">
        <f>+M76-'CONAP-FUR (REG)-Detail'!M267</f>
        <v>#REF!</v>
      </c>
      <c r="N80" s="30" t="e">
        <f>+N76-'CONAP-FUR (REG)-Detail'!N267</f>
        <v>#REF!</v>
      </c>
      <c r="O80" s="30" t="e">
        <f>+O76-'CONAP-FUR (REG)-Detail'!O267</f>
        <v>#REF!</v>
      </c>
      <c r="P80" s="30" t="e">
        <f>+P76-'CONAP-FUR (REG)-Detail'!P267</f>
        <v>#REF!</v>
      </c>
      <c r="Q80" s="30" t="e">
        <f>+Q76-'CONAP-FUR (REG)-Detail'!Q267</f>
        <v>#REF!</v>
      </c>
      <c r="R80" s="30" t="e">
        <f>+R76-'CONAP-FUR (REG)-Detail'!R267</f>
        <v>#REF!</v>
      </c>
      <c r="S80" s="30" t="e">
        <f>+S76-'CONAP-FUR (REG)-Detail'!S267</f>
        <v>#REF!</v>
      </c>
      <c r="T80" s="30" t="e">
        <f>+T76-'CONAP-FUR (REG)-Detail'!T267</f>
        <v>#REF!</v>
      </c>
      <c r="U80" s="30" t="e">
        <f>+U76-'CONAP-FUR (REG)-Detail'!U267</f>
        <v>#REF!</v>
      </c>
      <c r="V80" s="30" t="e">
        <f>+V76-'CONAP-FUR (REG)-Detail'!V267</f>
        <v>#REF!</v>
      </c>
      <c r="W80" s="30" t="e">
        <f>+W76-'CONAP-FUR (REG)-Detail'!W267</f>
        <v>#REF!</v>
      </c>
      <c r="X80" s="30" t="e">
        <f>+X76-'CONAP-FUR (REG)-Detail'!X267</f>
        <v>#REF!</v>
      </c>
      <c r="Y80" s="30" t="e">
        <f>+Y76-'CONAP-FUR (REG)-Detail'!Y267</f>
        <v>#REF!</v>
      </c>
      <c r="Z80" s="30" t="e">
        <f>+Z76-'CONAP-FUR (REG)-Detail'!Z267</f>
        <v>#REF!</v>
      </c>
      <c r="AA80" s="30" t="e">
        <f>+AA76-'CONAP-FUR (REG)-Detail'!AA267</f>
        <v>#REF!</v>
      </c>
      <c r="AB80" s="30" t="e">
        <f>+AB76-'CONAP-FUR (REG)-Detail'!AB267</f>
        <v>#REF!</v>
      </c>
      <c r="AC80" s="30" t="e">
        <f>+AC76-'CONAP-FUR (REG)-Detail'!AC267</f>
        <v>#REF!</v>
      </c>
      <c r="AD80" s="30" t="e">
        <f>+AD76-'CONAP-FUR (REG)-Detail'!AD267</f>
        <v>#REF!</v>
      </c>
      <c r="AE80" s="30" t="e">
        <f>+AE76-'CONAP-FUR (REG)-Detail'!AE267</f>
        <v>#REF!</v>
      </c>
      <c r="AF80" s="30" t="e">
        <f>+AF76-'CONAP-FUR (REG)-Detail'!AF267</f>
        <v>#REF!</v>
      </c>
      <c r="AG80" s="30" t="e">
        <f>+AG76-'CONAP-FUR (REG)-Detail'!AG267</f>
        <v>#REF!</v>
      </c>
      <c r="AH80" s="30" t="e">
        <f>+AH76-'CONAP-FUR (REG)-Detail'!AH267</f>
        <v>#REF!</v>
      </c>
      <c r="AI80" s="30" t="e">
        <f>+AI76-'CONAP-FUR (REG)-Detail'!AI267</f>
        <v>#REF!</v>
      </c>
      <c r="AJ80" s="30" t="e">
        <f>+AJ76-'CONAP-FUR (REG)-Detail'!AJ267</f>
        <v>#REF!</v>
      </c>
      <c r="AK80" s="30" t="e">
        <f>+AK76-'CONAP-FUR (REG)-Detail'!AK267</f>
        <v>#REF!</v>
      </c>
      <c r="AL80" s="30" t="e">
        <f>+AL76-'CONAP-FUR (REG)-Detail'!AL267</f>
        <v>#REF!</v>
      </c>
    </row>
    <row r="81" spans="2:42">
      <c r="B81" s="108"/>
      <c r="AL81" s="30"/>
      <c r="AM81" s="17"/>
      <c r="AN81" s="17"/>
      <c r="AO81" s="17"/>
      <c r="AP81" s="17"/>
    </row>
    <row r="85" spans="2:42">
      <c r="R85" s="30"/>
      <c r="AL85" s="30"/>
      <c r="AM85" s="17"/>
      <c r="AN85" s="17"/>
      <c r="AO85" s="17"/>
      <c r="AP85" s="17"/>
    </row>
  </sheetData>
  <autoFilter ref="B7:AP79">
    <filterColumn colId="5"/>
    <filterColumn colId="6"/>
    <filterColumn colId="7"/>
    <filterColumn colId="8"/>
    <filterColumn colId="9"/>
    <filterColumn colId="10"/>
    <filterColumn colId="11"/>
    <filterColumn colId="12"/>
  </autoFilter>
  <mergeCells count="11">
    <mergeCell ref="B5:B7"/>
    <mergeCell ref="AE5:AH5"/>
    <mergeCell ref="AI5:AL5"/>
    <mergeCell ref="AM5:AP5"/>
    <mergeCell ref="C5:F5"/>
    <mergeCell ref="O5:R5"/>
    <mergeCell ref="S5:V5"/>
    <mergeCell ref="W5:Z5"/>
    <mergeCell ref="AA5:AD5"/>
    <mergeCell ref="G5:J5"/>
    <mergeCell ref="K5:N5"/>
  </mergeCells>
  <pageMargins left="1.1000000000000001" right="0.2" top="0.25" bottom="0.45" header="0.3" footer="0.16"/>
  <pageSetup paperSize="5" scale="80" orientation="landscape" horizontalDpi="300" verticalDpi="300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 filterMode="1">
    <tabColor theme="7" tint="-0.249977111117893"/>
  </sheetPr>
  <dimension ref="A1:AD1444"/>
  <sheetViews>
    <sheetView topLeftCell="C1" workbookViewId="0">
      <pane xSplit="4" ySplit="7" topLeftCell="G1448" activePane="bottomRight" state="frozen"/>
      <selection activeCell="C1" sqref="C1"/>
      <selection pane="topRight" activeCell="G1" sqref="G1"/>
      <selection pane="bottomLeft" activeCell="C8" sqref="C8"/>
      <selection pane="bottomRight" activeCell="G1480" sqref="G1480"/>
    </sheetView>
  </sheetViews>
  <sheetFormatPr defaultColWidth="9.140625" defaultRowHeight="12"/>
  <cols>
    <col min="1" max="1" width="1" style="236" hidden="1" customWidth="1"/>
    <col min="2" max="2" width="3" style="236" hidden="1" customWidth="1"/>
    <col min="3" max="3" width="3" style="240" customWidth="1"/>
    <col min="4" max="4" width="0.42578125" style="236" hidden="1" customWidth="1"/>
    <col min="5" max="5" width="29.140625" style="322" customWidth="1"/>
    <col min="6" max="6" width="5" style="236" hidden="1" customWidth="1"/>
    <col min="7" max="7" width="14.7109375" style="236" customWidth="1"/>
    <col min="8" max="8" width="14.28515625" style="236" customWidth="1"/>
    <col min="9" max="9" width="14.5703125" style="236" customWidth="1"/>
    <col min="10" max="10" width="4.5703125" style="236" hidden="1" customWidth="1"/>
    <col min="11" max="11" width="14.5703125" style="236" customWidth="1"/>
    <col min="12" max="13" width="13.85546875" style="236" customWidth="1"/>
    <col min="14" max="14" width="4.42578125" style="236" hidden="1" customWidth="1"/>
    <col min="15" max="15" width="15.85546875" style="236" customWidth="1"/>
    <col min="16" max="16" width="14.140625" style="236" customWidth="1"/>
    <col min="17" max="17" width="14.28515625" style="236" customWidth="1"/>
    <col min="18" max="18" width="1.5703125" style="760" customWidth="1"/>
    <col min="19" max="19" width="4.7109375" style="236" hidden="1" customWidth="1"/>
    <col min="20" max="20" width="6.85546875" style="236" customWidth="1"/>
    <col min="21" max="21" width="6.140625" style="236" customWidth="1"/>
    <col min="22" max="22" width="6.42578125" style="236" customWidth="1"/>
    <col min="23" max="23" width="15.7109375" style="236" hidden="1" customWidth="1"/>
    <col min="24" max="24" width="4.140625" style="237" hidden="1" customWidth="1"/>
    <col min="25" max="25" width="0" style="837" hidden="1" customWidth="1"/>
    <col min="26" max="26" width="0" style="238" hidden="1" customWidth="1"/>
    <col min="27" max="16384" width="9.140625" style="236"/>
  </cols>
  <sheetData>
    <row r="1" spans="1:26">
      <c r="A1" s="235"/>
      <c r="B1" s="235"/>
      <c r="C1" s="516" t="s">
        <v>48</v>
      </c>
      <c r="D1" s="517"/>
      <c r="E1" s="518"/>
      <c r="F1" s="95"/>
      <c r="G1" s="95"/>
      <c r="H1" s="95"/>
      <c r="J1" s="95"/>
      <c r="K1" s="95"/>
      <c r="L1" s="95"/>
      <c r="N1" s="95"/>
      <c r="O1" s="95"/>
      <c r="P1" s="95"/>
      <c r="S1" s="95"/>
      <c r="T1" s="95"/>
      <c r="U1" s="95"/>
      <c r="Y1" s="833"/>
    </row>
    <row r="2" spans="1:26" ht="12.75">
      <c r="A2" s="291"/>
      <c r="B2" s="291"/>
      <c r="C2" s="1087" t="s">
        <v>870</v>
      </c>
      <c r="D2" s="93"/>
      <c r="F2" s="95"/>
      <c r="G2" s="95"/>
      <c r="H2" s="1088"/>
      <c r="I2" s="1089"/>
      <c r="J2" s="1090"/>
      <c r="K2" s="95"/>
      <c r="L2" s="1088"/>
      <c r="N2" s="95"/>
      <c r="O2" s="95"/>
      <c r="P2" s="1088"/>
      <c r="S2" s="95"/>
      <c r="T2" s="95"/>
      <c r="U2" s="95"/>
      <c r="W2" s="93"/>
      <c r="Y2" s="833"/>
    </row>
    <row r="3" spans="1:26">
      <c r="A3" s="291"/>
      <c r="B3" s="291"/>
      <c r="C3" s="240" t="s">
        <v>866</v>
      </c>
      <c r="D3" s="93"/>
      <c r="F3" s="95"/>
      <c r="G3" s="95"/>
      <c r="H3" s="1088"/>
      <c r="I3" s="1089"/>
      <c r="J3" s="95"/>
      <c r="K3" s="95"/>
      <c r="L3" s="95"/>
      <c r="M3" s="1091"/>
      <c r="N3" s="95"/>
      <c r="O3" s="95"/>
      <c r="P3" s="1089"/>
      <c r="S3" s="95"/>
      <c r="T3" s="95"/>
      <c r="U3" s="95"/>
      <c r="W3" s="93"/>
      <c r="Y3" s="833"/>
    </row>
    <row r="4" spans="1:26" s="240" customFormat="1">
      <c r="A4" s="239"/>
      <c r="B4" s="239"/>
      <c r="C4" s="516" t="s">
        <v>1115</v>
      </c>
      <c r="E4" s="519"/>
      <c r="K4" s="110"/>
      <c r="R4" s="761"/>
      <c r="X4" s="520"/>
      <c r="Y4" s="833"/>
      <c r="Z4" s="241"/>
    </row>
    <row r="5" spans="1:26">
      <c r="A5" s="291"/>
      <c r="B5" s="291"/>
      <c r="C5" s="1092"/>
      <c r="D5" s="546"/>
      <c r="E5" s="1093"/>
      <c r="F5" s="616"/>
      <c r="G5" s="616"/>
      <c r="H5" s="616"/>
      <c r="J5" s="616"/>
      <c r="K5" s="1094"/>
      <c r="L5" s="616"/>
      <c r="M5" s="1091"/>
      <c r="N5" s="616"/>
      <c r="O5" s="616"/>
      <c r="P5" s="616"/>
      <c r="S5" s="616"/>
      <c r="T5" s="616"/>
      <c r="U5" s="616"/>
      <c r="W5" s="93"/>
      <c r="Y5" s="833"/>
    </row>
    <row r="6" spans="1:26" s="244" customFormat="1" ht="15" customHeight="1">
      <c r="A6" s="242" t="s">
        <v>91</v>
      </c>
      <c r="B6" s="243" t="s">
        <v>92</v>
      </c>
      <c r="C6" s="834" t="s">
        <v>0</v>
      </c>
      <c r="D6" s="835"/>
      <c r="E6" s="836"/>
      <c r="F6" s="1437" t="s">
        <v>49</v>
      </c>
      <c r="G6" s="1438"/>
      <c r="H6" s="1438"/>
      <c r="I6" s="1439"/>
      <c r="J6" s="1437" t="s">
        <v>93</v>
      </c>
      <c r="K6" s="1438"/>
      <c r="L6" s="1438"/>
      <c r="M6" s="1439"/>
      <c r="N6" s="1437" t="s">
        <v>94</v>
      </c>
      <c r="O6" s="1438"/>
      <c r="P6" s="1438"/>
      <c r="Q6" s="1439"/>
      <c r="R6" s="762"/>
      <c r="S6" s="1440" t="s">
        <v>52</v>
      </c>
      <c r="T6" s="1441"/>
      <c r="U6" s="1441"/>
      <c r="V6" s="1442"/>
      <c r="W6" s="1462" t="s">
        <v>95</v>
      </c>
    </row>
    <row r="7" spans="1:26" s="245" customFormat="1" ht="14.25" customHeight="1" thickBot="1">
      <c r="A7" s="333"/>
      <c r="B7" s="333"/>
      <c r="C7" s="448"/>
      <c r="D7" s="449"/>
      <c r="E7" s="450"/>
      <c r="F7" s="451" t="s">
        <v>1</v>
      </c>
      <c r="G7" s="451" t="s">
        <v>2</v>
      </c>
      <c r="H7" s="451" t="s">
        <v>3</v>
      </c>
      <c r="I7" s="451" t="s">
        <v>4</v>
      </c>
      <c r="J7" s="451" t="s">
        <v>1</v>
      </c>
      <c r="K7" s="451" t="s">
        <v>2</v>
      </c>
      <c r="L7" s="451" t="s">
        <v>3</v>
      </c>
      <c r="M7" s="451" t="s">
        <v>4</v>
      </c>
      <c r="N7" s="451" t="s">
        <v>1</v>
      </c>
      <c r="O7" s="451" t="s">
        <v>2</v>
      </c>
      <c r="P7" s="451" t="s">
        <v>3</v>
      </c>
      <c r="Q7" s="451" t="s">
        <v>4</v>
      </c>
      <c r="R7" s="762"/>
      <c r="S7" s="451" t="s">
        <v>1</v>
      </c>
      <c r="T7" s="451" t="s">
        <v>2</v>
      </c>
      <c r="U7" s="451" t="s">
        <v>3</v>
      </c>
      <c r="V7" s="451" t="s">
        <v>4</v>
      </c>
      <c r="W7" s="1463"/>
    </row>
    <row r="8" spans="1:26" ht="12.75" customHeight="1">
      <c r="A8" s="246" t="s">
        <v>59</v>
      </c>
      <c r="B8" s="246" t="s">
        <v>281</v>
      </c>
      <c r="C8" s="1485" t="s">
        <v>59</v>
      </c>
      <c r="D8" s="1486"/>
      <c r="E8" s="1486"/>
      <c r="F8" s="404"/>
      <c r="G8" s="404"/>
      <c r="H8" s="404"/>
      <c r="I8" s="103"/>
      <c r="J8" s="404"/>
      <c r="K8" s="404"/>
      <c r="L8" s="404"/>
      <c r="M8" s="103"/>
      <c r="N8" s="103"/>
      <c r="O8" s="103"/>
      <c r="P8" s="103"/>
      <c r="Q8" s="103"/>
      <c r="S8" s="267" t="str">
        <f t="shared" ref="S8:V23" si="0">IF(F8=0,"",J8/F8)</f>
        <v/>
      </c>
      <c r="T8" s="267" t="str">
        <f t="shared" si="0"/>
        <v/>
      </c>
      <c r="U8" s="267" t="str">
        <f t="shared" si="0"/>
        <v/>
      </c>
      <c r="V8" s="267" t="str">
        <f t="shared" si="0"/>
        <v/>
      </c>
      <c r="W8" s="334"/>
      <c r="X8" s="237" t="s">
        <v>598</v>
      </c>
      <c r="Y8" s="837" t="s">
        <v>598</v>
      </c>
      <c r="Z8" s="241" t="s">
        <v>598</v>
      </c>
    </row>
    <row r="9" spans="1:26" s="252" customFormat="1" ht="12.75" customHeight="1">
      <c r="A9" s="249" t="s">
        <v>59</v>
      </c>
      <c r="B9" s="249" t="s">
        <v>281</v>
      </c>
      <c r="C9" s="386"/>
      <c r="D9" s="386"/>
      <c r="E9" s="387" t="s">
        <v>428</v>
      </c>
      <c r="F9" s="250"/>
      <c r="G9" s="250"/>
      <c r="H9" s="250"/>
      <c r="I9" s="388"/>
      <c r="J9" s="250"/>
      <c r="K9" s="250"/>
      <c r="L9" s="250"/>
      <c r="M9" s="388"/>
      <c r="N9" s="388"/>
      <c r="O9" s="388"/>
      <c r="P9" s="388"/>
      <c r="Q9" s="388"/>
      <c r="R9" s="764"/>
      <c r="S9" s="251" t="str">
        <f t="shared" si="0"/>
        <v/>
      </c>
      <c r="T9" s="251" t="str">
        <f t="shared" si="0"/>
        <v/>
      </c>
      <c r="U9" s="251" t="str">
        <f t="shared" si="0"/>
        <v/>
      </c>
      <c r="V9" s="251" t="str">
        <f t="shared" si="0"/>
        <v/>
      </c>
      <c r="W9" s="334"/>
      <c r="X9" s="237" t="s">
        <v>598</v>
      </c>
      <c r="Y9" s="837" t="s">
        <v>598</v>
      </c>
      <c r="Z9" s="261" t="s">
        <v>598</v>
      </c>
    </row>
    <row r="10" spans="1:26" ht="11.25" hidden="1" customHeight="1">
      <c r="A10" s="246" t="s">
        <v>59</v>
      </c>
      <c r="B10" s="246" t="s">
        <v>281</v>
      </c>
      <c r="C10" s="411"/>
      <c r="D10" s="386"/>
      <c r="E10" s="447" t="s">
        <v>766</v>
      </c>
      <c r="F10" s="404">
        <v>0</v>
      </c>
      <c r="G10" s="404">
        <v>313914442.91999942</v>
      </c>
      <c r="H10" s="404">
        <v>3585691671.0500002</v>
      </c>
      <c r="I10" s="103">
        <f>SUM(F10:H10)</f>
        <v>3899606113.9699998</v>
      </c>
      <c r="J10" s="404">
        <v>0</v>
      </c>
      <c r="K10" s="103">
        <v>237376110.84999999</v>
      </c>
      <c r="L10" s="103">
        <v>1623216053.24</v>
      </c>
      <c r="M10" s="103">
        <f>SUM(J10:L10)</f>
        <v>1860592164.0899999</v>
      </c>
      <c r="N10" s="103">
        <f t="shared" ref="N10:P11" si="1">+F10-J10</f>
        <v>0</v>
      </c>
      <c r="O10" s="103">
        <f t="shared" si="1"/>
        <v>76538332.069999427</v>
      </c>
      <c r="P10" s="103">
        <f t="shared" si="1"/>
        <v>1962475617.8100002</v>
      </c>
      <c r="Q10" s="103">
        <f>SUM(N10:P10)</f>
        <v>2039013949.8799996</v>
      </c>
      <c r="S10" s="267" t="str">
        <f t="shared" si="0"/>
        <v/>
      </c>
      <c r="T10" s="267">
        <f t="shared" si="0"/>
        <v>0.75618091554486044</v>
      </c>
      <c r="U10" s="267">
        <f t="shared" si="0"/>
        <v>0.4526925910405098</v>
      </c>
      <c r="V10" s="267">
        <f t="shared" si="0"/>
        <v>0.47712310159341231</v>
      </c>
      <c r="W10" s="334"/>
      <c r="X10" s="237" t="s">
        <v>598</v>
      </c>
    </row>
    <row r="11" spans="1:26" s="270" customFormat="1" ht="11.25" hidden="1" customHeight="1">
      <c r="A11" s="335" t="s">
        <v>59</v>
      </c>
      <c r="B11" s="335" t="s">
        <v>281</v>
      </c>
      <c r="C11" s="452"/>
      <c r="D11" s="452" t="s">
        <v>98</v>
      </c>
      <c r="E11" s="453" t="s">
        <v>50</v>
      </c>
      <c r="F11" s="405">
        <v>0</v>
      </c>
      <c r="G11" s="405">
        <v>49296080.369999997</v>
      </c>
      <c r="H11" s="405">
        <v>-96454837</v>
      </c>
      <c r="I11" s="405">
        <f>SUM(F11:H11)</f>
        <v>-47158756.630000003</v>
      </c>
      <c r="J11" s="405"/>
      <c r="K11" s="405"/>
      <c r="L11" s="405"/>
      <c r="M11" s="405">
        <f>SUM(J11:L11)</f>
        <v>0</v>
      </c>
      <c r="N11" s="405">
        <f t="shared" si="1"/>
        <v>0</v>
      </c>
      <c r="O11" s="405">
        <f t="shared" si="1"/>
        <v>49296080.369999997</v>
      </c>
      <c r="P11" s="405">
        <f t="shared" si="1"/>
        <v>-96454837</v>
      </c>
      <c r="Q11" s="405">
        <f>SUM(N11:P11)</f>
        <v>-47158756.630000003</v>
      </c>
      <c r="R11" s="765"/>
      <c r="S11" s="526" t="str">
        <f t="shared" si="0"/>
        <v/>
      </c>
      <c r="T11" s="526">
        <f t="shared" si="0"/>
        <v>0</v>
      </c>
      <c r="U11" s="526">
        <f t="shared" si="0"/>
        <v>0</v>
      </c>
      <c r="V11" s="526">
        <f t="shared" si="0"/>
        <v>0</v>
      </c>
      <c r="W11" s="334"/>
      <c r="X11" s="237" t="s">
        <v>598</v>
      </c>
      <c r="Y11" s="837"/>
      <c r="Z11" s="269"/>
    </row>
    <row r="12" spans="1:26" s="256" customFormat="1" ht="11.25" customHeight="1">
      <c r="A12" s="246" t="s">
        <v>59</v>
      </c>
      <c r="B12" s="246" t="s">
        <v>281</v>
      </c>
      <c r="C12" s="389"/>
      <c r="D12" s="389" t="s">
        <v>98</v>
      </c>
      <c r="E12" s="390" t="s">
        <v>767</v>
      </c>
      <c r="F12" s="391">
        <f>SUM(F10:F11)</f>
        <v>0</v>
      </c>
      <c r="G12" s="391">
        <f t="shared" ref="G12:Q12" si="2">SUM(G10:G11)</f>
        <v>363210523.28999943</v>
      </c>
      <c r="H12" s="391">
        <f t="shared" si="2"/>
        <v>3489236834.0500002</v>
      </c>
      <c r="I12" s="391">
        <f t="shared" si="2"/>
        <v>3852447357.3399997</v>
      </c>
      <c r="J12" s="391">
        <f t="shared" si="2"/>
        <v>0</v>
      </c>
      <c r="K12" s="391">
        <f t="shared" si="2"/>
        <v>237376110.84999999</v>
      </c>
      <c r="L12" s="391">
        <f t="shared" si="2"/>
        <v>1623216053.24</v>
      </c>
      <c r="M12" s="391">
        <f t="shared" si="2"/>
        <v>1860592164.0899999</v>
      </c>
      <c r="N12" s="391">
        <f t="shared" si="2"/>
        <v>0</v>
      </c>
      <c r="O12" s="391">
        <f t="shared" si="2"/>
        <v>125834412.43999943</v>
      </c>
      <c r="P12" s="391">
        <f t="shared" si="2"/>
        <v>1866020780.8100002</v>
      </c>
      <c r="Q12" s="391">
        <f t="shared" si="2"/>
        <v>1991855193.2499995</v>
      </c>
      <c r="R12" s="766">
        <f>+Q12-'[4]bar 2012'!$J$289-'[4]bar 2012'!$J$297</f>
        <v>0</v>
      </c>
      <c r="S12" s="521" t="str">
        <f t="shared" si="0"/>
        <v/>
      </c>
      <c r="T12" s="521">
        <f t="shared" si="0"/>
        <v>0.65354965131467557</v>
      </c>
      <c r="U12" s="521">
        <f t="shared" si="0"/>
        <v>0.46520661406520608</v>
      </c>
      <c r="V12" s="521">
        <f t="shared" si="0"/>
        <v>0.48296368295469283</v>
      </c>
      <c r="W12" s="254"/>
      <c r="X12" s="237" t="s">
        <v>598</v>
      </c>
      <c r="Y12" s="837" t="s">
        <v>598</v>
      </c>
      <c r="Z12" s="261" t="s">
        <v>598</v>
      </c>
    </row>
    <row r="13" spans="1:26" ht="11.25" hidden="1" customHeight="1">
      <c r="A13" s="246"/>
      <c r="B13" s="246"/>
      <c r="C13" s="728"/>
      <c r="D13" s="394"/>
      <c r="E13" s="729"/>
      <c r="F13" s="404"/>
      <c r="G13" s="404"/>
      <c r="H13" s="404"/>
      <c r="I13" s="103"/>
      <c r="J13" s="404"/>
      <c r="K13" s="404"/>
      <c r="L13" s="404"/>
      <c r="M13" s="103"/>
      <c r="N13" s="103"/>
      <c r="O13" s="103"/>
      <c r="P13" s="103"/>
      <c r="Q13" s="103"/>
      <c r="S13" s="267" t="str">
        <f t="shared" si="0"/>
        <v/>
      </c>
      <c r="T13" s="267" t="str">
        <f t="shared" si="0"/>
        <v/>
      </c>
      <c r="U13" s="267" t="str">
        <f t="shared" si="0"/>
        <v/>
      </c>
      <c r="V13" s="267" t="str">
        <f t="shared" si="0"/>
        <v/>
      </c>
      <c r="W13" s="330"/>
    </row>
    <row r="14" spans="1:26" s="256" customFormat="1" ht="11.25" customHeight="1">
      <c r="A14" s="246" t="s">
        <v>59</v>
      </c>
      <c r="B14" s="246" t="s">
        <v>281</v>
      </c>
      <c r="C14" s="389"/>
      <c r="D14" s="390"/>
      <c r="E14" s="389" t="s">
        <v>99</v>
      </c>
      <c r="F14" s="393">
        <f>SUM(F15:F18)</f>
        <v>0</v>
      </c>
      <c r="G14" s="393">
        <f t="shared" ref="G14:Q14" si="3">SUM(G15:G18)</f>
        <v>26350354.959999997</v>
      </c>
      <c r="H14" s="393">
        <f t="shared" si="3"/>
        <v>198603750</v>
      </c>
      <c r="I14" s="393">
        <f t="shared" si="3"/>
        <v>224954104.96000001</v>
      </c>
      <c r="J14" s="393">
        <f t="shared" si="3"/>
        <v>0</v>
      </c>
      <c r="K14" s="393">
        <f t="shared" si="3"/>
        <v>12517415.42</v>
      </c>
      <c r="L14" s="393">
        <f t="shared" si="3"/>
        <v>60983789.039999999</v>
      </c>
      <c r="M14" s="393">
        <f t="shared" si="3"/>
        <v>73501204.459999993</v>
      </c>
      <c r="N14" s="393">
        <f t="shared" si="3"/>
        <v>0</v>
      </c>
      <c r="O14" s="393">
        <f t="shared" si="3"/>
        <v>13832939.539999999</v>
      </c>
      <c r="P14" s="393">
        <f t="shared" si="3"/>
        <v>137619960.96000001</v>
      </c>
      <c r="Q14" s="393">
        <f t="shared" si="3"/>
        <v>151452900.5</v>
      </c>
      <c r="R14" s="766"/>
      <c r="S14" s="521" t="str">
        <f t="shared" si="0"/>
        <v/>
      </c>
      <c r="T14" s="521">
        <f t="shared" si="0"/>
        <v>0.47503782924372423</v>
      </c>
      <c r="U14" s="521">
        <f t="shared" si="0"/>
        <v>0.30706262615887164</v>
      </c>
      <c r="V14" s="521">
        <f t="shared" si="0"/>
        <v>0.32673866730758055</v>
      </c>
      <c r="W14" s="330"/>
      <c r="X14" s="237" t="s">
        <v>598</v>
      </c>
      <c r="Y14" s="837" t="s">
        <v>598</v>
      </c>
      <c r="Z14" s="261" t="s">
        <v>598</v>
      </c>
    </row>
    <row r="15" spans="1:26" ht="11.25" customHeight="1">
      <c r="A15" s="246" t="s">
        <v>59</v>
      </c>
      <c r="B15" s="246" t="s">
        <v>281</v>
      </c>
      <c r="C15" s="728"/>
      <c r="D15" s="394"/>
      <c r="E15" s="729" t="s">
        <v>455</v>
      </c>
      <c r="F15" s="404"/>
      <c r="G15" s="404">
        <v>22739619</v>
      </c>
      <c r="H15" s="404">
        <v>198603750</v>
      </c>
      <c r="I15" s="103">
        <f>SUM(F15:H15)</f>
        <v>221343369</v>
      </c>
      <c r="J15" s="404"/>
      <c r="K15" s="404">
        <v>9761980.5</v>
      </c>
      <c r="L15" s="404">
        <v>60983789.039999999</v>
      </c>
      <c r="M15" s="103">
        <f>SUM(J15:L15)</f>
        <v>70745769.539999992</v>
      </c>
      <c r="N15" s="103">
        <f t="shared" ref="N15:P18" si="4">+F15-J15</f>
        <v>0</v>
      </c>
      <c r="O15" s="103">
        <f t="shared" si="4"/>
        <v>12977638.5</v>
      </c>
      <c r="P15" s="103">
        <f t="shared" si="4"/>
        <v>137619960.96000001</v>
      </c>
      <c r="Q15" s="103">
        <f>SUM(N15:P15)</f>
        <v>150597599.46000001</v>
      </c>
      <c r="S15" s="267" t="str">
        <f t="shared" si="0"/>
        <v/>
      </c>
      <c r="T15" s="267">
        <f t="shared" si="0"/>
        <v>0.42929393408042588</v>
      </c>
      <c r="U15" s="267">
        <f t="shared" si="0"/>
        <v>0.30706262615887164</v>
      </c>
      <c r="V15" s="267">
        <f t="shared" si="0"/>
        <v>0.31962000876565672</v>
      </c>
      <c r="W15" s="330"/>
      <c r="X15" s="237" t="s">
        <v>598</v>
      </c>
      <c r="Y15" s="837" t="s">
        <v>598</v>
      </c>
    </row>
    <row r="16" spans="1:26" ht="11.25" customHeight="1">
      <c r="A16" s="246" t="s">
        <v>59</v>
      </c>
      <c r="B16" s="246" t="s">
        <v>281</v>
      </c>
      <c r="C16" s="410"/>
      <c r="D16" s="396"/>
      <c r="E16" s="447" t="s">
        <v>867</v>
      </c>
      <c r="F16" s="404"/>
      <c r="G16" s="404">
        <v>521592.04</v>
      </c>
      <c r="H16" s="404"/>
      <c r="I16" s="103">
        <f>SUM(F16:H16)</f>
        <v>521592.04</v>
      </c>
      <c r="J16" s="404"/>
      <c r="K16" s="404"/>
      <c r="L16" s="404"/>
      <c r="M16" s="103"/>
      <c r="N16" s="103">
        <f t="shared" si="4"/>
        <v>0</v>
      </c>
      <c r="O16" s="103">
        <f t="shared" si="4"/>
        <v>521592.04</v>
      </c>
      <c r="P16" s="103">
        <f t="shared" si="4"/>
        <v>0</v>
      </c>
      <c r="Q16" s="103">
        <f>SUM(N16:P16)</f>
        <v>521592.04</v>
      </c>
      <c r="S16" s="267" t="str">
        <f t="shared" si="0"/>
        <v/>
      </c>
      <c r="T16" s="267">
        <f t="shared" si="0"/>
        <v>0</v>
      </c>
      <c r="U16" s="267" t="str">
        <f t="shared" si="0"/>
        <v/>
      </c>
      <c r="V16" s="267">
        <f t="shared" si="0"/>
        <v>0</v>
      </c>
      <c r="W16" s="330"/>
      <c r="X16" s="237" t="s">
        <v>598</v>
      </c>
      <c r="Y16" s="837" t="s">
        <v>598</v>
      </c>
    </row>
    <row r="17" spans="1:26" ht="11.25" customHeight="1">
      <c r="A17" s="246" t="s">
        <v>59</v>
      </c>
      <c r="B17" s="246" t="s">
        <v>281</v>
      </c>
      <c r="C17" s="728"/>
      <c r="D17" s="394"/>
      <c r="E17" s="729" t="s">
        <v>769</v>
      </c>
      <c r="F17" s="404"/>
      <c r="G17" s="404">
        <v>2755759.83</v>
      </c>
      <c r="H17" s="404"/>
      <c r="I17" s="103">
        <f>SUM(F17:H17)</f>
        <v>2755759.83</v>
      </c>
      <c r="J17" s="404"/>
      <c r="K17" s="404">
        <v>2755434.9199999995</v>
      </c>
      <c r="L17" s="404"/>
      <c r="M17" s="103">
        <f>SUM(J17:L17)</f>
        <v>2755434.9199999995</v>
      </c>
      <c r="N17" s="103">
        <f t="shared" si="4"/>
        <v>0</v>
      </c>
      <c r="O17" s="103">
        <f t="shared" si="4"/>
        <v>324.91000000061467</v>
      </c>
      <c r="P17" s="103">
        <f t="shared" si="4"/>
        <v>0</v>
      </c>
      <c r="Q17" s="103">
        <f>SUM(N17:P17)</f>
        <v>324.91000000061467</v>
      </c>
      <c r="S17" s="267" t="str">
        <f t="shared" si="0"/>
        <v/>
      </c>
      <c r="T17" s="267">
        <f t="shared" si="0"/>
        <v>0.99988209785320781</v>
      </c>
      <c r="U17" s="267" t="str">
        <f t="shared" si="0"/>
        <v/>
      </c>
      <c r="V17" s="267">
        <f t="shared" si="0"/>
        <v>0.99988209785320781</v>
      </c>
      <c r="W17" s="330"/>
      <c r="X17" s="237" t="s">
        <v>598</v>
      </c>
      <c r="Y17" s="837" t="s">
        <v>598</v>
      </c>
    </row>
    <row r="18" spans="1:26" ht="11.25" customHeight="1">
      <c r="A18" s="246" t="s">
        <v>59</v>
      </c>
      <c r="B18" s="246" t="s">
        <v>281</v>
      </c>
      <c r="C18" s="728"/>
      <c r="D18" s="394"/>
      <c r="E18" s="729" t="s">
        <v>868</v>
      </c>
      <c r="F18" s="404"/>
      <c r="G18" s="404">
        <v>333384.09000000003</v>
      </c>
      <c r="H18" s="404"/>
      <c r="I18" s="103">
        <f>SUM(F18:H18)</f>
        <v>333384.09000000003</v>
      </c>
      <c r="J18" s="404"/>
      <c r="K18" s="404"/>
      <c r="L18" s="404"/>
      <c r="M18" s="103">
        <f>SUM(J18:L18)</f>
        <v>0</v>
      </c>
      <c r="N18" s="103">
        <f t="shared" si="4"/>
        <v>0</v>
      </c>
      <c r="O18" s="103">
        <f t="shared" si="4"/>
        <v>333384.09000000003</v>
      </c>
      <c r="P18" s="103">
        <f t="shared" si="4"/>
        <v>0</v>
      </c>
      <c r="Q18" s="103">
        <f>SUM(N18:P18)</f>
        <v>333384.09000000003</v>
      </c>
      <c r="S18" s="267" t="str">
        <f t="shared" si="0"/>
        <v/>
      </c>
      <c r="T18" s="267">
        <f t="shared" si="0"/>
        <v>0</v>
      </c>
      <c r="U18" s="267" t="str">
        <f t="shared" si="0"/>
        <v/>
      </c>
      <c r="V18" s="267">
        <f t="shared" si="0"/>
        <v>0</v>
      </c>
      <c r="W18" s="254"/>
      <c r="X18" s="237" t="s">
        <v>598</v>
      </c>
      <c r="Y18" s="837" t="s">
        <v>598</v>
      </c>
    </row>
    <row r="19" spans="1:26" s="259" customFormat="1" ht="12.75" customHeight="1" thickBot="1">
      <c r="A19" s="235" t="s">
        <v>59</v>
      </c>
      <c r="B19" s="235" t="s">
        <v>281</v>
      </c>
      <c r="C19" s="1453" t="s">
        <v>281</v>
      </c>
      <c r="D19" s="1454"/>
      <c r="E19" s="1455"/>
      <c r="F19" s="399">
        <f>+F14+F12</f>
        <v>0</v>
      </c>
      <c r="G19" s="399">
        <f t="shared" ref="G19:Q19" si="5">+G14+G12</f>
        <v>389560878.2499994</v>
      </c>
      <c r="H19" s="399">
        <f t="shared" si="5"/>
        <v>3687840584.0500002</v>
      </c>
      <c r="I19" s="399">
        <f t="shared" si="5"/>
        <v>4077401462.2999997</v>
      </c>
      <c r="J19" s="399">
        <f t="shared" si="5"/>
        <v>0</v>
      </c>
      <c r="K19" s="399">
        <f t="shared" si="5"/>
        <v>249893526.26999998</v>
      </c>
      <c r="L19" s="399">
        <f t="shared" si="5"/>
        <v>1684199842.28</v>
      </c>
      <c r="M19" s="399">
        <f t="shared" si="5"/>
        <v>1934093368.55</v>
      </c>
      <c r="N19" s="399">
        <f t="shared" si="5"/>
        <v>0</v>
      </c>
      <c r="O19" s="399">
        <f t="shared" si="5"/>
        <v>139667351.97999942</v>
      </c>
      <c r="P19" s="399">
        <f t="shared" si="5"/>
        <v>2003640741.7700002</v>
      </c>
      <c r="Q19" s="399">
        <f t="shared" si="5"/>
        <v>2143308093.7499995</v>
      </c>
      <c r="R19" s="767">
        <f>+Q19-'[4]bar 2012'!$J$328</f>
        <v>0</v>
      </c>
      <c r="S19" s="524" t="str">
        <f t="shared" si="0"/>
        <v/>
      </c>
      <c r="T19" s="524">
        <f t="shared" si="0"/>
        <v>0.64147490218366243</v>
      </c>
      <c r="U19" s="524">
        <f t="shared" si="0"/>
        <v>0.45668997992055432</v>
      </c>
      <c r="V19" s="524">
        <f t="shared" si="0"/>
        <v>0.47434460070532458</v>
      </c>
      <c r="W19" s="336"/>
      <c r="X19" s="237" t="s">
        <v>598</v>
      </c>
      <c r="Y19" s="837" t="s">
        <v>598</v>
      </c>
      <c r="Z19" s="241" t="s">
        <v>598</v>
      </c>
    </row>
    <row r="20" spans="1:26" s="260" customFormat="1" ht="12" customHeight="1">
      <c r="A20" s="246" t="s">
        <v>59</v>
      </c>
      <c r="B20" s="246" t="s">
        <v>281</v>
      </c>
      <c r="C20" s="400"/>
      <c r="D20" s="400"/>
      <c r="E20" s="400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768"/>
      <c r="S20" s="521" t="str">
        <f t="shared" si="0"/>
        <v/>
      </c>
      <c r="T20" s="521" t="str">
        <f t="shared" si="0"/>
        <v/>
      </c>
      <c r="U20" s="521" t="str">
        <f t="shared" si="0"/>
        <v/>
      </c>
      <c r="V20" s="521" t="str">
        <f t="shared" si="0"/>
        <v/>
      </c>
      <c r="W20" s="337"/>
      <c r="X20" s="237" t="s">
        <v>598</v>
      </c>
      <c r="Y20" s="837" t="s">
        <v>598</v>
      </c>
      <c r="Z20" s="261" t="s">
        <v>598</v>
      </c>
    </row>
    <row r="21" spans="1:26" s="252" customFormat="1" ht="11.25" customHeight="1">
      <c r="A21" s="249" t="s">
        <v>59</v>
      </c>
      <c r="B21" s="249" t="s">
        <v>283</v>
      </c>
      <c r="C21" s="396"/>
      <c r="D21" s="396" t="s">
        <v>98</v>
      </c>
      <c r="E21" s="402" t="s">
        <v>84</v>
      </c>
      <c r="F21" s="250"/>
      <c r="G21" s="250"/>
      <c r="H21" s="250"/>
      <c r="I21" s="388"/>
      <c r="J21" s="250"/>
      <c r="K21" s="250"/>
      <c r="L21" s="250"/>
      <c r="M21" s="388"/>
      <c r="N21" s="388"/>
      <c r="O21" s="388"/>
      <c r="P21" s="388"/>
      <c r="Q21" s="388"/>
      <c r="R21" s="764"/>
      <c r="S21" s="251" t="str">
        <f t="shared" si="0"/>
        <v/>
      </c>
      <c r="T21" s="251" t="str">
        <f t="shared" si="0"/>
        <v/>
      </c>
      <c r="U21" s="251" t="str">
        <f t="shared" si="0"/>
        <v/>
      </c>
      <c r="V21" s="251" t="str">
        <f t="shared" si="0"/>
        <v/>
      </c>
      <c r="W21" s="338"/>
      <c r="X21" s="237" t="s">
        <v>598</v>
      </c>
      <c r="Y21" s="837" t="s">
        <v>598</v>
      </c>
      <c r="Z21" s="261" t="s">
        <v>598</v>
      </c>
    </row>
    <row r="22" spans="1:26" s="256" customFormat="1" ht="11.25" customHeight="1">
      <c r="A22" s="262" t="s">
        <v>59</v>
      </c>
      <c r="B22" s="262" t="s">
        <v>283</v>
      </c>
      <c r="C22" s="389"/>
      <c r="D22" s="389" t="s">
        <v>98</v>
      </c>
      <c r="E22" s="454" t="s">
        <v>766</v>
      </c>
      <c r="F22" s="393">
        <f>SUM(F23:F24)</f>
        <v>0</v>
      </c>
      <c r="G22" s="393">
        <f>SUM(G23:G24)</f>
        <v>87991891.479999989</v>
      </c>
      <c r="H22" s="393">
        <f>SUM(H23:H24)</f>
        <v>0</v>
      </c>
      <c r="I22" s="391">
        <f>SUM(F22:H22)</f>
        <v>87991891.479999989</v>
      </c>
      <c r="J22" s="393">
        <f>SUM(J23:J24)</f>
        <v>0</v>
      </c>
      <c r="K22" s="393">
        <f>SUM(K23:K24)</f>
        <v>61057203.469999991</v>
      </c>
      <c r="L22" s="393">
        <f>SUM(L23:L24)</f>
        <v>0</v>
      </c>
      <c r="M22" s="391">
        <f>SUM(J22:L22)</f>
        <v>61057203.469999991</v>
      </c>
      <c r="N22" s="391">
        <f t="shared" ref="N22:P24" si="6">+F22-J22</f>
        <v>0</v>
      </c>
      <c r="O22" s="391">
        <f t="shared" si="6"/>
        <v>26934688.009999998</v>
      </c>
      <c r="P22" s="391">
        <f t="shared" si="6"/>
        <v>0</v>
      </c>
      <c r="Q22" s="391">
        <f>SUM(N22:P22)</f>
        <v>26934688.009999998</v>
      </c>
      <c r="R22" s="769"/>
      <c r="S22" s="263" t="str">
        <f t="shared" si="0"/>
        <v/>
      </c>
      <c r="T22" s="263">
        <f t="shared" si="0"/>
        <v>0.69389579474920049</v>
      </c>
      <c r="U22" s="263" t="str">
        <f t="shared" si="0"/>
        <v/>
      </c>
      <c r="V22" s="263">
        <f t="shared" si="0"/>
        <v>0.69389579474920049</v>
      </c>
      <c r="W22" s="339"/>
      <c r="X22" s="237" t="s">
        <v>598</v>
      </c>
      <c r="Y22" s="838" t="s">
        <v>598</v>
      </c>
      <c r="Z22" s="261" t="s">
        <v>598</v>
      </c>
    </row>
    <row r="23" spans="1:26" ht="11.25" customHeight="1">
      <c r="A23" s="246" t="s">
        <v>59</v>
      </c>
      <c r="B23" s="246" t="s">
        <v>283</v>
      </c>
      <c r="C23" s="411"/>
      <c r="D23" s="386"/>
      <c r="E23" s="729" t="s">
        <v>421</v>
      </c>
      <c r="F23" s="404">
        <v>0</v>
      </c>
      <c r="G23" s="404">
        <v>7803808.3200000003</v>
      </c>
      <c r="H23" s="404">
        <v>0</v>
      </c>
      <c r="I23" s="103">
        <f>SUM(F23:H23)</f>
        <v>7803808.3200000003</v>
      </c>
      <c r="J23" s="404">
        <v>0</v>
      </c>
      <c r="K23" s="404">
        <v>106114.98</v>
      </c>
      <c r="L23" s="404">
        <v>0</v>
      </c>
      <c r="M23" s="103">
        <f>SUM(J23:L23)</f>
        <v>106114.98</v>
      </c>
      <c r="N23" s="103">
        <f t="shared" si="6"/>
        <v>0</v>
      </c>
      <c r="O23" s="103">
        <f t="shared" si="6"/>
        <v>7697693.3399999999</v>
      </c>
      <c r="P23" s="103">
        <f t="shared" si="6"/>
        <v>0</v>
      </c>
      <c r="Q23" s="103">
        <f>SUM(N23:P23)</f>
        <v>7697693.3399999999</v>
      </c>
      <c r="S23" s="267" t="str">
        <f t="shared" si="0"/>
        <v/>
      </c>
      <c r="T23" s="267">
        <f t="shared" si="0"/>
        <v>1.3597845519609072E-2</v>
      </c>
      <c r="U23" s="267" t="str">
        <f t="shared" si="0"/>
        <v/>
      </c>
      <c r="V23" s="267">
        <f t="shared" si="0"/>
        <v>1.3597845519609072E-2</v>
      </c>
      <c r="W23" s="330"/>
      <c r="X23" s="237" t="s">
        <v>598</v>
      </c>
      <c r="Y23" s="837" t="s">
        <v>598</v>
      </c>
    </row>
    <row r="24" spans="1:26" ht="11.25" customHeight="1">
      <c r="A24" s="246" t="s">
        <v>59</v>
      </c>
      <c r="B24" s="246" t="s">
        <v>283</v>
      </c>
      <c r="C24" s="411"/>
      <c r="D24" s="386"/>
      <c r="E24" s="729" t="s">
        <v>422</v>
      </c>
      <c r="F24" s="404">
        <v>0</v>
      </c>
      <c r="G24" s="404">
        <v>80188083.159999996</v>
      </c>
      <c r="H24" s="404">
        <v>0</v>
      </c>
      <c r="I24" s="103">
        <f>SUM(F24:H24)</f>
        <v>80188083.159999996</v>
      </c>
      <c r="J24" s="404">
        <v>0</v>
      </c>
      <c r="K24" s="404">
        <v>60951088.489999995</v>
      </c>
      <c r="L24" s="404">
        <v>0</v>
      </c>
      <c r="M24" s="103">
        <f>SUM(J24:L24)</f>
        <v>60951088.489999995</v>
      </c>
      <c r="N24" s="103">
        <f t="shared" si="6"/>
        <v>0</v>
      </c>
      <c r="O24" s="103">
        <f t="shared" si="6"/>
        <v>19236994.670000002</v>
      </c>
      <c r="P24" s="103">
        <f t="shared" si="6"/>
        <v>0</v>
      </c>
      <c r="Q24" s="103">
        <f>SUM(N24:P24)</f>
        <v>19236994.670000002</v>
      </c>
      <c r="S24" s="267" t="str">
        <f t="shared" ref="S24:V87" si="7">IF(F24=0,"",J24/F24)</f>
        <v/>
      </c>
      <c r="T24" s="267">
        <f t="shared" si="7"/>
        <v>0.76010157729277239</v>
      </c>
      <c r="U24" s="267" t="str">
        <f t="shared" si="7"/>
        <v/>
      </c>
      <c r="V24" s="267">
        <f t="shared" si="7"/>
        <v>0.76010157729277239</v>
      </c>
      <c r="W24" s="330"/>
      <c r="X24" s="237" t="s">
        <v>598</v>
      </c>
      <c r="Y24" s="837" t="s">
        <v>598</v>
      </c>
    </row>
    <row r="25" spans="1:26" s="342" customFormat="1" ht="12.75" customHeight="1" thickBot="1">
      <c r="A25" s="246" t="s">
        <v>59</v>
      </c>
      <c r="B25" s="340" t="s">
        <v>283</v>
      </c>
      <c r="C25" s="1487" t="s">
        <v>771</v>
      </c>
      <c r="D25" s="1487"/>
      <c r="E25" s="1487"/>
      <c r="F25" s="455">
        <f>SUM(F23:F24)</f>
        <v>0</v>
      </c>
      <c r="G25" s="455">
        <f t="shared" ref="G25:Q25" si="8">SUM(G23:G24)</f>
        <v>87991891.479999989</v>
      </c>
      <c r="H25" s="455">
        <f t="shared" si="8"/>
        <v>0</v>
      </c>
      <c r="I25" s="455">
        <f t="shared" si="8"/>
        <v>87991891.479999989</v>
      </c>
      <c r="J25" s="455">
        <f>SUM(J23:J24)</f>
        <v>0</v>
      </c>
      <c r="K25" s="455">
        <f t="shared" si="8"/>
        <v>61057203.469999991</v>
      </c>
      <c r="L25" s="455">
        <f t="shared" si="8"/>
        <v>0</v>
      </c>
      <c r="M25" s="455">
        <f t="shared" si="8"/>
        <v>61057203.469999991</v>
      </c>
      <c r="N25" s="455">
        <f t="shared" si="8"/>
        <v>0</v>
      </c>
      <c r="O25" s="455">
        <f t="shared" si="8"/>
        <v>26934688.010000002</v>
      </c>
      <c r="P25" s="455">
        <f t="shared" si="8"/>
        <v>0</v>
      </c>
      <c r="Q25" s="455">
        <f t="shared" si="8"/>
        <v>26934688.010000002</v>
      </c>
      <c r="R25" s="770">
        <f>+Q25-'[2]faps conap bar'!$K$27-'[2]faps conap bar'!$L$27</f>
        <v>0</v>
      </c>
      <c r="S25" s="547" t="str">
        <f t="shared" si="7"/>
        <v/>
      </c>
      <c r="T25" s="547">
        <f t="shared" si="7"/>
        <v>0.69389579474920049</v>
      </c>
      <c r="U25" s="547" t="str">
        <f t="shared" si="7"/>
        <v/>
      </c>
      <c r="V25" s="547">
        <f t="shared" si="7"/>
        <v>0.69389579474920049</v>
      </c>
      <c r="W25" s="341"/>
      <c r="X25" s="237" t="s">
        <v>598</v>
      </c>
      <c r="Y25" s="837" t="s">
        <v>598</v>
      </c>
      <c r="Z25" s="261" t="s">
        <v>598</v>
      </c>
    </row>
    <row r="26" spans="1:26" s="266" customFormat="1" ht="19.5" customHeight="1" thickBot="1">
      <c r="A26" s="264" t="s">
        <v>59</v>
      </c>
      <c r="B26" s="265" t="s">
        <v>772</v>
      </c>
      <c r="C26" s="1488" t="s">
        <v>87</v>
      </c>
      <c r="D26" s="1488"/>
      <c r="E26" s="1488"/>
      <c r="F26" s="403">
        <f>+F25+F19</f>
        <v>0</v>
      </c>
      <c r="G26" s="403">
        <f t="shared" ref="G26:Q26" si="9">+G25+G19</f>
        <v>477552769.72999942</v>
      </c>
      <c r="H26" s="403">
        <f t="shared" si="9"/>
        <v>3687840584.0500002</v>
      </c>
      <c r="I26" s="403">
        <f t="shared" si="9"/>
        <v>4165393353.7799997</v>
      </c>
      <c r="J26" s="403">
        <f t="shared" si="9"/>
        <v>0</v>
      </c>
      <c r="K26" s="403">
        <f t="shared" si="9"/>
        <v>310950729.73999995</v>
      </c>
      <c r="L26" s="403">
        <f t="shared" si="9"/>
        <v>1684199842.28</v>
      </c>
      <c r="M26" s="403">
        <f t="shared" si="9"/>
        <v>1995150572.02</v>
      </c>
      <c r="N26" s="403">
        <f t="shared" si="9"/>
        <v>0</v>
      </c>
      <c r="O26" s="403">
        <f t="shared" si="9"/>
        <v>166602039.98999941</v>
      </c>
      <c r="P26" s="403">
        <f t="shared" si="9"/>
        <v>2003640741.7700002</v>
      </c>
      <c r="Q26" s="403">
        <f t="shared" si="9"/>
        <v>2170242781.7599998</v>
      </c>
      <c r="R26" s="771"/>
      <c r="S26" s="525" t="str">
        <f t="shared" si="7"/>
        <v/>
      </c>
      <c r="T26" s="525">
        <f t="shared" si="7"/>
        <v>0.65113375829818021</v>
      </c>
      <c r="U26" s="525">
        <f t="shared" si="7"/>
        <v>0.45668997992055432</v>
      </c>
      <c r="V26" s="525">
        <f t="shared" si="7"/>
        <v>0.47898251199000119</v>
      </c>
      <c r="W26" s="343"/>
      <c r="X26" s="237" t="s">
        <v>598</v>
      </c>
      <c r="Y26" s="837" t="s">
        <v>598</v>
      </c>
      <c r="Z26" s="241" t="s">
        <v>598</v>
      </c>
    </row>
    <row r="27" spans="1:26" s="260" customFormat="1" ht="12" hidden="1" customHeight="1">
      <c r="A27" s="246"/>
      <c r="B27" s="246"/>
      <c r="C27" s="400"/>
      <c r="D27" s="400"/>
      <c r="E27" s="400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768"/>
      <c r="S27" s="521"/>
      <c r="T27" s="521"/>
      <c r="U27" s="521"/>
      <c r="V27" s="521"/>
      <c r="W27" s="337"/>
      <c r="X27" s="237"/>
      <c r="Y27" s="837"/>
      <c r="Z27" s="261"/>
    </row>
    <row r="28" spans="1:26" ht="12.75" customHeight="1">
      <c r="A28" s="246" t="s">
        <v>773</v>
      </c>
      <c r="B28" s="246" t="s">
        <v>773</v>
      </c>
      <c r="C28" s="1459" t="s">
        <v>774</v>
      </c>
      <c r="D28" s="1480"/>
      <c r="E28" s="1489"/>
      <c r="F28" s="404"/>
      <c r="G28" s="404"/>
      <c r="H28" s="404"/>
      <c r="I28" s="103">
        <f>SUM(F28:H28)</f>
        <v>0</v>
      </c>
      <c r="J28" s="404">
        <v>0</v>
      </c>
      <c r="K28" s="404">
        <v>0</v>
      </c>
      <c r="L28" s="404">
        <v>0</v>
      </c>
      <c r="M28" s="103">
        <f>SUM(J28:L28)</f>
        <v>0</v>
      </c>
      <c r="N28" s="103">
        <f>+F28-J28</f>
        <v>0</v>
      </c>
      <c r="O28" s="103">
        <f>+G28-K28</f>
        <v>0</v>
      </c>
      <c r="P28" s="103">
        <f>+H28-L28</f>
        <v>0</v>
      </c>
      <c r="Q28" s="103">
        <f>SUM(N28:P28)</f>
        <v>0</v>
      </c>
      <c r="S28" s="267" t="str">
        <f t="shared" si="7"/>
        <v/>
      </c>
      <c r="T28" s="267" t="str">
        <f t="shared" si="7"/>
        <v/>
      </c>
      <c r="U28" s="267" t="str">
        <f t="shared" si="7"/>
        <v/>
      </c>
      <c r="V28" s="267" t="str">
        <f t="shared" si="7"/>
        <v/>
      </c>
      <c r="W28" s="329"/>
      <c r="X28" s="237" t="s">
        <v>598</v>
      </c>
      <c r="Y28" s="837" t="s">
        <v>598</v>
      </c>
      <c r="Z28" s="241" t="s">
        <v>598</v>
      </c>
    </row>
    <row r="29" spans="1:26" ht="11.25" customHeight="1">
      <c r="A29" s="528" t="s">
        <v>96</v>
      </c>
      <c r="B29" s="528" t="s">
        <v>97</v>
      </c>
      <c r="C29" s="803"/>
      <c r="D29" s="643"/>
      <c r="E29" s="803" t="s">
        <v>97</v>
      </c>
      <c r="F29" s="804"/>
      <c r="G29" s="804"/>
      <c r="H29" s="804"/>
      <c r="I29" s="804"/>
      <c r="J29" s="804"/>
      <c r="K29" s="804"/>
      <c r="L29" s="804"/>
      <c r="M29" s="804"/>
      <c r="N29" s="804"/>
      <c r="O29" s="804"/>
      <c r="P29" s="804"/>
      <c r="Q29" s="804"/>
      <c r="S29" s="103" t="str">
        <f t="shared" si="7"/>
        <v/>
      </c>
      <c r="T29" s="103" t="str">
        <f t="shared" si="7"/>
        <v/>
      </c>
      <c r="U29" s="103" t="str">
        <f t="shared" si="7"/>
        <v/>
      </c>
      <c r="V29" s="103" t="str">
        <f t="shared" si="7"/>
        <v/>
      </c>
      <c r="W29" s="644"/>
      <c r="X29" s="236"/>
      <c r="Y29" s="236" t="s">
        <v>598</v>
      </c>
      <c r="Z29" s="240" t="s">
        <v>598</v>
      </c>
    </row>
    <row r="30" spans="1:26" ht="12" customHeight="1">
      <c r="A30" s="548" t="s">
        <v>96</v>
      </c>
      <c r="B30" s="548" t="s">
        <v>97</v>
      </c>
      <c r="C30" s="447" t="s">
        <v>766</v>
      </c>
      <c r="D30" s="549"/>
      <c r="E30" s="447" t="s">
        <v>766</v>
      </c>
      <c r="F30" s="103">
        <f>SUM(F31:F33)</f>
        <v>0</v>
      </c>
      <c r="G30" s="103">
        <f t="shared" ref="G30:Q30" si="10">SUM(G31:G33)</f>
        <v>2363191.2899999972</v>
      </c>
      <c r="H30" s="103">
        <f t="shared" si="10"/>
        <v>0</v>
      </c>
      <c r="I30" s="103">
        <f t="shared" si="10"/>
        <v>2363191.2899999972</v>
      </c>
      <c r="J30" s="103">
        <f t="shared" si="10"/>
        <v>0</v>
      </c>
      <c r="K30" s="103">
        <f t="shared" si="10"/>
        <v>2363142.9500000002</v>
      </c>
      <c r="L30" s="103">
        <f t="shared" si="10"/>
        <v>0</v>
      </c>
      <c r="M30" s="103">
        <f t="shared" si="10"/>
        <v>2363142.9500000002</v>
      </c>
      <c r="N30" s="103">
        <f t="shared" si="10"/>
        <v>0</v>
      </c>
      <c r="O30" s="103">
        <f t="shared" si="10"/>
        <v>48.339999997289851</v>
      </c>
      <c r="P30" s="103">
        <f t="shared" si="10"/>
        <v>0</v>
      </c>
      <c r="Q30" s="103">
        <f t="shared" si="10"/>
        <v>48.339999997289851</v>
      </c>
      <c r="R30" s="760">
        <f>Q30-'[3]ncr-SAOB'!F352</f>
        <v>2.3283064365386963E-10</v>
      </c>
      <c r="S30" s="267" t="str">
        <f t="shared" si="7"/>
        <v/>
      </c>
      <c r="T30" s="267">
        <f t="shared" si="7"/>
        <v>0.99997954460978189</v>
      </c>
      <c r="U30" s="267" t="str">
        <f t="shared" si="7"/>
        <v/>
      </c>
      <c r="V30" s="267">
        <f t="shared" si="7"/>
        <v>0.99997954460978189</v>
      </c>
      <c r="W30" s="530"/>
      <c r="X30" s="236"/>
      <c r="Y30" s="236" t="s">
        <v>688</v>
      </c>
      <c r="Z30" s="236"/>
    </row>
    <row r="31" spans="1:26" ht="12" hidden="1" customHeight="1">
      <c r="A31" s="548" t="s">
        <v>96</v>
      </c>
      <c r="B31" s="548" t="s">
        <v>97</v>
      </c>
      <c r="C31" s="457" t="s">
        <v>775</v>
      </c>
      <c r="D31" s="549" t="s">
        <v>98</v>
      </c>
      <c r="E31" s="406" t="s">
        <v>775</v>
      </c>
      <c r="F31" s="103">
        <v>0</v>
      </c>
      <c r="G31" s="103">
        <f>+'[3]ncr-SAOB'!C223</f>
        <v>242070.08999999985</v>
      </c>
      <c r="H31" s="103">
        <f>+'[3]ncr-SAOB'!C315</f>
        <v>0</v>
      </c>
      <c r="I31" s="103">
        <f t="shared" ref="I31:I81" si="11">+F31+G31+H31</f>
        <v>242070.08999999985</v>
      </c>
      <c r="J31" s="103">
        <v>0</v>
      </c>
      <c r="K31" s="103">
        <f>+'[3]ncr-SAOB'!C224</f>
        <v>242070.09</v>
      </c>
      <c r="L31" s="103">
        <f>+'[3]ncr-SAOB'!C316</f>
        <v>0</v>
      </c>
      <c r="M31" s="103">
        <f t="shared" ref="M31:M81" si="12">+J31+K31+L31</f>
        <v>242070.09</v>
      </c>
      <c r="N31" s="103">
        <f t="shared" ref="N31:P89" si="13">+F31-J31</f>
        <v>0</v>
      </c>
      <c r="O31" s="103">
        <f t="shared" si="13"/>
        <v>0</v>
      </c>
      <c r="P31" s="103">
        <f t="shared" si="13"/>
        <v>0</v>
      </c>
      <c r="Q31" s="103">
        <f t="shared" ref="Q31:Q81" si="14">+N31+O31+P31</f>
        <v>0</v>
      </c>
      <c r="R31" s="760">
        <f>Q31-'[3]ncr-SAOB'!C352</f>
        <v>0</v>
      </c>
      <c r="S31" s="267" t="str">
        <f t="shared" si="7"/>
        <v/>
      </c>
      <c r="T31" s="267">
        <f t="shared" si="7"/>
        <v>1.0000000000000007</v>
      </c>
      <c r="U31" s="267" t="str">
        <f t="shared" si="7"/>
        <v/>
      </c>
      <c r="V31" s="267">
        <f t="shared" si="7"/>
        <v>1.0000000000000007</v>
      </c>
      <c r="W31" s="530"/>
      <c r="X31" s="236"/>
      <c r="Y31" s="236"/>
      <c r="Z31" s="236"/>
    </row>
    <row r="32" spans="1:26" ht="12" hidden="1" customHeight="1">
      <c r="A32" s="548" t="s">
        <v>96</v>
      </c>
      <c r="B32" s="548" t="s">
        <v>97</v>
      </c>
      <c r="C32" s="456"/>
      <c r="D32" s="549" t="s">
        <v>98</v>
      </c>
      <c r="E32" s="406" t="s">
        <v>776</v>
      </c>
      <c r="F32" s="103">
        <v>0</v>
      </c>
      <c r="G32" s="103">
        <f>+'[3]ncr-SAOB'!D223</f>
        <v>954146.40000000037</v>
      </c>
      <c r="H32" s="103">
        <f>+'[3]ncr-SAOB'!D315</f>
        <v>0</v>
      </c>
      <c r="I32" s="103">
        <f t="shared" si="11"/>
        <v>954146.40000000037</v>
      </c>
      <c r="J32" s="103">
        <v>0</v>
      </c>
      <c r="K32" s="103">
        <f>+'[3]ncr-SAOB'!D224</f>
        <v>954131.40000000014</v>
      </c>
      <c r="L32" s="103">
        <f>+'[3]ncr-SAOB'!D316</f>
        <v>0</v>
      </c>
      <c r="M32" s="103">
        <f t="shared" si="12"/>
        <v>954131.40000000014</v>
      </c>
      <c r="N32" s="103">
        <f t="shared" si="13"/>
        <v>0</v>
      </c>
      <c r="O32" s="103">
        <f t="shared" si="13"/>
        <v>15.000000000232831</v>
      </c>
      <c r="P32" s="103">
        <f t="shared" si="13"/>
        <v>0</v>
      </c>
      <c r="Q32" s="103">
        <f t="shared" si="14"/>
        <v>15.000000000232831</v>
      </c>
      <c r="R32" s="760">
        <f>Q32-'[3]ncr-SAOB'!D352</f>
        <v>0</v>
      </c>
      <c r="S32" s="267" t="str">
        <f t="shared" si="7"/>
        <v/>
      </c>
      <c r="T32" s="267">
        <f t="shared" si="7"/>
        <v>0.99998427914206856</v>
      </c>
      <c r="U32" s="267" t="str">
        <f t="shared" si="7"/>
        <v/>
      </c>
      <c r="V32" s="267">
        <f t="shared" si="7"/>
        <v>0.99998427914206856</v>
      </c>
      <c r="W32" s="530"/>
      <c r="X32" s="236"/>
      <c r="Y32" s="236"/>
      <c r="Z32" s="236"/>
    </row>
    <row r="33" spans="1:26" ht="12" hidden="1" customHeight="1">
      <c r="A33" s="548" t="s">
        <v>96</v>
      </c>
      <c r="B33" s="548" t="s">
        <v>97</v>
      </c>
      <c r="C33" s="456"/>
      <c r="D33" s="549" t="s">
        <v>98</v>
      </c>
      <c r="E33" s="406" t="s">
        <v>777</v>
      </c>
      <c r="F33" s="103">
        <v>0</v>
      </c>
      <c r="G33" s="103">
        <f>+'[3]ncr-SAOB'!E223</f>
        <v>1166974.799999997</v>
      </c>
      <c r="H33" s="103">
        <f>+'[3]ncr-SAOB'!D315</f>
        <v>0</v>
      </c>
      <c r="I33" s="103">
        <f t="shared" si="11"/>
        <v>1166974.799999997</v>
      </c>
      <c r="J33" s="103">
        <v>0</v>
      </c>
      <c r="K33" s="103">
        <f>+'[3]ncr-SAOB'!E224</f>
        <v>1166941.46</v>
      </c>
      <c r="L33" s="103">
        <f>+'[3]ncr-SAOB'!E316</f>
        <v>0</v>
      </c>
      <c r="M33" s="103">
        <f t="shared" si="12"/>
        <v>1166941.46</v>
      </c>
      <c r="N33" s="103">
        <f t="shared" si="13"/>
        <v>0</v>
      </c>
      <c r="O33" s="103">
        <f t="shared" si="13"/>
        <v>33.339999997057021</v>
      </c>
      <c r="P33" s="103">
        <f t="shared" si="13"/>
        <v>0</v>
      </c>
      <c r="Q33" s="103">
        <f t="shared" si="14"/>
        <v>33.339999997057021</v>
      </c>
      <c r="R33" s="760">
        <f>Q33-'[3]ncr-SAOB'!E352</f>
        <v>0</v>
      </c>
      <c r="S33" s="267" t="str">
        <f t="shared" si="7"/>
        <v/>
      </c>
      <c r="T33" s="267">
        <f t="shared" si="7"/>
        <v>0.99997143040278413</v>
      </c>
      <c r="U33" s="267" t="str">
        <f t="shared" si="7"/>
        <v/>
      </c>
      <c r="V33" s="267">
        <f t="shared" si="7"/>
        <v>0.99997143040278413</v>
      </c>
      <c r="W33" s="530"/>
      <c r="X33" s="236"/>
      <c r="Y33" s="236"/>
      <c r="Z33" s="236"/>
    </row>
    <row r="34" spans="1:26" ht="12" customHeight="1">
      <c r="A34" s="548" t="s">
        <v>96</v>
      </c>
      <c r="B34" s="548" t="s">
        <v>97</v>
      </c>
      <c r="C34" s="456"/>
      <c r="D34" s="549"/>
      <c r="E34" s="453" t="s">
        <v>50</v>
      </c>
      <c r="F34" s="103">
        <f>+F35+F36</f>
        <v>0</v>
      </c>
      <c r="G34" s="103">
        <f t="shared" ref="G34:L34" si="15">+G35+G36</f>
        <v>25326971.640000001</v>
      </c>
      <c r="H34" s="103">
        <f t="shared" si="15"/>
        <v>4145016.33</v>
      </c>
      <c r="I34" s="103">
        <f>+F34+G34+H34</f>
        <v>29471987.969999999</v>
      </c>
      <c r="J34" s="103">
        <f t="shared" si="15"/>
        <v>0</v>
      </c>
      <c r="K34" s="103">
        <f t="shared" si="15"/>
        <v>17627958.810000002</v>
      </c>
      <c r="L34" s="103">
        <f t="shared" si="15"/>
        <v>189808</v>
      </c>
      <c r="M34" s="103">
        <f>+J34+K34+L34</f>
        <v>17817766.810000002</v>
      </c>
      <c r="N34" s="103">
        <f t="shared" si="13"/>
        <v>0</v>
      </c>
      <c r="O34" s="103">
        <f t="shared" si="13"/>
        <v>7699012.8299999982</v>
      </c>
      <c r="P34" s="103">
        <f t="shared" si="13"/>
        <v>3955208.33</v>
      </c>
      <c r="Q34" s="103">
        <f>+N34+O34+P34</f>
        <v>11654221.159999998</v>
      </c>
      <c r="S34" s="267" t="str">
        <f t="shared" si="7"/>
        <v/>
      </c>
      <c r="T34" s="267">
        <f t="shared" si="7"/>
        <v>0.69601526232845745</v>
      </c>
      <c r="U34" s="267">
        <f t="shared" si="7"/>
        <v>4.5791858195164216E-2</v>
      </c>
      <c r="V34" s="267">
        <f t="shared" si="7"/>
        <v>0.60456616730900503</v>
      </c>
      <c r="W34" s="530"/>
      <c r="X34" s="236"/>
      <c r="Y34" s="236" t="s">
        <v>688</v>
      </c>
      <c r="Z34" s="236"/>
    </row>
    <row r="35" spans="1:26" ht="12" hidden="1" customHeight="1">
      <c r="A35" s="548" t="s">
        <v>96</v>
      </c>
      <c r="B35" s="548" t="s">
        <v>97</v>
      </c>
      <c r="C35" s="458" t="s">
        <v>715</v>
      </c>
      <c r="D35" s="550" t="s">
        <v>715</v>
      </c>
      <c r="E35" s="447" t="s">
        <v>715</v>
      </c>
      <c r="F35" s="103">
        <f>'[3]CONAP - W INC'!F14</f>
        <v>0</v>
      </c>
      <c r="G35" s="103">
        <f>'[3]CONAP - W INC'!G14</f>
        <v>-3551774.76</v>
      </c>
      <c r="H35" s="103">
        <f>'[3]CONAP - W INC'!H14</f>
        <v>770000</v>
      </c>
      <c r="I35" s="103">
        <f>+F35+G35+H35</f>
        <v>-2781774.76</v>
      </c>
      <c r="J35" s="103">
        <f>'[3]CONAP - W INC'!J14</f>
        <v>0</v>
      </c>
      <c r="K35" s="103">
        <f>'[3]CONAP - W INC'!K14</f>
        <v>0</v>
      </c>
      <c r="L35" s="103">
        <f>'[3]CONAP - W INC'!L14</f>
        <v>0</v>
      </c>
      <c r="M35" s="103">
        <f>+J35+K35+L35</f>
        <v>0</v>
      </c>
      <c r="N35" s="103">
        <f t="shared" si="13"/>
        <v>0</v>
      </c>
      <c r="O35" s="103">
        <f t="shared" si="13"/>
        <v>-3551774.76</v>
      </c>
      <c r="P35" s="103">
        <f t="shared" si="13"/>
        <v>770000</v>
      </c>
      <c r="Q35" s="103">
        <f>+N35+O35+P35</f>
        <v>-2781774.76</v>
      </c>
      <c r="S35" s="267" t="str">
        <f t="shared" si="7"/>
        <v/>
      </c>
      <c r="T35" s="267">
        <f t="shared" si="7"/>
        <v>0</v>
      </c>
      <c r="U35" s="267">
        <f t="shared" si="7"/>
        <v>0</v>
      </c>
      <c r="V35" s="267">
        <f t="shared" si="7"/>
        <v>0</v>
      </c>
      <c r="W35" s="530"/>
      <c r="X35" s="236"/>
      <c r="Y35" s="236"/>
      <c r="Z35" s="236"/>
    </row>
    <row r="36" spans="1:26" ht="12" hidden="1" customHeight="1">
      <c r="A36" s="548" t="s">
        <v>96</v>
      </c>
      <c r="B36" s="548" t="s">
        <v>97</v>
      </c>
      <c r="C36" s="458" t="s">
        <v>716</v>
      </c>
      <c r="D36" s="550" t="s">
        <v>716</v>
      </c>
      <c r="E36" s="459" t="s">
        <v>716</v>
      </c>
      <c r="F36" s="103">
        <f>'[3]CONAP - W INC'!F15</f>
        <v>0</v>
      </c>
      <c r="G36" s="103">
        <f>'[3]CONAP - W INC'!G15</f>
        <v>28878746.399999999</v>
      </c>
      <c r="H36" s="103">
        <f>'[3]CONAP - W INC'!H15</f>
        <v>3375016.33</v>
      </c>
      <c r="I36" s="103">
        <f>+F36+G36+H36</f>
        <v>32253762.729999997</v>
      </c>
      <c r="J36" s="103">
        <f>'[3]CONAP - W INC'!J15</f>
        <v>0</v>
      </c>
      <c r="K36" s="103">
        <f>'[3]CONAP - W INC'!K15</f>
        <v>17627958.810000002</v>
      </c>
      <c r="L36" s="103">
        <f>'[3]CONAP - W INC'!L15</f>
        <v>189808</v>
      </c>
      <c r="M36" s="103">
        <f>+J36+K36+L36</f>
        <v>17817766.810000002</v>
      </c>
      <c r="N36" s="103">
        <f t="shared" si="13"/>
        <v>0</v>
      </c>
      <c r="O36" s="103">
        <f t="shared" si="13"/>
        <v>11250787.589999996</v>
      </c>
      <c r="P36" s="103">
        <f t="shared" si="13"/>
        <v>3185208.33</v>
      </c>
      <c r="Q36" s="103">
        <f>+N36+O36+P36</f>
        <v>14435995.919999996</v>
      </c>
      <c r="S36" s="267" t="str">
        <f t="shared" si="7"/>
        <v/>
      </c>
      <c r="T36" s="267">
        <f t="shared" si="7"/>
        <v>0.61041288170320318</v>
      </c>
      <c r="U36" s="267">
        <f t="shared" si="7"/>
        <v>5.6239135293309823E-2</v>
      </c>
      <c r="V36" s="267">
        <f t="shared" si="7"/>
        <v>0.55242443987557677</v>
      </c>
      <c r="W36" s="530"/>
      <c r="X36" s="236"/>
      <c r="Y36" s="236"/>
      <c r="Z36" s="236"/>
    </row>
    <row r="37" spans="1:26" s="256" customFormat="1" ht="12" hidden="1" customHeight="1">
      <c r="A37" s="548"/>
      <c r="B37" s="548" t="s">
        <v>97</v>
      </c>
      <c r="C37" s="460"/>
      <c r="D37" s="551"/>
      <c r="E37" s="390" t="s">
        <v>767</v>
      </c>
      <c r="F37" s="391">
        <f t="shared" ref="F37:Q37" si="16">+F30+F34</f>
        <v>0</v>
      </c>
      <c r="G37" s="391">
        <f t="shared" si="16"/>
        <v>27690162.93</v>
      </c>
      <c r="H37" s="391">
        <f t="shared" si="16"/>
        <v>4145016.33</v>
      </c>
      <c r="I37" s="391">
        <f t="shared" si="16"/>
        <v>31835179.259999998</v>
      </c>
      <c r="J37" s="391">
        <f t="shared" si="16"/>
        <v>0</v>
      </c>
      <c r="K37" s="391">
        <f t="shared" si="16"/>
        <v>19991101.760000002</v>
      </c>
      <c r="L37" s="391">
        <f t="shared" si="16"/>
        <v>189808</v>
      </c>
      <c r="M37" s="391">
        <f t="shared" si="16"/>
        <v>20180909.760000002</v>
      </c>
      <c r="N37" s="391">
        <f t="shared" si="16"/>
        <v>0</v>
      </c>
      <c r="O37" s="391">
        <f t="shared" si="16"/>
        <v>7699061.1699999953</v>
      </c>
      <c r="P37" s="391">
        <f t="shared" si="16"/>
        <v>3955208.33</v>
      </c>
      <c r="Q37" s="391">
        <f t="shared" si="16"/>
        <v>11654269.499999996</v>
      </c>
      <c r="R37" s="761"/>
      <c r="S37" s="267" t="str">
        <f t="shared" si="7"/>
        <v/>
      </c>
      <c r="T37" s="267">
        <f t="shared" si="7"/>
        <v>0.72195681226350961</v>
      </c>
      <c r="U37" s="267">
        <f t="shared" si="7"/>
        <v>4.5791858195164216E-2</v>
      </c>
      <c r="V37" s="267">
        <f t="shared" si="7"/>
        <v>0.63391852124284231</v>
      </c>
      <c r="W37" s="532"/>
      <c r="Y37" s="236"/>
      <c r="Z37" s="240" t="s">
        <v>598</v>
      </c>
    </row>
    <row r="38" spans="1:26" ht="12" hidden="1" customHeight="1">
      <c r="A38" s="548"/>
      <c r="B38" s="548"/>
      <c r="C38" s="456"/>
      <c r="D38" s="549"/>
      <c r="E38" s="461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S38" s="267" t="str">
        <f t="shared" si="7"/>
        <v/>
      </c>
      <c r="T38" s="267" t="str">
        <f t="shared" si="7"/>
        <v/>
      </c>
      <c r="U38" s="267" t="str">
        <f t="shared" si="7"/>
        <v/>
      </c>
      <c r="V38" s="267" t="str">
        <f t="shared" si="7"/>
        <v/>
      </c>
      <c r="W38" s="530"/>
      <c r="X38" s="236"/>
      <c r="Y38" s="236"/>
      <c r="Z38" s="236"/>
    </row>
    <row r="39" spans="1:26" s="256" customFormat="1" ht="12" hidden="1" customHeight="1">
      <c r="A39" s="548" t="s">
        <v>96</v>
      </c>
      <c r="B39" s="548" t="s">
        <v>97</v>
      </c>
      <c r="C39" s="460"/>
      <c r="D39" s="551" t="s">
        <v>98</v>
      </c>
      <c r="E39" s="390" t="s">
        <v>100</v>
      </c>
      <c r="F39" s="391">
        <f>SUM(F40:F40)</f>
        <v>0</v>
      </c>
      <c r="G39" s="391">
        <f>SUM(G40:G40)</f>
        <v>0</v>
      </c>
      <c r="H39" s="391">
        <f>SUM(H40:H40)</f>
        <v>0</v>
      </c>
      <c r="I39" s="391">
        <f t="shared" si="11"/>
        <v>0</v>
      </c>
      <c r="J39" s="391">
        <f>SUM(J40:J40)</f>
        <v>0</v>
      </c>
      <c r="K39" s="391">
        <f>SUM(K40:K40)</f>
        <v>0</v>
      </c>
      <c r="L39" s="391">
        <f>SUM(L40:L40)</f>
        <v>0</v>
      </c>
      <c r="M39" s="391">
        <f t="shared" si="12"/>
        <v>0</v>
      </c>
      <c r="N39" s="391">
        <f t="shared" si="13"/>
        <v>0</v>
      </c>
      <c r="O39" s="391">
        <f t="shared" si="13"/>
        <v>0</v>
      </c>
      <c r="P39" s="391">
        <f t="shared" si="13"/>
        <v>0</v>
      </c>
      <c r="Q39" s="391">
        <f t="shared" si="14"/>
        <v>0</v>
      </c>
      <c r="R39" s="761">
        <f>Q39-'[3]ncr-SAOB'!BQ352</f>
        <v>0</v>
      </c>
      <c r="S39" s="267" t="str">
        <f t="shared" si="7"/>
        <v/>
      </c>
      <c r="T39" s="267" t="str">
        <f t="shared" si="7"/>
        <v/>
      </c>
      <c r="U39" s="267" t="str">
        <f t="shared" si="7"/>
        <v/>
      </c>
      <c r="V39" s="267" t="str">
        <f t="shared" si="7"/>
        <v/>
      </c>
      <c r="W39" s="532"/>
      <c r="Y39" s="236"/>
      <c r="Z39" s="240" t="s">
        <v>598</v>
      </c>
    </row>
    <row r="40" spans="1:26" ht="12" hidden="1" customHeight="1">
      <c r="A40" s="548" t="s">
        <v>96</v>
      </c>
      <c r="B40" s="548" t="s">
        <v>97</v>
      </c>
      <c r="C40" s="456"/>
      <c r="D40" s="549"/>
      <c r="E40" s="462" t="s">
        <v>290</v>
      </c>
      <c r="F40" s="103">
        <v>0</v>
      </c>
      <c r="G40" s="103">
        <f>SUM('[3]ncr-SAOB'!AV223)</f>
        <v>0</v>
      </c>
      <c r="H40" s="103">
        <f>SUM('[3]ncr-SAOB'!AV315)</f>
        <v>0</v>
      </c>
      <c r="I40" s="103">
        <f t="shared" si="11"/>
        <v>0</v>
      </c>
      <c r="J40" s="103">
        <v>0</v>
      </c>
      <c r="K40" s="103">
        <f>SUM('[3]ncr-SAOB'!AV224)</f>
        <v>0</v>
      </c>
      <c r="L40" s="103">
        <f>SUM('[3]ncr-SAOB'!AV316)</f>
        <v>0</v>
      </c>
      <c r="M40" s="103">
        <f t="shared" si="12"/>
        <v>0</v>
      </c>
      <c r="N40" s="103">
        <f t="shared" si="13"/>
        <v>0</v>
      </c>
      <c r="O40" s="103">
        <f t="shared" si="13"/>
        <v>0</v>
      </c>
      <c r="P40" s="103">
        <f t="shared" si="13"/>
        <v>0</v>
      </c>
      <c r="Q40" s="103">
        <f t="shared" si="14"/>
        <v>0</v>
      </c>
      <c r="R40" s="760">
        <f>Q40-'[3]ncr-SAOB'!AV352</f>
        <v>0</v>
      </c>
      <c r="S40" s="267" t="str">
        <f t="shared" si="7"/>
        <v/>
      </c>
      <c r="T40" s="267" t="str">
        <f t="shared" si="7"/>
        <v/>
      </c>
      <c r="U40" s="267" t="str">
        <f t="shared" si="7"/>
        <v/>
      </c>
      <c r="V40" s="267" t="str">
        <f t="shared" si="7"/>
        <v/>
      </c>
      <c r="W40" s="530"/>
      <c r="X40" s="236"/>
      <c r="Y40" s="236"/>
      <c r="Z40" s="236"/>
    </row>
    <row r="41" spans="1:26" s="259" customFormat="1" ht="12" customHeight="1">
      <c r="A41" s="315" t="s">
        <v>96</v>
      </c>
      <c r="B41" s="315" t="s">
        <v>97</v>
      </c>
      <c r="C41" s="1477" t="s">
        <v>604</v>
      </c>
      <c r="D41" s="1478"/>
      <c r="E41" s="1479"/>
      <c r="F41" s="652">
        <f>+F37+F39</f>
        <v>0</v>
      </c>
      <c r="G41" s="652">
        <f t="shared" ref="G41:Q41" si="17">+G37+G39</f>
        <v>27690162.93</v>
      </c>
      <c r="H41" s="652">
        <f t="shared" si="17"/>
        <v>4145016.33</v>
      </c>
      <c r="I41" s="652">
        <f t="shared" si="17"/>
        <v>31835179.259999998</v>
      </c>
      <c r="J41" s="652">
        <f t="shared" si="17"/>
        <v>0</v>
      </c>
      <c r="K41" s="652">
        <f t="shared" si="17"/>
        <v>19991101.760000002</v>
      </c>
      <c r="L41" s="652">
        <f t="shared" si="17"/>
        <v>189808</v>
      </c>
      <c r="M41" s="652">
        <f t="shared" si="17"/>
        <v>20180909.760000002</v>
      </c>
      <c r="N41" s="652">
        <f t="shared" si="17"/>
        <v>0</v>
      </c>
      <c r="O41" s="652">
        <f t="shared" si="17"/>
        <v>7699061.1699999953</v>
      </c>
      <c r="P41" s="652">
        <f t="shared" si="17"/>
        <v>3955208.33</v>
      </c>
      <c r="Q41" s="652">
        <f t="shared" si="17"/>
        <v>11654269.499999996</v>
      </c>
      <c r="R41" s="1095">
        <f>+Q41-'[3]ncr-SAOB'!BX352</f>
        <v>0</v>
      </c>
      <c r="S41" s="524" t="str">
        <f t="shared" si="7"/>
        <v/>
      </c>
      <c r="T41" s="524">
        <f t="shared" si="7"/>
        <v>0.72195681226350961</v>
      </c>
      <c r="U41" s="524">
        <f t="shared" si="7"/>
        <v>4.5791858195164216E-2</v>
      </c>
      <c r="V41" s="524">
        <f t="shared" si="7"/>
        <v>0.63391852124284231</v>
      </c>
      <c r="W41" s="344"/>
      <c r="X41" s="520"/>
      <c r="Y41" s="837" t="s">
        <v>598</v>
      </c>
      <c r="Z41" s="241" t="s">
        <v>598</v>
      </c>
    </row>
    <row r="42" spans="1:26" ht="12" customHeight="1">
      <c r="A42" s="315" t="s">
        <v>101</v>
      </c>
      <c r="B42" s="315" t="s">
        <v>97</v>
      </c>
      <c r="C42" s="456"/>
      <c r="D42" s="456"/>
      <c r="E42" s="46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S42" s="267" t="str">
        <f t="shared" si="7"/>
        <v/>
      </c>
      <c r="T42" s="267" t="str">
        <f t="shared" si="7"/>
        <v/>
      </c>
      <c r="U42" s="267" t="str">
        <f t="shared" si="7"/>
        <v/>
      </c>
      <c r="V42" s="267" t="str">
        <f t="shared" si="7"/>
        <v/>
      </c>
      <c r="W42" s="267"/>
      <c r="Y42" s="837" t="s">
        <v>598</v>
      </c>
      <c r="Z42" s="241" t="s">
        <v>598</v>
      </c>
    </row>
    <row r="43" spans="1:26" ht="11.25" customHeight="1">
      <c r="A43" s="246" t="s">
        <v>102</v>
      </c>
      <c r="B43" s="246" t="s">
        <v>104</v>
      </c>
      <c r="C43" s="410" t="s">
        <v>103</v>
      </c>
      <c r="D43" s="386"/>
      <c r="E43" s="461"/>
      <c r="F43" s="103"/>
      <c r="G43" s="103"/>
      <c r="H43" s="103"/>
      <c r="I43" s="103"/>
      <c r="J43" s="103"/>
      <c r="K43" s="103"/>
      <c r="L43" s="103"/>
      <c r="M43" s="103"/>
      <c r="N43" s="103">
        <f>+F43-J43</f>
        <v>0</v>
      </c>
      <c r="O43" s="103">
        <f>+G43-K43</f>
        <v>0</v>
      </c>
      <c r="P43" s="103">
        <f>+H43-L43</f>
        <v>0</v>
      </c>
      <c r="Q43" s="103">
        <f>SUM(N43:P43)</f>
        <v>0</v>
      </c>
      <c r="S43" s="267" t="str">
        <f t="shared" si="7"/>
        <v/>
      </c>
      <c r="T43" s="267" t="str">
        <f t="shared" si="7"/>
        <v/>
      </c>
      <c r="U43" s="267" t="str">
        <f t="shared" si="7"/>
        <v/>
      </c>
      <c r="V43" s="267" t="str">
        <f t="shared" si="7"/>
        <v/>
      </c>
      <c r="W43" s="254"/>
      <c r="Y43" s="837" t="s">
        <v>598</v>
      </c>
      <c r="Z43" s="241" t="s">
        <v>598</v>
      </c>
    </row>
    <row r="44" spans="1:26" s="275" customFormat="1" ht="12" customHeight="1">
      <c r="A44" s="548" t="s">
        <v>102</v>
      </c>
      <c r="B44" s="548" t="s">
        <v>104</v>
      </c>
      <c r="C44" s="464" t="s">
        <v>98</v>
      </c>
      <c r="D44" s="552" t="s">
        <v>105</v>
      </c>
      <c r="E44" s="407" t="s">
        <v>778</v>
      </c>
      <c r="F44" s="808"/>
      <c r="G44" s="808"/>
      <c r="H44" s="808"/>
      <c r="I44" s="409">
        <f t="shared" si="11"/>
        <v>0</v>
      </c>
      <c r="J44" s="409">
        <v>0</v>
      </c>
      <c r="K44" s="808"/>
      <c r="L44" s="808"/>
      <c r="M44" s="409">
        <f t="shared" si="12"/>
        <v>0</v>
      </c>
      <c r="N44" s="409">
        <f t="shared" si="13"/>
        <v>0</v>
      </c>
      <c r="O44" s="409">
        <f t="shared" si="13"/>
        <v>0</v>
      </c>
      <c r="P44" s="409">
        <f t="shared" si="13"/>
        <v>0</v>
      </c>
      <c r="Q44" s="409">
        <f t="shared" si="14"/>
        <v>0</v>
      </c>
      <c r="R44" s="761"/>
      <c r="S44" s="267" t="str">
        <f t="shared" si="7"/>
        <v/>
      </c>
      <c r="T44" s="267" t="str">
        <f t="shared" si="7"/>
        <v/>
      </c>
      <c r="U44" s="267" t="str">
        <f t="shared" si="7"/>
        <v/>
      </c>
      <c r="V44" s="267" t="str">
        <f t="shared" si="7"/>
        <v/>
      </c>
      <c r="W44" s="553"/>
      <c r="Y44" s="236" t="s">
        <v>598</v>
      </c>
      <c r="Z44" s="240" t="s">
        <v>598</v>
      </c>
    </row>
    <row r="45" spans="1:26" ht="12" customHeight="1">
      <c r="A45" s="548" t="s">
        <v>102</v>
      </c>
      <c r="B45" s="548" t="s">
        <v>104</v>
      </c>
      <c r="C45" s="447" t="s">
        <v>766</v>
      </c>
      <c r="D45" s="549"/>
      <c r="E45" s="447" t="s">
        <v>766</v>
      </c>
      <c r="F45" s="103">
        <f>+'[3]ncr-SAOB'!C457</f>
        <v>0</v>
      </c>
      <c r="G45" s="103">
        <f>+'[3]ncr-SAOB'!D457</f>
        <v>0</v>
      </c>
      <c r="H45" s="103">
        <f>+'[3]ncr-SAOB'!E457</f>
        <v>0</v>
      </c>
      <c r="I45" s="103">
        <f t="shared" si="11"/>
        <v>0</v>
      </c>
      <c r="J45" s="103">
        <v>0</v>
      </c>
      <c r="K45" s="103">
        <f>+'[3]ncr-SAOB'!H457</f>
        <v>0</v>
      </c>
      <c r="L45" s="103">
        <f>+'[3]ncr-SAOB'!I457</f>
        <v>0</v>
      </c>
      <c r="M45" s="103">
        <f t="shared" si="12"/>
        <v>0</v>
      </c>
      <c r="N45" s="103">
        <f t="shared" si="13"/>
        <v>0</v>
      </c>
      <c r="O45" s="103">
        <f t="shared" si="13"/>
        <v>0</v>
      </c>
      <c r="P45" s="103">
        <f t="shared" si="13"/>
        <v>0</v>
      </c>
      <c r="Q45" s="103">
        <f t="shared" si="14"/>
        <v>0</v>
      </c>
      <c r="R45" s="760">
        <f>Q45-'[3]ncr-SAOB'!H352</f>
        <v>0</v>
      </c>
      <c r="S45" s="267" t="str">
        <f t="shared" si="7"/>
        <v/>
      </c>
      <c r="T45" s="267" t="str">
        <f t="shared" si="7"/>
        <v/>
      </c>
      <c r="U45" s="267" t="str">
        <f t="shared" si="7"/>
        <v/>
      </c>
      <c r="V45" s="267" t="str">
        <f t="shared" si="7"/>
        <v/>
      </c>
      <c r="W45" s="530"/>
      <c r="X45" s="236"/>
      <c r="Y45" s="236" t="s">
        <v>688</v>
      </c>
      <c r="Z45" s="236"/>
    </row>
    <row r="46" spans="1:26" ht="12" customHeight="1">
      <c r="A46" s="548" t="s">
        <v>102</v>
      </c>
      <c r="B46" s="548" t="s">
        <v>104</v>
      </c>
      <c r="C46" s="456"/>
      <c r="D46" s="549"/>
      <c r="E46" s="453" t="s">
        <v>50</v>
      </c>
      <c r="F46" s="103">
        <f>+F47+F48</f>
        <v>0</v>
      </c>
      <c r="G46" s="103">
        <f>+G47+G48</f>
        <v>224424.42</v>
      </c>
      <c r="H46" s="103">
        <f>+H47+H48</f>
        <v>0</v>
      </c>
      <c r="I46" s="103">
        <f t="shared" si="11"/>
        <v>224424.42</v>
      </c>
      <c r="J46" s="103">
        <f>+J47+J48</f>
        <v>0</v>
      </c>
      <c r="K46" s="103">
        <f>+K47+K48</f>
        <v>28774.42</v>
      </c>
      <c r="L46" s="103">
        <f>+L47+L48</f>
        <v>0</v>
      </c>
      <c r="M46" s="103">
        <f t="shared" si="12"/>
        <v>28774.42</v>
      </c>
      <c r="N46" s="103">
        <f t="shared" si="13"/>
        <v>0</v>
      </c>
      <c r="O46" s="103">
        <f t="shared" si="13"/>
        <v>195650</v>
      </c>
      <c r="P46" s="103">
        <f t="shared" si="13"/>
        <v>0</v>
      </c>
      <c r="Q46" s="103">
        <f t="shared" si="14"/>
        <v>195650</v>
      </c>
      <c r="S46" s="267" t="str">
        <f t="shared" si="7"/>
        <v/>
      </c>
      <c r="T46" s="267">
        <f t="shared" si="7"/>
        <v>0.12821430038674042</v>
      </c>
      <c r="U46" s="267" t="str">
        <f t="shared" si="7"/>
        <v/>
      </c>
      <c r="V46" s="267">
        <f t="shared" si="7"/>
        <v>0.12821430038674042</v>
      </c>
      <c r="W46" s="530"/>
      <c r="X46" s="236"/>
      <c r="Y46" s="236" t="s">
        <v>688</v>
      </c>
      <c r="Z46" s="236"/>
    </row>
    <row r="47" spans="1:26" ht="12" hidden="1" customHeight="1">
      <c r="A47" s="548" t="s">
        <v>102</v>
      </c>
      <c r="B47" s="548" t="s">
        <v>104</v>
      </c>
      <c r="C47" s="458" t="s">
        <v>715</v>
      </c>
      <c r="D47" s="550" t="s">
        <v>715</v>
      </c>
      <c r="E47" s="447" t="s">
        <v>715</v>
      </c>
      <c r="F47" s="103">
        <f>'[3]CONAP - W INC'!F23</f>
        <v>0</v>
      </c>
      <c r="G47" s="103">
        <f>'[3]CONAP - W INC'!G23</f>
        <v>220650</v>
      </c>
      <c r="H47" s="103">
        <f>'[3]CONAP - W INC'!H23</f>
        <v>0</v>
      </c>
      <c r="I47" s="103">
        <f t="shared" si="11"/>
        <v>220650</v>
      </c>
      <c r="J47" s="103">
        <f>'[3]CONAP - W INC'!J23</f>
        <v>0</v>
      </c>
      <c r="K47" s="103">
        <f>'[3]CONAP - W INC'!K23</f>
        <v>25000</v>
      </c>
      <c r="L47" s="103">
        <f>'[3]CONAP - W INC'!L23</f>
        <v>0</v>
      </c>
      <c r="M47" s="103">
        <f t="shared" si="12"/>
        <v>25000</v>
      </c>
      <c r="N47" s="103">
        <f t="shared" si="13"/>
        <v>0</v>
      </c>
      <c r="O47" s="103">
        <f t="shared" si="13"/>
        <v>195650</v>
      </c>
      <c r="P47" s="103">
        <f t="shared" si="13"/>
        <v>0</v>
      </c>
      <c r="Q47" s="103">
        <f t="shared" si="14"/>
        <v>195650</v>
      </c>
      <c r="S47" s="267" t="str">
        <f t="shared" si="7"/>
        <v/>
      </c>
      <c r="T47" s="267">
        <f t="shared" si="7"/>
        <v>0.11330160888284614</v>
      </c>
      <c r="U47" s="267" t="str">
        <f t="shared" si="7"/>
        <v/>
      </c>
      <c r="V47" s="267">
        <f t="shared" si="7"/>
        <v>0.11330160888284614</v>
      </c>
      <c r="W47" s="530"/>
      <c r="X47" s="236"/>
      <c r="Y47" s="236"/>
      <c r="Z47" s="236"/>
    </row>
    <row r="48" spans="1:26" ht="12" hidden="1" customHeight="1">
      <c r="A48" s="548" t="s">
        <v>102</v>
      </c>
      <c r="B48" s="548" t="s">
        <v>104</v>
      </c>
      <c r="C48" s="458" t="s">
        <v>716</v>
      </c>
      <c r="D48" s="550" t="s">
        <v>716</v>
      </c>
      <c r="E48" s="459" t="s">
        <v>716</v>
      </c>
      <c r="F48" s="103">
        <f>'[3]CONAP - W INC'!F24</f>
        <v>0</v>
      </c>
      <c r="G48" s="103">
        <f>'[3]CONAP - W INC'!G24</f>
        <v>3774.42</v>
      </c>
      <c r="H48" s="103">
        <f>'[3]CONAP - W INC'!H24</f>
        <v>0</v>
      </c>
      <c r="I48" s="103">
        <f t="shared" si="11"/>
        <v>3774.42</v>
      </c>
      <c r="J48" s="103">
        <f>'[3]CONAP - W INC'!J24</f>
        <v>0</v>
      </c>
      <c r="K48" s="103">
        <f>'[3]CONAP - W INC'!K24</f>
        <v>3774.42</v>
      </c>
      <c r="L48" s="103">
        <f>'[3]CONAP - W INC'!L24</f>
        <v>0</v>
      </c>
      <c r="M48" s="103">
        <f t="shared" si="12"/>
        <v>3774.42</v>
      </c>
      <c r="N48" s="103">
        <f t="shared" si="13"/>
        <v>0</v>
      </c>
      <c r="O48" s="103">
        <f t="shared" si="13"/>
        <v>0</v>
      </c>
      <c r="P48" s="103">
        <f t="shared" si="13"/>
        <v>0</v>
      </c>
      <c r="Q48" s="103">
        <f t="shared" si="14"/>
        <v>0</v>
      </c>
      <c r="S48" s="267" t="str">
        <f t="shared" si="7"/>
        <v/>
      </c>
      <c r="T48" s="267">
        <f t="shared" si="7"/>
        <v>1</v>
      </c>
      <c r="U48" s="267" t="str">
        <f t="shared" si="7"/>
        <v/>
      </c>
      <c r="V48" s="267">
        <f t="shared" si="7"/>
        <v>1</v>
      </c>
      <c r="W48" s="530"/>
      <c r="X48" s="236"/>
      <c r="Y48" s="236"/>
      <c r="Z48" s="236"/>
    </row>
    <row r="49" spans="1:26" s="256" customFormat="1" ht="12" customHeight="1">
      <c r="A49" s="548"/>
      <c r="B49" s="548" t="s">
        <v>104</v>
      </c>
      <c r="C49" s="460"/>
      <c r="D49" s="551"/>
      <c r="E49" s="390" t="s">
        <v>767</v>
      </c>
      <c r="F49" s="391">
        <f>+F46+F45</f>
        <v>0</v>
      </c>
      <c r="G49" s="391">
        <f t="shared" ref="G49:Q49" si="18">+G46+G45</f>
        <v>224424.42</v>
      </c>
      <c r="H49" s="391">
        <f t="shared" si="18"/>
        <v>0</v>
      </c>
      <c r="I49" s="391">
        <f t="shared" si="18"/>
        <v>224424.42</v>
      </c>
      <c r="J49" s="391">
        <f t="shared" si="18"/>
        <v>0</v>
      </c>
      <c r="K49" s="391">
        <f t="shared" si="18"/>
        <v>28774.42</v>
      </c>
      <c r="L49" s="391">
        <f t="shared" si="18"/>
        <v>0</v>
      </c>
      <c r="M49" s="391">
        <f t="shared" si="18"/>
        <v>28774.42</v>
      </c>
      <c r="N49" s="391">
        <f t="shared" si="18"/>
        <v>0</v>
      </c>
      <c r="O49" s="391">
        <f t="shared" si="18"/>
        <v>195650</v>
      </c>
      <c r="P49" s="391">
        <f t="shared" si="18"/>
        <v>0</v>
      </c>
      <c r="Q49" s="391">
        <f t="shared" si="18"/>
        <v>195650</v>
      </c>
      <c r="R49" s="761"/>
      <c r="S49" s="267" t="str">
        <f t="shared" si="7"/>
        <v/>
      </c>
      <c r="T49" s="267">
        <f t="shared" si="7"/>
        <v>0.12821430038674042</v>
      </c>
      <c r="U49" s="267" t="str">
        <f t="shared" si="7"/>
        <v/>
      </c>
      <c r="V49" s="267">
        <f t="shared" si="7"/>
        <v>0.12821430038674042</v>
      </c>
      <c r="W49" s="532"/>
      <c r="Y49" s="236" t="s">
        <v>598</v>
      </c>
      <c r="Z49" s="240" t="s">
        <v>598</v>
      </c>
    </row>
    <row r="50" spans="1:26" ht="12" hidden="1" customHeight="1">
      <c r="A50" s="548"/>
      <c r="B50" s="548"/>
      <c r="C50" s="456"/>
      <c r="D50" s="549"/>
      <c r="E50" s="461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S50" s="267" t="str">
        <f t="shared" si="7"/>
        <v/>
      </c>
      <c r="T50" s="267" t="str">
        <f t="shared" si="7"/>
        <v/>
      </c>
      <c r="U50" s="267" t="str">
        <f t="shared" si="7"/>
        <v/>
      </c>
      <c r="V50" s="267" t="str">
        <f t="shared" si="7"/>
        <v/>
      </c>
      <c r="W50" s="530"/>
      <c r="X50" s="236"/>
      <c r="Y50" s="236"/>
      <c r="Z50" s="236"/>
    </row>
    <row r="51" spans="1:26" s="256" customFormat="1" ht="12" customHeight="1">
      <c r="A51" s="548" t="s">
        <v>102</v>
      </c>
      <c r="B51" s="548" t="s">
        <v>104</v>
      </c>
      <c r="C51" s="460"/>
      <c r="D51" s="551" t="s">
        <v>98</v>
      </c>
      <c r="E51" s="390" t="s">
        <v>100</v>
      </c>
      <c r="F51" s="391">
        <f>SUM(F52:F52)</f>
        <v>0</v>
      </c>
      <c r="G51" s="391">
        <f>SUM(G52:G52)</f>
        <v>4589835</v>
      </c>
      <c r="H51" s="391">
        <f>SUM(H52:H52)</f>
        <v>0</v>
      </c>
      <c r="I51" s="391">
        <f>+F51+G51+H51</f>
        <v>4589835</v>
      </c>
      <c r="J51" s="391">
        <v>0</v>
      </c>
      <c r="K51" s="391">
        <f>SUM(K52:K52)</f>
        <v>4366785</v>
      </c>
      <c r="L51" s="391">
        <f>SUM(L52:L52)</f>
        <v>0</v>
      </c>
      <c r="M51" s="391">
        <f>+J51+K51+L51</f>
        <v>4366785</v>
      </c>
      <c r="N51" s="391">
        <f t="shared" ref="N51:P52" si="19">+F51-J51</f>
        <v>0</v>
      </c>
      <c r="O51" s="391">
        <f t="shared" si="19"/>
        <v>223050</v>
      </c>
      <c r="P51" s="391">
        <f t="shared" si="19"/>
        <v>0</v>
      </c>
      <c r="Q51" s="391">
        <f>+N51+O51+P51</f>
        <v>223050</v>
      </c>
      <c r="R51" s="761">
        <f>Q51-'[3]ncr-SAOB'!BS352</f>
        <v>0</v>
      </c>
      <c r="S51" s="267" t="str">
        <f t="shared" si="7"/>
        <v/>
      </c>
      <c r="T51" s="267">
        <f t="shared" si="7"/>
        <v>0.95140348182451007</v>
      </c>
      <c r="U51" s="267" t="str">
        <f t="shared" si="7"/>
        <v/>
      </c>
      <c r="V51" s="267">
        <f t="shared" si="7"/>
        <v>0.95140348182451007</v>
      </c>
      <c r="W51" s="532"/>
      <c r="Y51" s="236" t="s">
        <v>598</v>
      </c>
      <c r="Z51" s="240" t="s">
        <v>598</v>
      </c>
    </row>
    <row r="52" spans="1:26" ht="12" customHeight="1">
      <c r="A52" s="548" t="s">
        <v>102</v>
      </c>
      <c r="B52" s="548" t="s">
        <v>104</v>
      </c>
      <c r="C52" s="456"/>
      <c r="D52" s="549"/>
      <c r="E52" s="462" t="s">
        <v>290</v>
      </c>
      <c r="F52" s="103">
        <v>0</v>
      </c>
      <c r="G52" s="103">
        <f>SUM('[3]ncr-SAOB'!AX223)</f>
        <v>4589835</v>
      </c>
      <c r="H52" s="103">
        <f>SUM('[3]ncr-SAOB'!AX315)</f>
        <v>0</v>
      </c>
      <c r="I52" s="103">
        <f>+F52+G52+H52</f>
        <v>4589835</v>
      </c>
      <c r="J52" s="103">
        <v>0</v>
      </c>
      <c r="K52" s="103">
        <f>SUM('[3]ncr-SAOB'!AX224)</f>
        <v>4366785</v>
      </c>
      <c r="L52" s="103">
        <f>SUM('[3]ncr-SAOB'!AX316)</f>
        <v>0</v>
      </c>
      <c r="M52" s="103">
        <f>+J52+K52+L52</f>
        <v>4366785</v>
      </c>
      <c r="N52" s="103">
        <f t="shared" si="19"/>
        <v>0</v>
      </c>
      <c r="O52" s="103">
        <f t="shared" si="19"/>
        <v>223050</v>
      </c>
      <c r="P52" s="103">
        <f t="shared" si="19"/>
        <v>0</v>
      </c>
      <c r="Q52" s="103">
        <f>+N52+O52+P52</f>
        <v>223050</v>
      </c>
      <c r="R52" s="760">
        <f>Q52-'[3]ncr-SAOB'!AX352</f>
        <v>0</v>
      </c>
      <c r="S52" s="267" t="str">
        <f t="shared" si="7"/>
        <v/>
      </c>
      <c r="T52" s="267">
        <f t="shared" si="7"/>
        <v>0.95140348182451007</v>
      </c>
      <c r="U52" s="267" t="str">
        <f t="shared" si="7"/>
        <v/>
      </c>
      <c r="V52" s="267">
        <f t="shared" si="7"/>
        <v>0.95140348182451007</v>
      </c>
      <c r="W52" s="530"/>
      <c r="X52" s="236"/>
      <c r="Y52" s="236" t="s">
        <v>598</v>
      </c>
      <c r="Z52" s="236"/>
    </row>
    <row r="53" spans="1:26" s="259" customFormat="1" ht="12" customHeight="1">
      <c r="A53" s="315" t="s">
        <v>102</v>
      </c>
      <c r="B53" s="315" t="s">
        <v>104</v>
      </c>
      <c r="C53" s="1096"/>
      <c r="D53" s="466"/>
      <c r="E53" s="1097" t="s">
        <v>4</v>
      </c>
      <c r="F53" s="652">
        <f>+F51+F49</f>
        <v>0</v>
      </c>
      <c r="G53" s="652">
        <f t="shared" ref="G53:Q53" si="20">+G51+G49</f>
        <v>4814259.42</v>
      </c>
      <c r="H53" s="652">
        <f t="shared" si="20"/>
        <v>0</v>
      </c>
      <c r="I53" s="652">
        <f t="shared" si="20"/>
        <v>4814259.42</v>
      </c>
      <c r="J53" s="652">
        <f t="shared" si="20"/>
        <v>0</v>
      </c>
      <c r="K53" s="652">
        <f t="shared" si="20"/>
        <v>4395559.42</v>
      </c>
      <c r="L53" s="652">
        <f t="shared" si="20"/>
        <v>0</v>
      </c>
      <c r="M53" s="652">
        <f t="shared" si="20"/>
        <v>4395559.42</v>
      </c>
      <c r="N53" s="652">
        <f t="shared" si="20"/>
        <v>0</v>
      </c>
      <c r="O53" s="652">
        <f t="shared" si="20"/>
        <v>418700</v>
      </c>
      <c r="P53" s="652">
        <f t="shared" si="20"/>
        <v>0</v>
      </c>
      <c r="Q53" s="652">
        <f t="shared" si="20"/>
        <v>418700</v>
      </c>
      <c r="R53" s="1095">
        <f>+Q53-'[3]ncr-SAOB'!BZ352</f>
        <v>0</v>
      </c>
      <c r="S53" s="524" t="str">
        <f t="shared" si="7"/>
        <v/>
      </c>
      <c r="T53" s="524">
        <f t="shared" si="7"/>
        <v>0.913029198580246</v>
      </c>
      <c r="U53" s="524" t="str">
        <f t="shared" si="7"/>
        <v/>
      </c>
      <c r="V53" s="524">
        <f t="shared" si="7"/>
        <v>0.913029198580246</v>
      </c>
      <c r="W53" s="344"/>
      <c r="X53" s="520"/>
      <c r="Y53" s="837" t="s">
        <v>598</v>
      </c>
      <c r="Z53" s="241" t="s">
        <v>598</v>
      </c>
    </row>
    <row r="54" spans="1:26" ht="12" customHeight="1">
      <c r="A54" s="315" t="s">
        <v>102</v>
      </c>
      <c r="B54" s="315" t="s">
        <v>104</v>
      </c>
      <c r="C54" s="456"/>
      <c r="D54" s="456"/>
      <c r="E54" s="46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S54" s="267" t="str">
        <f t="shared" si="7"/>
        <v/>
      </c>
      <c r="T54" s="267" t="str">
        <f t="shared" si="7"/>
        <v/>
      </c>
      <c r="U54" s="267" t="str">
        <f t="shared" si="7"/>
        <v/>
      </c>
      <c r="V54" s="267" t="str">
        <f t="shared" si="7"/>
        <v/>
      </c>
      <c r="W54" s="267"/>
      <c r="Y54" s="837" t="s">
        <v>598</v>
      </c>
      <c r="Z54" s="241" t="s">
        <v>598</v>
      </c>
    </row>
    <row r="55" spans="1:26" s="275" customFormat="1" ht="13.5" customHeight="1">
      <c r="A55" s="548" t="s">
        <v>102</v>
      </c>
      <c r="B55" s="548" t="s">
        <v>106</v>
      </c>
      <c r="C55" s="464" t="s">
        <v>98</v>
      </c>
      <c r="D55" s="552" t="s">
        <v>107</v>
      </c>
      <c r="E55" s="407" t="s">
        <v>779</v>
      </c>
      <c r="F55" s="409"/>
      <c r="G55" s="409"/>
      <c r="H55" s="409"/>
      <c r="I55" s="409">
        <f t="shared" si="11"/>
        <v>0</v>
      </c>
      <c r="J55" s="409">
        <v>0</v>
      </c>
      <c r="K55" s="409"/>
      <c r="L55" s="409"/>
      <c r="M55" s="409">
        <f t="shared" si="12"/>
        <v>0</v>
      </c>
      <c r="N55" s="409">
        <f t="shared" si="13"/>
        <v>0</v>
      </c>
      <c r="O55" s="409">
        <f t="shared" si="13"/>
        <v>0</v>
      </c>
      <c r="P55" s="409">
        <f t="shared" si="13"/>
        <v>0</v>
      </c>
      <c r="Q55" s="409">
        <f t="shared" si="14"/>
        <v>0</v>
      </c>
      <c r="R55" s="761"/>
      <c r="S55" s="267" t="str">
        <f t="shared" si="7"/>
        <v/>
      </c>
      <c r="T55" s="267" t="str">
        <f t="shared" si="7"/>
        <v/>
      </c>
      <c r="U55" s="267" t="str">
        <f t="shared" si="7"/>
        <v/>
      </c>
      <c r="V55" s="267" t="str">
        <f t="shared" si="7"/>
        <v/>
      </c>
      <c r="W55" s="553"/>
      <c r="Y55" s="236" t="s">
        <v>598</v>
      </c>
      <c r="Z55" s="240" t="s">
        <v>598</v>
      </c>
    </row>
    <row r="56" spans="1:26" ht="12" customHeight="1">
      <c r="A56" s="548" t="s">
        <v>102</v>
      </c>
      <c r="B56" s="548" t="s">
        <v>106</v>
      </c>
      <c r="C56" s="447" t="s">
        <v>766</v>
      </c>
      <c r="D56" s="549"/>
      <c r="E56" s="447" t="s">
        <v>766</v>
      </c>
      <c r="F56" s="103">
        <f>+'[3]ncr-SAOB'!C450</f>
        <v>0</v>
      </c>
      <c r="G56" s="103">
        <f>+'[3]ncr-SAOB'!D450</f>
        <v>1164893.4000000004</v>
      </c>
      <c r="H56" s="103">
        <f>+'[3]ncr-SAOB'!E450</f>
        <v>0</v>
      </c>
      <c r="I56" s="103">
        <f t="shared" si="11"/>
        <v>1164893.4000000004</v>
      </c>
      <c r="J56" s="103">
        <v>0</v>
      </c>
      <c r="K56" s="103">
        <f>+'[3]ncr-SAOB'!H450</f>
        <v>1164893.4000000001</v>
      </c>
      <c r="L56" s="103">
        <f>+'[3]ncr-SAOB'!I450</f>
        <v>0</v>
      </c>
      <c r="M56" s="103">
        <f t="shared" si="12"/>
        <v>1164893.4000000001</v>
      </c>
      <c r="N56" s="103">
        <f t="shared" si="13"/>
        <v>0</v>
      </c>
      <c r="O56" s="103">
        <f t="shared" si="13"/>
        <v>0</v>
      </c>
      <c r="P56" s="103">
        <f t="shared" si="13"/>
        <v>0</v>
      </c>
      <c r="Q56" s="103">
        <f t="shared" si="14"/>
        <v>0</v>
      </c>
      <c r="R56" s="760">
        <f>Q56-'[3]ncr-SAOB'!G352</f>
        <v>0</v>
      </c>
      <c r="S56" s="267" t="str">
        <f t="shared" si="7"/>
        <v/>
      </c>
      <c r="T56" s="267">
        <f t="shared" si="7"/>
        <v>0.99999999999999978</v>
      </c>
      <c r="U56" s="267" t="str">
        <f t="shared" si="7"/>
        <v/>
      </c>
      <c r="V56" s="267">
        <f t="shared" si="7"/>
        <v>0.99999999999999978</v>
      </c>
      <c r="W56" s="530"/>
      <c r="X56" s="236"/>
      <c r="Y56" s="236" t="s">
        <v>688</v>
      </c>
      <c r="Z56" s="236"/>
    </row>
    <row r="57" spans="1:26" ht="12" customHeight="1">
      <c r="A57" s="548" t="s">
        <v>102</v>
      </c>
      <c r="B57" s="548" t="s">
        <v>106</v>
      </c>
      <c r="C57" s="456"/>
      <c r="D57" s="549"/>
      <c r="E57" s="453" t="s">
        <v>50</v>
      </c>
      <c r="F57" s="103">
        <f>+F58+F59</f>
        <v>0</v>
      </c>
      <c r="G57" s="103">
        <f>+G58+G59</f>
        <v>6958232.0300000003</v>
      </c>
      <c r="H57" s="103">
        <f>+H58+H59</f>
        <v>0</v>
      </c>
      <c r="I57" s="103">
        <f t="shared" si="11"/>
        <v>6958232.0300000003</v>
      </c>
      <c r="J57" s="103">
        <f>+J58+J59</f>
        <v>0</v>
      </c>
      <c r="K57" s="103">
        <f>+K58+K59</f>
        <v>6919197.7299999995</v>
      </c>
      <c r="L57" s="103">
        <f>+L58+L59</f>
        <v>0</v>
      </c>
      <c r="M57" s="103">
        <f t="shared" si="12"/>
        <v>6919197.7299999995</v>
      </c>
      <c r="N57" s="103">
        <f t="shared" si="13"/>
        <v>0</v>
      </c>
      <c r="O57" s="103">
        <f t="shared" si="13"/>
        <v>39034.300000000745</v>
      </c>
      <c r="P57" s="103">
        <f t="shared" si="13"/>
        <v>0</v>
      </c>
      <c r="Q57" s="103">
        <f t="shared" si="14"/>
        <v>39034.300000000745</v>
      </c>
      <c r="S57" s="267" t="str">
        <f t="shared" si="7"/>
        <v/>
      </c>
      <c r="T57" s="267">
        <f t="shared" si="7"/>
        <v>0.99439019856887401</v>
      </c>
      <c r="U57" s="267" t="str">
        <f t="shared" si="7"/>
        <v/>
      </c>
      <c r="V57" s="267">
        <f t="shared" si="7"/>
        <v>0.99439019856887401</v>
      </c>
      <c r="W57" s="530"/>
      <c r="X57" s="236"/>
      <c r="Y57" s="236" t="s">
        <v>688</v>
      </c>
      <c r="Z57" s="236"/>
    </row>
    <row r="58" spans="1:26" ht="12" hidden="1" customHeight="1">
      <c r="A58" s="548" t="s">
        <v>102</v>
      </c>
      <c r="B58" s="548" t="s">
        <v>106</v>
      </c>
      <c r="C58" s="458" t="s">
        <v>715</v>
      </c>
      <c r="D58" s="550" t="s">
        <v>715</v>
      </c>
      <c r="E58" s="447" t="s">
        <v>715</v>
      </c>
      <c r="F58" s="103">
        <f>'[3]CONAP - W INC'!F31</f>
        <v>0</v>
      </c>
      <c r="G58" s="103">
        <f>'[3]CONAP - W INC'!G31</f>
        <v>1230514.76</v>
      </c>
      <c r="H58" s="103">
        <f>'[3]CONAP - W INC'!H31</f>
        <v>0</v>
      </c>
      <c r="I58" s="103">
        <f t="shared" si="11"/>
        <v>1230514.76</v>
      </c>
      <c r="J58" s="103">
        <f>'[3]CONAP - W INC'!J31</f>
        <v>0</v>
      </c>
      <c r="K58" s="103">
        <f>'[3]CONAP - W INC'!K31</f>
        <v>5951965.6999999993</v>
      </c>
      <c r="L58" s="103">
        <f>'[3]CONAP - W INC'!L31</f>
        <v>0</v>
      </c>
      <c r="M58" s="103">
        <f t="shared" si="12"/>
        <v>5951965.6999999993</v>
      </c>
      <c r="N58" s="103">
        <f t="shared" si="13"/>
        <v>0</v>
      </c>
      <c r="O58" s="103">
        <f t="shared" si="13"/>
        <v>-4721450.9399999995</v>
      </c>
      <c r="P58" s="103">
        <f t="shared" si="13"/>
        <v>0</v>
      </c>
      <c r="Q58" s="103">
        <f t="shared" si="14"/>
        <v>-4721450.9399999995</v>
      </c>
      <c r="S58" s="267" t="str">
        <f t="shared" si="7"/>
        <v/>
      </c>
      <c r="T58" s="267">
        <f t="shared" si="7"/>
        <v>4.8369722115320251</v>
      </c>
      <c r="U58" s="267" t="str">
        <f t="shared" si="7"/>
        <v/>
      </c>
      <c r="V58" s="267">
        <f t="shared" si="7"/>
        <v>4.8369722115320251</v>
      </c>
      <c r="W58" s="530"/>
      <c r="X58" s="236"/>
      <c r="Y58" s="236"/>
      <c r="Z58" s="236"/>
    </row>
    <row r="59" spans="1:26" ht="12" hidden="1" customHeight="1">
      <c r="A59" s="548" t="s">
        <v>102</v>
      </c>
      <c r="B59" s="548" t="s">
        <v>106</v>
      </c>
      <c r="C59" s="458" t="s">
        <v>716</v>
      </c>
      <c r="D59" s="550" t="s">
        <v>716</v>
      </c>
      <c r="E59" s="459" t="s">
        <v>716</v>
      </c>
      <c r="F59" s="103">
        <f>'[3]CONAP - W INC'!F32</f>
        <v>0</v>
      </c>
      <c r="G59" s="103">
        <f>'[3]CONAP - W INC'!G32</f>
        <v>5727717.2700000005</v>
      </c>
      <c r="H59" s="103">
        <f>'[3]CONAP - W INC'!H32</f>
        <v>0</v>
      </c>
      <c r="I59" s="103">
        <f t="shared" si="11"/>
        <v>5727717.2700000005</v>
      </c>
      <c r="J59" s="103">
        <f>'[3]CONAP - W INC'!J32</f>
        <v>0</v>
      </c>
      <c r="K59" s="103">
        <f>'[3]CONAP - W INC'!K32</f>
        <v>967232.03</v>
      </c>
      <c r="L59" s="103">
        <f>'[3]CONAP - W INC'!L32</f>
        <v>0</v>
      </c>
      <c r="M59" s="103">
        <f t="shared" si="12"/>
        <v>967232.03</v>
      </c>
      <c r="N59" s="103">
        <f t="shared" si="13"/>
        <v>0</v>
      </c>
      <c r="O59" s="103">
        <f t="shared" si="13"/>
        <v>4760485.24</v>
      </c>
      <c r="P59" s="103">
        <f t="shared" si="13"/>
        <v>0</v>
      </c>
      <c r="Q59" s="103">
        <f t="shared" si="14"/>
        <v>4760485.24</v>
      </c>
      <c r="S59" s="267" t="str">
        <f t="shared" si="7"/>
        <v/>
      </c>
      <c r="T59" s="267">
        <f t="shared" si="7"/>
        <v>0.16886867567050842</v>
      </c>
      <c r="U59" s="267" t="str">
        <f t="shared" si="7"/>
        <v/>
      </c>
      <c r="V59" s="267">
        <f t="shared" si="7"/>
        <v>0.16886867567050842</v>
      </c>
      <c r="W59" s="530"/>
      <c r="X59" s="236"/>
      <c r="Y59" s="236"/>
      <c r="Z59" s="236"/>
    </row>
    <row r="60" spans="1:26" s="256" customFormat="1" ht="12" customHeight="1">
      <c r="A60" s="548"/>
      <c r="B60" s="548" t="s">
        <v>106</v>
      </c>
      <c r="C60" s="460"/>
      <c r="D60" s="551"/>
      <c r="E60" s="390" t="s">
        <v>767</v>
      </c>
      <c r="F60" s="391">
        <f>+F57+F56</f>
        <v>0</v>
      </c>
      <c r="G60" s="391">
        <f t="shared" ref="G60:Q60" si="21">+G57+G56</f>
        <v>8123125.4300000006</v>
      </c>
      <c r="H60" s="391">
        <f t="shared" si="21"/>
        <v>0</v>
      </c>
      <c r="I60" s="391">
        <f t="shared" si="21"/>
        <v>8123125.4300000006</v>
      </c>
      <c r="J60" s="391">
        <f t="shared" si="21"/>
        <v>0</v>
      </c>
      <c r="K60" s="391">
        <f t="shared" si="21"/>
        <v>8084091.1299999999</v>
      </c>
      <c r="L60" s="391">
        <f t="shared" si="21"/>
        <v>0</v>
      </c>
      <c r="M60" s="391">
        <f t="shared" si="21"/>
        <v>8084091.1299999999</v>
      </c>
      <c r="N60" s="391">
        <f t="shared" si="21"/>
        <v>0</v>
      </c>
      <c r="O60" s="391">
        <f t="shared" si="21"/>
        <v>39034.300000000745</v>
      </c>
      <c r="P60" s="391">
        <f t="shared" si="21"/>
        <v>0</v>
      </c>
      <c r="Q60" s="391">
        <f t="shared" si="21"/>
        <v>39034.300000000745</v>
      </c>
      <c r="R60" s="761"/>
      <c r="S60" s="267" t="str">
        <f t="shared" si="7"/>
        <v/>
      </c>
      <c r="T60" s="267">
        <f t="shared" si="7"/>
        <v>0.99519466979349591</v>
      </c>
      <c r="U60" s="267" t="str">
        <f t="shared" si="7"/>
        <v/>
      </c>
      <c r="V60" s="267">
        <f t="shared" si="7"/>
        <v>0.99519466979349591</v>
      </c>
      <c r="W60" s="532"/>
      <c r="Y60" s="236" t="s">
        <v>598</v>
      </c>
      <c r="Z60" s="240" t="s">
        <v>598</v>
      </c>
    </row>
    <row r="61" spans="1:26" ht="12" hidden="1" customHeight="1">
      <c r="A61" s="548"/>
      <c r="B61" s="548"/>
      <c r="C61" s="456"/>
      <c r="D61" s="549"/>
      <c r="E61" s="461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S61" s="267" t="str">
        <f t="shared" si="7"/>
        <v/>
      </c>
      <c r="T61" s="267" t="str">
        <f t="shared" si="7"/>
        <v/>
      </c>
      <c r="U61" s="267" t="str">
        <f t="shared" si="7"/>
        <v/>
      </c>
      <c r="V61" s="267" t="str">
        <f t="shared" si="7"/>
        <v/>
      </c>
      <c r="W61" s="530"/>
      <c r="X61" s="236"/>
      <c r="Y61" s="236"/>
      <c r="Z61" s="236"/>
    </row>
    <row r="62" spans="1:26" s="256" customFormat="1" ht="12" customHeight="1">
      <c r="A62" s="548" t="s">
        <v>102</v>
      </c>
      <c r="B62" s="548" t="s">
        <v>106</v>
      </c>
      <c r="C62" s="460"/>
      <c r="D62" s="551" t="s">
        <v>98</v>
      </c>
      <c r="E62" s="390" t="s">
        <v>100</v>
      </c>
      <c r="F62" s="391">
        <f>SUM(F63:F63)</f>
        <v>0</v>
      </c>
      <c r="G62" s="391">
        <f>SUM(G63:G63)</f>
        <v>7376285.2700000005</v>
      </c>
      <c r="H62" s="391">
        <f>SUM(H63:H63)</f>
        <v>0</v>
      </c>
      <c r="I62" s="391">
        <f>+F62+G62+H62</f>
        <v>7376285.2700000005</v>
      </c>
      <c r="J62" s="391">
        <v>0</v>
      </c>
      <c r="K62" s="391">
        <f>SUM(K63:K63)</f>
        <v>7376285.2700000014</v>
      </c>
      <c r="L62" s="391">
        <f>SUM(L63:L63)</f>
        <v>0</v>
      </c>
      <c r="M62" s="391">
        <f>+J62+K62+L62</f>
        <v>7376285.2700000014</v>
      </c>
      <c r="N62" s="391">
        <f t="shared" ref="N62:P63" si="22">+F62-J62</f>
        <v>0</v>
      </c>
      <c r="O62" s="391">
        <f t="shared" si="22"/>
        <v>0</v>
      </c>
      <c r="P62" s="391">
        <f t="shared" si="22"/>
        <v>0</v>
      </c>
      <c r="Q62" s="391">
        <f>+N62+O62+P62</f>
        <v>0</v>
      </c>
      <c r="R62" s="761">
        <f>Q62-'[3]ncr-SAOB'!BR352</f>
        <v>0</v>
      </c>
      <c r="S62" s="267" t="str">
        <f t="shared" si="7"/>
        <v/>
      </c>
      <c r="T62" s="267">
        <f t="shared" si="7"/>
        <v>1.0000000000000002</v>
      </c>
      <c r="U62" s="267" t="str">
        <f t="shared" si="7"/>
        <v/>
      </c>
      <c r="V62" s="267">
        <f t="shared" si="7"/>
        <v>1.0000000000000002</v>
      </c>
      <c r="W62" s="532"/>
      <c r="Y62" s="236" t="s">
        <v>598</v>
      </c>
      <c r="Z62" s="240" t="s">
        <v>598</v>
      </c>
    </row>
    <row r="63" spans="1:26" ht="12" customHeight="1">
      <c r="A63" s="548" t="s">
        <v>102</v>
      </c>
      <c r="B63" s="548" t="s">
        <v>106</v>
      </c>
      <c r="C63" s="456"/>
      <c r="D63" s="549"/>
      <c r="E63" s="462" t="s">
        <v>290</v>
      </c>
      <c r="F63" s="103">
        <v>0</v>
      </c>
      <c r="G63" s="103">
        <f>SUM('[3]ncr-SAOB'!AW223)</f>
        <v>7376285.2700000005</v>
      </c>
      <c r="H63" s="103">
        <f>SUM('[3]ncr-SAOB'!AW315)</f>
        <v>0</v>
      </c>
      <c r="I63" s="103">
        <f>+F63+G63+H63</f>
        <v>7376285.2700000005</v>
      </c>
      <c r="J63" s="103">
        <v>0</v>
      </c>
      <c r="K63" s="103">
        <f>SUM('[3]ncr-SAOB'!AW224)</f>
        <v>7376285.2700000014</v>
      </c>
      <c r="L63" s="103">
        <f>SUM('[3]ncr-SAOB'!AW316)</f>
        <v>0</v>
      </c>
      <c r="M63" s="103">
        <f>+J63+K63+L63</f>
        <v>7376285.2700000014</v>
      </c>
      <c r="N63" s="103">
        <f t="shared" si="22"/>
        <v>0</v>
      </c>
      <c r="O63" s="103">
        <f t="shared" si="22"/>
        <v>0</v>
      </c>
      <c r="P63" s="103">
        <f t="shared" si="22"/>
        <v>0</v>
      </c>
      <c r="Q63" s="103">
        <f>+N63+O63+P63</f>
        <v>0</v>
      </c>
      <c r="R63" s="760">
        <f>Q63-'[3]ncr-SAOB'!AW352</f>
        <v>0</v>
      </c>
      <c r="S63" s="267" t="str">
        <f t="shared" si="7"/>
        <v/>
      </c>
      <c r="T63" s="267">
        <f t="shared" si="7"/>
        <v>1.0000000000000002</v>
      </c>
      <c r="U63" s="267" t="str">
        <f t="shared" si="7"/>
        <v/>
      </c>
      <c r="V63" s="267">
        <f t="shared" si="7"/>
        <v>1.0000000000000002</v>
      </c>
      <c r="W63" s="530"/>
      <c r="X63" s="236"/>
      <c r="Y63" s="236" t="s">
        <v>598</v>
      </c>
      <c r="Z63" s="236"/>
    </row>
    <row r="64" spans="1:26" s="259" customFormat="1" ht="12" customHeight="1">
      <c r="A64" s="315" t="s">
        <v>102</v>
      </c>
      <c r="B64" s="315" t="s">
        <v>106</v>
      </c>
      <c r="C64" s="1096"/>
      <c r="D64" s="466"/>
      <c r="E64" s="1097" t="s">
        <v>4</v>
      </c>
      <c r="F64" s="652">
        <f>+F62+F60</f>
        <v>0</v>
      </c>
      <c r="G64" s="652">
        <f t="shared" ref="G64:Q64" si="23">+G62+G60</f>
        <v>15499410.700000001</v>
      </c>
      <c r="H64" s="652">
        <f t="shared" si="23"/>
        <v>0</v>
      </c>
      <c r="I64" s="652">
        <f t="shared" si="23"/>
        <v>15499410.700000001</v>
      </c>
      <c r="J64" s="652">
        <f t="shared" si="23"/>
        <v>0</v>
      </c>
      <c r="K64" s="652">
        <f t="shared" si="23"/>
        <v>15460376.400000002</v>
      </c>
      <c r="L64" s="652">
        <f t="shared" si="23"/>
        <v>0</v>
      </c>
      <c r="M64" s="652">
        <f t="shared" si="23"/>
        <v>15460376.400000002</v>
      </c>
      <c r="N64" s="652">
        <f t="shared" si="23"/>
        <v>0</v>
      </c>
      <c r="O64" s="652">
        <f t="shared" si="23"/>
        <v>39034.300000000745</v>
      </c>
      <c r="P64" s="652">
        <f t="shared" si="23"/>
        <v>0</v>
      </c>
      <c r="Q64" s="652">
        <f t="shared" si="23"/>
        <v>39034.300000000745</v>
      </c>
      <c r="R64" s="1095">
        <f>Q64-'[3]ncr-SAOB'!BY352</f>
        <v>0</v>
      </c>
      <c r="S64" s="524" t="str">
        <f t="shared" si="7"/>
        <v/>
      </c>
      <c r="T64" s="524">
        <f t="shared" si="7"/>
        <v>0.99748156231514018</v>
      </c>
      <c r="U64" s="524" t="str">
        <f t="shared" si="7"/>
        <v/>
      </c>
      <c r="V64" s="524">
        <f t="shared" si="7"/>
        <v>0.99748156231514018</v>
      </c>
      <c r="W64" s="344"/>
      <c r="X64" s="520"/>
      <c r="Y64" s="837" t="s">
        <v>598</v>
      </c>
      <c r="Z64" s="241" t="s">
        <v>598</v>
      </c>
    </row>
    <row r="65" spans="1:26" ht="12" customHeight="1">
      <c r="A65" s="315" t="s">
        <v>102</v>
      </c>
      <c r="B65" s="315" t="s">
        <v>106</v>
      </c>
      <c r="C65" s="456"/>
      <c r="D65" s="456"/>
      <c r="E65" s="46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S65" s="267" t="str">
        <f t="shared" si="7"/>
        <v/>
      </c>
      <c r="T65" s="267" t="str">
        <f t="shared" si="7"/>
        <v/>
      </c>
      <c r="U65" s="267" t="str">
        <f t="shared" si="7"/>
        <v/>
      </c>
      <c r="V65" s="267" t="str">
        <f t="shared" si="7"/>
        <v/>
      </c>
      <c r="W65" s="267"/>
      <c r="Y65" s="837" t="s">
        <v>598</v>
      </c>
      <c r="Z65" s="241" t="s">
        <v>598</v>
      </c>
    </row>
    <row r="66" spans="1:26" s="275" customFormat="1" ht="14.25" customHeight="1">
      <c r="A66" s="548" t="s">
        <v>102</v>
      </c>
      <c r="B66" s="548" t="s">
        <v>108</v>
      </c>
      <c r="C66" s="464" t="s">
        <v>98</v>
      </c>
      <c r="D66" s="552" t="s">
        <v>109</v>
      </c>
      <c r="E66" s="407" t="s">
        <v>780</v>
      </c>
      <c r="F66" s="409"/>
      <c r="G66" s="409"/>
      <c r="H66" s="409"/>
      <c r="I66" s="409">
        <f t="shared" si="11"/>
        <v>0</v>
      </c>
      <c r="J66" s="409">
        <v>0</v>
      </c>
      <c r="K66" s="409"/>
      <c r="L66" s="409"/>
      <c r="M66" s="409">
        <f t="shared" si="12"/>
        <v>0</v>
      </c>
      <c r="N66" s="409">
        <f t="shared" si="13"/>
        <v>0</v>
      </c>
      <c r="O66" s="409">
        <f t="shared" si="13"/>
        <v>0</v>
      </c>
      <c r="P66" s="409">
        <f t="shared" si="13"/>
        <v>0</v>
      </c>
      <c r="Q66" s="409">
        <f t="shared" si="14"/>
        <v>0</v>
      </c>
      <c r="R66" s="761"/>
      <c r="S66" s="267" t="str">
        <f t="shared" si="7"/>
        <v/>
      </c>
      <c r="T66" s="267" t="str">
        <f t="shared" si="7"/>
        <v/>
      </c>
      <c r="U66" s="267" t="str">
        <f t="shared" si="7"/>
        <v/>
      </c>
      <c r="V66" s="267" t="str">
        <f t="shared" si="7"/>
        <v/>
      </c>
      <c r="W66" s="553"/>
      <c r="Y66" s="236" t="s">
        <v>598</v>
      </c>
      <c r="Z66" s="240" t="s">
        <v>598</v>
      </c>
    </row>
    <row r="67" spans="1:26" ht="12" customHeight="1">
      <c r="A67" s="548" t="s">
        <v>102</v>
      </c>
      <c r="B67" s="548" t="s">
        <v>108</v>
      </c>
      <c r="C67" s="447" t="s">
        <v>766</v>
      </c>
      <c r="D67" s="549"/>
      <c r="E67" s="447" t="s">
        <v>766</v>
      </c>
      <c r="F67" s="103">
        <f>+'[3]ncr-SAOB'!C464</f>
        <v>0</v>
      </c>
      <c r="G67" s="103">
        <f>+'[3]ncr-SAOB'!D464</f>
        <v>2445.61</v>
      </c>
      <c r="H67" s="103">
        <f>+'[3]ncr-SAOB'!E464</f>
        <v>0</v>
      </c>
      <c r="I67" s="103">
        <f t="shared" si="11"/>
        <v>2445.61</v>
      </c>
      <c r="J67" s="103">
        <v>0</v>
      </c>
      <c r="K67" s="103">
        <f>+'[3]ncr-SAOB'!H464</f>
        <v>0</v>
      </c>
      <c r="L67" s="103">
        <f>+'[3]ncr-SAOB'!I464</f>
        <v>0</v>
      </c>
      <c r="M67" s="103">
        <f t="shared" si="12"/>
        <v>0</v>
      </c>
      <c r="N67" s="103">
        <f t="shared" si="13"/>
        <v>0</v>
      </c>
      <c r="O67" s="103">
        <f t="shared" si="13"/>
        <v>2445.61</v>
      </c>
      <c r="P67" s="103">
        <f t="shared" si="13"/>
        <v>0</v>
      </c>
      <c r="Q67" s="103">
        <f t="shared" si="14"/>
        <v>2445.61</v>
      </c>
      <c r="R67" s="760">
        <f>Q67-'[3]ncr-SAOB'!I352</f>
        <v>0</v>
      </c>
      <c r="S67" s="267" t="str">
        <f t="shared" si="7"/>
        <v/>
      </c>
      <c r="T67" s="267">
        <f t="shared" si="7"/>
        <v>0</v>
      </c>
      <c r="U67" s="267" t="str">
        <f t="shared" si="7"/>
        <v/>
      </c>
      <c r="V67" s="267">
        <f t="shared" si="7"/>
        <v>0</v>
      </c>
      <c r="W67" s="530"/>
      <c r="X67" s="236"/>
      <c r="Y67" s="236" t="s">
        <v>688</v>
      </c>
      <c r="Z67" s="236"/>
    </row>
    <row r="68" spans="1:26" ht="12" customHeight="1">
      <c r="A68" s="548" t="s">
        <v>102</v>
      </c>
      <c r="B68" s="548" t="s">
        <v>108</v>
      </c>
      <c r="C68" s="456"/>
      <c r="D68" s="549"/>
      <c r="E68" s="453" t="s">
        <v>50</v>
      </c>
      <c r="F68" s="103">
        <f>+F69+F70</f>
        <v>0</v>
      </c>
      <c r="G68" s="103">
        <f>+G69+G70</f>
        <v>2015784.44</v>
      </c>
      <c r="H68" s="103">
        <f>+H69+H70</f>
        <v>0</v>
      </c>
      <c r="I68" s="103">
        <f t="shared" si="11"/>
        <v>2015784.44</v>
      </c>
      <c r="J68" s="103">
        <f>+J69+J70</f>
        <v>0</v>
      </c>
      <c r="K68" s="103">
        <f>+K69+K70</f>
        <v>1424506.2199999997</v>
      </c>
      <c r="L68" s="103">
        <f>+L69+L70</f>
        <v>0</v>
      </c>
      <c r="M68" s="103">
        <f t="shared" si="12"/>
        <v>1424506.2199999997</v>
      </c>
      <c r="N68" s="103">
        <f t="shared" si="13"/>
        <v>0</v>
      </c>
      <c r="O68" s="103">
        <f t="shared" si="13"/>
        <v>591278.2200000002</v>
      </c>
      <c r="P68" s="103">
        <f t="shared" si="13"/>
        <v>0</v>
      </c>
      <c r="Q68" s="103">
        <f t="shared" si="14"/>
        <v>591278.2200000002</v>
      </c>
      <c r="S68" s="267" t="str">
        <f t="shared" si="7"/>
        <v/>
      </c>
      <c r="T68" s="267">
        <f t="shared" si="7"/>
        <v>0.706675868576503</v>
      </c>
      <c r="U68" s="267" t="str">
        <f t="shared" si="7"/>
        <v/>
      </c>
      <c r="V68" s="267">
        <f t="shared" si="7"/>
        <v>0.706675868576503</v>
      </c>
      <c r="W68" s="530"/>
      <c r="X68" s="236"/>
      <c r="Y68" s="236" t="s">
        <v>688</v>
      </c>
      <c r="Z68" s="236"/>
    </row>
    <row r="69" spans="1:26" ht="12" hidden="1" customHeight="1">
      <c r="A69" s="548" t="s">
        <v>102</v>
      </c>
      <c r="B69" s="548" t="s">
        <v>108</v>
      </c>
      <c r="C69" s="458" t="s">
        <v>715</v>
      </c>
      <c r="D69" s="550" t="s">
        <v>715</v>
      </c>
      <c r="E69" s="447" t="s">
        <v>715</v>
      </c>
      <c r="F69" s="103">
        <f>'[3]CONAP - W INC'!F39</f>
        <v>0</v>
      </c>
      <c r="G69" s="103">
        <f>'[3]CONAP - W INC'!G39</f>
        <v>763335.96</v>
      </c>
      <c r="H69" s="103">
        <f>'[3]CONAP - W INC'!H39</f>
        <v>0</v>
      </c>
      <c r="I69" s="103">
        <f t="shared" si="11"/>
        <v>763335.96</v>
      </c>
      <c r="J69" s="103">
        <f>'[3]CONAP - W INC'!J39</f>
        <v>0</v>
      </c>
      <c r="K69" s="103">
        <f>'[3]CONAP - W INC'!K39</f>
        <v>541108.05999999994</v>
      </c>
      <c r="L69" s="103">
        <f>'[3]CONAP - W INC'!L39</f>
        <v>0</v>
      </c>
      <c r="M69" s="103">
        <f t="shared" si="12"/>
        <v>541108.05999999994</v>
      </c>
      <c r="N69" s="103">
        <f t="shared" si="13"/>
        <v>0</v>
      </c>
      <c r="O69" s="103">
        <f t="shared" si="13"/>
        <v>222227.90000000002</v>
      </c>
      <c r="P69" s="103">
        <f t="shared" si="13"/>
        <v>0</v>
      </c>
      <c r="Q69" s="103">
        <f t="shared" si="14"/>
        <v>222227.90000000002</v>
      </c>
      <c r="S69" s="267" t="str">
        <f t="shared" si="7"/>
        <v/>
      </c>
      <c r="T69" s="267">
        <f t="shared" si="7"/>
        <v>0.7088727485077474</v>
      </c>
      <c r="U69" s="267" t="str">
        <f t="shared" si="7"/>
        <v/>
      </c>
      <c r="V69" s="267">
        <f t="shared" si="7"/>
        <v>0.7088727485077474</v>
      </c>
      <c r="W69" s="530"/>
      <c r="X69" s="236"/>
      <c r="Y69" s="236"/>
      <c r="Z69" s="236"/>
    </row>
    <row r="70" spans="1:26" ht="12" hidden="1" customHeight="1">
      <c r="A70" s="548" t="s">
        <v>102</v>
      </c>
      <c r="B70" s="548" t="s">
        <v>108</v>
      </c>
      <c r="C70" s="458" t="s">
        <v>716</v>
      </c>
      <c r="D70" s="550" t="s">
        <v>716</v>
      </c>
      <c r="E70" s="459" t="s">
        <v>716</v>
      </c>
      <c r="F70" s="103">
        <f>'[3]CONAP - W INC'!F40</f>
        <v>0</v>
      </c>
      <c r="G70" s="103">
        <f>'[3]CONAP - W INC'!G40</f>
        <v>1252448.48</v>
      </c>
      <c r="H70" s="103">
        <f>'[3]CONAP - W INC'!H40</f>
        <v>0</v>
      </c>
      <c r="I70" s="103">
        <f t="shared" si="11"/>
        <v>1252448.48</v>
      </c>
      <c r="J70" s="103">
        <f>'[3]CONAP - W INC'!J40</f>
        <v>0</v>
      </c>
      <c r="K70" s="103">
        <f>'[3]CONAP - W INC'!K40</f>
        <v>883398.15999999992</v>
      </c>
      <c r="L70" s="103">
        <f>'[3]CONAP - W INC'!L40</f>
        <v>0</v>
      </c>
      <c r="M70" s="103">
        <f t="shared" si="12"/>
        <v>883398.15999999992</v>
      </c>
      <c r="N70" s="103">
        <f t="shared" si="13"/>
        <v>0</v>
      </c>
      <c r="O70" s="103">
        <f t="shared" si="13"/>
        <v>369050.32000000007</v>
      </c>
      <c r="P70" s="103">
        <f t="shared" si="13"/>
        <v>0</v>
      </c>
      <c r="Q70" s="103">
        <f t="shared" si="14"/>
        <v>369050.32000000007</v>
      </c>
      <c r="S70" s="267" t="str">
        <f t="shared" si="7"/>
        <v/>
      </c>
      <c r="T70" s="267">
        <f t="shared" si="7"/>
        <v>0.70533692531608161</v>
      </c>
      <c r="U70" s="267" t="str">
        <f t="shared" si="7"/>
        <v/>
      </c>
      <c r="V70" s="267">
        <f t="shared" si="7"/>
        <v>0.70533692531608161</v>
      </c>
      <c r="W70" s="530"/>
      <c r="X70" s="236"/>
      <c r="Y70" s="236"/>
      <c r="Z70" s="236"/>
    </row>
    <row r="71" spans="1:26" s="256" customFormat="1" ht="12" customHeight="1">
      <c r="A71" s="548"/>
      <c r="B71" s="548" t="s">
        <v>108</v>
      </c>
      <c r="C71" s="460"/>
      <c r="D71" s="551"/>
      <c r="E71" s="390" t="s">
        <v>767</v>
      </c>
      <c r="F71" s="391">
        <f>+F68+F67</f>
        <v>0</v>
      </c>
      <c r="G71" s="391">
        <f t="shared" ref="G71:Q71" si="24">+G68+G67</f>
        <v>2018230.05</v>
      </c>
      <c r="H71" s="391">
        <f t="shared" si="24"/>
        <v>0</v>
      </c>
      <c r="I71" s="391">
        <f t="shared" si="24"/>
        <v>2018230.05</v>
      </c>
      <c r="J71" s="391">
        <f t="shared" si="24"/>
        <v>0</v>
      </c>
      <c r="K71" s="391">
        <f t="shared" si="24"/>
        <v>1424506.2199999997</v>
      </c>
      <c r="L71" s="391">
        <f t="shared" si="24"/>
        <v>0</v>
      </c>
      <c r="M71" s="391">
        <f t="shared" si="24"/>
        <v>1424506.2199999997</v>
      </c>
      <c r="N71" s="391">
        <f t="shared" si="24"/>
        <v>0</v>
      </c>
      <c r="O71" s="391">
        <f t="shared" si="24"/>
        <v>593723.83000000019</v>
      </c>
      <c r="P71" s="391">
        <f t="shared" si="24"/>
        <v>0</v>
      </c>
      <c r="Q71" s="391">
        <f t="shared" si="24"/>
        <v>593723.83000000019</v>
      </c>
      <c r="R71" s="761"/>
      <c r="S71" s="267" t="str">
        <f t="shared" si="7"/>
        <v/>
      </c>
      <c r="T71" s="267">
        <f t="shared" si="7"/>
        <v>0.70581954718194773</v>
      </c>
      <c r="U71" s="267" t="str">
        <f t="shared" si="7"/>
        <v/>
      </c>
      <c r="V71" s="267">
        <f t="shared" si="7"/>
        <v>0.70581954718194773</v>
      </c>
      <c r="W71" s="532"/>
      <c r="Y71" s="236" t="s">
        <v>598</v>
      </c>
      <c r="Z71" s="240" t="s">
        <v>598</v>
      </c>
    </row>
    <row r="72" spans="1:26" ht="12" hidden="1" customHeight="1">
      <c r="A72" s="548"/>
      <c r="B72" s="548"/>
      <c r="C72" s="456"/>
      <c r="D72" s="549"/>
      <c r="E72" s="461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S72" s="267" t="str">
        <f t="shared" si="7"/>
        <v/>
      </c>
      <c r="T72" s="267" t="str">
        <f t="shared" si="7"/>
        <v/>
      </c>
      <c r="U72" s="267" t="str">
        <f t="shared" si="7"/>
        <v/>
      </c>
      <c r="V72" s="267" t="str">
        <f t="shared" si="7"/>
        <v/>
      </c>
      <c r="W72" s="530"/>
      <c r="X72" s="236"/>
      <c r="Y72" s="236"/>
      <c r="Z72" s="236"/>
    </row>
    <row r="73" spans="1:26" s="256" customFormat="1" ht="12" customHeight="1">
      <c r="A73" s="548" t="s">
        <v>102</v>
      </c>
      <c r="B73" s="548" t="s">
        <v>108</v>
      </c>
      <c r="C73" s="460"/>
      <c r="D73" s="551" t="s">
        <v>98</v>
      </c>
      <c r="E73" s="390" t="s">
        <v>100</v>
      </c>
      <c r="F73" s="391">
        <f>SUM(F74:F74)</f>
        <v>0</v>
      </c>
      <c r="G73" s="391">
        <f>SUM(G74:G74)</f>
        <v>900000</v>
      </c>
      <c r="H73" s="391">
        <f>SUM(H74:H74)</f>
        <v>0</v>
      </c>
      <c r="I73" s="391">
        <f>+F73+G73+H73</f>
        <v>900000</v>
      </c>
      <c r="J73" s="391">
        <v>0</v>
      </c>
      <c r="K73" s="391">
        <f>SUM(K74:K74)</f>
        <v>866374.5</v>
      </c>
      <c r="L73" s="391">
        <f>SUM(L74:L74)</f>
        <v>0</v>
      </c>
      <c r="M73" s="391">
        <f>+J73+K73+L73</f>
        <v>866374.5</v>
      </c>
      <c r="N73" s="391">
        <f t="shared" ref="N73:P74" si="25">+F73-J73</f>
        <v>0</v>
      </c>
      <c r="O73" s="391">
        <f t="shared" si="25"/>
        <v>33625.5</v>
      </c>
      <c r="P73" s="391">
        <f t="shared" si="25"/>
        <v>0</v>
      </c>
      <c r="Q73" s="391">
        <f>+N73+O73+P73</f>
        <v>33625.5</v>
      </c>
      <c r="R73" s="761">
        <f>Q73-'[3]ncr-SAOB'!BT352</f>
        <v>0</v>
      </c>
      <c r="S73" s="267" t="str">
        <f t="shared" si="7"/>
        <v/>
      </c>
      <c r="T73" s="267">
        <f t="shared" si="7"/>
        <v>0.96263833333333337</v>
      </c>
      <c r="U73" s="267" t="str">
        <f t="shared" si="7"/>
        <v/>
      </c>
      <c r="V73" s="267">
        <f t="shared" si="7"/>
        <v>0.96263833333333337</v>
      </c>
      <c r="W73" s="532"/>
      <c r="Y73" s="236" t="s">
        <v>598</v>
      </c>
      <c r="Z73" s="240" t="s">
        <v>598</v>
      </c>
    </row>
    <row r="74" spans="1:26" ht="12" customHeight="1">
      <c r="A74" s="548" t="s">
        <v>102</v>
      </c>
      <c r="B74" s="548" t="s">
        <v>108</v>
      </c>
      <c r="C74" s="456"/>
      <c r="D74" s="549"/>
      <c r="E74" s="462" t="s">
        <v>290</v>
      </c>
      <c r="F74" s="103">
        <v>0</v>
      </c>
      <c r="G74" s="103">
        <f>SUM('[3]ncr-SAOB'!AY223)</f>
        <v>900000</v>
      </c>
      <c r="H74" s="103">
        <f>SUM('[3]ncr-SAOB'!AY315)</f>
        <v>0</v>
      </c>
      <c r="I74" s="103">
        <f>+F74+G74+H74</f>
        <v>900000</v>
      </c>
      <c r="J74" s="103">
        <v>0</v>
      </c>
      <c r="K74" s="103">
        <f>SUM('[3]ncr-SAOB'!AY224)</f>
        <v>866374.5</v>
      </c>
      <c r="L74" s="103">
        <f>SUM('[3]ncr-SAOB'!AY316)</f>
        <v>0</v>
      </c>
      <c r="M74" s="103">
        <f>+J74+K74+L74</f>
        <v>866374.5</v>
      </c>
      <c r="N74" s="103">
        <f t="shared" si="25"/>
        <v>0</v>
      </c>
      <c r="O74" s="103">
        <f t="shared" si="25"/>
        <v>33625.5</v>
      </c>
      <c r="P74" s="103">
        <f t="shared" si="25"/>
        <v>0</v>
      </c>
      <c r="Q74" s="103">
        <f>+N74+O74+P74</f>
        <v>33625.5</v>
      </c>
      <c r="R74" s="760">
        <f>Q74-'[3]ncr-SAOB'!AY352</f>
        <v>0</v>
      </c>
      <c r="S74" s="267" t="str">
        <f t="shared" si="7"/>
        <v/>
      </c>
      <c r="T74" s="267">
        <f t="shared" si="7"/>
        <v>0.96263833333333337</v>
      </c>
      <c r="U74" s="267" t="str">
        <f t="shared" si="7"/>
        <v/>
      </c>
      <c r="V74" s="267">
        <f t="shared" si="7"/>
        <v>0.96263833333333337</v>
      </c>
      <c r="W74" s="530"/>
      <c r="X74" s="236"/>
      <c r="Y74" s="236" t="s">
        <v>598</v>
      </c>
      <c r="Z74" s="236"/>
    </row>
    <row r="75" spans="1:26" s="259" customFormat="1" ht="12" customHeight="1">
      <c r="A75" s="315" t="s">
        <v>102</v>
      </c>
      <c r="B75" s="315" t="s">
        <v>108</v>
      </c>
      <c r="C75" s="1096"/>
      <c r="D75" s="466"/>
      <c r="E75" s="1097" t="s">
        <v>4</v>
      </c>
      <c r="F75" s="652">
        <f>+F73+F71</f>
        <v>0</v>
      </c>
      <c r="G75" s="652">
        <f t="shared" ref="G75:Q75" si="26">+G73+G71</f>
        <v>2918230.05</v>
      </c>
      <c r="H75" s="652">
        <f t="shared" si="26"/>
        <v>0</v>
      </c>
      <c r="I75" s="652">
        <f t="shared" si="26"/>
        <v>2918230.05</v>
      </c>
      <c r="J75" s="652">
        <f t="shared" si="26"/>
        <v>0</v>
      </c>
      <c r="K75" s="652">
        <f t="shared" si="26"/>
        <v>2290880.7199999997</v>
      </c>
      <c r="L75" s="652">
        <f t="shared" si="26"/>
        <v>0</v>
      </c>
      <c r="M75" s="652">
        <f t="shared" si="26"/>
        <v>2290880.7199999997</v>
      </c>
      <c r="N75" s="652">
        <f t="shared" si="26"/>
        <v>0</v>
      </c>
      <c r="O75" s="652">
        <f t="shared" si="26"/>
        <v>627349.33000000019</v>
      </c>
      <c r="P75" s="652">
        <f t="shared" si="26"/>
        <v>0</v>
      </c>
      <c r="Q75" s="652">
        <f t="shared" si="26"/>
        <v>627349.33000000019</v>
      </c>
      <c r="R75" s="1095">
        <f>Q75-'[3]ncr-SAOB'!CA352</f>
        <v>0</v>
      </c>
      <c r="S75" s="524" t="str">
        <f t="shared" si="7"/>
        <v/>
      </c>
      <c r="T75" s="524">
        <f t="shared" si="7"/>
        <v>0.78502403194703585</v>
      </c>
      <c r="U75" s="524" t="str">
        <f t="shared" si="7"/>
        <v/>
      </c>
      <c r="V75" s="524">
        <f t="shared" si="7"/>
        <v>0.78502403194703585</v>
      </c>
      <c r="W75" s="344"/>
      <c r="X75" s="520"/>
      <c r="Y75" s="837" t="s">
        <v>598</v>
      </c>
      <c r="Z75" s="241" t="s">
        <v>598</v>
      </c>
    </row>
    <row r="76" spans="1:26" ht="12" customHeight="1">
      <c r="A76" s="315" t="s">
        <v>102</v>
      </c>
      <c r="B76" s="315" t="s">
        <v>108</v>
      </c>
      <c r="C76" s="456"/>
      <c r="D76" s="456"/>
      <c r="E76" s="46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S76" s="267" t="str">
        <f t="shared" si="7"/>
        <v/>
      </c>
      <c r="T76" s="267" t="str">
        <f t="shared" si="7"/>
        <v/>
      </c>
      <c r="U76" s="267" t="str">
        <f t="shared" si="7"/>
        <v/>
      </c>
      <c r="V76" s="267" t="str">
        <f t="shared" si="7"/>
        <v/>
      </c>
      <c r="W76" s="267"/>
      <c r="Y76" s="837" t="s">
        <v>598</v>
      </c>
      <c r="Z76" s="241" t="s">
        <v>598</v>
      </c>
    </row>
    <row r="77" spans="1:26" s="275" customFormat="1" ht="13.5" customHeight="1">
      <c r="A77" s="548" t="s">
        <v>102</v>
      </c>
      <c r="B77" s="548" t="s">
        <v>110</v>
      </c>
      <c r="C77" s="464" t="s">
        <v>98</v>
      </c>
      <c r="D77" s="552" t="s">
        <v>111</v>
      </c>
      <c r="E77" s="407" t="s">
        <v>781</v>
      </c>
      <c r="F77" s="409"/>
      <c r="G77" s="409"/>
      <c r="H77" s="409"/>
      <c r="I77" s="409">
        <f t="shared" si="11"/>
        <v>0</v>
      </c>
      <c r="J77" s="409">
        <v>0</v>
      </c>
      <c r="K77" s="409"/>
      <c r="L77" s="409"/>
      <c r="M77" s="409">
        <f t="shared" si="12"/>
        <v>0</v>
      </c>
      <c r="N77" s="409">
        <f t="shared" si="13"/>
        <v>0</v>
      </c>
      <c r="O77" s="409">
        <f t="shared" si="13"/>
        <v>0</v>
      </c>
      <c r="P77" s="409">
        <f t="shared" si="13"/>
        <v>0</v>
      </c>
      <c r="Q77" s="409">
        <f t="shared" si="14"/>
        <v>0</v>
      </c>
      <c r="R77" s="761"/>
      <c r="S77" s="267" t="str">
        <f t="shared" si="7"/>
        <v/>
      </c>
      <c r="T77" s="267" t="str">
        <f t="shared" si="7"/>
        <v/>
      </c>
      <c r="U77" s="267" t="str">
        <f t="shared" si="7"/>
        <v/>
      </c>
      <c r="V77" s="267" t="str">
        <f t="shared" si="7"/>
        <v/>
      </c>
      <c r="W77" s="553"/>
      <c r="Y77" s="236" t="s">
        <v>598</v>
      </c>
      <c r="Z77" s="240" t="s">
        <v>598</v>
      </c>
    </row>
    <row r="78" spans="1:26" ht="12" customHeight="1">
      <c r="A78" s="548" t="s">
        <v>102</v>
      </c>
      <c r="B78" s="548" t="s">
        <v>110</v>
      </c>
      <c r="C78" s="447" t="s">
        <v>766</v>
      </c>
      <c r="D78" s="549"/>
      <c r="E78" s="447" t="s">
        <v>766</v>
      </c>
      <c r="F78" s="103">
        <f>+'[3]ncr-SAOB'!C470</f>
        <v>0</v>
      </c>
      <c r="G78" s="103">
        <f>+'[3]ncr-SAOB'!D470</f>
        <v>0</v>
      </c>
      <c r="H78" s="103">
        <f>+'[3]ncr-SAOB'!E470</f>
        <v>0</v>
      </c>
      <c r="I78" s="103">
        <f t="shared" si="11"/>
        <v>0</v>
      </c>
      <c r="J78" s="103">
        <v>0</v>
      </c>
      <c r="K78" s="103">
        <f>+'[3]ncr-SAOB'!H470</f>
        <v>0</v>
      </c>
      <c r="L78" s="103">
        <f>+'[3]ncr-SAOB'!I470</f>
        <v>0</v>
      </c>
      <c r="M78" s="103">
        <f t="shared" si="12"/>
        <v>0</v>
      </c>
      <c r="N78" s="103">
        <f t="shared" si="13"/>
        <v>0</v>
      </c>
      <c r="O78" s="103">
        <f t="shared" si="13"/>
        <v>0</v>
      </c>
      <c r="P78" s="103">
        <f t="shared" si="13"/>
        <v>0</v>
      </c>
      <c r="Q78" s="103">
        <f t="shared" si="14"/>
        <v>0</v>
      </c>
      <c r="R78" s="760">
        <f>Q78-'[3]ncr-SAOB'!J352</f>
        <v>0</v>
      </c>
      <c r="S78" s="267" t="str">
        <f t="shared" si="7"/>
        <v/>
      </c>
      <c r="T78" s="267" t="str">
        <f t="shared" si="7"/>
        <v/>
      </c>
      <c r="U78" s="267" t="str">
        <f t="shared" si="7"/>
        <v/>
      </c>
      <c r="V78" s="267" t="str">
        <f t="shared" si="7"/>
        <v/>
      </c>
      <c r="W78" s="530"/>
      <c r="X78" s="236"/>
      <c r="Y78" s="236" t="s">
        <v>688</v>
      </c>
      <c r="Z78" s="236"/>
    </row>
    <row r="79" spans="1:26" ht="12" customHeight="1">
      <c r="A79" s="548" t="s">
        <v>102</v>
      </c>
      <c r="B79" s="548" t="s">
        <v>110</v>
      </c>
      <c r="C79" s="456"/>
      <c r="D79" s="549"/>
      <c r="E79" s="453" t="s">
        <v>50</v>
      </c>
      <c r="F79" s="103">
        <f>+F80+F81</f>
        <v>0</v>
      </c>
      <c r="G79" s="103">
        <f t="shared" ref="G79:Q79" si="27">+G80+G81</f>
        <v>0</v>
      </c>
      <c r="H79" s="103">
        <f t="shared" si="27"/>
        <v>0</v>
      </c>
      <c r="I79" s="103">
        <f t="shared" si="27"/>
        <v>0</v>
      </c>
      <c r="J79" s="103">
        <f t="shared" si="27"/>
        <v>0</v>
      </c>
      <c r="K79" s="103">
        <f t="shared" si="27"/>
        <v>0</v>
      </c>
      <c r="L79" s="103">
        <f t="shared" si="27"/>
        <v>0</v>
      </c>
      <c r="M79" s="103">
        <f t="shared" si="27"/>
        <v>0</v>
      </c>
      <c r="N79" s="103">
        <f t="shared" si="27"/>
        <v>0</v>
      </c>
      <c r="O79" s="103">
        <f t="shared" si="27"/>
        <v>0</v>
      </c>
      <c r="P79" s="103">
        <f t="shared" si="27"/>
        <v>0</v>
      </c>
      <c r="Q79" s="103">
        <f t="shared" si="27"/>
        <v>0</v>
      </c>
      <c r="S79" s="267" t="str">
        <f t="shared" si="7"/>
        <v/>
      </c>
      <c r="T79" s="267" t="str">
        <f t="shared" si="7"/>
        <v/>
      </c>
      <c r="U79" s="267" t="str">
        <f t="shared" si="7"/>
        <v/>
      </c>
      <c r="V79" s="267" t="str">
        <f t="shared" si="7"/>
        <v/>
      </c>
      <c r="W79" s="530"/>
      <c r="X79" s="236"/>
      <c r="Y79" s="236" t="s">
        <v>688</v>
      </c>
      <c r="Z79" s="236"/>
    </row>
    <row r="80" spans="1:26" ht="12" hidden="1" customHeight="1">
      <c r="A80" s="548" t="s">
        <v>102</v>
      </c>
      <c r="B80" s="548" t="s">
        <v>110</v>
      </c>
      <c r="C80" s="458" t="s">
        <v>715</v>
      </c>
      <c r="D80" s="550" t="s">
        <v>715</v>
      </c>
      <c r="E80" s="447" t="s">
        <v>715</v>
      </c>
      <c r="F80" s="103">
        <f>'[3]CONAP - W INC'!F47</f>
        <v>0</v>
      </c>
      <c r="G80" s="103">
        <f>'[3]CONAP - W INC'!G47</f>
        <v>0</v>
      </c>
      <c r="H80" s="103">
        <f>'[3]CONAP - W INC'!H47</f>
        <v>0</v>
      </c>
      <c r="I80" s="103">
        <f t="shared" si="11"/>
        <v>0</v>
      </c>
      <c r="J80" s="103">
        <f>'[3]CONAP - W INC'!J47</f>
        <v>0</v>
      </c>
      <c r="K80" s="103">
        <f>'[3]CONAP - W INC'!K47</f>
        <v>0</v>
      </c>
      <c r="L80" s="103">
        <f>'[3]CONAP - W INC'!L47</f>
        <v>0</v>
      </c>
      <c r="M80" s="103">
        <f t="shared" si="12"/>
        <v>0</v>
      </c>
      <c r="N80" s="103">
        <f t="shared" si="13"/>
        <v>0</v>
      </c>
      <c r="O80" s="103">
        <f t="shared" si="13"/>
        <v>0</v>
      </c>
      <c r="P80" s="103">
        <f t="shared" si="13"/>
        <v>0</v>
      </c>
      <c r="Q80" s="103">
        <f t="shared" si="14"/>
        <v>0</v>
      </c>
      <c r="S80" s="267" t="str">
        <f t="shared" si="7"/>
        <v/>
      </c>
      <c r="T80" s="267" t="str">
        <f t="shared" si="7"/>
        <v/>
      </c>
      <c r="U80" s="267" t="str">
        <f t="shared" si="7"/>
        <v/>
      </c>
      <c r="V80" s="267" t="str">
        <f t="shared" si="7"/>
        <v/>
      </c>
      <c r="W80" s="530"/>
      <c r="X80" s="236"/>
      <c r="Y80" s="236"/>
      <c r="Z80" s="236"/>
    </row>
    <row r="81" spans="1:26" ht="12" hidden="1" customHeight="1">
      <c r="A81" s="548" t="s">
        <v>102</v>
      </c>
      <c r="B81" s="548" t="s">
        <v>110</v>
      </c>
      <c r="C81" s="458" t="s">
        <v>716</v>
      </c>
      <c r="D81" s="550" t="s">
        <v>716</v>
      </c>
      <c r="E81" s="459" t="s">
        <v>716</v>
      </c>
      <c r="F81" s="103">
        <f>'[3]CONAP - W INC'!F48</f>
        <v>0</v>
      </c>
      <c r="G81" s="103">
        <f>'[3]CONAP - W INC'!G48</f>
        <v>0</v>
      </c>
      <c r="H81" s="103">
        <f>'[3]CONAP - W INC'!H48</f>
        <v>0</v>
      </c>
      <c r="I81" s="103">
        <f t="shared" si="11"/>
        <v>0</v>
      </c>
      <c r="J81" s="103">
        <f>'[3]CONAP - W INC'!J48</f>
        <v>0</v>
      </c>
      <c r="K81" s="103">
        <f>'[3]CONAP - W INC'!K48</f>
        <v>0</v>
      </c>
      <c r="L81" s="103">
        <f>'[3]CONAP - W INC'!L48</f>
        <v>0</v>
      </c>
      <c r="M81" s="103">
        <f t="shared" si="12"/>
        <v>0</v>
      </c>
      <c r="N81" s="103">
        <f t="shared" si="13"/>
        <v>0</v>
      </c>
      <c r="O81" s="103">
        <f t="shared" si="13"/>
        <v>0</v>
      </c>
      <c r="P81" s="103">
        <f t="shared" si="13"/>
        <v>0</v>
      </c>
      <c r="Q81" s="103">
        <f t="shared" si="14"/>
        <v>0</v>
      </c>
      <c r="S81" s="267" t="str">
        <f t="shared" si="7"/>
        <v/>
      </c>
      <c r="T81" s="267" t="str">
        <f t="shared" si="7"/>
        <v/>
      </c>
      <c r="U81" s="267" t="str">
        <f t="shared" si="7"/>
        <v/>
      </c>
      <c r="V81" s="267" t="str">
        <f t="shared" si="7"/>
        <v/>
      </c>
      <c r="W81" s="530"/>
      <c r="X81" s="236"/>
      <c r="Y81" s="236"/>
      <c r="Z81" s="236"/>
    </row>
    <row r="82" spans="1:26" s="256" customFormat="1" ht="12" customHeight="1">
      <c r="A82" s="548"/>
      <c r="B82" s="548" t="s">
        <v>110</v>
      </c>
      <c r="C82" s="460"/>
      <c r="D82" s="551"/>
      <c r="E82" s="390" t="s">
        <v>767</v>
      </c>
      <c r="F82" s="391">
        <f>+F79+F78</f>
        <v>0</v>
      </c>
      <c r="G82" s="391">
        <f t="shared" ref="G82:Q82" si="28">+G79+G78</f>
        <v>0</v>
      </c>
      <c r="H82" s="391">
        <f t="shared" si="28"/>
        <v>0</v>
      </c>
      <c r="I82" s="391">
        <f t="shared" si="28"/>
        <v>0</v>
      </c>
      <c r="J82" s="391">
        <f t="shared" si="28"/>
        <v>0</v>
      </c>
      <c r="K82" s="391">
        <f t="shared" si="28"/>
        <v>0</v>
      </c>
      <c r="L82" s="391">
        <f t="shared" si="28"/>
        <v>0</v>
      </c>
      <c r="M82" s="391">
        <f t="shared" si="28"/>
        <v>0</v>
      </c>
      <c r="N82" s="391">
        <f t="shared" si="28"/>
        <v>0</v>
      </c>
      <c r="O82" s="391">
        <f t="shared" si="28"/>
        <v>0</v>
      </c>
      <c r="P82" s="391">
        <f t="shared" si="28"/>
        <v>0</v>
      </c>
      <c r="Q82" s="391">
        <f t="shared" si="28"/>
        <v>0</v>
      </c>
      <c r="R82" s="761"/>
      <c r="S82" s="267" t="str">
        <f t="shared" si="7"/>
        <v/>
      </c>
      <c r="T82" s="267" t="str">
        <f t="shared" si="7"/>
        <v/>
      </c>
      <c r="U82" s="267" t="str">
        <f t="shared" si="7"/>
        <v/>
      </c>
      <c r="V82" s="267" t="str">
        <f t="shared" si="7"/>
        <v/>
      </c>
      <c r="W82" s="532"/>
      <c r="Y82" s="236" t="s">
        <v>598</v>
      </c>
      <c r="Z82" s="240" t="s">
        <v>598</v>
      </c>
    </row>
    <row r="83" spans="1:26" ht="12" hidden="1" customHeight="1">
      <c r="A83" s="548"/>
      <c r="B83" s="548"/>
      <c r="C83" s="456"/>
      <c r="D83" s="549"/>
      <c r="E83" s="461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S83" s="267" t="str">
        <f t="shared" si="7"/>
        <v/>
      </c>
      <c r="T83" s="267" t="str">
        <f t="shared" si="7"/>
        <v/>
      </c>
      <c r="U83" s="267" t="str">
        <f t="shared" si="7"/>
        <v/>
      </c>
      <c r="V83" s="267" t="str">
        <f t="shared" si="7"/>
        <v/>
      </c>
      <c r="W83" s="530"/>
      <c r="X83" s="236"/>
      <c r="Y83" s="236"/>
      <c r="Z83" s="236"/>
    </row>
    <row r="84" spans="1:26" s="256" customFormat="1" ht="12" customHeight="1">
      <c r="A84" s="548" t="s">
        <v>102</v>
      </c>
      <c r="B84" s="548" t="s">
        <v>110</v>
      </c>
      <c r="C84" s="460"/>
      <c r="D84" s="551" t="s">
        <v>98</v>
      </c>
      <c r="E84" s="390" t="s">
        <v>100</v>
      </c>
      <c r="F84" s="391">
        <f>SUM(F85:F85)</f>
        <v>0</v>
      </c>
      <c r="G84" s="391">
        <f t="shared" ref="G84:Q84" si="29">SUM(G85:G85)</f>
        <v>504481.74</v>
      </c>
      <c r="H84" s="391">
        <f t="shared" si="29"/>
        <v>0</v>
      </c>
      <c r="I84" s="391">
        <f t="shared" si="29"/>
        <v>504481.74</v>
      </c>
      <c r="J84" s="391">
        <f t="shared" si="29"/>
        <v>0</v>
      </c>
      <c r="K84" s="391">
        <f t="shared" si="29"/>
        <v>504481.74</v>
      </c>
      <c r="L84" s="391">
        <f t="shared" si="29"/>
        <v>0</v>
      </c>
      <c r="M84" s="391">
        <f t="shared" si="29"/>
        <v>504481.74</v>
      </c>
      <c r="N84" s="391">
        <f t="shared" si="29"/>
        <v>0</v>
      </c>
      <c r="O84" s="391">
        <f t="shared" si="29"/>
        <v>0</v>
      </c>
      <c r="P84" s="391">
        <f t="shared" si="29"/>
        <v>0</v>
      </c>
      <c r="Q84" s="391">
        <f t="shared" si="29"/>
        <v>0</v>
      </c>
      <c r="R84" s="761">
        <f>Q84-'[3]ncr-SAOB'!BU352</f>
        <v>0</v>
      </c>
      <c r="S84" s="267" t="str">
        <f t="shared" si="7"/>
        <v/>
      </c>
      <c r="T84" s="267">
        <f t="shared" si="7"/>
        <v>1</v>
      </c>
      <c r="U84" s="267" t="str">
        <f t="shared" si="7"/>
        <v/>
      </c>
      <c r="V84" s="267">
        <f t="shared" si="7"/>
        <v>1</v>
      </c>
      <c r="W84" s="532"/>
      <c r="Y84" s="236" t="s">
        <v>598</v>
      </c>
      <c r="Z84" s="240" t="s">
        <v>598</v>
      </c>
    </row>
    <row r="85" spans="1:26" ht="12" customHeight="1">
      <c r="A85" s="548" t="s">
        <v>102</v>
      </c>
      <c r="B85" s="548" t="s">
        <v>110</v>
      </c>
      <c r="C85" s="456"/>
      <c r="D85" s="549"/>
      <c r="E85" s="462" t="s">
        <v>290</v>
      </c>
      <c r="F85" s="103">
        <v>0</v>
      </c>
      <c r="G85" s="103">
        <f>SUM('[3]ncr-SAOB'!AZ223)</f>
        <v>504481.74</v>
      </c>
      <c r="H85" s="103">
        <f>SUM('[3]ncr-SAOB'!AZ315)</f>
        <v>0</v>
      </c>
      <c r="I85" s="103">
        <f>+F85+G85+H85</f>
        <v>504481.74</v>
      </c>
      <c r="J85" s="103">
        <v>0</v>
      </c>
      <c r="K85" s="103">
        <f>SUM('[3]ncr-SAOB'!AZ224)</f>
        <v>504481.74</v>
      </c>
      <c r="L85" s="103">
        <f>SUM('[3]ncr-SAOB'!AZ316)</f>
        <v>0</v>
      </c>
      <c r="M85" s="103">
        <f>+J85+K85+L85</f>
        <v>504481.74</v>
      </c>
      <c r="N85" s="103">
        <f>+F85-J85</f>
        <v>0</v>
      </c>
      <c r="O85" s="103">
        <f>+G85-K85</f>
        <v>0</v>
      </c>
      <c r="P85" s="103">
        <f>+H85-L85</f>
        <v>0</v>
      </c>
      <c r="Q85" s="103">
        <f>+N85+O85+P85</f>
        <v>0</v>
      </c>
      <c r="R85" s="760">
        <f>Q85-'[3]ncr-SAOB'!AZ352</f>
        <v>0</v>
      </c>
      <c r="S85" s="267" t="str">
        <f t="shared" si="7"/>
        <v/>
      </c>
      <c r="T85" s="267">
        <f t="shared" si="7"/>
        <v>1</v>
      </c>
      <c r="U85" s="267" t="str">
        <f t="shared" si="7"/>
        <v/>
      </c>
      <c r="V85" s="267">
        <f t="shared" si="7"/>
        <v>1</v>
      </c>
      <c r="W85" s="530"/>
      <c r="X85" s="236"/>
      <c r="Y85" s="236" t="s">
        <v>598</v>
      </c>
      <c r="Z85" s="236"/>
    </row>
    <row r="86" spans="1:26" s="259" customFormat="1" ht="12" customHeight="1">
      <c r="A86" s="315" t="s">
        <v>102</v>
      </c>
      <c r="B86" s="315" t="s">
        <v>110</v>
      </c>
      <c r="C86" s="1096"/>
      <c r="D86" s="466"/>
      <c r="E86" s="1097" t="s">
        <v>4</v>
      </c>
      <c r="F86" s="652">
        <f>+F84+F82</f>
        <v>0</v>
      </c>
      <c r="G86" s="652">
        <f t="shared" ref="G86:Q86" si="30">+G84+G82</f>
        <v>504481.74</v>
      </c>
      <c r="H86" s="652">
        <f t="shared" si="30"/>
        <v>0</v>
      </c>
      <c r="I86" s="652">
        <f t="shared" si="30"/>
        <v>504481.74</v>
      </c>
      <c r="J86" s="652">
        <f t="shared" si="30"/>
        <v>0</v>
      </c>
      <c r="K86" s="652">
        <f t="shared" si="30"/>
        <v>504481.74</v>
      </c>
      <c r="L86" s="652">
        <f t="shared" si="30"/>
        <v>0</v>
      </c>
      <c r="M86" s="652">
        <f t="shared" si="30"/>
        <v>504481.74</v>
      </c>
      <c r="N86" s="652">
        <f t="shared" si="30"/>
        <v>0</v>
      </c>
      <c r="O86" s="652">
        <f t="shared" si="30"/>
        <v>0</v>
      </c>
      <c r="P86" s="652">
        <f t="shared" si="30"/>
        <v>0</v>
      </c>
      <c r="Q86" s="652">
        <f t="shared" si="30"/>
        <v>0</v>
      </c>
      <c r="R86" s="1095">
        <f>+Q86-'[3]ncr-SAOB'!CB352</f>
        <v>0</v>
      </c>
      <c r="S86" s="524" t="str">
        <f t="shared" si="7"/>
        <v/>
      </c>
      <c r="T86" s="524">
        <f t="shared" si="7"/>
        <v>1</v>
      </c>
      <c r="U86" s="524" t="str">
        <f t="shared" si="7"/>
        <v/>
      </c>
      <c r="V86" s="524">
        <f t="shared" si="7"/>
        <v>1</v>
      </c>
      <c r="W86" s="344"/>
      <c r="X86" s="520"/>
      <c r="Y86" s="837" t="s">
        <v>598</v>
      </c>
      <c r="Z86" s="241" t="s">
        <v>598</v>
      </c>
    </row>
    <row r="87" spans="1:26" s="660" customFormat="1" ht="18.75" hidden="1" customHeight="1">
      <c r="A87" s="273" t="s">
        <v>102</v>
      </c>
      <c r="B87" s="264" t="s">
        <v>56</v>
      </c>
      <c r="C87" s="1428" t="s">
        <v>595</v>
      </c>
      <c r="D87" s="1480"/>
      <c r="E87" s="1481"/>
      <c r="F87" s="659">
        <f>+F86+F75+F64+F53</f>
        <v>0</v>
      </c>
      <c r="G87" s="659">
        <f t="shared" ref="G87:Q87" si="31">+G86+G75+G64+G53</f>
        <v>23736381.910000004</v>
      </c>
      <c r="H87" s="659">
        <f t="shared" si="31"/>
        <v>0</v>
      </c>
      <c r="I87" s="659">
        <f t="shared" si="31"/>
        <v>23736381.910000004</v>
      </c>
      <c r="J87" s="659">
        <f t="shared" si="31"/>
        <v>0</v>
      </c>
      <c r="K87" s="659">
        <f t="shared" si="31"/>
        <v>22651298.280000001</v>
      </c>
      <c r="L87" s="659">
        <f t="shared" si="31"/>
        <v>0</v>
      </c>
      <c r="M87" s="659">
        <f t="shared" si="31"/>
        <v>22651298.280000001</v>
      </c>
      <c r="N87" s="659">
        <f t="shared" si="31"/>
        <v>0</v>
      </c>
      <c r="O87" s="659">
        <f t="shared" si="31"/>
        <v>1085083.6300000008</v>
      </c>
      <c r="P87" s="659">
        <f t="shared" si="31"/>
        <v>0</v>
      </c>
      <c r="Q87" s="659">
        <f t="shared" si="31"/>
        <v>1085083.6300000008</v>
      </c>
      <c r="R87" s="1098"/>
      <c r="S87" s="661" t="str">
        <f t="shared" si="7"/>
        <v/>
      </c>
      <c r="T87" s="661">
        <f t="shared" si="7"/>
        <v>0.95428605614308626</v>
      </c>
      <c r="U87" s="661" t="str">
        <f t="shared" si="7"/>
        <v/>
      </c>
      <c r="V87" s="661">
        <f t="shared" si="7"/>
        <v>0.95428605614308626</v>
      </c>
      <c r="W87" s="299"/>
      <c r="X87" s="520"/>
      <c r="Y87" s="833"/>
      <c r="Z87" s="241"/>
    </row>
    <row r="88" spans="1:26" ht="11.25" hidden="1" customHeight="1">
      <c r="A88" s="246" t="s">
        <v>102</v>
      </c>
      <c r="B88" s="246" t="s">
        <v>56</v>
      </c>
      <c r="C88" s="1016"/>
      <c r="D88" s="396"/>
      <c r="E88" s="806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S88" s="267" t="str">
        <f t="shared" ref="S88:V151" si="32">IF(F88=0,"",J88/F88)</f>
        <v/>
      </c>
      <c r="T88" s="267" t="str">
        <f t="shared" si="32"/>
        <v/>
      </c>
      <c r="U88" s="267" t="str">
        <f t="shared" si="32"/>
        <v/>
      </c>
      <c r="V88" s="267" t="str">
        <f t="shared" si="32"/>
        <v/>
      </c>
      <c r="W88" s="254"/>
      <c r="X88" s="520"/>
      <c r="Z88" s="241"/>
    </row>
    <row r="89" spans="1:26" s="275" customFormat="1" ht="11.25" hidden="1" customHeight="1">
      <c r="A89" s="246" t="s">
        <v>596</v>
      </c>
      <c r="B89" s="246" t="s">
        <v>597</v>
      </c>
      <c r="C89" s="408" t="s">
        <v>782</v>
      </c>
      <c r="D89" s="407"/>
      <c r="E89" s="408"/>
      <c r="F89" s="409"/>
      <c r="G89" s="409"/>
      <c r="H89" s="409"/>
      <c r="I89" s="409">
        <f>SUM(F89:H89)</f>
        <v>0</v>
      </c>
      <c r="J89" s="409"/>
      <c r="K89" s="409"/>
      <c r="L89" s="409"/>
      <c r="M89" s="409">
        <f>SUM(J89:L89)</f>
        <v>0</v>
      </c>
      <c r="N89" s="409">
        <f t="shared" si="13"/>
        <v>0</v>
      </c>
      <c r="O89" s="409">
        <f t="shared" si="13"/>
        <v>0</v>
      </c>
      <c r="P89" s="409">
        <f t="shared" si="13"/>
        <v>0</v>
      </c>
      <c r="Q89" s="409">
        <f>SUM(N89:P89)</f>
        <v>0</v>
      </c>
      <c r="R89" s="766"/>
      <c r="S89" s="521" t="str">
        <f t="shared" si="32"/>
        <v/>
      </c>
      <c r="T89" s="521" t="str">
        <f t="shared" si="32"/>
        <v/>
      </c>
      <c r="U89" s="521" t="str">
        <f t="shared" si="32"/>
        <v/>
      </c>
      <c r="V89" s="251" t="str">
        <f t="shared" si="32"/>
        <v/>
      </c>
      <c r="W89" s="254"/>
      <c r="X89" s="274" t="s">
        <v>598</v>
      </c>
      <c r="Y89" s="839"/>
      <c r="Z89" s="253"/>
    </row>
    <row r="90" spans="1:26" ht="12" hidden="1" customHeight="1">
      <c r="A90" s="315" t="s">
        <v>298</v>
      </c>
      <c r="B90" s="315" t="s">
        <v>56</v>
      </c>
      <c r="C90" s="447" t="s">
        <v>766</v>
      </c>
      <c r="D90" s="456" t="s">
        <v>98</v>
      </c>
      <c r="E90" s="447" t="s">
        <v>766</v>
      </c>
      <c r="F90" s="103">
        <f>+F30+F45+F56+F67+F78</f>
        <v>0</v>
      </c>
      <c r="G90" s="103">
        <f>+G30+G45+G56+G67+G78</f>
        <v>3530530.2999999975</v>
      </c>
      <c r="H90" s="103">
        <f>+H30+H45+H56+H67+H78</f>
        <v>0</v>
      </c>
      <c r="I90" s="103">
        <f t="shared" ref="I90:I141" si="33">+F90+G90+H90</f>
        <v>3530530.2999999975</v>
      </c>
      <c r="J90" s="103">
        <v>0</v>
      </c>
      <c r="K90" s="103">
        <f>+K30+K45+K56+K67+K78</f>
        <v>3528036.3500000006</v>
      </c>
      <c r="L90" s="103">
        <f>+L30+L45+L56+L67+L78</f>
        <v>0</v>
      </c>
      <c r="M90" s="103">
        <f t="shared" ref="M90:M141" si="34">+J90+K90+L90</f>
        <v>3528036.3500000006</v>
      </c>
      <c r="N90" s="103">
        <f t="shared" ref="N90:P141" si="35">+F90-J90</f>
        <v>0</v>
      </c>
      <c r="O90" s="103">
        <f t="shared" si="35"/>
        <v>2493.9499999969266</v>
      </c>
      <c r="P90" s="103">
        <f t="shared" si="35"/>
        <v>0</v>
      </c>
      <c r="Q90" s="103">
        <f t="shared" ref="Q90:Q141" si="36">+N90+O90+P90</f>
        <v>2493.9499999969266</v>
      </c>
      <c r="R90" s="760">
        <f>Q90-'[3]ncr-SAOB'!K352</f>
        <v>-4.6566128730773926E-10</v>
      </c>
      <c r="S90" s="267" t="str">
        <f t="shared" si="32"/>
        <v/>
      </c>
      <c r="T90" s="267">
        <f t="shared" si="32"/>
        <v>0.99929360470295436</v>
      </c>
      <c r="U90" s="267" t="str">
        <f t="shared" si="32"/>
        <v/>
      </c>
      <c r="V90" s="267">
        <f t="shared" si="32"/>
        <v>0.99929360470295436</v>
      </c>
      <c r="W90" s="267"/>
      <c r="X90" s="237" t="s">
        <v>598</v>
      </c>
    </row>
    <row r="91" spans="1:26" ht="12" hidden="1" customHeight="1">
      <c r="A91" s="315" t="s">
        <v>298</v>
      </c>
      <c r="B91" s="315" t="s">
        <v>56</v>
      </c>
      <c r="C91" s="456"/>
      <c r="D91" s="456" t="s">
        <v>98</v>
      </c>
      <c r="E91" s="453" t="s">
        <v>50</v>
      </c>
      <c r="F91" s="103">
        <f>+F92+F93</f>
        <v>0</v>
      </c>
      <c r="G91" s="103">
        <f>+G92+G93</f>
        <v>34525412.530000001</v>
      </c>
      <c r="H91" s="103">
        <f>+H92+H93</f>
        <v>4145016.33</v>
      </c>
      <c r="I91" s="103">
        <f t="shared" si="33"/>
        <v>38670428.859999999</v>
      </c>
      <c r="J91" s="103">
        <f>+J92+J93</f>
        <v>0</v>
      </c>
      <c r="K91" s="103">
        <f>+K92+K93</f>
        <v>26000437.180000003</v>
      </c>
      <c r="L91" s="103">
        <f>+L92+L93</f>
        <v>189808</v>
      </c>
      <c r="M91" s="103">
        <f t="shared" si="34"/>
        <v>26190245.180000003</v>
      </c>
      <c r="N91" s="103">
        <f t="shared" si="35"/>
        <v>0</v>
      </c>
      <c r="O91" s="103">
        <f t="shared" si="35"/>
        <v>8524975.3499999978</v>
      </c>
      <c r="P91" s="103">
        <f t="shared" si="35"/>
        <v>3955208.33</v>
      </c>
      <c r="Q91" s="103">
        <f t="shared" si="36"/>
        <v>12480183.679999998</v>
      </c>
      <c r="S91" s="267" t="str">
        <f t="shared" si="32"/>
        <v/>
      </c>
      <c r="T91" s="267">
        <f t="shared" si="32"/>
        <v>0.75308114442970286</v>
      </c>
      <c r="U91" s="267">
        <f t="shared" si="32"/>
        <v>4.5791858195164216E-2</v>
      </c>
      <c r="V91" s="267">
        <f t="shared" si="32"/>
        <v>0.67726803017410353</v>
      </c>
      <c r="W91" s="267"/>
      <c r="X91" s="237" t="s">
        <v>598</v>
      </c>
    </row>
    <row r="92" spans="1:26" ht="12" hidden="1" customHeight="1">
      <c r="A92" s="315" t="s">
        <v>298</v>
      </c>
      <c r="B92" s="315" t="s">
        <v>56</v>
      </c>
      <c r="C92" s="458" t="s">
        <v>715</v>
      </c>
      <c r="D92" s="458" t="s">
        <v>715</v>
      </c>
      <c r="E92" s="447" t="s">
        <v>715</v>
      </c>
      <c r="F92" s="103">
        <f t="shared" ref="F92:H93" si="37">+F35+F47+F58+F69+F80</f>
        <v>0</v>
      </c>
      <c r="G92" s="103">
        <f t="shared" si="37"/>
        <v>-1337274.04</v>
      </c>
      <c r="H92" s="103">
        <f t="shared" si="37"/>
        <v>770000</v>
      </c>
      <c r="I92" s="103">
        <f t="shared" si="33"/>
        <v>-567274.04</v>
      </c>
      <c r="J92" s="103">
        <f t="shared" ref="J92:L93" si="38">+J35+J47+J58+J69+J80</f>
        <v>0</v>
      </c>
      <c r="K92" s="103">
        <f t="shared" si="38"/>
        <v>6518073.7599999988</v>
      </c>
      <c r="L92" s="103">
        <f t="shared" si="38"/>
        <v>0</v>
      </c>
      <c r="M92" s="103">
        <f t="shared" si="34"/>
        <v>6518073.7599999988</v>
      </c>
      <c r="N92" s="103">
        <f t="shared" si="35"/>
        <v>0</v>
      </c>
      <c r="O92" s="103">
        <f t="shared" si="35"/>
        <v>-7855347.7999999989</v>
      </c>
      <c r="P92" s="103">
        <f t="shared" si="35"/>
        <v>770000</v>
      </c>
      <c r="Q92" s="103">
        <f t="shared" si="36"/>
        <v>-7085347.7999999989</v>
      </c>
      <c r="S92" s="267" t="str">
        <f t="shared" si="32"/>
        <v/>
      </c>
      <c r="T92" s="267">
        <f t="shared" si="32"/>
        <v>-4.8741496245601228</v>
      </c>
      <c r="U92" s="267">
        <f t="shared" si="32"/>
        <v>0</v>
      </c>
      <c r="V92" s="267">
        <f t="shared" si="32"/>
        <v>-11.490167538778962</v>
      </c>
      <c r="W92" s="267"/>
      <c r="X92" s="237" t="s">
        <v>598</v>
      </c>
    </row>
    <row r="93" spans="1:26" ht="12" hidden="1" customHeight="1">
      <c r="A93" s="315" t="s">
        <v>298</v>
      </c>
      <c r="B93" s="315" t="s">
        <v>56</v>
      </c>
      <c r="C93" s="458" t="s">
        <v>716</v>
      </c>
      <c r="D93" s="458" t="s">
        <v>716</v>
      </c>
      <c r="E93" s="459" t="s">
        <v>716</v>
      </c>
      <c r="F93" s="103">
        <f t="shared" si="37"/>
        <v>0</v>
      </c>
      <c r="G93" s="103">
        <f t="shared" si="37"/>
        <v>35862686.57</v>
      </c>
      <c r="H93" s="103">
        <f t="shared" si="37"/>
        <v>3375016.33</v>
      </c>
      <c r="I93" s="103">
        <f t="shared" si="33"/>
        <v>39237702.899999999</v>
      </c>
      <c r="J93" s="103">
        <f t="shared" si="38"/>
        <v>0</v>
      </c>
      <c r="K93" s="103">
        <f t="shared" si="38"/>
        <v>19482363.420000006</v>
      </c>
      <c r="L93" s="103">
        <f t="shared" si="38"/>
        <v>189808</v>
      </c>
      <c r="M93" s="103">
        <f t="shared" si="34"/>
        <v>19672171.420000006</v>
      </c>
      <c r="N93" s="103">
        <f t="shared" si="35"/>
        <v>0</v>
      </c>
      <c r="O93" s="103">
        <f t="shared" si="35"/>
        <v>16380323.149999995</v>
      </c>
      <c r="P93" s="103">
        <f t="shared" si="35"/>
        <v>3185208.33</v>
      </c>
      <c r="Q93" s="103">
        <f t="shared" si="36"/>
        <v>19565531.479999997</v>
      </c>
      <c r="S93" s="267" t="str">
        <f t="shared" si="32"/>
        <v/>
      </c>
      <c r="T93" s="267">
        <f t="shared" si="32"/>
        <v>0.54324885510104171</v>
      </c>
      <c r="U93" s="267">
        <f t="shared" si="32"/>
        <v>5.6239135293309823E-2</v>
      </c>
      <c r="V93" s="267">
        <f t="shared" si="32"/>
        <v>0.50135889631806163</v>
      </c>
      <c r="W93" s="267"/>
      <c r="X93" s="237" t="s">
        <v>598</v>
      </c>
    </row>
    <row r="94" spans="1:26" s="256" customFormat="1" ht="12" hidden="1" customHeight="1">
      <c r="A94" s="315"/>
      <c r="B94" s="315" t="s">
        <v>56</v>
      </c>
      <c r="C94" s="460"/>
      <c r="D94" s="460"/>
      <c r="E94" s="390" t="s">
        <v>767</v>
      </c>
      <c r="F94" s="391">
        <f>+F91+F90</f>
        <v>0</v>
      </c>
      <c r="G94" s="391">
        <f t="shared" ref="G94:Q94" si="39">+G91+G90</f>
        <v>38055942.829999998</v>
      </c>
      <c r="H94" s="391">
        <f t="shared" si="39"/>
        <v>4145016.33</v>
      </c>
      <c r="I94" s="391">
        <f t="shared" si="39"/>
        <v>42200959.159999996</v>
      </c>
      <c r="J94" s="391">
        <f t="shared" si="39"/>
        <v>0</v>
      </c>
      <c r="K94" s="391">
        <f t="shared" si="39"/>
        <v>29528473.530000005</v>
      </c>
      <c r="L94" s="391">
        <f t="shared" si="39"/>
        <v>189808</v>
      </c>
      <c r="M94" s="391">
        <f t="shared" si="39"/>
        <v>29718281.530000005</v>
      </c>
      <c r="N94" s="391">
        <f t="shared" si="39"/>
        <v>0</v>
      </c>
      <c r="O94" s="391">
        <f t="shared" si="39"/>
        <v>8527469.2999999952</v>
      </c>
      <c r="P94" s="391">
        <f t="shared" si="39"/>
        <v>3955208.33</v>
      </c>
      <c r="Q94" s="391">
        <f t="shared" si="39"/>
        <v>12482677.629999995</v>
      </c>
      <c r="R94" s="761"/>
      <c r="S94" s="267" t="str">
        <f t="shared" si="32"/>
        <v/>
      </c>
      <c r="T94" s="267">
        <f t="shared" si="32"/>
        <v>0.77592279507846862</v>
      </c>
      <c r="U94" s="267">
        <f t="shared" si="32"/>
        <v>4.5791858195164216E-2</v>
      </c>
      <c r="V94" s="267">
        <f t="shared" si="32"/>
        <v>0.70420867491012751</v>
      </c>
      <c r="W94" s="263"/>
      <c r="X94" s="237" t="s">
        <v>598</v>
      </c>
      <c r="Y94" s="840"/>
      <c r="Z94" s="241"/>
    </row>
    <row r="95" spans="1:26" ht="12" hidden="1" customHeight="1">
      <c r="A95" s="315"/>
      <c r="B95" s="315"/>
      <c r="C95" s="456"/>
      <c r="D95" s="456"/>
      <c r="E95" s="461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S95" s="267" t="str">
        <f t="shared" si="32"/>
        <v/>
      </c>
      <c r="T95" s="267" t="str">
        <f t="shared" si="32"/>
        <v/>
      </c>
      <c r="U95" s="267" t="str">
        <f t="shared" si="32"/>
        <v/>
      </c>
      <c r="V95" s="267" t="str">
        <f t="shared" si="32"/>
        <v/>
      </c>
      <c r="W95" s="267"/>
      <c r="X95" s="237" t="s">
        <v>598</v>
      </c>
    </row>
    <row r="96" spans="1:26" s="256" customFormat="1" ht="12" hidden="1" customHeight="1">
      <c r="A96" s="315" t="s">
        <v>298</v>
      </c>
      <c r="B96" s="315" t="s">
        <v>56</v>
      </c>
      <c r="C96" s="460"/>
      <c r="D96" s="460" t="s">
        <v>98</v>
      </c>
      <c r="E96" s="390" t="s">
        <v>100</v>
      </c>
      <c r="F96" s="391">
        <f>SUM(F97:F97)</f>
        <v>0</v>
      </c>
      <c r="G96" s="391">
        <f>SUM(G97:G97)</f>
        <v>13370602.01</v>
      </c>
      <c r="H96" s="391">
        <f>SUM(H97:H97)</f>
        <v>0</v>
      </c>
      <c r="I96" s="391">
        <f>+F96+G96+H96</f>
        <v>13370602.01</v>
      </c>
      <c r="J96" s="391">
        <v>0</v>
      </c>
      <c r="K96" s="391">
        <f>SUM(K97:K97)</f>
        <v>13113926.510000002</v>
      </c>
      <c r="L96" s="391">
        <f>SUM(L97:L97)</f>
        <v>0</v>
      </c>
      <c r="M96" s="391">
        <f>+J96+K96+L96</f>
        <v>13113926.510000002</v>
      </c>
      <c r="N96" s="391">
        <f t="shared" ref="N96:P97" si="40">+F96-J96</f>
        <v>0</v>
      </c>
      <c r="O96" s="391">
        <f t="shared" si="40"/>
        <v>256675.49999999814</v>
      </c>
      <c r="P96" s="391">
        <f t="shared" si="40"/>
        <v>0</v>
      </c>
      <c r="Q96" s="391">
        <f>+N96+O96+P96</f>
        <v>256675.49999999814</v>
      </c>
      <c r="R96" s="761"/>
      <c r="S96" s="267" t="str">
        <f t="shared" si="32"/>
        <v/>
      </c>
      <c r="T96" s="267">
        <f t="shared" si="32"/>
        <v>0.98080299602007237</v>
      </c>
      <c r="U96" s="267" t="str">
        <f t="shared" si="32"/>
        <v/>
      </c>
      <c r="V96" s="267">
        <f t="shared" si="32"/>
        <v>0.98080299602007237</v>
      </c>
      <c r="W96" s="263"/>
      <c r="X96" s="237" t="s">
        <v>598</v>
      </c>
      <c r="Y96" s="840"/>
      <c r="Z96" s="241"/>
    </row>
    <row r="97" spans="1:26" ht="12" hidden="1" customHeight="1">
      <c r="A97" s="315" t="s">
        <v>298</v>
      </c>
      <c r="B97" s="315" t="s">
        <v>56</v>
      </c>
      <c r="C97" s="456"/>
      <c r="D97" s="456"/>
      <c r="E97" s="462" t="s">
        <v>290</v>
      </c>
      <c r="F97" s="103">
        <f>+F40+F52+F63+F74+F85</f>
        <v>0</v>
      </c>
      <c r="G97" s="103">
        <f>+G40+G52+G63+G74+G85</f>
        <v>13370602.01</v>
      </c>
      <c r="H97" s="103">
        <f>+H40+H52+H63+H74+H85</f>
        <v>0</v>
      </c>
      <c r="I97" s="103">
        <f>+F97+G97+H97</f>
        <v>13370602.01</v>
      </c>
      <c r="J97" s="103">
        <f>+J40+J52+J63+J74+J85</f>
        <v>0</v>
      </c>
      <c r="K97" s="103">
        <f>+K40+K52+K63+K74+K85</f>
        <v>13113926.510000002</v>
      </c>
      <c r="L97" s="103">
        <f>+L40+L52+L63+L74+L85</f>
        <v>0</v>
      </c>
      <c r="M97" s="103">
        <f>+J97+K97+L97</f>
        <v>13113926.510000002</v>
      </c>
      <c r="N97" s="103">
        <f t="shared" si="40"/>
        <v>0</v>
      </c>
      <c r="O97" s="103">
        <f t="shared" si="40"/>
        <v>256675.49999999814</v>
      </c>
      <c r="P97" s="103">
        <f t="shared" si="40"/>
        <v>0</v>
      </c>
      <c r="Q97" s="103">
        <f>+N97+O97+P97</f>
        <v>256675.49999999814</v>
      </c>
      <c r="S97" s="267" t="str">
        <f t="shared" si="32"/>
        <v/>
      </c>
      <c r="T97" s="267">
        <f t="shared" si="32"/>
        <v>0.98080299602007237</v>
      </c>
      <c r="U97" s="267" t="str">
        <f t="shared" si="32"/>
        <v/>
      </c>
      <c r="V97" s="267">
        <f t="shared" si="32"/>
        <v>0.98080299602007237</v>
      </c>
      <c r="W97" s="267"/>
      <c r="X97" s="237" t="s">
        <v>598</v>
      </c>
    </row>
    <row r="98" spans="1:26" s="266" customFormat="1" ht="26.25" customHeight="1">
      <c r="A98" s="291" t="s">
        <v>298</v>
      </c>
      <c r="B98" s="291" t="s">
        <v>56</v>
      </c>
      <c r="C98" s="1470" t="s">
        <v>599</v>
      </c>
      <c r="D98" s="1482"/>
      <c r="E98" s="1472"/>
      <c r="F98" s="666">
        <f>+F96+F94</f>
        <v>0</v>
      </c>
      <c r="G98" s="666">
        <f t="shared" ref="G98:Q98" si="41">+G96+G94</f>
        <v>51426544.839999996</v>
      </c>
      <c r="H98" s="666">
        <f t="shared" si="41"/>
        <v>4145016.33</v>
      </c>
      <c r="I98" s="666">
        <f t="shared" si="41"/>
        <v>55571561.169999994</v>
      </c>
      <c r="J98" s="666">
        <f t="shared" si="41"/>
        <v>0</v>
      </c>
      <c r="K98" s="666">
        <f t="shared" si="41"/>
        <v>42642400.040000007</v>
      </c>
      <c r="L98" s="666">
        <f t="shared" si="41"/>
        <v>189808</v>
      </c>
      <c r="M98" s="666">
        <f t="shared" si="41"/>
        <v>42832208.040000007</v>
      </c>
      <c r="N98" s="666">
        <f t="shared" si="41"/>
        <v>0</v>
      </c>
      <c r="O98" s="666">
        <f t="shared" si="41"/>
        <v>8784144.7999999933</v>
      </c>
      <c r="P98" s="666">
        <f t="shared" si="41"/>
        <v>3955208.33</v>
      </c>
      <c r="Q98" s="666">
        <f t="shared" si="41"/>
        <v>12739353.129999993</v>
      </c>
      <c r="R98" s="1099">
        <f>Q98-'[3]ncr-SAOB'!BH352</f>
        <v>0</v>
      </c>
      <c r="S98" s="525" t="str">
        <f t="shared" si="32"/>
        <v/>
      </c>
      <c r="T98" s="525">
        <f t="shared" si="32"/>
        <v>0.82919045354243581</v>
      </c>
      <c r="U98" s="525">
        <f t="shared" si="32"/>
        <v>4.5791858195164216E-2</v>
      </c>
      <c r="V98" s="525">
        <f t="shared" si="32"/>
        <v>0.77075768861290772</v>
      </c>
      <c r="W98" s="345"/>
      <c r="X98" s="237" t="s">
        <v>598</v>
      </c>
      <c r="Y98" s="837" t="s">
        <v>598</v>
      </c>
      <c r="Z98" s="241" t="s">
        <v>598</v>
      </c>
    </row>
    <row r="99" spans="1:26" ht="12" customHeight="1">
      <c r="A99" s="315" t="s">
        <v>298</v>
      </c>
      <c r="B99" s="315" t="s">
        <v>56</v>
      </c>
      <c r="C99" s="456"/>
      <c r="D99" s="456"/>
      <c r="E99" s="411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S99" s="267" t="str">
        <f t="shared" si="32"/>
        <v/>
      </c>
      <c r="T99" s="267" t="str">
        <f t="shared" si="32"/>
        <v/>
      </c>
      <c r="U99" s="267" t="str">
        <f t="shared" si="32"/>
        <v/>
      </c>
      <c r="V99" s="267" t="str">
        <f t="shared" si="32"/>
        <v/>
      </c>
      <c r="W99" s="267"/>
      <c r="Y99" s="837" t="s">
        <v>598</v>
      </c>
      <c r="Z99" s="241" t="s">
        <v>598</v>
      </c>
    </row>
    <row r="100" spans="1:26" ht="11.25" customHeight="1">
      <c r="A100" s="528" t="s">
        <v>601</v>
      </c>
      <c r="B100" s="528" t="s">
        <v>113</v>
      </c>
      <c r="C100" s="408"/>
      <c r="D100" s="669"/>
      <c r="E100" s="408" t="s">
        <v>113</v>
      </c>
      <c r="F100" s="104"/>
      <c r="G100" s="104"/>
      <c r="H100" s="104"/>
      <c r="I100" s="103">
        <f>SUM(F100:H100)</f>
        <v>0</v>
      </c>
      <c r="J100" s="104"/>
      <c r="K100" s="104"/>
      <c r="L100" s="104"/>
      <c r="M100" s="103">
        <f>SUM(J100:L100)</f>
        <v>0</v>
      </c>
      <c r="N100" s="103">
        <f t="shared" si="35"/>
        <v>0</v>
      </c>
      <c r="O100" s="103">
        <f t="shared" si="35"/>
        <v>0</v>
      </c>
      <c r="P100" s="103">
        <f t="shared" si="35"/>
        <v>0</v>
      </c>
      <c r="Q100" s="103">
        <f>SUM(N100:P100)</f>
        <v>0</v>
      </c>
      <c r="S100" s="267" t="str">
        <f t="shared" si="32"/>
        <v/>
      </c>
      <c r="T100" s="267" t="str">
        <f t="shared" si="32"/>
        <v/>
      </c>
      <c r="U100" s="267" t="str">
        <f t="shared" si="32"/>
        <v/>
      </c>
      <c r="V100" s="267" t="str">
        <f t="shared" si="32"/>
        <v/>
      </c>
      <c r="W100" s="531"/>
      <c r="X100" s="236"/>
      <c r="Y100" s="236" t="s">
        <v>598</v>
      </c>
      <c r="Z100" s="240" t="s">
        <v>598</v>
      </c>
    </row>
    <row r="101" spans="1:26" ht="12" customHeight="1">
      <c r="A101" s="548" t="s">
        <v>112</v>
      </c>
      <c r="B101" s="548" t="s">
        <v>113</v>
      </c>
      <c r="C101" s="447" t="s">
        <v>766</v>
      </c>
      <c r="D101" s="549"/>
      <c r="E101" s="447" t="s">
        <v>766</v>
      </c>
      <c r="F101" s="103">
        <f>+'[3]car-SAOB'!C442</f>
        <v>0</v>
      </c>
      <c r="G101" s="103">
        <f>+'[3]car-SAOB'!D442</f>
        <v>226908.83000000002</v>
      </c>
      <c r="H101" s="103">
        <f>+'[3]car-SAOB'!E442</f>
        <v>1237960</v>
      </c>
      <c r="I101" s="103">
        <f t="shared" si="33"/>
        <v>1464868.83</v>
      </c>
      <c r="J101" s="103">
        <v>0</v>
      </c>
      <c r="K101" s="103">
        <f>+'[3]car-SAOB'!H442</f>
        <v>226908.83000000002</v>
      </c>
      <c r="L101" s="103">
        <f>+'[3]car-SAOB'!I442</f>
        <v>1188000.03</v>
      </c>
      <c r="M101" s="103">
        <f t="shared" si="34"/>
        <v>1414908.86</v>
      </c>
      <c r="N101" s="103">
        <f t="shared" si="35"/>
        <v>0</v>
      </c>
      <c r="O101" s="103">
        <f t="shared" si="35"/>
        <v>0</v>
      </c>
      <c r="P101" s="103">
        <f t="shared" si="35"/>
        <v>49959.969999999972</v>
      </c>
      <c r="Q101" s="103">
        <f t="shared" si="36"/>
        <v>49959.969999999972</v>
      </c>
      <c r="R101" s="760">
        <f>Q101-'[3]car-SAOB'!F352</f>
        <v>0</v>
      </c>
      <c r="S101" s="267" t="str">
        <f t="shared" si="32"/>
        <v/>
      </c>
      <c r="T101" s="267">
        <f t="shared" si="32"/>
        <v>1</v>
      </c>
      <c r="U101" s="267">
        <f t="shared" si="32"/>
        <v>0.95964330834598854</v>
      </c>
      <c r="V101" s="267">
        <f t="shared" si="32"/>
        <v>0.96589457774181731</v>
      </c>
      <c r="W101" s="530"/>
      <c r="X101" s="236"/>
      <c r="Y101" s="236" t="s">
        <v>688</v>
      </c>
      <c r="Z101" s="236"/>
    </row>
    <row r="102" spans="1:26" ht="12" hidden="1" customHeight="1">
      <c r="A102" s="548" t="s">
        <v>112</v>
      </c>
      <c r="B102" s="548" t="s">
        <v>113</v>
      </c>
      <c r="C102" s="457" t="s">
        <v>775</v>
      </c>
      <c r="D102" s="549" t="s">
        <v>98</v>
      </c>
      <c r="E102" s="406" t="s">
        <v>775</v>
      </c>
      <c r="F102" s="103">
        <v>0</v>
      </c>
      <c r="G102" s="103">
        <f>+'[3]car-SAOB'!C223</f>
        <v>55388.33</v>
      </c>
      <c r="H102" s="103">
        <f>+'[3]car-SAOB'!C315</f>
        <v>1237960</v>
      </c>
      <c r="I102" s="103">
        <f t="shared" si="33"/>
        <v>1293348.33</v>
      </c>
      <c r="J102" s="103">
        <v>0</v>
      </c>
      <c r="K102" s="103">
        <f>+'[3]car-SAOB'!C224</f>
        <v>55388.33</v>
      </c>
      <c r="L102" s="103">
        <f>+'[3]car-SAOB'!C316</f>
        <v>1188000.03</v>
      </c>
      <c r="M102" s="103">
        <f t="shared" si="34"/>
        <v>1243388.3600000001</v>
      </c>
      <c r="N102" s="103">
        <f t="shared" si="35"/>
        <v>0</v>
      </c>
      <c r="O102" s="103">
        <f t="shared" si="35"/>
        <v>0</v>
      </c>
      <c r="P102" s="103">
        <f t="shared" si="35"/>
        <v>49959.969999999972</v>
      </c>
      <c r="Q102" s="103">
        <f t="shared" si="36"/>
        <v>49959.969999999972</v>
      </c>
      <c r="R102" s="760">
        <f>Q102-'[3]car-SAOB'!C352</f>
        <v>0</v>
      </c>
      <c r="S102" s="267" t="str">
        <f t="shared" si="32"/>
        <v/>
      </c>
      <c r="T102" s="267">
        <f t="shared" si="32"/>
        <v>1</v>
      </c>
      <c r="U102" s="267">
        <f t="shared" si="32"/>
        <v>0.95964330834598854</v>
      </c>
      <c r="V102" s="267">
        <f t="shared" si="32"/>
        <v>0.96137160512667152</v>
      </c>
      <c r="W102" s="530"/>
      <c r="X102" s="236"/>
      <c r="Y102" s="236"/>
      <c r="Z102" s="236"/>
    </row>
    <row r="103" spans="1:26" ht="12" hidden="1" customHeight="1">
      <c r="A103" s="548" t="s">
        <v>112</v>
      </c>
      <c r="B103" s="548" t="s">
        <v>113</v>
      </c>
      <c r="C103" s="456"/>
      <c r="D103" s="549" t="s">
        <v>98</v>
      </c>
      <c r="E103" s="406" t="s">
        <v>776</v>
      </c>
      <c r="F103" s="103">
        <v>0</v>
      </c>
      <c r="G103" s="103">
        <f>+'[3]car-SAOB'!D223</f>
        <v>70439.399999999994</v>
      </c>
      <c r="H103" s="103">
        <f>+'[3]car-SAOB'!D315</f>
        <v>0</v>
      </c>
      <c r="I103" s="103">
        <f t="shared" si="33"/>
        <v>70439.399999999994</v>
      </c>
      <c r="J103" s="103">
        <v>0</v>
      </c>
      <c r="K103" s="103">
        <f>+'[3]car-SAOB'!D224</f>
        <v>70439.399999999994</v>
      </c>
      <c r="L103" s="103">
        <f>+'[3]car-SAOB'!D316</f>
        <v>0</v>
      </c>
      <c r="M103" s="103">
        <f t="shared" si="34"/>
        <v>70439.399999999994</v>
      </c>
      <c r="N103" s="103">
        <f t="shared" si="35"/>
        <v>0</v>
      </c>
      <c r="O103" s="103">
        <f t="shared" si="35"/>
        <v>0</v>
      </c>
      <c r="P103" s="103">
        <f t="shared" si="35"/>
        <v>0</v>
      </c>
      <c r="Q103" s="103">
        <f t="shared" si="36"/>
        <v>0</v>
      </c>
      <c r="R103" s="760">
        <f>Q103-'[3]car-SAOB'!D352</f>
        <v>0</v>
      </c>
      <c r="S103" s="267" t="str">
        <f t="shared" si="32"/>
        <v/>
      </c>
      <c r="T103" s="267">
        <f t="shared" si="32"/>
        <v>1</v>
      </c>
      <c r="U103" s="267" t="str">
        <f t="shared" si="32"/>
        <v/>
      </c>
      <c r="V103" s="267">
        <f t="shared" si="32"/>
        <v>1</v>
      </c>
      <c r="W103" s="530"/>
      <c r="X103" s="236"/>
      <c r="Y103" s="236"/>
      <c r="Z103" s="236"/>
    </row>
    <row r="104" spans="1:26" ht="12" hidden="1" customHeight="1">
      <c r="A104" s="548" t="s">
        <v>112</v>
      </c>
      <c r="B104" s="548" t="s">
        <v>113</v>
      </c>
      <c r="C104" s="456"/>
      <c r="D104" s="549" t="s">
        <v>98</v>
      </c>
      <c r="E104" s="406" t="s">
        <v>777</v>
      </c>
      <c r="F104" s="103">
        <v>0</v>
      </c>
      <c r="G104" s="103">
        <f>+'[3]car-SAOB'!E223</f>
        <v>101081.1</v>
      </c>
      <c r="H104" s="103">
        <f>+'[3]car-SAOB'!E315</f>
        <v>0</v>
      </c>
      <c r="I104" s="103">
        <f t="shared" si="33"/>
        <v>101081.1</v>
      </c>
      <c r="J104" s="103">
        <v>0</v>
      </c>
      <c r="K104" s="103">
        <f>+'[3]car-SAOB'!E224</f>
        <v>101081.1</v>
      </c>
      <c r="L104" s="103">
        <f>+'[3]car-SAOB'!E316</f>
        <v>0</v>
      </c>
      <c r="M104" s="103">
        <f t="shared" si="34"/>
        <v>101081.1</v>
      </c>
      <c r="N104" s="103">
        <f t="shared" si="35"/>
        <v>0</v>
      </c>
      <c r="O104" s="103">
        <f t="shared" si="35"/>
        <v>0</v>
      </c>
      <c r="P104" s="103">
        <f t="shared" si="35"/>
        <v>0</v>
      </c>
      <c r="Q104" s="103">
        <f t="shared" si="36"/>
        <v>0</v>
      </c>
      <c r="S104" s="267" t="str">
        <f t="shared" si="32"/>
        <v/>
      </c>
      <c r="T104" s="267">
        <f t="shared" si="32"/>
        <v>1</v>
      </c>
      <c r="U104" s="267" t="str">
        <f t="shared" si="32"/>
        <v/>
      </c>
      <c r="V104" s="267">
        <f t="shared" si="32"/>
        <v>1</v>
      </c>
      <c r="W104" s="530"/>
      <c r="X104" s="236"/>
      <c r="Y104" s="236"/>
      <c r="Z104" s="236"/>
    </row>
    <row r="105" spans="1:26" ht="12" customHeight="1">
      <c r="A105" s="548" t="s">
        <v>112</v>
      </c>
      <c r="B105" s="548" t="s">
        <v>113</v>
      </c>
      <c r="C105" s="456"/>
      <c r="D105" s="549"/>
      <c r="E105" s="453" t="s">
        <v>50</v>
      </c>
      <c r="F105" s="103">
        <f>+F106+F107</f>
        <v>0</v>
      </c>
      <c r="G105" s="103">
        <f>+G106+G107</f>
        <v>7804106.919999999</v>
      </c>
      <c r="H105" s="103">
        <f>+H106+H107</f>
        <v>152062942.78</v>
      </c>
      <c r="I105" s="103">
        <f t="shared" si="33"/>
        <v>159867049.69999999</v>
      </c>
      <c r="J105" s="103">
        <f>+J106+J107</f>
        <v>0</v>
      </c>
      <c r="K105" s="103">
        <f>+K106+K107</f>
        <v>7556806.3700000001</v>
      </c>
      <c r="L105" s="103">
        <f>+L106+L107</f>
        <v>123544037.11</v>
      </c>
      <c r="M105" s="103">
        <f t="shared" si="34"/>
        <v>131100843.48</v>
      </c>
      <c r="N105" s="103">
        <f t="shared" si="35"/>
        <v>0</v>
      </c>
      <c r="O105" s="103">
        <f t="shared" si="35"/>
        <v>247300.54999999888</v>
      </c>
      <c r="P105" s="103">
        <f t="shared" si="35"/>
        <v>28518905.670000002</v>
      </c>
      <c r="Q105" s="103">
        <f t="shared" si="36"/>
        <v>28766206.219999999</v>
      </c>
      <c r="S105" s="267" t="str">
        <f t="shared" si="32"/>
        <v/>
      </c>
      <c r="T105" s="267">
        <f t="shared" si="32"/>
        <v>0.96831148617835716</v>
      </c>
      <c r="U105" s="267">
        <f t="shared" si="32"/>
        <v>0.81245328316932364</v>
      </c>
      <c r="V105" s="267">
        <f t="shared" si="32"/>
        <v>0.82006169330089296</v>
      </c>
      <c r="W105" s="530"/>
      <c r="X105" s="236"/>
      <c r="Y105" s="236" t="s">
        <v>688</v>
      </c>
      <c r="Z105" s="236"/>
    </row>
    <row r="106" spans="1:26" ht="12" hidden="1" customHeight="1">
      <c r="A106" s="548" t="s">
        <v>112</v>
      </c>
      <c r="B106" s="548" t="s">
        <v>113</v>
      </c>
      <c r="C106" s="458" t="s">
        <v>715</v>
      </c>
      <c r="D106" s="550" t="s">
        <v>715</v>
      </c>
      <c r="E106" s="447" t="s">
        <v>715</v>
      </c>
      <c r="F106" s="103">
        <f>'[3]CONAP - W INC'!F68</f>
        <v>0</v>
      </c>
      <c r="G106" s="103">
        <f>'[3]CONAP - W INC'!G68</f>
        <v>-1586949.1200000001</v>
      </c>
      <c r="H106" s="103">
        <f>'[3]CONAP - W INC'!H68</f>
        <v>11498400</v>
      </c>
      <c r="I106" s="103">
        <f t="shared" si="33"/>
        <v>9911450.879999999</v>
      </c>
      <c r="J106" s="103">
        <f>'[3]CONAP - W INC'!J68</f>
        <v>0</v>
      </c>
      <c r="K106" s="103">
        <f>'[3]CONAP - W INC'!K68</f>
        <v>3000000</v>
      </c>
      <c r="L106" s="103">
        <f>'[3]CONAP - W INC'!L68</f>
        <v>9105870</v>
      </c>
      <c r="M106" s="103">
        <f t="shared" si="34"/>
        <v>12105870</v>
      </c>
      <c r="N106" s="103">
        <f t="shared" si="35"/>
        <v>0</v>
      </c>
      <c r="O106" s="103">
        <f t="shared" si="35"/>
        <v>-4586949.12</v>
      </c>
      <c r="P106" s="103">
        <f t="shared" si="35"/>
        <v>2392530</v>
      </c>
      <c r="Q106" s="103">
        <f t="shared" si="36"/>
        <v>-2194419.12</v>
      </c>
      <c r="S106" s="267" t="str">
        <f t="shared" si="32"/>
        <v/>
      </c>
      <c r="T106" s="267">
        <f t="shared" si="32"/>
        <v>-1.8904197760291142</v>
      </c>
      <c r="U106" s="267">
        <f t="shared" si="32"/>
        <v>0.79192496347317887</v>
      </c>
      <c r="V106" s="267">
        <f t="shared" si="32"/>
        <v>1.2214024108647958</v>
      </c>
      <c r="W106" s="530"/>
      <c r="X106" s="236"/>
      <c r="Y106" s="236"/>
      <c r="Z106" s="236"/>
    </row>
    <row r="107" spans="1:26" ht="12" hidden="1" customHeight="1">
      <c r="A107" s="548" t="s">
        <v>112</v>
      </c>
      <c r="B107" s="548" t="s">
        <v>113</v>
      </c>
      <c r="C107" s="458" t="s">
        <v>716</v>
      </c>
      <c r="D107" s="550" t="s">
        <v>716</v>
      </c>
      <c r="E107" s="459" t="s">
        <v>716</v>
      </c>
      <c r="F107" s="103">
        <f>'[3]CONAP - W INC'!F69</f>
        <v>0</v>
      </c>
      <c r="G107" s="103">
        <f>'[3]CONAP - W INC'!G69</f>
        <v>9391056.0399999991</v>
      </c>
      <c r="H107" s="103">
        <f>'[3]CONAP - W INC'!H69</f>
        <v>140564542.78</v>
      </c>
      <c r="I107" s="103">
        <f t="shared" si="33"/>
        <v>149955598.81999999</v>
      </c>
      <c r="J107" s="103">
        <f>'[3]CONAP - W INC'!J69</f>
        <v>0</v>
      </c>
      <c r="K107" s="103">
        <f>'[3]CONAP - W INC'!K69</f>
        <v>4556806.37</v>
      </c>
      <c r="L107" s="103">
        <f>'[3]CONAP - W INC'!L69</f>
        <v>114438167.11</v>
      </c>
      <c r="M107" s="103">
        <f t="shared" si="34"/>
        <v>118994973.48</v>
      </c>
      <c r="N107" s="103">
        <f t="shared" si="35"/>
        <v>0</v>
      </c>
      <c r="O107" s="103">
        <f t="shared" si="35"/>
        <v>4834249.669999999</v>
      </c>
      <c r="P107" s="103">
        <f t="shared" si="35"/>
        <v>26126375.670000002</v>
      </c>
      <c r="Q107" s="103">
        <f t="shared" si="36"/>
        <v>30960625.34</v>
      </c>
      <c r="S107" s="267" t="str">
        <f t="shared" si="32"/>
        <v/>
      </c>
      <c r="T107" s="267">
        <f t="shared" si="32"/>
        <v>0.48522832262855931</v>
      </c>
      <c r="U107" s="267">
        <f t="shared" si="32"/>
        <v>0.81413253190820078</v>
      </c>
      <c r="V107" s="267">
        <f t="shared" si="32"/>
        <v>0.79353471571832579</v>
      </c>
      <c r="W107" s="530"/>
      <c r="X107" s="236"/>
      <c r="Y107" s="236"/>
      <c r="Z107" s="236"/>
    </row>
    <row r="108" spans="1:26" s="256" customFormat="1" ht="12" hidden="1" customHeight="1">
      <c r="A108" s="548"/>
      <c r="B108" s="548" t="s">
        <v>113</v>
      </c>
      <c r="C108" s="460"/>
      <c r="D108" s="551"/>
      <c r="E108" s="390" t="s">
        <v>767</v>
      </c>
      <c r="F108" s="391">
        <f>+F105+F101</f>
        <v>0</v>
      </c>
      <c r="G108" s="391">
        <f t="shared" ref="G108:Q108" si="42">+G105+G101</f>
        <v>8031015.7499999991</v>
      </c>
      <c r="H108" s="391">
        <f t="shared" si="42"/>
        <v>153300902.78</v>
      </c>
      <c r="I108" s="391">
        <f t="shared" si="42"/>
        <v>161331918.53</v>
      </c>
      <c r="J108" s="391">
        <f t="shared" si="42"/>
        <v>0</v>
      </c>
      <c r="K108" s="391">
        <f t="shared" si="42"/>
        <v>7783715.2000000002</v>
      </c>
      <c r="L108" s="391">
        <f t="shared" si="42"/>
        <v>124732037.14</v>
      </c>
      <c r="M108" s="391">
        <f t="shared" si="42"/>
        <v>132515752.34</v>
      </c>
      <c r="N108" s="391">
        <f t="shared" si="42"/>
        <v>0</v>
      </c>
      <c r="O108" s="391">
        <f t="shared" si="42"/>
        <v>247300.54999999888</v>
      </c>
      <c r="P108" s="391">
        <f t="shared" si="42"/>
        <v>28568865.640000001</v>
      </c>
      <c r="Q108" s="391">
        <f t="shared" si="42"/>
        <v>28816166.189999998</v>
      </c>
      <c r="R108" s="761"/>
      <c r="S108" s="267" t="str">
        <f t="shared" si="32"/>
        <v/>
      </c>
      <c r="T108" s="267">
        <f t="shared" si="32"/>
        <v>0.96920681546415854</v>
      </c>
      <c r="U108" s="267">
        <f t="shared" si="32"/>
        <v>0.81364189563189471</v>
      </c>
      <c r="V108" s="267">
        <f t="shared" si="32"/>
        <v>0.82138583330215853</v>
      </c>
      <c r="W108" s="532"/>
      <c r="Y108" s="236"/>
      <c r="Z108" s="240" t="s">
        <v>598</v>
      </c>
    </row>
    <row r="109" spans="1:26" ht="12" hidden="1" customHeight="1">
      <c r="A109" s="548"/>
      <c r="B109" s="548"/>
      <c r="C109" s="456"/>
      <c r="D109" s="549"/>
      <c r="E109" s="461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S109" s="267" t="str">
        <f t="shared" si="32"/>
        <v/>
      </c>
      <c r="T109" s="267" t="str">
        <f t="shared" si="32"/>
        <v/>
      </c>
      <c r="U109" s="267" t="str">
        <f t="shared" si="32"/>
        <v/>
      </c>
      <c r="V109" s="267" t="str">
        <f t="shared" si="32"/>
        <v/>
      </c>
      <c r="W109" s="530"/>
      <c r="X109" s="236"/>
      <c r="Y109" s="236"/>
      <c r="Z109" s="236"/>
    </row>
    <row r="110" spans="1:26" s="256" customFormat="1" ht="12" hidden="1" customHeight="1">
      <c r="A110" s="548" t="s">
        <v>112</v>
      </c>
      <c r="B110" s="548" t="s">
        <v>113</v>
      </c>
      <c r="C110" s="460"/>
      <c r="D110" s="551" t="s">
        <v>98</v>
      </c>
      <c r="E110" s="390" t="s">
        <v>100</v>
      </c>
      <c r="F110" s="391">
        <f>SUM(F111:F111)</f>
        <v>0</v>
      </c>
      <c r="G110" s="391">
        <f>SUM(G111:G111)</f>
        <v>0</v>
      </c>
      <c r="H110" s="391">
        <f>SUM(H111:H111)</f>
        <v>0</v>
      </c>
      <c r="I110" s="391">
        <f>+F110+G110+H110</f>
        <v>0</v>
      </c>
      <c r="J110" s="391">
        <v>0</v>
      </c>
      <c r="K110" s="391">
        <f>SUM(K111:K111)</f>
        <v>0</v>
      </c>
      <c r="L110" s="391">
        <f>SUM(L111:L111)</f>
        <v>0</v>
      </c>
      <c r="M110" s="391">
        <f>+J110+K110+L110</f>
        <v>0</v>
      </c>
      <c r="N110" s="391">
        <f t="shared" ref="N110:P111" si="43">+F110-J110</f>
        <v>0</v>
      </c>
      <c r="O110" s="391">
        <f t="shared" si="43"/>
        <v>0</v>
      </c>
      <c r="P110" s="391">
        <f t="shared" si="43"/>
        <v>0</v>
      </c>
      <c r="Q110" s="391">
        <f>+N110+O110+P110</f>
        <v>0</v>
      </c>
      <c r="R110" s="761">
        <f>Q110-'[3]car-SAOB'!BQ352</f>
        <v>0</v>
      </c>
      <c r="S110" s="267" t="str">
        <f t="shared" si="32"/>
        <v/>
      </c>
      <c r="T110" s="267" t="str">
        <f t="shared" si="32"/>
        <v/>
      </c>
      <c r="U110" s="267" t="str">
        <f t="shared" si="32"/>
        <v/>
      </c>
      <c r="V110" s="267" t="str">
        <f t="shared" si="32"/>
        <v/>
      </c>
      <c r="W110" s="532"/>
      <c r="Y110" s="236"/>
      <c r="Z110" s="240" t="s">
        <v>598</v>
      </c>
    </row>
    <row r="111" spans="1:26" ht="12" hidden="1" customHeight="1">
      <c r="A111" s="548" t="s">
        <v>112</v>
      </c>
      <c r="B111" s="548" t="s">
        <v>113</v>
      </c>
      <c r="C111" s="456"/>
      <c r="D111" s="549"/>
      <c r="E111" s="462" t="s">
        <v>290</v>
      </c>
      <c r="F111" s="103">
        <v>0</v>
      </c>
      <c r="G111" s="103">
        <f>SUM('[3]car-SAOB'!AV223)</f>
        <v>0</v>
      </c>
      <c r="H111" s="103">
        <f>SUM('[3]car-SAOB'!AV315)</f>
        <v>0</v>
      </c>
      <c r="I111" s="103">
        <f>+F111+G111+H111</f>
        <v>0</v>
      </c>
      <c r="J111" s="103">
        <v>0</v>
      </c>
      <c r="K111" s="103">
        <f>SUM('[3]car-SAOB'!AV224)</f>
        <v>0</v>
      </c>
      <c r="L111" s="103">
        <f>SUM('[3]car-SAOB'!AV316)</f>
        <v>0</v>
      </c>
      <c r="M111" s="103">
        <f>+J111+K111+L111</f>
        <v>0</v>
      </c>
      <c r="N111" s="103">
        <f t="shared" si="43"/>
        <v>0</v>
      </c>
      <c r="O111" s="103">
        <f t="shared" si="43"/>
        <v>0</v>
      </c>
      <c r="P111" s="103">
        <f t="shared" si="43"/>
        <v>0</v>
      </c>
      <c r="Q111" s="103">
        <f>+N111+O111+P111</f>
        <v>0</v>
      </c>
      <c r="R111" s="760">
        <f>Q111-'[3]car-SAOB'!AV352</f>
        <v>0</v>
      </c>
      <c r="S111" s="267" t="str">
        <f t="shared" si="32"/>
        <v/>
      </c>
      <c r="T111" s="267" t="str">
        <f t="shared" si="32"/>
        <v/>
      </c>
      <c r="U111" s="267" t="str">
        <f t="shared" si="32"/>
        <v/>
      </c>
      <c r="V111" s="267" t="str">
        <f t="shared" si="32"/>
        <v/>
      </c>
      <c r="W111" s="530"/>
      <c r="X111" s="236"/>
      <c r="Y111" s="236"/>
      <c r="Z111" s="236"/>
    </row>
    <row r="112" spans="1:26" s="259" customFormat="1" ht="12" customHeight="1">
      <c r="A112" s="315" t="s">
        <v>112</v>
      </c>
      <c r="B112" s="315" t="s">
        <v>113</v>
      </c>
      <c r="C112" s="1477" t="s">
        <v>299</v>
      </c>
      <c r="D112" s="1478"/>
      <c r="E112" s="1479"/>
      <c r="F112" s="652">
        <f>+F108+F110</f>
        <v>0</v>
      </c>
      <c r="G112" s="652">
        <f t="shared" ref="G112:Q112" si="44">+G108+G110</f>
        <v>8031015.7499999991</v>
      </c>
      <c r="H112" s="652">
        <f t="shared" si="44"/>
        <v>153300902.78</v>
      </c>
      <c r="I112" s="652">
        <f t="shared" si="44"/>
        <v>161331918.53</v>
      </c>
      <c r="J112" s="652">
        <f t="shared" si="44"/>
        <v>0</v>
      </c>
      <c r="K112" s="652">
        <f t="shared" si="44"/>
        <v>7783715.2000000002</v>
      </c>
      <c r="L112" s="652">
        <f t="shared" si="44"/>
        <v>124732037.14</v>
      </c>
      <c r="M112" s="652">
        <f t="shared" si="44"/>
        <v>132515752.34</v>
      </c>
      <c r="N112" s="652">
        <f t="shared" si="44"/>
        <v>0</v>
      </c>
      <c r="O112" s="652">
        <f t="shared" si="44"/>
        <v>247300.54999999888</v>
      </c>
      <c r="P112" s="652">
        <f t="shared" si="44"/>
        <v>28568865.640000001</v>
      </c>
      <c r="Q112" s="652">
        <f t="shared" si="44"/>
        <v>28816166.189999998</v>
      </c>
      <c r="R112" s="1095">
        <f>+Q112-'[3]car-SAOB'!BX352</f>
        <v>0</v>
      </c>
      <c r="S112" s="524" t="str">
        <f t="shared" si="32"/>
        <v/>
      </c>
      <c r="T112" s="524">
        <f t="shared" si="32"/>
        <v>0.96920681546415854</v>
      </c>
      <c r="U112" s="524">
        <f t="shared" si="32"/>
        <v>0.81364189563189471</v>
      </c>
      <c r="V112" s="524">
        <f t="shared" si="32"/>
        <v>0.82138583330215853</v>
      </c>
      <c r="W112" s="344"/>
      <c r="X112" s="520"/>
      <c r="Y112" s="837" t="s">
        <v>598</v>
      </c>
      <c r="Z112" s="241" t="s">
        <v>598</v>
      </c>
    </row>
    <row r="113" spans="1:26" ht="12" customHeight="1">
      <c r="A113" s="315"/>
      <c r="B113" s="315"/>
      <c r="C113" s="456"/>
      <c r="D113" s="456"/>
      <c r="E113" s="411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S113" s="267" t="str">
        <f t="shared" si="32"/>
        <v/>
      </c>
      <c r="T113" s="267" t="str">
        <f t="shared" si="32"/>
        <v/>
      </c>
      <c r="U113" s="267" t="str">
        <f t="shared" si="32"/>
        <v/>
      </c>
      <c r="V113" s="267" t="str">
        <f t="shared" si="32"/>
        <v/>
      </c>
      <c r="W113" s="267"/>
      <c r="Y113" s="837" t="s">
        <v>598</v>
      </c>
      <c r="Z113" s="241" t="s">
        <v>598</v>
      </c>
    </row>
    <row r="114" spans="1:26" ht="12" customHeight="1">
      <c r="A114" s="315" t="s">
        <v>114</v>
      </c>
      <c r="B114" s="315" t="s">
        <v>113</v>
      </c>
      <c r="C114" s="1100" t="s">
        <v>116</v>
      </c>
      <c r="D114" s="456"/>
      <c r="E114" s="463"/>
      <c r="F114" s="103"/>
      <c r="G114" s="103"/>
      <c r="H114" s="103"/>
      <c r="I114" s="103">
        <f t="shared" si="33"/>
        <v>0</v>
      </c>
      <c r="J114" s="103">
        <v>0</v>
      </c>
      <c r="K114" s="103"/>
      <c r="L114" s="103"/>
      <c r="M114" s="103">
        <f t="shared" si="34"/>
        <v>0</v>
      </c>
      <c r="N114" s="103">
        <f t="shared" si="35"/>
        <v>0</v>
      </c>
      <c r="O114" s="103">
        <f t="shared" si="35"/>
        <v>0</v>
      </c>
      <c r="P114" s="103">
        <f t="shared" si="35"/>
        <v>0</v>
      </c>
      <c r="Q114" s="103">
        <f t="shared" si="36"/>
        <v>0</v>
      </c>
      <c r="S114" s="267" t="str">
        <f t="shared" si="32"/>
        <v/>
      </c>
      <c r="T114" s="267" t="str">
        <f t="shared" si="32"/>
        <v/>
      </c>
      <c r="U114" s="267" t="str">
        <f t="shared" si="32"/>
        <v/>
      </c>
      <c r="V114" s="267" t="str">
        <f t="shared" si="32"/>
        <v/>
      </c>
      <c r="W114" s="267"/>
      <c r="Y114" s="837" t="s">
        <v>598</v>
      </c>
      <c r="Z114" s="241" t="s">
        <v>598</v>
      </c>
    </row>
    <row r="115" spans="1:26" s="275" customFormat="1" ht="12" customHeight="1">
      <c r="A115" s="548" t="s">
        <v>114</v>
      </c>
      <c r="B115" s="548" t="s">
        <v>117</v>
      </c>
      <c r="C115" s="464" t="s">
        <v>98</v>
      </c>
      <c r="D115" s="552" t="s">
        <v>105</v>
      </c>
      <c r="E115" s="407" t="s">
        <v>783</v>
      </c>
      <c r="F115" s="468"/>
      <c r="G115" s="468"/>
      <c r="H115" s="468"/>
      <c r="I115" s="409">
        <f t="shared" si="33"/>
        <v>0</v>
      </c>
      <c r="J115" s="409">
        <v>0</v>
      </c>
      <c r="K115" s="468"/>
      <c r="L115" s="468"/>
      <c r="M115" s="409">
        <f t="shared" si="34"/>
        <v>0</v>
      </c>
      <c r="N115" s="409">
        <f t="shared" si="35"/>
        <v>0</v>
      </c>
      <c r="O115" s="409">
        <f t="shared" si="35"/>
        <v>0</v>
      </c>
      <c r="P115" s="409">
        <f t="shared" si="35"/>
        <v>0</v>
      </c>
      <c r="Q115" s="409">
        <f t="shared" si="36"/>
        <v>0</v>
      </c>
      <c r="R115" s="761"/>
      <c r="S115" s="267" t="str">
        <f t="shared" si="32"/>
        <v/>
      </c>
      <c r="T115" s="267" t="str">
        <f t="shared" si="32"/>
        <v/>
      </c>
      <c r="U115" s="267" t="str">
        <f t="shared" si="32"/>
        <v/>
      </c>
      <c r="V115" s="267" t="str">
        <f t="shared" si="32"/>
        <v/>
      </c>
      <c r="W115" s="553"/>
      <c r="Y115" s="236" t="s">
        <v>598</v>
      </c>
      <c r="Z115" s="240" t="s">
        <v>598</v>
      </c>
    </row>
    <row r="116" spans="1:26" ht="12" customHeight="1">
      <c r="A116" s="548" t="s">
        <v>114</v>
      </c>
      <c r="B116" s="548" t="s">
        <v>117</v>
      </c>
      <c r="C116" s="447" t="s">
        <v>766</v>
      </c>
      <c r="D116" s="549"/>
      <c r="E116" s="447" t="s">
        <v>766</v>
      </c>
      <c r="F116" s="104">
        <f>+'[3]car-SAOB'!C449</f>
        <v>0</v>
      </c>
      <c r="G116" s="104">
        <f>+'[3]car-SAOB'!D449</f>
        <v>0</v>
      </c>
      <c r="H116" s="104">
        <f>+'[3]car-SAOB'!E449</f>
        <v>0</v>
      </c>
      <c r="I116" s="103">
        <f t="shared" si="33"/>
        <v>0</v>
      </c>
      <c r="J116" s="103">
        <v>0</v>
      </c>
      <c r="K116" s="104">
        <f>+'[3]car-SAOB'!H449</f>
        <v>0</v>
      </c>
      <c r="L116" s="104">
        <f>+'[3]car-SAOB'!I449</f>
        <v>0</v>
      </c>
      <c r="M116" s="103">
        <f t="shared" si="34"/>
        <v>0</v>
      </c>
      <c r="N116" s="103">
        <f t="shared" si="35"/>
        <v>0</v>
      </c>
      <c r="O116" s="103">
        <f t="shared" si="35"/>
        <v>0</v>
      </c>
      <c r="P116" s="103">
        <f t="shared" si="35"/>
        <v>0</v>
      </c>
      <c r="Q116" s="103">
        <f t="shared" si="36"/>
        <v>0</v>
      </c>
      <c r="R116" s="760">
        <f>Q116-'[3]car-SAOB'!G352</f>
        <v>0</v>
      </c>
      <c r="S116" s="267" t="str">
        <f t="shared" si="32"/>
        <v/>
      </c>
      <c r="T116" s="267" t="str">
        <f t="shared" si="32"/>
        <v/>
      </c>
      <c r="U116" s="267" t="str">
        <f t="shared" si="32"/>
        <v/>
      </c>
      <c r="V116" s="267" t="str">
        <f t="shared" si="32"/>
        <v/>
      </c>
      <c r="W116" s="530"/>
      <c r="X116" s="236"/>
      <c r="Y116" s="236" t="s">
        <v>688</v>
      </c>
      <c r="Z116" s="236"/>
    </row>
    <row r="117" spans="1:26" ht="12" customHeight="1">
      <c r="A117" s="548" t="s">
        <v>114</v>
      </c>
      <c r="B117" s="548" t="s">
        <v>117</v>
      </c>
      <c r="C117" s="456"/>
      <c r="D117" s="549"/>
      <c r="E117" s="453" t="s">
        <v>50</v>
      </c>
      <c r="F117" s="103">
        <f>+F118+F119</f>
        <v>0</v>
      </c>
      <c r="G117" s="103">
        <f>+G118+G119</f>
        <v>0</v>
      </c>
      <c r="H117" s="103">
        <f>+H118+H119</f>
        <v>0</v>
      </c>
      <c r="I117" s="103">
        <f t="shared" si="33"/>
        <v>0</v>
      </c>
      <c r="J117" s="103">
        <f>+J118+J119</f>
        <v>0</v>
      </c>
      <c r="K117" s="103">
        <f>+K118+K119</f>
        <v>0</v>
      </c>
      <c r="L117" s="103">
        <f>+L118+L119</f>
        <v>0</v>
      </c>
      <c r="M117" s="103">
        <f t="shared" si="34"/>
        <v>0</v>
      </c>
      <c r="N117" s="103">
        <f t="shared" si="35"/>
        <v>0</v>
      </c>
      <c r="O117" s="103">
        <f t="shared" si="35"/>
        <v>0</v>
      </c>
      <c r="P117" s="103">
        <f t="shared" si="35"/>
        <v>0</v>
      </c>
      <c r="Q117" s="103">
        <f t="shared" si="36"/>
        <v>0</v>
      </c>
      <c r="S117" s="267" t="str">
        <f t="shared" si="32"/>
        <v/>
      </c>
      <c r="T117" s="267" t="str">
        <f t="shared" si="32"/>
        <v/>
      </c>
      <c r="U117" s="267" t="str">
        <f t="shared" si="32"/>
        <v/>
      </c>
      <c r="V117" s="267" t="str">
        <f t="shared" si="32"/>
        <v/>
      </c>
      <c r="W117" s="530"/>
      <c r="X117" s="236"/>
      <c r="Y117" s="236" t="s">
        <v>688</v>
      </c>
      <c r="Z117" s="236"/>
    </row>
    <row r="118" spans="1:26" ht="12" hidden="1" customHeight="1">
      <c r="A118" s="548" t="s">
        <v>114</v>
      </c>
      <c r="B118" s="548" t="s">
        <v>117</v>
      </c>
      <c r="C118" s="458" t="s">
        <v>715</v>
      </c>
      <c r="D118" s="550" t="s">
        <v>715</v>
      </c>
      <c r="E118" s="447" t="s">
        <v>715</v>
      </c>
      <c r="F118" s="104">
        <f>'[3]CONAP - W INC'!F77</f>
        <v>0</v>
      </c>
      <c r="G118" s="104">
        <f>'[3]CONAP - W INC'!G77</f>
        <v>0</v>
      </c>
      <c r="H118" s="104">
        <f>'[3]CONAP - W INC'!H77</f>
        <v>0</v>
      </c>
      <c r="I118" s="103">
        <f t="shared" si="33"/>
        <v>0</v>
      </c>
      <c r="J118" s="103">
        <f>'[3]CONAP - W INC'!J77</f>
        <v>0</v>
      </c>
      <c r="K118" s="104">
        <f>'[3]CONAP - W INC'!K77</f>
        <v>0</v>
      </c>
      <c r="L118" s="104">
        <f>'[3]CONAP - W INC'!L77</f>
        <v>0</v>
      </c>
      <c r="M118" s="103">
        <f t="shared" si="34"/>
        <v>0</v>
      </c>
      <c r="N118" s="103">
        <f t="shared" si="35"/>
        <v>0</v>
      </c>
      <c r="O118" s="103">
        <f t="shared" si="35"/>
        <v>0</v>
      </c>
      <c r="P118" s="103">
        <f t="shared" si="35"/>
        <v>0</v>
      </c>
      <c r="Q118" s="103">
        <f t="shared" si="36"/>
        <v>0</v>
      </c>
      <c r="S118" s="267" t="str">
        <f t="shared" si="32"/>
        <v/>
      </c>
      <c r="T118" s="267" t="str">
        <f t="shared" si="32"/>
        <v/>
      </c>
      <c r="U118" s="267" t="str">
        <f t="shared" si="32"/>
        <v/>
      </c>
      <c r="V118" s="267" t="str">
        <f t="shared" si="32"/>
        <v/>
      </c>
      <c r="W118" s="530"/>
      <c r="X118" s="236"/>
      <c r="Y118" s="236"/>
      <c r="Z118" s="236"/>
    </row>
    <row r="119" spans="1:26" ht="12" hidden="1" customHeight="1">
      <c r="A119" s="548" t="s">
        <v>114</v>
      </c>
      <c r="B119" s="548" t="s">
        <v>117</v>
      </c>
      <c r="C119" s="458" t="s">
        <v>716</v>
      </c>
      <c r="D119" s="550" t="s">
        <v>716</v>
      </c>
      <c r="E119" s="459" t="s">
        <v>716</v>
      </c>
      <c r="F119" s="104">
        <f>'[3]CONAP - W INC'!F78</f>
        <v>0</v>
      </c>
      <c r="G119" s="104">
        <f>'[3]CONAP - W INC'!G78</f>
        <v>0</v>
      </c>
      <c r="H119" s="104">
        <f>'[3]CONAP - W INC'!H78</f>
        <v>0</v>
      </c>
      <c r="I119" s="103">
        <f t="shared" si="33"/>
        <v>0</v>
      </c>
      <c r="J119" s="103">
        <f>'[3]CONAP - W INC'!J78</f>
        <v>0</v>
      </c>
      <c r="K119" s="104">
        <f>'[3]CONAP - W INC'!K78</f>
        <v>0</v>
      </c>
      <c r="L119" s="104">
        <f>'[3]CONAP - W INC'!L78</f>
        <v>0</v>
      </c>
      <c r="M119" s="103">
        <f t="shared" si="34"/>
        <v>0</v>
      </c>
      <c r="N119" s="103">
        <f t="shared" si="35"/>
        <v>0</v>
      </c>
      <c r="O119" s="103">
        <f t="shared" si="35"/>
        <v>0</v>
      </c>
      <c r="P119" s="103">
        <f t="shared" si="35"/>
        <v>0</v>
      </c>
      <c r="Q119" s="103">
        <f t="shared" si="36"/>
        <v>0</v>
      </c>
      <c r="S119" s="267" t="str">
        <f t="shared" si="32"/>
        <v/>
      </c>
      <c r="T119" s="267" t="str">
        <f t="shared" si="32"/>
        <v/>
      </c>
      <c r="U119" s="267" t="str">
        <f t="shared" si="32"/>
        <v/>
      </c>
      <c r="V119" s="267" t="str">
        <f t="shared" si="32"/>
        <v/>
      </c>
      <c r="W119" s="530"/>
      <c r="X119" s="236"/>
      <c r="Y119" s="236"/>
      <c r="Z119" s="236"/>
    </row>
    <row r="120" spans="1:26" s="256" customFormat="1" ht="12" customHeight="1">
      <c r="A120" s="548"/>
      <c r="B120" s="548" t="s">
        <v>117</v>
      </c>
      <c r="C120" s="460"/>
      <c r="D120" s="551"/>
      <c r="E120" s="390" t="s">
        <v>767</v>
      </c>
      <c r="F120" s="391">
        <f>+F117+F116</f>
        <v>0</v>
      </c>
      <c r="G120" s="391">
        <f t="shared" ref="G120:Q120" si="45">+G117+G116</f>
        <v>0</v>
      </c>
      <c r="H120" s="391">
        <f t="shared" si="45"/>
        <v>0</v>
      </c>
      <c r="I120" s="391">
        <f t="shared" si="45"/>
        <v>0</v>
      </c>
      <c r="J120" s="391">
        <f t="shared" si="45"/>
        <v>0</v>
      </c>
      <c r="K120" s="391">
        <f t="shared" si="45"/>
        <v>0</v>
      </c>
      <c r="L120" s="391">
        <f t="shared" si="45"/>
        <v>0</v>
      </c>
      <c r="M120" s="391">
        <f t="shared" si="45"/>
        <v>0</v>
      </c>
      <c r="N120" s="391">
        <f t="shared" si="45"/>
        <v>0</v>
      </c>
      <c r="O120" s="391">
        <f t="shared" si="45"/>
        <v>0</v>
      </c>
      <c r="P120" s="391">
        <f t="shared" si="45"/>
        <v>0</v>
      </c>
      <c r="Q120" s="391">
        <f t="shared" si="45"/>
        <v>0</v>
      </c>
      <c r="R120" s="761"/>
      <c r="S120" s="267" t="str">
        <f t="shared" si="32"/>
        <v/>
      </c>
      <c r="T120" s="267" t="str">
        <f t="shared" si="32"/>
        <v/>
      </c>
      <c r="U120" s="267" t="str">
        <f t="shared" si="32"/>
        <v/>
      </c>
      <c r="V120" s="267" t="str">
        <f t="shared" si="32"/>
        <v/>
      </c>
      <c r="W120" s="532"/>
      <c r="Y120" s="236" t="s">
        <v>598</v>
      </c>
      <c r="Z120" s="240" t="s">
        <v>598</v>
      </c>
    </row>
    <row r="121" spans="1:26" ht="12" hidden="1" customHeight="1">
      <c r="A121" s="548"/>
      <c r="B121" s="548"/>
      <c r="C121" s="456"/>
      <c r="D121" s="549"/>
      <c r="E121" s="461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S121" s="267" t="str">
        <f t="shared" si="32"/>
        <v/>
      </c>
      <c r="T121" s="267" t="str">
        <f t="shared" si="32"/>
        <v/>
      </c>
      <c r="U121" s="267" t="str">
        <f t="shared" si="32"/>
        <v/>
      </c>
      <c r="V121" s="267" t="str">
        <f t="shared" si="32"/>
        <v/>
      </c>
      <c r="W121" s="530"/>
      <c r="X121" s="236"/>
      <c r="Y121" s="236"/>
      <c r="Z121" s="236"/>
    </row>
    <row r="122" spans="1:26" s="256" customFormat="1" ht="12" customHeight="1">
      <c r="A122" s="548" t="s">
        <v>114</v>
      </c>
      <c r="B122" s="548" t="s">
        <v>117</v>
      </c>
      <c r="C122" s="460"/>
      <c r="D122" s="551" t="s">
        <v>98</v>
      </c>
      <c r="E122" s="390" t="s">
        <v>100</v>
      </c>
      <c r="F122" s="391">
        <f>SUM(F123:F123)</f>
        <v>0</v>
      </c>
      <c r="G122" s="391">
        <f>SUM(G123:G123)</f>
        <v>0</v>
      </c>
      <c r="H122" s="391">
        <f>SUM(H123:H123)</f>
        <v>0</v>
      </c>
      <c r="I122" s="391">
        <f>+F122+G122+H122</f>
        <v>0</v>
      </c>
      <c r="J122" s="391">
        <v>0</v>
      </c>
      <c r="K122" s="391">
        <f>SUM(K123:K123)</f>
        <v>0</v>
      </c>
      <c r="L122" s="391">
        <f>SUM(L123:L123)</f>
        <v>0</v>
      </c>
      <c r="M122" s="391">
        <f>+J122+K122+L122</f>
        <v>0</v>
      </c>
      <c r="N122" s="391">
        <f t="shared" ref="N122:P123" si="46">+F122-J122</f>
        <v>0</v>
      </c>
      <c r="O122" s="391">
        <f t="shared" si="46"/>
        <v>0</v>
      </c>
      <c r="P122" s="391">
        <f t="shared" si="46"/>
        <v>0</v>
      </c>
      <c r="Q122" s="391">
        <f>+N122+O122+P122</f>
        <v>0</v>
      </c>
      <c r="R122" s="761">
        <f>Q122-'[3]car-SAOB'!BR352</f>
        <v>0</v>
      </c>
      <c r="S122" s="267" t="str">
        <f t="shared" si="32"/>
        <v/>
      </c>
      <c r="T122" s="267" t="str">
        <f t="shared" si="32"/>
        <v/>
      </c>
      <c r="U122" s="267" t="str">
        <f t="shared" si="32"/>
        <v/>
      </c>
      <c r="V122" s="267" t="str">
        <f t="shared" si="32"/>
        <v/>
      </c>
      <c r="W122" s="532"/>
      <c r="Y122" s="236" t="s">
        <v>598</v>
      </c>
      <c r="Z122" s="240" t="s">
        <v>598</v>
      </c>
    </row>
    <row r="123" spans="1:26" ht="12" customHeight="1">
      <c r="A123" s="548" t="s">
        <v>114</v>
      </c>
      <c r="B123" s="548" t="s">
        <v>117</v>
      </c>
      <c r="C123" s="456"/>
      <c r="D123" s="549"/>
      <c r="E123" s="462" t="s">
        <v>290</v>
      </c>
      <c r="F123" s="103">
        <v>0</v>
      </c>
      <c r="G123" s="103">
        <f>SUM('[3]car-SAOB'!AW223)</f>
        <v>0</v>
      </c>
      <c r="H123" s="103">
        <f>SUM('[3]car-SAOB'!AW315)</f>
        <v>0</v>
      </c>
      <c r="I123" s="103">
        <f>+F123+G123+H123</f>
        <v>0</v>
      </c>
      <c r="J123" s="103">
        <v>0</v>
      </c>
      <c r="K123" s="103">
        <f>SUM('[3]car-SAOB'!AW224)</f>
        <v>0</v>
      </c>
      <c r="L123" s="103">
        <f>SUM('[3]car-SAOB'!AW316)</f>
        <v>0</v>
      </c>
      <c r="M123" s="103">
        <f>+J123+K123+L123</f>
        <v>0</v>
      </c>
      <c r="N123" s="103">
        <f t="shared" si="46"/>
        <v>0</v>
      </c>
      <c r="O123" s="103">
        <f t="shared" si="46"/>
        <v>0</v>
      </c>
      <c r="P123" s="103">
        <f t="shared" si="46"/>
        <v>0</v>
      </c>
      <c r="Q123" s="103">
        <f>+N123+O123+P123</f>
        <v>0</v>
      </c>
      <c r="R123" s="760">
        <f>Q123-'[3]car-SAOB'!AW352</f>
        <v>0</v>
      </c>
      <c r="S123" s="267" t="str">
        <f t="shared" si="32"/>
        <v/>
      </c>
      <c r="T123" s="267" t="str">
        <f t="shared" si="32"/>
        <v/>
      </c>
      <c r="U123" s="267" t="str">
        <f t="shared" si="32"/>
        <v/>
      </c>
      <c r="V123" s="267" t="str">
        <f t="shared" si="32"/>
        <v/>
      </c>
      <c r="W123" s="530"/>
      <c r="X123" s="236"/>
      <c r="Y123" s="236" t="s">
        <v>598</v>
      </c>
      <c r="Z123" s="236"/>
    </row>
    <row r="124" spans="1:26" s="259" customFormat="1" ht="12" customHeight="1">
      <c r="A124" s="315" t="s">
        <v>114</v>
      </c>
      <c r="B124" s="315" t="s">
        <v>117</v>
      </c>
      <c r="C124" s="1096"/>
      <c r="D124" s="466"/>
      <c r="E124" s="1097" t="s">
        <v>4</v>
      </c>
      <c r="F124" s="652">
        <f>+F122+F120</f>
        <v>0</v>
      </c>
      <c r="G124" s="652">
        <f t="shared" ref="G124:Q124" si="47">+G122+G120</f>
        <v>0</v>
      </c>
      <c r="H124" s="652">
        <f t="shared" si="47"/>
        <v>0</v>
      </c>
      <c r="I124" s="652">
        <f t="shared" si="47"/>
        <v>0</v>
      </c>
      <c r="J124" s="652">
        <f t="shared" si="47"/>
        <v>0</v>
      </c>
      <c r="K124" s="652">
        <f t="shared" si="47"/>
        <v>0</v>
      </c>
      <c r="L124" s="652">
        <f t="shared" si="47"/>
        <v>0</v>
      </c>
      <c r="M124" s="652">
        <f t="shared" si="47"/>
        <v>0</v>
      </c>
      <c r="N124" s="652">
        <f t="shared" si="47"/>
        <v>0</v>
      </c>
      <c r="O124" s="652">
        <f t="shared" si="47"/>
        <v>0</v>
      </c>
      <c r="P124" s="652">
        <f t="shared" si="47"/>
        <v>0</v>
      </c>
      <c r="Q124" s="652">
        <f t="shared" si="47"/>
        <v>0</v>
      </c>
      <c r="R124" s="1095">
        <f>Q124-'[3]car-SAOB'!BY352</f>
        <v>0</v>
      </c>
      <c r="S124" s="524" t="str">
        <f t="shared" si="32"/>
        <v/>
      </c>
      <c r="T124" s="524" t="str">
        <f t="shared" si="32"/>
        <v/>
      </c>
      <c r="U124" s="524" t="str">
        <f t="shared" si="32"/>
        <v/>
      </c>
      <c r="V124" s="524" t="str">
        <f t="shared" si="32"/>
        <v/>
      </c>
      <c r="W124" s="344"/>
      <c r="X124" s="520"/>
      <c r="Y124" s="837" t="s">
        <v>598</v>
      </c>
      <c r="Z124" s="241" t="s">
        <v>598</v>
      </c>
    </row>
    <row r="125" spans="1:26" ht="12" customHeight="1">
      <c r="A125" s="315" t="s">
        <v>114</v>
      </c>
      <c r="B125" s="315" t="s">
        <v>117</v>
      </c>
      <c r="C125" s="456"/>
      <c r="D125" s="456"/>
      <c r="E125" s="46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S125" s="267" t="str">
        <f t="shared" si="32"/>
        <v/>
      </c>
      <c r="T125" s="267" t="str">
        <f t="shared" si="32"/>
        <v/>
      </c>
      <c r="U125" s="267" t="str">
        <f t="shared" si="32"/>
        <v/>
      </c>
      <c r="V125" s="267" t="str">
        <f t="shared" si="32"/>
        <v/>
      </c>
      <c r="W125" s="267"/>
      <c r="Y125" s="837" t="s">
        <v>598</v>
      </c>
      <c r="Z125" s="241" t="s">
        <v>598</v>
      </c>
    </row>
    <row r="126" spans="1:26" s="275" customFormat="1" ht="11.25" customHeight="1">
      <c r="A126" s="548" t="s">
        <v>114</v>
      </c>
      <c r="B126" s="548" t="s">
        <v>118</v>
      </c>
      <c r="C126" s="464" t="s">
        <v>98</v>
      </c>
      <c r="D126" s="552" t="s">
        <v>107</v>
      </c>
      <c r="E126" s="407" t="s">
        <v>784</v>
      </c>
      <c r="F126" s="468"/>
      <c r="G126" s="468"/>
      <c r="H126" s="468"/>
      <c r="I126" s="409">
        <f t="shared" si="33"/>
        <v>0</v>
      </c>
      <c r="J126" s="409">
        <v>0</v>
      </c>
      <c r="K126" s="468"/>
      <c r="L126" s="468"/>
      <c r="M126" s="409">
        <f t="shared" si="34"/>
        <v>0</v>
      </c>
      <c r="N126" s="409">
        <f t="shared" si="35"/>
        <v>0</v>
      </c>
      <c r="O126" s="409">
        <f t="shared" si="35"/>
        <v>0</v>
      </c>
      <c r="P126" s="409">
        <f t="shared" si="35"/>
        <v>0</v>
      </c>
      <c r="Q126" s="409">
        <f t="shared" si="36"/>
        <v>0</v>
      </c>
      <c r="R126" s="761"/>
      <c r="S126" s="267" t="str">
        <f t="shared" si="32"/>
        <v/>
      </c>
      <c r="T126" s="267" t="str">
        <f t="shared" si="32"/>
        <v/>
      </c>
      <c r="U126" s="267" t="str">
        <f t="shared" si="32"/>
        <v/>
      </c>
      <c r="V126" s="267" t="str">
        <f t="shared" si="32"/>
        <v/>
      </c>
      <c r="W126" s="553"/>
      <c r="Y126" s="236" t="s">
        <v>598</v>
      </c>
      <c r="Z126" s="240" t="s">
        <v>598</v>
      </c>
    </row>
    <row r="127" spans="1:26" ht="12" customHeight="1">
      <c r="A127" s="548" t="s">
        <v>114</v>
      </c>
      <c r="B127" s="548" t="s">
        <v>118</v>
      </c>
      <c r="C127" s="447" t="s">
        <v>766</v>
      </c>
      <c r="D127" s="549"/>
      <c r="E127" s="447" t="s">
        <v>766</v>
      </c>
      <c r="F127" s="104">
        <f>+'[3]car-SAOB'!C456</f>
        <v>0</v>
      </c>
      <c r="G127" s="104">
        <f>+'[3]car-SAOB'!D456</f>
        <v>0</v>
      </c>
      <c r="H127" s="104">
        <f>+'[3]car-SAOB'!E456</f>
        <v>0</v>
      </c>
      <c r="I127" s="103">
        <f t="shared" si="33"/>
        <v>0</v>
      </c>
      <c r="J127" s="103">
        <v>0</v>
      </c>
      <c r="K127" s="104">
        <f>+'[3]car-SAOB'!H456</f>
        <v>0</v>
      </c>
      <c r="L127" s="104">
        <f>+'[3]car-SAOB'!I456</f>
        <v>0</v>
      </c>
      <c r="M127" s="103">
        <f t="shared" si="34"/>
        <v>0</v>
      </c>
      <c r="N127" s="103">
        <f t="shared" si="35"/>
        <v>0</v>
      </c>
      <c r="O127" s="103">
        <f t="shared" si="35"/>
        <v>0</v>
      </c>
      <c r="P127" s="103">
        <f t="shared" si="35"/>
        <v>0</v>
      </c>
      <c r="Q127" s="103">
        <f t="shared" si="36"/>
        <v>0</v>
      </c>
      <c r="R127" s="760">
        <f>Q127-'[3]car-SAOB'!H352</f>
        <v>0</v>
      </c>
      <c r="S127" s="267" t="str">
        <f t="shared" si="32"/>
        <v/>
      </c>
      <c r="T127" s="267" t="str">
        <f t="shared" si="32"/>
        <v/>
      </c>
      <c r="U127" s="267" t="str">
        <f t="shared" si="32"/>
        <v/>
      </c>
      <c r="V127" s="267" t="str">
        <f t="shared" si="32"/>
        <v/>
      </c>
      <c r="W127" s="530"/>
      <c r="X127" s="236"/>
      <c r="Y127" s="236" t="s">
        <v>688</v>
      </c>
      <c r="Z127" s="236"/>
    </row>
    <row r="128" spans="1:26" ht="12" customHeight="1">
      <c r="A128" s="548" t="s">
        <v>114</v>
      </c>
      <c r="B128" s="548" t="s">
        <v>118</v>
      </c>
      <c r="C128" s="456"/>
      <c r="D128" s="549"/>
      <c r="E128" s="453" t="s">
        <v>50</v>
      </c>
      <c r="F128" s="103">
        <f>+F129+F130</f>
        <v>0</v>
      </c>
      <c r="G128" s="103">
        <f>+G129+G130</f>
        <v>0</v>
      </c>
      <c r="H128" s="103">
        <f>+H129+H130</f>
        <v>0</v>
      </c>
      <c r="I128" s="103">
        <f t="shared" si="33"/>
        <v>0</v>
      </c>
      <c r="J128" s="103">
        <f>+J129+J130</f>
        <v>0</v>
      </c>
      <c r="K128" s="103">
        <f>+K129+K130</f>
        <v>0</v>
      </c>
      <c r="L128" s="103">
        <f>+L129+L130</f>
        <v>0</v>
      </c>
      <c r="M128" s="103">
        <f t="shared" si="34"/>
        <v>0</v>
      </c>
      <c r="N128" s="103">
        <f t="shared" si="35"/>
        <v>0</v>
      </c>
      <c r="O128" s="103">
        <f t="shared" si="35"/>
        <v>0</v>
      </c>
      <c r="P128" s="103">
        <f t="shared" si="35"/>
        <v>0</v>
      </c>
      <c r="Q128" s="103">
        <f t="shared" si="36"/>
        <v>0</v>
      </c>
      <c r="S128" s="267" t="str">
        <f t="shared" si="32"/>
        <v/>
      </c>
      <c r="T128" s="267" t="str">
        <f t="shared" si="32"/>
        <v/>
      </c>
      <c r="U128" s="267" t="str">
        <f t="shared" si="32"/>
        <v/>
      </c>
      <c r="V128" s="267" t="str">
        <f t="shared" si="32"/>
        <v/>
      </c>
      <c r="W128" s="530"/>
      <c r="X128" s="236"/>
      <c r="Y128" s="236" t="s">
        <v>688</v>
      </c>
      <c r="Z128" s="236"/>
    </row>
    <row r="129" spans="1:26" ht="12" hidden="1" customHeight="1">
      <c r="A129" s="548" t="s">
        <v>114</v>
      </c>
      <c r="B129" s="548" t="s">
        <v>118</v>
      </c>
      <c r="C129" s="458" t="s">
        <v>715</v>
      </c>
      <c r="D129" s="550" t="s">
        <v>715</v>
      </c>
      <c r="E129" s="447" t="s">
        <v>715</v>
      </c>
      <c r="F129" s="104">
        <f>'[3]CONAP - W INC'!F85</f>
        <v>0</v>
      </c>
      <c r="G129" s="104">
        <f>'[3]CONAP - W INC'!G85</f>
        <v>0</v>
      </c>
      <c r="H129" s="104">
        <f>'[3]CONAP - W INC'!H85</f>
        <v>0</v>
      </c>
      <c r="I129" s="103">
        <f t="shared" si="33"/>
        <v>0</v>
      </c>
      <c r="J129" s="103">
        <f>'[3]CONAP - W INC'!J85</f>
        <v>0</v>
      </c>
      <c r="K129" s="104">
        <f>'[3]CONAP - W INC'!K85</f>
        <v>0</v>
      </c>
      <c r="L129" s="104">
        <f>'[3]CONAP - W INC'!L85</f>
        <v>0</v>
      </c>
      <c r="M129" s="103">
        <f t="shared" si="34"/>
        <v>0</v>
      </c>
      <c r="N129" s="103">
        <f t="shared" si="35"/>
        <v>0</v>
      </c>
      <c r="O129" s="103">
        <f t="shared" si="35"/>
        <v>0</v>
      </c>
      <c r="P129" s="103">
        <f t="shared" si="35"/>
        <v>0</v>
      </c>
      <c r="Q129" s="103">
        <f t="shared" si="36"/>
        <v>0</v>
      </c>
      <c r="S129" s="267" t="str">
        <f t="shared" si="32"/>
        <v/>
      </c>
      <c r="T129" s="267" t="str">
        <f t="shared" si="32"/>
        <v/>
      </c>
      <c r="U129" s="267" t="str">
        <f t="shared" si="32"/>
        <v/>
      </c>
      <c r="V129" s="267" t="str">
        <f t="shared" si="32"/>
        <v/>
      </c>
      <c r="W129" s="530"/>
      <c r="X129" s="236"/>
      <c r="Y129" s="236"/>
      <c r="Z129" s="236"/>
    </row>
    <row r="130" spans="1:26" ht="12" hidden="1" customHeight="1">
      <c r="A130" s="548" t="s">
        <v>114</v>
      </c>
      <c r="B130" s="548" t="s">
        <v>118</v>
      </c>
      <c r="C130" s="458" t="s">
        <v>716</v>
      </c>
      <c r="D130" s="550" t="s">
        <v>716</v>
      </c>
      <c r="E130" s="459" t="s">
        <v>716</v>
      </c>
      <c r="F130" s="104">
        <f>'[3]CONAP - W INC'!F86</f>
        <v>0</v>
      </c>
      <c r="G130" s="104">
        <f>'[3]CONAP - W INC'!G86</f>
        <v>0</v>
      </c>
      <c r="H130" s="104">
        <f>'[3]CONAP - W INC'!H86</f>
        <v>0</v>
      </c>
      <c r="I130" s="103">
        <f t="shared" si="33"/>
        <v>0</v>
      </c>
      <c r="J130" s="103">
        <f>'[3]CONAP - W INC'!J86</f>
        <v>0</v>
      </c>
      <c r="K130" s="104">
        <f>'[3]CONAP - W INC'!K86</f>
        <v>0</v>
      </c>
      <c r="L130" s="104">
        <f>'[3]CONAP - W INC'!L86</f>
        <v>0</v>
      </c>
      <c r="M130" s="103">
        <f t="shared" si="34"/>
        <v>0</v>
      </c>
      <c r="N130" s="103">
        <f t="shared" si="35"/>
        <v>0</v>
      </c>
      <c r="O130" s="103">
        <f t="shared" si="35"/>
        <v>0</v>
      </c>
      <c r="P130" s="103">
        <f t="shared" si="35"/>
        <v>0</v>
      </c>
      <c r="Q130" s="103">
        <f t="shared" si="36"/>
        <v>0</v>
      </c>
      <c r="S130" s="267" t="str">
        <f t="shared" si="32"/>
        <v/>
      </c>
      <c r="T130" s="267" t="str">
        <f t="shared" si="32"/>
        <v/>
      </c>
      <c r="U130" s="267" t="str">
        <f t="shared" si="32"/>
        <v/>
      </c>
      <c r="V130" s="267" t="str">
        <f t="shared" si="32"/>
        <v/>
      </c>
      <c r="W130" s="530"/>
      <c r="X130" s="236"/>
      <c r="Y130" s="236"/>
      <c r="Z130" s="236"/>
    </row>
    <row r="131" spans="1:26" s="256" customFormat="1" ht="12" customHeight="1">
      <c r="A131" s="548"/>
      <c r="B131" s="548" t="s">
        <v>118</v>
      </c>
      <c r="C131" s="460"/>
      <c r="D131" s="551"/>
      <c r="E131" s="390" t="s">
        <v>767</v>
      </c>
      <c r="F131" s="391">
        <f>+F128+F127</f>
        <v>0</v>
      </c>
      <c r="G131" s="391">
        <f t="shared" ref="G131:Q131" si="48">+G128+G127</f>
        <v>0</v>
      </c>
      <c r="H131" s="391">
        <f t="shared" si="48"/>
        <v>0</v>
      </c>
      <c r="I131" s="391">
        <f t="shared" si="48"/>
        <v>0</v>
      </c>
      <c r="J131" s="391">
        <f t="shared" si="48"/>
        <v>0</v>
      </c>
      <c r="K131" s="391">
        <f t="shared" si="48"/>
        <v>0</v>
      </c>
      <c r="L131" s="391">
        <f t="shared" si="48"/>
        <v>0</v>
      </c>
      <c r="M131" s="391">
        <f t="shared" si="48"/>
        <v>0</v>
      </c>
      <c r="N131" s="391">
        <f t="shared" si="48"/>
        <v>0</v>
      </c>
      <c r="O131" s="391">
        <f t="shared" si="48"/>
        <v>0</v>
      </c>
      <c r="P131" s="391">
        <f t="shared" si="48"/>
        <v>0</v>
      </c>
      <c r="Q131" s="391">
        <f t="shared" si="48"/>
        <v>0</v>
      </c>
      <c r="R131" s="761"/>
      <c r="S131" s="267" t="str">
        <f t="shared" si="32"/>
        <v/>
      </c>
      <c r="T131" s="267" t="str">
        <f t="shared" si="32"/>
        <v/>
      </c>
      <c r="U131" s="267" t="str">
        <f t="shared" si="32"/>
        <v/>
      </c>
      <c r="V131" s="267" t="str">
        <f t="shared" si="32"/>
        <v/>
      </c>
      <c r="W131" s="532"/>
      <c r="Y131" s="236" t="s">
        <v>598</v>
      </c>
      <c r="Z131" s="240" t="s">
        <v>598</v>
      </c>
    </row>
    <row r="132" spans="1:26" ht="12" hidden="1" customHeight="1">
      <c r="A132" s="548"/>
      <c r="B132" s="548"/>
      <c r="C132" s="456"/>
      <c r="D132" s="549"/>
      <c r="E132" s="461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S132" s="267" t="str">
        <f t="shared" si="32"/>
        <v/>
      </c>
      <c r="T132" s="267" t="str">
        <f t="shared" si="32"/>
        <v/>
      </c>
      <c r="U132" s="267" t="str">
        <f t="shared" si="32"/>
        <v/>
      </c>
      <c r="V132" s="267" t="str">
        <f t="shared" si="32"/>
        <v/>
      </c>
      <c r="W132" s="530"/>
      <c r="X132" s="236"/>
      <c r="Y132" s="236"/>
      <c r="Z132" s="236"/>
    </row>
    <row r="133" spans="1:26" s="256" customFormat="1" ht="12" customHeight="1">
      <c r="A133" s="548" t="s">
        <v>114</v>
      </c>
      <c r="B133" s="548" t="s">
        <v>118</v>
      </c>
      <c r="C133" s="460"/>
      <c r="D133" s="551" t="s">
        <v>98</v>
      </c>
      <c r="E133" s="390" t="s">
        <v>100</v>
      </c>
      <c r="F133" s="391">
        <f>SUM(F134:F134)</f>
        <v>0</v>
      </c>
      <c r="G133" s="391">
        <f>SUM(G134:G134)</f>
        <v>0</v>
      </c>
      <c r="H133" s="391">
        <f>SUM(H134:H134)</f>
        <v>0</v>
      </c>
      <c r="I133" s="391">
        <f>+F133+G133+H133</f>
        <v>0</v>
      </c>
      <c r="J133" s="391">
        <v>0</v>
      </c>
      <c r="K133" s="391">
        <f>SUM(K134:K134)</f>
        <v>0</v>
      </c>
      <c r="L133" s="391">
        <f>SUM(L134:L134)</f>
        <v>0</v>
      </c>
      <c r="M133" s="391">
        <f>+J133+K133+L133</f>
        <v>0</v>
      </c>
      <c r="N133" s="391">
        <f t="shared" ref="N133:P134" si="49">+F133-J133</f>
        <v>0</v>
      </c>
      <c r="O133" s="391">
        <f t="shared" si="49"/>
        <v>0</v>
      </c>
      <c r="P133" s="391">
        <f t="shared" si="49"/>
        <v>0</v>
      </c>
      <c r="Q133" s="391">
        <f>+N133+O133+P133</f>
        <v>0</v>
      </c>
      <c r="R133" s="761">
        <f>Q133-'[3]car-SAOB'!BS352</f>
        <v>0</v>
      </c>
      <c r="S133" s="267" t="str">
        <f t="shared" si="32"/>
        <v/>
      </c>
      <c r="T133" s="267" t="str">
        <f t="shared" si="32"/>
        <v/>
      </c>
      <c r="U133" s="267" t="str">
        <f t="shared" si="32"/>
        <v/>
      </c>
      <c r="V133" s="267" t="str">
        <f t="shared" si="32"/>
        <v/>
      </c>
      <c r="W133" s="532"/>
      <c r="Y133" s="236" t="s">
        <v>598</v>
      </c>
      <c r="Z133" s="240" t="s">
        <v>598</v>
      </c>
    </row>
    <row r="134" spans="1:26" ht="12" customHeight="1">
      <c r="A134" s="548" t="s">
        <v>114</v>
      </c>
      <c r="B134" s="548" t="s">
        <v>118</v>
      </c>
      <c r="C134" s="456"/>
      <c r="D134" s="549"/>
      <c r="E134" s="462" t="s">
        <v>290</v>
      </c>
      <c r="F134" s="103">
        <v>0</v>
      </c>
      <c r="G134" s="103">
        <f>SUM('[3]car-SAOB'!AX223)</f>
        <v>0</v>
      </c>
      <c r="H134" s="103">
        <f>SUM('[3]car-SAOB'!AX315)</f>
        <v>0</v>
      </c>
      <c r="I134" s="103">
        <f>+F134+G134+H134</f>
        <v>0</v>
      </c>
      <c r="J134" s="103">
        <v>0</v>
      </c>
      <c r="K134" s="103">
        <f>SUM('[3]car-SAOB'!AX224)</f>
        <v>0</v>
      </c>
      <c r="L134" s="103">
        <f>SUM('[3]car-SAOB'!AX316)</f>
        <v>0</v>
      </c>
      <c r="M134" s="103">
        <f>+J134+K134+L134</f>
        <v>0</v>
      </c>
      <c r="N134" s="103">
        <f t="shared" si="49"/>
        <v>0</v>
      </c>
      <c r="O134" s="103">
        <f t="shared" si="49"/>
        <v>0</v>
      </c>
      <c r="P134" s="103">
        <f t="shared" si="49"/>
        <v>0</v>
      </c>
      <c r="Q134" s="103">
        <f>+N134+O134+P134</f>
        <v>0</v>
      </c>
      <c r="R134" s="760">
        <f>Q134-'[3]car-SAOB'!AX352</f>
        <v>0</v>
      </c>
      <c r="S134" s="267" t="str">
        <f t="shared" si="32"/>
        <v/>
      </c>
      <c r="T134" s="267" t="str">
        <f t="shared" si="32"/>
        <v/>
      </c>
      <c r="U134" s="267" t="str">
        <f t="shared" si="32"/>
        <v/>
      </c>
      <c r="V134" s="267" t="str">
        <f t="shared" si="32"/>
        <v/>
      </c>
      <c r="W134" s="530"/>
      <c r="X134" s="236"/>
      <c r="Y134" s="236" t="s">
        <v>598</v>
      </c>
      <c r="Z134" s="236"/>
    </row>
    <row r="135" spans="1:26" s="259" customFormat="1" ht="12" customHeight="1">
      <c r="A135" s="315" t="s">
        <v>114</v>
      </c>
      <c r="B135" s="315" t="s">
        <v>118</v>
      </c>
      <c r="C135" s="1096"/>
      <c r="D135" s="466"/>
      <c r="E135" s="1097" t="s">
        <v>4</v>
      </c>
      <c r="F135" s="652">
        <f>+F133+F131</f>
        <v>0</v>
      </c>
      <c r="G135" s="652">
        <f t="shared" ref="G135:Q135" si="50">+G133+G131</f>
        <v>0</v>
      </c>
      <c r="H135" s="652">
        <f t="shared" si="50"/>
        <v>0</v>
      </c>
      <c r="I135" s="652">
        <f t="shared" si="50"/>
        <v>0</v>
      </c>
      <c r="J135" s="652">
        <f t="shared" si="50"/>
        <v>0</v>
      </c>
      <c r="K135" s="652">
        <f t="shared" si="50"/>
        <v>0</v>
      </c>
      <c r="L135" s="652">
        <f t="shared" si="50"/>
        <v>0</v>
      </c>
      <c r="M135" s="652">
        <f t="shared" si="50"/>
        <v>0</v>
      </c>
      <c r="N135" s="652">
        <f t="shared" si="50"/>
        <v>0</v>
      </c>
      <c r="O135" s="652">
        <f t="shared" si="50"/>
        <v>0</v>
      </c>
      <c r="P135" s="652">
        <f t="shared" si="50"/>
        <v>0</v>
      </c>
      <c r="Q135" s="652">
        <f t="shared" si="50"/>
        <v>0</v>
      </c>
      <c r="R135" s="1095">
        <f>Q135-'[3]car-SAOB'!BZ352</f>
        <v>0</v>
      </c>
      <c r="S135" s="524" t="str">
        <f t="shared" si="32"/>
        <v/>
      </c>
      <c r="T135" s="524" t="str">
        <f t="shared" si="32"/>
        <v/>
      </c>
      <c r="U135" s="524" t="str">
        <f t="shared" si="32"/>
        <v/>
      </c>
      <c r="V135" s="524" t="str">
        <f t="shared" si="32"/>
        <v/>
      </c>
      <c r="W135" s="344"/>
      <c r="X135" s="520"/>
      <c r="Y135" s="837" t="s">
        <v>598</v>
      </c>
      <c r="Z135" s="241" t="s">
        <v>598</v>
      </c>
    </row>
    <row r="136" spans="1:26" ht="12" customHeight="1">
      <c r="A136" s="315" t="s">
        <v>114</v>
      </c>
      <c r="B136" s="315" t="s">
        <v>118</v>
      </c>
      <c r="C136" s="456"/>
      <c r="D136" s="456"/>
      <c r="E136" s="46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S136" s="267" t="str">
        <f t="shared" si="32"/>
        <v/>
      </c>
      <c r="T136" s="267" t="str">
        <f t="shared" si="32"/>
        <v/>
      </c>
      <c r="U136" s="267" t="str">
        <f t="shared" si="32"/>
        <v/>
      </c>
      <c r="V136" s="267" t="str">
        <f t="shared" si="32"/>
        <v/>
      </c>
      <c r="W136" s="267"/>
      <c r="Y136" s="837" t="s">
        <v>598</v>
      </c>
      <c r="Z136" s="241" t="s">
        <v>598</v>
      </c>
    </row>
    <row r="137" spans="1:26" s="275" customFormat="1" ht="12" customHeight="1">
      <c r="A137" s="548" t="s">
        <v>114</v>
      </c>
      <c r="B137" s="548" t="s">
        <v>119</v>
      </c>
      <c r="C137" s="464" t="s">
        <v>98</v>
      </c>
      <c r="D137" s="552" t="s">
        <v>109</v>
      </c>
      <c r="E137" s="407" t="s">
        <v>785</v>
      </c>
      <c r="F137" s="468"/>
      <c r="G137" s="468"/>
      <c r="H137" s="468"/>
      <c r="I137" s="409">
        <f t="shared" si="33"/>
        <v>0</v>
      </c>
      <c r="J137" s="409">
        <v>0</v>
      </c>
      <c r="K137" s="468"/>
      <c r="L137" s="468"/>
      <c r="M137" s="409">
        <f t="shared" si="34"/>
        <v>0</v>
      </c>
      <c r="N137" s="409">
        <f t="shared" si="35"/>
        <v>0</v>
      </c>
      <c r="O137" s="409">
        <f t="shared" si="35"/>
        <v>0</v>
      </c>
      <c r="P137" s="409">
        <f t="shared" si="35"/>
        <v>0</v>
      </c>
      <c r="Q137" s="409">
        <f t="shared" si="36"/>
        <v>0</v>
      </c>
      <c r="R137" s="761"/>
      <c r="S137" s="267" t="str">
        <f t="shared" si="32"/>
        <v/>
      </c>
      <c r="T137" s="267" t="str">
        <f t="shared" si="32"/>
        <v/>
      </c>
      <c r="U137" s="267" t="str">
        <f t="shared" si="32"/>
        <v/>
      </c>
      <c r="V137" s="267" t="str">
        <f t="shared" si="32"/>
        <v/>
      </c>
      <c r="W137" s="553"/>
      <c r="Y137" s="236" t="s">
        <v>598</v>
      </c>
      <c r="Z137" s="240" t="s">
        <v>598</v>
      </c>
    </row>
    <row r="138" spans="1:26" ht="12" customHeight="1">
      <c r="A138" s="548" t="s">
        <v>114</v>
      </c>
      <c r="B138" s="548" t="s">
        <v>119</v>
      </c>
      <c r="C138" s="447" t="s">
        <v>766</v>
      </c>
      <c r="D138" s="549"/>
      <c r="E138" s="447" t="s">
        <v>766</v>
      </c>
      <c r="F138" s="104">
        <f>+'[3]car-SAOB'!C463</f>
        <v>0</v>
      </c>
      <c r="G138" s="104">
        <f>+'[3]car-SAOB'!D463</f>
        <v>2982.57</v>
      </c>
      <c r="H138" s="104">
        <f>+'[3]car-SAOB'!E463</f>
        <v>0</v>
      </c>
      <c r="I138" s="103">
        <f t="shared" si="33"/>
        <v>2982.57</v>
      </c>
      <c r="J138" s="103">
        <v>0</v>
      </c>
      <c r="K138" s="104">
        <f>+'[3]car-SAOB'!H463</f>
        <v>2982.57</v>
      </c>
      <c r="L138" s="104">
        <f>+'[3]car-SAOB'!I463</f>
        <v>0</v>
      </c>
      <c r="M138" s="103">
        <f t="shared" si="34"/>
        <v>2982.57</v>
      </c>
      <c r="N138" s="103">
        <f t="shared" si="35"/>
        <v>0</v>
      </c>
      <c r="O138" s="103">
        <f t="shared" si="35"/>
        <v>0</v>
      </c>
      <c r="P138" s="103">
        <f t="shared" si="35"/>
        <v>0</v>
      </c>
      <c r="Q138" s="103">
        <f t="shared" si="36"/>
        <v>0</v>
      </c>
      <c r="R138" s="760">
        <f>Q138-'[3]car-SAOB'!I352</f>
        <v>0</v>
      </c>
      <c r="S138" s="267" t="str">
        <f t="shared" si="32"/>
        <v/>
      </c>
      <c r="T138" s="267">
        <f t="shared" si="32"/>
        <v>1</v>
      </c>
      <c r="U138" s="267" t="str">
        <f t="shared" si="32"/>
        <v/>
      </c>
      <c r="V138" s="267">
        <f t="shared" si="32"/>
        <v>1</v>
      </c>
      <c r="W138" s="530"/>
      <c r="X138" s="236"/>
      <c r="Y138" s="236" t="s">
        <v>688</v>
      </c>
      <c r="Z138" s="236"/>
    </row>
    <row r="139" spans="1:26" ht="12" customHeight="1">
      <c r="A139" s="548" t="s">
        <v>114</v>
      </c>
      <c r="B139" s="548" t="s">
        <v>119</v>
      </c>
      <c r="C139" s="456"/>
      <c r="D139" s="549"/>
      <c r="E139" s="453" t="s">
        <v>50</v>
      </c>
      <c r="F139" s="103">
        <f>+F140+F141</f>
        <v>0</v>
      </c>
      <c r="G139" s="103">
        <f>+G140+G141</f>
        <v>0</v>
      </c>
      <c r="H139" s="103">
        <f>+H140+H141</f>
        <v>0</v>
      </c>
      <c r="I139" s="103">
        <f t="shared" si="33"/>
        <v>0</v>
      </c>
      <c r="J139" s="103">
        <f>+J140+J141</f>
        <v>0</v>
      </c>
      <c r="K139" s="103">
        <f>+K140+K141</f>
        <v>0</v>
      </c>
      <c r="L139" s="103">
        <f>+L140+L141</f>
        <v>0</v>
      </c>
      <c r="M139" s="103">
        <f t="shared" si="34"/>
        <v>0</v>
      </c>
      <c r="N139" s="103">
        <f t="shared" si="35"/>
        <v>0</v>
      </c>
      <c r="O139" s="103">
        <f t="shared" si="35"/>
        <v>0</v>
      </c>
      <c r="P139" s="103">
        <f t="shared" si="35"/>
        <v>0</v>
      </c>
      <c r="Q139" s="103">
        <f t="shared" si="36"/>
        <v>0</v>
      </c>
      <c r="S139" s="267" t="str">
        <f t="shared" si="32"/>
        <v/>
      </c>
      <c r="T139" s="267" t="str">
        <f t="shared" si="32"/>
        <v/>
      </c>
      <c r="U139" s="267" t="str">
        <f t="shared" si="32"/>
        <v/>
      </c>
      <c r="V139" s="267" t="str">
        <f t="shared" si="32"/>
        <v/>
      </c>
      <c r="W139" s="530"/>
      <c r="X139" s="236"/>
      <c r="Y139" s="236" t="s">
        <v>688</v>
      </c>
      <c r="Z139" s="236"/>
    </row>
    <row r="140" spans="1:26" ht="12" hidden="1" customHeight="1">
      <c r="A140" s="548" t="s">
        <v>114</v>
      </c>
      <c r="B140" s="548" t="s">
        <v>119</v>
      </c>
      <c r="C140" s="458" t="s">
        <v>715</v>
      </c>
      <c r="D140" s="550" t="s">
        <v>715</v>
      </c>
      <c r="E140" s="447" t="s">
        <v>715</v>
      </c>
      <c r="F140" s="104">
        <f>'[3]CONAP - W INC'!F93</f>
        <v>0</v>
      </c>
      <c r="G140" s="104">
        <f>'[3]CONAP - W INC'!G93</f>
        <v>0</v>
      </c>
      <c r="H140" s="104">
        <f>'[3]CONAP - W INC'!H93</f>
        <v>0</v>
      </c>
      <c r="I140" s="103">
        <f t="shared" si="33"/>
        <v>0</v>
      </c>
      <c r="J140" s="103">
        <f>'[3]CONAP - W INC'!J93</f>
        <v>0</v>
      </c>
      <c r="K140" s="104">
        <f>'[3]CONAP - W INC'!K93</f>
        <v>0</v>
      </c>
      <c r="L140" s="104">
        <f>'[3]CONAP - W INC'!L93</f>
        <v>0</v>
      </c>
      <c r="M140" s="103">
        <f t="shared" si="34"/>
        <v>0</v>
      </c>
      <c r="N140" s="103">
        <f t="shared" si="35"/>
        <v>0</v>
      </c>
      <c r="O140" s="103">
        <f t="shared" si="35"/>
        <v>0</v>
      </c>
      <c r="P140" s="103">
        <f t="shared" si="35"/>
        <v>0</v>
      </c>
      <c r="Q140" s="103">
        <f t="shared" si="36"/>
        <v>0</v>
      </c>
      <c r="S140" s="267" t="str">
        <f t="shared" si="32"/>
        <v/>
      </c>
      <c r="T140" s="267" t="str">
        <f t="shared" si="32"/>
        <v/>
      </c>
      <c r="U140" s="267" t="str">
        <f t="shared" si="32"/>
        <v/>
      </c>
      <c r="V140" s="267" t="str">
        <f t="shared" si="32"/>
        <v/>
      </c>
      <c r="W140" s="530"/>
      <c r="X140" s="236"/>
      <c r="Y140" s="236"/>
      <c r="Z140" s="236"/>
    </row>
    <row r="141" spans="1:26" ht="12" hidden="1" customHeight="1">
      <c r="A141" s="548" t="s">
        <v>114</v>
      </c>
      <c r="B141" s="548" t="s">
        <v>119</v>
      </c>
      <c r="C141" s="458" t="s">
        <v>716</v>
      </c>
      <c r="D141" s="550" t="s">
        <v>716</v>
      </c>
      <c r="E141" s="459" t="s">
        <v>716</v>
      </c>
      <c r="F141" s="104">
        <f>'[3]CONAP - W INC'!F94</f>
        <v>0</v>
      </c>
      <c r="G141" s="104">
        <f>'[3]CONAP - W INC'!G94</f>
        <v>0</v>
      </c>
      <c r="H141" s="104">
        <f>'[3]CONAP - W INC'!H94</f>
        <v>0</v>
      </c>
      <c r="I141" s="103">
        <f t="shared" si="33"/>
        <v>0</v>
      </c>
      <c r="J141" s="103">
        <f>'[3]CONAP - W INC'!J94</f>
        <v>0</v>
      </c>
      <c r="K141" s="104">
        <f>'[3]CONAP - W INC'!K94</f>
        <v>0</v>
      </c>
      <c r="L141" s="104">
        <f>'[3]CONAP - W INC'!L94</f>
        <v>0</v>
      </c>
      <c r="M141" s="103">
        <f t="shared" si="34"/>
        <v>0</v>
      </c>
      <c r="N141" s="103">
        <f t="shared" si="35"/>
        <v>0</v>
      </c>
      <c r="O141" s="103">
        <f t="shared" si="35"/>
        <v>0</v>
      </c>
      <c r="P141" s="103">
        <f t="shared" si="35"/>
        <v>0</v>
      </c>
      <c r="Q141" s="103">
        <f t="shared" si="36"/>
        <v>0</v>
      </c>
      <c r="S141" s="267" t="str">
        <f t="shared" si="32"/>
        <v/>
      </c>
      <c r="T141" s="267" t="str">
        <f t="shared" si="32"/>
        <v/>
      </c>
      <c r="U141" s="267" t="str">
        <f t="shared" si="32"/>
        <v/>
      </c>
      <c r="V141" s="267" t="str">
        <f t="shared" si="32"/>
        <v/>
      </c>
      <c r="W141" s="530"/>
      <c r="X141" s="236"/>
      <c r="Y141" s="236"/>
      <c r="Z141" s="236"/>
    </row>
    <row r="142" spans="1:26" s="256" customFormat="1" ht="12" customHeight="1">
      <c r="A142" s="548"/>
      <c r="B142" s="548" t="s">
        <v>119</v>
      </c>
      <c r="C142" s="460"/>
      <c r="D142" s="551"/>
      <c r="E142" s="390" t="s">
        <v>767</v>
      </c>
      <c r="F142" s="391">
        <f>+F139+F138</f>
        <v>0</v>
      </c>
      <c r="G142" s="391">
        <f t="shared" ref="G142:Q142" si="51">+G139+G138</f>
        <v>2982.57</v>
      </c>
      <c r="H142" s="391">
        <f t="shared" si="51"/>
        <v>0</v>
      </c>
      <c r="I142" s="391">
        <f t="shared" si="51"/>
        <v>2982.57</v>
      </c>
      <c r="J142" s="391">
        <f t="shared" si="51"/>
        <v>0</v>
      </c>
      <c r="K142" s="391">
        <f t="shared" si="51"/>
        <v>2982.57</v>
      </c>
      <c r="L142" s="391">
        <f t="shared" si="51"/>
        <v>0</v>
      </c>
      <c r="M142" s="391">
        <f t="shared" si="51"/>
        <v>2982.57</v>
      </c>
      <c r="N142" s="391">
        <f t="shared" si="51"/>
        <v>0</v>
      </c>
      <c r="O142" s="391">
        <f t="shared" si="51"/>
        <v>0</v>
      </c>
      <c r="P142" s="391">
        <f t="shared" si="51"/>
        <v>0</v>
      </c>
      <c r="Q142" s="391">
        <f t="shared" si="51"/>
        <v>0</v>
      </c>
      <c r="R142" s="761"/>
      <c r="S142" s="267" t="str">
        <f t="shared" si="32"/>
        <v/>
      </c>
      <c r="T142" s="267">
        <f t="shared" si="32"/>
        <v>1</v>
      </c>
      <c r="U142" s="267" t="str">
        <f t="shared" si="32"/>
        <v/>
      </c>
      <c r="V142" s="267">
        <f t="shared" si="32"/>
        <v>1</v>
      </c>
      <c r="W142" s="532"/>
      <c r="Y142" s="236" t="s">
        <v>598</v>
      </c>
      <c r="Z142" s="240" t="s">
        <v>598</v>
      </c>
    </row>
    <row r="143" spans="1:26" ht="12" hidden="1" customHeight="1">
      <c r="A143" s="548"/>
      <c r="B143" s="548"/>
      <c r="C143" s="456"/>
      <c r="D143" s="549"/>
      <c r="E143" s="461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S143" s="267" t="str">
        <f t="shared" si="32"/>
        <v/>
      </c>
      <c r="T143" s="267" t="str">
        <f t="shared" si="32"/>
        <v/>
      </c>
      <c r="U143" s="267" t="str">
        <f t="shared" si="32"/>
        <v/>
      </c>
      <c r="V143" s="267" t="str">
        <f t="shared" si="32"/>
        <v/>
      </c>
      <c r="W143" s="530"/>
      <c r="X143" s="236"/>
      <c r="Y143" s="236"/>
      <c r="Z143" s="236"/>
    </row>
    <row r="144" spans="1:26" s="256" customFormat="1" ht="12" customHeight="1">
      <c r="A144" s="548" t="s">
        <v>114</v>
      </c>
      <c r="B144" s="548" t="s">
        <v>119</v>
      </c>
      <c r="C144" s="460"/>
      <c r="D144" s="551" t="s">
        <v>98</v>
      </c>
      <c r="E144" s="390" t="s">
        <v>100</v>
      </c>
      <c r="F144" s="391">
        <f>SUM(F145:F145)</f>
        <v>0</v>
      </c>
      <c r="G144" s="391">
        <f>SUM(G145:G145)</f>
        <v>0</v>
      </c>
      <c r="H144" s="391">
        <f>SUM(H145:H145)</f>
        <v>0</v>
      </c>
      <c r="I144" s="391">
        <f>+F144+G144+H144</f>
        <v>0</v>
      </c>
      <c r="J144" s="391">
        <v>0</v>
      </c>
      <c r="K144" s="391">
        <f>SUM(K145:K145)</f>
        <v>0</v>
      </c>
      <c r="L144" s="391">
        <f>SUM(L145:L145)</f>
        <v>0</v>
      </c>
      <c r="M144" s="391">
        <f>+J144+K144+L144</f>
        <v>0</v>
      </c>
      <c r="N144" s="391">
        <f t="shared" ref="N144:P145" si="52">+F144-J144</f>
        <v>0</v>
      </c>
      <c r="O144" s="391">
        <f t="shared" si="52"/>
        <v>0</v>
      </c>
      <c r="P144" s="391">
        <f t="shared" si="52"/>
        <v>0</v>
      </c>
      <c r="Q144" s="391">
        <f>+N144+O144+P144</f>
        <v>0</v>
      </c>
      <c r="R144" s="761">
        <f>Q144-'[3]car-SAOB'!BT352</f>
        <v>0</v>
      </c>
      <c r="S144" s="267" t="str">
        <f t="shared" si="32"/>
        <v/>
      </c>
      <c r="T144" s="267" t="str">
        <f t="shared" si="32"/>
        <v/>
      </c>
      <c r="U144" s="267" t="str">
        <f t="shared" si="32"/>
        <v/>
      </c>
      <c r="V144" s="267" t="str">
        <f t="shared" si="32"/>
        <v/>
      </c>
      <c r="W144" s="532"/>
      <c r="Y144" s="236" t="s">
        <v>598</v>
      </c>
      <c r="Z144" s="240" t="s">
        <v>598</v>
      </c>
    </row>
    <row r="145" spans="1:26" ht="12" customHeight="1">
      <c r="A145" s="548" t="s">
        <v>114</v>
      </c>
      <c r="B145" s="548" t="s">
        <v>119</v>
      </c>
      <c r="C145" s="456"/>
      <c r="D145" s="549"/>
      <c r="E145" s="462" t="s">
        <v>290</v>
      </c>
      <c r="F145" s="103">
        <v>0</v>
      </c>
      <c r="G145" s="103">
        <f>SUM('[3]car-SAOB'!AY223)</f>
        <v>0</v>
      </c>
      <c r="H145" s="103">
        <f>SUM('[3]car-SAOB'!AY315)</f>
        <v>0</v>
      </c>
      <c r="I145" s="103">
        <f>+F145+G145+H145</f>
        <v>0</v>
      </c>
      <c r="J145" s="103">
        <v>0</v>
      </c>
      <c r="K145" s="103">
        <f>SUM('[3]car-SAOB'!AY224)</f>
        <v>0</v>
      </c>
      <c r="L145" s="103">
        <f>SUM('[3]car-SAOB'!AY316)</f>
        <v>0</v>
      </c>
      <c r="M145" s="103">
        <f>+J145+K145+L145</f>
        <v>0</v>
      </c>
      <c r="N145" s="103">
        <f t="shared" si="52"/>
        <v>0</v>
      </c>
      <c r="O145" s="103">
        <f t="shared" si="52"/>
        <v>0</v>
      </c>
      <c r="P145" s="103">
        <f t="shared" si="52"/>
        <v>0</v>
      </c>
      <c r="Q145" s="103">
        <f>+N145+O145+P145</f>
        <v>0</v>
      </c>
      <c r="R145" s="760">
        <f>Q145-'[3]car-SAOB'!AY352</f>
        <v>0</v>
      </c>
      <c r="S145" s="267" t="str">
        <f t="shared" si="32"/>
        <v/>
      </c>
      <c r="T145" s="267" t="str">
        <f t="shared" si="32"/>
        <v/>
      </c>
      <c r="U145" s="267" t="str">
        <f t="shared" si="32"/>
        <v/>
      </c>
      <c r="V145" s="267" t="str">
        <f t="shared" si="32"/>
        <v/>
      </c>
      <c r="W145" s="530"/>
      <c r="X145" s="236"/>
      <c r="Y145" s="236" t="s">
        <v>598</v>
      </c>
      <c r="Z145" s="236"/>
    </row>
    <row r="146" spans="1:26" s="259" customFormat="1" ht="12" customHeight="1">
      <c r="A146" s="315" t="s">
        <v>114</v>
      </c>
      <c r="B146" s="315" t="s">
        <v>119</v>
      </c>
      <c r="C146" s="1096"/>
      <c r="D146" s="466"/>
      <c r="E146" s="1097" t="s">
        <v>4</v>
      </c>
      <c r="F146" s="652">
        <f>+F144+F142</f>
        <v>0</v>
      </c>
      <c r="G146" s="652">
        <f t="shared" ref="G146:Q146" si="53">+G144+G142</f>
        <v>2982.57</v>
      </c>
      <c r="H146" s="652">
        <f t="shared" si="53"/>
        <v>0</v>
      </c>
      <c r="I146" s="652">
        <f t="shared" si="53"/>
        <v>2982.57</v>
      </c>
      <c r="J146" s="652">
        <f t="shared" si="53"/>
        <v>0</v>
      </c>
      <c r="K146" s="652">
        <f t="shared" si="53"/>
        <v>2982.57</v>
      </c>
      <c r="L146" s="652">
        <f t="shared" si="53"/>
        <v>0</v>
      </c>
      <c r="M146" s="652">
        <f t="shared" si="53"/>
        <v>2982.57</v>
      </c>
      <c r="N146" s="652">
        <f t="shared" si="53"/>
        <v>0</v>
      </c>
      <c r="O146" s="652">
        <f t="shared" si="53"/>
        <v>0</v>
      </c>
      <c r="P146" s="652">
        <f t="shared" si="53"/>
        <v>0</v>
      </c>
      <c r="Q146" s="652">
        <f t="shared" si="53"/>
        <v>0</v>
      </c>
      <c r="R146" s="1095">
        <f>Q146-'[3]car-SAOB'!CA352</f>
        <v>0</v>
      </c>
      <c r="S146" s="524" t="str">
        <f t="shared" si="32"/>
        <v/>
      </c>
      <c r="T146" s="524">
        <f t="shared" si="32"/>
        <v>1</v>
      </c>
      <c r="U146" s="524" t="str">
        <f t="shared" si="32"/>
        <v/>
      </c>
      <c r="V146" s="524">
        <f t="shared" si="32"/>
        <v>1</v>
      </c>
      <c r="W146" s="344"/>
      <c r="X146" s="520"/>
      <c r="Y146" s="837" t="s">
        <v>598</v>
      </c>
      <c r="Z146" s="241" t="s">
        <v>598</v>
      </c>
    </row>
    <row r="147" spans="1:26" ht="12" customHeight="1">
      <c r="A147" s="315" t="s">
        <v>114</v>
      </c>
      <c r="B147" s="315" t="s">
        <v>119</v>
      </c>
      <c r="C147" s="456"/>
      <c r="D147" s="456"/>
      <c r="E147" s="46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S147" s="267" t="str">
        <f t="shared" si="32"/>
        <v/>
      </c>
      <c r="T147" s="267" t="str">
        <f t="shared" si="32"/>
        <v/>
      </c>
      <c r="U147" s="267" t="str">
        <f t="shared" si="32"/>
        <v/>
      </c>
      <c r="V147" s="267" t="str">
        <f t="shared" si="32"/>
        <v/>
      </c>
      <c r="W147" s="267"/>
      <c r="Y147" s="837" t="s">
        <v>598</v>
      </c>
      <c r="Z147" s="241" t="s">
        <v>598</v>
      </c>
    </row>
    <row r="148" spans="1:26" s="275" customFormat="1" ht="12" customHeight="1">
      <c r="A148" s="548" t="s">
        <v>114</v>
      </c>
      <c r="B148" s="548" t="s">
        <v>120</v>
      </c>
      <c r="C148" s="464" t="s">
        <v>98</v>
      </c>
      <c r="D148" s="552" t="s">
        <v>111</v>
      </c>
      <c r="E148" s="407" t="s">
        <v>786</v>
      </c>
      <c r="F148" s="468"/>
      <c r="G148" s="468"/>
      <c r="H148" s="468"/>
      <c r="I148" s="409">
        <f t="shared" ref="I148:I201" si="54">+F148+G148+H148</f>
        <v>0</v>
      </c>
      <c r="J148" s="409">
        <v>0</v>
      </c>
      <c r="K148" s="468"/>
      <c r="L148" s="468"/>
      <c r="M148" s="409">
        <f t="shared" ref="M148:M201" si="55">+J148+K148+L148</f>
        <v>0</v>
      </c>
      <c r="N148" s="409">
        <f t="shared" ref="N148:P201" si="56">+F148-J148</f>
        <v>0</v>
      </c>
      <c r="O148" s="409">
        <f t="shared" si="56"/>
        <v>0</v>
      </c>
      <c r="P148" s="409">
        <f t="shared" si="56"/>
        <v>0</v>
      </c>
      <c r="Q148" s="409">
        <f t="shared" ref="Q148:Q201" si="57">+N148+O148+P148</f>
        <v>0</v>
      </c>
      <c r="R148" s="761"/>
      <c r="S148" s="267" t="str">
        <f t="shared" si="32"/>
        <v/>
      </c>
      <c r="T148" s="267" t="str">
        <f t="shared" si="32"/>
        <v/>
      </c>
      <c r="U148" s="267" t="str">
        <f t="shared" si="32"/>
        <v/>
      </c>
      <c r="V148" s="267" t="str">
        <f t="shared" si="32"/>
        <v/>
      </c>
      <c r="W148" s="553"/>
      <c r="Y148" s="236" t="s">
        <v>598</v>
      </c>
      <c r="Z148" s="240" t="s">
        <v>598</v>
      </c>
    </row>
    <row r="149" spans="1:26" ht="12" customHeight="1">
      <c r="A149" s="548" t="s">
        <v>114</v>
      </c>
      <c r="B149" s="548" t="s">
        <v>120</v>
      </c>
      <c r="C149" s="447" t="s">
        <v>766</v>
      </c>
      <c r="D149" s="549"/>
      <c r="E149" s="447" t="s">
        <v>766</v>
      </c>
      <c r="F149" s="104">
        <f>+'[3]car-SAOB'!C469</f>
        <v>0</v>
      </c>
      <c r="G149" s="104">
        <f>+'[3]car-SAOB'!D469</f>
        <v>0</v>
      </c>
      <c r="H149" s="104">
        <f>+'[3]car-SAOB'!E469</f>
        <v>0</v>
      </c>
      <c r="I149" s="103">
        <f t="shared" si="54"/>
        <v>0</v>
      </c>
      <c r="J149" s="103">
        <v>0</v>
      </c>
      <c r="K149" s="104">
        <f>+'[3]car-SAOB'!H469</f>
        <v>0</v>
      </c>
      <c r="L149" s="104">
        <f>+'[3]car-SAOB'!I469</f>
        <v>0</v>
      </c>
      <c r="M149" s="103">
        <f t="shared" si="55"/>
        <v>0</v>
      </c>
      <c r="N149" s="103">
        <f t="shared" si="56"/>
        <v>0</v>
      </c>
      <c r="O149" s="103">
        <f t="shared" si="56"/>
        <v>0</v>
      </c>
      <c r="P149" s="103">
        <f t="shared" si="56"/>
        <v>0</v>
      </c>
      <c r="Q149" s="103">
        <f t="shared" si="57"/>
        <v>0</v>
      </c>
      <c r="R149" s="760">
        <f>Q149-'[3]car-SAOB'!J352</f>
        <v>0</v>
      </c>
      <c r="S149" s="267" t="str">
        <f t="shared" si="32"/>
        <v/>
      </c>
      <c r="T149" s="267" t="str">
        <f t="shared" si="32"/>
        <v/>
      </c>
      <c r="U149" s="267" t="str">
        <f t="shared" si="32"/>
        <v/>
      </c>
      <c r="V149" s="267" t="str">
        <f t="shared" si="32"/>
        <v/>
      </c>
      <c r="W149" s="530"/>
      <c r="X149" s="236"/>
      <c r="Y149" s="236" t="s">
        <v>688</v>
      </c>
      <c r="Z149" s="236"/>
    </row>
    <row r="150" spans="1:26" ht="12" customHeight="1">
      <c r="A150" s="548" t="s">
        <v>114</v>
      </c>
      <c r="B150" s="548" t="s">
        <v>120</v>
      </c>
      <c r="C150" s="456"/>
      <c r="D150" s="549"/>
      <c r="E150" s="453" t="s">
        <v>50</v>
      </c>
      <c r="F150" s="103">
        <f>+F151+F152</f>
        <v>0</v>
      </c>
      <c r="G150" s="103">
        <f>+G151+G152</f>
        <v>0</v>
      </c>
      <c r="H150" s="103">
        <f>+H151+H152</f>
        <v>0</v>
      </c>
      <c r="I150" s="103">
        <f t="shared" si="54"/>
        <v>0</v>
      </c>
      <c r="J150" s="103">
        <f>+J151+J152</f>
        <v>0</v>
      </c>
      <c r="K150" s="103">
        <f>+K151+K152</f>
        <v>0</v>
      </c>
      <c r="L150" s="103">
        <f>+L151+L152</f>
        <v>0</v>
      </c>
      <c r="M150" s="103">
        <f t="shared" si="55"/>
        <v>0</v>
      </c>
      <c r="N150" s="103">
        <f t="shared" si="56"/>
        <v>0</v>
      </c>
      <c r="O150" s="103">
        <f t="shared" si="56"/>
        <v>0</v>
      </c>
      <c r="P150" s="103">
        <f t="shared" si="56"/>
        <v>0</v>
      </c>
      <c r="Q150" s="103">
        <f t="shared" si="57"/>
        <v>0</v>
      </c>
      <c r="S150" s="267" t="str">
        <f t="shared" si="32"/>
        <v/>
      </c>
      <c r="T150" s="267" t="str">
        <f t="shared" si="32"/>
        <v/>
      </c>
      <c r="U150" s="267" t="str">
        <f t="shared" si="32"/>
        <v/>
      </c>
      <c r="V150" s="267" t="str">
        <f t="shared" si="32"/>
        <v/>
      </c>
      <c r="W150" s="530"/>
      <c r="X150" s="236"/>
      <c r="Y150" s="236" t="s">
        <v>688</v>
      </c>
      <c r="Z150" s="236"/>
    </row>
    <row r="151" spans="1:26" ht="12" hidden="1" customHeight="1">
      <c r="A151" s="548" t="s">
        <v>114</v>
      </c>
      <c r="B151" s="548" t="s">
        <v>120</v>
      </c>
      <c r="C151" s="458" t="s">
        <v>715</v>
      </c>
      <c r="D151" s="550" t="s">
        <v>715</v>
      </c>
      <c r="E151" s="447" t="s">
        <v>715</v>
      </c>
      <c r="F151" s="104">
        <v>0</v>
      </c>
      <c r="G151" s="104">
        <f>+'[3]car-SAOB'!AB223</f>
        <v>-587518.53</v>
      </c>
      <c r="H151" s="104">
        <f>+'[3]car-SAOB'!AB315</f>
        <v>0</v>
      </c>
      <c r="I151" s="103">
        <f t="shared" si="54"/>
        <v>-587518.53</v>
      </c>
      <c r="J151" s="103">
        <v>0</v>
      </c>
      <c r="K151" s="104">
        <f>+'[3]car-SAOB'!AB224-'[3]car-SAOB'!AB229</f>
        <v>0</v>
      </c>
      <c r="L151" s="104">
        <v>0</v>
      </c>
      <c r="M151" s="103">
        <f t="shared" si="55"/>
        <v>0</v>
      </c>
      <c r="N151" s="103">
        <f t="shared" si="56"/>
        <v>0</v>
      </c>
      <c r="O151" s="103">
        <f t="shared" si="56"/>
        <v>-587518.53</v>
      </c>
      <c r="P151" s="103">
        <f t="shared" si="56"/>
        <v>0</v>
      </c>
      <c r="Q151" s="103">
        <f t="shared" si="57"/>
        <v>-587518.53</v>
      </c>
      <c r="S151" s="267" t="str">
        <f t="shared" si="32"/>
        <v/>
      </c>
      <c r="T151" s="267">
        <f t="shared" si="32"/>
        <v>0</v>
      </c>
      <c r="U151" s="267" t="str">
        <f t="shared" si="32"/>
        <v/>
      </c>
      <c r="V151" s="267">
        <f t="shared" ref="V151:V214" si="58">IF(I151=0,"",M151/I151)</f>
        <v>0</v>
      </c>
      <c r="W151" s="530"/>
      <c r="X151" s="236"/>
      <c r="Y151" s="236"/>
      <c r="Z151" s="236"/>
    </row>
    <row r="152" spans="1:26" ht="12" hidden="1" customHeight="1">
      <c r="A152" s="548" t="s">
        <v>114</v>
      </c>
      <c r="B152" s="548" t="s">
        <v>120</v>
      </c>
      <c r="C152" s="458" t="s">
        <v>716</v>
      </c>
      <c r="D152" s="550" t="s">
        <v>716</v>
      </c>
      <c r="E152" s="459" t="s">
        <v>716</v>
      </c>
      <c r="F152" s="104"/>
      <c r="G152" s="104">
        <f>+'[3]car-SAOB'!BF223</f>
        <v>587518.53</v>
      </c>
      <c r="H152" s="104">
        <f>+'[3]car-SAOB'!BF315</f>
        <v>0</v>
      </c>
      <c r="I152" s="103">
        <f t="shared" si="54"/>
        <v>587518.53</v>
      </c>
      <c r="J152" s="103"/>
      <c r="K152" s="104">
        <f>+'[3]car-SAOB'!BF224</f>
        <v>0</v>
      </c>
      <c r="L152" s="104">
        <f>+'[3]car-SAOB'!BF316</f>
        <v>0</v>
      </c>
      <c r="M152" s="103">
        <f t="shared" si="55"/>
        <v>0</v>
      </c>
      <c r="N152" s="103">
        <f t="shared" si="56"/>
        <v>0</v>
      </c>
      <c r="O152" s="103">
        <f t="shared" si="56"/>
        <v>587518.53</v>
      </c>
      <c r="P152" s="103">
        <f t="shared" si="56"/>
        <v>0</v>
      </c>
      <c r="Q152" s="103">
        <f t="shared" si="57"/>
        <v>587518.53</v>
      </c>
      <c r="S152" s="267" t="str">
        <f t="shared" ref="S152:V215" si="59">IF(F152=0,"",J152/F152)</f>
        <v/>
      </c>
      <c r="T152" s="267">
        <f t="shared" si="59"/>
        <v>0</v>
      </c>
      <c r="U152" s="267" t="str">
        <f t="shared" si="59"/>
        <v/>
      </c>
      <c r="V152" s="267">
        <f t="shared" si="58"/>
        <v>0</v>
      </c>
      <c r="W152" s="530"/>
      <c r="X152" s="236"/>
      <c r="Y152" s="236"/>
      <c r="Z152" s="236"/>
    </row>
    <row r="153" spans="1:26" s="256" customFormat="1" ht="12" customHeight="1">
      <c r="A153" s="548"/>
      <c r="B153" s="548" t="s">
        <v>120</v>
      </c>
      <c r="C153" s="460"/>
      <c r="D153" s="551"/>
      <c r="E153" s="390" t="s">
        <v>767</v>
      </c>
      <c r="F153" s="391">
        <f>+F150+F149</f>
        <v>0</v>
      </c>
      <c r="G153" s="391">
        <f t="shared" ref="G153:Q153" si="60">+G150+G149</f>
        <v>0</v>
      </c>
      <c r="H153" s="391">
        <f t="shared" si="60"/>
        <v>0</v>
      </c>
      <c r="I153" s="391">
        <f t="shared" si="60"/>
        <v>0</v>
      </c>
      <c r="J153" s="391">
        <f t="shared" si="60"/>
        <v>0</v>
      </c>
      <c r="K153" s="391">
        <f t="shared" si="60"/>
        <v>0</v>
      </c>
      <c r="L153" s="391">
        <f t="shared" si="60"/>
        <v>0</v>
      </c>
      <c r="M153" s="391">
        <f t="shared" si="60"/>
        <v>0</v>
      </c>
      <c r="N153" s="391">
        <f t="shared" si="60"/>
        <v>0</v>
      </c>
      <c r="O153" s="391">
        <f t="shared" si="60"/>
        <v>0</v>
      </c>
      <c r="P153" s="391">
        <f t="shared" si="60"/>
        <v>0</v>
      </c>
      <c r="Q153" s="391">
        <f t="shared" si="60"/>
        <v>0</v>
      </c>
      <c r="R153" s="761"/>
      <c r="S153" s="267" t="str">
        <f t="shared" si="59"/>
        <v/>
      </c>
      <c r="T153" s="267" t="str">
        <f t="shared" si="59"/>
        <v/>
      </c>
      <c r="U153" s="267" t="str">
        <f t="shared" si="59"/>
        <v/>
      </c>
      <c r="V153" s="267" t="str">
        <f t="shared" si="58"/>
        <v/>
      </c>
      <c r="W153" s="532"/>
      <c r="Y153" s="236" t="s">
        <v>598</v>
      </c>
      <c r="Z153" s="240" t="s">
        <v>598</v>
      </c>
    </row>
    <row r="154" spans="1:26" ht="12" hidden="1" customHeight="1">
      <c r="A154" s="548"/>
      <c r="B154" s="548"/>
      <c r="C154" s="456"/>
      <c r="D154" s="549"/>
      <c r="E154" s="461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S154" s="267" t="str">
        <f t="shared" si="59"/>
        <v/>
      </c>
      <c r="T154" s="267" t="str">
        <f t="shared" si="59"/>
        <v/>
      </c>
      <c r="U154" s="267" t="str">
        <f t="shared" si="59"/>
        <v/>
      </c>
      <c r="V154" s="267" t="str">
        <f t="shared" si="58"/>
        <v/>
      </c>
      <c r="W154" s="530"/>
      <c r="X154" s="236"/>
      <c r="Y154" s="236"/>
      <c r="Z154" s="236"/>
    </row>
    <row r="155" spans="1:26" s="256" customFormat="1" ht="12" customHeight="1">
      <c r="A155" s="548" t="s">
        <v>114</v>
      </c>
      <c r="B155" s="548" t="s">
        <v>120</v>
      </c>
      <c r="C155" s="460"/>
      <c r="D155" s="551" t="s">
        <v>98</v>
      </c>
      <c r="E155" s="390" t="s">
        <v>100</v>
      </c>
      <c r="F155" s="391">
        <f t="shared" ref="F155:Q155" si="61">SUM(F156:F156)</f>
        <v>0</v>
      </c>
      <c r="G155" s="391">
        <f t="shared" si="61"/>
        <v>0</v>
      </c>
      <c r="H155" s="391">
        <f t="shared" si="61"/>
        <v>0</v>
      </c>
      <c r="I155" s="391">
        <f t="shared" si="61"/>
        <v>0</v>
      </c>
      <c r="J155" s="391">
        <f t="shared" si="61"/>
        <v>0</v>
      </c>
      <c r="K155" s="391">
        <f t="shared" si="61"/>
        <v>0</v>
      </c>
      <c r="L155" s="391">
        <f t="shared" si="61"/>
        <v>0</v>
      </c>
      <c r="M155" s="391">
        <f t="shared" si="61"/>
        <v>0</v>
      </c>
      <c r="N155" s="391">
        <f t="shared" si="61"/>
        <v>0</v>
      </c>
      <c r="O155" s="391">
        <f t="shared" si="61"/>
        <v>0</v>
      </c>
      <c r="P155" s="391">
        <f t="shared" si="61"/>
        <v>0</v>
      </c>
      <c r="Q155" s="391">
        <f t="shared" si="61"/>
        <v>0</v>
      </c>
      <c r="R155" s="761"/>
      <c r="S155" s="267" t="str">
        <f t="shared" si="59"/>
        <v/>
      </c>
      <c r="T155" s="267" t="str">
        <f t="shared" si="59"/>
        <v/>
      </c>
      <c r="U155" s="267" t="str">
        <f t="shared" si="59"/>
        <v/>
      </c>
      <c r="V155" s="267" t="str">
        <f t="shared" si="58"/>
        <v/>
      </c>
      <c r="W155" s="532"/>
      <c r="Y155" s="236" t="s">
        <v>598</v>
      </c>
      <c r="Z155" s="240" t="s">
        <v>598</v>
      </c>
    </row>
    <row r="156" spans="1:26" ht="12" customHeight="1">
      <c r="A156" s="548" t="s">
        <v>114</v>
      </c>
      <c r="B156" s="548" t="s">
        <v>120</v>
      </c>
      <c r="C156" s="456"/>
      <c r="D156" s="549"/>
      <c r="E156" s="462" t="s">
        <v>290</v>
      </c>
      <c r="F156" s="103">
        <v>0</v>
      </c>
      <c r="G156" s="103">
        <f>SUM('[3]car-SAOB'!AZ223)</f>
        <v>0</v>
      </c>
      <c r="H156" s="103">
        <f>SUM('[3]car-SAOB'!AZ315)</f>
        <v>0</v>
      </c>
      <c r="I156" s="103">
        <f>+F156+G156+H156</f>
        <v>0</v>
      </c>
      <c r="J156" s="103">
        <v>0</v>
      </c>
      <c r="K156" s="103">
        <f>SUM('[3]car-SAOB'!AZ224)</f>
        <v>0</v>
      </c>
      <c r="L156" s="103">
        <f>SUM('[3]car-SAOB'!AZ316)</f>
        <v>0</v>
      </c>
      <c r="M156" s="103">
        <f>+J156+K156+L156</f>
        <v>0</v>
      </c>
      <c r="N156" s="103">
        <f>+F156-J156</f>
        <v>0</v>
      </c>
      <c r="O156" s="103">
        <f>+G156-K156</f>
        <v>0</v>
      </c>
      <c r="P156" s="103">
        <f>+H156-L156</f>
        <v>0</v>
      </c>
      <c r="Q156" s="103">
        <f>+N156+O156+P156</f>
        <v>0</v>
      </c>
      <c r="R156" s="760">
        <f>Q156-'[3]car-SAOB'!AZ352</f>
        <v>0</v>
      </c>
      <c r="S156" s="267" t="str">
        <f t="shared" si="59"/>
        <v/>
      </c>
      <c r="T156" s="267" t="str">
        <f t="shared" si="59"/>
        <v/>
      </c>
      <c r="U156" s="267" t="str">
        <f t="shared" si="59"/>
        <v/>
      </c>
      <c r="V156" s="267" t="str">
        <f t="shared" si="58"/>
        <v/>
      </c>
      <c r="W156" s="530"/>
      <c r="X156" s="236"/>
      <c r="Y156" s="236" t="s">
        <v>598</v>
      </c>
      <c r="Z156" s="236"/>
    </row>
    <row r="157" spans="1:26" s="259" customFormat="1" ht="12" customHeight="1">
      <c r="A157" s="315" t="s">
        <v>114</v>
      </c>
      <c r="B157" s="315" t="s">
        <v>120</v>
      </c>
      <c r="C157" s="1096"/>
      <c r="D157" s="466"/>
      <c r="E157" s="1097" t="s">
        <v>4</v>
      </c>
      <c r="F157" s="652">
        <f>+F155+F153</f>
        <v>0</v>
      </c>
      <c r="G157" s="652">
        <f t="shared" ref="G157:Q157" si="62">+G155+G153</f>
        <v>0</v>
      </c>
      <c r="H157" s="652">
        <f t="shared" si="62"/>
        <v>0</v>
      </c>
      <c r="I157" s="652">
        <f t="shared" si="62"/>
        <v>0</v>
      </c>
      <c r="J157" s="652">
        <f t="shared" si="62"/>
        <v>0</v>
      </c>
      <c r="K157" s="652">
        <f t="shared" si="62"/>
        <v>0</v>
      </c>
      <c r="L157" s="652">
        <f t="shared" si="62"/>
        <v>0</v>
      </c>
      <c r="M157" s="652">
        <f t="shared" si="62"/>
        <v>0</v>
      </c>
      <c r="N157" s="652">
        <f t="shared" si="62"/>
        <v>0</v>
      </c>
      <c r="O157" s="652">
        <f t="shared" si="62"/>
        <v>0</v>
      </c>
      <c r="P157" s="652">
        <f t="shared" si="62"/>
        <v>0</v>
      </c>
      <c r="Q157" s="652">
        <f t="shared" si="62"/>
        <v>0</v>
      </c>
      <c r="R157" s="1095">
        <f>+Q157-'[3]car-SAOB'!CB352</f>
        <v>0</v>
      </c>
      <c r="S157" s="524" t="str">
        <f t="shared" si="59"/>
        <v/>
      </c>
      <c r="T157" s="524" t="str">
        <f t="shared" si="59"/>
        <v/>
      </c>
      <c r="U157" s="524" t="str">
        <f t="shared" si="59"/>
        <v/>
      </c>
      <c r="V157" s="524" t="str">
        <f t="shared" si="58"/>
        <v/>
      </c>
      <c r="W157" s="344"/>
      <c r="X157" s="520"/>
      <c r="Y157" s="837" t="s">
        <v>598</v>
      </c>
      <c r="Z157" s="241" t="s">
        <v>598</v>
      </c>
    </row>
    <row r="158" spans="1:26" s="660" customFormat="1" ht="12" hidden="1" customHeight="1">
      <c r="A158" s="315" t="s">
        <v>114</v>
      </c>
      <c r="B158" s="315" t="s">
        <v>115</v>
      </c>
      <c r="C158" s="1467" t="s">
        <v>600</v>
      </c>
      <c r="D158" s="1468"/>
      <c r="E158" s="1469"/>
      <c r="F158" s="659">
        <f>+F124+F135+F146+F157</f>
        <v>0</v>
      </c>
      <c r="G158" s="659">
        <f>+G124+G135+G146+G157</f>
        <v>2982.57</v>
      </c>
      <c r="H158" s="659">
        <f>+H124+H135+H146+H157</f>
        <v>0</v>
      </c>
      <c r="I158" s="659">
        <f t="shared" si="54"/>
        <v>2982.57</v>
      </c>
      <c r="J158" s="659">
        <v>0</v>
      </c>
      <c r="K158" s="659">
        <f>+K124+K135+K146+K157</f>
        <v>2982.57</v>
      </c>
      <c r="L158" s="659">
        <f>+L124+L135+L146+L157</f>
        <v>0</v>
      </c>
      <c r="M158" s="659">
        <f t="shared" si="55"/>
        <v>2982.57</v>
      </c>
      <c r="N158" s="659">
        <f t="shared" si="56"/>
        <v>0</v>
      </c>
      <c r="O158" s="659">
        <f t="shared" si="56"/>
        <v>0</v>
      </c>
      <c r="P158" s="659">
        <f t="shared" si="56"/>
        <v>0</v>
      </c>
      <c r="Q158" s="659">
        <f t="shared" si="57"/>
        <v>0</v>
      </c>
      <c r="R158" s="1098"/>
      <c r="S158" s="661" t="str">
        <f t="shared" si="59"/>
        <v/>
      </c>
      <c r="T158" s="661">
        <f t="shared" si="59"/>
        <v>1</v>
      </c>
      <c r="U158" s="661" t="str">
        <f t="shared" si="59"/>
        <v/>
      </c>
      <c r="V158" s="661">
        <f t="shared" si="58"/>
        <v>1</v>
      </c>
      <c r="W158" s="295"/>
      <c r="X158" s="520"/>
      <c r="Y158" s="837"/>
      <c r="Z158" s="241"/>
    </row>
    <row r="159" spans="1:26" ht="12" hidden="1" customHeight="1">
      <c r="A159" s="315" t="s">
        <v>114</v>
      </c>
      <c r="B159" s="315" t="s">
        <v>115</v>
      </c>
      <c r="C159" s="469"/>
      <c r="D159" s="470"/>
      <c r="E159" s="471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S159" s="267" t="str">
        <f t="shared" si="59"/>
        <v/>
      </c>
      <c r="T159" s="267" t="str">
        <f t="shared" si="59"/>
        <v/>
      </c>
      <c r="U159" s="267" t="str">
        <f t="shared" si="59"/>
        <v/>
      </c>
      <c r="V159" s="267" t="str">
        <f t="shared" si="58"/>
        <v/>
      </c>
      <c r="W159" s="267"/>
      <c r="X159" s="237" t="s">
        <v>598</v>
      </c>
    </row>
    <row r="160" spans="1:26" s="275" customFormat="1" ht="12.75" hidden="1" customHeight="1">
      <c r="A160" s="315" t="s">
        <v>787</v>
      </c>
      <c r="B160" s="315" t="s">
        <v>787</v>
      </c>
      <c r="C160" s="464" t="s">
        <v>787</v>
      </c>
      <c r="D160" s="464"/>
      <c r="E160" s="472"/>
      <c r="F160" s="409"/>
      <c r="G160" s="409"/>
      <c r="H160" s="409"/>
      <c r="I160" s="409">
        <f t="shared" si="54"/>
        <v>0</v>
      </c>
      <c r="J160" s="409">
        <v>0</v>
      </c>
      <c r="K160" s="409"/>
      <c r="L160" s="409"/>
      <c r="M160" s="409">
        <f t="shared" si="55"/>
        <v>0</v>
      </c>
      <c r="N160" s="409">
        <f t="shared" si="56"/>
        <v>0</v>
      </c>
      <c r="O160" s="409">
        <f t="shared" si="56"/>
        <v>0</v>
      </c>
      <c r="P160" s="409">
        <f t="shared" si="56"/>
        <v>0</v>
      </c>
      <c r="Q160" s="409">
        <f t="shared" si="57"/>
        <v>0</v>
      </c>
      <c r="R160" s="761"/>
      <c r="S160" s="267" t="str">
        <f t="shared" si="59"/>
        <v/>
      </c>
      <c r="T160" s="267" t="str">
        <f t="shared" si="59"/>
        <v/>
      </c>
      <c r="U160" s="267" t="str">
        <f t="shared" si="59"/>
        <v/>
      </c>
      <c r="V160" s="267" t="str">
        <f t="shared" si="58"/>
        <v/>
      </c>
      <c r="W160" s="251"/>
      <c r="X160" s="237" t="s">
        <v>598</v>
      </c>
      <c r="Y160" s="839"/>
      <c r="Z160" s="253"/>
    </row>
    <row r="161" spans="1:26" ht="12" hidden="1" customHeight="1">
      <c r="A161" s="315" t="s">
        <v>601</v>
      </c>
      <c r="B161" s="315" t="s">
        <v>115</v>
      </c>
      <c r="C161" s="447" t="s">
        <v>766</v>
      </c>
      <c r="D161" s="456" t="s">
        <v>98</v>
      </c>
      <c r="E161" s="447" t="s">
        <v>766</v>
      </c>
      <c r="F161" s="103">
        <f>+F101+F116+F127+F138+F149</f>
        <v>0</v>
      </c>
      <c r="G161" s="103">
        <f>+G101+G116+G127+G138+G149</f>
        <v>229891.40000000002</v>
      </c>
      <c r="H161" s="103">
        <f>+H101+H116+H127+H138+H149</f>
        <v>1237960</v>
      </c>
      <c r="I161" s="103">
        <f t="shared" si="54"/>
        <v>1467851.4</v>
      </c>
      <c r="J161" s="103">
        <v>0</v>
      </c>
      <c r="K161" s="103">
        <f>+K101+K116+K127+K138+K149</f>
        <v>229891.40000000002</v>
      </c>
      <c r="L161" s="103">
        <f>+L101+L116+L127+L138+L149</f>
        <v>1188000.03</v>
      </c>
      <c r="M161" s="103">
        <f t="shared" si="55"/>
        <v>1417891.4300000002</v>
      </c>
      <c r="N161" s="103">
        <f t="shared" si="56"/>
        <v>0</v>
      </c>
      <c r="O161" s="103">
        <f t="shared" si="56"/>
        <v>0</v>
      </c>
      <c r="P161" s="103">
        <f t="shared" si="56"/>
        <v>49959.969999999972</v>
      </c>
      <c r="Q161" s="103">
        <f t="shared" si="57"/>
        <v>49959.969999999972</v>
      </c>
      <c r="R161" s="760">
        <f>Q161-'[3]car-SAOB'!K352</f>
        <v>2.3283064365386963E-10</v>
      </c>
      <c r="S161" s="267" t="str">
        <f t="shared" si="59"/>
        <v/>
      </c>
      <c r="T161" s="267">
        <f t="shared" si="59"/>
        <v>1</v>
      </c>
      <c r="U161" s="267">
        <f t="shared" si="59"/>
        <v>0.95964330834598854</v>
      </c>
      <c r="V161" s="267">
        <f t="shared" si="58"/>
        <v>0.96596387754237267</v>
      </c>
      <c r="W161" s="267"/>
      <c r="X161" s="237" t="s">
        <v>598</v>
      </c>
    </row>
    <row r="162" spans="1:26" ht="12" hidden="1" customHeight="1">
      <c r="A162" s="315" t="s">
        <v>601</v>
      </c>
      <c r="B162" s="315" t="s">
        <v>115</v>
      </c>
      <c r="C162" s="456"/>
      <c r="D162" s="456" t="s">
        <v>98</v>
      </c>
      <c r="E162" s="453" t="s">
        <v>50</v>
      </c>
      <c r="F162" s="103">
        <f>+F163+F164</f>
        <v>0</v>
      </c>
      <c r="G162" s="103">
        <f>+G163+G164</f>
        <v>7804106.9199999981</v>
      </c>
      <c r="H162" s="103">
        <f>+H163+H164</f>
        <v>152062942.78</v>
      </c>
      <c r="I162" s="103">
        <f t="shared" si="54"/>
        <v>159867049.69999999</v>
      </c>
      <c r="J162" s="103">
        <f>+J163+J164</f>
        <v>0</v>
      </c>
      <c r="K162" s="103">
        <f>+K163+K164</f>
        <v>7556806.3700000001</v>
      </c>
      <c r="L162" s="103">
        <f>+L163+L164</f>
        <v>123544037.11</v>
      </c>
      <c r="M162" s="103">
        <f t="shared" si="55"/>
        <v>131100843.48</v>
      </c>
      <c r="N162" s="103">
        <f t="shared" si="56"/>
        <v>0</v>
      </c>
      <c r="O162" s="103">
        <f t="shared" si="56"/>
        <v>247300.54999999795</v>
      </c>
      <c r="P162" s="103">
        <f t="shared" si="56"/>
        <v>28518905.670000002</v>
      </c>
      <c r="Q162" s="103">
        <f t="shared" si="57"/>
        <v>28766206.219999999</v>
      </c>
      <c r="S162" s="267" t="str">
        <f t="shared" si="59"/>
        <v/>
      </c>
      <c r="T162" s="267">
        <f t="shared" si="59"/>
        <v>0.96831148617835727</v>
      </c>
      <c r="U162" s="267">
        <f t="shared" si="59"/>
        <v>0.81245328316932364</v>
      </c>
      <c r="V162" s="267">
        <f t="shared" si="58"/>
        <v>0.82006169330089296</v>
      </c>
      <c r="W162" s="267"/>
      <c r="X162" s="237" t="s">
        <v>598</v>
      </c>
    </row>
    <row r="163" spans="1:26" ht="12" hidden="1" customHeight="1">
      <c r="A163" s="315" t="s">
        <v>601</v>
      </c>
      <c r="B163" s="315" t="s">
        <v>115</v>
      </c>
      <c r="C163" s="458" t="s">
        <v>715</v>
      </c>
      <c r="D163" s="458" t="s">
        <v>715</v>
      </c>
      <c r="E163" s="447" t="s">
        <v>715</v>
      </c>
      <c r="F163" s="103">
        <f t="shared" ref="F163:H164" si="63">+F106+F118+F129+F140+F151</f>
        <v>0</v>
      </c>
      <c r="G163" s="103">
        <f t="shared" si="63"/>
        <v>-2174467.6500000004</v>
      </c>
      <c r="H163" s="103">
        <f t="shared" si="63"/>
        <v>11498400</v>
      </c>
      <c r="I163" s="103">
        <f t="shared" si="54"/>
        <v>9323932.3499999996</v>
      </c>
      <c r="J163" s="103">
        <f t="shared" ref="J163:L164" si="64">+J106+J118+J129+J140+J151</f>
        <v>0</v>
      </c>
      <c r="K163" s="103">
        <f t="shared" si="64"/>
        <v>3000000</v>
      </c>
      <c r="L163" s="103">
        <f t="shared" si="64"/>
        <v>9105870</v>
      </c>
      <c r="M163" s="103">
        <f t="shared" si="55"/>
        <v>12105870</v>
      </c>
      <c r="N163" s="103">
        <f t="shared" si="56"/>
        <v>0</v>
      </c>
      <c r="O163" s="103">
        <f t="shared" si="56"/>
        <v>-5174467.6500000004</v>
      </c>
      <c r="P163" s="103">
        <f t="shared" si="56"/>
        <v>2392530</v>
      </c>
      <c r="Q163" s="103">
        <f t="shared" si="57"/>
        <v>-2781937.6500000004</v>
      </c>
      <c r="S163" s="267" t="str">
        <f t="shared" si="59"/>
        <v/>
      </c>
      <c r="T163" s="267">
        <f t="shared" si="59"/>
        <v>-1.3796480255753629</v>
      </c>
      <c r="U163" s="267">
        <f t="shared" si="59"/>
        <v>0.79192496347317887</v>
      </c>
      <c r="V163" s="267">
        <f t="shared" si="58"/>
        <v>1.2983652761058482</v>
      </c>
      <c r="W163" s="267"/>
      <c r="X163" s="237" t="s">
        <v>598</v>
      </c>
    </row>
    <row r="164" spans="1:26" ht="12" hidden="1" customHeight="1">
      <c r="A164" s="315" t="s">
        <v>601</v>
      </c>
      <c r="B164" s="315" t="s">
        <v>115</v>
      </c>
      <c r="C164" s="458" t="s">
        <v>716</v>
      </c>
      <c r="D164" s="458" t="s">
        <v>716</v>
      </c>
      <c r="E164" s="459" t="s">
        <v>716</v>
      </c>
      <c r="F164" s="103">
        <f t="shared" si="63"/>
        <v>0</v>
      </c>
      <c r="G164" s="103">
        <f t="shared" si="63"/>
        <v>9978574.5699999984</v>
      </c>
      <c r="H164" s="103">
        <f t="shared" si="63"/>
        <v>140564542.78</v>
      </c>
      <c r="I164" s="103">
        <f t="shared" si="54"/>
        <v>150543117.34999999</v>
      </c>
      <c r="J164" s="103">
        <f t="shared" si="64"/>
        <v>0</v>
      </c>
      <c r="K164" s="103">
        <f t="shared" si="64"/>
        <v>4556806.37</v>
      </c>
      <c r="L164" s="103">
        <f t="shared" si="64"/>
        <v>114438167.11</v>
      </c>
      <c r="M164" s="103">
        <f t="shared" si="55"/>
        <v>118994973.48</v>
      </c>
      <c r="N164" s="103">
        <f t="shared" si="56"/>
        <v>0</v>
      </c>
      <c r="O164" s="103">
        <f t="shared" si="56"/>
        <v>5421768.1999999983</v>
      </c>
      <c r="P164" s="103">
        <f t="shared" si="56"/>
        <v>26126375.670000002</v>
      </c>
      <c r="Q164" s="103">
        <f t="shared" si="57"/>
        <v>31548143.870000001</v>
      </c>
      <c r="S164" s="267" t="str">
        <f t="shared" si="59"/>
        <v/>
      </c>
      <c r="T164" s="267">
        <f t="shared" si="59"/>
        <v>0.45665904864806767</v>
      </c>
      <c r="U164" s="267">
        <f t="shared" si="59"/>
        <v>0.81413253190820078</v>
      </c>
      <c r="V164" s="267">
        <f t="shared" si="58"/>
        <v>0.79043781990608564</v>
      </c>
      <c r="W164" s="267"/>
      <c r="X164" s="237" t="s">
        <v>598</v>
      </c>
    </row>
    <row r="165" spans="1:26" s="256" customFormat="1" ht="12" hidden="1" customHeight="1">
      <c r="A165" s="315"/>
      <c r="B165" s="315" t="s">
        <v>115</v>
      </c>
      <c r="C165" s="460"/>
      <c r="D165" s="460"/>
      <c r="E165" s="390" t="s">
        <v>767</v>
      </c>
      <c r="F165" s="391">
        <f>+F162+F161</f>
        <v>0</v>
      </c>
      <c r="G165" s="391">
        <f t="shared" ref="G165:Q165" si="65">+G162+G161</f>
        <v>8033998.3199999984</v>
      </c>
      <c r="H165" s="391">
        <f t="shared" si="65"/>
        <v>153300902.78</v>
      </c>
      <c r="I165" s="391">
        <f t="shared" si="65"/>
        <v>161334901.09999999</v>
      </c>
      <c r="J165" s="391">
        <f t="shared" si="65"/>
        <v>0</v>
      </c>
      <c r="K165" s="391">
        <f t="shared" si="65"/>
        <v>7786697.7700000005</v>
      </c>
      <c r="L165" s="391">
        <f t="shared" si="65"/>
        <v>124732037.14</v>
      </c>
      <c r="M165" s="391">
        <f t="shared" si="65"/>
        <v>132518734.91000001</v>
      </c>
      <c r="N165" s="391">
        <f t="shared" si="65"/>
        <v>0</v>
      </c>
      <c r="O165" s="391">
        <f t="shared" si="65"/>
        <v>247300.54999999795</v>
      </c>
      <c r="P165" s="391">
        <f t="shared" si="65"/>
        <v>28568865.640000001</v>
      </c>
      <c r="Q165" s="391">
        <f t="shared" si="65"/>
        <v>28816166.189999998</v>
      </c>
      <c r="R165" s="761"/>
      <c r="S165" s="267" t="str">
        <f t="shared" si="59"/>
        <v/>
      </c>
      <c r="T165" s="267">
        <f t="shared" si="59"/>
        <v>0.9692182472350831</v>
      </c>
      <c r="U165" s="267">
        <f t="shared" si="59"/>
        <v>0.81364189563189471</v>
      </c>
      <c r="V165" s="267">
        <f t="shared" si="58"/>
        <v>0.82138913531090896</v>
      </c>
      <c r="W165" s="263"/>
      <c r="X165" s="237" t="s">
        <v>598</v>
      </c>
      <c r="Y165" s="840"/>
      <c r="Z165" s="241"/>
    </row>
    <row r="166" spans="1:26" ht="12" hidden="1" customHeight="1">
      <c r="A166" s="315"/>
      <c r="B166" s="315"/>
      <c r="C166" s="456"/>
      <c r="D166" s="456"/>
      <c r="E166" s="461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S166" s="267" t="str">
        <f t="shared" si="59"/>
        <v/>
      </c>
      <c r="T166" s="267" t="str">
        <f t="shared" si="59"/>
        <v/>
      </c>
      <c r="U166" s="267" t="str">
        <f t="shared" si="59"/>
        <v/>
      </c>
      <c r="V166" s="267" t="str">
        <f t="shared" si="58"/>
        <v/>
      </c>
      <c r="W166" s="267"/>
      <c r="X166" s="237" t="s">
        <v>598</v>
      </c>
    </row>
    <row r="167" spans="1:26" s="256" customFormat="1" ht="12" hidden="1" customHeight="1">
      <c r="A167" s="315" t="s">
        <v>601</v>
      </c>
      <c r="B167" s="315" t="s">
        <v>115</v>
      </c>
      <c r="C167" s="460"/>
      <c r="D167" s="460" t="s">
        <v>98</v>
      </c>
      <c r="E167" s="390" t="s">
        <v>100</v>
      </c>
      <c r="F167" s="391">
        <f t="shared" ref="F167:Q167" si="66">SUM(F168:F168)</f>
        <v>0</v>
      </c>
      <c r="G167" s="391">
        <f t="shared" si="66"/>
        <v>0</v>
      </c>
      <c r="H167" s="391">
        <f t="shared" si="66"/>
        <v>0</v>
      </c>
      <c r="I167" s="391">
        <f t="shared" si="66"/>
        <v>0</v>
      </c>
      <c r="J167" s="391">
        <f t="shared" si="66"/>
        <v>0</v>
      </c>
      <c r="K167" s="391">
        <f t="shared" si="66"/>
        <v>0</v>
      </c>
      <c r="L167" s="391">
        <f t="shared" si="66"/>
        <v>0</v>
      </c>
      <c r="M167" s="391">
        <f t="shared" si="66"/>
        <v>0</v>
      </c>
      <c r="N167" s="391">
        <f t="shared" si="66"/>
        <v>0</v>
      </c>
      <c r="O167" s="391">
        <f t="shared" si="66"/>
        <v>0</v>
      </c>
      <c r="P167" s="391">
        <f t="shared" si="66"/>
        <v>0</v>
      </c>
      <c r="Q167" s="391">
        <f t="shared" si="66"/>
        <v>0</v>
      </c>
      <c r="R167" s="761"/>
      <c r="S167" s="267" t="str">
        <f t="shared" si="59"/>
        <v/>
      </c>
      <c r="T167" s="267" t="str">
        <f t="shared" si="59"/>
        <v/>
      </c>
      <c r="U167" s="267" t="str">
        <f t="shared" si="59"/>
        <v/>
      </c>
      <c r="V167" s="267" t="str">
        <f t="shared" si="58"/>
        <v/>
      </c>
      <c r="W167" s="263"/>
      <c r="X167" s="237" t="s">
        <v>598</v>
      </c>
      <c r="Y167" s="840"/>
      <c r="Z167" s="241"/>
    </row>
    <row r="168" spans="1:26" ht="12" hidden="1" customHeight="1">
      <c r="A168" s="315" t="s">
        <v>601</v>
      </c>
      <c r="B168" s="315" t="s">
        <v>115</v>
      </c>
      <c r="C168" s="456"/>
      <c r="D168" s="456"/>
      <c r="E168" s="462" t="s">
        <v>290</v>
      </c>
      <c r="F168" s="103">
        <f>+F111+F123+F134+F145+F156</f>
        <v>0</v>
      </c>
      <c r="G168" s="103">
        <f>+G111+G123+G134+G145+G156</f>
        <v>0</v>
      </c>
      <c r="H168" s="103">
        <f>+H111+H123+H134+H145+H156</f>
        <v>0</v>
      </c>
      <c r="I168" s="103">
        <f>+F168+G168+H168</f>
        <v>0</v>
      </c>
      <c r="J168" s="103">
        <f>+J111+J123+J134+J145+J156</f>
        <v>0</v>
      </c>
      <c r="K168" s="103">
        <f>+K111+K123+K134+K145+K156</f>
        <v>0</v>
      </c>
      <c r="L168" s="103">
        <f>+L111+L123+L134+L145+L156</f>
        <v>0</v>
      </c>
      <c r="M168" s="103">
        <f>+J168+K168+L168</f>
        <v>0</v>
      </c>
      <c r="N168" s="103">
        <f>+F168-J168</f>
        <v>0</v>
      </c>
      <c r="O168" s="103">
        <f>+G168-K168</f>
        <v>0</v>
      </c>
      <c r="P168" s="103">
        <f>+H168-L168</f>
        <v>0</v>
      </c>
      <c r="Q168" s="103">
        <f>+N168+O168+P168</f>
        <v>0</v>
      </c>
      <c r="R168" s="760">
        <f>Q168-'[3]car-SAOB'!BA352</f>
        <v>0</v>
      </c>
      <c r="S168" s="267" t="str">
        <f t="shared" si="59"/>
        <v/>
      </c>
      <c r="T168" s="267" t="str">
        <f t="shared" si="59"/>
        <v/>
      </c>
      <c r="U168" s="267" t="str">
        <f t="shared" si="59"/>
        <v/>
      </c>
      <c r="V168" s="267" t="str">
        <f t="shared" si="58"/>
        <v/>
      </c>
      <c r="W168" s="267"/>
      <c r="X168" s="237" t="s">
        <v>598</v>
      </c>
    </row>
    <row r="169" spans="1:26" s="266" customFormat="1" ht="17.25" customHeight="1">
      <c r="A169" s="315" t="s">
        <v>601</v>
      </c>
      <c r="B169" s="315" t="s">
        <v>115</v>
      </c>
      <c r="C169" s="1470" t="s">
        <v>603</v>
      </c>
      <c r="D169" s="1471"/>
      <c r="E169" s="1472"/>
      <c r="F169" s="666">
        <f>+F167+F165</f>
        <v>0</v>
      </c>
      <c r="G169" s="666">
        <f>+G167+G165</f>
        <v>8033998.3199999984</v>
      </c>
      <c r="H169" s="666">
        <f>+H167+H165</f>
        <v>153300902.78</v>
      </c>
      <c r="I169" s="666">
        <f t="shared" ref="I169:Q169" si="67">+I167+I165</f>
        <v>161334901.09999999</v>
      </c>
      <c r="J169" s="666">
        <f t="shared" si="67"/>
        <v>0</v>
      </c>
      <c r="K169" s="666">
        <f t="shared" si="67"/>
        <v>7786697.7700000005</v>
      </c>
      <c r="L169" s="666">
        <f t="shared" si="67"/>
        <v>124732037.14</v>
      </c>
      <c r="M169" s="666">
        <f t="shared" si="67"/>
        <v>132518734.91000001</v>
      </c>
      <c r="N169" s="666">
        <f t="shared" si="67"/>
        <v>0</v>
      </c>
      <c r="O169" s="666">
        <f t="shared" si="67"/>
        <v>247300.54999999795</v>
      </c>
      <c r="P169" s="666">
        <f t="shared" si="67"/>
        <v>28568865.640000001</v>
      </c>
      <c r="Q169" s="666">
        <f t="shared" si="67"/>
        <v>28816166.189999998</v>
      </c>
      <c r="R169" s="1099">
        <f>Q169-'[3]car-SAOB'!BH352</f>
        <v>0</v>
      </c>
      <c r="S169" s="525" t="str">
        <f t="shared" si="59"/>
        <v/>
      </c>
      <c r="T169" s="525">
        <f t="shared" si="59"/>
        <v>0.9692182472350831</v>
      </c>
      <c r="U169" s="525">
        <f t="shared" si="59"/>
        <v>0.81364189563189471</v>
      </c>
      <c r="V169" s="525">
        <f t="shared" si="58"/>
        <v>0.82138913531090896</v>
      </c>
      <c r="W169" s="345"/>
      <c r="X169" s="237" t="s">
        <v>598</v>
      </c>
      <c r="Y169" s="837" t="s">
        <v>598</v>
      </c>
      <c r="Z169" s="241" t="s">
        <v>598</v>
      </c>
    </row>
    <row r="170" spans="1:26" ht="12" customHeight="1">
      <c r="A170" s="315"/>
      <c r="B170" s="315"/>
      <c r="C170" s="456"/>
      <c r="D170" s="456"/>
      <c r="E170" s="411"/>
      <c r="F170" s="104"/>
      <c r="G170" s="104"/>
      <c r="H170" s="104"/>
      <c r="I170" s="103"/>
      <c r="J170" s="103"/>
      <c r="K170" s="104"/>
      <c r="L170" s="104"/>
      <c r="M170" s="103"/>
      <c r="N170" s="103"/>
      <c r="O170" s="103"/>
      <c r="P170" s="103"/>
      <c r="Q170" s="103"/>
      <c r="S170" s="267" t="str">
        <f t="shared" si="59"/>
        <v/>
      </c>
      <c r="T170" s="267" t="str">
        <f t="shared" si="59"/>
        <v/>
      </c>
      <c r="U170" s="267" t="str">
        <f t="shared" si="59"/>
        <v/>
      </c>
      <c r="V170" s="267" t="str">
        <f t="shared" si="58"/>
        <v/>
      </c>
      <c r="W170" s="267"/>
      <c r="Y170" s="837" t="s">
        <v>598</v>
      </c>
      <c r="Z170" s="241" t="s">
        <v>598</v>
      </c>
    </row>
    <row r="171" spans="1:26" ht="11.25" customHeight="1">
      <c r="A171" s="528" t="s">
        <v>606</v>
      </c>
      <c r="B171" s="528" t="s">
        <v>122</v>
      </c>
      <c r="C171" s="408"/>
      <c r="D171" s="529"/>
      <c r="E171" s="408" t="s">
        <v>122</v>
      </c>
      <c r="F171" s="104"/>
      <c r="G171" s="104"/>
      <c r="H171" s="104"/>
      <c r="I171" s="103">
        <f>SUM(F171:H171)</f>
        <v>0</v>
      </c>
      <c r="J171" s="104"/>
      <c r="K171" s="104"/>
      <c r="L171" s="104"/>
      <c r="M171" s="103">
        <f>SUM(J171:L171)</f>
        <v>0</v>
      </c>
      <c r="N171" s="103">
        <f>+F171-J171</f>
        <v>0</v>
      </c>
      <c r="O171" s="103">
        <f>+G171-K171</f>
        <v>0</v>
      </c>
      <c r="P171" s="103">
        <f>+H171-L171</f>
        <v>0</v>
      </c>
      <c r="Q171" s="103">
        <f>SUM(N171:P171)</f>
        <v>0</v>
      </c>
      <c r="S171" s="267" t="str">
        <f t="shared" si="59"/>
        <v/>
      </c>
      <c r="T171" s="267" t="str">
        <f t="shared" si="59"/>
        <v/>
      </c>
      <c r="U171" s="267" t="str">
        <f t="shared" si="59"/>
        <v/>
      </c>
      <c r="V171" s="267" t="str">
        <f t="shared" si="58"/>
        <v/>
      </c>
      <c r="W171" s="531"/>
      <c r="X171" s="236"/>
      <c r="Y171" s="236" t="s">
        <v>598</v>
      </c>
      <c r="Z171" s="240" t="s">
        <v>598</v>
      </c>
    </row>
    <row r="172" spans="1:26" ht="12" customHeight="1">
      <c r="A172" s="548" t="s">
        <v>121</v>
      </c>
      <c r="B172" s="548" t="s">
        <v>122</v>
      </c>
      <c r="C172" s="447" t="s">
        <v>766</v>
      </c>
      <c r="D172" s="549"/>
      <c r="E172" s="447" t="s">
        <v>766</v>
      </c>
      <c r="F172" s="103">
        <f>SUM(F173:F175)</f>
        <v>0</v>
      </c>
      <c r="G172" s="103">
        <f t="shared" ref="G172:Q172" si="68">SUM(G173:G175)</f>
        <v>2545834.6800000006</v>
      </c>
      <c r="H172" s="103">
        <f t="shared" si="68"/>
        <v>0</v>
      </c>
      <c r="I172" s="103">
        <f t="shared" si="68"/>
        <v>2545834.6800000006</v>
      </c>
      <c r="J172" s="103">
        <f t="shared" si="68"/>
        <v>0</v>
      </c>
      <c r="K172" s="103">
        <f t="shared" si="68"/>
        <v>2545377.87</v>
      </c>
      <c r="L172" s="103">
        <f t="shared" si="68"/>
        <v>0</v>
      </c>
      <c r="M172" s="103">
        <f t="shared" si="68"/>
        <v>2545377.87</v>
      </c>
      <c r="N172" s="103">
        <f t="shared" si="68"/>
        <v>0</v>
      </c>
      <c r="O172" s="103">
        <f t="shared" si="68"/>
        <v>456.81000000075437</v>
      </c>
      <c r="P172" s="103">
        <f t="shared" si="68"/>
        <v>0</v>
      </c>
      <c r="Q172" s="103">
        <f t="shared" si="68"/>
        <v>456.81000000075437</v>
      </c>
      <c r="S172" s="267" t="str">
        <f t="shared" si="59"/>
        <v/>
      </c>
      <c r="T172" s="267">
        <f t="shared" si="59"/>
        <v>0.99982056572502953</v>
      </c>
      <c r="U172" s="267" t="str">
        <f t="shared" si="59"/>
        <v/>
      </c>
      <c r="V172" s="267">
        <f t="shared" si="58"/>
        <v>0.99982056572502953</v>
      </c>
      <c r="W172" s="530"/>
      <c r="X172" s="236"/>
      <c r="Y172" s="236" t="s">
        <v>688</v>
      </c>
      <c r="Z172" s="236"/>
    </row>
    <row r="173" spans="1:26" ht="12" hidden="1" customHeight="1">
      <c r="A173" s="548" t="s">
        <v>121</v>
      </c>
      <c r="B173" s="548" t="s">
        <v>122</v>
      </c>
      <c r="C173" s="457" t="s">
        <v>775</v>
      </c>
      <c r="D173" s="549" t="s">
        <v>98</v>
      </c>
      <c r="E173" s="406" t="s">
        <v>775</v>
      </c>
      <c r="F173" s="103">
        <v>0</v>
      </c>
      <c r="G173" s="103">
        <f>+'[3]chd 1-SAOB'!C222</f>
        <v>546703.25</v>
      </c>
      <c r="H173" s="103">
        <f>+'[3]chd 1-SAOB'!C314</f>
        <v>0</v>
      </c>
      <c r="I173" s="103">
        <f t="shared" si="54"/>
        <v>546703.25</v>
      </c>
      <c r="J173" s="103">
        <v>0</v>
      </c>
      <c r="K173" s="103">
        <f>+'[3]chd 1-SAOB'!C223</f>
        <v>546453.64</v>
      </c>
      <c r="L173" s="103">
        <f>+'[3]chd 1-SAOB'!C315</f>
        <v>0</v>
      </c>
      <c r="M173" s="103">
        <f t="shared" si="55"/>
        <v>546453.64</v>
      </c>
      <c r="N173" s="103">
        <f t="shared" si="56"/>
        <v>0</v>
      </c>
      <c r="O173" s="103">
        <f t="shared" si="56"/>
        <v>249.60999999998603</v>
      </c>
      <c r="P173" s="103">
        <f t="shared" si="56"/>
        <v>0</v>
      </c>
      <c r="Q173" s="103">
        <f t="shared" si="57"/>
        <v>249.60999999998603</v>
      </c>
      <c r="S173" s="267" t="str">
        <f t="shared" si="59"/>
        <v/>
      </c>
      <c r="T173" s="267">
        <f t="shared" si="59"/>
        <v>0.99954342689566966</v>
      </c>
      <c r="U173" s="267" t="str">
        <f t="shared" si="59"/>
        <v/>
      </c>
      <c r="V173" s="267">
        <f t="shared" si="58"/>
        <v>0.99954342689566966</v>
      </c>
      <c r="W173" s="530"/>
      <c r="X173" s="236"/>
      <c r="Y173" s="236"/>
      <c r="Z173" s="236"/>
    </row>
    <row r="174" spans="1:26" ht="12" hidden="1" customHeight="1">
      <c r="A174" s="548" t="s">
        <v>121</v>
      </c>
      <c r="B174" s="548" t="s">
        <v>122</v>
      </c>
      <c r="C174" s="456"/>
      <c r="D174" s="549" t="s">
        <v>98</v>
      </c>
      <c r="E174" s="406" t="s">
        <v>776</v>
      </c>
      <c r="F174" s="103">
        <v>0</v>
      </c>
      <c r="G174" s="103">
        <f>+'[3]chd 1-SAOB'!D222</f>
        <v>406877.80999999959</v>
      </c>
      <c r="H174" s="103">
        <f>+'[3]chd 1-SAOB'!D314</f>
        <v>0</v>
      </c>
      <c r="I174" s="103">
        <f t="shared" si="54"/>
        <v>406877.80999999959</v>
      </c>
      <c r="J174" s="103">
        <v>0</v>
      </c>
      <c r="K174" s="103">
        <f>+'[3]chd 1-SAOB'!D223</f>
        <v>406753.36</v>
      </c>
      <c r="L174" s="103">
        <f>+'[3]chd 1-SAOB'!D315</f>
        <v>0</v>
      </c>
      <c r="M174" s="103">
        <f t="shared" si="55"/>
        <v>406753.36</v>
      </c>
      <c r="N174" s="103">
        <f t="shared" si="56"/>
        <v>0</v>
      </c>
      <c r="O174" s="103">
        <f t="shared" si="56"/>
        <v>124.44999999960419</v>
      </c>
      <c r="P174" s="103">
        <f t="shared" si="56"/>
        <v>0</v>
      </c>
      <c r="Q174" s="103">
        <f t="shared" si="57"/>
        <v>124.44999999960419</v>
      </c>
      <c r="S174" s="267" t="str">
        <f t="shared" si="59"/>
        <v/>
      </c>
      <c r="T174" s="267">
        <f t="shared" si="59"/>
        <v>0.99969413421685593</v>
      </c>
      <c r="U174" s="267" t="str">
        <f t="shared" si="59"/>
        <v/>
      </c>
      <c r="V174" s="267">
        <f t="shared" si="58"/>
        <v>0.99969413421685593</v>
      </c>
      <c r="W174" s="530"/>
      <c r="X174" s="236"/>
      <c r="Y174" s="236"/>
      <c r="Z174" s="236"/>
    </row>
    <row r="175" spans="1:26" ht="12" hidden="1" customHeight="1">
      <c r="A175" s="548" t="s">
        <v>121</v>
      </c>
      <c r="B175" s="548" t="s">
        <v>122</v>
      </c>
      <c r="C175" s="456"/>
      <c r="D175" s="549" t="s">
        <v>98</v>
      </c>
      <c r="E175" s="406" t="s">
        <v>777</v>
      </c>
      <c r="F175" s="103">
        <v>0</v>
      </c>
      <c r="G175" s="103">
        <f>+'[3]chd 1-SAOB'!E222</f>
        <v>1592253.620000001</v>
      </c>
      <c r="H175" s="103">
        <f>+'[3]chd 1-SAOB'!E314</f>
        <v>0</v>
      </c>
      <c r="I175" s="103">
        <f t="shared" si="54"/>
        <v>1592253.620000001</v>
      </c>
      <c r="J175" s="103">
        <v>0</v>
      </c>
      <c r="K175" s="103">
        <f>+'[3]chd 1-SAOB'!E223</f>
        <v>1592170.8699999999</v>
      </c>
      <c r="L175" s="103">
        <f>+'[3]chd 1-SAOB'!E315</f>
        <v>0</v>
      </c>
      <c r="M175" s="103">
        <f t="shared" si="55"/>
        <v>1592170.8699999999</v>
      </c>
      <c r="N175" s="103">
        <f t="shared" si="56"/>
        <v>0</v>
      </c>
      <c r="O175" s="103">
        <f t="shared" si="56"/>
        <v>82.750000001164153</v>
      </c>
      <c r="P175" s="103">
        <f t="shared" si="56"/>
        <v>0</v>
      </c>
      <c r="Q175" s="103">
        <f t="shared" si="57"/>
        <v>82.750000001164153</v>
      </c>
      <c r="S175" s="267" t="str">
        <f t="shared" si="59"/>
        <v/>
      </c>
      <c r="T175" s="267">
        <f t="shared" si="59"/>
        <v>0.99994802963613227</v>
      </c>
      <c r="U175" s="267" t="str">
        <f t="shared" si="59"/>
        <v/>
      </c>
      <c r="V175" s="267">
        <f t="shared" si="58"/>
        <v>0.99994802963613227</v>
      </c>
      <c r="W175" s="530"/>
      <c r="X175" s="236"/>
      <c r="Y175" s="236"/>
      <c r="Z175" s="236"/>
    </row>
    <row r="176" spans="1:26" ht="12" customHeight="1">
      <c r="A176" s="548" t="s">
        <v>121</v>
      </c>
      <c r="B176" s="548" t="s">
        <v>122</v>
      </c>
      <c r="C176" s="456"/>
      <c r="D176" s="549"/>
      <c r="E176" s="453" t="s">
        <v>50</v>
      </c>
      <c r="F176" s="103">
        <f>+F177+F178</f>
        <v>0</v>
      </c>
      <c r="G176" s="103">
        <f>+G177+G178</f>
        <v>7815398.0499999896</v>
      </c>
      <c r="H176" s="103">
        <f>+H177+H178</f>
        <v>86606191.560000002</v>
      </c>
      <c r="I176" s="103">
        <f t="shared" si="54"/>
        <v>94421589.609999985</v>
      </c>
      <c r="J176" s="103">
        <f>+J177+J178</f>
        <v>0</v>
      </c>
      <c r="K176" s="103">
        <f>+K177+K178</f>
        <v>6651585.3099999996</v>
      </c>
      <c r="L176" s="103">
        <f>+L177+L178</f>
        <v>80297091.36999999</v>
      </c>
      <c r="M176" s="103">
        <f t="shared" si="55"/>
        <v>86948676.679999992</v>
      </c>
      <c r="N176" s="103">
        <f t="shared" si="56"/>
        <v>0</v>
      </c>
      <c r="O176" s="103">
        <f t="shared" si="56"/>
        <v>1163812.73999999</v>
      </c>
      <c r="P176" s="103">
        <f t="shared" si="56"/>
        <v>6309100.1900000125</v>
      </c>
      <c r="Q176" s="103">
        <f t="shared" si="57"/>
        <v>7472912.9300000025</v>
      </c>
      <c r="S176" s="267" t="str">
        <f t="shared" si="59"/>
        <v/>
      </c>
      <c r="T176" s="267">
        <f t="shared" si="59"/>
        <v>0.85108720853955844</v>
      </c>
      <c r="U176" s="267">
        <f t="shared" si="59"/>
        <v>0.92715185743239703</v>
      </c>
      <c r="V176" s="267">
        <f t="shared" si="58"/>
        <v>0.92085588729371959</v>
      </c>
      <c r="W176" s="530"/>
      <c r="X176" s="236"/>
      <c r="Y176" s="236" t="s">
        <v>688</v>
      </c>
      <c r="Z176" s="236"/>
    </row>
    <row r="177" spans="1:26" ht="12" hidden="1" customHeight="1">
      <c r="A177" s="548" t="s">
        <v>121</v>
      </c>
      <c r="B177" s="548" t="s">
        <v>122</v>
      </c>
      <c r="C177" s="458" t="s">
        <v>715</v>
      </c>
      <c r="D177" s="550" t="s">
        <v>715</v>
      </c>
      <c r="E177" s="447" t="s">
        <v>715</v>
      </c>
      <c r="F177" s="103">
        <f>'[3]CONAP - W INC'!F122</f>
        <v>0</v>
      </c>
      <c r="G177" s="103">
        <f>'[3]CONAP - W INC'!G122</f>
        <v>-406414.93</v>
      </c>
      <c r="H177" s="103">
        <f>'[3]CONAP - W INC'!H122</f>
        <v>8133000</v>
      </c>
      <c r="I177" s="103">
        <f t="shared" si="54"/>
        <v>7726585.0700000003</v>
      </c>
      <c r="J177" s="103">
        <f>'[3]CONAP - W INC'!J122</f>
        <v>0</v>
      </c>
      <c r="K177" s="103">
        <f>'[3]CONAP - W INC'!K122</f>
        <v>0</v>
      </c>
      <c r="L177" s="103">
        <f>'[3]CONAP - W INC'!L122</f>
        <v>4608000</v>
      </c>
      <c r="M177" s="103">
        <f t="shared" si="55"/>
        <v>4608000</v>
      </c>
      <c r="N177" s="103">
        <f t="shared" si="56"/>
        <v>0</v>
      </c>
      <c r="O177" s="103">
        <f t="shared" si="56"/>
        <v>-406414.93</v>
      </c>
      <c r="P177" s="103">
        <f t="shared" si="56"/>
        <v>3525000</v>
      </c>
      <c r="Q177" s="103">
        <f t="shared" si="57"/>
        <v>3118585.07</v>
      </c>
      <c r="S177" s="267" t="str">
        <f t="shared" si="59"/>
        <v/>
      </c>
      <c r="T177" s="267">
        <f t="shared" si="59"/>
        <v>0</v>
      </c>
      <c r="U177" s="267">
        <f t="shared" si="59"/>
        <v>0.56658059756547396</v>
      </c>
      <c r="V177" s="267">
        <f t="shared" si="58"/>
        <v>0.59638248440329411</v>
      </c>
      <c r="W177" s="530"/>
      <c r="X177" s="236"/>
      <c r="Y177" s="236"/>
      <c r="Z177" s="236"/>
    </row>
    <row r="178" spans="1:26" ht="12" hidden="1" customHeight="1">
      <c r="A178" s="548" t="s">
        <v>121</v>
      </c>
      <c r="B178" s="548" t="s">
        <v>122</v>
      </c>
      <c r="C178" s="458" t="s">
        <v>716</v>
      </c>
      <c r="D178" s="550" t="s">
        <v>716</v>
      </c>
      <c r="E178" s="459" t="s">
        <v>716</v>
      </c>
      <c r="F178" s="103">
        <f>'[3]CONAP - W INC'!F123</f>
        <v>0</v>
      </c>
      <c r="G178" s="103">
        <f>'[3]CONAP - W INC'!G123</f>
        <v>8221812.9799999893</v>
      </c>
      <c r="H178" s="103">
        <f>'[3]CONAP - W INC'!H123</f>
        <v>78473191.560000002</v>
      </c>
      <c r="I178" s="103">
        <f t="shared" si="54"/>
        <v>86695004.539999992</v>
      </c>
      <c r="J178" s="103">
        <f>'[3]CONAP - W INC'!J123</f>
        <v>0</v>
      </c>
      <c r="K178" s="103">
        <f>'[3]CONAP - W INC'!K123</f>
        <v>6651585.3099999996</v>
      </c>
      <c r="L178" s="103">
        <f>'[3]CONAP - W INC'!L123</f>
        <v>75689091.36999999</v>
      </c>
      <c r="M178" s="103">
        <f t="shared" si="55"/>
        <v>82340676.679999992</v>
      </c>
      <c r="N178" s="103">
        <f t="shared" si="56"/>
        <v>0</v>
      </c>
      <c r="O178" s="103">
        <f t="shared" si="56"/>
        <v>1570227.6699999897</v>
      </c>
      <c r="P178" s="103">
        <f t="shared" si="56"/>
        <v>2784100.1900000125</v>
      </c>
      <c r="Q178" s="103">
        <f t="shared" si="57"/>
        <v>4354327.8600000022</v>
      </c>
      <c r="S178" s="267" t="str">
        <f t="shared" si="59"/>
        <v/>
      </c>
      <c r="T178" s="267">
        <f t="shared" si="59"/>
        <v>0.80901685871234796</v>
      </c>
      <c r="U178" s="267">
        <f t="shared" si="59"/>
        <v>0.96452163936939772</v>
      </c>
      <c r="V178" s="267">
        <f t="shared" si="58"/>
        <v>0.94977417807284426</v>
      </c>
      <c r="W178" s="530"/>
      <c r="X178" s="236"/>
      <c r="Y178" s="236"/>
      <c r="Z178" s="236"/>
    </row>
    <row r="179" spans="1:26" s="256" customFormat="1" ht="12" hidden="1" customHeight="1">
      <c r="A179" s="548"/>
      <c r="B179" s="548" t="s">
        <v>122</v>
      </c>
      <c r="C179" s="460"/>
      <c r="D179" s="551"/>
      <c r="E179" s="390" t="s">
        <v>767</v>
      </c>
      <c r="F179" s="391">
        <f>+F176+F172</f>
        <v>0</v>
      </c>
      <c r="G179" s="391">
        <f t="shared" ref="G179:Q179" si="69">+G176+G172</f>
        <v>10361232.729999989</v>
      </c>
      <c r="H179" s="391">
        <f t="shared" si="69"/>
        <v>86606191.560000002</v>
      </c>
      <c r="I179" s="391">
        <f t="shared" si="69"/>
        <v>96967424.289999992</v>
      </c>
      <c r="J179" s="391">
        <f t="shared" si="69"/>
        <v>0</v>
      </c>
      <c r="K179" s="391">
        <f t="shared" si="69"/>
        <v>9196963.1799999997</v>
      </c>
      <c r="L179" s="391">
        <f t="shared" si="69"/>
        <v>80297091.36999999</v>
      </c>
      <c r="M179" s="391">
        <f t="shared" si="69"/>
        <v>89494054.549999997</v>
      </c>
      <c r="N179" s="391">
        <f t="shared" si="69"/>
        <v>0</v>
      </c>
      <c r="O179" s="391">
        <f t="shared" si="69"/>
        <v>1164269.5499999907</v>
      </c>
      <c r="P179" s="391">
        <f t="shared" si="69"/>
        <v>6309100.1900000125</v>
      </c>
      <c r="Q179" s="391">
        <f t="shared" si="69"/>
        <v>7473369.740000003</v>
      </c>
      <c r="R179" s="761"/>
      <c r="S179" s="267" t="str">
        <f t="shared" si="59"/>
        <v/>
      </c>
      <c r="T179" s="267">
        <f t="shared" si="59"/>
        <v>0.88763213988727852</v>
      </c>
      <c r="U179" s="267">
        <f t="shared" si="59"/>
        <v>0.92715185743239703</v>
      </c>
      <c r="V179" s="267">
        <f t="shared" si="58"/>
        <v>0.92292906824409993</v>
      </c>
      <c r="W179" s="532"/>
      <c r="Y179" s="236"/>
      <c r="Z179" s="240" t="s">
        <v>598</v>
      </c>
    </row>
    <row r="180" spans="1:26" ht="12" hidden="1" customHeight="1">
      <c r="A180" s="548"/>
      <c r="B180" s="548"/>
      <c r="C180" s="456"/>
      <c r="D180" s="549"/>
      <c r="E180" s="461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S180" s="267" t="str">
        <f t="shared" si="59"/>
        <v/>
      </c>
      <c r="T180" s="267" t="str">
        <f t="shared" si="59"/>
        <v/>
      </c>
      <c r="U180" s="267" t="str">
        <f t="shared" si="59"/>
        <v/>
      </c>
      <c r="V180" s="267" t="str">
        <f t="shared" si="58"/>
        <v/>
      </c>
      <c r="W180" s="530"/>
      <c r="X180" s="236"/>
      <c r="Y180" s="236"/>
      <c r="Z180" s="236"/>
    </row>
    <row r="181" spans="1:26" s="256" customFormat="1" ht="12" hidden="1" customHeight="1">
      <c r="A181" s="548" t="s">
        <v>121</v>
      </c>
      <c r="B181" s="548" t="s">
        <v>122</v>
      </c>
      <c r="C181" s="460"/>
      <c r="D181" s="551" t="s">
        <v>98</v>
      </c>
      <c r="E181" s="390" t="s">
        <v>100</v>
      </c>
      <c r="F181" s="391">
        <f>SUM(F182:F182)</f>
        <v>0</v>
      </c>
      <c r="G181" s="391">
        <f>SUM(G182:G182)</f>
        <v>0</v>
      </c>
      <c r="H181" s="391">
        <f>SUM(H182:H182)</f>
        <v>0</v>
      </c>
      <c r="I181" s="391">
        <f>+F181+G181+H181</f>
        <v>0</v>
      </c>
      <c r="J181" s="391">
        <v>0</v>
      </c>
      <c r="K181" s="391">
        <f>SUM(K182:K182)</f>
        <v>0</v>
      </c>
      <c r="L181" s="391">
        <f>SUM(L182:L182)</f>
        <v>0</v>
      </c>
      <c r="M181" s="391">
        <f>+J181+K181+L181</f>
        <v>0</v>
      </c>
      <c r="N181" s="391">
        <f t="shared" ref="N181:P182" si="70">+F181-J181</f>
        <v>0</v>
      </c>
      <c r="O181" s="391">
        <f t="shared" si="70"/>
        <v>0</v>
      </c>
      <c r="P181" s="391">
        <f t="shared" si="70"/>
        <v>0</v>
      </c>
      <c r="Q181" s="391">
        <f>+N181+O181+P181</f>
        <v>0</v>
      </c>
      <c r="R181" s="761"/>
      <c r="S181" s="267" t="str">
        <f t="shared" si="59"/>
        <v/>
      </c>
      <c r="T181" s="267" t="str">
        <f t="shared" si="59"/>
        <v/>
      </c>
      <c r="U181" s="267" t="str">
        <f t="shared" si="59"/>
        <v/>
      </c>
      <c r="V181" s="267" t="str">
        <f t="shared" si="58"/>
        <v/>
      </c>
      <c r="W181" s="532"/>
      <c r="Y181" s="236"/>
      <c r="Z181" s="240" t="s">
        <v>598</v>
      </c>
    </row>
    <row r="182" spans="1:26" ht="12" hidden="1" customHeight="1">
      <c r="A182" s="548" t="s">
        <v>121</v>
      </c>
      <c r="B182" s="548" t="s">
        <v>122</v>
      </c>
      <c r="C182" s="456"/>
      <c r="D182" s="549"/>
      <c r="E182" s="462" t="s">
        <v>290</v>
      </c>
      <c r="F182" s="103">
        <v>0</v>
      </c>
      <c r="G182" s="103">
        <f>SUM('[3]chd 1-SAOB'!AO222)</f>
        <v>0</v>
      </c>
      <c r="H182" s="103">
        <f>SUM('[3]chd 1-SAOB'!AO314)</f>
        <v>0</v>
      </c>
      <c r="I182" s="103">
        <f>+F182+G182+H182</f>
        <v>0</v>
      </c>
      <c r="J182" s="103">
        <v>0</v>
      </c>
      <c r="K182" s="103">
        <f>SUM('[3]chd 1-SAOB'!AO223)</f>
        <v>0</v>
      </c>
      <c r="L182" s="103">
        <f>SUM('[3]chd 1-SAOB'!AO315)</f>
        <v>0</v>
      </c>
      <c r="M182" s="103">
        <f>+J182+K182+L182</f>
        <v>0</v>
      </c>
      <c r="N182" s="103">
        <f t="shared" si="70"/>
        <v>0</v>
      </c>
      <c r="O182" s="103">
        <f t="shared" si="70"/>
        <v>0</v>
      </c>
      <c r="P182" s="103">
        <f t="shared" si="70"/>
        <v>0</v>
      </c>
      <c r="Q182" s="103">
        <f>+N182+O182+P182</f>
        <v>0</v>
      </c>
      <c r="S182" s="267" t="str">
        <f t="shared" si="59"/>
        <v/>
      </c>
      <c r="T182" s="267" t="str">
        <f t="shared" si="59"/>
        <v/>
      </c>
      <c r="U182" s="267" t="str">
        <f t="shared" si="59"/>
        <v/>
      </c>
      <c r="V182" s="267" t="str">
        <f t="shared" si="58"/>
        <v/>
      </c>
      <c r="W182" s="530"/>
      <c r="X182" s="236"/>
      <c r="Y182" s="236"/>
      <c r="Z182" s="236"/>
    </row>
    <row r="183" spans="1:26" s="259" customFormat="1" ht="12" customHeight="1">
      <c r="A183" s="315" t="s">
        <v>121</v>
      </c>
      <c r="B183" s="315" t="s">
        <v>122</v>
      </c>
      <c r="C183" s="1477" t="s">
        <v>300</v>
      </c>
      <c r="D183" s="1478"/>
      <c r="E183" s="1479"/>
      <c r="F183" s="652">
        <f>+F179+F181</f>
        <v>0</v>
      </c>
      <c r="G183" s="652">
        <f t="shared" ref="G183:Q183" si="71">+G179+G181</f>
        <v>10361232.729999989</v>
      </c>
      <c r="H183" s="652">
        <f t="shared" si="71"/>
        <v>86606191.560000002</v>
      </c>
      <c r="I183" s="652">
        <f t="shared" si="71"/>
        <v>96967424.289999992</v>
      </c>
      <c r="J183" s="652">
        <f t="shared" si="71"/>
        <v>0</v>
      </c>
      <c r="K183" s="652">
        <f t="shared" si="71"/>
        <v>9196963.1799999997</v>
      </c>
      <c r="L183" s="652">
        <f t="shared" si="71"/>
        <v>80297091.36999999</v>
      </c>
      <c r="M183" s="652">
        <f t="shared" si="71"/>
        <v>89494054.549999997</v>
      </c>
      <c r="N183" s="652">
        <f t="shared" si="71"/>
        <v>0</v>
      </c>
      <c r="O183" s="652">
        <f t="shared" si="71"/>
        <v>1164269.5499999907</v>
      </c>
      <c r="P183" s="652">
        <f t="shared" si="71"/>
        <v>6309100.1900000125</v>
      </c>
      <c r="Q183" s="652">
        <f t="shared" si="71"/>
        <v>7473369.740000003</v>
      </c>
      <c r="R183" s="1095">
        <f>+Q183-'[3]chd 1-SAOB'!BM351</f>
        <v>0</v>
      </c>
      <c r="S183" s="524" t="str">
        <f t="shared" si="59"/>
        <v/>
      </c>
      <c r="T183" s="524">
        <f t="shared" si="59"/>
        <v>0.88763213988727852</v>
      </c>
      <c r="U183" s="524">
        <f t="shared" si="59"/>
        <v>0.92715185743239703</v>
      </c>
      <c r="V183" s="524">
        <f t="shared" si="58"/>
        <v>0.92292906824409993</v>
      </c>
      <c r="W183" s="344"/>
      <c r="X183" s="520"/>
      <c r="Y183" s="837" t="s">
        <v>598</v>
      </c>
      <c r="Z183" s="241" t="s">
        <v>598</v>
      </c>
    </row>
    <row r="184" spans="1:26" ht="12" customHeight="1">
      <c r="A184" s="315"/>
      <c r="B184" s="315" t="s">
        <v>122</v>
      </c>
      <c r="C184" s="456"/>
      <c r="D184" s="456"/>
      <c r="E184" s="411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S184" s="267" t="str">
        <f t="shared" si="59"/>
        <v/>
      </c>
      <c r="T184" s="267" t="str">
        <f t="shared" si="59"/>
        <v/>
      </c>
      <c r="U184" s="267" t="str">
        <f t="shared" si="59"/>
        <v/>
      </c>
      <c r="V184" s="267" t="str">
        <f t="shared" si="58"/>
        <v/>
      </c>
      <c r="W184" s="267"/>
      <c r="Y184" s="837" t="s">
        <v>598</v>
      </c>
      <c r="Z184" s="241" t="s">
        <v>598</v>
      </c>
    </row>
    <row r="185" spans="1:26" ht="12" customHeight="1">
      <c r="A185" s="315" t="s">
        <v>123</v>
      </c>
      <c r="B185" s="315" t="s">
        <v>301</v>
      </c>
      <c r="C185" s="1100" t="s">
        <v>124</v>
      </c>
      <c r="D185" s="456"/>
      <c r="E185" s="463"/>
      <c r="F185" s="103"/>
      <c r="G185" s="103"/>
      <c r="H185" s="103"/>
      <c r="I185" s="103">
        <f t="shared" si="54"/>
        <v>0</v>
      </c>
      <c r="J185" s="103">
        <v>0</v>
      </c>
      <c r="K185" s="103"/>
      <c r="L185" s="103"/>
      <c r="M185" s="103">
        <f t="shared" si="55"/>
        <v>0</v>
      </c>
      <c r="N185" s="103">
        <f t="shared" si="56"/>
        <v>0</v>
      </c>
      <c r="O185" s="103">
        <f t="shared" si="56"/>
        <v>0</v>
      </c>
      <c r="P185" s="103">
        <f t="shared" si="56"/>
        <v>0</v>
      </c>
      <c r="Q185" s="103">
        <f t="shared" si="57"/>
        <v>0</v>
      </c>
      <c r="S185" s="267" t="str">
        <f t="shared" si="59"/>
        <v/>
      </c>
      <c r="T185" s="267" t="str">
        <f t="shared" si="59"/>
        <v/>
      </c>
      <c r="U185" s="267" t="str">
        <f t="shared" si="59"/>
        <v/>
      </c>
      <c r="V185" s="267" t="str">
        <f t="shared" si="58"/>
        <v/>
      </c>
      <c r="W185" s="267"/>
      <c r="Y185" s="837" t="s">
        <v>598</v>
      </c>
      <c r="Z185" s="241" t="s">
        <v>598</v>
      </c>
    </row>
    <row r="186" spans="1:26" s="275" customFormat="1" ht="12" customHeight="1">
      <c r="A186" s="548" t="s">
        <v>123</v>
      </c>
      <c r="B186" s="548" t="s">
        <v>125</v>
      </c>
      <c r="C186" s="464" t="s">
        <v>98</v>
      </c>
      <c r="D186" s="552" t="s">
        <v>105</v>
      </c>
      <c r="E186" s="407" t="s">
        <v>788</v>
      </c>
      <c r="F186" s="409"/>
      <c r="G186" s="409"/>
      <c r="H186" s="409"/>
      <c r="I186" s="409">
        <f t="shared" si="54"/>
        <v>0</v>
      </c>
      <c r="J186" s="409">
        <v>0</v>
      </c>
      <c r="K186" s="409"/>
      <c r="L186" s="409"/>
      <c r="M186" s="409">
        <f t="shared" si="55"/>
        <v>0</v>
      </c>
      <c r="N186" s="409">
        <f t="shared" si="56"/>
        <v>0</v>
      </c>
      <c r="O186" s="409">
        <f t="shared" si="56"/>
        <v>0</v>
      </c>
      <c r="P186" s="409">
        <f t="shared" si="56"/>
        <v>0</v>
      </c>
      <c r="Q186" s="409">
        <f t="shared" si="57"/>
        <v>0</v>
      </c>
      <c r="R186" s="761"/>
      <c r="S186" s="267" t="str">
        <f t="shared" si="59"/>
        <v/>
      </c>
      <c r="T186" s="267" t="str">
        <f t="shared" si="59"/>
        <v/>
      </c>
      <c r="U186" s="267" t="str">
        <f t="shared" si="59"/>
        <v/>
      </c>
      <c r="V186" s="267" t="str">
        <f t="shared" si="58"/>
        <v/>
      </c>
      <c r="W186" s="553"/>
      <c r="Y186" s="236" t="s">
        <v>598</v>
      </c>
      <c r="Z186" s="240" t="s">
        <v>598</v>
      </c>
    </row>
    <row r="187" spans="1:26" ht="12" customHeight="1">
      <c r="A187" s="548" t="s">
        <v>123</v>
      </c>
      <c r="B187" s="548" t="s">
        <v>125</v>
      </c>
      <c r="C187" s="447" t="s">
        <v>766</v>
      </c>
      <c r="D187" s="549"/>
      <c r="E187" s="447" t="s">
        <v>766</v>
      </c>
      <c r="F187" s="103">
        <f>+'[3]chd 1-SAOB'!C443</f>
        <v>0</v>
      </c>
      <c r="G187" s="103">
        <f>+'[3]chd 1-SAOB'!D443</f>
        <v>2299.79</v>
      </c>
      <c r="H187" s="103">
        <f>+'[3]chd 1-SAOB'!E443</f>
        <v>0</v>
      </c>
      <c r="I187" s="103">
        <f t="shared" si="54"/>
        <v>2299.79</v>
      </c>
      <c r="J187" s="103">
        <v>0</v>
      </c>
      <c r="K187" s="103">
        <f>+'[3]chd 1-SAOB'!H443</f>
        <v>0</v>
      </c>
      <c r="L187" s="103">
        <f>+'[3]chd 1-SAOB'!I443</f>
        <v>0</v>
      </c>
      <c r="M187" s="103">
        <f t="shared" si="55"/>
        <v>0</v>
      </c>
      <c r="N187" s="103">
        <f t="shared" si="56"/>
        <v>0</v>
      </c>
      <c r="O187" s="103">
        <f t="shared" si="56"/>
        <v>2299.79</v>
      </c>
      <c r="P187" s="103">
        <f t="shared" si="56"/>
        <v>0</v>
      </c>
      <c r="Q187" s="103">
        <f t="shared" si="57"/>
        <v>2299.79</v>
      </c>
      <c r="S187" s="267" t="str">
        <f t="shared" si="59"/>
        <v/>
      </c>
      <c r="T187" s="267">
        <f t="shared" si="59"/>
        <v>0</v>
      </c>
      <c r="U187" s="267" t="str">
        <f t="shared" si="59"/>
        <v/>
      </c>
      <c r="V187" s="267">
        <f t="shared" si="58"/>
        <v>0</v>
      </c>
      <c r="W187" s="530"/>
      <c r="X187" s="236"/>
      <c r="Y187" s="236" t="s">
        <v>688</v>
      </c>
      <c r="Z187" s="236"/>
    </row>
    <row r="188" spans="1:26" ht="12" customHeight="1">
      <c r="A188" s="548" t="s">
        <v>123</v>
      </c>
      <c r="B188" s="548" t="s">
        <v>125</v>
      </c>
      <c r="C188" s="456"/>
      <c r="D188" s="549"/>
      <c r="E188" s="453" t="s">
        <v>50</v>
      </c>
      <c r="F188" s="103">
        <f>+F189+F190</f>
        <v>0</v>
      </c>
      <c r="G188" s="103">
        <f>+G189+G190</f>
        <v>139548.00999999978</v>
      </c>
      <c r="H188" s="103">
        <f>+H189+H190</f>
        <v>0</v>
      </c>
      <c r="I188" s="103">
        <f t="shared" si="54"/>
        <v>139548.00999999978</v>
      </c>
      <c r="J188" s="103">
        <f>+J189+J190</f>
        <v>0</v>
      </c>
      <c r="K188" s="103">
        <f>+K189+K190</f>
        <v>139548.01</v>
      </c>
      <c r="L188" s="103">
        <f>+L189+L190</f>
        <v>0</v>
      </c>
      <c r="M188" s="103">
        <f t="shared" si="55"/>
        <v>139548.01</v>
      </c>
      <c r="N188" s="103">
        <f t="shared" si="56"/>
        <v>0</v>
      </c>
      <c r="O188" s="103">
        <f t="shared" si="56"/>
        <v>-2.3283064365386963E-10</v>
      </c>
      <c r="P188" s="103">
        <f t="shared" si="56"/>
        <v>0</v>
      </c>
      <c r="Q188" s="103">
        <f t="shared" si="57"/>
        <v>-2.3283064365386963E-10</v>
      </c>
      <c r="S188" s="267" t="str">
        <f t="shared" si="59"/>
        <v/>
      </c>
      <c r="T188" s="267">
        <f t="shared" si="59"/>
        <v>1.0000000000000018</v>
      </c>
      <c r="U188" s="267" t="str">
        <f t="shared" si="59"/>
        <v/>
      </c>
      <c r="V188" s="267">
        <f t="shared" si="58"/>
        <v>1.0000000000000018</v>
      </c>
      <c r="W188" s="530"/>
      <c r="X188" s="236"/>
      <c r="Y188" s="236" t="s">
        <v>688</v>
      </c>
      <c r="Z188" s="236"/>
    </row>
    <row r="189" spans="1:26" ht="12" hidden="1" customHeight="1">
      <c r="A189" s="548" t="s">
        <v>123</v>
      </c>
      <c r="B189" s="548" t="s">
        <v>125</v>
      </c>
      <c r="C189" s="458" t="s">
        <v>715</v>
      </c>
      <c r="D189" s="550" t="s">
        <v>715</v>
      </c>
      <c r="E189" s="447" t="s">
        <v>715</v>
      </c>
      <c r="F189" s="103">
        <f>'[3]CONAP - W INC'!F131</f>
        <v>0</v>
      </c>
      <c r="G189" s="103">
        <f>'[3]CONAP - W INC'!G131</f>
        <v>-2723934.42</v>
      </c>
      <c r="H189" s="103">
        <f>'[3]CONAP - W INC'!H131</f>
        <v>0</v>
      </c>
      <c r="I189" s="103">
        <f t="shared" si="54"/>
        <v>-2723934.42</v>
      </c>
      <c r="J189" s="103">
        <f>'[3]CONAP - W INC'!J131</f>
        <v>0</v>
      </c>
      <c r="K189" s="103">
        <f>'[3]CONAP - W INC'!K131</f>
        <v>0</v>
      </c>
      <c r="L189" s="103">
        <f>'[3]CONAP - W INC'!L131</f>
        <v>0</v>
      </c>
      <c r="M189" s="103">
        <f t="shared" si="55"/>
        <v>0</v>
      </c>
      <c r="N189" s="103">
        <f t="shared" si="56"/>
        <v>0</v>
      </c>
      <c r="O189" s="103">
        <f t="shared" si="56"/>
        <v>-2723934.42</v>
      </c>
      <c r="P189" s="103">
        <f t="shared" si="56"/>
        <v>0</v>
      </c>
      <c r="Q189" s="103">
        <f t="shared" si="57"/>
        <v>-2723934.42</v>
      </c>
      <c r="S189" s="267" t="str">
        <f t="shared" si="59"/>
        <v/>
      </c>
      <c r="T189" s="267">
        <f t="shared" si="59"/>
        <v>0</v>
      </c>
      <c r="U189" s="267" t="str">
        <f t="shared" si="59"/>
        <v/>
      </c>
      <c r="V189" s="267">
        <f t="shared" si="58"/>
        <v>0</v>
      </c>
      <c r="W189" s="530"/>
      <c r="X189" s="236"/>
      <c r="Y189" s="236"/>
      <c r="Z189" s="236"/>
    </row>
    <row r="190" spans="1:26" ht="12" hidden="1" customHeight="1">
      <c r="A190" s="548" t="s">
        <v>123</v>
      </c>
      <c r="B190" s="548" t="s">
        <v>125</v>
      </c>
      <c r="C190" s="458" t="s">
        <v>716</v>
      </c>
      <c r="D190" s="550" t="s">
        <v>716</v>
      </c>
      <c r="E190" s="459" t="s">
        <v>716</v>
      </c>
      <c r="F190" s="103">
        <f>'[3]CONAP - W INC'!F132</f>
        <v>0</v>
      </c>
      <c r="G190" s="103">
        <f>'[3]CONAP - W INC'!G132</f>
        <v>2863482.4299999997</v>
      </c>
      <c r="H190" s="103">
        <f>'[3]CONAP - W INC'!H132</f>
        <v>0</v>
      </c>
      <c r="I190" s="103">
        <f t="shared" si="54"/>
        <v>2863482.4299999997</v>
      </c>
      <c r="J190" s="103">
        <f>'[3]CONAP - W INC'!J132</f>
        <v>0</v>
      </c>
      <c r="K190" s="103">
        <f>'[3]CONAP - W INC'!K132</f>
        <v>139548.01</v>
      </c>
      <c r="L190" s="103">
        <f>'[3]CONAP - W INC'!L132</f>
        <v>0</v>
      </c>
      <c r="M190" s="103">
        <f t="shared" si="55"/>
        <v>139548.01</v>
      </c>
      <c r="N190" s="103">
        <f t="shared" si="56"/>
        <v>0</v>
      </c>
      <c r="O190" s="103">
        <f t="shared" si="56"/>
        <v>2723934.42</v>
      </c>
      <c r="P190" s="103">
        <f t="shared" si="56"/>
        <v>0</v>
      </c>
      <c r="Q190" s="103">
        <f t="shared" si="57"/>
        <v>2723934.42</v>
      </c>
      <c r="S190" s="267" t="str">
        <f t="shared" si="59"/>
        <v/>
      </c>
      <c r="T190" s="267">
        <f t="shared" si="59"/>
        <v>4.8733670770244618E-2</v>
      </c>
      <c r="U190" s="267" t="str">
        <f t="shared" si="59"/>
        <v/>
      </c>
      <c r="V190" s="267">
        <f t="shared" si="58"/>
        <v>4.8733670770244618E-2</v>
      </c>
      <c r="W190" s="530"/>
      <c r="X190" s="236"/>
      <c r="Y190" s="236"/>
      <c r="Z190" s="236"/>
    </row>
    <row r="191" spans="1:26" s="256" customFormat="1" ht="12" customHeight="1">
      <c r="A191" s="548"/>
      <c r="B191" s="548" t="s">
        <v>125</v>
      </c>
      <c r="C191" s="460"/>
      <c r="D191" s="551"/>
      <c r="E191" s="390" t="s">
        <v>767</v>
      </c>
      <c r="F191" s="391">
        <f>+F188+F187</f>
        <v>0</v>
      </c>
      <c r="G191" s="391">
        <f t="shared" ref="G191:Q191" si="72">+G188+G187</f>
        <v>141847.79999999978</v>
      </c>
      <c r="H191" s="391">
        <f t="shared" si="72"/>
        <v>0</v>
      </c>
      <c r="I191" s="391">
        <f t="shared" si="72"/>
        <v>141847.79999999978</v>
      </c>
      <c r="J191" s="391">
        <f t="shared" si="72"/>
        <v>0</v>
      </c>
      <c r="K191" s="391">
        <f t="shared" si="72"/>
        <v>139548.01</v>
      </c>
      <c r="L191" s="391">
        <f t="shared" si="72"/>
        <v>0</v>
      </c>
      <c r="M191" s="391">
        <f t="shared" si="72"/>
        <v>139548.01</v>
      </c>
      <c r="N191" s="391">
        <f t="shared" si="72"/>
        <v>0</v>
      </c>
      <c r="O191" s="391">
        <f t="shared" si="72"/>
        <v>2299.7899999997671</v>
      </c>
      <c r="P191" s="391">
        <f t="shared" si="72"/>
        <v>0</v>
      </c>
      <c r="Q191" s="391">
        <f t="shared" si="72"/>
        <v>2299.7899999997671</v>
      </c>
      <c r="R191" s="761"/>
      <c r="S191" s="267" t="str">
        <f t="shared" si="59"/>
        <v/>
      </c>
      <c r="T191" s="267">
        <f t="shared" si="59"/>
        <v>0.98378691809108232</v>
      </c>
      <c r="U191" s="267" t="str">
        <f t="shared" si="59"/>
        <v/>
      </c>
      <c r="V191" s="267">
        <f t="shared" si="58"/>
        <v>0.98378691809108232</v>
      </c>
      <c r="W191" s="532"/>
      <c r="Y191" s="236" t="s">
        <v>598</v>
      </c>
      <c r="Z191" s="240" t="s">
        <v>598</v>
      </c>
    </row>
    <row r="192" spans="1:26" ht="12" hidden="1" customHeight="1">
      <c r="A192" s="548"/>
      <c r="B192" s="548"/>
      <c r="C192" s="456"/>
      <c r="D192" s="549"/>
      <c r="E192" s="461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S192" s="267" t="str">
        <f t="shared" si="59"/>
        <v/>
      </c>
      <c r="T192" s="267" t="str">
        <f t="shared" si="59"/>
        <v/>
      </c>
      <c r="U192" s="267" t="str">
        <f t="shared" si="59"/>
        <v/>
      </c>
      <c r="V192" s="267" t="str">
        <f t="shared" si="58"/>
        <v/>
      </c>
      <c r="W192" s="530"/>
      <c r="X192" s="236"/>
      <c r="Y192" s="236"/>
      <c r="Z192" s="236"/>
    </row>
    <row r="193" spans="1:26" s="256" customFormat="1" ht="12" customHeight="1">
      <c r="A193" s="548" t="s">
        <v>123</v>
      </c>
      <c r="B193" s="548" t="s">
        <v>125</v>
      </c>
      <c r="C193" s="460"/>
      <c r="D193" s="551" t="s">
        <v>98</v>
      </c>
      <c r="E193" s="390" t="s">
        <v>100</v>
      </c>
      <c r="F193" s="391">
        <f>SUM(F194:F194)</f>
        <v>0</v>
      </c>
      <c r="G193" s="391">
        <f>SUM(G194:G194)</f>
        <v>34631175.939999998</v>
      </c>
      <c r="H193" s="391">
        <f>SUM(H194:H194)</f>
        <v>2900</v>
      </c>
      <c r="I193" s="391">
        <f>+F193+G193+H193</f>
        <v>34634075.939999998</v>
      </c>
      <c r="J193" s="391">
        <v>0</v>
      </c>
      <c r="K193" s="391">
        <f>SUM(K194:K194)</f>
        <v>18641170.899999999</v>
      </c>
      <c r="L193" s="391">
        <f>SUM(L194:L194)</f>
        <v>0</v>
      </c>
      <c r="M193" s="391">
        <f>+J193+K193+L193</f>
        <v>18641170.899999999</v>
      </c>
      <c r="N193" s="391">
        <f t="shared" ref="N193:P194" si="73">+F193-J193</f>
        <v>0</v>
      </c>
      <c r="O193" s="391">
        <f t="shared" si="73"/>
        <v>15990005.039999999</v>
      </c>
      <c r="P193" s="391">
        <f t="shared" si="73"/>
        <v>2900</v>
      </c>
      <c r="Q193" s="391">
        <f>+N193+O193+P193</f>
        <v>15992905.039999999</v>
      </c>
      <c r="R193" s="761"/>
      <c r="S193" s="267" t="str">
        <f t="shared" si="59"/>
        <v/>
      </c>
      <c r="T193" s="267">
        <f t="shared" si="59"/>
        <v>0.53827715617559824</v>
      </c>
      <c r="U193" s="267">
        <f t="shared" si="59"/>
        <v>0</v>
      </c>
      <c r="V193" s="267">
        <f t="shared" si="58"/>
        <v>0.53823208484886176</v>
      </c>
      <c r="W193" s="532"/>
      <c r="Y193" s="236" t="s">
        <v>598</v>
      </c>
      <c r="Z193" s="240" t="s">
        <v>598</v>
      </c>
    </row>
    <row r="194" spans="1:26" ht="12" customHeight="1">
      <c r="A194" s="548" t="s">
        <v>123</v>
      </c>
      <c r="B194" s="548" t="s">
        <v>125</v>
      </c>
      <c r="C194" s="456"/>
      <c r="D194" s="549"/>
      <c r="E194" s="462" t="s">
        <v>290</v>
      </c>
      <c r="F194" s="103">
        <v>0</v>
      </c>
      <c r="G194" s="103">
        <f>SUM('[3]chd 1-SAOB'!AP222)</f>
        <v>34631175.939999998</v>
      </c>
      <c r="H194" s="103">
        <f>SUM('[3]chd 1-SAOB'!AP314)</f>
        <v>2900</v>
      </c>
      <c r="I194" s="103">
        <f>+F194+G194+H194</f>
        <v>34634075.939999998</v>
      </c>
      <c r="J194" s="103">
        <v>0</v>
      </c>
      <c r="K194" s="103">
        <f>SUM('[3]chd 1-SAOB'!AP223)</f>
        <v>18641170.899999999</v>
      </c>
      <c r="L194" s="103">
        <f>SUM('[3]chd 1-SAOB'!AP315)</f>
        <v>0</v>
      </c>
      <c r="M194" s="103">
        <f>+J194+K194+L194</f>
        <v>18641170.899999999</v>
      </c>
      <c r="N194" s="103">
        <f t="shared" si="73"/>
        <v>0</v>
      </c>
      <c r="O194" s="103">
        <f t="shared" si="73"/>
        <v>15990005.039999999</v>
      </c>
      <c r="P194" s="103">
        <f t="shared" si="73"/>
        <v>2900</v>
      </c>
      <c r="Q194" s="103">
        <f>+N194+O194+P194</f>
        <v>15992905.039999999</v>
      </c>
      <c r="S194" s="267" t="str">
        <f t="shared" si="59"/>
        <v/>
      </c>
      <c r="T194" s="267">
        <f t="shared" si="59"/>
        <v>0.53827715617559824</v>
      </c>
      <c r="U194" s="267">
        <f t="shared" si="59"/>
        <v>0</v>
      </c>
      <c r="V194" s="267">
        <f t="shared" si="58"/>
        <v>0.53823208484886176</v>
      </c>
      <c r="W194" s="530"/>
      <c r="X194" s="236"/>
      <c r="Y194" s="236" t="s">
        <v>598</v>
      </c>
      <c r="Z194" s="236"/>
    </row>
    <row r="195" spans="1:26" s="259" customFormat="1" ht="12" customHeight="1">
      <c r="A195" s="315" t="s">
        <v>123</v>
      </c>
      <c r="B195" s="315" t="s">
        <v>125</v>
      </c>
      <c r="C195" s="1096"/>
      <c r="D195" s="466"/>
      <c r="E195" s="1097" t="s">
        <v>4</v>
      </c>
      <c r="F195" s="652">
        <f>+F193+F191</f>
        <v>0</v>
      </c>
      <c r="G195" s="652">
        <f t="shared" ref="G195:Q195" si="74">+G193+G191</f>
        <v>34773023.739999995</v>
      </c>
      <c r="H195" s="652">
        <f t="shared" si="74"/>
        <v>2900</v>
      </c>
      <c r="I195" s="652">
        <f t="shared" si="74"/>
        <v>34775923.739999995</v>
      </c>
      <c r="J195" s="652">
        <f t="shared" si="74"/>
        <v>0</v>
      </c>
      <c r="K195" s="652">
        <f t="shared" si="74"/>
        <v>18780718.91</v>
      </c>
      <c r="L195" s="652">
        <f t="shared" si="74"/>
        <v>0</v>
      </c>
      <c r="M195" s="652">
        <f t="shared" si="74"/>
        <v>18780718.91</v>
      </c>
      <c r="N195" s="652">
        <f t="shared" si="74"/>
        <v>0</v>
      </c>
      <c r="O195" s="652">
        <f t="shared" si="74"/>
        <v>15992304.829999998</v>
      </c>
      <c r="P195" s="652">
        <f t="shared" si="74"/>
        <v>2900</v>
      </c>
      <c r="Q195" s="652">
        <f t="shared" si="74"/>
        <v>15995204.829999998</v>
      </c>
      <c r="R195" s="1095">
        <f>+Q195-'[3]chd 1-SAOB'!BN351</f>
        <v>0</v>
      </c>
      <c r="S195" s="524" t="str">
        <f t="shared" si="59"/>
        <v/>
      </c>
      <c r="T195" s="524">
        <f t="shared" si="59"/>
        <v>0.54009450114044077</v>
      </c>
      <c r="U195" s="524">
        <f t="shared" si="59"/>
        <v>0</v>
      </c>
      <c r="V195" s="524">
        <f t="shared" si="58"/>
        <v>0.54004946210524452</v>
      </c>
      <c r="W195" s="344"/>
      <c r="X195" s="520"/>
      <c r="Y195" s="837" t="s">
        <v>598</v>
      </c>
      <c r="Z195" s="241" t="s">
        <v>598</v>
      </c>
    </row>
    <row r="196" spans="1:26" ht="12" customHeight="1">
      <c r="A196" s="315" t="s">
        <v>123</v>
      </c>
      <c r="B196" s="315" t="s">
        <v>125</v>
      </c>
      <c r="C196" s="456"/>
      <c r="D196" s="456"/>
      <c r="E196" s="46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S196" s="267" t="str">
        <f t="shared" si="59"/>
        <v/>
      </c>
      <c r="T196" s="267" t="str">
        <f t="shared" si="59"/>
        <v/>
      </c>
      <c r="U196" s="267" t="str">
        <f t="shared" si="59"/>
        <v/>
      </c>
      <c r="V196" s="267" t="str">
        <f t="shared" si="58"/>
        <v/>
      </c>
      <c r="W196" s="346"/>
      <c r="Y196" s="837" t="s">
        <v>598</v>
      </c>
      <c r="Z196" s="241" t="s">
        <v>598</v>
      </c>
    </row>
    <row r="197" spans="1:26" s="275" customFormat="1" ht="14.25" customHeight="1">
      <c r="A197" s="548" t="s">
        <v>123</v>
      </c>
      <c r="B197" s="548" t="s">
        <v>126</v>
      </c>
      <c r="C197" s="464" t="s">
        <v>98</v>
      </c>
      <c r="D197" s="552" t="s">
        <v>107</v>
      </c>
      <c r="E197" s="407" t="s">
        <v>789</v>
      </c>
      <c r="F197" s="409"/>
      <c r="G197" s="409"/>
      <c r="H197" s="409"/>
      <c r="I197" s="409">
        <f t="shared" si="54"/>
        <v>0</v>
      </c>
      <c r="J197" s="409">
        <v>0</v>
      </c>
      <c r="K197" s="409"/>
      <c r="L197" s="409"/>
      <c r="M197" s="409">
        <f t="shared" si="55"/>
        <v>0</v>
      </c>
      <c r="N197" s="409">
        <f t="shared" si="56"/>
        <v>0</v>
      </c>
      <c r="O197" s="409">
        <f t="shared" si="56"/>
        <v>0</v>
      </c>
      <c r="P197" s="409">
        <f t="shared" si="56"/>
        <v>0</v>
      </c>
      <c r="Q197" s="409">
        <f t="shared" si="57"/>
        <v>0</v>
      </c>
      <c r="R197" s="761"/>
      <c r="S197" s="267" t="str">
        <f t="shared" si="59"/>
        <v/>
      </c>
      <c r="T197" s="267" t="str">
        <f t="shared" si="59"/>
        <v/>
      </c>
      <c r="U197" s="267" t="str">
        <f t="shared" si="59"/>
        <v/>
      </c>
      <c r="V197" s="267" t="str">
        <f t="shared" si="58"/>
        <v/>
      </c>
      <c r="W197" s="553"/>
      <c r="Y197" s="236" t="s">
        <v>598</v>
      </c>
      <c r="Z197" s="240" t="s">
        <v>598</v>
      </c>
    </row>
    <row r="198" spans="1:26" ht="12" customHeight="1">
      <c r="A198" s="548" t="s">
        <v>123</v>
      </c>
      <c r="B198" s="548" t="s">
        <v>126</v>
      </c>
      <c r="C198" s="447" t="s">
        <v>766</v>
      </c>
      <c r="D198" s="549"/>
      <c r="E198" s="447" t="s">
        <v>766</v>
      </c>
      <c r="F198" s="104">
        <f>+'[3]chd 1-SAOB'!C450</f>
        <v>0</v>
      </c>
      <c r="G198" s="104">
        <f>+'[3]chd 1-SAOB'!D450</f>
        <v>0</v>
      </c>
      <c r="H198" s="104">
        <f>+'[3]chd 1-SAOB'!E450</f>
        <v>0</v>
      </c>
      <c r="I198" s="103">
        <f t="shared" si="54"/>
        <v>0</v>
      </c>
      <c r="J198" s="103">
        <v>0</v>
      </c>
      <c r="K198" s="104">
        <f>+'[3]chd 1-SAOB'!H450</f>
        <v>0</v>
      </c>
      <c r="L198" s="104">
        <f>+'[3]chd 1-SAOB'!I450</f>
        <v>0</v>
      </c>
      <c r="M198" s="103">
        <f t="shared" si="55"/>
        <v>0</v>
      </c>
      <c r="N198" s="103">
        <f t="shared" si="56"/>
        <v>0</v>
      </c>
      <c r="O198" s="103">
        <f t="shared" si="56"/>
        <v>0</v>
      </c>
      <c r="P198" s="103">
        <f t="shared" si="56"/>
        <v>0</v>
      </c>
      <c r="Q198" s="103">
        <f t="shared" si="57"/>
        <v>0</v>
      </c>
      <c r="S198" s="267" t="str">
        <f t="shared" si="59"/>
        <v/>
      </c>
      <c r="T198" s="267" t="str">
        <f t="shared" si="59"/>
        <v/>
      </c>
      <c r="U198" s="267" t="str">
        <f t="shared" si="59"/>
        <v/>
      </c>
      <c r="V198" s="267" t="str">
        <f t="shared" si="58"/>
        <v/>
      </c>
      <c r="W198" s="530"/>
      <c r="X198" s="236"/>
      <c r="Y198" s="236" t="s">
        <v>688</v>
      </c>
      <c r="Z198" s="236"/>
    </row>
    <row r="199" spans="1:26" ht="12" customHeight="1">
      <c r="A199" s="548" t="s">
        <v>123</v>
      </c>
      <c r="B199" s="548" t="s">
        <v>126</v>
      </c>
      <c r="C199" s="456"/>
      <c r="D199" s="549"/>
      <c r="E199" s="453" t="s">
        <v>50</v>
      </c>
      <c r="F199" s="103">
        <f>+F200+F201</f>
        <v>0</v>
      </c>
      <c r="G199" s="103">
        <f>+G200+G201</f>
        <v>0</v>
      </c>
      <c r="H199" s="103">
        <f>+H200+H201</f>
        <v>0</v>
      </c>
      <c r="I199" s="103">
        <f t="shared" si="54"/>
        <v>0</v>
      </c>
      <c r="J199" s="103">
        <f>+J200+J201</f>
        <v>0</v>
      </c>
      <c r="K199" s="103">
        <f>+K200+K201</f>
        <v>0</v>
      </c>
      <c r="L199" s="103">
        <f>+L200+L201</f>
        <v>0</v>
      </c>
      <c r="M199" s="103">
        <f t="shared" si="55"/>
        <v>0</v>
      </c>
      <c r="N199" s="103">
        <f t="shared" si="56"/>
        <v>0</v>
      </c>
      <c r="O199" s="103">
        <f t="shared" si="56"/>
        <v>0</v>
      </c>
      <c r="P199" s="103">
        <f t="shared" si="56"/>
        <v>0</v>
      </c>
      <c r="Q199" s="103">
        <f t="shared" si="57"/>
        <v>0</v>
      </c>
      <c r="S199" s="267" t="str">
        <f t="shared" si="59"/>
        <v/>
      </c>
      <c r="T199" s="267" t="str">
        <f t="shared" si="59"/>
        <v/>
      </c>
      <c r="U199" s="267" t="str">
        <f t="shared" si="59"/>
        <v/>
      </c>
      <c r="V199" s="267" t="str">
        <f t="shared" si="58"/>
        <v/>
      </c>
      <c r="W199" s="530"/>
      <c r="X199" s="236"/>
      <c r="Y199" s="236" t="s">
        <v>688</v>
      </c>
      <c r="Z199" s="236"/>
    </row>
    <row r="200" spans="1:26" ht="12" hidden="1" customHeight="1">
      <c r="A200" s="548" t="s">
        <v>123</v>
      </c>
      <c r="B200" s="548" t="s">
        <v>126</v>
      </c>
      <c r="C200" s="458" t="s">
        <v>715</v>
      </c>
      <c r="D200" s="550" t="s">
        <v>715</v>
      </c>
      <c r="E200" s="447" t="s">
        <v>715</v>
      </c>
      <c r="F200" s="104">
        <f>'[3]CONAP - W INC'!F139</f>
        <v>0</v>
      </c>
      <c r="G200" s="104">
        <f>'[3]CONAP - W INC'!G139</f>
        <v>0</v>
      </c>
      <c r="H200" s="104">
        <f>'[3]CONAP - W INC'!H139</f>
        <v>0</v>
      </c>
      <c r="I200" s="103">
        <f t="shared" si="54"/>
        <v>0</v>
      </c>
      <c r="J200" s="103">
        <f>'[3]CONAP - W INC'!J139</f>
        <v>0</v>
      </c>
      <c r="K200" s="104">
        <f>'[3]CONAP - W INC'!K139</f>
        <v>0</v>
      </c>
      <c r="L200" s="104">
        <f>'[3]CONAP - W INC'!L139</f>
        <v>0</v>
      </c>
      <c r="M200" s="103">
        <f t="shared" si="55"/>
        <v>0</v>
      </c>
      <c r="N200" s="103">
        <f t="shared" si="56"/>
        <v>0</v>
      </c>
      <c r="O200" s="103">
        <f t="shared" si="56"/>
        <v>0</v>
      </c>
      <c r="P200" s="103">
        <f t="shared" si="56"/>
        <v>0</v>
      </c>
      <c r="Q200" s="103">
        <f t="shared" si="57"/>
        <v>0</v>
      </c>
      <c r="S200" s="267" t="str">
        <f t="shared" si="59"/>
        <v/>
      </c>
      <c r="T200" s="267" t="str">
        <f t="shared" si="59"/>
        <v/>
      </c>
      <c r="U200" s="267" t="str">
        <f t="shared" si="59"/>
        <v/>
      </c>
      <c r="V200" s="267" t="str">
        <f t="shared" si="58"/>
        <v/>
      </c>
      <c r="W200" s="530"/>
      <c r="X200" s="236"/>
      <c r="Y200" s="236"/>
      <c r="Z200" s="236"/>
    </row>
    <row r="201" spans="1:26" ht="12" hidden="1" customHeight="1">
      <c r="A201" s="548" t="s">
        <v>123</v>
      </c>
      <c r="B201" s="548" t="s">
        <v>126</v>
      </c>
      <c r="C201" s="458" t="s">
        <v>716</v>
      </c>
      <c r="D201" s="550" t="s">
        <v>716</v>
      </c>
      <c r="E201" s="459" t="s">
        <v>716</v>
      </c>
      <c r="F201" s="104">
        <f>'[3]CONAP - W INC'!F140</f>
        <v>0</v>
      </c>
      <c r="G201" s="104">
        <f>'[3]CONAP - W INC'!G140</f>
        <v>0</v>
      </c>
      <c r="H201" s="104">
        <f>'[3]CONAP - W INC'!H140</f>
        <v>0</v>
      </c>
      <c r="I201" s="103">
        <f t="shared" si="54"/>
        <v>0</v>
      </c>
      <c r="J201" s="103">
        <f>'[3]CONAP - W INC'!J140</f>
        <v>0</v>
      </c>
      <c r="K201" s="104">
        <f>'[3]CONAP - W INC'!K140</f>
        <v>0</v>
      </c>
      <c r="L201" s="104">
        <f>'[3]CONAP - W INC'!L140</f>
        <v>0</v>
      </c>
      <c r="M201" s="103">
        <f t="shared" si="55"/>
        <v>0</v>
      </c>
      <c r="N201" s="103">
        <f t="shared" si="56"/>
        <v>0</v>
      </c>
      <c r="O201" s="103">
        <f t="shared" si="56"/>
        <v>0</v>
      </c>
      <c r="P201" s="103">
        <f t="shared" si="56"/>
        <v>0</v>
      </c>
      <c r="Q201" s="103">
        <f t="shared" si="57"/>
        <v>0</v>
      </c>
      <c r="S201" s="267" t="str">
        <f t="shared" si="59"/>
        <v/>
      </c>
      <c r="T201" s="267" t="str">
        <f t="shared" si="59"/>
        <v/>
      </c>
      <c r="U201" s="267" t="str">
        <f t="shared" si="59"/>
        <v/>
      </c>
      <c r="V201" s="267" t="str">
        <f t="shared" si="58"/>
        <v/>
      </c>
      <c r="W201" s="530"/>
      <c r="X201" s="236"/>
      <c r="Y201" s="236"/>
      <c r="Z201" s="236"/>
    </row>
    <row r="202" spans="1:26" s="256" customFormat="1" ht="12" customHeight="1">
      <c r="A202" s="548"/>
      <c r="B202" s="548" t="s">
        <v>126</v>
      </c>
      <c r="C202" s="460"/>
      <c r="D202" s="551"/>
      <c r="E202" s="390" t="s">
        <v>767</v>
      </c>
      <c r="F202" s="391">
        <f>+F199+F198</f>
        <v>0</v>
      </c>
      <c r="G202" s="391">
        <f t="shared" ref="G202:Q202" si="75">+G199+G198</f>
        <v>0</v>
      </c>
      <c r="H202" s="391">
        <f t="shared" si="75"/>
        <v>0</v>
      </c>
      <c r="I202" s="391">
        <f t="shared" si="75"/>
        <v>0</v>
      </c>
      <c r="J202" s="391">
        <f t="shared" si="75"/>
        <v>0</v>
      </c>
      <c r="K202" s="391">
        <f t="shared" si="75"/>
        <v>0</v>
      </c>
      <c r="L202" s="391">
        <f t="shared" si="75"/>
        <v>0</v>
      </c>
      <c r="M202" s="391">
        <f t="shared" si="75"/>
        <v>0</v>
      </c>
      <c r="N202" s="391">
        <f t="shared" si="75"/>
        <v>0</v>
      </c>
      <c r="O202" s="391">
        <f t="shared" si="75"/>
        <v>0</v>
      </c>
      <c r="P202" s="391">
        <f t="shared" si="75"/>
        <v>0</v>
      </c>
      <c r="Q202" s="391">
        <f t="shared" si="75"/>
        <v>0</v>
      </c>
      <c r="R202" s="761"/>
      <c r="S202" s="267" t="str">
        <f t="shared" si="59"/>
        <v/>
      </c>
      <c r="T202" s="267" t="str">
        <f t="shared" si="59"/>
        <v/>
      </c>
      <c r="U202" s="267" t="str">
        <f t="shared" si="59"/>
        <v/>
      </c>
      <c r="V202" s="267" t="str">
        <f t="shared" si="58"/>
        <v/>
      </c>
      <c r="W202" s="532"/>
      <c r="Y202" s="236" t="s">
        <v>598</v>
      </c>
      <c r="Z202" s="240" t="s">
        <v>598</v>
      </c>
    </row>
    <row r="203" spans="1:26" ht="12" hidden="1" customHeight="1">
      <c r="A203" s="548"/>
      <c r="B203" s="548"/>
      <c r="C203" s="456"/>
      <c r="D203" s="549"/>
      <c r="E203" s="461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S203" s="267" t="str">
        <f t="shared" si="59"/>
        <v/>
      </c>
      <c r="T203" s="267" t="str">
        <f t="shared" si="59"/>
        <v/>
      </c>
      <c r="U203" s="267" t="str">
        <f t="shared" si="59"/>
        <v/>
      </c>
      <c r="V203" s="267" t="str">
        <f t="shared" si="58"/>
        <v/>
      </c>
      <c r="W203" s="530"/>
      <c r="X203" s="236"/>
      <c r="Y203" s="236"/>
      <c r="Z203" s="236"/>
    </row>
    <row r="204" spans="1:26" s="256" customFormat="1" ht="12" customHeight="1">
      <c r="A204" s="548" t="s">
        <v>123</v>
      </c>
      <c r="B204" s="548" t="s">
        <v>126</v>
      </c>
      <c r="C204" s="460"/>
      <c r="D204" s="551" t="s">
        <v>98</v>
      </c>
      <c r="E204" s="390" t="s">
        <v>100</v>
      </c>
      <c r="F204" s="391">
        <f>SUM(F205:F205)</f>
        <v>0</v>
      </c>
      <c r="G204" s="391">
        <f>SUM(G205:G205)</f>
        <v>2645000</v>
      </c>
      <c r="H204" s="391">
        <f>SUM(H205:H205)</f>
        <v>0</v>
      </c>
      <c r="I204" s="391">
        <f>+F204+G204+H204</f>
        <v>2645000</v>
      </c>
      <c r="J204" s="391">
        <v>0</v>
      </c>
      <c r="K204" s="391">
        <f>SUM(K205:K205)</f>
        <v>2588324.89</v>
      </c>
      <c r="L204" s="391">
        <f>SUM(L205:L205)</f>
        <v>0</v>
      </c>
      <c r="M204" s="391">
        <f>+J204+K204+L204</f>
        <v>2588324.89</v>
      </c>
      <c r="N204" s="391">
        <f t="shared" ref="N204:P205" si="76">+F204-J204</f>
        <v>0</v>
      </c>
      <c r="O204" s="391">
        <f t="shared" si="76"/>
        <v>56675.10999999987</v>
      </c>
      <c r="P204" s="391">
        <f t="shared" si="76"/>
        <v>0</v>
      </c>
      <c r="Q204" s="391">
        <f>+N204+O204+P204</f>
        <v>56675.10999999987</v>
      </c>
      <c r="R204" s="761"/>
      <c r="S204" s="267" t="str">
        <f t="shared" si="59"/>
        <v/>
      </c>
      <c r="T204" s="267">
        <f t="shared" si="59"/>
        <v>0.97857273724007565</v>
      </c>
      <c r="U204" s="267" t="str">
        <f t="shared" si="59"/>
        <v/>
      </c>
      <c r="V204" s="267">
        <f t="shared" si="58"/>
        <v>0.97857273724007565</v>
      </c>
      <c r="W204" s="532"/>
      <c r="Y204" s="236" t="s">
        <v>598</v>
      </c>
      <c r="Z204" s="240" t="s">
        <v>598</v>
      </c>
    </row>
    <row r="205" spans="1:26" ht="12" customHeight="1">
      <c r="A205" s="548" t="s">
        <v>123</v>
      </c>
      <c r="B205" s="548" t="s">
        <v>126</v>
      </c>
      <c r="C205" s="456"/>
      <c r="D205" s="549"/>
      <c r="E205" s="462" t="s">
        <v>290</v>
      </c>
      <c r="F205" s="103">
        <v>0</v>
      </c>
      <c r="G205" s="103">
        <f>SUM('[3]chd 1-SAOB'!AQ222)</f>
        <v>2645000</v>
      </c>
      <c r="H205" s="103">
        <f>SUM('[3]chd 1-SAOB'!AQ314)</f>
        <v>0</v>
      </c>
      <c r="I205" s="103">
        <f>+F205+G205+H205</f>
        <v>2645000</v>
      </c>
      <c r="J205" s="103">
        <v>0</v>
      </c>
      <c r="K205" s="103">
        <f>SUM('[3]chd 1-SAOB'!AQ223)</f>
        <v>2588324.89</v>
      </c>
      <c r="L205" s="103">
        <f>SUM('[3]chd 1-SAOB'!AQ315)</f>
        <v>0</v>
      </c>
      <c r="M205" s="103">
        <f>+J205+K205+L205</f>
        <v>2588324.89</v>
      </c>
      <c r="N205" s="103">
        <f t="shared" si="76"/>
        <v>0</v>
      </c>
      <c r="O205" s="103">
        <f t="shared" si="76"/>
        <v>56675.10999999987</v>
      </c>
      <c r="P205" s="103">
        <f t="shared" si="76"/>
        <v>0</v>
      </c>
      <c r="Q205" s="103">
        <f>+N205+O205+P205</f>
        <v>56675.10999999987</v>
      </c>
      <c r="S205" s="267" t="str">
        <f t="shared" si="59"/>
        <v/>
      </c>
      <c r="T205" s="267">
        <f t="shared" si="59"/>
        <v>0.97857273724007565</v>
      </c>
      <c r="U205" s="267" t="str">
        <f t="shared" si="59"/>
        <v/>
      </c>
      <c r="V205" s="267">
        <f t="shared" si="58"/>
        <v>0.97857273724007565</v>
      </c>
      <c r="W205" s="530"/>
      <c r="X205" s="236"/>
      <c r="Y205" s="236" t="s">
        <v>598</v>
      </c>
      <c r="Z205" s="236"/>
    </row>
    <row r="206" spans="1:26" s="259" customFormat="1" ht="12" customHeight="1">
      <c r="A206" s="315" t="s">
        <v>123</v>
      </c>
      <c r="B206" s="315" t="s">
        <v>126</v>
      </c>
      <c r="C206" s="1096"/>
      <c r="D206" s="466"/>
      <c r="E206" s="1097" t="s">
        <v>4</v>
      </c>
      <c r="F206" s="652">
        <f>+F204+F202</f>
        <v>0</v>
      </c>
      <c r="G206" s="652">
        <f t="shared" ref="G206:Q206" si="77">+G204+G202</f>
        <v>2645000</v>
      </c>
      <c r="H206" s="652">
        <f t="shared" si="77"/>
        <v>0</v>
      </c>
      <c r="I206" s="652">
        <f t="shared" si="77"/>
        <v>2645000</v>
      </c>
      <c r="J206" s="652">
        <f t="shared" si="77"/>
        <v>0</v>
      </c>
      <c r="K206" s="652">
        <f t="shared" si="77"/>
        <v>2588324.89</v>
      </c>
      <c r="L206" s="652">
        <f t="shared" si="77"/>
        <v>0</v>
      </c>
      <c r="M206" s="652">
        <f t="shared" si="77"/>
        <v>2588324.89</v>
      </c>
      <c r="N206" s="652">
        <f t="shared" si="77"/>
        <v>0</v>
      </c>
      <c r="O206" s="652">
        <f t="shared" si="77"/>
        <v>56675.10999999987</v>
      </c>
      <c r="P206" s="652">
        <f t="shared" si="77"/>
        <v>0</v>
      </c>
      <c r="Q206" s="652">
        <f t="shared" si="77"/>
        <v>56675.10999999987</v>
      </c>
      <c r="R206" s="1095">
        <f>+Q206-'[3]chd 1-SAOB'!BO351</f>
        <v>0</v>
      </c>
      <c r="S206" s="524" t="str">
        <f t="shared" si="59"/>
        <v/>
      </c>
      <c r="T206" s="524">
        <f t="shared" si="59"/>
        <v>0.97857273724007565</v>
      </c>
      <c r="U206" s="524" t="str">
        <f t="shared" si="59"/>
        <v/>
      </c>
      <c r="V206" s="524">
        <f t="shared" si="58"/>
        <v>0.97857273724007565</v>
      </c>
      <c r="W206" s="344"/>
      <c r="X206" s="520"/>
      <c r="Y206" s="837" t="s">
        <v>598</v>
      </c>
      <c r="Z206" s="241" t="s">
        <v>598</v>
      </c>
    </row>
    <row r="207" spans="1:26" ht="12" customHeight="1">
      <c r="A207" s="315" t="s">
        <v>123</v>
      </c>
      <c r="B207" s="315" t="s">
        <v>126</v>
      </c>
      <c r="C207" s="456"/>
      <c r="D207" s="456"/>
      <c r="E207" s="46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S207" s="267" t="str">
        <f t="shared" si="59"/>
        <v/>
      </c>
      <c r="T207" s="267" t="str">
        <f t="shared" si="59"/>
        <v/>
      </c>
      <c r="U207" s="267" t="str">
        <f t="shared" si="59"/>
        <v/>
      </c>
      <c r="V207" s="267" t="str">
        <f t="shared" si="58"/>
        <v/>
      </c>
      <c r="W207" s="267"/>
      <c r="Y207" s="837" t="s">
        <v>598</v>
      </c>
      <c r="Z207" s="241" t="s">
        <v>598</v>
      </c>
    </row>
    <row r="208" spans="1:26" s="275" customFormat="1" ht="12.75" customHeight="1">
      <c r="A208" s="548" t="s">
        <v>123</v>
      </c>
      <c r="B208" s="548" t="s">
        <v>127</v>
      </c>
      <c r="C208" s="464" t="s">
        <v>98</v>
      </c>
      <c r="D208" s="552" t="s">
        <v>109</v>
      </c>
      <c r="E208" s="407" t="s">
        <v>790</v>
      </c>
      <c r="F208" s="468"/>
      <c r="G208" s="468"/>
      <c r="H208" s="468"/>
      <c r="I208" s="409">
        <f t="shared" ref="I208:I271" si="78">+F208+G208+H208</f>
        <v>0</v>
      </c>
      <c r="J208" s="409">
        <v>0</v>
      </c>
      <c r="K208" s="468"/>
      <c r="L208" s="468"/>
      <c r="M208" s="409">
        <f t="shared" ref="M208:M271" si="79">+J208+K208+L208</f>
        <v>0</v>
      </c>
      <c r="N208" s="409">
        <f t="shared" ref="N208:P259" si="80">+F208-J208</f>
        <v>0</v>
      </c>
      <c r="O208" s="409">
        <f t="shared" si="80"/>
        <v>0</v>
      </c>
      <c r="P208" s="409">
        <f t="shared" si="80"/>
        <v>0</v>
      </c>
      <c r="Q208" s="409">
        <f t="shared" ref="Q208:Q271" si="81">+N208+O208+P208</f>
        <v>0</v>
      </c>
      <c r="R208" s="761"/>
      <c r="S208" s="267" t="str">
        <f t="shared" si="59"/>
        <v/>
      </c>
      <c r="T208" s="267" t="str">
        <f t="shared" si="59"/>
        <v/>
      </c>
      <c r="U208" s="267" t="str">
        <f t="shared" si="59"/>
        <v/>
      </c>
      <c r="V208" s="267" t="str">
        <f t="shared" si="58"/>
        <v/>
      </c>
      <c r="W208" s="553"/>
      <c r="Y208" s="236" t="s">
        <v>598</v>
      </c>
      <c r="Z208" s="240" t="s">
        <v>598</v>
      </c>
    </row>
    <row r="209" spans="1:26" ht="12" customHeight="1">
      <c r="A209" s="548" t="s">
        <v>123</v>
      </c>
      <c r="B209" s="548" t="s">
        <v>127</v>
      </c>
      <c r="C209" s="447" t="s">
        <v>766</v>
      </c>
      <c r="D209" s="549"/>
      <c r="E209" s="447" t="s">
        <v>766</v>
      </c>
      <c r="F209" s="104">
        <f>+'[3]chd 1-SAOB'!C457</f>
        <v>0</v>
      </c>
      <c r="G209" s="104">
        <f>+'[3]chd 1-SAOB'!D457</f>
        <v>480.67000000178814</v>
      </c>
      <c r="H209" s="104">
        <f>+'[3]chd 1-SAOB'!E457</f>
        <v>0</v>
      </c>
      <c r="I209" s="103">
        <f t="shared" si="78"/>
        <v>480.67000000178814</v>
      </c>
      <c r="J209" s="103">
        <v>0</v>
      </c>
      <c r="K209" s="104">
        <f>+'[3]chd 1-SAOB'!H457</f>
        <v>0</v>
      </c>
      <c r="L209" s="104">
        <f>+'[3]chd 1-SAOB'!I457</f>
        <v>0</v>
      </c>
      <c r="M209" s="103">
        <f t="shared" si="79"/>
        <v>0</v>
      </c>
      <c r="N209" s="103">
        <f t="shared" si="80"/>
        <v>0</v>
      </c>
      <c r="O209" s="103">
        <f t="shared" si="80"/>
        <v>480.67000000178814</v>
      </c>
      <c r="P209" s="103">
        <f t="shared" si="80"/>
        <v>0</v>
      </c>
      <c r="Q209" s="103">
        <f t="shared" si="81"/>
        <v>480.67000000178814</v>
      </c>
      <c r="S209" s="267" t="str">
        <f t="shared" si="59"/>
        <v/>
      </c>
      <c r="T209" s="267">
        <f t="shared" si="59"/>
        <v>0</v>
      </c>
      <c r="U209" s="267" t="str">
        <f t="shared" si="59"/>
        <v/>
      </c>
      <c r="V209" s="267">
        <f t="shared" si="58"/>
        <v>0</v>
      </c>
      <c r="W209" s="530"/>
      <c r="X209" s="236"/>
      <c r="Y209" s="236" t="s">
        <v>688</v>
      </c>
      <c r="Z209" s="236"/>
    </row>
    <row r="210" spans="1:26" ht="12" customHeight="1">
      <c r="A210" s="548" t="s">
        <v>123</v>
      </c>
      <c r="B210" s="548" t="s">
        <v>127</v>
      </c>
      <c r="C210" s="456"/>
      <c r="D210" s="549"/>
      <c r="E210" s="453" t="s">
        <v>50</v>
      </c>
      <c r="F210" s="103">
        <f>+F211+F212</f>
        <v>0</v>
      </c>
      <c r="G210" s="103">
        <f>+G211+G212</f>
        <v>578855.33000000077</v>
      </c>
      <c r="H210" s="103">
        <f>+H211+H212</f>
        <v>0</v>
      </c>
      <c r="I210" s="103">
        <f t="shared" si="78"/>
        <v>578855.33000000077</v>
      </c>
      <c r="J210" s="103">
        <f>+J211+J212</f>
        <v>0</v>
      </c>
      <c r="K210" s="103">
        <f>+K211+K212</f>
        <v>577165.86</v>
      </c>
      <c r="L210" s="103">
        <f>+L211+L212</f>
        <v>0</v>
      </c>
      <c r="M210" s="103">
        <f t="shared" si="79"/>
        <v>577165.86</v>
      </c>
      <c r="N210" s="103">
        <f t="shared" si="80"/>
        <v>0</v>
      </c>
      <c r="O210" s="103">
        <f t="shared" si="80"/>
        <v>1689.470000000787</v>
      </c>
      <c r="P210" s="103">
        <f t="shared" si="80"/>
        <v>0</v>
      </c>
      <c r="Q210" s="103">
        <f t="shared" si="81"/>
        <v>1689.470000000787</v>
      </c>
      <c r="S210" s="267" t="str">
        <f t="shared" si="59"/>
        <v/>
      </c>
      <c r="T210" s="267">
        <f t="shared" si="59"/>
        <v>0.99708136055342056</v>
      </c>
      <c r="U210" s="267" t="str">
        <f t="shared" si="59"/>
        <v/>
      </c>
      <c r="V210" s="267">
        <f t="shared" si="58"/>
        <v>0.99708136055342056</v>
      </c>
      <c r="W210" s="530"/>
      <c r="X210" s="236"/>
      <c r="Y210" s="236" t="s">
        <v>688</v>
      </c>
      <c r="Z210" s="236"/>
    </row>
    <row r="211" spans="1:26" ht="12" hidden="1" customHeight="1">
      <c r="A211" s="548" t="s">
        <v>123</v>
      </c>
      <c r="B211" s="548" t="s">
        <v>127</v>
      </c>
      <c r="C211" s="458" t="s">
        <v>715</v>
      </c>
      <c r="D211" s="550" t="s">
        <v>715</v>
      </c>
      <c r="E211" s="447" t="s">
        <v>715</v>
      </c>
      <c r="F211" s="104">
        <f>'[3]CONAP - W INC'!F147</f>
        <v>0</v>
      </c>
      <c r="G211" s="104">
        <f>'[3]CONAP - W INC'!G147</f>
        <v>-1040257.05</v>
      </c>
      <c r="H211" s="104">
        <f>'[3]CONAP - W INC'!H147</f>
        <v>0</v>
      </c>
      <c r="I211" s="103">
        <f t="shared" si="78"/>
        <v>-1040257.05</v>
      </c>
      <c r="J211" s="103">
        <f>'[3]CONAP - W INC'!J147</f>
        <v>0</v>
      </c>
      <c r="K211" s="104">
        <f>'[3]CONAP - W INC'!K147</f>
        <v>0</v>
      </c>
      <c r="L211" s="104">
        <f>'[3]CONAP - W INC'!L147</f>
        <v>0</v>
      </c>
      <c r="M211" s="103">
        <f t="shared" si="79"/>
        <v>0</v>
      </c>
      <c r="N211" s="103">
        <f t="shared" si="80"/>
        <v>0</v>
      </c>
      <c r="O211" s="103">
        <f t="shared" si="80"/>
        <v>-1040257.05</v>
      </c>
      <c r="P211" s="103">
        <f t="shared" si="80"/>
        <v>0</v>
      </c>
      <c r="Q211" s="103">
        <f t="shared" si="81"/>
        <v>-1040257.05</v>
      </c>
      <c r="S211" s="267" t="str">
        <f t="shared" si="59"/>
        <v/>
      </c>
      <c r="T211" s="267">
        <f t="shared" si="59"/>
        <v>0</v>
      </c>
      <c r="U211" s="267" t="str">
        <f t="shared" si="59"/>
        <v/>
      </c>
      <c r="V211" s="267">
        <f t="shared" si="58"/>
        <v>0</v>
      </c>
      <c r="W211" s="530"/>
      <c r="X211" s="236"/>
      <c r="Y211" s="236"/>
      <c r="Z211" s="236"/>
    </row>
    <row r="212" spans="1:26" ht="12" hidden="1" customHeight="1">
      <c r="A212" s="548" t="s">
        <v>123</v>
      </c>
      <c r="B212" s="548" t="s">
        <v>127</v>
      </c>
      <c r="C212" s="458" t="s">
        <v>716</v>
      </c>
      <c r="D212" s="550" t="s">
        <v>716</v>
      </c>
      <c r="E212" s="459" t="s">
        <v>716</v>
      </c>
      <c r="F212" s="104">
        <f>'[3]CONAP - W INC'!F148</f>
        <v>0</v>
      </c>
      <c r="G212" s="104">
        <f>'[3]CONAP - W INC'!G148</f>
        <v>1619112.3800000008</v>
      </c>
      <c r="H212" s="104">
        <f>'[3]CONAP - W INC'!H148</f>
        <v>0</v>
      </c>
      <c r="I212" s="103">
        <f t="shared" si="78"/>
        <v>1619112.3800000008</v>
      </c>
      <c r="J212" s="103">
        <f>'[3]CONAP - W INC'!J148</f>
        <v>0</v>
      </c>
      <c r="K212" s="104">
        <f>'[3]CONAP - W INC'!K148</f>
        <v>577165.86</v>
      </c>
      <c r="L212" s="104">
        <f>'[3]CONAP - W INC'!L148</f>
        <v>0</v>
      </c>
      <c r="M212" s="103">
        <f t="shared" si="79"/>
        <v>577165.86</v>
      </c>
      <c r="N212" s="103">
        <f t="shared" si="80"/>
        <v>0</v>
      </c>
      <c r="O212" s="103">
        <f t="shared" si="80"/>
        <v>1041946.5200000008</v>
      </c>
      <c r="P212" s="103">
        <f t="shared" si="80"/>
        <v>0</v>
      </c>
      <c r="Q212" s="103">
        <f t="shared" si="81"/>
        <v>1041946.5200000008</v>
      </c>
      <c r="S212" s="267" t="str">
        <f t="shared" si="59"/>
        <v/>
      </c>
      <c r="T212" s="267">
        <f t="shared" si="59"/>
        <v>0.3564705372705505</v>
      </c>
      <c r="U212" s="267" t="str">
        <f t="shared" si="59"/>
        <v/>
      </c>
      <c r="V212" s="267">
        <f t="shared" si="58"/>
        <v>0.3564705372705505</v>
      </c>
      <c r="W212" s="530"/>
      <c r="X212" s="236"/>
      <c r="Y212" s="236"/>
      <c r="Z212" s="236"/>
    </row>
    <row r="213" spans="1:26" s="256" customFormat="1" ht="12" customHeight="1">
      <c r="A213" s="548"/>
      <c r="B213" s="548" t="s">
        <v>127</v>
      </c>
      <c r="C213" s="460"/>
      <c r="D213" s="551"/>
      <c r="E213" s="390" t="s">
        <v>767</v>
      </c>
      <c r="F213" s="391">
        <f>+F210+F209</f>
        <v>0</v>
      </c>
      <c r="G213" s="391">
        <f t="shared" ref="G213:Q213" si="82">+G210+G209</f>
        <v>579336.00000000256</v>
      </c>
      <c r="H213" s="391">
        <f t="shared" si="82"/>
        <v>0</v>
      </c>
      <c r="I213" s="391">
        <f t="shared" si="82"/>
        <v>579336.00000000256</v>
      </c>
      <c r="J213" s="391">
        <f t="shared" si="82"/>
        <v>0</v>
      </c>
      <c r="K213" s="391">
        <f t="shared" si="82"/>
        <v>577165.86</v>
      </c>
      <c r="L213" s="391">
        <f t="shared" si="82"/>
        <v>0</v>
      </c>
      <c r="M213" s="391">
        <f t="shared" si="82"/>
        <v>577165.86</v>
      </c>
      <c r="N213" s="391">
        <f t="shared" si="82"/>
        <v>0</v>
      </c>
      <c r="O213" s="391">
        <f t="shared" si="82"/>
        <v>2170.1400000025751</v>
      </c>
      <c r="P213" s="391">
        <f t="shared" si="82"/>
        <v>0</v>
      </c>
      <c r="Q213" s="391">
        <f t="shared" si="82"/>
        <v>2170.1400000025751</v>
      </c>
      <c r="R213" s="761"/>
      <c r="S213" s="267" t="str">
        <f t="shared" si="59"/>
        <v/>
      </c>
      <c r="T213" s="267">
        <f t="shared" si="59"/>
        <v>0.99625409089025618</v>
      </c>
      <c r="U213" s="267" t="str">
        <f t="shared" si="59"/>
        <v/>
      </c>
      <c r="V213" s="267">
        <f t="shared" si="58"/>
        <v>0.99625409089025618</v>
      </c>
      <c r="W213" s="532"/>
      <c r="Y213" s="236" t="s">
        <v>598</v>
      </c>
      <c r="Z213" s="240" t="s">
        <v>598</v>
      </c>
    </row>
    <row r="214" spans="1:26" ht="12" hidden="1" customHeight="1">
      <c r="A214" s="548"/>
      <c r="B214" s="548"/>
      <c r="C214" s="456"/>
      <c r="D214" s="549"/>
      <c r="E214" s="461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S214" s="267" t="str">
        <f t="shared" si="59"/>
        <v/>
      </c>
      <c r="T214" s="267" t="str">
        <f t="shared" si="59"/>
        <v/>
      </c>
      <c r="U214" s="267" t="str">
        <f t="shared" si="59"/>
        <v/>
      </c>
      <c r="V214" s="267" t="str">
        <f t="shared" si="58"/>
        <v/>
      </c>
      <c r="W214" s="530"/>
      <c r="X214" s="236"/>
      <c r="Y214" s="236"/>
      <c r="Z214" s="236"/>
    </row>
    <row r="215" spans="1:26" s="256" customFormat="1" ht="12" customHeight="1">
      <c r="A215" s="548" t="s">
        <v>123</v>
      </c>
      <c r="B215" s="548" t="s">
        <v>127</v>
      </c>
      <c r="C215" s="460"/>
      <c r="D215" s="551" t="s">
        <v>98</v>
      </c>
      <c r="E215" s="390" t="s">
        <v>100</v>
      </c>
      <c r="F215" s="391">
        <f>SUM(F216:F216)</f>
        <v>0</v>
      </c>
      <c r="G215" s="391">
        <f>SUM(G216:G216)</f>
        <v>8042733.3899999997</v>
      </c>
      <c r="H215" s="391">
        <f>SUM(H216:H216)</f>
        <v>0</v>
      </c>
      <c r="I215" s="391">
        <f>+F215+G215+H215</f>
        <v>8042733.3899999997</v>
      </c>
      <c r="J215" s="391">
        <v>0</v>
      </c>
      <c r="K215" s="391">
        <f>SUM(K216:K216)</f>
        <v>8039407.8900000006</v>
      </c>
      <c r="L215" s="391">
        <f>SUM(L216:L216)</f>
        <v>0</v>
      </c>
      <c r="M215" s="391">
        <f>+J215+K215+L215</f>
        <v>8039407.8900000006</v>
      </c>
      <c r="N215" s="391">
        <f t="shared" ref="N215:P216" si="83">+F215-J215</f>
        <v>0</v>
      </c>
      <c r="O215" s="391">
        <f t="shared" si="83"/>
        <v>3325.4999999990687</v>
      </c>
      <c r="P215" s="391">
        <f t="shared" si="83"/>
        <v>0</v>
      </c>
      <c r="Q215" s="391">
        <f>+N215+O215+P215</f>
        <v>3325.4999999990687</v>
      </c>
      <c r="R215" s="761"/>
      <c r="S215" s="267" t="str">
        <f t="shared" si="59"/>
        <v/>
      </c>
      <c r="T215" s="267">
        <f t="shared" si="59"/>
        <v>0.99958652116901781</v>
      </c>
      <c r="U215" s="267" t="str">
        <f t="shared" si="59"/>
        <v/>
      </c>
      <c r="V215" s="267">
        <f t="shared" si="59"/>
        <v>0.99958652116901781</v>
      </c>
      <c r="W215" s="532"/>
      <c r="Y215" s="236" t="s">
        <v>598</v>
      </c>
      <c r="Z215" s="240" t="s">
        <v>598</v>
      </c>
    </row>
    <row r="216" spans="1:26" ht="12" customHeight="1">
      <c r="A216" s="548" t="s">
        <v>123</v>
      </c>
      <c r="B216" s="548" t="s">
        <v>127</v>
      </c>
      <c r="C216" s="456"/>
      <c r="D216" s="549"/>
      <c r="E216" s="462" t="s">
        <v>290</v>
      </c>
      <c r="F216" s="103">
        <v>0</v>
      </c>
      <c r="G216" s="103">
        <f>SUM('[3]chd 1-SAOB'!AR222)</f>
        <v>8042733.3899999997</v>
      </c>
      <c r="H216" s="103">
        <f>SUM('[3]chd 1-SAOB'!AR314)</f>
        <v>0</v>
      </c>
      <c r="I216" s="103">
        <f>+F216+G216+H216</f>
        <v>8042733.3899999997</v>
      </c>
      <c r="J216" s="103">
        <v>0</v>
      </c>
      <c r="K216" s="103">
        <f>SUM('[3]chd 1-SAOB'!AR223)</f>
        <v>8039407.8900000006</v>
      </c>
      <c r="L216" s="103">
        <f>SUM('[3]chd 1-SAOB'!AR315)</f>
        <v>0</v>
      </c>
      <c r="M216" s="103">
        <f>+J216+K216+L216</f>
        <v>8039407.8900000006</v>
      </c>
      <c r="N216" s="103">
        <f t="shared" si="83"/>
        <v>0</v>
      </c>
      <c r="O216" s="103">
        <f t="shared" si="83"/>
        <v>3325.4999999990687</v>
      </c>
      <c r="P216" s="103">
        <f t="shared" si="83"/>
        <v>0</v>
      </c>
      <c r="Q216" s="103">
        <f>+N216+O216+P216</f>
        <v>3325.4999999990687</v>
      </c>
      <c r="S216" s="267" t="str">
        <f t="shared" ref="S216:V279" si="84">IF(F216=0,"",J216/F216)</f>
        <v/>
      </c>
      <c r="T216" s="267">
        <f t="shared" si="84"/>
        <v>0.99958652116901781</v>
      </c>
      <c r="U216" s="267" t="str">
        <f t="shared" si="84"/>
        <v/>
      </c>
      <c r="V216" s="267">
        <f t="shared" si="84"/>
        <v>0.99958652116901781</v>
      </c>
      <c r="W216" s="530"/>
      <c r="X216" s="236"/>
      <c r="Y216" s="236" t="s">
        <v>598</v>
      </c>
      <c r="Z216" s="236"/>
    </row>
    <row r="217" spans="1:26" s="259" customFormat="1" ht="12" customHeight="1">
      <c r="A217" s="315" t="s">
        <v>123</v>
      </c>
      <c r="B217" s="315" t="s">
        <v>127</v>
      </c>
      <c r="C217" s="1096"/>
      <c r="D217" s="466"/>
      <c r="E217" s="1097" t="s">
        <v>4</v>
      </c>
      <c r="F217" s="652">
        <f>+F215+F213</f>
        <v>0</v>
      </c>
      <c r="G217" s="652">
        <f t="shared" ref="G217:Q217" si="85">+G215+G213</f>
        <v>8622069.3900000025</v>
      </c>
      <c r="H217" s="652">
        <f t="shared" si="85"/>
        <v>0</v>
      </c>
      <c r="I217" s="652">
        <f t="shared" si="85"/>
        <v>8622069.3900000025</v>
      </c>
      <c r="J217" s="652">
        <f t="shared" si="85"/>
        <v>0</v>
      </c>
      <c r="K217" s="652">
        <f t="shared" si="85"/>
        <v>8616573.75</v>
      </c>
      <c r="L217" s="652">
        <f t="shared" si="85"/>
        <v>0</v>
      </c>
      <c r="M217" s="652">
        <f t="shared" si="85"/>
        <v>8616573.75</v>
      </c>
      <c r="N217" s="652">
        <f t="shared" si="85"/>
        <v>0</v>
      </c>
      <c r="O217" s="652">
        <f t="shared" si="85"/>
        <v>5495.6400000016438</v>
      </c>
      <c r="P217" s="652">
        <f t="shared" si="85"/>
        <v>0</v>
      </c>
      <c r="Q217" s="652">
        <f t="shared" si="85"/>
        <v>5495.6400000016438</v>
      </c>
      <c r="R217" s="1095">
        <f>+Q217-'[3]chd 1-SAOB'!BP351</f>
        <v>0</v>
      </c>
      <c r="S217" s="524" t="str">
        <f t="shared" si="84"/>
        <v/>
      </c>
      <c r="T217" s="524">
        <f t="shared" si="84"/>
        <v>0.9993626077741411</v>
      </c>
      <c r="U217" s="524" t="str">
        <f t="shared" si="84"/>
        <v/>
      </c>
      <c r="V217" s="524">
        <f t="shared" si="84"/>
        <v>0.9993626077741411</v>
      </c>
      <c r="W217" s="344"/>
      <c r="X217" s="520"/>
      <c r="Y217" s="837" t="s">
        <v>598</v>
      </c>
      <c r="Z217" s="241" t="s">
        <v>598</v>
      </c>
    </row>
    <row r="218" spans="1:26" s="660" customFormat="1" ht="12" hidden="1" customHeight="1">
      <c r="A218" s="315" t="s">
        <v>123</v>
      </c>
      <c r="B218" s="315" t="s">
        <v>127</v>
      </c>
      <c r="C218" s="1467" t="s">
        <v>605</v>
      </c>
      <c r="D218" s="1468"/>
      <c r="E218" s="1469"/>
      <c r="F218" s="659">
        <f>+F195+F206+F217</f>
        <v>0</v>
      </c>
      <c r="G218" s="659">
        <f>+G195+G206+G217</f>
        <v>46040093.129999995</v>
      </c>
      <c r="H218" s="659">
        <f>+H195+H206+H217</f>
        <v>2900</v>
      </c>
      <c r="I218" s="659">
        <f t="shared" si="78"/>
        <v>46042993.129999995</v>
      </c>
      <c r="J218" s="659">
        <v>0</v>
      </c>
      <c r="K218" s="659">
        <f>+K195+K206+K217</f>
        <v>29985617.550000001</v>
      </c>
      <c r="L218" s="659">
        <f>+L195+L206+L217</f>
        <v>0</v>
      </c>
      <c r="M218" s="659">
        <f t="shared" si="79"/>
        <v>29985617.550000001</v>
      </c>
      <c r="N218" s="659">
        <f t="shared" si="80"/>
        <v>0</v>
      </c>
      <c r="O218" s="659">
        <f t="shared" si="80"/>
        <v>16054475.579999994</v>
      </c>
      <c r="P218" s="659">
        <f t="shared" si="80"/>
        <v>2900</v>
      </c>
      <c r="Q218" s="659">
        <f t="shared" si="81"/>
        <v>16057375.579999994</v>
      </c>
      <c r="R218" s="1098"/>
      <c r="S218" s="661" t="str">
        <f t="shared" si="84"/>
        <v/>
      </c>
      <c r="T218" s="661">
        <f t="shared" si="84"/>
        <v>0.65129359024821776</v>
      </c>
      <c r="U218" s="661">
        <f t="shared" si="84"/>
        <v>0</v>
      </c>
      <c r="V218" s="661">
        <f t="shared" si="84"/>
        <v>0.65125256877495274</v>
      </c>
      <c r="W218" s="295"/>
      <c r="X218" s="520"/>
      <c r="Y218" s="837"/>
      <c r="Z218" s="241"/>
    </row>
    <row r="219" spans="1:26" ht="12" hidden="1" customHeight="1">
      <c r="A219" s="315" t="s">
        <v>123</v>
      </c>
      <c r="B219" s="315" t="s">
        <v>301</v>
      </c>
      <c r="C219" s="469"/>
      <c r="D219" s="470"/>
      <c r="E219" s="471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S219" s="267" t="str">
        <f t="shared" si="84"/>
        <v/>
      </c>
      <c r="T219" s="267" t="str">
        <f t="shared" si="84"/>
        <v/>
      </c>
      <c r="U219" s="267" t="str">
        <f t="shared" si="84"/>
        <v/>
      </c>
      <c r="V219" s="267" t="str">
        <f t="shared" si="84"/>
        <v/>
      </c>
      <c r="W219" s="267"/>
      <c r="X219" s="237" t="s">
        <v>598</v>
      </c>
    </row>
    <row r="220" spans="1:26" s="275" customFormat="1" ht="12.75" hidden="1" customHeight="1">
      <c r="A220" s="315" t="s">
        <v>606</v>
      </c>
      <c r="B220" s="315" t="s">
        <v>301</v>
      </c>
      <c r="C220" s="464" t="s">
        <v>791</v>
      </c>
      <c r="D220" s="464"/>
      <c r="E220" s="472"/>
      <c r="F220" s="409"/>
      <c r="G220" s="409"/>
      <c r="H220" s="409"/>
      <c r="I220" s="409">
        <f t="shared" si="78"/>
        <v>0</v>
      </c>
      <c r="J220" s="409">
        <v>0</v>
      </c>
      <c r="K220" s="409"/>
      <c r="L220" s="409"/>
      <c r="M220" s="409">
        <f t="shared" si="79"/>
        <v>0</v>
      </c>
      <c r="N220" s="409">
        <f t="shared" si="80"/>
        <v>0</v>
      </c>
      <c r="O220" s="409">
        <f t="shared" si="80"/>
        <v>0</v>
      </c>
      <c r="P220" s="409">
        <f t="shared" si="80"/>
        <v>0</v>
      </c>
      <c r="Q220" s="409"/>
      <c r="R220" s="761"/>
      <c r="S220" s="267" t="str">
        <f t="shared" si="84"/>
        <v/>
      </c>
      <c r="T220" s="267" t="str">
        <f t="shared" si="84"/>
        <v/>
      </c>
      <c r="U220" s="267" t="str">
        <f t="shared" si="84"/>
        <v/>
      </c>
      <c r="V220" s="267" t="str">
        <f t="shared" si="84"/>
        <v/>
      </c>
      <c r="W220" s="251"/>
      <c r="X220" s="237" t="s">
        <v>598</v>
      </c>
      <c r="Y220" s="839"/>
      <c r="Z220" s="253"/>
    </row>
    <row r="221" spans="1:26" ht="12" hidden="1" customHeight="1">
      <c r="A221" s="315" t="s">
        <v>606</v>
      </c>
      <c r="B221" s="315" t="s">
        <v>301</v>
      </c>
      <c r="C221" s="447" t="s">
        <v>766</v>
      </c>
      <c r="D221" s="456" t="s">
        <v>98</v>
      </c>
      <c r="E221" s="447" t="s">
        <v>766</v>
      </c>
      <c r="F221" s="103">
        <f>+F172+F187+F198+F209</f>
        <v>0</v>
      </c>
      <c r="G221" s="103">
        <f>+G172+G187+G198+G209</f>
        <v>2548615.1400000025</v>
      </c>
      <c r="H221" s="103">
        <f>+H172+H187+H198+H209</f>
        <v>0</v>
      </c>
      <c r="I221" s="103">
        <f t="shared" si="78"/>
        <v>2548615.1400000025</v>
      </c>
      <c r="J221" s="103">
        <v>0</v>
      </c>
      <c r="K221" s="103">
        <f>+K172+K187+K198+K209</f>
        <v>2545377.87</v>
      </c>
      <c r="L221" s="103">
        <f>+L172+L187+L198+L209</f>
        <v>0</v>
      </c>
      <c r="M221" s="103">
        <f t="shared" si="79"/>
        <v>2545377.87</v>
      </c>
      <c r="N221" s="103">
        <f t="shared" si="80"/>
        <v>0</v>
      </c>
      <c r="O221" s="103">
        <f t="shared" si="80"/>
        <v>3237.2700000023469</v>
      </c>
      <c r="P221" s="103">
        <f t="shared" si="80"/>
        <v>0</v>
      </c>
      <c r="Q221" s="103">
        <f t="shared" si="81"/>
        <v>3237.2700000023469</v>
      </c>
      <c r="S221" s="267" t="str">
        <f t="shared" si="84"/>
        <v/>
      </c>
      <c r="T221" s="267">
        <f t="shared" si="84"/>
        <v>0.9987297925256764</v>
      </c>
      <c r="U221" s="267" t="str">
        <f t="shared" si="84"/>
        <v/>
      </c>
      <c r="V221" s="267">
        <f t="shared" si="84"/>
        <v>0.9987297925256764</v>
      </c>
      <c r="W221" s="267"/>
      <c r="X221" s="237" t="s">
        <v>598</v>
      </c>
    </row>
    <row r="222" spans="1:26" ht="12" hidden="1" customHeight="1">
      <c r="A222" s="315" t="s">
        <v>606</v>
      </c>
      <c r="B222" s="315" t="s">
        <v>301</v>
      </c>
      <c r="C222" s="456"/>
      <c r="D222" s="456" t="s">
        <v>98</v>
      </c>
      <c r="E222" s="453" t="s">
        <v>50</v>
      </c>
      <c r="F222" s="103">
        <f>+F223+F224</f>
        <v>0</v>
      </c>
      <c r="G222" s="103">
        <f>+G223+G224</f>
        <v>8533801.3899999894</v>
      </c>
      <c r="H222" s="103">
        <f>+H223+H224</f>
        <v>86606191.560000002</v>
      </c>
      <c r="I222" s="103">
        <f t="shared" si="78"/>
        <v>95139992.949999988</v>
      </c>
      <c r="J222" s="103">
        <f>+J223+J224</f>
        <v>0</v>
      </c>
      <c r="K222" s="103">
        <f>+K223+K224</f>
        <v>7368299.1799999997</v>
      </c>
      <c r="L222" s="103">
        <f>+L223+L224</f>
        <v>80297091.36999999</v>
      </c>
      <c r="M222" s="103">
        <f t="shared" si="79"/>
        <v>87665390.549999982</v>
      </c>
      <c r="N222" s="103">
        <f t="shared" si="80"/>
        <v>0</v>
      </c>
      <c r="O222" s="103">
        <f t="shared" si="80"/>
        <v>1165502.2099999897</v>
      </c>
      <c r="P222" s="103">
        <f t="shared" si="80"/>
        <v>6309100.1900000125</v>
      </c>
      <c r="Q222" s="103">
        <f t="shared" si="81"/>
        <v>7474602.4000000022</v>
      </c>
      <c r="S222" s="267" t="str">
        <f t="shared" si="84"/>
        <v/>
      </c>
      <c r="T222" s="267">
        <f t="shared" si="84"/>
        <v>0.86342520094670361</v>
      </c>
      <c r="U222" s="267">
        <f t="shared" si="84"/>
        <v>0.92715185743239703</v>
      </c>
      <c r="V222" s="267">
        <f t="shared" si="84"/>
        <v>0.92143574780451987</v>
      </c>
      <c r="W222" s="267"/>
      <c r="X222" s="237" t="s">
        <v>598</v>
      </c>
    </row>
    <row r="223" spans="1:26" ht="12" hidden="1" customHeight="1">
      <c r="A223" s="315" t="s">
        <v>606</v>
      </c>
      <c r="B223" s="315" t="s">
        <v>301</v>
      </c>
      <c r="C223" s="458" t="s">
        <v>715</v>
      </c>
      <c r="D223" s="458" t="s">
        <v>715</v>
      </c>
      <c r="E223" s="447" t="s">
        <v>715</v>
      </c>
      <c r="F223" s="103">
        <f t="shared" ref="F223:H224" si="86">+F177+F189+F200+F211</f>
        <v>0</v>
      </c>
      <c r="G223" s="103">
        <f t="shared" si="86"/>
        <v>-4170606.4000000004</v>
      </c>
      <c r="H223" s="103">
        <f t="shared" si="86"/>
        <v>8133000</v>
      </c>
      <c r="I223" s="103">
        <f t="shared" si="78"/>
        <v>3962393.5999999996</v>
      </c>
      <c r="J223" s="103">
        <v>0</v>
      </c>
      <c r="K223" s="103">
        <f>+K177+K189+K200+K211</f>
        <v>0</v>
      </c>
      <c r="L223" s="103">
        <f>+L177+L189+L200+L211</f>
        <v>4608000</v>
      </c>
      <c r="M223" s="103">
        <f t="shared" si="79"/>
        <v>4608000</v>
      </c>
      <c r="N223" s="103">
        <f t="shared" si="80"/>
        <v>0</v>
      </c>
      <c r="O223" s="103">
        <f t="shared" si="80"/>
        <v>-4170606.4000000004</v>
      </c>
      <c r="P223" s="103">
        <f t="shared" si="80"/>
        <v>3525000</v>
      </c>
      <c r="Q223" s="103">
        <f t="shared" si="81"/>
        <v>-645606.40000000037</v>
      </c>
      <c r="S223" s="267" t="str">
        <f t="shared" si="84"/>
        <v/>
      </c>
      <c r="T223" s="267">
        <f t="shared" si="84"/>
        <v>0</v>
      </c>
      <c r="U223" s="267">
        <f t="shared" si="84"/>
        <v>0.56658059756547396</v>
      </c>
      <c r="V223" s="267">
        <f t="shared" si="84"/>
        <v>1.1629334349823299</v>
      </c>
      <c r="W223" s="267"/>
      <c r="X223" s="237" t="s">
        <v>598</v>
      </c>
    </row>
    <row r="224" spans="1:26" ht="12" hidden="1" customHeight="1">
      <c r="A224" s="315" t="s">
        <v>606</v>
      </c>
      <c r="B224" s="315" t="s">
        <v>301</v>
      </c>
      <c r="C224" s="458" t="s">
        <v>716</v>
      </c>
      <c r="D224" s="458" t="s">
        <v>716</v>
      </c>
      <c r="E224" s="459" t="s">
        <v>716</v>
      </c>
      <c r="F224" s="103">
        <f t="shared" si="86"/>
        <v>0</v>
      </c>
      <c r="G224" s="103">
        <f t="shared" si="86"/>
        <v>12704407.78999999</v>
      </c>
      <c r="H224" s="103">
        <f t="shared" si="86"/>
        <v>78473191.560000002</v>
      </c>
      <c r="I224" s="103">
        <f t="shared" si="78"/>
        <v>91177599.349999994</v>
      </c>
      <c r="J224" s="103">
        <v>0</v>
      </c>
      <c r="K224" s="103">
        <f>+K178+K190+K201+K212</f>
        <v>7368299.1799999997</v>
      </c>
      <c r="L224" s="103">
        <f>+L178+L190+L201+L212</f>
        <v>75689091.36999999</v>
      </c>
      <c r="M224" s="103">
        <f t="shared" si="79"/>
        <v>83057390.549999982</v>
      </c>
      <c r="N224" s="103">
        <f t="shared" si="80"/>
        <v>0</v>
      </c>
      <c r="O224" s="103">
        <f t="shared" si="80"/>
        <v>5336108.6099999901</v>
      </c>
      <c r="P224" s="103">
        <f t="shared" si="80"/>
        <v>2784100.1900000125</v>
      </c>
      <c r="Q224" s="103">
        <f t="shared" si="81"/>
        <v>8120208.8000000026</v>
      </c>
      <c r="S224" s="267" t="str">
        <f t="shared" si="84"/>
        <v/>
      </c>
      <c r="T224" s="267">
        <f t="shared" si="84"/>
        <v>0.57997974417979581</v>
      </c>
      <c r="U224" s="267">
        <f t="shared" si="84"/>
        <v>0.96452163936939772</v>
      </c>
      <c r="V224" s="267">
        <f t="shared" si="84"/>
        <v>0.910940747970022</v>
      </c>
      <c r="W224" s="267"/>
      <c r="X224" s="237" t="s">
        <v>598</v>
      </c>
    </row>
    <row r="225" spans="1:26" s="256" customFormat="1" ht="12" hidden="1" customHeight="1">
      <c r="A225" s="315"/>
      <c r="B225" s="315" t="s">
        <v>301</v>
      </c>
      <c r="C225" s="460"/>
      <c r="D225" s="460"/>
      <c r="E225" s="390" t="s">
        <v>767</v>
      </c>
      <c r="F225" s="391">
        <f>+F222+F221</f>
        <v>0</v>
      </c>
      <c r="G225" s="391">
        <f t="shared" ref="G225:Q225" si="87">+G222+G221</f>
        <v>11082416.529999992</v>
      </c>
      <c r="H225" s="391">
        <f t="shared" si="87"/>
        <v>86606191.560000002</v>
      </c>
      <c r="I225" s="391">
        <f t="shared" si="87"/>
        <v>97688608.089999989</v>
      </c>
      <c r="J225" s="391">
        <f t="shared" si="87"/>
        <v>0</v>
      </c>
      <c r="K225" s="391">
        <f t="shared" si="87"/>
        <v>9913677.0500000007</v>
      </c>
      <c r="L225" s="391">
        <f t="shared" si="87"/>
        <v>80297091.36999999</v>
      </c>
      <c r="M225" s="391">
        <f t="shared" si="87"/>
        <v>90210768.419999987</v>
      </c>
      <c r="N225" s="391">
        <f t="shared" si="87"/>
        <v>0</v>
      </c>
      <c r="O225" s="391">
        <f t="shared" si="87"/>
        <v>1168739.4799999921</v>
      </c>
      <c r="P225" s="391">
        <f t="shared" si="87"/>
        <v>6309100.1900000125</v>
      </c>
      <c r="Q225" s="391">
        <f t="shared" si="87"/>
        <v>7477839.6700000046</v>
      </c>
      <c r="R225" s="761"/>
      <c r="S225" s="267" t="str">
        <f t="shared" si="84"/>
        <v/>
      </c>
      <c r="T225" s="267">
        <f t="shared" si="84"/>
        <v>0.89454109788815239</v>
      </c>
      <c r="U225" s="267">
        <f t="shared" si="84"/>
        <v>0.92715185743239703</v>
      </c>
      <c r="V225" s="267">
        <f t="shared" si="84"/>
        <v>0.92345228562259063</v>
      </c>
      <c r="W225" s="263"/>
      <c r="X225" s="237" t="s">
        <v>598</v>
      </c>
      <c r="Y225" s="840"/>
      <c r="Z225" s="241"/>
    </row>
    <row r="226" spans="1:26" ht="12" hidden="1" customHeight="1">
      <c r="A226" s="315"/>
      <c r="B226" s="315"/>
      <c r="C226" s="456"/>
      <c r="D226" s="456"/>
      <c r="E226" s="461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S226" s="267" t="str">
        <f t="shared" si="84"/>
        <v/>
      </c>
      <c r="T226" s="267" t="str">
        <f t="shared" si="84"/>
        <v/>
      </c>
      <c r="U226" s="267" t="str">
        <f t="shared" si="84"/>
        <v/>
      </c>
      <c r="V226" s="267" t="str">
        <f t="shared" si="84"/>
        <v/>
      </c>
      <c r="W226" s="267"/>
      <c r="X226" s="237" t="s">
        <v>598</v>
      </c>
    </row>
    <row r="227" spans="1:26" s="256" customFormat="1" ht="12" hidden="1" customHeight="1">
      <c r="A227" s="315" t="s">
        <v>606</v>
      </c>
      <c r="B227" s="315" t="s">
        <v>301</v>
      </c>
      <c r="C227" s="460"/>
      <c r="D227" s="460" t="s">
        <v>98</v>
      </c>
      <c r="E227" s="390" t="s">
        <v>100</v>
      </c>
      <c r="F227" s="391">
        <f>SUM(F228:F228)</f>
        <v>0</v>
      </c>
      <c r="G227" s="391">
        <f>SUM(G228:G228)</f>
        <v>45318909.329999998</v>
      </c>
      <c r="H227" s="391">
        <f>SUM(H228:H228)</f>
        <v>2900</v>
      </c>
      <c r="I227" s="391">
        <f>+F227+G227+H227</f>
        <v>45321809.329999998</v>
      </c>
      <c r="J227" s="391">
        <v>0</v>
      </c>
      <c r="K227" s="391">
        <f>SUM(K228:K228)</f>
        <v>29268903.68</v>
      </c>
      <c r="L227" s="391">
        <f>SUM(L228:L228)</f>
        <v>0</v>
      </c>
      <c r="M227" s="391">
        <f>+J227+K227+L227</f>
        <v>29268903.68</v>
      </c>
      <c r="N227" s="391">
        <f t="shared" ref="N227:P228" si="88">+F227-J227</f>
        <v>0</v>
      </c>
      <c r="O227" s="391">
        <f t="shared" si="88"/>
        <v>16050005.649999999</v>
      </c>
      <c r="P227" s="391">
        <f t="shared" si="88"/>
        <v>2900</v>
      </c>
      <c r="Q227" s="391">
        <f>+N227+O227+P227</f>
        <v>16052905.649999999</v>
      </c>
      <c r="R227" s="761"/>
      <c r="S227" s="267" t="str">
        <f t="shared" si="84"/>
        <v/>
      </c>
      <c r="T227" s="267">
        <f t="shared" si="84"/>
        <v>0.64584307329357349</v>
      </c>
      <c r="U227" s="267">
        <f t="shared" si="84"/>
        <v>0</v>
      </c>
      <c r="V227" s="267">
        <f t="shared" si="84"/>
        <v>0.64580174782708744</v>
      </c>
      <c r="W227" s="263"/>
      <c r="X227" s="237" t="s">
        <v>598</v>
      </c>
      <c r="Y227" s="840"/>
      <c r="Z227" s="241"/>
    </row>
    <row r="228" spans="1:26" ht="12" hidden="1" customHeight="1">
      <c r="A228" s="315" t="s">
        <v>606</v>
      </c>
      <c r="B228" s="315" t="s">
        <v>301</v>
      </c>
      <c r="C228" s="456"/>
      <c r="D228" s="456"/>
      <c r="E228" s="462" t="s">
        <v>290</v>
      </c>
      <c r="F228" s="103">
        <f>+F182+F194+F205+F216</f>
        <v>0</v>
      </c>
      <c r="G228" s="103">
        <f>+G182+G194+G205+G216</f>
        <v>45318909.329999998</v>
      </c>
      <c r="H228" s="103">
        <f>+H182+H194+H205+H216</f>
        <v>2900</v>
      </c>
      <c r="I228" s="103">
        <f>+F228+G228+H228</f>
        <v>45321809.329999998</v>
      </c>
      <c r="J228" s="103">
        <v>0</v>
      </c>
      <c r="K228" s="103">
        <f>+K182+K194+K205+K216</f>
        <v>29268903.68</v>
      </c>
      <c r="L228" s="103">
        <f>+L182+L194+L205+L216</f>
        <v>0</v>
      </c>
      <c r="M228" s="103">
        <f>+J228+K228+L228</f>
        <v>29268903.68</v>
      </c>
      <c r="N228" s="103">
        <f t="shared" si="88"/>
        <v>0</v>
      </c>
      <c r="O228" s="103">
        <f t="shared" si="88"/>
        <v>16050005.649999999</v>
      </c>
      <c r="P228" s="103">
        <f t="shared" si="88"/>
        <v>2900</v>
      </c>
      <c r="Q228" s="103">
        <f>+N228+O228+P228</f>
        <v>16052905.649999999</v>
      </c>
      <c r="S228" s="267" t="str">
        <f t="shared" si="84"/>
        <v/>
      </c>
      <c r="T228" s="267">
        <f t="shared" si="84"/>
        <v>0.64584307329357349</v>
      </c>
      <c r="U228" s="267">
        <f t="shared" si="84"/>
        <v>0</v>
      </c>
      <c r="V228" s="267">
        <f t="shared" si="84"/>
        <v>0.64580174782708744</v>
      </c>
      <c r="W228" s="267"/>
      <c r="X228" s="237" t="s">
        <v>598</v>
      </c>
    </row>
    <row r="229" spans="1:26" s="266" customFormat="1" ht="18" customHeight="1">
      <c r="A229" s="315" t="s">
        <v>606</v>
      </c>
      <c r="B229" s="315" t="s">
        <v>301</v>
      </c>
      <c r="C229" s="1470" t="s">
        <v>608</v>
      </c>
      <c r="D229" s="1471"/>
      <c r="E229" s="1472"/>
      <c r="F229" s="666">
        <f>+F227+F225</f>
        <v>0</v>
      </c>
      <c r="G229" s="666">
        <f t="shared" ref="G229:Q229" si="89">+G227+G225</f>
        <v>56401325.859999992</v>
      </c>
      <c r="H229" s="666">
        <f t="shared" si="89"/>
        <v>86609091.560000002</v>
      </c>
      <c r="I229" s="666">
        <f t="shared" si="89"/>
        <v>143010417.41999999</v>
      </c>
      <c r="J229" s="666">
        <f t="shared" si="89"/>
        <v>0</v>
      </c>
      <c r="K229" s="666">
        <f t="shared" si="89"/>
        <v>39182580.730000004</v>
      </c>
      <c r="L229" s="666">
        <f t="shared" si="89"/>
        <v>80297091.36999999</v>
      </c>
      <c r="M229" s="666">
        <f t="shared" si="89"/>
        <v>119479672.09999999</v>
      </c>
      <c r="N229" s="666">
        <f t="shared" si="89"/>
        <v>0</v>
      </c>
      <c r="O229" s="666">
        <f t="shared" si="89"/>
        <v>17218745.129999992</v>
      </c>
      <c r="P229" s="666">
        <f t="shared" si="89"/>
        <v>6312000.1900000125</v>
      </c>
      <c r="Q229" s="666">
        <f t="shared" si="89"/>
        <v>23530745.320000004</v>
      </c>
      <c r="R229" s="1099">
        <f>+Q229-'[3]chd 1-SAOB'!BQ351</f>
        <v>0</v>
      </c>
      <c r="S229" s="525" t="str">
        <f t="shared" si="84"/>
        <v/>
      </c>
      <c r="T229" s="525">
        <f t="shared" si="84"/>
        <v>0.6947102773303494</v>
      </c>
      <c r="U229" s="525">
        <f t="shared" si="84"/>
        <v>0.92712081288109038</v>
      </c>
      <c r="V229" s="525">
        <f t="shared" si="84"/>
        <v>0.83546131991983663</v>
      </c>
      <c r="W229" s="345"/>
      <c r="X229" s="237" t="s">
        <v>598</v>
      </c>
      <c r="Y229" s="837" t="s">
        <v>598</v>
      </c>
      <c r="Z229" s="241" t="s">
        <v>598</v>
      </c>
    </row>
    <row r="230" spans="1:26" ht="12" customHeight="1">
      <c r="A230" s="315" t="s">
        <v>606</v>
      </c>
      <c r="B230" s="315" t="s">
        <v>301</v>
      </c>
      <c r="C230" s="456"/>
      <c r="D230" s="456"/>
      <c r="E230" s="46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S230" s="267" t="str">
        <f t="shared" si="84"/>
        <v/>
      </c>
      <c r="T230" s="267" t="str">
        <f t="shared" si="84"/>
        <v/>
      </c>
      <c r="U230" s="267" t="str">
        <f t="shared" si="84"/>
        <v/>
      </c>
      <c r="V230" s="267" t="str">
        <f t="shared" si="84"/>
        <v/>
      </c>
      <c r="W230" s="267"/>
      <c r="Y230" s="837" t="s">
        <v>598</v>
      </c>
      <c r="Z230" s="241" t="s">
        <v>598</v>
      </c>
    </row>
    <row r="231" spans="1:26" ht="11.25" customHeight="1">
      <c r="A231" s="528" t="s">
        <v>303</v>
      </c>
      <c r="B231" s="528" t="s">
        <v>129</v>
      </c>
      <c r="C231" s="408"/>
      <c r="D231" s="529"/>
      <c r="E231" s="408" t="s">
        <v>130</v>
      </c>
      <c r="F231" s="104"/>
      <c r="G231" s="104"/>
      <c r="H231" s="104"/>
      <c r="I231" s="103">
        <f>SUM(F231:H231)</f>
        <v>0</v>
      </c>
      <c r="J231" s="104"/>
      <c r="K231" s="104"/>
      <c r="L231" s="104"/>
      <c r="M231" s="103">
        <f>SUM(J231:L231)</f>
        <v>0</v>
      </c>
      <c r="N231" s="103">
        <f t="shared" si="80"/>
        <v>0</v>
      </c>
      <c r="O231" s="103">
        <f t="shared" si="80"/>
        <v>0</v>
      </c>
      <c r="P231" s="103">
        <f t="shared" si="80"/>
        <v>0</v>
      </c>
      <c r="Q231" s="103">
        <f>SUM(N231:P231)</f>
        <v>0</v>
      </c>
      <c r="S231" s="267" t="str">
        <f t="shared" si="84"/>
        <v/>
      </c>
      <c r="T231" s="267" t="str">
        <f t="shared" si="84"/>
        <v/>
      </c>
      <c r="U231" s="267" t="str">
        <f t="shared" si="84"/>
        <v/>
      </c>
      <c r="V231" s="267" t="str">
        <f t="shared" si="84"/>
        <v/>
      </c>
      <c r="W231" s="531"/>
      <c r="X231" s="236"/>
      <c r="Y231" s="236" t="s">
        <v>598</v>
      </c>
      <c r="Z231" s="240" t="s">
        <v>598</v>
      </c>
    </row>
    <row r="232" spans="1:26" ht="12" customHeight="1">
      <c r="A232" s="548" t="s">
        <v>128</v>
      </c>
      <c r="B232" s="548" t="s">
        <v>129</v>
      </c>
      <c r="C232" s="447" t="s">
        <v>766</v>
      </c>
      <c r="D232" s="772"/>
      <c r="E232" s="447" t="s">
        <v>766</v>
      </c>
      <c r="F232" s="104">
        <f>SUM(F233:F235)</f>
        <v>0</v>
      </c>
      <c r="G232" s="104">
        <f t="shared" ref="G232:Q232" si="90">SUM(G233:G235)</f>
        <v>1418736.4599999981</v>
      </c>
      <c r="H232" s="104">
        <f t="shared" si="90"/>
        <v>0</v>
      </c>
      <c r="I232" s="104">
        <f t="shared" si="90"/>
        <v>1418736.4599999981</v>
      </c>
      <c r="J232" s="104">
        <f t="shared" si="90"/>
        <v>0</v>
      </c>
      <c r="K232" s="104">
        <f t="shared" si="90"/>
        <v>1418736.46</v>
      </c>
      <c r="L232" s="104">
        <f t="shared" si="90"/>
        <v>0</v>
      </c>
      <c r="M232" s="104">
        <f t="shared" si="90"/>
        <v>1418736.46</v>
      </c>
      <c r="N232" s="104">
        <f t="shared" si="90"/>
        <v>0</v>
      </c>
      <c r="O232" s="104">
        <f t="shared" si="90"/>
        <v>-1.8262653611600399E-9</v>
      </c>
      <c r="P232" s="104">
        <f t="shared" si="90"/>
        <v>0</v>
      </c>
      <c r="Q232" s="104">
        <f t="shared" si="90"/>
        <v>-1.8262653611600399E-9</v>
      </c>
      <c r="S232" s="267" t="str">
        <f t="shared" si="84"/>
        <v/>
      </c>
      <c r="T232" s="267">
        <f t="shared" si="84"/>
        <v>1.0000000000000013</v>
      </c>
      <c r="U232" s="267" t="str">
        <f t="shared" si="84"/>
        <v/>
      </c>
      <c r="V232" s="267">
        <f t="shared" si="84"/>
        <v>1.0000000000000013</v>
      </c>
      <c r="W232" s="530"/>
      <c r="X232" s="236"/>
      <c r="Y232" s="236" t="s">
        <v>688</v>
      </c>
      <c r="Z232" s="236"/>
    </row>
    <row r="233" spans="1:26" ht="12" hidden="1" customHeight="1">
      <c r="A233" s="548" t="s">
        <v>128</v>
      </c>
      <c r="B233" s="548" t="s">
        <v>129</v>
      </c>
      <c r="C233" s="457" t="s">
        <v>775</v>
      </c>
      <c r="D233" s="549" t="s">
        <v>98</v>
      </c>
      <c r="E233" s="406" t="s">
        <v>775</v>
      </c>
      <c r="F233" s="103">
        <v>0</v>
      </c>
      <c r="G233" s="103">
        <f>+'[3]chd2-SAOB'!C223</f>
        <v>773806.36</v>
      </c>
      <c r="H233" s="103">
        <f>+'[3]chd2-SAOB'!C315</f>
        <v>0</v>
      </c>
      <c r="I233" s="103">
        <f t="shared" si="78"/>
        <v>773806.36</v>
      </c>
      <c r="J233" s="103">
        <v>0</v>
      </c>
      <c r="K233" s="103">
        <f>+'[3]chd2-SAOB'!C224</f>
        <v>773806.36</v>
      </c>
      <c r="L233" s="103">
        <f>+'[3]chd2-SAOB'!C316</f>
        <v>0</v>
      </c>
      <c r="M233" s="103">
        <f t="shared" si="79"/>
        <v>773806.36</v>
      </c>
      <c r="N233" s="103">
        <f t="shared" si="80"/>
        <v>0</v>
      </c>
      <c r="O233" s="103">
        <f t="shared" si="80"/>
        <v>0</v>
      </c>
      <c r="P233" s="103">
        <f t="shared" si="80"/>
        <v>0</v>
      </c>
      <c r="Q233" s="103">
        <f t="shared" si="81"/>
        <v>0</v>
      </c>
      <c r="S233" s="267" t="str">
        <f t="shared" si="84"/>
        <v/>
      </c>
      <c r="T233" s="267">
        <f t="shared" si="84"/>
        <v>1</v>
      </c>
      <c r="U233" s="267" t="str">
        <f t="shared" si="84"/>
        <v/>
      </c>
      <c r="V233" s="267">
        <f t="shared" si="84"/>
        <v>1</v>
      </c>
      <c r="W233" s="530"/>
      <c r="X233" s="236"/>
      <c r="Y233" s="236"/>
      <c r="Z233" s="236"/>
    </row>
    <row r="234" spans="1:26" ht="12" hidden="1" customHeight="1">
      <c r="A234" s="548" t="s">
        <v>128</v>
      </c>
      <c r="B234" s="548" t="s">
        <v>129</v>
      </c>
      <c r="C234" s="456"/>
      <c r="D234" s="549" t="s">
        <v>98</v>
      </c>
      <c r="E234" s="406" t="s">
        <v>776</v>
      </c>
      <c r="F234" s="103">
        <v>0</v>
      </c>
      <c r="G234" s="103">
        <f>+'[3]chd2-SAOB'!D223</f>
        <v>33334.410000000149</v>
      </c>
      <c r="H234" s="103">
        <f>+'[3]chd2-SAOB'!D315</f>
        <v>0</v>
      </c>
      <c r="I234" s="103">
        <f t="shared" si="78"/>
        <v>33334.410000000149</v>
      </c>
      <c r="J234" s="103">
        <v>0</v>
      </c>
      <c r="K234" s="103">
        <f>+'[3]chd2-SAOB'!D224</f>
        <v>33334.409999999996</v>
      </c>
      <c r="L234" s="103">
        <f>+'[3]chd2-SAOB'!D316</f>
        <v>0</v>
      </c>
      <c r="M234" s="103">
        <f t="shared" si="79"/>
        <v>33334.409999999996</v>
      </c>
      <c r="N234" s="103">
        <f t="shared" si="80"/>
        <v>0</v>
      </c>
      <c r="O234" s="103">
        <f t="shared" si="80"/>
        <v>1.5279510989785194E-10</v>
      </c>
      <c r="P234" s="103">
        <f t="shared" si="80"/>
        <v>0</v>
      </c>
      <c r="Q234" s="103">
        <f t="shared" si="81"/>
        <v>1.5279510989785194E-10</v>
      </c>
      <c r="S234" s="267" t="str">
        <f t="shared" si="84"/>
        <v/>
      </c>
      <c r="T234" s="267">
        <f t="shared" si="84"/>
        <v>0.99999999999999545</v>
      </c>
      <c r="U234" s="267" t="str">
        <f t="shared" si="84"/>
        <v/>
      </c>
      <c r="V234" s="267">
        <f t="shared" si="84"/>
        <v>0.99999999999999545</v>
      </c>
      <c r="W234" s="530"/>
      <c r="X234" s="236"/>
      <c r="Y234" s="236"/>
      <c r="Z234" s="236"/>
    </row>
    <row r="235" spans="1:26" ht="12" hidden="1" customHeight="1">
      <c r="A235" s="548" t="s">
        <v>128</v>
      </c>
      <c r="B235" s="548" t="s">
        <v>129</v>
      </c>
      <c r="C235" s="456"/>
      <c r="D235" s="549" t="s">
        <v>98</v>
      </c>
      <c r="E235" s="406" t="s">
        <v>777</v>
      </c>
      <c r="F235" s="103">
        <v>0</v>
      </c>
      <c r="G235" s="103">
        <f>+'[3]chd2-SAOB'!E223</f>
        <v>611595.68999999808</v>
      </c>
      <c r="H235" s="103">
        <f>+'[3]chd2-SAOB'!E315</f>
        <v>0</v>
      </c>
      <c r="I235" s="103">
        <f t="shared" si="78"/>
        <v>611595.68999999808</v>
      </c>
      <c r="J235" s="103">
        <v>0</v>
      </c>
      <c r="K235" s="103">
        <f>+'[3]chd2-SAOB'!E224</f>
        <v>611595.69000000006</v>
      </c>
      <c r="L235" s="103">
        <f>+'[3]chd2-SAOB'!E316</f>
        <v>0</v>
      </c>
      <c r="M235" s="103">
        <f t="shared" si="79"/>
        <v>611595.69000000006</v>
      </c>
      <c r="N235" s="103">
        <f t="shared" si="80"/>
        <v>0</v>
      </c>
      <c r="O235" s="103">
        <f t="shared" si="80"/>
        <v>-1.9790604710578918E-9</v>
      </c>
      <c r="P235" s="103">
        <f t="shared" si="80"/>
        <v>0</v>
      </c>
      <c r="Q235" s="103">
        <f t="shared" si="81"/>
        <v>-1.9790604710578918E-9</v>
      </c>
      <c r="S235" s="267" t="str">
        <f t="shared" si="84"/>
        <v/>
      </c>
      <c r="T235" s="267">
        <f t="shared" si="84"/>
        <v>1.0000000000000033</v>
      </c>
      <c r="U235" s="267" t="str">
        <f t="shared" si="84"/>
        <v/>
      </c>
      <c r="V235" s="267">
        <f t="shared" si="84"/>
        <v>1.0000000000000033</v>
      </c>
      <c r="W235" s="530"/>
      <c r="X235" s="236"/>
      <c r="Y235" s="236"/>
      <c r="Z235" s="236"/>
    </row>
    <row r="236" spans="1:26" ht="12" customHeight="1">
      <c r="A236" s="548" t="s">
        <v>128</v>
      </c>
      <c r="B236" s="548" t="s">
        <v>129</v>
      </c>
      <c r="C236" s="456"/>
      <c r="D236" s="772"/>
      <c r="E236" s="453" t="s">
        <v>50</v>
      </c>
      <c r="F236" s="103">
        <f>+F237+F238</f>
        <v>0</v>
      </c>
      <c r="G236" s="103">
        <f t="shared" ref="G236:Q236" si="91">+G237+G238</f>
        <v>27625215.920000002</v>
      </c>
      <c r="H236" s="103">
        <f t="shared" si="91"/>
        <v>19900303.579999998</v>
      </c>
      <c r="I236" s="103">
        <f t="shared" si="91"/>
        <v>47525519.5</v>
      </c>
      <c r="J236" s="103">
        <f t="shared" si="91"/>
        <v>0</v>
      </c>
      <c r="K236" s="103">
        <f t="shared" si="91"/>
        <v>28747224.509999998</v>
      </c>
      <c r="L236" s="103">
        <f t="shared" si="91"/>
        <v>10941703.109999999</v>
      </c>
      <c r="M236" s="103">
        <f t="shared" si="91"/>
        <v>39688927.619999997</v>
      </c>
      <c r="N236" s="103">
        <f t="shared" si="91"/>
        <v>0</v>
      </c>
      <c r="O236" s="103">
        <f t="shared" si="91"/>
        <v>-1122008.5899999961</v>
      </c>
      <c r="P236" s="103">
        <f t="shared" si="91"/>
        <v>8958600.4699999988</v>
      </c>
      <c r="Q236" s="103">
        <f t="shared" si="91"/>
        <v>7836591.8800000036</v>
      </c>
      <c r="S236" s="267" t="str">
        <f t="shared" si="84"/>
        <v/>
      </c>
      <c r="T236" s="267">
        <f t="shared" si="84"/>
        <v>1.0406153781114047</v>
      </c>
      <c r="U236" s="267">
        <f t="shared" si="84"/>
        <v>0.54982593938901114</v>
      </c>
      <c r="V236" s="267">
        <f t="shared" si="84"/>
        <v>0.83510770713405869</v>
      </c>
      <c r="W236" s="530"/>
      <c r="X236" s="236"/>
      <c r="Y236" s="236" t="s">
        <v>688</v>
      </c>
      <c r="Z236" s="236"/>
    </row>
    <row r="237" spans="1:26" ht="12" hidden="1" customHeight="1">
      <c r="A237" s="548" t="s">
        <v>128</v>
      </c>
      <c r="B237" s="548" t="s">
        <v>129</v>
      </c>
      <c r="C237" s="458" t="s">
        <v>715</v>
      </c>
      <c r="D237" s="550" t="s">
        <v>715</v>
      </c>
      <c r="E237" s="447" t="s">
        <v>715</v>
      </c>
      <c r="F237" s="104">
        <f>'[3]CONAP - W INC'!F168</f>
        <v>0</v>
      </c>
      <c r="G237" s="104">
        <f>'[3]CONAP - W INC'!G168</f>
        <v>-3000000</v>
      </c>
      <c r="H237" s="104">
        <f>'[3]CONAP - W INC'!H168</f>
        <v>12615500</v>
      </c>
      <c r="I237" s="103">
        <f t="shared" si="78"/>
        <v>9615500</v>
      </c>
      <c r="J237" s="103">
        <f>'[3]CONAP - W INC'!J168</f>
        <v>0</v>
      </c>
      <c r="K237" s="104">
        <f>'[3]CONAP - W INC'!K168</f>
        <v>0</v>
      </c>
      <c r="L237" s="104">
        <f>'[3]CONAP - W INC'!L168</f>
        <v>6078280</v>
      </c>
      <c r="M237" s="103">
        <f t="shared" si="79"/>
        <v>6078280</v>
      </c>
      <c r="N237" s="103">
        <f t="shared" si="80"/>
        <v>0</v>
      </c>
      <c r="O237" s="103">
        <f t="shared" si="80"/>
        <v>-3000000</v>
      </c>
      <c r="P237" s="103">
        <f t="shared" si="80"/>
        <v>6537220</v>
      </c>
      <c r="Q237" s="103">
        <f t="shared" si="81"/>
        <v>3537220</v>
      </c>
      <c r="S237" s="267" t="str">
        <f t="shared" si="84"/>
        <v/>
      </c>
      <c r="T237" s="267">
        <f t="shared" si="84"/>
        <v>0</v>
      </c>
      <c r="U237" s="267">
        <f t="shared" si="84"/>
        <v>0.48181047124568982</v>
      </c>
      <c r="V237" s="267">
        <f t="shared" si="84"/>
        <v>0.63213353439758724</v>
      </c>
      <c r="W237" s="530"/>
      <c r="X237" s="236"/>
      <c r="Y237" s="236"/>
      <c r="Z237" s="236"/>
    </row>
    <row r="238" spans="1:26" ht="12" hidden="1" customHeight="1">
      <c r="A238" s="548" t="s">
        <v>128</v>
      </c>
      <c r="B238" s="548" t="s">
        <v>129</v>
      </c>
      <c r="C238" s="458" t="s">
        <v>716</v>
      </c>
      <c r="D238" s="550" t="s">
        <v>716</v>
      </c>
      <c r="E238" s="459" t="s">
        <v>716</v>
      </c>
      <c r="F238" s="104">
        <f>'[3]CONAP - W INC'!F169</f>
        <v>0</v>
      </c>
      <c r="G238" s="104">
        <f>'[3]CONAP - W INC'!G169</f>
        <v>30625215.920000002</v>
      </c>
      <c r="H238" s="104">
        <f>'[3]CONAP - W INC'!H169</f>
        <v>7284803.5800000001</v>
      </c>
      <c r="I238" s="103">
        <f t="shared" si="78"/>
        <v>37910019.5</v>
      </c>
      <c r="J238" s="103">
        <f>'[3]CONAP - W INC'!J169</f>
        <v>0</v>
      </c>
      <c r="K238" s="104">
        <f>'[3]CONAP - W INC'!K169</f>
        <v>28747224.509999998</v>
      </c>
      <c r="L238" s="104">
        <f>'[3]CONAP - W INC'!L169</f>
        <v>4863423.1100000003</v>
      </c>
      <c r="M238" s="103">
        <f t="shared" si="79"/>
        <v>33610647.619999997</v>
      </c>
      <c r="N238" s="103">
        <f t="shared" si="80"/>
        <v>0</v>
      </c>
      <c r="O238" s="103">
        <f t="shared" si="80"/>
        <v>1877991.4100000039</v>
      </c>
      <c r="P238" s="103">
        <f t="shared" si="80"/>
        <v>2421380.4699999997</v>
      </c>
      <c r="Q238" s="103">
        <f t="shared" si="81"/>
        <v>4299371.8800000036</v>
      </c>
      <c r="S238" s="267" t="str">
        <f t="shared" si="84"/>
        <v/>
      </c>
      <c r="T238" s="267">
        <f t="shared" si="84"/>
        <v>0.93867826385597597</v>
      </c>
      <c r="U238" s="267">
        <f t="shared" si="84"/>
        <v>0.66761211288554745</v>
      </c>
      <c r="V238" s="267">
        <f t="shared" si="84"/>
        <v>0.88659009051683546</v>
      </c>
      <c r="W238" s="530"/>
      <c r="X238" s="236"/>
      <c r="Y238" s="236"/>
      <c r="Z238" s="236"/>
    </row>
    <row r="239" spans="1:26" s="256" customFormat="1" ht="12" hidden="1" customHeight="1">
      <c r="A239" s="548"/>
      <c r="B239" s="548" t="s">
        <v>129</v>
      </c>
      <c r="C239" s="460"/>
      <c r="D239" s="551"/>
      <c r="E239" s="390" t="s">
        <v>767</v>
      </c>
      <c r="F239" s="391">
        <f>+F236+F232</f>
        <v>0</v>
      </c>
      <c r="G239" s="391">
        <f t="shared" ref="G239:Q239" si="92">+G236+G232</f>
        <v>29043952.379999999</v>
      </c>
      <c r="H239" s="391">
        <f t="shared" si="92"/>
        <v>19900303.579999998</v>
      </c>
      <c r="I239" s="391">
        <f t="shared" si="92"/>
        <v>48944255.960000001</v>
      </c>
      <c r="J239" s="391">
        <f t="shared" si="92"/>
        <v>0</v>
      </c>
      <c r="K239" s="391">
        <f t="shared" si="92"/>
        <v>30165960.969999999</v>
      </c>
      <c r="L239" s="391">
        <f t="shared" si="92"/>
        <v>10941703.109999999</v>
      </c>
      <c r="M239" s="391">
        <f t="shared" si="92"/>
        <v>41107664.079999998</v>
      </c>
      <c r="N239" s="391">
        <f t="shared" si="92"/>
        <v>0</v>
      </c>
      <c r="O239" s="391">
        <f t="shared" si="92"/>
        <v>-1122008.589999998</v>
      </c>
      <c r="P239" s="391">
        <f t="shared" si="92"/>
        <v>8958600.4699999988</v>
      </c>
      <c r="Q239" s="391">
        <f t="shared" si="92"/>
        <v>7836591.8800000018</v>
      </c>
      <c r="R239" s="761"/>
      <c r="S239" s="267" t="str">
        <f t="shared" si="84"/>
        <v/>
      </c>
      <c r="T239" s="267">
        <f t="shared" si="84"/>
        <v>1.0386314016536065</v>
      </c>
      <c r="U239" s="267">
        <f t="shared" si="84"/>
        <v>0.54982593938901114</v>
      </c>
      <c r="V239" s="267">
        <f t="shared" si="84"/>
        <v>0.83988740402133177</v>
      </c>
      <c r="W239" s="532"/>
      <c r="Y239" s="236"/>
      <c r="Z239" s="240" t="s">
        <v>598</v>
      </c>
    </row>
    <row r="240" spans="1:26" ht="12" hidden="1" customHeight="1">
      <c r="A240" s="548"/>
      <c r="B240" s="548"/>
      <c r="C240" s="456"/>
      <c r="D240" s="549"/>
      <c r="E240" s="461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S240" s="267" t="str">
        <f t="shared" si="84"/>
        <v/>
      </c>
      <c r="T240" s="267" t="str">
        <f t="shared" si="84"/>
        <v/>
      </c>
      <c r="U240" s="267" t="str">
        <f t="shared" si="84"/>
        <v/>
      </c>
      <c r="V240" s="267" t="str">
        <f t="shared" si="84"/>
        <v/>
      </c>
      <c r="W240" s="530"/>
      <c r="X240" s="236"/>
      <c r="Y240" s="236"/>
      <c r="Z240" s="236"/>
    </row>
    <row r="241" spans="1:26" s="256" customFormat="1" ht="12" hidden="1" customHeight="1">
      <c r="A241" s="548" t="s">
        <v>128</v>
      </c>
      <c r="B241" s="548" t="s">
        <v>129</v>
      </c>
      <c r="C241" s="460"/>
      <c r="D241" s="551" t="s">
        <v>98</v>
      </c>
      <c r="E241" s="390" t="s">
        <v>100</v>
      </c>
      <c r="F241" s="391">
        <f>+F242</f>
        <v>0</v>
      </c>
      <c r="G241" s="391">
        <f t="shared" ref="G241:Q241" si="93">+G242</f>
        <v>0</v>
      </c>
      <c r="H241" s="391">
        <f t="shared" si="93"/>
        <v>0</v>
      </c>
      <c r="I241" s="391">
        <f t="shared" si="93"/>
        <v>0</v>
      </c>
      <c r="J241" s="391">
        <f t="shared" si="93"/>
        <v>0</v>
      </c>
      <c r="K241" s="391">
        <f t="shared" si="93"/>
        <v>0</v>
      </c>
      <c r="L241" s="391">
        <f t="shared" si="93"/>
        <v>0</v>
      </c>
      <c r="M241" s="391">
        <f t="shared" si="93"/>
        <v>0</v>
      </c>
      <c r="N241" s="391">
        <f t="shared" si="93"/>
        <v>0</v>
      </c>
      <c r="O241" s="391">
        <f t="shared" si="93"/>
        <v>0</v>
      </c>
      <c r="P241" s="391">
        <f t="shared" si="93"/>
        <v>0</v>
      </c>
      <c r="Q241" s="391">
        <f t="shared" si="93"/>
        <v>0</v>
      </c>
      <c r="R241" s="761"/>
      <c r="S241" s="267" t="str">
        <f t="shared" si="84"/>
        <v/>
      </c>
      <c r="T241" s="267" t="str">
        <f t="shared" si="84"/>
        <v/>
      </c>
      <c r="U241" s="267" t="str">
        <f t="shared" si="84"/>
        <v/>
      </c>
      <c r="V241" s="267" t="str">
        <f t="shared" si="84"/>
        <v/>
      </c>
      <c r="W241" s="532"/>
      <c r="Y241" s="236"/>
      <c r="Z241" s="240" t="s">
        <v>598</v>
      </c>
    </row>
    <row r="242" spans="1:26" ht="12" hidden="1" customHeight="1">
      <c r="A242" s="548" t="s">
        <v>128</v>
      </c>
      <c r="B242" s="548" t="s">
        <v>129</v>
      </c>
      <c r="C242" s="456"/>
      <c r="D242" s="549"/>
      <c r="E242" s="462" t="s">
        <v>290</v>
      </c>
      <c r="F242" s="103">
        <v>0</v>
      </c>
      <c r="G242" s="103">
        <f>SUM('[3]chd2-SAOB'!AV223)</f>
        <v>0</v>
      </c>
      <c r="H242" s="103">
        <f>SUM('[3]chd2-SAOB'!AV315)</f>
        <v>0</v>
      </c>
      <c r="I242" s="103">
        <f>+F242+G242+H242</f>
        <v>0</v>
      </c>
      <c r="J242" s="103">
        <v>0</v>
      </c>
      <c r="K242" s="103">
        <f>SUM('[3]chd2-SAOB'!AV224)</f>
        <v>0</v>
      </c>
      <c r="L242" s="103">
        <f>SUM('[3]chd2-SAOB'!AV316)</f>
        <v>0</v>
      </c>
      <c r="M242" s="103">
        <f>+J242+K242+L242</f>
        <v>0</v>
      </c>
      <c r="N242" s="103">
        <f>+F242-J242</f>
        <v>0</v>
      </c>
      <c r="O242" s="103">
        <f>+G242-K242</f>
        <v>0</v>
      </c>
      <c r="P242" s="103">
        <f>+H242-L242</f>
        <v>0</v>
      </c>
      <c r="Q242" s="103">
        <f>+N242+O242+P242</f>
        <v>0</v>
      </c>
      <c r="S242" s="267" t="str">
        <f t="shared" si="84"/>
        <v/>
      </c>
      <c r="T242" s="267" t="str">
        <f t="shared" si="84"/>
        <v/>
      </c>
      <c r="U242" s="267" t="str">
        <f t="shared" si="84"/>
        <v/>
      </c>
      <c r="V242" s="267" t="str">
        <f t="shared" si="84"/>
        <v/>
      </c>
      <c r="W242" s="530"/>
      <c r="X242" s="236"/>
      <c r="Y242" s="236"/>
      <c r="Z242" s="236"/>
    </row>
    <row r="243" spans="1:26" s="259" customFormat="1" ht="12" customHeight="1">
      <c r="A243" s="315" t="s">
        <v>128</v>
      </c>
      <c r="B243" s="315" t="s">
        <v>129</v>
      </c>
      <c r="C243" s="1477" t="s">
        <v>302</v>
      </c>
      <c r="D243" s="1478"/>
      <c r="E243" s="1479"/>
      <c r="F243" s="652">
        <f>+F241+F239</f>
        <v>0</v>
      </c>
      <c r="G243" s="652">
        <f t="shared" ref="G243:Q243" si="94">+G241+G239</f>
        <v>29043952.379999999</v>
      </c>
      <c r="H243" s="652">
        <f t="shared" si="94"/>
        <v>19900303.579999998</v>
      </c>
      <c r="I243" s="652">
        <f t="shared" si="94"/>
        <v>48944255.960000001</v>
      </c>
      <c r="J243" s="652">
        <f t="shared" si="94"/>
        <v>0</v>
      </c>
      <c r="K243" s="652">
        <f t="shared" si="94"/>
        <v>30165960.969999999</v>
      </c>
      <c r="L243" s="652">
        <f t="shared" si="94"/>
        <v>10941703.109999999</v>
      </c>
      <c r="M243" s="652">
        <f t="shared" si="94"/>
        <v>41107664.079999998</v>
      </c>
      <c r="N243" s="652">
        <f t="shared" si="94"/>
        <v>0</v>
      </c>
      <c r="O243" s="652">
        <f t="shared" si="94"/>
        <v>-1122008.589999998</v>
      </c>
      <c r="P243" s="652">
        <f t="shared" si="94"/>
        <v>8958600.4699999988</v>
      </c>
      <c r="Q243" s="652">
        <f t="shared" si="94"/>
        <v>7836591.8800000018</v>
      </c>
      <c r="R243" s="1095">
        <f>+Q243-'[3]chd2-SAOB'!BX352</f>
        <v>0</v>
      </c>
      <c r="S243" s="524" t="str">
        <f t="shared" si="84"/>
        <v/>
      </c>
      <c r="T243" s="524">
        <f t="shared" si="84"/>
        <v>1.0386314016536065</v>
      </c>
      <c r="U243" s="524">
        <f t="shared" si="84"/>
        <v>0.54982593938901114</v>
      </c>
      <c r="V243" s="524">
        <f t="shared" si="84"/>
        <v>0.83988740402133177</v>
      </c>
      <c r="W243" s="344"/>
      <c r="X243" s="520"/>
      <c r="Y243" s="837" t="s">
        <v>598</v>
      </c>
      <c r="Z243" s="241" t="s">
        <v>598</v>
      </c>
    </row>
    <row r="244" spans="1:26" ht="12" customHeight="1">
      <c r="A244" s="315" t="s">
        <v>101</v>
      </c>
      <c r="B244" s="315" t="s">
        <v>129</v>
      </c>
      <c r="C244" s="456"/>
      <c r="D244" s="473"/>
      <c r="E244" s="411"/>
      <c r="F244" s="104"/>
      <c r="G244" s="104"/>
      <c r="H244" s="104"/>
      <c r="I244" s="103"/>
      <c r="J244" s="103"/>
      <c r="K244" s="104"/>
      <c r="L244" s="104"/>
      <c r="M244" s="103"/>
      <c r="N244" s="103"/>
      <c r="O244" s="103"/>
      <c r="P244" s="103"/>
      <c r="Q244" s="103"/>
      <c r="S244" s="267" t="str">
        <f t="shared" si="84"/>
        <v/>
      </c>
      <c r="T244" s="267" t="str">
        <f t="shared" si="84"/>
        <v/>
      </c>
      <c r="U244" s="267" t="str">
        <f t="shared" si="84"/>
        <v/>
      </c>
      <c r="V244" s="267" t="str">
        <f t="shared" si="84"/>
        <v/>
      </c>
      <c r="W244" s="267"/>
      <c r="Y244" s="837" t="s">
        <v>598</v>
      </c>
      <c r="Z244" s="241" t="s">
        <v>598</v>
      </c>
    </row>
    <row r="245" spans="1:26" ht="12" customHeight="1">
      <c r="A245" s="315" t="s">
        <v>131</v>
      </c>
      <c r="B245" s="315" t="s">
        <v>132</v>
      </c>
      <c r="C245" s="1100" t="s">
        <v>133</v>
      </c>
      <c r="D245" s="456"/>
      <c r="E245" s="463"/>
      <c r="F245" s="103"/>
      <c r="G245" s="103"/>
      <c r="H245" s="103"/>
      <c r="I245" s="103">
        <f t="shared" si="78"/>
        <v>0</v>
      </c>
      <c r="J245" s="103">
        <v>0</v>
      </c>
      <c r="K245" s="103"/>
      <c r="L245" s="103"/>
      <c r="M245" s="103">
        <f t="shared" si="79"/>
        <v>0</v>
      </c>
      <c r="N245" s="103">
        <f t="shared" si="80"/>
        <v>0</v>
      </c>
      <c r="O245" s="103">
        <f t="shared" si="80"/>
        <v>0</v>
      </c>
      <c r="P245" s="103">
        <f t="shared" si="80"/>
        <v>0</v>
      </c>
      <c r="Q245" s="103">
        <f t="shared" si="81"/>
        <v>0</v>
      </c>
      <c r="S245" s="267" t="str">
        <f t="shared" si="84"/>
        <v/>
      </c>
      <c r="T245" s="267" t="str">
        <f t="shared" si="84"/>
        <v/>
      </c>
      <c r="U245" s="267" t="str">
        <f t="shared" si="84"/>
        <v/>
      </c>
      <c r="V245" s="267" t="str">
        <f t="shared" si="84"/>
        <v/>
      </c>
      <c r="W245" s="267"/>
      <c r="Y245" s="837" t="s">
        <v>598</v>
      </c>
      <c r="Z245" s="241" t="s">
        <v>598</v>
      </c>
    </row>
    <row r="246" spans="1:26" s="275" customFormat="1" ht="12" customHeight="1">
      <c r="A246" s="548" t="s">
        <v>131</v>
      </c>
      <c r="B246" s="548" t="s">
        <v>134</v>
      </c>
      <c r="C246" s="464" t="s">
        <v>98</v>
      </c>
      <c r="D246" s="552" t="s">
        <v>105</v>
      </c>
      <c r="E246" s="407" t="s">
        <v>792</v>
      </c>
      <c r="F246" s="468"/>
      <c r="G246" s="468"/>
      <c r="H246" s="468"/>
      <c r="I246" s="409">
        <f t="shared" si="78"/>
        <v>0</v>
      </c>
      <c r="J246" s="409">
        <v>0</v>
      </c>
      <c r="K246" s="468"/>
      <c r="L246" s="468"/>
      <c r="M246" s="409">
        <f t="shared" si="79"/>
        <v>0</v>
      </c>
      <c r="N246" s="409">
        <f t="shared" si="80"/>
        <v>0</v>
      </c>
      <c r="O246" s="409">
        <f t="shared" si="80"/>
        <v>0</v>
      </c>
      <c r="P246" s="409">
        <f t="shared" si="80"/>
        <v>0</v>
      </c>
      <c r="Q246" s="409">
        <f t="shared" si="81"/>
        <v>0</v>
      </c>
      <c r="R246" s="761"/>
      <c r="S246" s="267" t="str">
        <f t="shared" si="84"/>
        <v/>
      </c>
      <c r="T246" s="267" t="str">
        <f t="shared" si="84"/>
        <v/>
      </c>
      <c r="U246" s="267" t="str">
        <f t="shared" si="84"/>
        <v/>
      </c>
      <c r="V246" s="267" t="str">
        <f t="shared" si="84"/>
        <v/>
      </c>
      <c r="W246" s="553"/>
      <c r="Y246" s="236" t="s">
        <v>598</v>
      </c>
      <c r="Z246" s="240" t="s">
        <v>598</v>
      </c>
    </row>
    <row r="247" spans="1:26" ht="12" customHeight="1">
      <c r="A247" s="548" t="s">
        <v>131</v>
      </c>
      <c r="B247" s="548" t="s">
        <v>134</v>
      </c>
      <c r="C247" s="447" t="s">
        <v>766</v>
      </c>
      <c r="D247" s="772"/>
      <c r="E247" s="447" t="s">
        <v>766</v>
      </c>
      <c r="F247" s="104">
        <f>+'[3]chd2-SAOB'!C449</f>
        <v>0</v>
      </c>
      <c r="G247" s="104">
        <f>+'[3]chd2-SAOB'!D449</f>
        <v>1334000</v>
      </c>
      <c r="H247" s="104">
        <f>+'[3]chd2-SAOB'!E449</f>
        <v>0</v>
      </c>
      <c r="I247" s="103">
        <f t="shared" si="78"/>
        <v>1334000</v>
      </c>
      <c r="J247" s="103">
        <v>0</v>
      </c>
      <c r="K247" s="104">
        <f>+'[3]chd2-SAOB'!H449</f>
        <v>1334000</v>
      </c>
      <c r="L247" s="104">
        <f>+'[3]chd2-SAOB'!I449</f>
        <v>0</v>
      </c>
      <c r="M247" s="103">
        <f t="shared" si="79"/>
        <v>1334000</v>
      </c>
      <c r="N247" s="103">
        <f t="shared" si="80"/>
        <v>0</v>
      </c>
      <c r="O247" s="103">
        <f t="shared" si="80"/>
        <v>0</v>
      </c>
      <c r="P247" s="103">
        <f t="shared" si="80"/>
        <v>0</v>
      </c>
      <c r="Q247" s="103">
        <f t="shared" si="81"/>
        <v>0</v>
      </c>
      <c r="S247" s="267" t="str">
        <f t="shared" si="84"/>
        <v/>
      </c>
      <c r="T247" s="267">
        <f t="shared" si="84"/>
        <v>1</v>
      </c>
      <c r="U247" s="267" t="str">
        <f t="shared" si="84"/>
        <v/>
      </c>
      <c r="V247" s="267">
        <f t="shared" si="84"/>
        <v>1</v>
      </c>
      <c r="W247" s="530"/>
      <c r="X247" s="236"/>
      <c r="Y247" s="236" t="s">
        <v>688</v>
      </c>
      <c r="Z247" s="236"/>
    </row>
    <row r="248" spans="1:26" ht="12" customHeight="1">
      <c r="A248" s="548" t="s">
        <v>131</v>
      </c>
      <c r="B248" s="548" t="s">
        <v>134</v>
      </c>
      <c r="C248" s="456"/>
      <c r="D248" s="772"/>
      <c r="E248" s="453" t="s">
        <v>50</v>
      </c>
      <c r="F248" s="103">
        <f>+F249+F250</f>
        <v>0</v>
      </c>
      <c r="G248" s="103">
        <f>+G249+G250</f>
        <v>490614.1</v>
      </c>
      <c r="H248" s="103">
        <f>+H249+H250</f>
        <v>0</v>
      </c>
      <c r="I248" s="103">
        <f t="shared" si="78"/>
        <v>490614.1</v>
      </c>
      <c r="J248" s="103">
        <f>+J249+J250</f>
        <v>0</v>
      </c>
      <c r="K248" s="103">
        <f>+K249+K250</f>
        <v>395409.19999999995</v>
      </c>
      <c r="L248" s="103">
        <f>+L249+L250</f>
        <v>0</v>
      </c>
      <c r="M248" s="103">
        <f t="shared" si="79"/>
        <v>395409.19999999995</v>
      </c>
      <c r="N248" s="103">
        <f t="shared" si="80"/>
        <v>0</v>
      </c>
      <c r="O248" s="103">
        <f t="shared" si="80"/>
        <v>95204.900000000023</v>
      </c>
      <c r="P248" s="103">
        <f t="shared" si="80"/>
        <v>0</v>
      </c>
      <c r="Q248" s="103">
        <f t="shared" si="81"/>
        <v>95204.900000000023</v>
      </c>
      <c r="S248" s="267" t="str">
        <f t="shared" si="84"/>
        <v/>
      </c>
      <c r="T248" s="267">
        <f t="shared" si="84"/>
        <v>0.80594748499890234</v>
      </c>
      <c r="U248" s="267" t="str">
        <f t="shared" si="84"/>
        <v/>
      </c>
      <c r="V248" s="267">
        <f t="shared" si="84"/>
        <v>0.80594748499890234</v>
      </c>
      <c r="W248" s="530"/>
      <c r="X248" s="236"/>
      <c r="Y248" s="236" t="s">
        <v>688</v>
      </c>
      <c r="Z248" s="236"/>
    </row>
    <row r="249" spans="1:26" ht="12" hidden="1" customHeight="1">
      <c r="A249" s="548" t="s">
        <v>131</v>
      </c>
      <c r="B249" s="548" t="s">
        <v>134</v>
      </c>
      <c r="C249" s="458" t="s">
        <v>715</v>
      </c>
      <c r="D249" s="550" t="s">
        <v>715</v>
      </c>
      <c r="E249" s="447" t="s">
        <v>715</v>
      </c>
      <c r="F249" s="104">
        <f>'[3]CONAP - W INC'!F177</f>
        <v>0</v>
      </c>
      <c r="G249" s="104">
        <f>'[3]CONAP - W INC'!G177</f>
        <v>0</v>
      </c>
      <c r="H249" s="104">
        <f>'[3]CONAP - W INC'!H177</f>
        <v>0</v>
      </c>
      <c r="I249" s="103">
        <f t="shared" si="78"/>
        <v>0</v>
      </c>
      <c r="J249" s="103">
        <f>'[3]CONAP - W INC'!J177</f>
        <v>0</v>
      </c>
      <c r="K249" s="104">
        <f>'[3]CONAP - W INC'!K177</f>
        <v>0</v>
      </c>
      <c r="L249" s="104">
        <f>'[3]CONAP - W INC'!L177</f>
        <v>0</v>
      </c>
      <c r="M249" s="103">
        <f t="shared" si="79"/>
        <v>0</v>
      </c>
      <c r="N249" s="103">
        <f t="shared" si="80"/>
        <v>0</v>
      </c>
      <c r="O249" s="103">
        <f t="shared" si="80"/>
        <v>0</v>
      </c>
      <c r="P249" s="103">
        <f t="shared" si="80"/>
        <v>0</v>
      </c>
      <c r="Q249" s="103">
        <f t="shared" si="81"/>
        <v>0</v>
      </c>
      <c r="S249" s="267" t="str">
        <f t="shared" si="84"/>
        <v/>
      </c>
      <c r="T249" s="267" t="str">
        <f t="shared" si="84"/>
        <v/>
      </c>
      <c r="U249" s="267" t="str">
        <f t="shared" si="84"/>
        <v/>
      </c>
      <c r="V249" s="267" t="str">
        <f t="shared" si="84"/>
        <v/>
      </c>
      <c r="W249" s="530"/>
      <c r="X249" s="236"/>
      <c r="Y249" s="236"/>
      <c r="Z249" s="236"/>
    </row>
    <row r="250" spans="1:26" ht="12" hidden="1" customHeight="1">
      <c r="A250" s="548" t="s">
        <v>131</v>
      </c>
      <c r="B250" s="548" t="s">
        <v>134</v>
      </c>
      <c r="C250" s="458" t="s">
        <v>716</v>
      </c>
      <c r="D250" s="550" t="s">
        <v>716</v>
      </c>
      <c r="E250" s="459" t="s">
        <v>716</v>
      </c>
      <c r="F250" s="104">
        <f>'[3]CONAP - W INC'!F178</f>
        <v>0</v>
      </c>
      <c r="G250" s="104">
        <f>'[3]CONAP - W INC'!G178</f>
        <v>490614.1</v>
      </c>
      <c r="H250" s="104">
        <f>'[3]CONAP - W INC'!H178</f>
        <v>0</v>
      </c>
      <c r="I250" s="103">
        <f t="shared" si="78"/>
        <v>490614.1</v>
      </c>
      <c r="J250" s="103">
        <f>'[3]CONAP - W INC'!J178</f>
        <v>0</v>
      </c>
      <c r="K250" s="104">
        <f>'[3]CONAP - W INC'!K178</f>
        <v>395409.19999999995</v>
      </c>
      <c r="L250" s="104">
        <f>'[3]CONAP - W INC'!L178</f>
        <v>0</v>
      </c>
      <c r="M250" s="103">
        <f t="shared" si="79"/>
        <v>395409.19999999995</v>
      </c>
      <c r="N250" s="103">
        <f t="shared" si="80"/>
        <v>0</v>
      </c>
      <c r="O250" s="103">
        <f t="shared" si="80"/>
        <v>95204.900000000023</v>
      </c>
      <c r="P250" s="103">
        <f t="shared" si="80"/>
        <v>0</v>
      </c>
      <c r="Q250" s="103">
        <f t="shared" si="81"/>
        <v>95204.900000000023</v>
      </c>
      <c r="S250" s="267" t="str">
        <f t="shared" si="84"/>
        <v/>
      </c>
      <c r="T250" s="267">
        <f t="shared" si="84"/>
        <v>0.80594748499890234</v>
      </c>
      <c r="U250" s="267" t="str">
        <f t="shared" si="84"/>
        <v/>
      </c>
      <c r="V250" s="267">
        <f t="shared" si="84"/>
        <v>0.80594748499890234</v>
      </c>
      <c r="W250" s="530"/>
      <c r="X250" s="236"/>
      <c r="Y250" s="236"/>
      <c r="Z250" s="236"/>
    </row>
    <row r="251" spans="1:26" s="256" customFormat="1" ht="12" customHeight="1">
      <c r="A251" s="548"/>
      <c r="B251" s="548" t="s">
        <v>134</v>
      </c>
      <c r="C251" s="460"/>
      <c r="D251" s="551"/>
      <c r="E251" s="390" t="s">
        <v>767</v>
      </c>
      <c r="F251" s="391">
        <f>+F248+F247</f>
        <v>0</v>
      </c>
      <c r="G251" s="391">
        <f t="shared" ref="G251:Q251" si="95">+G248+G247</f>
        <v>1824614.1</v>
      </c>
      <c r="H251" s="391">
        <f t="shared" si="95"/>
        <v>0</v>
      </c>
      <c r="I251" s="391">
        <f t="shared" si="95"/>
        <v>1824614.1</v>
      </c>
      <c r="J251" s="391">
        <f t="shared" si="95"/>
        <v>0</v>
      </c>
      <c r="K251" s="391">
        <f t="shared" si="95"/>
        <v>1729409.2</v>
      </c>
      <c r="L251" s="391">
        <f t="shared" si="95"/>
        <v>0</v>
      </c>
      <c r="M251" s="391">
        <f t="shared" si="95"/>
        <v>1729409.2</v>
      </c>
      <c r="N251" s="391">
        <f t="shared" si="95"/>
        <v>0</v>
      </c>
      <c r="O251" s="391">
        <f t="shared" si="95"/>
        <v>95204.900000000023</v>
      </c>
      <c r="P251" s="391">
        <f t="shared" si="95"/>
        <v>0</v>
      </c>
      <c r="Q251" s="391">
        <f t="shared" si="95"/>
        <v>95204.900000000023</v>
      </c>
      <c r="R251" s="761"/>
      <c r="S251" s="267" t="str">
        <f t="shared" si="84"/>
        <v/>
      </c>
      <c r="T251" s="267">
        <f t="shared" si="84"/>
        <v>0.94782189834003794</v>
      </c>
      <c r="U251" s="267" t="str">
        <f t="shared" si="84"/>
        <v/>
      </c>
      <c r="V251" s="267">
        <f t="shared" si="84"/>
        <v>0.94782189834003794</v>
      </c>
      <c r="W251" s="532"/>
      <c r="Y251" s="236" t="s">
        <v>598</v>
      </c>
      <c r="Z251" s="240" t="s">
        <v>598</v>
      </c>
    </row>
    <row r="252" spans="1:26" ht="12" hidden="1" customHeight="1">
      <c r="A252" s="548"/>
      <c r="B252" s="548"/>
      <c r="C252" s="456"/>
      <c r="D252" s="549"/>
      <c r="E252" s="461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S252" s="267" t="str">
        <f t="shared" si="84"/>
        <v/>
      </c>
      <c r="T252" s="267" t="str">
        <f t="shared" si="84"/>
        <v/>
      </c>
      <c r="U252" s="267" t="str">
        <f t="shared" si="84"/>
        <v/>
      </c>
      <c r="V252" s="267" t="str">
        <f t="shared" si="84"/>
        <v/>
      </c>
      <c r="W252" s="530"/>
      <c r="X252" s="236"/>
      <c r="Y252" s="236"/>
      <c r="Z252" s="236"/>
    </row>
    <row r="253" spans="1:26" s="256" customFormat="1" ht="12" customHeight="1">
      <c r="A253" s="548" t="s">
        <v>131</v>
      </c>
      <c r="B253" s="548" t="s">
        <v>134</v>
      </c>
      <c r="C253" s="460"/>
      <c r="D253" s="551" t="s">
        <v>98</v>
      </c>
      <c r="E253" s="390" t="s">
        <v>100</v>
      </c>
      <c r="F253" s="391">
        <f>SUM(F254:F254)</f>
        <v>0</v>
      </c>
      <c r="G253" s="391">
        <f>SUM(G254:G254)</f>
        <v>2296673.5099999998</v>
      </c>
      <c r="H253" s="391">
        <f>SUM(H254:H254)</f>
        <v>0</v>
      </c>
      <c r="I253" s="391">
        <f>+F253+G253+H253</f>
        <v>2296673.5099999998</v>
      </c>
      <c r="J253" s="391">
        <v>0</v>
      </c>
      <c r="K253" s="391">
        <f>SUM(K254:K254)</f>
        <v>1847972.46</v>
      </c>
      <c r="L253" s="391">
        <f>SUM(L254:L254)</f>
        <v>0</v>
      </c>
      <c r="M253" s="391">
        <f>+J253+K253+L253</f>
        <v>1847972.46</v>
      </c>
      <c r="N253" s="391">
        <f t="shared" ref="N253:P254" si="96">+F253-J253</f>
        <v>0</v>
      </c>
      <c r="O253" s="391">
        <f t="shared" si="96"/>
        <v>448701.04999999981</v>
      </c>
      <c r="P253" s="391">
        <f t="shared" si="96"/>
        <v>0</v>
      </c>
      <c r="Q253" s="391">
        <f>+N253+O253+P253</f>
        <v>448701.04999999981</v>
      </c>
      <c r="R253" s="761"/>
      <c r="S253" s="267" t="str">
        <f t="shared" si="84"/>
        <v/>
      </c>
      <c r="T253" s="267">
        <f t="shared" si="84"/>
        <v>0.80463002335930633</v>
      </c>
      <c r="U253" s="267" t="str">
        <f t="shared" si="84"/>
        <v/>
      </c>
      <c r="V253" s="267">
        <f t="shared" si="84"/>
        <v>0.80463002335930633</v>
      </c>
      <c r="W253" s="532"/>
      <c r="Y253" s="236" t="s">
        <v>598</v>
      </c>
      <c r="Z253" s="240" t="s">
        <v>598</v>
      </c>
    </row>
    <row r="254" spans="1:26" ht="12" customHeight="1">
      <c r="A254" s="548" t="s">
        <v>131</v>
      </c>
      <c r="B254" s="548" t="s">
        <v>134</v>
      </c>
      <c r="C254" s="456"/>
      <c r="D254" s="549"/>
      <c r="E254" s="462" t="s">
        <v>290</v>
      </c>
      <c r="F254" s="103">
        <v>0</v>
      </c>
      <c r="G254" s="103">
        <f>SUM('[3]chd2-SAOB'!AW223)</f>
        <v>2296673.5099999998</v>
      </c>
      <c r="H254" s="103">
        <f>SUM('[3]chd2-SAOB'!AW315)</f>
        <v>0</v>
      </c>
      <c r="I254" s="103">
        <f>+F254+G254+H254</f>
        <v>2296673.5099999998</v>
      </c>
      <c r="J254" s="103">
        <v>0</v>
      </c>
      <c r="K254" s="103">
        <f>SUM('[3]chd2-SAOB'!AW224)</f>
        <v>1847972.46</v>
      </c>
      <c r="L254" s="103">
        <f>SUM('[3]chd2-SAOB'!AW316)</f>
        <v>0</v>
      </c>
      <c r="M254" s="103">
        <f>+J254+K254+L254</f>
        <v>1847972.46</v>
      </c>
      <c r="N254" s="103">
        <f t="shared" si="96"/>
        <v>0</v>
      </c>
      <c r="O254" s="103">
        <f t="shared" si="96"/>
        <v>448701.04999999981</v>
      </c>
      <c r="P254" s="103">
        <f t="shared" si="96"/>
        <v>0</v>
      </c>
      <c r="Q254" s="103">
        <f>+N254+O254+P254</f>
        <v>448701.04999999981</v>
      </c>
      <c r="S254" s="267" t="str">
        <f t="shared" si="84"/>
        <v/>
      </c>
      <c r="T254" s="267">
        <f t="shared" si="84"/>
        <v>0.80463002335930633</v>
      </c>
      <c r="U254" s="267" t="str">
        <f t="shared" si="84"/>
        <v/>
      </c>
      <c r="V254" s="267">
        <f t="shared" si="84"/>
        <v>0.80463002335930633</v>
      </c>
      <c r="W254" s="530"/>
      <c r="X254" s="236"/>
      <c r="Y254" s="236" t="s">
        <v>598</v>
      </c>
      <c r="Z254" s="236"/>
    </row>
    <row r="255" spans="1:26" s="259" customFormat="1" ht="12" customHeight="1">
      <c r="A255" s="315" t="s">
        <v>131</v>
      </c>
      <c r="B255" s="315" t="s">
        <v>134</v>
      </c>
      <c r="C255" s="1096"/>
      <c r="D255" s="466"/>
      <c r="E255" s="1097" t="s">
        <v>4</v>
      </c>
      <c r="F255" s="652">
        <f>+F253+F251</f>
        <v>0</v>
      </c>
      <c r="G255" s="652">
        <f t="shared" ref="G255:Q255" si="97">+G253+G251</f>
        <v>4121287.61</v>
      </c>
      <c r="H255" s="652">
        <f t="shared" si="97"/>
        <v>0</v>
      </c>
      <c r="I255" s="652">
        <f t="shared" si="97"/>
        <v>4121287.61</v>
      </c>
      <c r="J255" s="652">
        <f t="shared" si="97"/>
        <v>0</v>
      </c>
      <c r="K255" s="652">
        <f t="shared" si="97"/>
        <v>3577381.66</v>
      </c>
      <c r="L255" s="652">
        <f t="shared" si="97"/>
        <v>0</v>
      </c>
      <c r="M255" s="652">
        <f t="shared" si="97"/>
        <v>3577381.66</v>
      </c>
      <c r="N255" s="652">
        <f t="shared" si="97"/>
        <v>0</v>
      </c>
      <c r="O255" s="652">
        <f t="shared" si="97"/>
        <v>543905.94999999984</v>
      </c>
      <c r="P255" s="652">
        <f t="shared" si="97"/>
        <v>0</v>
      </c>
      <c r="Q255" s="652">
        <f t="shared" si="97"/>
        <v>543905.94999999984</v>
      </c>
      <c r="R255" s="1095">
        <f>+Q255-'[3]chd2-SAOB'!BY352</f>
        <v>0</v>
      </c>
      <c r="S255" s="524" t="str">
        <f t="shared" si="84"/>
        <v/>
      </c>
      <c r="T255" s="524">
        <f t="shared" si="84"/>
        <v>0.86802523835505874</v>
      </c>
      <c r="U255" s="524" t="str">
        <f t="shared" si="84"/>
        <v/>
      </c>
      <c r="V255" s="524">
        <f t="shared" si="84"/>
        <v>0.86802523835505874</v>
      </c>
      <c r="W255" s="344"/>
      <c r="X255" s="520"/>
      <c r="Y255" s="837" t="s">
        <v>598</v>
      </c>
      <c r="Z255" s="241" t="s">
        <v>598</v>
      </c>
    </row>
    <row r="256" spans="1:26" ht="12" customHeight="1">
      <c r="A256" s="315" t="s">
        <v>131</v>
      </c>
      <c r="B256" s="315" t="s">
        <v>134</v>
      </c>
      <c r="C256" s="456"/>
      <c r="D256" s="456"/>
      <c r="E256" s="46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S256" s="267" t="str">
        <f t="shared" si="84"/>
        <v/>
      </c>
      <c r="T256" s="267" t="str">
        <f t="shared" si="84"/>
        <v/>
      </c>
      <c r="U256" s="267" t="str">
        <f t="shared" si="84"/>
        <v/>
      </c>
      <c r="V256" s="267" t="str">
        <f t="shared" si="84"/>
        <v/>
      </c>
      <c r="W256" s="267"/>
      <c r="Y256" s="837" t="s">
        <v>598</v>
      </c>
      <c r="Z256" s="241" t="s">
        <v>598</v>
      </c>
    </row>
    <row r="257" spans="1:26" s="275" customFormat="1" ht="12" customHeight="1">
      <c r="A257" s="548" t="s">
        <v>131</v>
      </c>
      <c r="B257" s="548" t="s">
        <v>135</v>
      </c>
      <c r="C257" s="464" t="s">
        <v>98</v>
      </c>
      <c r="D257" s="552" t="s">
        <v>107</v>
      </c>
      <c r="E257" s="407" t="s">
        <v>793</v>
      </c>
      <c r="F257" s="468"/>
      <c r="G257" s="468"/>
      <c r="H257" s="468"/>
      <c r="I257" s="409">
        <f t="shared" si="78"/>
        <v>0</v>
      </c>
      <c r="J257" s="409">
        <v>0</v>
      </c>
      <c r="K257" s="468"/>
      <c r="L257" s="468"/>
      <c r="M257" s="409">
        <f t="shared" si="79"/>
        <v>0</v>
      </c>
      <c r="N257" s="409">
        <f t="shared" si="80"/>
        <v>0</v>
      </c>
      <c r="O257" s="409">
        <f t="shared" si="80"/>
        <v>0</v>
      </c>
      <c r="P257" s="409">
        <f t="shared" si="80"/>
        <v>0</v>
      </c>
      <c r="Q257" s="409">
        <f t="shared" si="81"/>
        <v>0</v>
      </c>
      <c r="R257" s="761"/>
      <c r="S257" s="267" t="str">
        <f t="shared" si="84"/>
        <v/>
      </c>
      <c r="T257" s="267" t="str">
        <f t="shared" si="84"/>
        <v/>
      </c>
      <c r="U257" s="267" t="str">
        <f t="shared" si="84"/>
        <v/>
      </c>
      <c r="V257" s="267" t="str">
        <f t="shared" si="84"/>
        <v/>
      </c>
      <c r="W257" s="553"/>
      <c r="Y257" s="236" t="s">
        <v>598</v>
      </c>
      <c r="Z257" s="240" t="s">
        <v>598</v>
      </c>
    </row>
    <row r="258" spans="1:26" ht="12" customHeight="1">
      <c r="A258" s="548" t="s">
        <v>131</v>
      </c>
      <c r="B258" s="548" t="s">
        <v>135</v>
      </c>
      <c r="C258" s="447" t="s">
        <v>766</v>
      </c>
      <c r="D258" s="772"/>
      <c r="E258" s="447" t="s">
        <v>766</v>
      </c>
      <c r="F258" s="104">
        <f>+'[3]chd2-SAOB'!C456</f>
        <v>0</v>
      </c>
      <c r="G258" s="104">
        <f>+'[3]chd2-SAOB'!D456</f>
        <v>0</v>
      </c>
      <c r="H258" s="104">
        <f>+'[3]chd2-SAOB'!E456</f>
        <v>0</v>
      </c>
      <c r="I258" s="103">
        <f t="shared" si="78"/>
        <v>0</v>
      </c>
      <c r="J258" s="103">
        <v>0</v>
      </c>
      <c r="K258" s="104">
        <f>+'[3]chd2-SAOB'!H456</f>
        <v>0</v>
      </c>
      <c r="L258" s="104">
        <f>+'[3]chd2-SAOB'!I456</f>
        <v>0</v>
      </c>
      <c r="M258" s="103">
        <f t="shared" si="79"/>
        <v>0</v>
      </c>
      <c r="N258" s="103">
        <f t="shared" si="80"/>
        <v>0</v>
      </c>
      <c r="O258" s="103">
        <f t="shared" si="80"/>
        <v>0</v>
      </c>
      <c r="P258" s="103">
        <f t="shared" si="80"/>
        <v>0</v>
      </c>
      <c r="Q258" s="103">
        <f t="shared" si="81"/>
        <v>0</v>
      </c>
      <c r="S258" s="267" t="str">
        <f t="shared" si="84"/>
        <v/>
      </c>
      <c r="T258" s="267" t="str">
        <f t="shared" si="84"/>
        <v/>
      </c>
      <c r="U258" s="267" t="str">
        <f t="shared" si="84"/>
        <v/>
      </c>
      <c r="V258" s="267" t="str">
        <f t="shared" si="84"/>
        <v/>
      </c>
      <c r="W258" s="530"/>
      <c r="X258" s="236"/>
      <c r="Y258" s="236" t="s">
        <v>688</v>
      </c>
      <c r="Z258" s="236"/>
    </row>
    <row r="259" spans="1:26" ht="12" customHeight="1">
      <c r="A259" s="548" t="s">
        <v>131</v>
      </c>
      <c r="B259" s="548" t="s">
        <v>135</v>
      </c>
      <c r="C259" s="456"/>
      <c r="D259" s="772"/>
      <c r="E259" s="453" t="s">
        <v>50</v>
      </c>
      <c r="F259" s="103">
        <f>+F260+F261</f>
        <v>0</v>
      </c>
      <c r="G259" s="103">
        <f>+G260+G261</f>
        <v>145088.27000000002</v>
      </c>
      <c r="H259" s="103">
        <f>+H260+H261</f>
        <v>0</v>
      </c>
      <c r="I259" s="103">
        <f t="shared" si="78"/>
        <v>145088.27000000002</v>
      </c>
      <c r="J259" s="103">
        <f>+J260+J261</f>
        <v>0</v>
      </c>
      <c r="K259" s="103">
        <f>+K260+K261</f>
        <v>145088.27000000002</v>
      </c>
      <c r="L259" s="103">
        <f>+L260+L261</f>
        <v>0</v>
      </c>
      <c r="M259" s="103">
        <f t="shared" si="79"/>
        <v>145088.27000000002</v>
      </c>
      <c r="N259" s="103">
        <f t="shared" si="80"/>
        <v>0</v>
      </c>
      <c r="O259" s="103">
        <f t="shared" si="80"/>
        <v>0</v>
      </c>
      <c r="P259" s="103">
        <f t="shared" si="80"/>
        <v>0</v>
      </c>
      <c r="Q259" s="103">
        <f t="shared" si="81"/>
        <v>0</v>
      </c>
      <c r="S259" s="267" t="str">
        <f t="shared" si="84"/>
        <v/>
      </c>
      <c r="T259" s="267">
        <f t="shared" si="84"/>
        <v>1</v>
      </c>
      <c r="U259" s="267" t="str">
        <f t="shared" si="84"/>
        <v/>
      </c>
      <c r="V259" s="267">
        <f t="shared" si="84"/>
        <v>1</v>
      </c>
      <c r="W259" s="530"/>
      <c r="X259" s="236"/>
      <c r="Y259" s="236" t="s">
        <v>688</v>
      </c>
      <c r="Z259" s="236"/>
    </row>
    <row r="260" spans="1:26" ht="12" hidden="1" customHeight="1">
      <c r="A260" s="548" t="s">
        <v>131</v>
      </c>
      <c r="B260" s="548" t="s">
        <v>135</v>
      </c>
      <c r="C260" s="458" t="s">
        <v>715</v>
      </c>
      <c r="D260" s="550" t="s">
        <v>715</v>
      </c>
      <c r="E260" s="447" t="s">
        <v>715</v>
      </c>
      <c r="F260" s="104">
        <f>'[3]CONAP - W INC'!F185</f>
        <v>0</v>
      </c>
      <c r="G260" s="104">
        <f>'[3]CONAP - W INC'!G185</f>
        <v>0</v>
      </c>
      <c r="H260" s="104">
        <f>'[3]CONAP - W INC'!H185</f>
        <v>0</v>
      </c>
      <c r="I260" s="103">
        <f t="shared" si="78"/>
        <v>0</v>
      </c>
      <c r="J260" s="103">
        <f>'[3]CONAP - W INC'!J185</f>
        <v>0</v>
      </c>
      <c r="K260" s="104">
        <f>'[3]CONAP - W INC'!K185</f>
        <v>0</v>
      </c>
      <c r="L260" s="104">
        <f>'[3]CONAP - W INC'!L185</f>
        <v>0</v>
      </c>
      <c r="M260" s="103">
        <f t="shared" si="79"/>
        <v>0</v>
      </c>
      <c r="N260" s="103">
        <f t="shared" ref="N260:P318" si="98">+F260-J260</f>
        <v>0</v>
      </c>
      <c r="O260" s="103">
        <f t="shared" si="98"/>
        <v>0</v>
      </c>
      <c r="P260" s="103">
        <f t="shared" si="98"/>
        <v>0</v>
      </c>
      <c r="Q260" s="103">
        <f t="shared" si="81"/>
        <v>0</v>
      </c>
      <c r="S260" s="267" t="str">
        <f t="shared" si="84"/>
        <v/>
      </c>
      <c r="T260" s="267" t="str">
        <f t="shared" si="84"/>
        <v/>
      </c>
      <c r="U260" s="267" t="str">
        <f t="shared" si="84"/>
        <v/>
      </c>
      <c r="V260" s="267" t="str">
        <f t="shared" si="84"/>
        <v/>
      </c>
      <c r="W260" s="530"/>
      <c r="X260" s="236"/>
      <c r="Y260" s="236"/>
      <c r="Z260" s="236"/>
    </row>
    <row r="261" spans="1:26" ht="12" hidden="1" customHeight="1">
      <c r="A261" s="548" t="s">
        <v>131</v>
      </c>
      <c r="B261" s="548" t="s">
        <v>135</v>
      </c>
      <c r="C261" s="458" t="s">
        <v>716</v>
      </c>
      <c r="D261" s="550" t="s">
        <v>716</v>
      </c>
      <c r="E261" s="459" t="s">
        <v>716</v>
      </c>
      <c r="F261" s="104">
        <f>'[3]CONAP - W INC'!F186</f>
        <v>0</v>
      </c>
      <c r="G261" s="104">
        <f>'[3]CONAP - W INC'!G186</f>
        <v>145088.27000000002</v>
      </c>
      <c r="H261" s="104">
        <f>'[3]CONAP - W INC'!H186</f>
        <v>0</v>
      </c>
      <c r="I261" s="103">
        <f t="shared" si="78"/>
        <v>145088.27000000002</v>
      </c>
      <c r="J261" s="103">
        <f>'[3]CONAP - W INC'!J186</f>
        <v>0</v>
      </c>
      <c r="K261" s="104">
        <f>'[3]CONAP - W INC'!K186</f>
        <v>145088.27000000002</v>
      </c>
      <c r="L261" s="104">
        <f>'[3]CONAP - W INC'!L186</f>
        <v>0</v>
      </c>
      <c r="M261" s="103">
        <f t="shared" si="79"/>
        <v>145088.27000000002</v>
      </c>
      <c r="N261" s="103">
        <f t="shared" si="98"/>
        <v>0</v>
      </c>
      <c r="O261" s="103">
        <f t="shared" si="98"/>
        <v>0</v>
      </c>
      <c r="P261" s="103">
        <f t="shared" si="98"/>
        <v>0</v>
      </c>
      <c r="Q261" s="103">
        <f t="shared" si="81"/>
        <v>0</v>
      </c>
      <c r="S261" s="267" t="str">
        <f t="shared" si="84"/>
        <v/>
      </c>
      <c r="T261" s="267">
        <f t="shared" si="84"/>
        <v>1</v>
      </c>
      <c r="U261" s="267" t="str">
        <f t="shared" si="84"/>
        <v/>
      </c>
      <c r="V261" s="267">
        <f t="shared" si="84"/>
        <v>1</v>
      </c>
      <c r="W261" s="530"/>
      <c r="X261" s="236"/>
      <c r="Y261" s="236"/>
      <c r="Z261" s="236"/>
    </row>
    <row r="262" spans="1:26" s="256" customFormat="1" ht="12" customHeight="1">
      <c r="A262" s="548"/>
      <c r="B262" s="548" t="s">
        <v>135</v>
      </c>
      <c r="C262" s="460"/>
      <c r="D262" s="551"/>
      <c r="E262" s="390" t="s">
        <v>767</v>
      </c>
      <c r="F262" s="391">
        <f>+F259+F258</f>
        <v>0</v>
      </c>
      <c r="G262" s="391">
        <f t="shared" ref="G262:Q262" si="99">+G259+G258</f>
        <v>145088.27000000002</v>
      </c>
      <c r="H262" s="391">
        <f t="shared" si="99"/>
        <v>0</v>
      </c>
      <c r="I262" s="391">
        <f t="shared" si="99"/>
        <v>145088.27000000002</v>
      </c>
      <c r="J262" s="391">
        <f t="shared" si="99"/>
        <v>0</v>
      </c>
      <c r="K262" s="391">
        <f t="shared" si="99"/>
        <v>145088.27000000002</v>
      </c>
      <c r="L262" s="391">
        <f t="shared" si="99"/>
        <v>0</v>
      </c>
      <c r="M262" s="391">
        <f t="shared" si="99"/>
        <v>145088.27000000002</v>
      </c>
      <c r="N262" s="391">
        <f t="shared" si="99"/>
        <v>0</v>
      </c>
      <c r="O262" s="391">
        <f t="shared" si="99"/>
        <v>0</v>
      </c>
      <c r="P262" s="391">
        <f t="shared" si="99"/>
        <v>0</v>
      </c>
      <c r="Q262" s="391">
        <f t="shared" si="99"/>
        <v>0</v>
      </c>
      <c r="R262" s="761"/>
      <c r="S262" s="267" t="str">
        <f t="shared" si="84"/>
        <v/>
      </c>
      <c r="T262" s="267">
        <f t="shared" si="84"/>
        <v>1</v>
      </c>
      <c r="U262" s="267" t="str">
        <f t="shared" si="84"/>
        <v/>
      </c>
      <c r="V262" s="267">
        <f t="shared" si="84"/>
        <v>1</v>
      </c>
      <c r="W262" s="532"/>
      <c r="Y262" s="236" t="s">
        <v>598</v>
      </c>
      <c r="Z262" s="240" t="s">
        <v>598</v>
      </c>
    </row>
    <row r="263" spans="1:26" ht="12" hidden="1" customHeight="1">
      <c r="A263" s="548"/>
      <c r="B263" s="548"/>
      <c r="C263" s="456"/>
      <c r="D263" s="549"/>
      <c r="E263" s="461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S263" s="267" t="str">
        <f t="shared" si="84"/>
        <v/>
      </c>
      <c r="T263" s="267" t="str">
        <f t="shared" si="84"/>
        <v/>
      </c>
      <c r="U263" s="267" t="str">
        <f t="shared" si="84"/>
        <v/>
      </c>
      <c r="V263" s="267" t="str">
        <f t="shared" si="84"/>
        <v/>
      </c>
      <c r="W263" s="530"/>
      <c r="X263" s="236"/>
      <c r="Y263" s="236"/>
      <c r="Z263" s="236"/>
    </row>
    <row r="264" spans="1:26" s="256" customFormat="1" ht="12" customHeight="1">
      <c r="A264" s="548" t="s">
        <v>131</v>
      </c>
      <c r="B264" s="548" t="s">
        <v>135</v>
      </c>
      <c r="C264" s="460"/>
      <c r="D264" s="551" t="s">
        <v>98</v>
      </c>
      <c r="E264" s="390" t="s">
        <v>100</v>
      </c>
      <c r="F264" s="391">
        <f>SUM(F265:F265)</f>
        <v>0</v>
      </c>
      <c r="G264" s="391">
        <f>SUM(G265:G265)</f>
        <v>1000000</v>
      </c>
      <c r="H264" s="391">
        <f>SUM(H265:H265)</f>
        <v>0</v>
      </c>
      <c r="I264" s="391">
        <f>+F264+G264+H264</f>
        <v>1000000</v>
      </c>
      <c r="J264" s="391">
        <v>0</v>
      </c>
      <c r="K264" s="391">
        <f>SUM(K265:K265)</f>
        <v>1000000</v>
      </c>
      <c r="L264" s="391">
        <f>SUM(L265:L265)</f>
        <v>0</v>
      </c>
      <c r="M264" s="391">
        <f>+J264+K264+L264</f>
        <v>1000000</v>
      </c>
      <c r="N264" s="391">
        <f t="shared" ref="N264:P265" si="100">+F264-J264</f>
        <v>0</v>
      </c>
      <c r="O264" s="391">
        <f t="shared" si="100"/>
        <v>0</v>
      </c>
      <c r="P264" s="391">
        <f t="shared" si="100"/>
        <v>0</v>
      </c>
      <c r="Q264" s="391">
        <f>+N264+O264+P264</f>
        <v>0</v>
      </c>
      <c r="R264" s="761"/>
      <c r="S264" s="267" t="str">
        <f t="shared" si="84"/>
        <v/>
      </c>
      <c r="T264" s="267">
        <f t="shared" si="84"/>
        <v>1</v>
      </c>
      <c r="U264" s="267" t="str">
        <f t="shared" si="84"/>
        <v/>
      </c>
      <c r="V264" s="267">
        <f t="shared" si="84"/>
        <v>1</v>
      </c>
      <c r="W264" s="532"/>
      <c r="Y264" s="236" t="s">
        <v>598</v>
      </c>
      <c r="Z264" s="240" t="s">
        <v>598</v>
      </c>
    </row>
    <row r="265" spans="1:26" ht="12" customHeight="1">
      <c r="A265" s="548" t="s">
        <v>131</v>
      </c>
      <c r="B265" s="548" t="s">
        <v>135</v>
      </c>
      <c r="C265" s="456"/>
      <c r="D265" s="549"/>
      <c r="E265" s="462" t="s">
        <v>290</v>
      </c>
      <c r="F265" s="103">
        <v>0</v>
      </c>
      <c r="G265" s="103">
        <f>SUM('[3]chd2-SAOB'!AX223)</f>
        <v>1000000</v>
      </c>
      <c r="H265" s="103">
        <f>SUM('[3]chd2-SAOB'!AX315)</f>
        <v>0</v>
      </c>
      <c r="I265" s="103">
        <f>+F265+G265+H265</f>
        <v>1000000</v>
      </c>
      <c r="J265" s="103">
        <v>0</v>
      </c>
      <c r="K265" s="103">
        <f>SUM('[3]chd2-SAOB'!AX224)</f>
        <v>1000000</v>
      </c>
      <c r="L265" s="103">
        <f>SUM('[3]chd2-SAOB'!AX316)</f>
        <v>0</v>
      </c>
      <c r="M265" s="103">
        <f>+J265+K265+L265</f>
        <v>1000000</v>
      </c>
      <c r="N265" s="103">
        <f t="shared" si="100"/>
        <v>0</v>
      </c>
      <c r="O265" s="103">
        <f t="shared" si="100"/>
        <v>0</v>
      </c>
      <c r="P265" s="103">
        <f t="shared" si="100"/>
        <v>0</v>
      </c>
      <c r="Q265" s="103">
        <f>+N265+O265+P265</f>
        <v>0</v>
      </c>
      <c r="S265" s="267" t="str">
        <f t="shared" si="84"/>
        <v/>
      </c>
      <c r="T265" s="267">
        <f t="shared" si="84"/>
        <v>1</v>
      </c>
      <c r="U265" s="267" t="str">
        <f t="shared" si="84"/>
        <v/>
      </c>
      <c r="V265" s="267">
        <f t="shared" si="84"/>
        <v>1</v>
      </c>
      <c r="W265" s="530"/>
      <c r="X265" s="236"/>
      <c r="Y265" s="236" t="s">
        <v>598</v>
      </c>
      <c r="Z265" s="236"/>
    </row>
    <row r="266" spans="1:26" s="259" customFormat="1" ht="12" customHeight="1">
      <c r="A266" s="315" t="s">
        <v>131</v>
      </c>
      <c r="B266" s="315" t="s">
        <v>135</v>
      </c>
      <c r="C266" s="1096"/>
      <c r="D266" s="466"/>
      <c r="E266" s="1097" t="s">
        <v>4</v>
      </c>
      <c r="F266" s="652">
        <f>+F264+F262</f>
        <v>0</v>
      </c>
      <c r="G266" s="652">
        <f t="shared" ref="G266:Q266" si="101">+G264+G262</f>
        <v>1145088.27</v>
      </c>
      <c r="H266" s="652">
        <f t="shared" si="101"/>
        <v>0</v>
      </c>
      <c r="I266" s="652">
        <f t="shared" si="101"/>
        <v>1145088.27</v>
      </c>
      <c r="J266" s="652">
        <f t="shared" si="101"/>
        <v>0</v>
      </c>
      <c r="K266" s="652">
        <f t="shared" si="101"/>
        <v>1145088.27</v>
      </c>
      <c r="L266" s="652">
        <f t="shared" si="101"/>
        <v>0</v>
      </c>
      <c r="M266" s="652">
        <f t="shared" si="101"/>
        <v>1145088.27</v>
      </c>
      <c r="N266" s="652">
        <f t="shared" si="101"/>
        <v>0</v>
      </c>
      <c r="O266" s="652">
        <f t="shared" si="101"/>
        <v>0</v>
      </c>
      <c r="P266" s="652">
        <f t="shared" si="101"/>
        <v>0</v>
      </c>
      <c r="Q266" s="652">
        <f t="shared" si="101"/>
        <v>0</v>
      </c>
      <c r="R266" s="1095">
        <f>+Q266-'[3]chd2-SAOB'!BZ352</f>
        <v>0</v>
      </c>
      <c r="S266" s="524" t="str">
        <f t="shared" si="84"/>
        <v/>
      </c>
      <c r="T266" s="524">
        <f t="shared" si="84"/>
        <v>1</v>
      </c>
      <c r="U266" s="524" t="str">
        <f t="shared" si="84"/>
        <v/>
      </c>
      <c r="V266" s="524">
        <f t="shared" si="84"/>
        <v>1</v>
      </c>
      <c r="W266" s="344"/>
      <c r="X266" s="520"/>
      <c r="Y266" s="837" t="s">
        <v>598</v>
      </c>
      <c r="Z266" s="241" t="s">
        <v>598</v>
      </c>
    </row>
    <row r="267" spans="1:26" ht="12" customHeight="1">
      <c r="A267" s="315" t="s">
        <v>131</v>
      </c>
      <c r="B267" s="315" t="s">
        <v>135</v>
      </c>
      <c r="C267" s="456"/>
      <c r="D267" s="456"/>
      <c r="E267" s="46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S267" s="267" t="str">
        <f t="shared" si="84"/>
        <v/>
      </c>
      <c r="T267" s="267" t="str">
        <f t="shared" si="84"/>
        <v/>
      </c>
      <c r="U267" s="267" t="str">
        <f t="shared" si="84"/>
        <v/>
      </c>
      <c r="V267" s="267" t="str">
        <f t="shared" si="84"/>
        <v/>
      </c>
      <c r="W267" s="267"/>
      <c r="Y267" s="837" t="s">
        <v>598</v>
      </c>
      <c r="Z267" s="241" t="s">
        <v>598</v>
      </c>
    </row>
    <row r="268" spans="1:26" s="275" customFormat="1" ht="12" customHeight="1">
      <c r="A268" s="548" t="s">
        <v>131</v>
      </c>
      <c r="B268" s="548" t="s">
        <v>136</v>
      </c>
      <c r="C268" s="464" t="s">
        <v>98</v>
      </c>
      <c r="D268" s="552" t="s">
        <v>109</v>
      </c>
      <c r="E268" s="407" t="s">
        <v>794</v>
      </c>
      <c r="F268" s="468"/>
      <c r="G268" s="468"/>
      <c r="H268" s="468"/>
      <c r="I268" s="409">
        <f t="shared" si="78"/>
        <v>0</v>
      </c>
      <c r="J268" s="409">
        <v>0</v>
      </c>
      <c r="K268" s="468"/>
      <c r="L268" s="468"/>
      <c r="M268" s="409">
        <f t="shared" si="79"/>
        <v>0</v>
      </c>
      <c r="N268" s="409">
        <f t="shared" si="98"/>
        <v>0</v>
      </c>
      <c r="O268" s="409">
        <f t="shared" si="98"/>
        <v>0</v>
      </c>
      <c r="P268" s="409">
        <f t="shared" si="98"/>
        <v>0</v>
      </c>
      <c r="Q268" s="409">
        <f t="shared" si="81"/>
        <v>0</v>
      </c>
      <c r="R268" s="761"/>
      <c r="S268" s="267" t="str">
        <f t="shared" si="84"/>
        <v/>
      </c>
      <c r="T268" s="267" t="str">
        <f t="shared" si="84"/>
        <v/>
      </c>
      <c r="U268" s="267" t="str">
        <f t="shared" si="84"/>
        <v/>
      </c>
      <c r="V268" s="267" t="str">
        <f t="shared" si="84"/>
        <v/>
      </c>
      <c r="W268" s="553"/>
      <c r="Y268" s="236" t="s">
        <v>598</v>
      </c>
      <c r="Z268" s="240" t="s">
        <v>598</v>
      </c>
    </row>
    <row r="269" spans="1:26" ht="12" customHeight="1">
      <c r="A269" s="548" t="s">
        <v>131</v>
      </c>
      <c r="B269" s="548" t="s">
        <v>136</v>
      </c>
      <c r="C269" s="447" t="s">
        <v>766</v>
      </c>
      <c r="D269" s="772"/>
      <c r="E269" s="447" t="s">
        <v>766</v>
      </c>
      <c r="F269" s="104">
        <f>+'[3]chd2-SAOB'!C463</f>
        <v>0</v>
      </c>
      <c r="G269" s="104">
        <f>+'[3]chd2-SAOB'!D463</f>
        <v>11</v>
      </c>
      <c r="H269" s="104">
        <f>+'[3]chd2-SAOB'!E463</f>
        <v>0</v>
      </c>
      <c r="I269" s="103">
        <f t="shared" si="78"/>
        <v>11</v>
      </c>
      <c r="J269" s="103">
        <v>0</v>
      </c>
      <c r="K269" s="104">
        <f>+'[3]chd2-SAOB'!H463</f>
        <v>0</v>
      </c>
      <c r="L269" s="104">
        <f>+'[3]chd2-SAOB'!I463</f>
        <v>0</v>
      </c>
      <c r="M269" s="103">
        <f t="shared" si="79"/>
        <v>0</v>
      </c>
      <c r="N269" s="103">
        <f t="shared" si="98"/>
        <v>0</v>
      </c>
      <c r="O269" s="103">
        <f t="shared" si="98"/>
        <v>11</v>
      </c>
      <c r="P269" s="103">
        <f t="shared" si="98"/>
        <v>0</v>
      </c>
      <c r="Q269" s="103">
        <f t="shared" si="81"/>
        <v>11</v>
      </c>
      <c r="S269" s="267" t="str">
        <f t="shared" si="84"/>
        <v/>
      </c>
      <c r="T269" s="267">
        <f t="shared" si="84"/>
        <v>0</v>
      </c>
      <c r="U269" s="267" t="str">
        <f t="shared" si="84"/>
        <v/>
      </c>
      <c r="V269" s="267">
        <f t="shared" si="84"/>
        <v>0</v>
      </c>
      <c r="W269" s="530"/>
      <c r="X269" s="236"/>
      <c r="Y269" s="236" t="s">
        <v>688</v>
      </c>
      <c r="Z269" s="236"/>
    </row>
    <row r="270" spans="1:26" ht="12" customHeight="1">
      <c r="A270" s="548" t="s">
        <v>131</v>
      </c>
      <c r="B270" s="548" t="s">
        <v>136</v>
      </c>
      <c r="C270" s="456"/>
      <c r="D270" s="772"/>
      <c r="E270" s="453" t="s">
        <v>50</v>
      </c>
      <c r="F270" s="103">
        <f>+F271+F272</f>
        <v>0</v>
      </c>
      <c r="G270" s="103">
        <f>+G271+G272</f>
        <v>0</v>
      </c>
      <c r="H270" s="103">
        <f>+H271+H272</f>
        <v>0</v>
      </c>
      <c r="I270" s="103">
        <f t="shared" si="78"/>
        <v>0</v>
      </c>
      <c r="J270" s="103">
        <f>+J271+J272</f>
        <v>0</v>
      </c>
      <c r="K270" s="103">
        <f>+K271+K272</f>
        <v>0</v>
      </c>
      <c r="L270" s="103">
        <f>+L271+L272</f>
        <v>0</v>
      </c>
      <c r="M270" s="103">
        <f t="shared" si="79"/>
        <v>0</v>
      </c>
      <c r="N270" s="103">
        <f t="shared" si="98"/>
        <v>0</v>
      </c>
      <c r="O270" s="103">
        <f t="shared" si="98"/>
        <v>0</v>
      </c>
      <c r="P270" s="103">
        <f t="shared" si="98"/>
        <v>0</v>
      </c>
      <c r="Q270" s="103">
        <f t="shared" si="81"/>
        <v>0</v>
      </c>
      <c r="S270" s="267" t="str">
        <f t="shared" si="84"/>
        <v/>
      </c>
      <c r="T270" s="267" t="str">
        <f t="shared" si="84"/>
        <v/>
      </c>
      <c r="U270" s="267" t="str">
        <f t="shared" si="84"/>
        <v/>
      </c>
      <c r="V270" s="267" t="str">
        <f t="shared" si="84"/>
        <v/>
      </c>
      <c r="W270" s="530"/>
      <c r="X270" s="236"/>
      <c r="Y270" s="236" t="s">
        <v>688</v>
      </c>
      <c r="Z270" s="236"/>
    </row>
    <row r="271" spans="1:26" ht="12" hidden="1" customHeight="1">
      <c r="A271" s="548" t="s">
        <v>131</v>
      </c>
      <c r="B271" s="548" t="s">
        <v>136</v>
      </c>
      <c r="C271" s="458" t="s">
        <v>715</v>
      </c>
      <c r="D271" s="550" t="s">
        <v>715</v>
      </c>
      <c r="E271" s="447" t="s">
        <v>715</v>
      </c>
      <c r="F271" s="104">
        <f>'[3]CONAP - W INC'!F193</f>
        <v>0</v>
      </c>
      <c r="G271" s="104">
        <f>'[3]CONAP - W INC'!G193</f>
        <v>0</v>
      </c>
      <c r="H271" s="104">
        <f>'[3]CONAP - W INC'!H193</f>
        <v>0</v>
      </c>
      <c r="I271" s="103">
        <f t="shared" si="78"/>
        <v>0</v>
      </c>
      <c r="J271" s="103">
        <f>'[3]CONAP - W INC'!J193</f>
        <v>0</v>
      </c>
      <c r="K271" s="104">
        <f>'[3]CONAP - W INC'!K193</f>
        <v>0</v>
      </c>
      <c r="L271" s="104">
        <f>'[3]CONAP - W INC'!L193</f>
        <v>0</v>
      </c>
      <c r="M271" s="103">
        <f t="shared" si="79"/>
        <v>0</v>
      </c>
      <c r="N271" s="103">
        <f t="shared" si="98"/>
        <v>0</v>
      </c>
      <c r="O271" s="103">
        <f t="shared" si="98"/>
        <v>0</v>
      </c>
      <c r="P271" s="103">
        <f t="shared" si="98"/>
        <v>0</v>
      </c>
      <c r="Q271" s="103">
        <f t="shared" si="81"/>
        <v>0</v>
      </c>
      <c r="S271" s="267" t="str">
        <f t="shared" si="84"/>
        <v/>
      </c>
      <c r="T271" s="267" t="str">
        <f t="shared" si="84"/>
        <v/>
      </c>
      <c r="U271" s="267" t="str">
        <f t="shared" si="84"/>
        <v/>
      </c>
      <c r="V271" s="267" t="str">
        <f t="shared" si="84"/>
        <v/>
      </c>
      <c r="W271" s="530"/>
      <c r="X271" s="236"/>
      <c r="Y271" s="236"/>
      <c r="Z271" s="236"/>
    </row>
    <row r="272" spans="1:26" ht="12" hidden="1" customHeight="1">
      <c r="A272" s="548" t="s">
        <v>131</v>
      </c>
      <c r="B272" s="548" t="s">
        <v>136</v>
      </c>
      <c r="C272" s="458" t="s">
        <v>716</v>
      </c>
      <c r="D272" s="550" t="s">
        <v>716</v>
      </c>
      <c r="E272" s="459" t="s">
        <v>716</v>
      </c>
      <c r="F272" s="104">
        <f>'[3]CONAP - W INC'!F194</f>
        <v>0</v>
      </c>
      <c r="G272" s="104">
        <f>'[3]CONAP - W INC'!G194</f>
        <v>0</v>
      </c>
      <c r="H272" s="104">
        <f>'[3]CONAP - W INC'!H194</f>
        <v>0</v>
      </c>
      <c r="I272" s="103">
        <f t="shared" ref="I272:I332" si="102">+F272+G272+H272</f>
        <v>0</v>
      </c>
      <c r="J272" s="103">
        <f>'[3]CONAP - W INC'!J194</f>
        <v>0</v>
      </c>
      <c r="K272" s="104">
        <f>'[3]CONAP - W INC'!K194</f>
        <v>0</v>
      </c>
      <c r="L272" s="104">
        <f>'[3]CONAP - W INC'!L194</f>
        <v>0</v>
      </c>
      <c r="M272" s="103">
        <f t="shared" ref="M272:M332" si="103">+J272+K272+L272</f>
        <v>0</v>
      </c>
      <c r="N272" s="103">
        <f t="shared" si="98"/>
        <v>0</v>
      </c>
      <c r="O272" s="103">
        <f t="shared" si="98"/>
        <v>0</v>
      </c>
      <c r="P272" s="103">
        <f t="shared" si="98"/>
        <v>0</v>
      </c>
      <c r="Q272" s="103">
        <f t="shared" ref="Q272:Q332" si="104">+N272+O272+P272</f>
        <v>0</v>
      </c>
      <c r="S272" s="267" t="str">
        <f t="shared" si="84"/>
        <v/>
      </c>
      <c r="T272" s="267" t="str">
        <f t="shared" si="84"/>
        <v/>
      </c>
      <c r="U272" s="267" t="str">
        <f t="shared" si="84"/>
        <v/>
      </c>
      <c r="V272" s="267" t="str">
        <f t="shared" si="84"/>
        <v/>
      </c>
      <c r="W272" s="530"/>
      <c r="X272" s="236"/>
      <c r="Y272" s="236"/>
      <c r="Z272" s="236"/>
    </row>
    <row r="273" spans="1:26" s="256" customFormat="1" ht="12" customHeight="1">
      <c r="A273" s="548"/>
      <c r="B273" s="548" t="s">
        <v>136</v>
      </c>
      <c r="C273" s="460"/>
      <c r="D273" s="551"/>
      <c r="E273" s="390" t="s">
        <v>767</v>
      </c>
      <c r="F273" s="391">
        <f>+F270+F269</f>
        <v>0</v>
      </c>
      <c r="G273" s="391">
        <f t="shared" ref="G273:Q273" si="105">+G270+G269</f>
        <v>11</v>
      </c>
      <c r="H273" s="391">
        <f t="shared" si="105"/>
        <v>0</v>
      </c>
      <c r="I273" s="391">
        <f t="shared" si="105"/>
        <v>11</v>
      </c>
      <c r="J273" s="391">
        <f t="shared" si="105"/>
        <v>0</v>
      </c>
      <c r="K273" s="391">
        <f t="shared" si="105"/>
        <v>0</v>
      </c>
      <c r="L273" s="391">
        <f t="shared" si="105"/>
        <v>0</v>
      </c>
      <c r="M273" s="391">
        <f t="shared" si="105"/>
        <v>0</v>
      </c>
      <c r="N273" s="391">
        <f t="shared" si="105"/>
        <v>0</v>
      </c>
      <c r="O273" s="391">
        <f t="shared" si="105"/>
        <v>11</v>
      </c>
      <c r="P273" s="391">
        <f t="shared" si="105"/>
        <v>0</v>
      </c>
      <c r="Q273" s="391">
        <f t="shared" si="105"/>
        <v>11</v>
      </c>
      <c r="R273" s="761"/>
      <c r="S273" s="267" t="str">
        <f t="shared" si="84"/>
        <v/>
      </c>
      <c r="T273" s="267">
        <f t="shared" si="84"/>
        <v>0</v>
      </c>
      <c r="U273" s="267" t="str">
        <f t="shared" si="84"/>
        <v/>
      </c>
      <c r="V273" s="267">
        <f t="shared" si="84"/>
        <v>0</v>
      </c>
      <c r="W273" s="532"/>
      <c r="Y273" s="236" t="s">
        <v>598</v>
      </c>
      <c r="Z273" s="240" t="s">
        <v>598</v>
      </c>
    </row>
    <row r="274" spans="1:26" ht="12" hidden="1" customHeight="1">
      <c r="A274" s="548"/>
      <c r="B274" s="548"/>
      <c r="C274" s="456"/>
      <c r="D274" s="549"/>
      <c r="E274" s="461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S274" s="267" t="str">
        <f t="shared" si="84"/>
        <v/>
      </c>
      <c r="T274" s="267" t="str">
        <f t="shared" si="84"/>
        <v/>
      </c>
      <c r="U274" s="267" t="str">
        <f t="shared" si="84"/>
        <v/>
      </c>
      <c r="V274" s="267" t="str">
        <f t="shared" si="84"/>
        <v/>
      </c>
      <c r="W274" s="530"/>
      <c r="X274" s="236"/>
      <c r="Y274" s="236"/>
      <c r="Z274" s="236"/>
    </row>
    <row r="275" spans="1:26" s="256" customFormat="1" ht="12" customHeight="1">
      <c r="A275" s="548" t="s">
        <v>131</v>
      </c>
      <c r="B275" s="548" t="s">
        <v>136</v>
      </c>
      <c r="C275" s="460"/>
      <c r="D275" s="551" t="s">
        <v>98</v>
      </c>
      <c r="E275" s="390" t="s">
        <v>100</v>
      </c>
      <c r="F275" s="391">
        <f>SUM(F276:F276)</f>
        <v>0</v>
      </c>
      <c r="G275" s="391">
        <f>SUM(G276:G276)</f>
        <v>300000</v>
      </c>
      <c r="H275" s="391">
        <f>SUM(H276:H276)</f>
        <v>0</v>
      </c>
      <c r="I275" s="391">
        <f>+F275+G275+H275</f>
        <v>300000</v>
      </c>
      <c r="J275" s="391">
        <v>0</v>
      </c>
      <c r="K275" s="391">
        <f>SUM(K276:K276)</f>
        <v>0</v>
      </c>
      <c r="L275" s="391">
        <f>SUM(L276:L276)</f>
        <v>0</v>
      </c>
      <c r="M275" s="391">
        <f>+J275+K275+L275</f>
        <v>0</v>
      </c>
      <c r="N275" s="391">
        <f t="shared" ref="N275:P276" si="106">+F275-J275</f>
        <v>0</v>
      </c>
      <c r="O275" s="391">
        <f t="shared" si="106"/>
        <v>300000</v>
      </c>
      <c r="P275" s="391">
        <f t="shared" si="106"/>
        <v>0</v>
      </c>
      <c r="Q275" s="391">
        <f>+N275+O275+P275</f>
        <v>300000</v>
      </c>
      <c r="R275" s="761"/>
      <c r="S275" s="267" t="str">
        <f t="shared" si="84"/>
        <v/>
      </c>
      <c r="T275" s="267">
        <f t="shared" si="84"/>
        <v>0</v>
      </c>
      <c r="U275" s="267" t="str">
        <f t="shared" si="84"/>
        <v/>
      </c>
      <c r="V275" s="267">
        <f t="shared" si="84"/>
        <v>0</v>
      </c>
      <c r="W275" s="532"/>
      <c r="Y275" s="236" t="s">
        <v>598</v>
      </c>
      <c r="Z275" s="240" t="s">
        <v>598</v>
      </c>
    </row>
    <row r="276" spans="1:26" ht="12" customHeight="1">
      <c r="A276" s="548" t="s">
        <v>131</v>
      </c>
      <c r="B276" s="548" t="s">
        <v>136</v>
      </c>
      <c r="C276" s="456"/>
      <c r="D276" s="549"/>
      <c r="E276" s="462" t="s">
        <v>290</v>
      </c>
      <c r="F276" s="103">
        <v>0</v>
      </c>
      <c r="G276" s="103">
        <f>SUM('[3]chd2-SAOB'!AY223)</f>
        <v>300000</v>
      </c>
      <c r="H276" s="103">
        <f>SUM('[3]chd2-SAOB'!AY315)</f>
        <v>0</v>
      </c>
      <c r="I276" s="103">
        <f>+F276+G276+H276</f>
        <v>300000</v>
      </c>
      <c r="J276" s="103">
        <v>0</v>
      </c>
      <c r="K276" s="103">
        <f>SUM('[3]chd2-SAOB'!AY224)</f>
        <v>0</v>
      </c>
      <c r="L276" s="103">
        <f>SUM('[3]chd2-SAOB'!AY316)</f>
        <v>0</v>
      </c>
      <c r="M276" s="103">
        <f>+J276+K276+L276</f>
        <v>0</v>
      </c>
      <c r="N276" s="103">
        <f t="shared" si="106"/>
        <v>0</v>
      </c>
      <c r="O276" s="103">
        <f t="shared" si="106"/>
        <v>300000</v>
      </c>
      <c r="P276" s="103">
        <f t="shared" si="106"/>
        <v>0</v>
      </c>
      <c r="Q276" s="103">
        <f>+N276+O276+P276</f>
        <v>300000</v>
      </c>
      <c r="S276" s="267" t="str">
        <f t="shared" si="84"/>
        <v/>
      </c>
      <c r="T276" s="267">
        <f t="shared" si="84"/>
        <v>0</v>
      </c>
      <c r="U276" s="267" t="str">
        <f t="shared" si="84"/>
        <v/>
      </c>
      <c r="V276" s="267">
        <f t="shared" si="84"/>
        <v>0</v>
      </c>
      <c r="W276" s="530"/>
      <c r="X276" s="236"/>
      <c r="Y276" s="236" t="s">
        <v>598</v>
      </c>
      <c r="Z276" s="236"/>
    </row>
    <row r="277" spans="1:26" s="259" customFormat="1" ht="12" customHeight="1">
      <c r="A277" s="315" t="s">
        <v>131</v>
      </c>
      <c r="B277" s="315" t="s">
        <v>136</v>
      </c>
      <c r="C277" s="1096"/>
      <c r="D277" s="466"/>
      <c r="E277" s="1097" t="s">
        <v>4</v>
      </c>
      <c r="F277" s="652">
        <f>+F275+F273</f>
        <v>0</v>
      </c>
      <c r="G277" s="652">
        <f t="shared" ref="G277:Q277" si="107">+G275+G273</f>
        <v>300011</v>
      </c>
      <c r="H277" s="652">
        <f t="shared" si="107"/>
        <v>0</v>
      </c>
      <c r="I277" s="652">
        <f t="shared" si="107"/>
        <v>300011</v>
      </c>
      <c r="J277" s="652">
        <f t="shared" si="107"/>
        <v>0</v>
      </c>
      <c r="K277" s="652">
        <f t="shared" si="107"/>
        <v>0</v>
      </c>
      <c r="L277" s="652">
        <f t="shared" si="107"/>
        <v>0</v>
      </c>
      <c r="M277" s="652">
        <f t="shared" si="107"/>
        <v>0</v>
      </c>
      <c r="N277" s="652">
        <f t="shared" si="107"/>
        <v>0</v>
      </c>
      <c r="O277" s="652">
        <f t="shared" si="107"/>
        <v>300011</v>
      </c>
      <c r="P277" s="652">
        <f t="shared" si="107"/>
        <v>0</v>
      </c>
      <c r="Q277" s="652">
        <f t="shared" si="107"/>
        <v>300011</v>
      </c>
      <c r="R277" s="1095">
        <f>+Q277-'[3]chd2-SAOB'!CA352</f>
        <v>0</v>
      </c>
      <c r="S277" s="524" t="str">
        <f t="shared" si="84"/>
        <v/>
      </c>
      <c r="T277" s="524">
        <f t="shared" si="84"/>
        <v>0</v>
      </c>
      <c r="U277" s="524" t="str">
        <f t="shared" si="84"/>
        <v/>
      </c>
      <c r="V277" s="524">
        <f t="shared" si="84"/>
        <v>0</v>
      </c>
      <c r="W277" s="344"/>
      <c r="X277" s="520"/>
      <c r="Y277" s="837" t="s">
        <v>598</v>
      </c>
      <c r="Z277" s="241" t="s">
        <v>598</v>
      </c>
    </row>
    <row r="278" spans="1:26" ht="12" customHeight="1">
      <c r="A278" s="315" t="s">
        <v>131</v>
      </c>
      <c r="B278" s="315" t="s">
        <v>136</v>
      </c>
      <c r="C278" s="456"/>
      <c r="D278" s="456"/>
      <c r="E278" s="46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S278" s="267" t="str">
        <f t="shared" si="84"/>
        <v/>
      </c>
      <c r="T278" s="267" t="str">
        <f t="shared" si="84"/>
        <v/>
      </c>
      <c r="U278" s="267" t="str">
        <f t="shared" si="84"/>
        <v/>
      </c>
      <c r="V278" s="267" t="str">
        <f t="shared" si="84"/>
        <v/>
      </c>
      <c r="W278" s="267"/>
      <c r="Y278" s="837" t="s">
        <v>598</v>
      </c>
      <c r="Z278" s="241" t="s">
        <v>598</v>
      </c>
    </row>
    <row r="279" spans="1:26" s="275" customFormat="1" ht="12" customHeight="1">
      <c r="A279" s="315" t="s">
        <v>131</v>
      </c>
      <c r="B279" s="315" t="s">
        <v>137</v>
      </c>
      <c r="C279" s="464" t="s">
        <v>98</v>
      </c>
      <c r="D279" s="465" t="s">
        <v>111</v>
      </c>
      <c r="E279" s="407" t="s">
        <v>795</v>
      </c>
      <c r="F279" s="468"/>
      <c r="G279" s="468"/>
      <c r="H279" s="468"/>
      <c r="I279" s="409">
        <f t="shared" si="102"/>
        <v>0</v>
      </c>
      <c r="J279" s="409">
        <v>0</v>
      </c>
      <c r="K279" s="468"/>
      <c r="L279" s="468"/>
      <c r="M279" s="409">
        <f t="shared" si="103"/>
        <v>0</v>
      </c>
      <c r="N279" s="409">
        <f t="shared" si="98"/>
        <v>0</v>
      </c>
      <c r="O279" s="409">
        <f t="shared" si="98"/>
        <v>0</v>
      </c>
      <c r="P279" s="409">
        <f t="shared" si="98"/>
        <v>0</v>
      </c>
      <c r="Q279" s="409">
        <f t="shared" si="104"/>
        <v>0</v>
      </c>
      <c r="R279" s="761"/>
      <c r="S279" s="267" t="str">
        <f t="shared" si="84"/>
        <v/>
      </c>
      <c r="T279" s="267" t="str">
        <f t="shared" si="84"/>
        <v/>
      </c>
      <c r="U279" s="267" t="str">
        <f t="shared" si="84"/>
        <v/>
      </c>
      <c r="V279" s="267" t="str">
        <f t="shared" ref="V279:V342" si="108">IF(I279=0,"",M279/I279)</f>
        <v/>
      </c>
      <c r="W279" s="251"/>
      <c r="X279" s="274"/>
      <c r="Y279" s="837" t="s">
        <v>598</v>
      </c>
      <c r="Z279" s="241" t="s">
        <v>598</v>
      </c>
    </row>
    <row r="280" spans="1:26" ht="12" customHeight="1">
      <c r="A280" s="315" t="s">
        <v>131</v>
      </c>
      <c r="B280" s="315" t="s">
        <v>137</v>
      </c>
      <c r="C280" s="447" t="s">
        <v>766</v>
      </c>
      <c r="D280" s="456"/>
      <c r="E280" s="447" t="s">
        <v>766</v>
      </c>
      <c r="F280" s="104">
        <f>+'[3]chd2-SAOB'!C469</f>
        <v>0</v>
      </c>
      <c r="G280" s="104">
        <f>+'[3]chd2-SAOB'!D469</f>
        <v>0</v>
      </c>
      <c r="H280" s="104">
        <f>+'[3]chd2-SAOB'!E469</f>
        <v>0</v>
      </c>
      <c r="I280" s="103">
        <f t="shared" si="102"/>
        <v>0</v>
      </c>
      <c r="J280" s="103">
        <v>0</v>
      </c>
      <c r="K280" s="104">
        <f>+'[3]chd2-SAOB'!H469</f>
        <v>0</v>
      </c>
      <c r="L280" s="104">
        <f>+'[3]chd2-SAOB'!I469</f>
        <v>0</v>
      </c>
      <c r="M280" s="103">
        <f t="shared" si="103"/>
        <v>0</v>
      </c>
      <c r="N280" s="103">
        <f t="shared" si="98"/>
        <v>0</v>
      </c>
      <c r="O280" s="103">
        <f t="shared" si="98"/>
        <v>0</v>
      </c>
      <c r="P280" s="103">
        <f t="shared" si="98"/>
        <v>0</v>
      </c>
      <c r="Q280" s="103">
        <f t="shared" si="104"/>
        <v>0</v>
      </c>
      <c r="S280" s="267" t="str">
        <f t="shared" ref="S280:V343" si="109">IF(F280=0,"",J280/F280)</f>
        <v/>
      </c>
      <c r="T280" s="267" t="str">
        <f t="shared" si="109"/>
        <v/>
      </c>
      <c r="U280" s="267" t="str">
        <f t="shared" si="109"/>
        <v/>
      </c>
      <c r="V280" s="267" t="str">
        <f t="shared" si="108"/>
        <v/>
      </c>
      <c r="W280" s="267"/>
      <c r="Y280" s="837" t="s">
        <v>688</v>
      </c>
    </row>
    <row r="281" spans="1:26" ht="12" customHeight="1">
      <c r="A281" s="315" t="s">
        <v>131</v>
      </c>
      <c r="B281" s="315" t="s">
        <v>137</v>
      </c>
      <c r="C281" s="456"/>
      <c r="D281" s="456"/>
      <c r="E281" s="453" t="s">
        <v>50</v>
      </c>
      <c r="F281" s="103">
        <f>+F282+F283</f>
        <v>0</v>
      </c>
      <c r="G281" s="103">
        <f>+G282+G283</f>
        <v>380000</v>
      </c>
      <c r="H281" s="103">
        <f>+H282+H283</f>
        <v>0</v>
      </c>
      <c r="I281" s="103">
        <f t="shared" si="102"/>
        <v>380000</v>
      </c>
      <c r="J281" s="103">
        <f>+J282+J283</f>
        <v>0</v>
      </c>
      <c r="K281" s="103">
        <f>+K282+K283</f>
        <v>375694.5</v>
      </c>
      <c r="L281" s="103">
        <f>+L282+L283</f>
        <v>0</v>
      </c>
      <c r="M281" s="103">
        <f t="shared" si="103"/>
        <v>375694.5</v>
      </c>
      <c r="N281" s="103">
        <f t="shared" si="98"/>
        <v>0</v>
      </c>
      <c r="O281" s="103">
        <f t="shared" si="98"/>
        <v>4305.5</v>
      </c>
      <c r="P281" s="103">
        <f t="shared" si="98"/>
        <v>0</v>
      </c>
      <c r="Q281" s="103">
        <f t="shared" si="104"/>
        <v>4305.5</v>
      </c>
      <c r="S281" s="267" t="str">
        <f t="shared" si="109"/>
        <v/>
      </c>
      <c r="T281" s="267">
        <f t="shared" si="109"/>
        <v>0.98866973684210524</v>
      </c>
      <c r="U281" s="267" t="str">
        <f t="shared" si="109"/>
        <v/>
      </c>
      <c r="V281" s="267">
        <f t="shared" si="108"/>
        <v>0.98866973684210524</v>
      </c>
      <c r="W281" s="267"/>
      <c r="Y281" s="837" t="s">
        <v>688</v>
      </c>
    </row>
    <row r="282" spans="1:26" ht="12" hidden="1" customHeight="1">
      <c r="A282" s="315" t="s">
        <v>131</v>
      </c>
      <c r="B282" s="315" t="s">
        <v>137</v>
      </c>
      <c r="C282" s="458" t="s">
        <v>715</v>
      </c>
      <c r="D282" s="458" t="s">
        <v>715</v>
      </c>
      <c r="E282" s="447" t="s">
        <v>715</v>
      </c>
      <c r="F282" s="104">
        <f>'[3]CONAP - W INC'!F201</f>
        <v>0</v>
      </c>
      <c r="G282" s="104">
        <f>'[3]CONAP - W INC'!G201</f>
        <v>-648864.24</v>
      </c>
      <c r="H282" s="104">
        <f>'[3]CONAP - W INC'!H201</f>
        <v>0</v>
      </c>
      <c r="I282" s="103">
        <f t="shared" si="102"/>
        <v>-648864.24</v>
      </c>
      <c r="J282" s="103">
        <f>'[3]CONAP - W INC'!J201</f>
        <v>0</v>
      </c>
      <c r="K282" s="104">
        <f>'[3]CONAP - W INC'!K201</f>
        <v>0</v>
      </c>
      <c r="L282" s="104">
        <f>'[3]CONAP - W INC'!L201</f>
        <v>0</v>
      </c>
      <c r="M282" s="103">
        <f t="shared" si="103"/>
        <v>0</v>
      </c>
      <c r="N282" s="103">
        <f t="shared" si="98"/>
        <v>0</v>
      </c>
      <c r="O282" s="103">
        <f t="shared" si="98"/>
        <v>-648864.24</v>
      </c>
      <c r="P282" s="103">
        <f t="shared" si="98"/>
        <v>0</v>
      </c>
      <c r="Q282" s="103">
        <f t="shared" si="104"/>
        <v>-648864.24</v>
      </c>
      <c r="S282" s="267" t="str">
        <f t="shared" si="109"/>
        <v/>
      </c>
      <c r="T282" s="267">
        <f t="shared" si="109"/>
        <v>0</v>
      </c>
      <c r="U282" s="267" t="str">
        <f t="shared" si="109"/>
        <v/>
      </c>
      <c r="V282" s="267">
        <f t="shared" si="108"/>
        <v>0</v>
      </c>
      <c r="W282" s="267"/>
    </row>
    <row r="283" spans="1:26" ht="12" hidden="1" customHeight="1">
      <c r="A283" s="315" t="s">
        <v>131</v>
      </c>
      <c r="B283" s="315" t="s">
        <v>137</v>
      </c>
      <c r="C283" s="458" t="s">
        <v>716</v>
      </c>
      <c r="D283" s="458" t="s">
        <v>716</v>
      </c>
      <c r="E283" s="459" t="s">
        <v>716</v>
      </c>
      <c r="F283" s="104">
        <f>'[3]CONAP - W INC'!F202</f>
        <v>0</v>
      </c>
      <c r="G283" s="104">
        <f>'[3]CONAP - W INC'!G202</f>
        <v>1028864.24</v>
      </c>
      <c r="H283" s="104">
        <f>'[3]CONAP - W INC'!H202</f>
        <v>0</v>
      </c>
      <c r="I283" s="103">
        <f t="shared" si="102"/>
        <v>1028864.24</v>
      </c>
      <c r="J283" s="103">
        <f>'[3]CONAP - W INC'!J202</f>
        <v>0</v>
      </c>
      <c r="K283" s="104">
        <f>'[3]CONAP - W INC'!K202</f>
        <v>375694.5</v>
      </c>
      <c r="L283" s="104">
        <f>'[3]CONAP - W INC'!L202</f>
        <v>0</v>
      </c>
      <c r="M283" s="103">
        <f t="shared" si="103"/>
        <v>375694.5</v>
      </c>
      <c r="N283" s="103">
        <f t="shared" si="98"/>
        <v>0</v>
      </c>
      <c r="O283" s="103">
        <f t="shared" si="98"/>
        <v>653169.74</v>
      </c>
      <c r="P283" s="103">
        <f t="shared" si="98"/>
        <v>0</v>
      </c>
      <c r="Q283" s="103">
        <f t="shared" si="104"/>
        <v>653169.74</v>
      </c>
      <c r="S283" s="267" t="str">
        <f t="shared" si="109"/>
        <v/>
      </c>
      <c r="T283" s="267">
        <f t="shared" si="109"/>
        <v>0.36515459026936342</v>
      </c>
      <c r="U283" s="267" t="str">
        <f t="shared" si="109"/>
        <v/>
      </c>
      <c r="V283" s="267">
        <f t="shared" si="108"/>
        <v>0.36515459026936342</v>
      </c>
      <c r="W283" s="267"/>
    </row>
    <row r="284" spans="1:26" s="256" customFormat="1" ht="12" customHeight="1">
      <c r="A284" s="315"/>
      <c r="B284" s="315" t="s">
        <v>137</v>
      </c>
      <c r="C284" s="460"/>
      <c r="D284" s="460"/>
      <c r="E284" s="390" t="s">
        <v>767</v>
      </c>
      <c r="F284" s="391">
        <f>+F281+F280</f>
        <v>0</v>
      </c>
      <c r="G284" s="391">
        <f t="shared" ref="G284:Q284" si="110">+G281+G280</f>
        <v>380000</v>
      </c>
      <c r="H284" s="391">
        <f t="shared" si="110"/>
        <v>0</v>
      </c>
      <c r="I284" s="391">
        <f t="shared" si="110"/>
        <v>380000</v>
      </c>
      <c r="J284" s="391">
        <f t="shared" si="110"/>
        <v>0</v>
      </c>
      <c r="K284" s="391">
        <f t="shared" si="110"/>
        <v>375694.5</v>
      </c>
      <c r="L284" s="391">
        <f t="shared" si="110"/>
        <v>0</v>
      </c>
      <c r="M284" s="391">
        <f t="shared" si="110"/>
        <v>375694.5</v>
      </c>
      <c r="N284" s="391">
        <f t="shared" si="110"/>
        <v>0</v>
      </c>
      <c r="O284" s="391">
        <f t="shared" si="110"/>
        <v>4305.5</v>
      </c>
      <c r="P284" s="391">
        <f t="shared" si="110"/>
        <v>0</v>
      </c>
      <c r="Q284" s="391">
        <f t="shared" si="110"/>
        <v>4305.5</v>
      </c>
      <c r="R284" s="761"/>
      <c r="S284" s="267" t="str">
        <f t="shared" si="109"/>
        <v/>
      </c>
      <c r="T284" s="267">
        <f t="shared" si="109"/>
        <v>0.98866973684210524</v>
      </c>
      <c r="U284" s="267" t="str">
        <f t="shared" si="109"/>
        <v/>
      </c>
      <c r="V284" s="267">
        <f t="shared" si="108"/>
        <v>0.98866973684210524</v>
      </c>
      <c r="W284" s="263"/>
      <c r="X284" s="271"/>
      <c r="Y284" s="837" t="s">
        <v>598</v>
      </c>
      <c r="Z284" s="241" t="s">
        <v>598</v>
      </c>
    </row>
    <row r="285" spans="1:26" ht="12" hidden="1" customHeight="1">
      <c r="A285" s="315"/>
      <c r="B285" s="315"/>
      <c r="C285" s="456"/>
      <c r="D285" s="456"/>
      <c r="E285" s="461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S285" s="267" t="str">
        <f t="shared" si="109"/>
        <v/>
      </c>
      <c r="T285" s="267" t="str">
        <f t="shared" si="109"/>
        <v/>
      </c>
      <c r="U285" s="267" t="str">
        <f t="shared" si="109"/>
        <v/>
      </c>
      <c r="V285" s="267" t="str">
        <f t="shared" si="108"/>
        <v/>
      </c>
      <c r="W285" s="267"/>
    </row>
    <row r="286" spans="1:26" s="256" customFormat="1" ht="12" customHeight="1">
      <c r="A286" s="315" t="s">
        <v>131</v>
      </c>
      <c r="B286" s="315" t="s">
        <v>137</v>
      </c>
      <c r="C286" s="460"/>
      <c r="D286" s="460" t="s">
        <v>98</v>
      </c>
      <c r="E286" s="390" t="s">
        <v>100</v>
      </c>
      <c r="F286" s="391">
        <f>SUM(F287:F287)</f>
        <v>0</v>
      </c>
      <c r="G286" s="391">
        <f>SUM(G287:G287)</f>
        <v>945862</v>
      </c>
      <c r="H286" s="391">
        <f>SUM(H287:H287)</f>
        <v>0</v>
      </c>
      <c r="I286" s="391">
        <f>+F286+G286+H286</f>
        <v>945862</v>
      </c>
      <c r="J286" s="391">
        <v>0</v>
      </c>
      <c r="K286" s="391">
        <f>SUM(K287:K287)</f>
        <v>396067</v>
      </c>
      <c r="L286" s="391">
        <f>SUM(L287:L287)</f>
        <v>0</v>
      </c>
      <c r="M286" s="391">
        <f>+J286+K286+L286</f>
        <v>396067</v>
      </c>
      <c r="N286" s="391">
        <f t="shared" ref="N286:P287" si="111">+F286-J286</f>
        <v>0</v>
      </c>
      <c r="O286" s="391">
        <f t="shared" si="111"/>
        <v>549795</v>
      </c>
      <c r="P286" s="391">
        <f t="shared" si="111"/>
        <v>0</v>
      </c>
      <c r="Q286" s="391">
        <f>+N286+O286+P286</f>
        <v>549795</v>
      </c>
      <c r="R286" s="761"/>
      <c r="S286" s="267" t="str">
        <f t="shared" si="109"/>
        <v/>
      </c>
      <c r="T286" s="267">
        <f t="shared" si="109"/>
        <v>0.41873655987871383</v>
      </c>
      <c r="U286" s="267" t="str">
        <f t="shared" si="109"/>
        <v/>
      </c>
      <c r="V286" s="267">
        <f t="shared" si="108"/>
        <v>0.41873655987871383</v>
      </c>
      <c r="W286" s="263"/>
      <c r="X286" s="271"/>
      <c r="Y286" s="837" t="s">
        <v>598</v>
      </c>
      <c r="Z286" s="241" t="s">
        <v>598</v>
      </c>
    </row>
    <row r="287" spans="1:26" ht="12" customHeight="1">
      <c r="A287" s="315" t="s">
        <v>131</v>
      </c>
      <c r="B287" s="315" t="s">
        <v>137</v>
      </c>
      <c r="C287" s="456"/>
      <c r="D287" s="456"/>
      <c r="E287" s="462" t="s">
        <v>290</v>
      </c>
      <c r="F287" s="103">
        <v>0</v>
      </c>
      <c r="G287" s="103">
        <f>SUM('[3]chd2-SAOB'!AZ223)</f>
        <v>945862</v>
      </c>
      <c r="H287" s="103">
        <f>SUM('[3]chd2-SAOB'!AZ315)</f>
        <v>0</v>
      </c>
      <c r="I287" s="103">
        <f>+F287+G287+H287</f>
        <v>945862</v>
      </c>
      <c r="J287" s="103">
        <v>0</v>
      </c>
      <c r="K287" s="103">
        <f>SUM('[3]chd2-SAOB'!AZ224)</f>
        <v>396067</v>
      </c>
      <c r="L287" s="103">
        <f>SUM('[3]chd2-SAOB'!AZ316)</f>
        <v>0</v>
      </c>
      <c r="M287" s="103">
        <f>+J287+K287+L287</f>
        <v>396067</v>
      </c>
      <c r="N287" s="103">
        <f t="shared" si="111"/>
        <v>0</v>
      </c>
      <c r="O287" s="103">
        <f t="shared" si="111"/>
        <v>549795</v>
      </c>
      <c r="P287" s="103">
        <f t="shared" si="111"/>
        <v>0</v>
      </c>
      <c r="Q287" s="103">
        <f>+N287+O287+P287</f>
        <v>549795</v>
      </c>
      <c r="S287" s="267" t="str">
        <f t="shared" si="109"/>
        <v/>
      </c>
      <c r="T287" s="267">
        <f t="shared" si="109"/>
        <v>0.41873655987871383</v>
      </c>
      <c r="U287" s="267" t="str">
        <f t="shared" si="109"/>
        <v/>
      </c>
      <c r="V287" s="267">
        <f t="shared" si="108"/>
        <v>0.41873655987871383</v>
      </c>
      <c r="W287" s="267"/>
      <c r="Y287" s="837" t="s">
        <v>598</v>
      </c>
    </row>
    <row r="288" spans="1:26" s="259" customFormat="1" ht="12" customHeight="1">
      <c r="A288" s="315" t="s">
        <v>131</v>
      </c>
      <c r="B288" s="315" t="s">
        <v>137</v>
      </c>
      <c r="C288" s="1096"/>
      <c r="D288" s="466"/>
      <c r="E288" s="1097" t="s">
        <v>4</v>
      </c>
      <c r="F288" s="652">
        <f>+F286+F284</f>
        <v>0</v>
      </c>
      <c r="G288" s="652">
        <f t="shared" ref="G288:Q288" si="112">+G286+G284</f>
        <v>1325862</v>
      </c>
      <c r="H288" s="652">
        <f t="shared" si="112"/>
        <v>0</v>
      </c>
      <c r="I288" s="652">
        <f t="shared" si="112"/>
        <v>1325862</v>
      </c>
      <c r="J288" s="652">
        <f t="shared" si="112"/>
        <v>0</v>
      </c>
      <c r="K288" s="652">
        <f t="shared" si="112"/>
        <v>771761.5</v>
      </c>
      <c r="L288" s="652">
        <f t="shared" si="112"/>
        <v>0</v>
      </c>
      <c r="M288" s="652">
        <f t="shared" si="112"/>
        <v>771761.5</v>
      </c>
      <c r="N288" s="652">
        <f t="shared" si="112"/>
        <v>0</v>
      </c>
      <c r="O288" s="652">
        <f t="shared" si="112"/>
        <v>554100.5</v>
      </c>
      <c r="P288" s="652">
        <f t="shared" si="112"/>
        <v>0</v>
      </c>
      <c r="Q288" s="652">
        <f t="shared" si="112"/>
        <v>554100.5</v>
      </c>
      <c r="R288" s="1095">
        <f>+Q288-'[3]chd2-SAOB'!CB352</f>
        <v>0</v>
      </c>
      <c r="S288" s="524" t="str">
        <f t="shared" si="109"/>
        <v/>
      </c>
      <c r="T288" s="524">
        <f t="shared" si="109"/>
        <v>0.58208282611614182</v>
      </c>
      <c r="U288" s="524" t="str">
        <f t="shared" si="109"/>
        <v/>
      </c>
      <c r="V288" s="524">
        <f t="shared" si="108"/>
        <v>0.58208282611614182</v>
      </c>
      <c r="W288" s="344"/>
      <c r="X288" s="520"/>
      <c r="Y288" s="837" t="s">
        <v>598</v>
      </c>
      <c r="Z288" s="241" t="s">
        <v>598</v>
      </c>
    </row>
    <row r="289" spans="1:26" s="660" customFormat="1" ht="12" hidden="1" customHeight="1">
      <c r="A289" s="315" t="s">
        <v>131</v>
      </c>
      <c r="B289" s="315" t="s">
        <v>132</v>
      </c>
      <c r="C289" s="1467" t="s">
        <v>609</v>
      </c>
      <c r="D289" s="1468"/>
      <c r="E289" s="1469"/>
      <c r="F289" s="659">
        <f>+F255+F266+F277+F288</f>
        <v>0</v>
      </c>
      <c r="G289" s="659">
        <f>+G255+G266+G277+G288</f>
        <v>6892248.8799999999</v>
      </c>
      <c r="H289" s="659">
        <f>+H255+H266+H277+H288</f>
        <v>0</v>
      </c>
      <c r="I289" s="659">
        <f t="shared" si="102"/>
        <v>6892248.8799999999</v>
      </c>
      <c r="J289" s="659">
        <v>0</v>
      </c>
      <c r="K289" s="659">
        <f>+K255+K266+K277+K288</f>
        <v>5494231.4299999997</v>
      </c>
      <c r="L289" s="659">
        <f>+L255+L266+L277+L288</f>
        <v>0</v>
      </c>
      <c r="M289" s="659">
        <f t="shared" si="103"/>
        <v>5494231.4299999997</v>
      </c>
      <c r="N289" s="659">
        <f t="shared" si="98"/>
        <v>0</v>
      </c>
      <c r="O289" s="659">
        <f t="shared" si="98"/>
        <v>1398017.4500000002</v>
      </c>
      <c r="P289" s="659">
        <f t="shared" si="98"/>
        <v>0</v>
      </c>
      <c r="Q289" s="659">
        <f t="shared" si="104"/>
        <v>1398017.4500000002</v>
      </c>
      <c r="R289" s="1098"/>
      <c r="S289" s="661" t="str">
        <f t="shared" si="109"/>
        <v/>
      </c>
      <c r="T289" s="661">
        <f t="shared" si="109"/>
        <v>0.79716091593024418</v>
      </c>
      <c r="U289" s="661" t="str">
        <f t="shared" si="109"/>
        <v/>
      </c>
      <c r="V289" s="661">
        <f t="shared" si="108"/>
        <v>0.79716091593024418</v>
      </c>
      <c r="W289" s="295"/>
      <c r="X289" s="520"/>
      <c r="Y289" s="837"/>
      <c r="Z289" s="241"/>
    </row>
    <row r="290" spans="1:26" ht="12" hidden="1" customHeight="1">
      <c r="A290" s="315" t="s">
        <v>131</v>
      </c>
      <c r="B290" s="315" t="s">
        <v>132</v>
      </c>
      <c r="C290" s="469"/>
      <c r="D290" s="470"/>
      <c r="E290" s="471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S290" s="267" t="str">
        <f t="shared" si="109"/>
        <v/>
      </c>
      <c r="T290" s="267" t="str">
        <f t="shared" si="109"/>
        <v/>
      </c>
      <c r="U290" s="267" t="str">
        <f t="shared" si="109"/>
        <v/>
      </c>
      <c r="V290" s="267" t="str">
        <f t="shared" si="108"/>
        <v/>
      </c>
      <c r="W290" s="267"/>
      <c r="X290" s="237" t="s">
        <v>598</v>
      </c>
    </row>
    <row r="291" spans="1:26" s="275" customFormat="1" ht="12.75" hidden="1" customHeight="1">
      <c r="A291" s="315" t="s">
        <v>303</v>
      </c>
      <c r="B291" s="315" t="s">
        <v>132</v>
      </c>
      <c r="C291" s="464" t="s">
        <v>796</v>
      </c>
      <c r="D291" s="464"/>
      <c r="E291" s="472"/>
      <c r="F291" s="409"/>
      <c r="G291" s="409"/>
      <c r="H291" s="409"/>
      <c r="I291" s="409">
        <f t="shared" si="102"/>
        <v>0</v>
      </c>
      <c r="J291" s="409">
        <v>0</v>
      </c>
      <c r="K291" s="409"/>
      <c r="L291" s="409"/>
      <c r="M291" s="409">
        <f t="shared" si="103"/>
        <v>0</v>
      </c>
      <c r="N291" s="409">
        <f t="shared" si="98"/>
        <v>0</v>
      </c>
      <c r="O291" s="409">
        <f t="shared" si="98"/>
        <v>0</v>
      </c>
      <c r="P291" s="409">
        <f t="shared" si="98"/>
        <v>0</v>
      </c>
      <c r="Q291" s="409">
        <f t="shared" si="104"/>
        <v>0</v>
      </c>
      <c r="R291" s="761"/>
      <c r="S291" s="267" t="str">
        <f t="shared" si="109"/>
        <v/>
      </c>
      <c r="T291" s="267" t="str">
        <f t="shared" si="109"/>
        <v/>
      </c>
      <c r="U291" s="267" t="str">
        <f t="shared" si="109"/>
        <v/>
      </c>
      <c r="V291" s="267" t="str">
        <f t="shared" si="108"/>
        <v/>
      </c>
      <c r="W291" s="250"/>
      <c r="X291" s="237" t="s">
        <v>598</v>
      </c>
      <c r="Y291" s="839"/>
      <c r="Z291" s="253"/>
    </row>
    <row r="292" spans="1:26" ht="12" hidden="1" customHeight="1">
      <c r="A292" s="315" t="s">
        <v>303</v>
      </c>
      <c r="B292" s="315" t="s">
        <v>132</v>
      </c>
      <c r="C292" s="447" t="s">
        <v>766</v>
      </c>
      <c r="D292" s="456" t="s">
        <v>98</v>
      </c>
      <c r="E292" s="447" t="s">
        <v>766</v>
      </c>
      <c r="F292" s="103">
        <f>+F232+F247+F258+F269+F280</f>
        <v>0</v>
      </c>
      <c r="G292" s="103">
        <f>+G232+G247+G258+G269+G280</f>
        <v>2752747.4599999981</v>
      </c>
      <c r="H292" s="103">
        <f>+H232+H247+H258+H269+H280</f>
        <v>0</v>
      </c>
      <c r="I292" s="103">
        <f t="shared" si="102"/>
        <v>2752747.4599999981</v>
      </c>
      <c r="J292" s="103">
        <f>+J232+J247+J258+J269+J280</f>
        <v>0</v>
      </c>
      <c r="K292" s="103">
        <f>+K232+K247+K258+K269+K280</f>
        <v>2752736.46</v>
      </c>
      <c r="L292" s="103">
        <f>+L232+L247+L258+L269+L280</f>
        <v>0</v>
      </c>
      <c r="M292" s="103">
        <f t="shared" si="103"/>
        <v>2752736.46</v>
      </c>
      <c r="N292" s="103">
        <f t="shared" si="98"/>
        <v>0</v>
      </c>
      <c r="O292" s="103">
        <f t="shared" si="98"/>
        <v>10.999999998137355</v>
      </c>
      <c r="P292" s="103">
        <f t="shared" si="98"/>
        <v>0</v>
      </c>
      <c r="Q292" s="103">
        <f t="shared" si="104"/>
        <v>10.999999998137355</v>
      </c>
      <c r="S292" s="267" t="str">
        <f t="shared" si="109"/>
        <v/>
      </c>
      <c r="T292" s="267">
        <f t="shared" si="109"/>
        <v>0.99999600399231747</v>
      </c>
      <c r="U292" s="267" t="str">
        <f t="shared" si="109"/>
        <v/>
      </c>
      <c r="V292" s="267">
        <f t="shared" si="108"/>
        <v>0.99999600399231747</v>
      </c>
      <c r="W292" s="267"/>
      <c r="X292" s="237" t="s">
        <v>598</v>
      </c>
    </row>
    <row r="293" spans="1:26" ht="12" hidden="1" customHeight="1">
      <c r="A293" s="315" t="s">
        <v>303</v>
      </c>
      <c r="B293" s="315" t="s">
        <v>132</v>
      </c>
      <c r="C293" s="456"/>
      <c r="D293" s="456" t="s">
        <v>98</v>
      </c>
      <c r="E293" s="453" t="s">
        <v>50</v>
      </c>
      <c r="F293" s="103">
        <f>+F294+F295</f>
        <v>0</v>
      </c>
      <c r="G293" s="103">
        <f t="shared" ref="G293:L293" si="113">+G294+G295</f>
        <v>28640918.289999999</v>
      </c>
      <c r="H293" s="103">
        <f t="shared" si="113"/>
        <v>19900303.579999998</v>
      </c>
      <c r="I293" s="103">
        <f t="shared" si="102"/>
        <v>48541221.869999997</v>
      </c>
      <c r="J293" s="103">
        <f t="shared" si="113"/>
        <v>0</v>
      </c>
      <c r="K293" s="103">
        <f t="shared" si="113"/>
        <v>29663416.479999997</v>
      </c>
      <c r="L293" s="103">
        <f t="shared" si="113"/>
        <v>10941703.109999999</v>
      </c>
      <c r="M293" s="103">
        <f t="shared" si="103"/>
        <v>40605119.589999996</v>
      </c>
      <c r="N293" s="103">
        <f t="shared" si="98"/>
        <v>0</v>
      </c>
      <c r="O293" s="103">
        <f t="shared" si="98"/>
        <v>-1022498.1899999976</v>
      </c>
      <c r="P293" s="103">
        <f t="shared" si="98"/>
        <v>8958600.4699999988</v>
      </c>
      <c r="Q293" s="103">
        <f t="shared" si="104"/>
        <v>7936102.2800000012</v>
      </c>
      <c r="S293" s="267" t="str">
        <f t="shared" si="109"/>
        <v/>
      </c>
      <c r="T293" s="267">
        <f t="shared" si="109"/>
        <v>1.0357006077684667</v>
      </c>
      <c r="U293" s="267">
        <f t="shared" si="109"/>
        <v>0.54982593938901114</v>
      </c>
      <c r="V293" s="267">
        <f t="shared" si="108"/>
        <v>0.83650798281810945</v>
      </c>
      <c r="W293" s="267"/>
      <c r="X293" s="237" t="s">
        <v>598</v>
      </c>
    </row>
    <row r="294" spans="1:26" ht="12" hidden="1" customHeight="1">
      <c r="A294" s="315" t="s">
        <v>303</v>
      </c>
      <c r="B294" s="315" t="s">
        <v>132</v>
      </c>
      <c r="C294" s="458" t="s">
        <v>715</v>
      </c>
      <c r="D294" s="458" t="s">
        <v>715</v>
      </c>
      <c r="E294" s="447" t="s">
        <v>715</v>
      </c>
      <c r="F294" s="103">
        <f t="shared" ref="F294:H295" si="114">+F237+F249+F260+F271+F282</f>
        <v>0</v>
      </c>
      <c r="G294" s="103">
        <f t="shared" si="114"/>
        <v>-3648864.24</v>
      </c>
      <c r="H294" s="103">
        <f t="shared" si="114"/>
        <v>12615500</v>
      </c>
      <c r="I294" s="103">
        <f t="shared" si="102"/>
        <v>8966635.7599999998</v>
      </c>
      <c r="J294" s="103">
        <f t="shared" ref="J294:L295" si="115">+J237+J249+J260+J271+J282</f>
        <v>0</v>
      </c>
      <c r="K294" s="103">
        <f t="shared" si="115"/>
        <v>0</v>
      </c>
      <c r="L294" s="103">
        <f t="shared" si="115"/>
        <v>6078280</v>
      </c>
      <c r="M294" s="103">
        <f t="shared" si="103"/>
        <v>6078280</v>
      </c>
      <c r="N294" s="103">
        <f t="shared" si="98"/>
        <v>0</v>
      </c>
      <c r="O294" s="103">
        <f t="shared" si="98"/>
        <v>-3648864.24</v>
      </c>
      <c r="P294" s="103">
        <f t="shared" si="98"/>
        <v>6537220</v>
      </c>
      <c r="Q294" s="103">
        <f t="shared" si="104"/>
        <v>2888355.76</v>
      </c>
      <c r="S294" s="267" t="str">
        <f t="shared" si="109"/>
        <v/>
      </c>
      <c r="T294" s="267">
        <f t="shared" si="109"/>
        <v>0</v>
      </c>
      <c r="U294" s="267">
        <f t="shared" si="109"/>
        <v>0.48181047124568982</v>
      </c>
      <c r="V294" s="267">
        <f t="shared" si="108"/>
        <v>0.67787742947194274</v>
      </c>
      <c r="W294" s="267"/>
      <c r="X294" s="237" t="s">
        <v>598</v>
      </c>
    </row>
    <row r="295" spans="1:26" ht="12" hidden="1" customHeight="1">
      <c r="A295" s="315" t="s">
        <v>303</v>
      </c>
      <c r="B295" s="315" t="s">
        <v>132</v>
      </c>
      <c r="C295" s="458" t="s">
        <v>716</v>
      </c>
      <c r="D295" s="458" t="s">
        <v>716</v>
      </c>
      <c r="E295" s="459" t="s">
        <v>716</v>
      </c>
      <c r="F295" s="103">
        <f t="shared" si="114"/>
        <v>0</v>
      </c>
      <c r="G295" s="103">
        <f t="shared" si="114"/>
        <v>32289782.530000001</v>
      </c>
      <c r="H295" s="103">
        <f t="shared" si="114"/>
        <v>7284803.5800000001</v>
      </c>
      <c r="I295" s="103">
        <f t="shared" si="102"/>
        <v>39574586.109999999</v>
      </c>
      <c r="J295" s="103">
        <f t="shared" si="115"/>
        <v>0</v>
      </c>
      <c r="K295" s="103">
        <f t="shared" si="115"/>
        <v>29663416.479999997</v>
      </c>
      <c r="L295" s="103">
        <f t="shared" si="115"/>
        <v>4863423.1100000003</v>
      </c>
      <c r="M295" s="103">
        <f t="shared" si="103"/>
        <v>34526839.589999996</v>
      </c>
      <c r="N295" s="103">
        <f t="shared" si="98"/>
        <v>0</v>
      </c>
      <c r="O295" s="103">
        <f t="shared" si="98"/>
        <v>2626366.0500000045</v>
      </c>
      <c r="P295" s="103">
        <f t="shared" si="98"/>
        <v>2421380.4699999997</v>
      </c>
      <c r="Q295" s="103">
        <f t="shared" si="104"/>
        <v>5047746.5200000042</v>
      </c>
      <c r="S295" s="267" t="str">
        <f t="shared" si="109"/>
        <v/>
      </c>
      <c r="T295" s="267">
        <f t="shared" si="109"/>
        <v>0.91866262810658805</v>
      </c>
      <c r="U295" s="267">
        <f t="shared" si="109"/>
        <v>0.66761211288554745</v>
      </c>
      <c r="V295" s="267">
        <f t="shared" si="108"/>
        <v>0.87244979629175445</v>
      </c>
      <c r="W295" s="267"/>
      <c r="X295" s="237" t="s">
        <v>598</v>
      </c>
    </row>
    <row r="296" spans="1:26" s="256" customFormat="1" ht="12" hidden="1" customHeight="1">
      <c r="A296" s="315"/>
      <c r="B296" s="315" t="s">
        <v>132</v>
      </c>
      <c r="C296" s="460"/>
      <c r="D296" s="460"/>
      <c r="E296" s="390" t="s">
        <v>767</v>
      </c>
      <c r="F296" s="391">
        <f>+F293+F292</f>
        <v>0</v>
      </c>
      <c r="G296" s="391">
        <f t="shared" ref="G296:Q296" si="116">+G293+G292</f>
        <v>31393665.749999996</v>
      </c>
      <c r="H296" s="391">
        <f t="shared" si="116"/>
        <v>19900303.579999998</v>
      </c>
      <c r="I296" s="391">
        <f t="shared" si="116"/>
        <v>51293969.329999998</v>
      </c>
      <c r="J296" s="391">
        <f t="shared" si="116"/>
        <v>0</v>
      </c>
      <c r="K296" s="391">
        <f t="shared" si="116"/>
        <v>32416152.939999998</v>
      </c>
      <c r="L296" s="391">
        <f t="shared" si="116"/>
        <v>10941703.109999999</v>
      </c>
      <c r="M296" s="391">
        <f t="shared" si="116"/>
        <v>43357856.049999997</v>
      </c>
      <c r="N296" s="391">
        <f t="shared" si="116"/>
        <v>0</v>
      </c>
      <c r="O296" s="391">
        <f t="shared" si="116"/>
        <v>-1022487.1899999995</v>
      </c>
      <c r="P296" s="391">
        <f t="shared" si="116"/>
        <v>8958600.4699999988</v>
      </c>
      <c r="Q296" s="391">
        <f t="shared" si="116"/>
        <v>7936113.2799999993</v>
      </c>
      <c r="R296" s="761"/>
      <c r="S296" s="267" t="str">
        <f t="shared" si="109"/>
        <v/>
      </c>
      <c r="T296" s="267">
        <f t="shared" si="109"/>
        <v>1.0325698565482115</v>
      </c>
      <c r="U296" s="267">
        <f t="shared" si="109"/>
        <v>0.54982593938901114</v>
      </c>
      <c r="V296" s="267">
        <f t="shared" si="108"/>
        <v>0.84528174786117682</v>
      </c>
      <c r="W296" s="263"/>
      <c r="X296" s="237" t="s">
        <v>598</v>
      </c>
      <c r="Y296" s="840"/>
      <c r="Z296" s="241"/>
    </row>
    <row r="297" spans="1:26" ht="12" hidden="1" customHeight="1">
      <c r="A297" s="315"/>
      <c r="B297" s="315"/>
      <c r="C297" s="456"/>
      <c r="D297" s="456"/>
      <c r="E297" s="461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S297" s="267" t="str">
        <f t="shared" si="109"/>
        <v/>
      </c>
      <c r="T297" s="267" t="str">
        <f t="shared" si="109"/>
        <v/>
      </c>
      <c r="U297" s="267" t="str">
        <f t="shared" si="109"/>
        <v/>
      </c>
      <c r="V297" s="267" t="str">
        <f t="shared" si="108"/>
        <v/>
      </c>
      <c r="W297" s="267"/>
      <c r="X297" s="237" t="s">
        <v>598</v>
      </c>
    </row>
    <row r="298" spans="1:26" s="256" customFormat="1" ht="12" hidden="1" customHeight="1">
      <c r="A298" s="315" t="s">
        <v>303</v>
      </c>
      <c r="B298" s="315" t="s">
        <v>132</v>
      </c>
      <c r="C298" s="460"/>
      <c r="D298" s="460" t="s">
        <v>98</v>
      </c>
      <c r="E298" s="390" t="s">
        <v>100</v>
      </c>
      <c r="F298" s="391">
        <f>+F299</f>
        <v>0</v>
      </c>
      <c r="G298" s="391">
        <f t="shared" ref="G298:Q298" si="117">+G299</f>
        <v>4542535.51</v>
      </c>
      <c r="H298" s="391">
        <f t="shared" si="117"/>
        <v>0</v>
      </c>
      <c r="I298" s="391">
        <f t="shared" si="117"/>
        <v>4542535.51</v>
      </c>
      <c r="J298" s="391">
        <f t="shared" si="117"/>
        <v>0</v>
      </c>
      <c r="K298" s="391">
        <f t="shared" si="117"/>
        <v>3244039.46</v>
      </c>
      <c r="L298" s="391">
        <f t="shared" si="117"/>
        <v>0</v>
      </c>
      <c r="M298" s="391">
        <f t="shared" si="117"/>
        <v>3244039.46</v>
      </c>
      <c r="N298" s="391">
        <f t="shared" si="117"/>
        <v>0</v>
      </c>
      <c r="O298" s="391">
        <f t="shared" si="117"/>
        <v>1298496.0499999998</v>
      </c>
      <c r="P298" s="391">
        <f t="shared" si="117"/>
        <v>0</v>
      </c>
      <c r="Q298" s="391">
        <f t="shared" si="117"/>
        <v>1298496.0499999998</v>
      </c>
      <c r="R298" s="761"/>
      <c r="S298" s="267" t="str">
        <f t="shared" si="109"/>
        <v/>
      </c>
      <c r="T298" s="267">
        <f t="shared" si="109"/>
        <v>0.71414729788210285</v>
      </c>
      <c r="U298" s="267" t="str">
        <f t="shared" si="109"/>
        <v/>
      </c>
      <c r="V298" s="267">
        <f t="shared" si="108"/>
        <v>0.71414729788210285</v>
      </c>
      <c r="W298" s="263"/>
      <c r="X298" s="237" t="s">
        <v>598</v>
      </c>
      <c r="Y298" s="840"/>
      <c r="Z298" s="241"/>
    </row>
    <row r="299" spans="1:26" ht="12" hidden="1" customHeight="1">
      <c r="A299" s="315" t="s">
        <v>303</v>
      </c>
      <c r="B299" s="315" t="s">
        <v>132</v>
      </c>
      <c r="C299" s="456"/>
      <c r="D299" s="456"/>
      <c r="E299" s="462" t="s">
        <v>290</v>
      </c>
      <c r="F299" s="103">
        <f>+F242+F254+F265+F276+F287</f>
        <v>0</v>
      </c>
      <c r="G299" s="103">
        <f>+G242+G254+G265+G276+G287</f>
        <v>4542535.51</v>
      </c>
      <c r="H299" s="103">
        <f>+H242+H254+H265+H276+H287</f>
        <v>0</v>
      </c>
      <c r="I299" s="103">
        <f>+F299+G299+H299</f>
        <v>4542535.51</v>
      </c>
      <c r="J299" s="103">
        <f>+J242+J254+J265+J276+J287</f>
        <v>0</v>
      </c>
      <c r="K299" s="103">
        <f>+K242+K254+K265+K276+K287</f>
        <v>3244039.46</v>
      </c>
      <c r="L299" s="103">
        <f>+L242+L254+L265+L276+L287</f>
        <v>0</v>
      </c>
      <c r="M299" s="103">
        <f>+J299+K299+L299</f>
        <v>3244039.46</v>
      </c>
      <c r="N299" s="103">
        <f>+F299-J299</f>
        <v>0</v>
      </c>
      <c r="O299" s="103">
        <f>+G299-K299</f>
        <v>1298496.0499999998</v>
      </c>
      <c r="P299" s="103">
        <f>+H299-L299</f>
        <v>0</v>
      </c>
      <c r="Q299" s="103">
        <f>+N299+O299+P299</f>
        <v>1298496.0499999998</v>
      </c>
      <c r="S299" s="267" t="str">
        <f t="shared" si="109"/>
        <v/>
      </c>
      <c r="T299" s="267">
        <f t="shared" si="109"/>
        <v>0.71414729788210285</v>
      </c>
      <c r="U299" s="267" t="str">
        <f t="shared" si="109"/>
        <v/>
      </c>
      <c r="V299" s="267">
        <f t="shared" si="108"/>
        <v>0.71414729788210285</v>
      </c>
      <c r="W299" s="267"/>
      <c r="X299" s="237" t="s">
        <v>598</v>
      </c>
    </row>
    <row r="300" spans="1:26" s="266" customFormat="1" ht="24.75" customHeight="1">
      <c r="A300" s="315" t="s">
        <v>303</v>
      </c>
      <c r="B300" s="315" t="s">
        <v>132</v>
      </c>
      <c r="C300" s="1470" t="s">
        <v>611</v>
      </c>
      <c r="D300" s="1471"/>
      <c r="E300" s="1472"/>
      <c r="F300" s="666">
        <f>+F298+F296</f>
        <v>0</v>
      </c>
      <c r="G300" s="666">
        <f t="shared" ref="G300:Q300" si="118">+G298+G296</f>
        <v>35936201.259999998</v>
      </c>
      <c r="H300" s="666">
        <f t="shared" si="118"/>
        <v>19900303.579999998</v>
      </c>
      <c r="I300" s="666">
        <f t="shared" si="118"/>
        <v>55836504.839999996</v>
      </c>
      <c r="J300" s="666">
        <f t="shared" si="118"/>
        <v>0</v>
      </c>
      <c r="K300" s="666">
        <f t="shared" si="118"/>
        <v>35660192.399999999</v>
      </c>
      <c r="L300" s="666">
        <f t="shared" si="118"/>
        <v>10941703.109999999</v>
      </c>
      <c r="M300" s="666">
        <f t="shared" si="118"/>
        <v>46601895.509999998</v>
      </c>
      <c r="N300" s="666">
        <f t="shared" si="118"/>
        <v>0</v>
      </c>
      <c r="O300" s="666">
        <f t="shared" si="118"/>
        <v>276008.86000000034</v>
      </c>
      <c r="P300" s="666">
        <f t="shared" si="118"/>
        <v>8958600.4699999988</v>
      </c>
      <c r="Q300" s="666">
        <f t="shared" si="118"/>
        <v>9234609.3299999982</v>
      </c>
      <c r="R300" s="1099">
        <f>+Q300-'[3]chd2-SAOB'!CC352</f>
        <v>0</v>
      </c>
      <c r="S300" s="525" t="str">
        <f t="shared" si="109"/>
        <v/>
      </c>
      <c r="T300" s="525">
        <f t="shared" si="109"/>
        <v>0.99231947589554437</v>
      </c>
      <c r="U300" s="525">
        <f t="shared" si="109"/>
        <v>0.54982593938901114</v>
      </c>
      <c r="V300" s="525">
        <f t="shared" si="108"/>
        <v>0.83461340647195137</v>
      </c>
      <c r="W300" s="345"/>
      <c r="X300" s="237" t="s">
        <v>598</v>
      </c>
      <c r="Y300" s="837" t="s">
        <v>598</v>
      </c>
      <c r="Z300" s="241" t="s">
        <v>598</v>
      </c>
    </row>
    <row r="301" spans="1:26" ht="12" customHeight="1">
      <c r="A301" s="315" t="s">
        <v>303</v>
      </c>
      <c r="B301" s="315" t="s">
        <v>132</v>
      </c>
      <c r="C301" s="456"/>
      <c r="D301" s="456"/>
      <c r="E301" s="463"/>
      <c r="F301" s="104"/>
      <c r="G301" s="104"/>
      <c r="H301" s="104"/>
      <c r="I301" s="103"/>
      <c r="J301" s="103"/>
      <c r="K301" s="104"/>
      <c r="L301" s="104"/>
      <c r="M301" s="103"/>
      <c r="N301" s="103"/>
      <c r="O301" s="103"/>
      <c r="P301" s="103"/>
      <c r="Q301" s="103"/>
      <c r="S301" s="267" t="str">
        <f t="shared" si="109"/>
        <v/>
      </c>
      <c r="T301" s="267" t="str">
        <f t="shared" si="109"/>
        <v/>
      </c>
      <c r="U301" s="267" t="str">
        <f t="shared" si="109"/>
        <v/>
      </c>
      <c r="V301" s="267" t="str">
        <f t="shared" si="108"/>
        <v/>
      </c>
      <c r="W301" s="267"/>
      <c r="Y301" s="837" t="s">
        <v>598</v>
      </c>
      <c r="Z301" s="241" t="s">
        <v>598</v>
      </c>
    </row>
    <row r="302" spans="1:26" ht="11.25" customHeight="1">
      <c r="A302" s="528" t="s">
        <v>613</v>
      </c>
      <c r="B302" s="528" t="s">
        <v>139</v>
      </c>
      <c r="C302" s="408"/>
      <c r="D302" s="529"/>
      <c r="E302" s="408" t="s">
        <v>139</v>
      </c>
      <c r="F302" s="104"/>
      <c r="G302" s="104"/>
      <c r="H302" s="104"/>
      <c r="I302" s="103">
        <f>SUM(F302:H302)</f>
        <v>0</v>
      </c>
      <c r="J302" s="104"/>
      <c r="K302" s="104"/>
      <c r="L302" s="104"/>
      <c r="M302" s="103">
        <f>SUM(J302:L302)</f>
        <v>0</v>
      </c>
      <c r="N302" s="103">
        <f t="shared" si="98"/>
        <v>0</v>
      </c>
      <c r="O302" s="103">
        <f t="shared" si="98"/>
        <v>0</v>
      </c>
      <c r="P302" s="103">
        <f t="shared" si="98"/>
        <v>0</v>
      </c>
      <c r="Q302" s="103">
        <f>SUM(N302:P302)</f>
        <v>0</v>
      </c>
      <c r="S302" s="267" t="str">
        <f t="shared" si="109"/>
        <v/>
      </c>
      <c r="T302" s="267" t="str">
        <f t="shared" si="109"/>
        <v/>
      </c>
      <c r="U302" s="267" t="str">
        <f t="shared" si="109"/>
        <v/>
      </c>
      <c r="V302" s="267" t="str">
        <f t="shared" si="108"/>
        <v/>
      </c>
      <c r="W302" s="531"/>
      <c r="X302" s="236"/>
      <c r="Y302" s="236" t="s">
        <v>598</v>
      </c>
      <c r="Z302" s="240" t="s">
        <v>598</v>
      </c>
    </row>
    <row r="303" spans="1:26" ht="12" customHeight="1">
      <c r="A303" s="548" t="s">
        <v>138</v>
      </c>
      <c r="B303" s="548" t="s">
        <v>139</v>
      </c>
      <c r="C303" s="447" t="s">
        <v>766</v>
      </c>
      <c r="D303" s="549"/>
      <c r="E303" s="447" t="s">
        <v>766</v>
      </c>
      <c r="F303" s="104">
        <f>SUM(F304:F306)</f>
        <v>0</v>
      </c>
      <c r="G303" s="104">
        <f t="shared" ref="G303:Q303" si="119">SUM(G304:G306)</f>
        <v>3891496.9800000004</v>
      </c>
      <c r="H303" s="104">
        <f t="shared" si="119"/>
        <v>0</v>
      </c>
      <c r="I303" s="104">
        <f t="shared" si="119"/>
        <v>3891496.9800000004</v>
      </c>
      <c r="J303" s="104">
        <f t="shared" si="119"/>
        <v>0</v>
      </c>
      <c r="K303" s="104">
        <f t="shared" si="119"/>
        <v>3597243.27</v>
      </c>
      <c r="L303" s="104">
        <f t="shared" si="119"/>
        <v>0</v>
      </c>
      <c r="M303" s="104">
        <f t="shared" si="119"/>
        <v>3597243.27</v>
      </c>
      <c r="N303" s="104">
        <f t="shared" si="119"/>
        <v>0</v>
      </c>
      <c r="O303" s="104">
        <f t="shared" si="119"/>
        <v>294253.71000000031</v>
      </c>
      <c r="P303" s="104">
        <f t="shared" si="119"/>
        <v>0</v>
      </c>
      <c r="Q303" s="104">
        <f t="shared" si="119"/>
        <v>294253.71000000031</v>
      </c>
      <c r="S303" s="267" t="str">
        <f t="shared" si="109"/>
        <v/>
      </c>
      <c r="T303" s="267">
        <f t="shared" si="109"/>
        <v>0.92438547132060211</v>
      </c>
      <c r="U303" s="267" t="str">
        <f t="shared" si="109"/>
        <v/>
      </c>
      <c r="V303" s="267">
        <f t="shared" si="108"/>
        <v>0.92438547132060211</v>
      </c>
      <c r="W303" s="530"/>
      <c r="X303" s="236"/>
      <c r="Y303" s="236" t="s">
        <v>688</v>
      </c>
      <c r="Z303" s="236"/>
    </row>
    <row r="304" spans="1:26" ht="12" hidden="1" customHeight="1">
      <c r="A304" s="548" t="s">
        <v>138</v>
      </c>
      <c r="B304" s="548" t="s">
        <v>139</v>
      </c>
      <c r="C304" s="457" t="s">
        <v>775</v>
      </c>
      <c r="D304" s="549" t="s">
        <v>98</v>
      </c>
      <c r="E304" s="406" t="s">
        <v>775</v>
      </c>
      <c r="F304" s="103">
        <v>0</v>
      </c>
      <c r="G304" s="103">
        <f>+'[3]chd3-SAOB'!C222</f>
        <v>997435.33999999985</v>
      </c>
      <c r="H304" s="103">
        <f>+'[3]chd3-SAOB'!C315</f>
        <v>0</v>
      </c>
      <c r="I304" s="103">
        <f t="shared" si="102"/>
        <v>997435.33999999985</v>
      </c>
      <c r="J304" s="103">
        <v>0</v>
      </c>
      <c r="K304" s="103">
        <f>+'[3]chd3-SAOB'!C223</f>
        <v>902467.88</v>
      </c>
      <c r="L304" s="103">
        <f>+'[3]chd3-SAOB'!C316</f>
        <v>0</v>
      </c>
      <c r="M304" s="103">
        <f t="shared" si="103"/>
        <v>902467.88</v>
      </c>
      <c r="N304" s="103">
        <f t="shared" si="98"/>
        <v>0</v>
      </c>
      <c r="O304" s="103">
        <f t="shared" si="98"/>
        <v>94967.459999999846</v>
      </c>
      <c r="P304" s="103">
        <f t="shared" si="98"/>
        <v>0</v>
      </c>
      <c r="Q304" s="103">
        <f t="shared" si="104"/>
        <v>94967.459999999846</v>
      </c>
      <c r="S304" s="267" t="str">
        <f t="shared" si="109"/>
        <v/>
      </c>
      <c r="T304" s="267">
        <f t="shared" si="109"/>
        <v>0.90478835450125528</v>
      </c>
      <c r="U304" s="267" t="str">
        <f t="shared" si="109"/>
        <v/>
      </c>
      <c r="V304" s="267">
        <f t="shared" si="108"/>
        <v>0.90478835450125528</v>
      </c>
      <c r="W304" s="530"/>
      <c r="X304" s="236"/>
      <c r="Y304" s="236"/>
      <c r="Z304" s="236"/>
    </row>
    <row r="305" spans="1:26" ht="12" hidden="1" customHeight="1">
      <c r="A305" s="548" t="s">
        <v>138</v>
      </c>
      <c r="B305" s="548" t="s">
        <v>139</v>
      </c>
      <c r="C305" s="456"/>
      <c r="D305" s="549" t="s">
        <v>98</v>
      </c>
      <c r="E305" s="406" t="s">
        <v>776</v>
      </c>
      <c r="F305" s="103">
        <v>0</v>
      </c>
      <c r="G305" s="103">
        <f>+'[3]chd3-SAOB'!D222</f>
        <v>0</v>
      </c>
      <c r="H305" s="103">
        <f>+'[3]chd3-SAOB'!D315</f>
        <v>0</v>
      </c>
      <c r="I305" s="103">
        <f t="shared" si="102"/>
        <v>0</v>
      </c>
      <c r="J305" s="103">
        <v>0</v>
      </c>
      <c r="K305" s="103">
        <f>+'[3]chd3-SAOB'!D223</f>
        <v>0</v>
      </c>
      <c r="L305" s="103">
        <f>+'[3]chd3-SAOB'!D316</f>
        <v>0</v>
      </c>
      <c r="M305" s="103">
        <f t="shared" si="103"/>
        <v>0</v>
      </c>
      <c r="N305" s="103">
        <f t="shared" si="98"/>
        <v>0</v>
      </c>
      <c r="O305" s="103">
        <f t="shared" si="98"/>
        <v>0</v>
      </c>
      <c r="P305" s="103">
        <f t="shared" si="98"/>
        <v>0</v>
      </c>
      <c r="Q305" s="103">
        <f t="shared" si="104"/>
        <v>0</v>
      </c>
      <c r="S305" s="267" t="str">
        <f t="shared" si="109"/>
        <v/>
      </c>
      <c r="T305" s="267" t="str">
        <f t="shared" si="109"/>
        <v/>
      </c>
      <c r="U305" s="267" t="str">
        <f t="shared" si="109"/>
        <v/>
      </c>
      <c r="V305" s="267" t="str">
        <f t="shared" si="108"/>
        <v/>
      </c>
      <c r="W305" s="530"/>
      <c r="X305" s="236"/>
      <c r="Y305" s="236"/>
      <c r="Z305" s="236"/>
    </row>
    <row r="306" spans="1:26" ht="12" hidden="1" customHeight="1">
      <c r="A306" s="548" t="s">
        <v>138</v>
      </c>
      <c r="B306" s="548" t="s">
        <v>139</v>
      </c>
      <c r="C306" s="456"/>
      <c r="D306" s="549" t="s">
        <v>98</v>
      </c>
      <c r="E306" s="406" t="s">
        <v>777</v>
      </c>
      <c r="F306" s="103">
        <v>0</v>
      </c>
      <c r="G306" s="103">
        <f>+'[3]chd3-SAOB'!E222</f>
        <v>2894061.6400000006</v>
      </c>
      <c r="H306" s="103">
        <f>+'[3]chd3-SAOB'!E315</f>
        <v>0</v>
      </c>
      <c r="I306" s="103">
        <f t="shared" si="102"/>
        <v>2894061.6400000006</v>
      </c>
      <c r="J306" s="103">
        <v>0</v>
      </c>
      <c r="K306" s="103">
        <f>+'[3]chd3-SAOB'!E223</f>
        <v>2694775.39</v>
      </c>
      <c r="L306" s="103">
        <f>+'[3]chd3-SAOB'!E316</f>
        <v>0</v>
      </c>
      <c r="M306" s="103">
        <f t="shared" si="103"/>
        <v>2694775.39</v>
      </c>
      <c r="N306" s="103">
        <f t="shared" si="98"/>
        <v>0</v>
      </c>
      <c r="O306" s="103">
        <f t="shared" si="98"/>
        <v>199286.25000000047</v>
      </c>
      <c r="P306" s="103">
        <f t="shared" si="98"/>
        <v>0</v>
      </c>
      <c r="Q306" s="103">
        <f t="shared" si="104"/>
        <v>199286.25000000047</v>
      </c>
      <c r="S306" s="267" t="str">
        <f t="shared" si="109"/>
        <v/>
      </c>
      <c r="T306" s="267">
        <f t="shared" si="109"/>
        <v>0.93113959728929596</v>
      </c>
      <c r="U306" s="267" t="str">
        <f t="shared" si="109"/>
        <v/>
      </c>
      <c r="V306" s="267">
        <f t="shared" si="108"/>
        <v>0.93113959728929596</v>
      </c>
      <c r="W306" s="530"/>
      <c r="X306" s="236"/>
      <c r="Y306" s="236"/>
      <c r="Z306" s="236"/>
    </row>
    <row r="307" spans="1:26" ht="12" customHeight="1">
      <c r="A307" s="548" t="s">
        <v>138</v>
      </c>
      <c r="B307" s="548" t="s">
        <v>139</v>
      </c>
      <c r="C307" s="456"/>
      <c r="D307" s="549"/>
      <c r="E307" s="453" t="s">
        <v>50</v>
      </c>
      <c r="F307" s="103">
        <f>+F308+F309</f>
        <v>0</v>
      </c>
      <c r="G307" s="103">
        <f>+G308+G309</f>
        <v>49905095.57</v>
      </c>
      <c r="H307" s="103">
        <f>+H308+H309</f>
        <v>28784993.719999999</v>
      </c>
      <c r="I307" s="103">
        <f t="shared" si="102"/>
        <v>78690089.289999992</v>
      </c>
      <c r="J307" s="103">
        <f>+J308+J309</f>
        <v>0</v>
      </c>
      <c r="K307" s="103">
        <f>+K308+K309</f>
        <v>23708217.900000002</v>
      </c>
      <c r="L307" s="103">
        <f>+L308+L309</f>
        <v>11021183.379999999</v>
      </c>
      <c r="M307" s="103">
        <f t="shared" si="103"/>
        <v>34729401.280000001</v>
      </c>
      <c r="N307" s="103">
        <f t="shared" si="98"/>
        <v>0</v>
      </c>
      <c r="O307" s="103">
        <f t="shared" si="98"/>
        <v>26196877.669999998</v>
      </c>
      <c r="P307" s="103">
        <f t="shared" si="98"/>
        <v>17763810.34</v>
      </c>
      <c r="Q307" s="103">
        <f t="shared" si="104"/>
        <v>43960688.009999998</v>
      </c>
      <c r="S307" s="267" t="str">
        <f t="shared" si="109"/>
        <v/>
      </c>
      <c r="T307" s="267">
        <f t="shared" si="109"/>
        <v>0.4750660755021574</v>
      </c>
      <c r="U307" s="267">
        <f t="shared" si="109"/>
        <v>0.38287947835619673</v>
      </c>
      <c r="V307" s="267">
        <f t="shared" si="108"/>
        <v>0.44134403192770866</v>
      </c>
      <c r="W307" s="530"/>
      <c r="X307" s="236"/>
      <c r="Y307" s="236" t="s">
        <v>688</v>
      </c>
      <c r="Z307" s="236"/>
    </row>
    <row r="308" spans="1:26" ht="12" hidden="1" customHeight="1">
      <c r="A308" s="548" t="s">
        <v>138</v>
      </c>
      <c r="B308" s="548" t="s">
        <v>139</v>
      </c>
      <c r="C308" s="458" t="s">
        <v>715</v>
      </c>
      <c r="D308" s="550" t="s">
        <v>715</v>
      </c>
      <c r="E308" s="447" t="s">
        <v>715</v>
      </c>
      <c r="F308" s="104">
        <f>'[3]CONAP - W INC'!F222</f>
        <v>0</v>
      </c>
      <c r="G308" s="104">
        <f>'[3]CONAP - W INC'!G222</f>
        <v>-800000</v>
      </c>
      <c r="H308" s="104">
        <f>'[3]CONAP - W INC'!H222</f>
        <v>6913000</v>
      </c>
      <c r="I308" s="103">
        <f t="shared" si="102"/>
        <v>6113000</v>
      </c>
      <c r="J308" s="103">
        <f>'[3]CONAP - W INC'!J222</f>
        <v>0</v>
      </c>
      <c r="K308" s="104">
        <f>'[3]CONAP - W INC'!K222</f>
        <v>0</v>
      </c>
      <c r="L308" s="104">
        <f>'[3]CONAP - W INC'!L222</f>
        <v>0</v>
      </c>
      <c r="M308" s="103">
        <f t="shared" si="103"/>
        <v>0</v>
      </c>
      <c r="N308" s="103">
        <f t="shared" si="98"/>
        <v>0</v>
      </c>
      <c r="O308" s="103">
        <f t="shared" si="98"/>
        <v>-800000</v>
      </c>
      <c r="P308" s="103">
        <f t="shared" si="98"/>
        <v>6913000</v>
      </c>
      <c r="Q308" s="103">
        <f t="shared" si="104"/>
        <v>6113000</v>
      </c>
      <c r="S308" s="267" t="str">
        <f t="shared" si="109"/>
        <v/>
      </c>
      <c r="T308" s="267">
        <f t="shared" si="109"/>
        <v>0</v>
      </c>
      <c r="U308" s="267">
        <f t="shared" si="109"/>
        <v>0</v>
      </c>
      <c r="V308" s="267">
        <f t="shared" si="108"/>
        <v>0</v>
      </c>
      <c r="W308" s="530"/>
      <c r="X308" s="236"/>
      <c r="Y308" s="236"/>
      <c r="Z308" s="236"/>
    </row>
    <row r="309" spans="1:26" ht="12" hidden="1" customHeight="1">
      <c r="A309" s="548" t="s">
        <v>138</v>
      </c>
      <c r="B309" s="548" t="s">
        <v>139</v>
      </c>
      <c r="C309" s="458" t="s">
        <v>716</v>
      </c>
      <c r="D309" s="550" t="s">
        <v>716</v>
      </c>
      <c r="E309" s="459" t="s">
        <v>716</v>
      </c>
      <c r="F309" s="104">
        <f>'[3]CONAP - W INC'!F223</f>
        <v>0</v>
      </c>
      <c r="G309" s="104">
        <f>'[3]CONAP - W INC'!G223</f>
        <v>50705095.57</v>
      </c>
      <c r="H309" s="104">
        <f>'[3]CONAP - W INC'!H223</f>
        <v>21871993.719999999</v>
      </c>
      <c r="I309" s="103">
        <f t="shared" si="102"/>
        <v>72577089.289999992</v>
      </c>
      <c r="J309" s="103">
        <f>'[3]CONAP - W INC'!J223</f>
        <v>0</v>
      </c>
      <c r="K309" s="104">
        <f>'[3]CONAP - W INC'!K223</f>
        <v>23708217.900000002</v>
      </c>
      <c r="L309" s="104">
        <f>'[3]CONAP - W INC'!L223</f>
        <v>11021183.379999999</v>
      </c>
      <c r="M309" s="103">
        <f t="shared" si="103"/>
        <v>34729401.280000001</v>
      </c>
      <c r="N309" s="103">
        <f t="shared" si="98"/>
        <v>0</v>
      </c>
      <c r="O309" s="103">
        <f t="shared" si="98"/>
        <v>26996877.669999998</v>
      </c>
      <c r="P309" s="103">
        <f t="shared" si="98"/>
        <v>10850810.34</v>
      </c>
      <c r="Q309" s="103">
        <f t="shared" si="104"/>
        <v>37847688.009999998</v>
      </c>
      <c r="S309" s="267" t="str">
        <f t="shared" si="109"/>
        <v/>
      </c>
      <c r="T309" s="267">
        <f t="shared" si="109"/>
        <v>0.46757071717318927</v>
      </c>
      <c r="U309" s="267">
        <f t="shared" si="109"/>
        <v>0.50389477617315259</v>
      </c>
      <c r="V309" s="267">
        <f t="shared" si="108"/>
        <v>0.47851741671851777</v>
      </c>
      <c r="W309" s="530"/>
      <c r="X309" s="236"/>
      <c r="Y309" s="236"/>
      <c r="Z309" s="236"/>
    </row>
    <row r="310" spans="1:26" s="256" customFormat="1" ht="12" hidden="1" customHeight="1">
      <c r="A310" s="548"/>
      <c r="B310" s="548" t="s">
        <v>139</v>
      </c>
      <c r="C310" s="460"/>
      <c r="D310" s="551"/>
      <c r="E310" s="390" t="s">
        <v>767</v>
      </c>
      <c r="F310" s="391">
        <f>+F307+F303</f>
        <v>0</v>
      </c>
      <c r="G310" s="391">
        <f t="shared" ref="G310:Q310" si="120">+G307+G303</f>
        <v>53796592.549999997</v>
      </c>
      <c r="H310" s="391">
        <f t="shared" si="120"/>
        <v>28784993.719999999</v>
      </c>
      <c r="I310" s="391">
        <f t="shared" si="120"/>
        <v>82581586.269999996</v>
      </c>
      <c r="J310" s="391">
        <f t="shared" si="120"/>
        <v>0</v>
      </c>
      <c r="K310" s="391">
        <f t="shared" si="120"/>
        <v>27305461.170000002</v>
      </c>
      <c r="L310" s="391">
        <f t="shared" si="120"/>
        <v>11021183.379999999</v>
      </c>
      <c r="M310" s="391">
        <f t="shared" si="120"/>
        <v>38326644.550000004</v>
      </c>
      <c r="N310" s="391">
        <f t="shared" si="120"/>
        <v>0</v>
      </c>
      <c r="O310" s="391">
        <f t="shared" si="120"/>
        <v>26491131.379999999</v>
      </c>
      <c r="P310" s="391">
        <f t="shared" si="120"/>
        <v>17763810.34</v>
      </c>
      <c r="Q310" s="391">
        <f t="shared" si="120"/>
        <v>44254941.719999999</v>
      </c>
      <c r="R310" s="761"/>
      <c r="S310" s="267" t="str">
        <f t="shared" si="109"/>
        <v/>
      </c>
      <c r="T310" s="267">
        <f t="shared" si="109"/>
        <v>0.50756860008599192</v>
      </c>
      <c r="U310" s="267">
        <f t="shared" si="109"/>
        <v>0.38287947835619673</v>
      </c>
      <c r="V310" s="267">
        <f t="shared" si="108"/>
        <v>0.46410642228028015</v>
      </c>
      <c r="W310" s="532"/>
      <c r="Y310" s="236"/>
      <c r="Z310" s="240" t="s">
        <v>598</v>
      </c>
    </row>
    <row r="311" spans="1:26" ht="12" hidden="1" customHeight="1">
      <c r="A311" s="548"/>
      <c r="B311" s="548"/>
      <c r="C311" s="456"/>
      <c r="D311" s="549"/>
      <c r="E311" s="461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S311" s="267" t="str">
        <f t="shared" si="109"/>
        <v/>
      </c>
      <c r="T311" s="267" t="str">
        <f t="shared" si="109"/>
        <v/>
      </c>
      <c r="U311" s="267" t="str">
        <f t="shared" si="109"/>
        <v/>
      </c>
      <c r="V311" s="267" t="str">
        <f t="shared" si="108"/>
        <v/>
      </c>
      <c r="W311" s="530"/>
      <c r="X311" s="236"/>
      <c r="Y311" s="236"/>
      <c r="Z311" s="236"/>
    </row>
    <row r="312" spans="1:26" s="256" customFormat="1" ht="12" hidden="1" customHeight="1">
      <c r="A312" s="548" t="s">
        <v>138</v>
      </c>
      <c r="B312" s="548" t="s">
        <v>139</v>
      </c>
      <c r="C312" s="460"/>
      <c r="D312" s="551" t="s">
        <v>98</v>
      </c>
      <c r="E312" s="390" t="s">
        <v>100</v>
      </c>
      <c r="F312" s="391">
        <f>SUM(F313:F313)</f>
        <v>0</v>
      </c>
      <c r="G312" s="391">
        <f>SUM(G313:G313)</f>
        <v>0</v>
      </c>
      <c r="H312" s="391">
        <f>SUM(H313:H313)</f>
        <v>0</v>
      </c>
      <c r="I312" s="391">
        <f>+F312+G312+H312</f>
        <v>0</v>
      </c>
      <c r="J312" s="391">
        <v>0</v>
      </c>
      <c r="K312" s="391">
        <f>SUM(K313:K313)</f>
        <v>0</v>
      </c>
      <c r="L312" s="391">
        <f>SUM(L313:L313)</f>
        <v>0</v>
      </c>
      <c r="M312" s="391">
        <f>+J312+K312+L312</f>
        <v>0</v>
      </c>
      <c r="N312" s="391">
        <f t="shared" ref="N312:P313" si="121">+F312-J312</f>
        <v>0</v>
      </c>
      <c r="O312" s="391">
        <f t="shared" si="121"/>
        <v>0</v>
      </c>
      <c r="P312" s="391">
        <f t="shared" si="121"/>
        <v>0</v>
      </c>
      <c r="Q312" s="391">
        <f>+N312+O312+P312</f>
        <v>0</v>
      </c>
      <c r="R312" s="761"/>
      <c r="S312" s="267" t="str">
        <f t="shared" si="109"/>
        <v/>
      </c>
      <c r="T312" s="267" t="str">
        <f t="shared" si="109"/>
        <v/>
      </c>
      <c r="U312" s="267" t="str">
        <f t="shared" si="109"/>
        <v/>
      </c>
      <c r="V312" s="267" t="str">
        <f t="shared" si="108"/>
        <v/>
      </c>
      <c r="W312" s="532"/>
      <c r="Y312" s="236"/>
      <c r="Z312" s="240" t="s">
        <v>598</v>
      </c>
    </row>
    <row r="313" spans="1:26" ht="12" hidden="1" customHeight="1">
      <c r="A313" s="548" t="s">
        <v>138</v>
      </c>
      <c r="B313" s="548" t="s">
        <v>139</v>
      </c>
      <c r="C313" s="456"/>
      <c r="D313" s="549"/>
      <c r="E313" s="462" t="s">
        <v>290</v>
      </c>
      <c r="F313" s="103">
        <v>0</v>
      </c>
      <c r="G313" s="103">
        <f>SUM('[3]chd3-SAOB'!BC222)</f>
        <v>0</v>
      </c>
      <c r="H313" s="103">
        <f>SUM('[3]chd3-SAOB'!BC315)</f>
        <v>0</v>
      </c>
      <c r="I313" s="103">
        <f>+F313+G313+H313</f>
        <v>0</v>
      </c>
      <c r="J313" s="103">
        <v>0</v>
      </c>
      <c r="K313" s="103">
        <f>SUM('[3]chd3-SAOB'!BC223)</f>
        <v>0</v>
      </c>
      <c r="L313" s="103">
        <f>SUM('[3]chd3-SAOB'!BC316)</f>
        <v>0</v>
      </c>
      <c r="M313" s="103">
        <f>+J313+K313+L313</f>
        <v>0</v>
      </c>
      <c r="N313" s="103">
        <f t="shared" si="121"/>
        <v>0</v>
      </c>
      <c r="O313" s="103">
        <f t="shared" si="121"/>
        <v>0</v>
      </c>
      <c r="P313" s="103">
        <f t="shared" si="121"/>
        <v>0</v>
      </c>
      <c r="Q313" s="103">
        <f>+N313+O313+P313</f>
        <v>0</v>
      </c>
      <c r="S313" s="267" t="str">
        <f t="shared" si="109"/>
        <v/>
      </c>
      <c r="T313" s="267" t="str">
        <f t="shared" si="109"/>
        <v/>
      </c>
      <c r="U313" s="267" t="str">
        <f t="shared" si="109"/>
        <v/>
      </c>
      <c r="V313" s="267" t="str">
        <f t="shared" si="108"/>
        <v/>
      </c>
      <c r="W313" s="530"/>
      <c r="X313" s="236"/>
      <c r="Y313" s="236"/>
      <c r="Z313" s="236"/>
    </row>
    <row r="314" spans="1:26" s="259" customFormat="1" ht="12" customHeight="1">
      <c r="A314" s="773" t="s">
        <v>138</v>
      </c>
      <c r="B314" s="773" t="s">
        <v>139</v>
      </c>
      <c r="C314" s="1477" t="s">
        <v>304</v>
      </c>
      <c r="D314" s="1483"/>
      <c r="E314" s="1479"/>
      <c r="F314" s="652">
        <f>+F310+F312</f>
        <v>0</v>
      </c>
      <c r="G314" s="652">
        <f t="shared" ref="G314:Q314" si="122">+G310+G312</f>
        <v>53796592.549999997</v>
      </c>
      <c r="H314" s="652">
        <f t="shared" si="122"/>
        <v>28784993.719999999</v>
      </c>
      <c r="I314" s="652">
        <f t="shared" si="122"/>
        <v>82581586.269999996</v>
      </c>
      <c r="J314" s="652">
        <f t="shared" si="122"/>
        <v>0</v>
      </c>
      <c r="K314" s="652">
        <f t="shared" si="122"/>
        <v>27305461.170000002</v>
      </c>
      <c r="L314" s="652">
        <f t="shared" si="122"/>
        <v>11021183.379999999</v>
      </c>
      <c r="M314" s="652">
        <f t="shared" si="122"/>
        <v>38326644.550000004</v>
      </c>
      <c r="N314" s="652">
        <f t="shared" si="122"/>
        <v>0</v>
      </c>
      <c r="O314" s="652">
        <f t="shared" si="122"/>
        <v>26491131.379999999</v>
      </c>
      <c r="P314" s="652">
        <f t="shared" si="122"/>
        <v>17763810.34</v>
      </c>
      <c r="Q314" s="652">
        <f t="shared" si="122"/>
        <v>44254941.719999999</v>
      </c>
      <c r="R314" s="1095">
        <f>+Q314-'[3]chd3-SAOB'!CI352</f>
        <v>0</v>
      </c>
      <c r="S314" s="524" t="str">
        <f t="shared" si="109"/>
        <v/>
      </c>
      <c r="T314" s="524">
        <f t="shared" si="109"/>
        <v>0.50756860008599192</v>
      </c>
      <c r="U314" s="524">
        <f t="shared" si="109"/>
        <v>0.38287947835619673</v>
      </c>
      <c r="V314" s="524">
        <f t="shared" si="108"/>
        <v>0.46410642228028015</v>
      </c>
      <c r="W314" s="344"/>
      <c r="Y314" s="671" t="s">
        <v>598</v>
      </c>
      <c r="Z314" s="259" t="s">
        <v>598</v>
      </c>
    </row>
    <row r="315" spans="1:26" ht="12" customHeight="1">
      <c r="A315" s="315"/>
      <c r="B315" s="315" t="s">
        <v>139</v>
      </c>
      <c r="C315" s="456"/>
      <c r="D315" s="456"/>
      <c r="E315" s="46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S315" s="267" t="str">
        <f t="shared" si="109"/>
        <v/>
      </c>
      <c r="T315" s="267" t="str">
        <f t="shared" si="109"/>
        <v/>
      </c>
      <c r="U315" s="267" t="str">
        <f t="shared" si="109"/>
        <v/>
      </c>
      <c r="V315" s="267" t="str">
        <f t="shared" si="108"/>
        <v/>
      </c>
      <c r="W315" s="267"/>
      <c r="Y315" s="837" t="s">
        <v>598</v>
      </c>
      <c r="Z315" s="241" t="s">
        <v>598</v>
      </c>
    </row>
    <row r="316" spans="1:26" ht="12" customHeight="1">
      <c r="A316" s="315" t="s">
        <v>140</v>
      </c>
      <c r="B316" s="315" t="s">
        <v>141</v>
      </c>
      <c r="C316" s="1100" t="s">
        <v>142</v>
      </c>
      <c r="D316" s="456"/>
      <c r="E316" s="463"/>
      <c r="F316" s="104"/>
      <c r="G316" s="104"/>
      <c r="H316" s="104"/>
      <c r="I316" s="103">
        <f t="shared" si="102"/>
        <v>0</v>
      </c>
      <c r="J316" s="103">
        <v>0</v>
      </c>
      <c r="K316" s="104"/>
      <c r="L316" s="104"/>
      <c r="M316" s="103">
        <f t="shared" si="103"/>
        <v>0</v>
      </c>
      <c r="N316" s="103">
        <f t="shared" si="98"/>
        <v>0</v>
      </c>
      <c r="O316" s="103">
        <f t="shared" si="98"/>
        <v>0</v>
      </c>
      <c r="P316" s="103">
        <f t="shared" si="98"/>
        <v>0</v>
      </c>
      <c r="Q316" s="103">
        <f t="shared" si="104"/>
        <v>0</v>
      </c>
      <c r="S316" s="267" t="str">
        <f t="shared" si="109"/>
        <v/>
      </c>
      <c r="T316" s="267" t="str">
        <f t="shared" si="109"/>
        <v/>
      </c>
      <c r="U316" s="267" t="str">
        <f t="shared" si="109"/>
        <v/>
      </c>
      <c r="V316" s="267" t="str">
        <f t="shared" si="108"/>
        <v/>
      </c>
      <c r="W316" s="267"/>
      <c r="Y316" s="837" t="s">
        <v>598</v>
      </c>
      <c r="Z316" s="241" t="s">
        <v>598</v>
      </c>
    </row>
    <row r="317" spans="1:26" s="275" customFormat="1" ht="13.5" customHeight="1">
      <c r="A317" s="548" t="s">
        <v>140</v>
      </c>
      <c r="B317" s="548" t="s">
        <v>143</v>
      </c>
      <c r="C317" s="464" t="s">
        <v>98</v>
      </c>
      <c r="D317" s="552" t="s">
        <v>105</v>
      </c>
      <c r="E317" s="407" t="s">
        <v>797</v>
      </c>
      <c r="F317" s="468"/>
      <c r="G317" s="468"/>
      <c r="H317" s="468"/>
      <c r="I317" s="409">
        <f t="shared" si="102"/>
        <v>0</v>
      </c>
      <c r="J317" s="409">
        <v>0</v>
      </c>
      <c r="K317" s="468"/>
      <c r="L317" s="468"/>
      <c r="M317" s="409">
        <f t="shared" si="103"/>
        <v>0</v>
      </c>
      <c r="N317" s="409">
        <f t="shared" si="98"/>
        <v>0</v>
      </c>
      <c r="O317" s="409">
        <f t="shared" si="98"/>
        <v>0</v>
      </c>
      <c r="P317" s="409">
        <f t="shared" si="98"/>
        <v>0</v>
      </c>
      <c r="Q317" s="409">
        <f t="shared" si="104"/>
        <v>0</v>
      </c>
      <c r="R317" s="761"/>
      <c r="S317" s="267" t="str">
        <f t="shared" si="109"/>
        <v/>
      </c>
      <c r="T317" s="267" t="str">
        <f t="shared" si="109"/>
        <v/>
      </c>
      <c r="U317" s="267" t="str">
        <f t="shared" si="109"/>
        <v/>
      </c>
      <c r="V317" s="267" t="str">
        <f t="shared" si="108"/>
        <v/>
      </c>
      <c r="W317" s="553"/>
      <c r="Y317" s="236" t="s">
        <v>598</v>
      </c>
      <c r="Z317" s="240" t="s">
        <v>598</v>
      </c>
    </row>
    <row r="318" spans="1:26" ht="12" customHeight="1">
      <c r="A318" s="548" t="s">
        <v>140</v>
      </c>
      <c r="B318" s="548" t="s">
        <v>143</v>
      </c>
      <c r="C318" s="447" t="s">
        <v>766</v>
      </c>
      <c r="D318" s="772"/>
      <c r="E318" s="447" t="s">
        <v>766</v>
      </c>
      <c r="F318" s="104">
        <f>+'[3]chd3-SAOB'!B455</f>
        <v>0</v>
      </c>
      <c r="G318" s="104">
        <f>+'[3]chd3-SAOB'!C455</f>
        <v>0</v>
      </c>
      <c r="H318" s="104">
        <f>+'[3]chd3-SAOB'!D455</f>
        <v>0</v>
      </c>
      <c r="I318" s="103">
        <f t="shared" si="102"/>
        <v>0</v>
      </c>
      <c r="J318" s="103">
        <v>0</v>
      </c>
      <c r="K318" s="104">
        <f>+'[3]chd3-SAOB'!G455</f>
        <v>0</v>
      </c>
      <c r="L318" s="104">
        <f>+'[3]chd3-SAOB'!H455</f>
        <v>0</v>
      </c>
      <c r="M318" s="103">
        <f t="shared" si="103"/>
        <v>0</v>
      </c>
      <c r="N318" s="103">
        <f t="shared" si="98"/>
        <v>0</v>
      </c>
      <c r="O318" s="103">
        <f t="shared" si="98"/>
        <v>0</v>
      </c>
      <c r="P318" s="103">
        <f t="shared" si="98"/>
        <v>0</v>
      </c>
      <c r="Q318" s="103">
        <f t="shared" si="104"/>
        <v>0</v>
      </c>
      <c r="S318" s="267" t="str">
        <f t="shared" si="109"/>
        <v/>
      </c>
      <c r="T318" s="267" t="str">
        <f t="shared" si="109"/>
        <v/>
      </c>
      <c r="U318" s="267" t="str">
        <f t="shared" si="109"/>
        <v/>
      </c>
      <c r="V318" s="267" t="str">
        <f t="shared" si="108"/>
        <v/>
      </c>
      <c r="W318" s="530"/>
      <c r="X318" s="236"/>
      <c r="Y318" s="236" t="s">
        <v>688</v>
      </c>
      <c r="Z318" s="236"/>
    </row>
    <row r="319" spans="1:26" ht="12" customHeight="1">
      <c r="A319" s="548" t="s">
        <v>140</v>
      </c>
      <c r="B319" s="548" t="s">
        <v>143</v>
      </c>
      <c r="C319" s="456"/>
      <c r="D319" s="772"/>
      <c r="E319" s="453" t="s">
        <v>50</v>
      </c>
      <c r="F319" s="103">
        <f>+F320+F321</f>
        <v>0</v>
      </c>
      <c r="G319" s="103">
        <f>+G320+G321</f>
        <v>293949.89999999991</v>
      </c>
      <c r="H319" s="103">
        <f>+H320+H321</f>
        <v>0</v>
      </c>
      <c r="I319" s="103">
        <f t="shared" si="102"/>
        <v>293949.89999999991</v>
      </c>
      <c r="J319" s="103">
        <f>+J320+J321</f>
        <v>0</v>
      </c>
      <c r="K319" s="103">
        <f>+K320+K321</f>
        <v>111802.29999999999</v>
      </c>
      <c r="L319" s="103">
        <f>+L320+L321</f>
        <v>0</v>
      </c>
      <c r="M319" s="103">
        <f t="shared" si="103"/>
        <v>111802.29999999999</v>
      </c>
      <c r="N319" s="103">
        <f t="shared" ref="N319:P375" si="123">+F319-J319</f>
        <v>0</v>
      </c>
      <c r="O319" s="103">
        <f t="shared" si="123"/>
        <v>182147.59999999992</v>
      </c>
      <c r="P319" s="103">
        <f t="shared" si="123"/>
        <v>0</v>
      </c>
      <c r="Q319" s="103">
        <f t="shared" si="104"/>
        <v>182147.59999999992</v>
      </c>
      <c r="S319" s="267" t="str">
        <f t="shared" si="109"/>
        <v/>
      </c>
      <c r="T319" s="267">
        <f t="shared" si="109"/>
        <v>0.38034474582233241</v>
      </c>
      <c r="U319" s="267" t="str">
        <f t="shared" si="109"/>
        <v/>
      </c>
      <c r="V319" s="267">
        <f t="shared" si="108"/>
        <v>0.38034474582233241</v>
      </c>
      <c r="W319" s="530"/>
      <c r="X319" s="236"/>
      <c r="Y319" s="236" t="s">
        <v>688</v>
      </c>
      <c r="Z319" s="236"/>
    </row>
    <row r="320" spans="1:26" ht="12" hidden="1" customHeight="1">
      <c r="A320" s="548" t="s">
        <v>140</v>
      </c>
      <c r="B320" s="548" t="s">
        <v>143</v>
      </c>
      <c r="C320" s="458" t="s">
        <v>715</v>
      </c>
      <c r="D320" s="550" t="s">
        <v>715</v>
      </c>
      <c r="E320" s="447" t="s">
        <v>715</v>
      </c>
      <c r="F320" s="104">
        <f>'[3]CONAP - W INC'!F231</f>
        <v>0</v>
      </c>
      <c r="G320" s="104">
        <f>'[3]CONAP - W INC'!G231</f>
        <v>-2724466.02</v>
      </c>
      <c r="H320" s="104">
        <f>'[3]CONAP - W INC'!H231</f>
        <v>0</v>
      </c>
      <c r="I320" s="103">
        <f t="shared" si="102"/>
        <v>-2724466.02</v>
      </c>
      <c r="J320" s="103">
        <f>'[3]CONAP - W INC'!J231</f>
        <v>0</v>
      </c>
      <c r="K320" s="104">
        <f>'[3]CONAP - W INC'!K231</f>
        <v>17852.400000000001</v>
      </c>
      <c r="L320" s="104">
        <f>'[3]CONAP - W INC'!L231</f>
        <v>0</v>
      </c>
      <c r="M320" s="103">
        <f t="shared" si="103"/>
        <v>17852.400000000001</v>
      </c>
      <c r="N320" s="103">
        <f t="shared" si="123"/>
        <v>0</v>
      </c>
      <c r="O320" s="103">
        <f t="shared" si="123"/>
        <v>-2742318.42</v>
      </c>
      <c r="P320" s="103">
        <f t="shared" si="123"/>
        <v>0</v>
      </c>
      <c r="Q320" s="103">
        <f t="shared" si="104"/>
        <v>-2742318.42</v>
      </c>
      <c r="S320" s="267" t="str">
        <f t="shared" si="109"/>
        <v/>
      </c>
      <c r="T320" s="267">
        <f t="shared" si="109"/>
        <v>-6.5526234751865252E-3</v>
      </c>
      <c r="U320" s="267" t="str">
        <f t="shared" si="109"/>
        <v/>
      </c>
      <c r="V320" s="267">
        <f t="shared" si="108"/>
        <v>-6.5526234751865252E-3</v>
      </c>
      <c r="W320" s="530"/>
      <c r="X320" s="236"/>
      <c r="Y320" s="236"/>
      <c r="Z320" s="236"/>
    </row>
    <row r="321" spans="1:26" ht="12" hidden="1" customHeight="1">
      <c r="A321" s="548" t="s">
        <v>140</v>
      </c>
      <c r="B321" s="548" t="s">
        <v>143</v>
      </c>
      <c r="C321" s="458" t="s">
        <v>716</v>
      </c>
      <c r="D321" s="550" t="s">
        <v>716</v>
      </c>
      <c r="E321" s="459" t="s">
        <v>716</v>
      </c>
      <c r="F321" s="104">
        <f>'[3]CONAP - W INC'!F232</f>
        <v>0</v>
      </c>
      <c r="G321" s="104">
        <f>'[3]CONAP - W INC'!G232</f>
        <v>3018415.92</v>
      </c>
      <c r="H321" s="104">
        <f>'[3]CONAP - W INC'!H232</f>
        <v>0</v>
      </c>
      <c r="I321" s="103">
        <f t="shared" si="102"/>
        <v>3018415.92</v>
      </c>
      <c r="J321" s="103">
        <f>'[3]CONAP - W INC'!J232</f>
        <v>0</v>
      </c>
      <c r="K321" s="104">
        <f>'[3]CONAP - W INC'!K232</f>
        <v>93949.9</v>
      </c>
      <c r="L321" s="104">
        <f>'[3]CONAP - W INC'!L232</f>
        <v>0</v>
      </c>
      <c r="M321" s="103">
        <f t="shared" si="103"/>
        <v>93949.9</v>
      </c>
      <c r="N321" s="103">
        <f t="shared" si="123"/>
        <v>0</v>
      </c>
      <c r="O321" s="103">
        <f t="shared" si="123"/>
        <v>2924466.02</v>
      </c>
      <c r="P321" s="103">
        <f t="shared" si="123"/>
        <v>0</v>
      </c>
      <c r="Q321" s="103">
        <f t="shared" si="104"/>
        <v>2924466.02</v>
      </c>
      <c r="S321" s="267" t="str">
        <f t="shared" si="109"/>
        <v/>
      </c>
      <c r="T321" s="267">
        <f t="shared" si="109"/>
        <v>3.1125564696862583E-2</v>
      </c>
      <c r="U321" s="267" t="str">
        <f t="shared" si="109"/>
        <v/>
      </c>
      <c r="V321" s="267">
        <f t="shared" si="108"/>
        <v>3.1125564696862583E-2</v>
      </c>
      <c r="W321" s="530"/>
      <c r="X321" s="236"/>
      <c r="Y321" s="236"/>
      <c r="Z321" s="236"/>
    </row>
    <row r="322" spans="1:26" s="256" customFormat="1" ht="12" customHeight="1">
      <c r="A322" s="548"/>
      <c r="B322" s="548" t="s">
        <v>143</v>
      </c>
      <c r="C322" s="460"/>
      <c r="D322" s="551"/>
      <c r="E322" s="390" t="s">
        <v>767</v>
      </c>
      <c r="F322" s="391">
        <f>+F319+F318</f>
        <v>0</v>
      </c>
      <c r="G322" s="391">
        <f t="shared" ref="G322:Q322" si="124">+G319+G318</f>
        <v>293949.89999999991</v>
      </c>
      <c r="H322" s="391">
        <f t="shared" si="124"/>
        <v>0</v>
      </c>
      <c r="I322" s="391">
        <f t="shared" si="124"/>
        <v>293949.89999999991</v>
      </c>
      <c r="J322" s="391">
        <f t="shared" si="124"/>
        <v>0</v>
      </c>
      <c r="K322" s="391">
        <f t="shared" si="124"/>
        <v>111802.29999999999</v>
      </c>
      <c r="L322" s="391">
        <f t="shared" si="124"/>
        <v>0</v>
      </c>
      <c r="M322" s="391">
        <f t="shared" si="124"/>
        <v>111802.29999999999</v>
      </c>
      <c r="N322" s="391">
        <f t="shared" si="124"/>
        <v>0</v>
      </c>
      <c r="O322" s="391">
        <f t="shared" si="124"/>
        <v>182147.59999999992</v>
      </c>
      <c r="P322" s="391">
        <f t="shared" si="124"/>
        <v>0</v>
      </c>
      <c r="Q322" s="391">
        <f t="shared" si="124"/>
        <v>182147.59999999992</v>
      </c>
      <c r="R322" s="761"/>
      <c r="S322" s="267" t="str">
        <f t="shared" si="109"/>
        <v/>
      </c>
      <c r="T322" s="267">
        <f t="shared" si="109"/>
        <v>0.38034474582233241</v>
      </c>
      <c r="U322" s="267" t="str">
        <f t="shared" si="109"/>
        <v/>
      </c>
      <c r="V322" s="267">
        <f t="shared" si="108"/>
        <v>0.38034474582233241</v>
      </c>
      <c r="W322" s="532"/>
      <c r="Y322" s="236" t="s">
        <v>598</v>
      </c>
      <c r="Z322" s="240" t="s">
        <v>598</v>
      </c>
    </row>
    <row r="323" spans="1:26" ht="12" hidden="1" customHeight="1">
      <c r="A323" s="548"/>
      <c r="B323" s="548"/>
      <c r="C323" s="456"/>
      <c r="D323" s="549"/>
      <c r="E323" s="461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S323" s="267" t="str">
        <f t="shared" si="109"/>
        <v/>
      </c>
      <c r="T323" s="267" t="str">
        <f t="shared" si="109"/>
        <v/>
      </c>
      <c r="U323" s="267" t="str">
        <f t="shared" si="109"/>
        <v/>
      </c>
      <c r="V323" s="267" t="str">
        <f t="shared" si="108"/>
        <v/>
      </c>
      <c r="W323" s="530"/>
      <c r="X323" s="236"/>
      <c r="Y323" s="236"/>
      <c r="Z323" s="236"/>
    </row>
    <row r="324" spans="1:26" s="256" customFormat="1" ht="12" customHeight="1">
      <c r="A324" s="548" t="s">
        <v>140</v>
      </c>
      <c r="B324" s="548" t="s">
        <v>143</v>
      </c>
      <c r="C324" s="460"/>
      <c r="D324" s="551" t="s">
        <v>98</v>
      </c>
      <c r="E324" s="390" t="s">
        <v>100</v>
      </c>
      <c r="F324" s="391">
        <f>SUM(F325:F325)</f>
        <v>0</v>
      </c>
      <c r="G324" s="391">
        <f>SUM(G325:G325)</f>
        <v>1896691.41</v>
      </c>
      <c r="H324" s="391">
        <f>SUM(H325:H325)</f>
        <v>0</v>
      </c>
      <c r="I324" s="391">
        <f>+F324+G324+H324</f>
        <v>1896691.41</v>
      </c>
      <c r="J324" s="391">
        <v>0</v>
      </c>
      <c r="K324" s="391">
        <f>SUM(K325:K325)</f>
        <v>1666040.4100000001</v>
      </c>
      <c r="L324" s="391">
        <f>SUM(L325:L325)</f>
        <v>0</v>
      </c>
      <c r="M324" s="391">
        <f>+J324+K324+L324</f>
        <v>1666040.4100000001</v>
      </c>
      <c r="N324" s="391">
        <f t="shared" ref="N324:P325" si="125">+F324-J324</f>
        <v>0</v>
      </c>
      <c r="O324" s="391">
        <f t="shared" si="125"/>
        <v>230650.99999999977</v>
      </c>
      <c r="P324" s="391">
        <f t="shared" si="125"/>
        <v>0</v>
      </c>
      <c r="Q324" s="391">
        <f>+N324+O324+P324</f>
        <v>230650.99999999977</v>
      </c>
      <c r="R324" s="761"/>
      <c r="S324" s="267" t="str">
        <f t="shared" si="109"/>
        <v/>
      </c>
      <c r="T324" s="267">
        <f t="shared" si="109"/>
        <v>0.87839297484876588</v>
      </c>
      <c r="U324" s="267" t="str">
        <f t="shared" si="109"/>
        <v/>
      </c>
      <c r="V324" s="267">
        <f t="shared" si="108"/>
        <v>0.87839297484876588</v>
      </c>
      <c r="W324" s="532"/>
      <c r="Y324" s="236" t="s">
        <v>598</v>
      </c>
      <c r="Z324" s="240" t="s">
        <v>598</v>
      </c>
    </row>
    <row r="325" spans="1:26" ht="12" customHeight="1">
      <c r="A325" s="548" t="s">
        <v>663</v>
      </c>
      <c r="B325" s="548" t="s">
        <v>143</v>
      </c>
      <c r="C325" s="456"/>
      <c r="D325" s="549"/>
      <c r="E325" s="462" t="s">
        <v>290</v>
      </c>
      <c r="F325" s="103">
        <v>0</v>
      </c>
      <c r="G325" s="103">
        <f>SUM('[3]chd3-SAOB'!BD222)</f>
        <v>1896691.41</v>
      </c>
      <c r="H325" s="103">
        <f>SUM('[3]chd3-SAOB'!BD315)</f>
        <v>0</v>
      </c>
      <c r="I325" s="103">
        <f>+F325+G325+H325</f>
        <v>1896691.41</v>
      </c>
      <c r="J325" s="103">
        <v>0</v>
      </c>
      <c r="K325" s="103">
        <f>SUM('[3]chd3-SAOB'!BD223)</f>
        <v>1666040.4100000001</v>
      </c>
      <c r="L325" s="103">
        <f>SUM('[3]chd3-SAOB'!BD316)</f>
        <v>0</v>
      </c>
      <c r="M325" s="103">
        <f>+J325+K325+L325</f>
        <v>1666040.4100000001</v>
      </c>
      <c r="N325" s="103">
        <f t="shared" si="125"/>
        <v>0</v>
      </c>
      <c r="O325" s="103">
        <f t="shared" si="125"/>
        <v>230650.99999999977</v>
      </c>
      <c r="P325" s="103">
        <f t="shared" si="125"/>
        <v>0</v>
      </c>
      <c r="Q325" s="103">
        <f>+N325+O325+P325</f>
        <v>230650.99999999977</v>
      </c>
      <c r="S325" s="267" t="str">
        <f t="shared" si="109"/>
        <v/>
      </c>
      <c r="T325" s="267">
        <f t="shared" si="109"/>
        <v>0.87839297484876588</v>
      </c>
      <c r="U325" s="267" t="str">
        <f t="shared" si="109"/>
        <v/>
      </c>
      <c r="V325" s="267">
        <f t="shared" si="108"/>
        <v>0.87839297484876588</v>
      </c>
      <c r="W325" s="530"/>
      <c r="X325" s="236"/>
      <c r="Y325" s="236" t="s">
        <v>598</v>
      </c>
      <c r="Z325" s="236"/>
    </row>
    <row r="326" spans="1:26" s="259" customFormat="1" ht="12" customHeight="1">
      <c r="A326" s="315" t="s">
        <v>140</v>
      </c>
      <c r="B326" s="315" t="s">
        <v>143</v>
      </c>
      <c r="C326" s="1096"/>
      <c r="D326" s="466"/>
      <c r="E326" s="1097" t="s">
        <v>4</v>
      </c>
      <c r="F326" s="652">
        <f>+F324+F322</f>
        <v>0</v>
      </c>
      <c r="G326" s="652">
        <f t="shared" ref="G326:Q326" si="126">+G324+G322</f>
        <v>2190641.3099999996</v>
      </c>
      <c r="H326" s="652">
        <f t="shared" si="126"/>
        <v>0</v>
      </c>
      <c r="I326" s="652">
        <f t="shared" si="126"/>
        <v>2190641.3099999996</v>
      </c>
      <c r="J326" s="652">
        <f t="shared" si="126"/>
        <v>0</v>
      </c>
      <c r="K326" s="652">
        <f t="shared" si="126"/>
        <v>1777842.7100000002</v>
      </c>
      <c r="L326" s="652">
        <f t="shared" si="126"/>
        <v>0</v>
      </c>
      <c r="M326" s="652">
        <f t="shared" si="126"/>
        <v>1777842.7100000002</v>
      </c>
      <c r="N326" s="652">
        <f t="shared" si="126"/>
        <v>0</v>
      </c>
      <c r="O326" s="652">
        <f t="shared" si="126"/>
        <v>412798.59999999969</v>
      </c>
      <c r="P326" s="652">
        <f t="shared" si="126"/>
        <v>0</v>
      </c>
      <c r="Q326" s="652">
        <f t="shared" si="126"/>
        <v>412798.59999999969</v>
      </c>
      <c r="R326" s="1095">
        <f>+Q326-'[3]chd3-SAOB'!CJ352</f>
        <v>0</v>
      </c>
      <c r="S326" s="524" t="str">
        <f t="shared" si="109"/>
        <v/>
      </c>
      <c r="T326" s="524">
        <f t="shared" si="109"/>
        <v>0.81156266974624003</v>
      </c>
      <c r="U326" s="524" t="str">
        <f t="shared" si="109"/>
        <v/>
      </c>
      <c r="V326" s="524">
        <f t="shared" si="108"/>
        <v>0.81156266974624003</v>
      </c>
      <c r="W326" s="344"/>
      <c r="X326" s="520"/>
      <c r="Y326" s="837" t="s">
        <v>598</v>
      </c>
      <c r="Z326" s="241" t="s">
        <v>598</v>
      </c>
    </row>
    <row r="327" spans="1:26" ht="12" customHeight="1">
      <c r="A327" s="315"/>
      <c r="B327" s="315" t="s">
        <v>143</v>
      </c>
      <c r="C327" s="456"/>
      <c r="D327" s="456"/>
      <c r="E327" s="46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S327" s="267" t="str">
        <f t="shared" si="109"/>
        <v/>
      </c>
      <c r="T327" s="267" t="str">
        <f t="shared" si="109"/>
        <v/>
      </c>
      <c r="U327" s="267" t="str">
        <f t="shared" si="109"/>
        <v/>
      </c>
      <c r="V327" s="267" t="str">
        <f t="shared" si="108"/>
        <v/>
      </c>
      <c r="W327" s="267"/>
      <c r="Y327" s="837" t="s">
        <v>598</v>
      </c>
      <c r="Z327" s="241" t="s">
        <v>598</v>
      </c>
    </row>
    <row r="328" spans="1:26" s="275" customFormat="1" ht="12" customHeight="1">
      <c r="A328" s="548" t="s">
        <v>140</v>
      </c>
      <c r="B328" s="548" t="s">
        <v>144</v>
      </c>
      <c r="C328" s="464" t="s">
        <v>98</v>
      </c>
      <c r="D328" s="552" t="s">
        <v>107</v>
      </c>
      <c r="E328" s="407" t="s">
        <v>798</v>
      </c>
      <c r="F328" s="468"/>
      <c r="G328" s="468"/>
      <c r="H328" s="468"/>
      <c r="I328" s="409">
        <f t="shared" si="102"/>
        <v>0</v>
      </c>
      <c r="J328" s="409">
        <v>0</v>
      </c>
      <c r="K328" s="468"/>
      <c r="L328" s="468"/>
      <c r="M328" s="409">
        <f t="shared" si="103"/>
        <v>0</v>
      </c>
      <c r="N328" s="409">
        <f t="shared" si="123"/>
        <v>0</v>
      </c>
      <c r="O328" s="409">
        <f t="shared" si="123"/>
        <v>0</v>
      </c>
      <c r="P328" s="409">
        <f t="shared" si="123"/>
        <v>0</v>
      </c>
      <c r="Q328" s="409">
        <f t="shared" si="104"/>
        <v>0</v>
      </c>
      <c r="R328" s="761"/>
      <c r="S328" s="267" t="str">
        <f t="shared" si="109"/>
        <v/>
      </c>
      <c r="T328" s="267" t="str">
        <f t="shared" si="109"/>
        <v/>
      </c>
      <c r="U328" s="267" t="str">
        <f t="shared" si="109"/>
        <v/>
      </c>
      <c r="V328" s="267" t="str">
        <f t="shared" si="108"/>
        <v/>
      </c>
      <c r="W328" s="553"/>
      <c r="Y328" s="236" t="s">
        <v>598</v>
      </c>
      <c r="Z328" s="240" t="s">
        <v>598</v>
      </c>
    </row>
    <row r="329" spans="1:26" ht="12" customHeight="1">
      <c r="A329" s="548" t="s">
        <v>140</v>
      </c>
      <c r="B329" s="548" t="s">
        <v>144</v>
      </c>
      <c r="C329" s="447" t="s">
        <v>766</v>
      </c>
      <c r="D329" s="549"/>
      <c r="E329" s="447" t="s">
        <v>766</v>
      </c>
      <c r="F329" s="104">
        <f>+'[3]chd3-SAOB'!B462</f>
        <v>0</v>
      </c>
      <c r="G329" s="104">
        <f>+'[3]chd3-SAOB'!C462</f>
        <v>0</v>
      </c>
      <c r="H329" s="104">
        <f>+'[3]chd3-SAOB'!D462</f>
        <v>0</v>
      </c>
      <c r="I329" s="103">
        <f t="shared" si="102"/>
        <v>0</v>
      </c>
      <c r="J329" s="103">
        <v>0</v>
      </c>
      <c r="K329" s="104">
        <f>+'[3]chd3-SAOB'!G462</f>
        <v>0</v>
      </c>
      <c r="L329" s="104">
        <f>+'[3]chd3-SAOB'!H462</f>
        <v>0</v>
      </c>
      <c r="M329" s="103">
        <f t="shared" si="103"/>
        <v>0</v>
      </c>
      <c r="N329" s="103">
        <f t="shared" si="123"/>
        <v>0</v>
      </c>
      <c r="O329" s="103">
        <f t="shared" si="123"/>
        <v>0</v>
      </c>
      <c r="P329" s="103">
        <f t="shared" si="123"/>
        <v>0</v>
      </c>
      <c r="Q329" s="103">
        <f t="shared" si="104"/>
        <v>0</v>
      </c>
      <c r="S329" s="267" t="str">
        <f t="shared" si="109"/>
        <v/>
      </c>
      <c r="T329" s="267" t="str">
        <f t="shared" si="109"/>
        <v/>
      </c>
      <c r="U329" s="267" t="str">
        <f t="shared" si="109"/>
        <v/>
      </c>
      <c r="V329" s="267" t="str">
        <f t="shared" si="108"/>
        <v/>
      </c>
      <c r="W329" s="530"/>
      <c r="X329" s="236"/>
      <c r="Y329" s="236" t="s">
        <v>688</v>
      </c>
      <c r="Z329" s="236"/>
    </row>
    <row r="330" spans="1:26" ht="12" customHeight="1">
      <c r="A330" s="548" t="s">
        <v>140</v>
      </c>
      <c r="B330" s="548" t="s">
        <v>144</v>
      </c>
      <c r="C330" s="456"/>
      <c r="D330" s="549"/>
      <c r="E330" s="453" t="s">
        <v>50</v>
      </c>
      <c r="F330" s="103">
        <f>+F331+F332</f>
        <v>0</v>
      </c>
      <c r="G330" s="103">
        <f>+G331+G332</f>
        <v>2155124</v>
      </c>
      <c r="H330" s="103">
        <f>+H331+H332</f>
        <v>0</v>
      </c>
      <c r="I330" s="103">
        <f t="shared" si="102"/>
        <v>2155124</v>
      </c>
      <c r="J330" s="103">
        <f>+J331+J332</f>
        <v>0</v>
      </c>
      <c r="K330" s="103">
        <f>+K331+K332</f>
        <v>1673295.78</v>
      </c>
      <c r="L330" s="103">
        <f>+L331+L332</f>
        <v>0</v>
      </c>
      <c r="M330" s="103">
        <f t="shared" si="103"/>
        <v>1673295.78</v>
      </c>
      <c r="N330" s="103">
        <f t="shared" si="123"/>
        <v>0</v>
      </c>
      <c r="O330" s="103">
        <f t="shared" si="123"/>
        <v>481828.22</v>
      </c>
      <c r="P330" s="103">
        <f t="shared" si="123"/>
        <v>0</v>
      </c>
      <c r="Q330" s="103">
        <f t="shared" si="104"/>
        <v>481828.22</v>
      </c>
      <c r="S330" s="267" t="str">
        <f t="shared" si="109"/>
        <v/>
      </c>
      <c r="T330" s="267">
        <f t="shared" si="109"/>
        <v>0.77642668356901967</v>
      </c>
      <c r="U330" s="267" t="str">
        <f t="shared" si="109"/>
        <v/>
      </c>
      <c r="V330" s="267">
        <f t="shared" si="108"/>
        <v>0.77642668356901967</v>
      </c>
      <c r="W330" s="530"/>
      <c r="X330" s="236"/>
      <c r="Y330" s="236" t="s">
        <v>688</v>
      </c>
      <c r="Z330" s="236"/>
    </row>
    <row r="331" spans="1:26" ht="12" hidden="1" customHeight="1">
      <c r="A331" s="548" t="s">
        <v>140</v>
      </c>
      <c r="B331" s="548" t="s">
        <v>144</v>
      </c>
      <c r="C331" s="458" t="s">
        <v>715</v>
      </c>
      <c r="D331" s="550" t="s">
        <v>715</v>
      </c>
      <c r="E331" s="447" t="s">
        <v>715</v>
      </c>
      <c r="F331" s="104">
        <f>'[3]CONAP - W INC'!F239</f>
        <v>0</v>
      </c>
      <c r="G331" s="104">
        <f>'[3]CONAP - W INC'!G239</f>
        <v>0</v>
      </c>
      <c r="H331" s="104">
        <f>'[3]CONAP - W INC'!H239</f>
        <v>0</v>
      </c>
      <c r="I331" s="103">
        <f t="shared" si="102"/>
        <v>0</v>
      </c>
      <c r="J331" s="103">
        <f>'[3]CONAP - W INC'!J239</f>
        <v>0</v>
      </c>
      <c r="K331" s="104">
        <f>'[3]CONAP - W INC'!K239</f>
        <v>0</v>
      </c>
      <c r="L331" s="104">
        <f>'[3]CONAP - W INC'!L239</f>
        <v>0</v>
      </c>
      <c r="M331" s="103">
        <f t="shared" si="103"/>
        <v>0</v>
      </c>
      <c r="N331" s="103">
        <f t="shared" si="123"/>
        <v>0</v>
      </c>
      <c r="O331" s="103">
        <f t="shared" si="123"/>
        <v>0</v>
      </c>
      <c r="P331" s="103">
        <f t="shared" si="123"/>
        <v>0</v>
      </c>
      <c r="Q331" s="103">
        <f t="shared" si="104"/>
        <v>0</v>
      </c>
      <c r="S331" s="267" t="str">
        <f t="shared" si="109"/>
        <v/>
      </c>
      <c r="T331" s="267" t="str">
        <f t="shared" si="109"/>
        <v/>
      </c>
      <c r="U331" s="267" t="str">
        <f t="shared" si="109"/>
        <v/>
      </c>
      <c r="V331" s="267" t="str">
        <f t="shared" si="108"/>
        <v/>
      </c>
      <c r="W331" s="530"/>
      <c r="X331" s="236"/>
      <c r="Y331" s="236"/>
      <c r="Z331" s="236"/>
    </row>
    <row r="332" spans="1:26" ht="12" hidden="1" customHeight="1">
      <c r="A332" s="548" t="s">
        <v>140</v>
      </c>
      <c r="B332" s="548" t="s">
        <v>144</v>
      </c>
      <c r="C332" s="458" t="s">
        <v>716</v>
      </c>
      <c r="D332" s="550" t="s">
        <v>716</v>
      </c>
      <c r="E332" s="459" t="s">
        <v>716</v>
      </c>
      <c r="F332" s="104">
        <f>'[3]CONAP - W INC'!F240</f>
        <v>0</v>
      </c>
      <c r="G332" s="104">
        <f>'[3]CONAP - W INC'!G240</f>
        <v>2155124</v>
      </c>
      <c r="H332" s="104">
        <f>'[3]CONAP - W INC'!H240</f>
        <v>0</v>
      </c>
      <c r="I332" s="103">
        <f t="shared" si="102"/>
        <v>2155124</v>
      </c>
      <c r="J332" s="103">
        <f>'[3]CONAP - W INC'!J240</f>
        <v>0</v>
      </c>
      <c r="K332" s="104">
        <f>'[3]CONAP - W INC'!K240</f>
        <v>1673295.78</v>
      </c>
      <c r="L332" s="104">
        <f>'[3]CONAP - W INC'!L240</f>
        <v>0</v>
      </c>
      <c r="M332" s="103">
        <f t="shared" si="103"/>
        <v>1673295.78</v>
      </c>
      <c r="N332" s="103">
        <f t="shared" si="123"/>
        <v>0</v>
      </c>
      <c r="O332" s="103">
        <f t="shared" si="123"/>
        <v>481828.22</v>
      </c>
      <c r="P332" s="103">
        <f t="shared" si="123"/>
        <v>0</v>
      </c>
      <c r="Q332" s="103">
        <f t="shared" si="104"/>
        <v>481828.22</v>
      </c>
      <c r="S332" s="267" t="str">
        <f t="shared" si="109"/>
        <v/>
      </c>
      <c r="T332" s="267">
        <f t="shared" si="109"/>
        <v>0.77642668356901967</v>
      </c>
      <c r="U332" s="267" t="str">
        <f t="shared" si="109"/>
        <v/>
      </c>
      <c r="V332" s="267">
        <f t="shared" si="108"/>
        <v>0.77642668356901967</v>
      </c>
      <c r="W332" s="530"/>
      <c r="X332" s="236"/>
      <c r="Y332" s="236"/>
      <c r="Z332" s="236"/>
    </row>
    <row r="333" spans="1:26" s="256" customFormat="1" ht="12" customHeight="1">
      <c r="A333" s="548"/>
      <c r="B333" s="548" t="s">
        <v>144</v>
      </c>
      <c r="C333" s="460"/>
      <c r="D333" s="551"/>
      <c r="E333" s="390" t="s">
        <v>767</v>
      </c>
      <c r="F333" s="391">
        <f>+F330+F329</f>
        <v>0</v>
      </c>
      <c r="G333" s="391">
        <f t="shared" ref="G333:Q333" si="127">+G330+G329</f>
        <v>2155124</v>
      </c>
      <c r="H333" s="391">
        <f t="shared" si="127"/>
        <v>0</v>
      </c>
      <c r="I333" s="391">
        <f t="shared" si="127"/>
        <v>2155124</v>
      </c>
      <c r="J333" s="391">
        <f t="shared" si="127"/>
        <v>0</v>
      </c>
      <c r="K333" s="391">
        <f t="shared" si="127"/>
        <v>1673295.78</v>
      </c>
      <c r="L333" s="391">
        <f t="shared" si="127"/>
        <v>0</v>
      </c>
      <c r="M333" s="391">
        <f t="shared" si="127"/>
        <v>1673295.78</v>
      </c>
      <c r="N333" s="391">
        <f t="shared" si="127"/>
        <v>0</v>
      </c>
      <c r="O333" s="391">
        <f t="shared" si="127"/>
        <v>481828.22</v>
      </c>
      <c r="P333" s="391">
        <f t="shared" si="127"/>
        <v>0</v>
      </c>
      <c r="Q333" s="391">
        <f t="shared" si="127"/>
        <v>481828.22</v>
      </c>
      <c r="R333" s="761"/>
      <c r="S333" s="267" t="str">
        <f t="shared" si="109"/>
        <v/>
      </c>
      <c r="T333" s="267">
        <f t="shared" si="109"/>
        <v>0.77642668356901967</v>
      </c>
      <c r="U333" s="267" t="str">
        <f t="shared" si="109"/>
        <v/>
      </c>
      <c r="V333" s="267">
        <f t="shared" si="108"/>
        <v>0.77642668356901967</v>
      </c>
      <c r="W333" s="532"/>
      <c r="Y333" s="236" t="s">
        <v>598</v>
      </c>
      <c r="Z333" s="240" t="s">
        <v>598</v>
      </c>
    </row>
    <row r="334" spans="1:26" ht="12" hidden="1" customHeight="1">
      <c r="A334" s="548"/>
      <c r="B334" s="548"/>
      <c r="C334" s="456"/>
      <c r="D334" s="549"/>
      <c r="E334" s="461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S334" s="267" t="str">
        <f t="shared" si="109"/>
        <v/>
      </c>
      <c r="T334" s="267" t="str">
        <f t="shared" si="109"/>
        <v/>
      </c>
      <c r="U334" s="267" t="str">
        <f t="shared" si="109"/>
        <v/>
      </c>
      <c r="V334" s="267" t="str">
        <f t="shared" si="108"/>
        <v/>
      </c>
      <c r="W334" s="530"/>
      <c r="X334" s="236"/>
      <c r="Y334" s="236"/>
      <c r="Z334" s="236"/>
    </row>
    <row r="335" spans="1:26" s="256" customFormat="1" ht="12" customHeight="1">
      <c r="A335" s="548" t="s">
        <v>140</v>
      </c>
      <c r="B335" s="548" t="s">
        <v>144</v>
      </c>
      <c r="C335" s="460"/>
      <c r="D335" s="551" t="s">
        <v>98</v>
      </c>
      <c r="E335" s="390" t="s">
        <v>100</v>
      </c>
      <c r="F335" s="391">
        <f>SUM(F336:F336)</f>
        <v>0</v>
      </c>
      <c r="G335" s="391">
        <f>SUM(G336:G336)</f>
        <v>0</v>
      </c>
      <c r="H335" s="391">
        <f>SUM(H336:H336)</f>
        <v>0</v>
      </c>
      <c r="I335" s="391">
        <f>+F335+G335+H335</f>
        <v>0</v>
      </c>
      <c r="J335" s="391">
        <v>0</v>
      </c>
      <c r="K335" s="391">
        <f>SUM(K336:K336)</f>
        <v>0</v>
      </c>
      <c r="L335" s="391">
        <f>SUM(L336:L336)</f>
        <v>0</v>
      </c>
      <c r="M335" s="391">
        <f>+J335+K335+L335</f>
        <v>0</v>
      </c>
      <c r="N335" s="391">
        <f t="shared" ref="N335:P336" si="128">+F335-J335</f>
        <v>0</v>
      </c>
      <c r="O335" s="391">
        <f t="shared" si="128"/>
        <v>0</v>
      </c>
      <c r="P335" s="391">
        <f t="shared" si="128"/>
        <v>0</v>
      </c>
      <c r="Q335" s="391">
        <f>+N335+O335+P335</f>
        <v>0</v>
      </c>
      <c r="R335" s="761"/>
      <c r="S335" s="267" t="str">
        <f t="shared" si="109"/>
        <v/>
      </c>
      <c r="T335" s="267" t="str">
        <f t="shared" si="109"/>
        <v/>
      </c>
      <c r="U335" s="267" t="str">
        <f t="shared" si="109"/>
        <v/>
      </c>
      <c r="V335" s="267" t="str">
        <f t="shared" si="108"/>
        <v/>
      </c>
      <c r="W335" s="532"/>
      <c r="Y335" s="236" t="s">
        <v>598</v>
      </c>
      <c r="Z335" s="240" t="s">
        <v>598</v>
      </c>
    </row>
    <row r="336" spans="1:26" ht="12" customHeight="1">
      <c r="A336" s="548" t="s">
        <v>140</v>
      </c>
      <c r="B336" s="548" t="s">
        <v>144</v>
      </c>
      <c r="C336" s="456"/>
      <c r="D336" s="549"/>
      <c r="E336" s="462" t="s">
        <v>290</v>
      </c>
      <c r="F336" s="103">
        <v>0</v>
      </c>
      <c r="G336" s="103">
        <f>SUM('[3]chd3-SAOB'!BE222)</f>
        <v>0</v>
      </c>
      <c r="H336" s="103">
        <f>SUM('[3]chd3-SAOB'!BE315)</f>
        <v>0</v>
      </c>
      <c r="I336" s="103">
        <f>+F336+G336+H336</f>
        <v>0</v>
      </c>
      <c r="J336" s="103">
        <v>0</v>
      </c>
      <c r="K336" s="103">
        <f>SUM('[3]chd3-SAOB'!BE223)</f>
        <v>0</v>
      </c>
      <c r="L336" s="103">
        <f>SUM('[3]chd3-SAOB'!BE316)</f>
        <v>0</v>
      </c>
      <c r="M336" s="103">
        <f>+J336+K336+L336</f>
        <v>0</v>
      </c>
      <c r="N336" s="103">
        <f t="shared" si="128"/>
        <v>0</v>
      </c>
      <c r="O336" s="103">
        <f t="shared" si="128"/>
        <v>0</v>
      </c>
      <c r="P336" s="103">
        <f t="shared" si="128"/>
        <v>0</v>
      </c>
      <c r="Q336" s="103">
        <f>+N336+O336+P336</f>
        <v>0</v>
      </c>
      <c r="S336" s="267" t="str">
        <f t="shared" si="109"/>
        <v/>
      </c>
      <c r="T336" s="267" t="str">
        <f t="shared" si="109"/>
        <v/>
      </c>
      <c r="U336" s="267" t="str">
        <f t="shared" si="109"/>
        <v/>
      </c>
      <c r="V336" s="267" t="str">
        <f t="shared" si="108"/>
        <v/>
      </c>
      <c r="W336" s="530"/>
      <c r="X336" s="236"/>
      <c r="Y336" s="236" t="s">
        <v>598</v>
      </c>
      <c r="Z336" s="236"/>
    </row>
    <row r="337" spans="1:26" s="259" customFormat="1" ht="12" customHeight="1">
      <c r="A337" s="315" t="s">
        <v>140</v>
      </c>
      <c r="B337" s="315" t="s">
        <v>144</v>
      </c>
      <c r="C337" s="1096"/>
      <c r="D337" s="466"/>
      <c r="E337" s="1097" t="s">
        <v>4</v>
      </c>
      <c r="F337" s="652">
        <f>+F335+F333</f>
        <v>0</v>
      </c>
      <c r="G337" s="652">
        <f t="shared" ref="G337:Q337" si="129">+G335+G333</f>
        <v>2155124</v>
      </c>
      <c r="H337" s="652">
        <f t="shared" si="129"/>
        <v>0</v>
      </c>
      <c r="I337" s="652">
        <f t="shared" si="129"/>
        <v>2155124</v>
      </c>
      <c r="J337" s="652">
        <f t="shared" si="129"/>
        <v>0</v>
      </c>
      <c r="K337" s="652">
        <f t="shared" si="129"/>
        <v>1673295.78</v>
      </c>
      <c r="L337" s="652">
        <f t="shared" si="129"/>
        <v>0</v>
      </c>
      <c r="M337" s="652">
        <f t="shared" si="129"/>
        <v>1673295.78</v>
      </c>
      <c r="N337" s="652">
        <f t="shared" si="129"/>
        <v>0</v>
      </c>
      <c r="O337" s="652">
        <f t="shared" si="129"/>
        <v>481828.22</v>
      </c>
      <c r="P337" s="652">
        <f t="shared" si="129"/>
        <v>0</v>
      </c>
      <c r="Q337" s="652">
        <f t="shared" si="129"/>
        <v>481828.22</v>
      </c>
      <c r="R337" s="1095">
        <f>+Q337-'[3]chd3-SAOB'!CK352</f>
        <v>0</v>
      </c>
      <c r="S337" s="524" t="str">
        <f t="shared" si="109"/>
        <v/>
      </c>
      <c r="T337" s="524">
        <f t="shared" si="109"/>
        <v>0.77642668356901967</v>
      </c>
      <c r="U337" s="524" t="str">
        <f t="shared" si="109"/>
        <v/>
      </c>
      <c r="V337" s="524">
        <f t="shared" si="108"/>
        <v>0.77642668356901967</v>
      </c>
      <c r="W337" s="344"/>
      <c r="X337" s="520"/>
      <c r="Y337" s="837" t="s">
        <v>598</v>
      </c>
      <c r="Z337" s="241" t="s">
        <v>598</v>
      </c>
    </row>
    <row r="338" spans="1:26" ht="12" customHeight="1">
      <c r="A338" s="315"/>
      <c r="B338" s="315" t="s">
        <v>144</v>
      </c>
      <c r="C338" s="456"/>
      <c r="D338" s="456"/>
      <c r="E338" s="46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S338" s="267" t="str">
        <f t="shared" si="109"/>
        <v/>
      </c>
      <c r="T338" s="267" t="str">
        <f t="shared" si="109"/>
        <v/>
      </c>
      <c r="U338" s="267" t="str">
        <f t="shared" si="109"/>
        <v/>
      </c>
      <c r="V338" s="267" t="str">
        <f t="shared" si="108"/>
        <v/>
      </c>
      <c r="W338" s="267"/>
      <c r="Y338" s="837" t="s">
        <v>598</v>
      </c>
      <c r="Z338" s="241" t="s">
        <v>598</v>
      </c>
    </row>
    <row r="339" spans="1:26" s="275" customFormat="1" ht="13.5" customHeight="1">
      <c r="A339" s="548" t="s">
        <v>140</v>
      </c>
      <c r="B339" s="548" t="s">
        <v>145</v>
      </c>
      <c r="C339" s="464" t="s">
        <v>98</v>
      </c>
      <c r="D339" s="552" t="s">
        <v>109</v>
      </c>
      <c r="E339" s="407" t="s">
        <v>799</v>
      </c>
      <c r="F339" s="468"/>
      <c r="G339" s="468"/>
      <c r="H339" s="468"/>
      <c r="I339" s="409">
        <f t="shared" ref="I339:I402" si="130">+F339+G339+H339</f>
        <v>0</v>
      </c>
      <c r="J339" s="409">
        <v>0</v>
      </c>
      <c r="K339" s="468"/>
      <c r="L339" s="468"/>
      <c r="M339" s="409">
        <f t="shared" ref="M339:M402" si="131">+J339+K339+L339</f>
        <v>0</v>
      </c>
      <c r="N339" s="409">
        <f t="shared" si="123"/>
        <v>0</v>
      </c>
      <c r="O339" s="409">
        <f t="shared" si="123"/>
        <v>0</v>
      </c>
      <c r="P339" s="409">
        <f t="shared" si="123"/>
        <v>0</v>
      </c>
      <c r="Q339" s="409">
        <f t="shared" ref="Q339:Q402" si="132">+N339+O339+P339</f>
        <v>0</v>
      </c>
      <c r="R339" s="761"/>
      <c r="S339" s="267" t="str">
        <f t="shared" si="109"/>
        <v/>
      </c>
      <c r="T339" s="267" t="str">
        <f t="shared" si="109"/>
        <v/>
      </c>
      <c r="U339" s="267" t="str">
        <f t="shared" si="109"/>
        <v/>
      </c>
      <c r="V339" s="267" t="str">
        <f t="shared" si="108"/>
        <v/>
      </c>
      <c r="W339" s="553"/>
      <c r="Y339" s="236" t="s">
        <v>598</v>
      </c>
      <c r="Z339" s="240" t="s">
        <v>598</v>
      </c>
    </row>
    <row r="340" spans="1:26" ht="12" customHeight="1">
      <c r="A340" s="548" t="s">
        <v>140</v>
      </c>
      <c r="B340" s="548" t="s">
        <v>145</v>
      </c>
      <c r="C340" s="447" t="s">
        <v>766</v>
      </c>
      <c r="D340" s="549"/>
      <c r="E340" s="447" t="s">
        <v>766</v>
      </c>
      <c r="F340" s="104">
        <f>+'[3]chd3-SAOB'!B469</f>
        <v>0</v>
      </c>
      <c r="G340" s="104">
        <f>+'[3]chd3-SAOB'!C469</f>
        <v>5049.78</v>
      </c>
      <c r="H340" s="104">
        <f>+'[3]chd3-SAOB'!D469</f>
        <v>0</v>
      </c>
      <c r="I340" s="103">
        <f t="shared" si="130"/>
        <v>5049.78</v>
      </c>
      <c r="J340" s="103">
        <v>0</v>
      </c>
      <c r="K340" s="104">
        <f>+'[3]chd3-SAOB'!G469</f>
        <v>4851.1000000000004</v>
      </c>
      <c r="L340" s="104">
        <f>+'[3]chd3-SAOB'!H469</f>
        <v>0</v>
      </c>
      <c r="M340" s="103">
        <f t="shared" si="131"/>
        <v>4851.1000000000004</v>
      </c>
      <c r="N340" s="103">
        <f t="shared" si="123"/>
        <v>0</v>
      </c>
      <c r="O340" s="103">
        <f t="shared" si="123"/>
        <v>198.67999999999938</v>
      </c>
      <c r="P340" s="103">
        <f t="shared" si="123"/>
        <v>0</v>
      </c>
      <c r="Q340" s="103">
        <f t="shared" si="132"/>
        <v>198.67999999999938</v>
      </c>
      <c r="S340" s="267" t="str">
        <f t="shared" si="109"/>
        <v/>
      </c>
      <c r="T340" s="267">
        <f t="shared" si="109"/>
        <v>0.96065571173397668</v>
      </c>
      <c r="U340" s="267" t="str">
        <f t="shared" si="109"/>
        <v/>
      </c>
      <c r="V340" s="267">
        <f t="shared" si="108"/>
        <v>0.96065571173397668</v>
      </c>
      <c r="W340" s="530"/>
      <c r="X340" s="236"/>
      <c r="Y340" s="236" t="s">
        <v>688</v>
      </c>
      <c r="Z340" s="236"/>
    </row>
    <row r="341" spans="1:26" ht="12" customHeight="1">
      <c r="A341" s="548" t="s">
        <v>140</v>
      </c>
      <c r="B341" s="548" t="s">
        <v>145</v>
      </c>
      <c r="C341" s="456"/>
      <c r="D341" s="549"/>
      <c r="E341" s="453" t="s">
        <v>50</v>
      </c>
      <c r="F341" s="103">
        <f>+F342+F343</f>
        <v>0</v>
      </c>
      <c r="G341" s="103">
        <f>+G342+G343</f>
        <v>415532.19999999972</v>
      </c>
      <c r="H341" s="103">
        <f>+H342+H343</f>
        <v>0</v>
      </c>
      <c r="I341" s="103">
        <f t="shared" si="130"/>
        <v>415532.19999999972</v>
      </c>
      <c r="J341" s="103">
        <f>+J342+J343</f>
        <v>0</v>
      </c>
      <c r="K341" s="103">
        <f>+K342+K343</f>
        <v>338502.78000000009</v>
      </c>
      <c r="L341" s="103">
        <f>+L342+L343</f>
        <v>0</v>
      </c>
      <c r="M341" s="103">
        <f t="shared" si="131"/>
        <v>338502.78000000009</v>
      </c>
      <c r="N341" s="103">
        <f t="shared" si="123"/>
        <v>0</v>
      </c>
      <c r="O341" s="103">
        <f t="shared" si="123"/>
        <v>77029.419999999634</v>
      </c>
      <c r="P341" s="103">
        <f t="shared" si="123"/>
        <v>0</v>
      </c>
      <c r="Q341" s="103">
        <f t="shared" si="132"/>
        <v>77029.419999999634</v>
      </c>
      <c r="S341" s="267" t="str">
        <f t="shared" si="109"/>
        <v/>
      </c>
      <c r="T341" s="267">
        <f t="shared" si="109"/>
        <v>0.81462466687298918</v>
      </c>
      <c r="U341" s="267" t="str">
        <f t="shared" si="109"/>
        <v/>
      </c>
      <c r="V341" s="267">
        <f t="shared" si="108"/>
        <v>0.81462466687298918</v>
      </c>
      <c r="W341" s="530"/>
      <c r="X341" s="236"/>
      <c r="Y341" s="236" t="s">
        <v>688</v>
      </c>
      <c r="Z341" s="236"/>
    </row>
    <row r="342" spans="1:26" ht="12" hidden="1" customHeight="1">
      <c r="A342" s="548" t="s">
        <v>140</v>
      </c>
      <c r="B342" s="548" t="s">
        <v>145</v>
      </c>
      <c r="C342" s="458" t="s">
        <v>715</v>
      </c>
      <c r="D342" s="550" t="s">
        <v>715</v>
      </c>
      <c r="E342" s="447" t="s">
        <v>715</v>
      </c>
      <c r="F342" s="104">
        <f>'[3]CONAP - W INC'!F247</f>
        <v>0</v>
      </c>
      <c r="G342" s="104">
        <f>'[3]CONAP - W INC'!G247</f>
        <v>-3272578.66</v>
      </c>
      <c r="H342" s="104">
        <f>'[3]CONAP - W INC'!H247</f>
        <v>0</v>
      </c>
      <c r="I342" s="103">
        <f t="shared" si="130"/>
        <v>-3272578.66</v>
      </c>
      <c r="J342" s="103">
        <f>'[3]CONAP - W INC'!J247</f>
        <v>0</v>
      </c>
      <c r="K342" s="104">
        <f>'[3]CONAP - W INC'!K247</f>
        <v>323550</v>
      </c>
      <c r="L342" s="104">
        <f>'[3]CONAP - W INC'!L247</f>
        <v>0</v>
      </c>
      <c r="M342" s="103">
        <f t="shared" si="131"/>
        <v>323550</v>
      </c>
      <c r="N342" s="103">
        <f t="shared" si="123"/>
        <v>0</v>
      </c>
      <c r="O342" s="103">
        <f t="shared" si="123"/>
        <v>-3596128.66</v>
      </c>
      <c r="P342" s="103">
        <f t="shared" si="123"/>
        <v>0</v>
      </c>
      <c r="Q342" s="103">
        <f t="shared" si="132"/>
        <v>-3596128.66</v>
      </c>
      <c r="S342" s="267" t="str">
        <f t="shared" si="109"/>
        <v/>
      </c>
      <c r="T342" s="267">
        <f t="shared" si="109"/>
        <v>-9.8866989495066865E-2</v>
      </c>
      <c r="U342" s="267" t="str">
        <f t="shared" si="109"/>
        <v/>
      </c>
      <c r="V342" s="267">
        <f t="shared" si="108"/>
        <v>-9.8866989495066865E-2</v>
      </c>
      <c r="W342" s="530"/>
      <c r="X342" s="236"/>
      <c r="Y342" s="236"/>
      <c r="Z342" s="236"/>
    </row>
    <row r="343" spans="1:26" ht="12" hidden="1" customHeight="1">
      <c r="A343" s="548" t="s">
        <v>140</v>
      </c>
      <c r="B343" s="548" t="s">
        <v>145</v>
      </c>
      <c r="C343" s="458" t="s">
        <v>716</v>
      </c>
      <c r="D343" s="550" t="s">
        <v>716</v>
      </c>
      <c r="E343" s="459" t="s">
        <v>716</v>
      </c>
      <c r="F343" s="104">
        <f>'[3]CONAP - W INC'!F248</f>
        <v>0</v>
      </c>
      <c r="G343" s="104">
        <f>'[3]CONAP - W INC'!G248</f>
        <v>3688110.86</v>
      </c>
      <c r="H343" s="104">
        <f>'[3]CONAP - W INC'!H248</f>
        <v>0</v>
      </c>
      <c r="I343" s="103">
        <f t="shared" si="130"/>
        <v>3688110.86</v>
      </c>
      <c r="J343" s="103">
        <f>'[3]CONAP - W INC'!J248</f>
        <v>0</v>
      </c>
      <c r="K343" s="104">
        <f>'[3]CONAP - W INC'!K248</f>
        <v>14952.780000000093</v>
      </c>
      <c r="L343" s="104">
        <f>'[3]CONAP - W INC'!L248</f>
        <v>0</v>
      </c>
      <c r="M343" s="103">
        <f t="shared" si="131"/>
        <v>14952.780000000093</v>
      </c>
      <c r="N343" s="103">
        <f t="shared" si="123"/>
        <v>0</v>
      </c>
      <c r="O343" s="103">
        <f t="shared" si="123"/>
        <v>3673158.0799999996</v>
      </c>
      <c r="P343" s="103">
        <f t="shared" si="123"/>
        <v>0</v>
      </c>
      <c r="Q343" s="103">
        <f t="shared" si="132"/>
        <v>3673158.0799999996</v>
      </c>
      <c r="S343" s="267" t="str">
        <f t="shared" si="109"/>
        <v/>
      </c>
      <c r="T343" s="267">
        <f t="shared" si="109"/>
        <v>4.0543195602314661E-3</v>
      </c>
      <c r="U343" s="267" t="str">
        <f t="shared" si="109"/>
        <v/>
      </c>
      <c r="V343" s="267">
        <f t="shared" si="109"/>
        <v>4.0543195602314661E-3</v>
      </c>
      <c r="W343" s="530"/>
      <c r="X343" s="236"/>
      <c r="Y343" s="236"/>
      <c r="Z343" s="236"/>
    </row>
    <row r="344" spans="1:26" s="256" customFormat="1" ht="12" customHeight="1">
      <c r="A344" s="548"/>
      <c r="B344" s="548" t="s">
        <v>145</v>
      </c>
      <c r="C344" s="460"/>
      <c r="D344" s="551"/>
      <c r="E344" s="390" t="s">
        <v>767</v>
      </c>
      <c r="F344" s="391">
        <f>+F341+F340</f>
        <v>0</v>
      </c>
      <c r="G344" s="391">
        <f t="shared" ref="G344:Q344" si="133">+G341+G340</f>
        <v>420581.97999999975</v>
      </c>
      <c r="H344" s="391">
        <f t="shared" si="133"/>
        <v>0</v>
      </c>
      <c r="I344" s="391">
        <f t="shared" si="133"/>
        <v>420581.97999999975</v>
      </c>
      <c r="J344" s="391">
        <f t="shared" si="133"/>
        <v>0</v>
      </c>
      <c r="K344" s="391">
        <f t="shared" si="133"/>
        <v>343353.88000000006</v>
      </c>
      <c r="L344" s="391">
        <f t="shared" si="133"/>
        <v>0</v>
      </c>
      <c r="M344" s="391">
        <f t="shared" si="133"/>
        <v>343353.88000000006</v>
      </c>
      <c r="N344" s="391">
        <f t="shared" si="133"/>
        <v>0</v>
      </c>
      <c r="O344" s="391">
        <f t="shared" si="133"/>
        <v>77228.099999999627</v>
      </c>
      <c r="P344" s="391">
        <f t="shared" si="133"/>
        <v>0</v>
      </c>
      <c r="Q344" s="391">
        <f t="shared" si="133"/>
        <v>77228.099999999627</v>
      </c>
      <c r="R344" s="761"/>
      <c r="S344" s="267" t="str">
        <f t="shared" ref="S344:V407" si="134">IF(F344=0,"",J344/F344)</f>
        <v/>
      </c>
      <c r="T344" s="267">
        <f t="shared" si="134"/>
        <v>0.81637801029896784</v>
      </c>
      <c r="U344" s="267" t="str">
        <f t="shared" si="134"/>
        <v/>
      </c>
      <c r="V344" s="267">
        <f t="shared" si="134"/>
        <v>0.81637801029896784</v>
      </c>
      <c r="W344" s="532"/>
      <c r="Y344" s="236" t="s">
        <v>598</v>
      </c>
      <c r="Z344" s="240" t="s">
        <v>598</v>
      </c>
    </row>
    <row r="345" spans="1:26" ht="12" hidden="1" customHeight="1">
      <c r="A345" s="548"/>
      <c r="B345" s="548"/>
      <c r="C345" s="456"/>
      <c r="D345" s="549"/>
      <c r="E345" s="461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S345" s="267" t="str">
        <f t="shared" si="134"/>
        <v/>
      </c>
      <c r="T345" s="267" t="str">
        <f t="shared" si="134"/>
        <v/>
      </c>
      <c r="U345" s="267" t="str">
        <f t="shared" si="134"/>
        <v/>
      </c>
      <c r="V345" s="267" t="str">
        <f t="shared" si="134"/>
        <v/>
      </c>
      <c r="W345" s="530"/>
      <c r="X345" s="236"/>
      <c r="Y345" s="236"/>
      <c r="Z345" s="236"/>
    </row>
    <row r="346" spans="1:26" s="256" customFormat="1" ht="12" customHeight="1">
      <c r="A346" s="548" t="s">
        <v>140</v>
      </c>
      <c r="B346" s="548" t="s">
        <v>145</v>
      </c>
      <c r="C346" s="460"/>
      <c r="D346" s="551" t="s">
        <v>98</v>
      </c>
      <c r="E346" s="390" t="s">
        <v>100</v>
      </c>
      <c r="F346" s="391">
        <f>+F347</f>
        <v>0</v>
      </c>
      <c r="G346" s="391">
        <f t="shared" ref="G346:Q346" si="135">+G347</f>
        <v>7908990.8099999996</v>
      </c>
      <c r="H346" s="391">
        <f t="shared" si="135"/>
        <v>0</v>
      </c>
      <c r="I346" s="391">
        <f t="shared" si="135"/>
        <v>7908990.8099999996</v>
      </c>
      <c r="J346" s="391">
        <f t="shared" si="135"/>
        <v>0</v>
      </c>
      <c r="K346" s="391">
        <f t="shared" si="135"/>
        <v>7906594.9000000004</v>
      </c>
      <c r="L346" s="391">
        <f t="shared" si="135"/>
        <v>0</v>
      </c>
      <c r="M346" s="391">
        <f t="shared" si="135"/>
        <v>7906594.9000000004</v>
      </c>
      <c r="N346" s="391">
        <f t="shared" si="135"/>
        <v>0</v>
      </c>
      <c r="O346" s="391">
        <f t="shared" si="135"/>
        <v>2395.9099999992177</v>
      </c>
      <c r="P346" s="391">
        <f t="shared" si="135"/>
        <v>0</v>
      </c>
      <c r="Q346" s="391">
        <f t="shared" si="135"/>
        <v>2395.9099999992177</v>
      </c>
      <c r="R346" s="761"/>
      <c r="S346" s="267" t="str">
        <f t="shared" si="134"/>
        <v/>
      </c>
      <c r="T346" s="267">
        <f t="shared" si="134"/>
        <v>0.99969706501656697</v>
      </c>
      <c r="U346" s="267" t="str">
        <f t="shared" si="134"/>
        <v/>
      </c>
      <c r="V346" s="267">
        <f t="shared" si="134"/>
        <v>0.99969706501656697</v>
      </c>
      <c r="W346" s="532"/>
      <c r="Y346" s="236" t="s">
        <v>598</v>
      </c>
      <c r="Z346" s="240" t="s">
        <v>598</v>
      </c>
    </row>
    <row r="347" spans="1:26" ht="12" customHeight="1">
      <c r="A347" s="548" t="s">
        <v>140</v>
      </c>
      <c r="B347" s="548" t="s">
        <v>145</v>
      </c>
      <c r="C347" s="456"/>
      <c r="D347" s="549"/>
      <c r="E347" s="462" t="s">
        <v>290</v>
      </c>
      <c r="F347" s="103">
        <v>0</v>
      </c>
      <c r="G347" s="103">
        <f>SUM('[3]chd3-SAOB'!BF222)</f>
        <v>7908990.8099999996</v>
      </c>
      <c r="H347" s="103">
        <f>SUM('[3]chd3-SAOB'!BF315)</f>
        <v>0</v>
      </c>
      <c r="I347" s="103">
        <f>+F347+G347+H347</f>
        <v>7908990.8099999996</v>
      </c>
      <c r="J347" s="103">
        <v>0</v>
      </c>
      <c r="K347" s="103">
        <f>SUM('[3]chd3-SAOB'!BF223)</f>
        <v>7906594.9000000004</v>
      </c>
      <c r="L347" s="103">
        <f>SUM('[3]chd3-SAOB'!BF316)</f>
        <v>0</v>
      </c>
      <c r="M347" s="103">
        <f>+J347+K347+L347</f>
        <v>7906594.9000000004</v>
      </c>
      <c r="N347" s="103">
        <f>+F347-J347</f>
        <v>0</v>
      </c>
      <c r="O347" s="103">
        <f>+G347-K347</f>
        <v>2395.9099999992177</v>
      </c>
      <c r="P347" s="103">
        <f>+H347-L347</f>
        <v>0</v>
      </c>
      <c r="Q347" s="103">
        <f>+N347+O347+P347</f>
        <v>2395.9099999992177</v>
      </c>
      <c r="S347" s="267" t="str">
        <f t="shared" si="134"/>
        <v/>
      </c>
      <c r="T347" s="267">
        <f t="shared" si="134"/>
        <v>0.99969706501656697</v>
      </c>
      <c r="U347" s="267" t="str">
        <f t="shared" si="134"/>
        <v/>
      </c>
      <c r="V347" s="267">
        <f t="shared" si="134"/>
        <v>0.99969706501656697</v>
      </c>
      <c r="W347" s="530"/>
      <c r="X347" s="236"/>
      <c r="Y347" s="236" t="s">
        <v>598</v>
      </c>
      <c r="Z347" s="236"/>
    </row>
    <row r="348" spans="1:26" s="259" customFormat="1" ht="12" customHeight="1">
      <c r="A348" s="773" t="s">
        <v>140</v>
      </c>
      <c r="B348" s="773" t="s">
        <v>145</v>
      </c>
      <c r="C348" s="1096"/>
      <c r="D348" s="774"/>
      <c r="E348" s="1097" t="s">
        <v>4</v>
      </c>
      <c r="F348" s="652">
        <f>+F346+F344</f>
        <v>0</v>
      </c>
      <c r="G348" s="652">
        <f t="shared" ref="G348:Q348" si="136">+G346+G344</f>
        <v>8329572.7899999991</v>
      </c>
      <c r="H348" s="652">
        <f t="shared" si="136"/>
        <v>0</v>
      </c>
      <c r="I348" s="652">
        <f t="shared" si="136"/>
        <v>8329572.7899999991</v>
      </c>
      <c r="J348" s="652">
        <f t="shared" si="136"/>
        <v>0</v>
      </c>
      <c r="K348" s="652">
        <f t="shared" si="136"/>
        <v>8249948.7800000003</v>
      </c>
      <c r="L348" s="652">
        <f t="shared" si="136"/>
        <v>0</v>
      </c>
      <c r="M348" s="652">
        <f t="shared" si="136"/>
        <v>8249948.7800000003</v>
      </c>
      <c r="N348" s="652">
        <f t="shared" si="136"/>
        <v>0</v>
      </c>
      <c r="O348" s="652">
        <f t="shared" si="136"/>
        <v>79624.009999998845</v>
      </c>
      <c r="P348" s="652">
        <f t="shared" si="136"/>
        <v>0</v>
      </c>
      <c r="Q348" s="652">
        <f t="shared" si="136"/>
        <v>79624.009999998845</v>
      </c>
      <c r="R348" s="1095">
        <f>+Q348-'[3]chd3-SAOB'!CL352</f>
        <v>0</v>
      </c>
      <c r="S348" s="524" t="str">
        <f t="shared" si="134"/>
        <v/>
      </c>
      <c r="T348" s="524">
        <f t="shared" si="134"/>
        <v>0.99044080506798726</v>
      </c>
      <c r="U348" s="524" t="str">
        <f t="shared" si="134"/>
        <v/>
      </c>
      <c r="V348" s="524">
        <f t="shared" si="134"/>
        <v>0.99044080506798726</v>
      </c>
      <c r="W348" s="344"/>
      <c r="Y348" s="671" t="s">
        <v>598</v>
      </c>
      <c r="Z348" s="259" t="s">
        <v>598</v>
      </c>
    </row>
    <row r="349" spans="1:26" ht="12" customHeight="1">
      <c r="A349" s="315"/>
      <c r="B349" s="315" t="s">
        <v>145</v>
      </c>
      <c r="C349" s="456"/>
      <c r="D349" s="456"/>
      <c r="E349" s="46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S349" s="267" t="str">
        <f t="shared" si="134"/>
        <v/>
      </c>
      <c r="T349" s="267" t="str">
        <f t="shared" si="134"/>
        <v/>
      </c>
      <c r="U349" s="267" t="str">
        <f t="shared" si="134"/>
        <v/>
      </c>
      <c r="V349" s="267" t="str">
        <f t="shared" si="134"/>
        <v/>
      </c>
      <c r="W349" s="267"/>
      <c r="Y349" s="837" t="s">
        <v>598</v>
      </c>
      <c r="Z349" s="241" t="s">
        <v>598</v>
      </c>
    </row>
    <row r="350" spans="1:26" s="275" customFormat="1" ht="12" customHeight="1">
      <c r="A350" s="548" t="s">
        <v>140</v>
      </c>
      <c r="B350" s="548" t="s">
        <v>146</v>
      </c>
      <c r="C350" s="464" t="s">
        <v>98</v>
      </c>
      <c r="D350" s="552" t="s">
        <v>111</v>
      </c>
      <c r="E350" s="407" t="s">
        <v>801</v>
      </c>
      <c r="F350" s="468"/>
      <c r="G350" s="468"/>
      <c r="H350" s="468"/>
      <c r="I350" s="409">
        <f t="shared" si="130"/>
        <v>0</v>
      </c>
      <c r="J350" s="409">
        <v>0</v>
      </c>
      <c r="K350" s="468"/>
      <c r="L350" s="468"/>
      <c r="M350" s="409">
        <f t="shared" si="131"/>
        <v>0</v>
      </c>
      <c r="N350" s="409">
        <f t="shared" si="123"/>
        <v>0</v>
      </c>
      <c r="O350" s="409">
        <f t="shared" si="123"/>
        <v>0</v>
      </c>
      <c r="P350" s="409">
        <f t="shared" si="123"/>
        <v>0</v>
      </c>
      <c r="Q350" s="409">
        <f t="shared" si="132"/>
        <v>0</v>
      </c>
      <c r="R350" s="761"/>
      <c r="S350" s="267" t="str">
        <f t="shared" si="134"/>
        <v/>
      </c>
      <c r="T350" s="267" t="str">
        <f t="shared" si="134"/>
        <v/>
      </c>
      <c r="U350" s="267" t="str">
        <f t="shared" si="134"/>
        <v/>
      </c>
      <c r="V350" s="267" t="str">
        <f t="shared" si="134"/>
        <v/>
      </c>
      <c r="W350" s="553"/>
      <c r="Y350" s="236" t="s">
        <v>598</v>
      </c>
      <c r="Z350" s="240" t="s">
        <v>598</v>
      </c>
    </row>
    <row r="351" spans="1:26" ht="12" customHeight="1">
      <c r="A351" s="548" t="s">
        <v>140</v>
      </c>
      <c r="B351" s="548" t="s">
        <v>146</v>
      </c>
      <c r="C351" s="447" t="s">
        <v>766</v>
      </c>
      <c r="D351" s="549"/>
      <c r="E351" s="447" t="s">
        <v>766</v>
      </c>
      <c r="F351" s="104">
        <f>+'[3]chd3-SAOB'!B475</f>
        <v>0</v>
      </c>
      <c r="G351" s="104">
        <f>+'[3]chd3-SAOB'!C475</f>
        <v>0</v>
      </c>
      <c r="H351" s="104">
        <f>+'[3]chd3-SAOB'!D475</f>
        <v>0</v>
      </c>
      <c r="I351" s="103">
        <f t="shared" si="130"/>
        <v>0</v>
      </c>
      <c r="J351" s="103">
        <v>0</v>
      </c>
      <c r="K351" s="104">
        <f>+'[3]chd3-SAOB'!G475</f>
        <v>0</v>
      </c>
      <c r="L351" s="104">
        <f>+'[3]chd3-SAOB'!H475</f>
        <v>0</v>
      </c>
      <c r="M351" s="103">
        <f t="shared" si="131"/>
        <v>0</v>
      </c>
      <c r="N351" s="103">
        <f t="shared" si="123"/>
        <v>0</v>
      </c>
      <c r="O351" s="103">
        <f t="shared" si="123"/>
        <v>0</v>
      </c>
      <c r="P351" s="103">
        <f t="shared" si="123"/>
        <v>0</v>
      </c>
      <c r="Q351" s="103">
        <f t="shared" si="132"/>
        <v>0</v>
      </c>
      <c r="S351" s="267" t="str">
        <f t="shared" si="134"/>
        <v/>
      </c>
      <c r="T351" s="267" t="str">
        <f t="shared" si="134"/>
        <v/>
      </c>
      <c r="U351" s="267" t="str">
        <f t="shared" si="134"/>
        <v/>
      </c>
      <c r="V351" s="267" t="str">
        <f t="shared" si="134"/>
        <v/>
      </c>
      <c r="W351" s="530"/>
      <c r="X351" s="236"/>
      <c r="Y351" s="236" t="s">
        <v>688</v>
      </c>
      <c r="Z351" s="236"/>
    </row>
    <row r="352" spans="1:26" ht="12" customHeight="1">
      <c r="A352" s="548" t="s">
        <v>140</v>
      </c>
      <c r="B352" s="548" t="s">
        <v>146</v>
      </c>
      <c r="C352" s="456"/>
      <c r="D352" s="549"/>
      <c r="E352" s="453" t="s">
        <v>50</v>
      </c>
      <c r="F352" s="103">
        <f>+F353+F354</f>
        <v>0</v>
      </c>
      <c r="G352" s="103">
        <f>+G353+G354</f>
        <v>380000.00000000047</v>
      </c>
      <c r="H352" s="103">
        <f>+H353+H354</f>
        <v>0</v>
      </c>
      <c r="I352" s="103">
        <f t="shared" si="130"/>
        <v>380000.00000000047</v>
      </c>
      <c r="J352" s="103">
        <f>+J353+J354</f>
        <v>0</v>
      </c>
      <c r="K352" s="103">
        <f>+K353+K354</f>
        <v>164924.63999999998</v>
      </c>
      <c r="L352" s="103">
        <f>+L353+L354</f>
        <v>0</v>
      </c>
      <c r="M352" s="103">
        <f t="shared" si="131"/>
        <v>164924.63999999998</v>
      </c>
      <c r="N352" s="103">
        <f t="shared" si="123"/>
        <v>0</v>
      </c>
      <c r="O352" s="103">
        <f t="shared" si="123"/>
        <v>215075.36000000048</v>
      </c>
      <c r="P352" s="103">
        <f t="shared" si="123"/>
        <v>0</v>
      </c>
      <c r="Q352" s="103">
        <f t="shared" si="132"/>
        <v>215075.36000000048</v>
      </c>
      <c r="S352" s="267" t="str">
        <f t="shared" si="134"/>
        <v/>
      </c>
      <c r="T352" s="267">
        <f t="shared" si="134"/>
        <v>0.43401221052631522</v>
      </c>
      <c r="U352" s="267" t="str">
        <f t="shared" si="134"/>
        <v/>
      </c>
      <c r="V352" s="267">
        <f t="shared" si="134"/>
        <v>0.43401221052631522</v>
      </c>
      <c r="W352" s="530"/>
      <c r="X352" s="236"/>
      <c r="Y352" s="236" t="s">
        <v>688</v>
      </c>
      <c r="Z352" s="236"/>
    </row>
    <row r="353" spans="1:26" ht="12" hidden="1" customHeight="1">
      <c r="A353" s="548" t="s">
        <v>140</v>
      </c>
      <c r="B353" s="548" t="s">
        <v>146</v>
      </c>
      <c r="C353" s="458" t="s">
        <v>715</v>
      </c>
      <c r="D353" s="550" t="s">
        <v>715</v>
      </c>
      <c r="E353" s="447" t="s">
        <v>715</v>
      </c>
      <c r="F353" s="104">
        <f>'[3]CONAP - W INC'!F255</f>
        <v>0</v>
      </c>
      <c r="G353" s="104">
        <f>'[3]CONAP - W INC'!G255</f>
        <v>-3987389.48</v>
      </c>
      <c r="H353" s="104">
        <f>'[3]CONAP - W INC'!H255</f>
        <v>0</v>
      </c>
      <c r="I353" s="103">
        <f t="shared" si="130"/>
        <v>-3987389.48</v>
      </c>
      <c r="J353" s="103">
        <f>'[3]CONAP - W INC'!J255</f>
        <v>0</v>
      </c>
      <c r="K353" s="104">
        <f>'[3]CONAP - W INC'!K255</f>
        <v>0</v>
      </c>
      <c r="L353" s="104">
        <f>'[3]CONAP - W INC'!L255</f>
        <v>0</v>
      </c>
      <c r="M353" s="103">
        <f t="shared" si="131"/>
        <v>0</v>
      </c>
      <c r="N353" s="103">
        <f t="shared" si="123"/>
        <v>0</v>
      </c>
      <c r="O353" s="103">
        <f t="shared" si="123"/>
        <v>-3987389.48</v>
      </c>
      <c r="P353" s="103">
        <f t="shared" si="123"/>
        <v>0</v>
      </c>
      <c r="Q353" s="103">
        <f t="shared" si="132"/>
        <v>-3987389.48</v>
      </c>
      <c r="S353" s="267" t="str">
        <f t="shared" si="134"/>
        <v/>
      </c>
      <c r="T353" s="267">
        <f t="shared" si="134"/>
        <v>0</v>
      </c>
      <c r="U353" s="267" t="str">
        <f t="shared" si="134"/>
        <v/>
      </c>
      <c r="V353" s="267">
        <f t="shared" si="134"/>
        <v>0</v>
      </c>
      <c r="W353" s="530"/>
      <c r="X353" s="236"/>
      <c r="Y353" s="236"/>
      <c r="Z353" s="236"/>
    </row>
    <row r="354" spans="1:26" ht="12" hidden="1" customHeight="1">
      <c r="A354" s="548" t="s">
        <v>140</v>
      </c>
      <c r="B354" s="548" t="s">
        <v>146</v>
      </c>
      <c r="C354" s="458" t="s">
        <v>716</v>
      </c>
      <c r="D354" s="550" t="s">
        <v>716</v>
      </c>
      <c r="E354" s="459" t="s">
        <v>716</v>
      </c>
      <c r="F354" s="104">
        <f>'[3]CONAP - W INC'!F256</f>
        <v>0</v>
      </c>
      <c r="G354" s="104">
        <f>'[3]CONAP - W INC'!G256</f>
        <v>4367389.4800000004</v>
      </c>
      <c r="H354" s="104">
        <f>'[3]CONAP - W INC'!H256</f>
        <v>0</v>
      </c>
      <c r="I354" s="103">
        <f t="shared" si="130"/>
        <v>4367389.4800000004</v>
      </c>
      <c r="J354" s="103">
        <f>'[3]CONAP - W INC'!J256</f>
        <v>0</v>
      </c>
      <c r="K354" s="104">
        <f>'[3]CONAP - W INC'!K256</f>
        <v>164924.63999999998</v>
      </c>
      <c r="L354" s="104">
        <f>'[3]CONAP - W INC'!L256</f>
        <v>0</v>
      </c>
      <c r="M354" s="103">
        <f t="shared" si="131"/>
        <v>164924.63999999998</v>
      </c>
      <c r="N354" s="103">
        <f t="shared" si="123"/>
        <v>0</v>
      </c>
      <c r="O354" s="103">
        <f t="shared" si="123"/>
        <v>4202464.8400000008</v>
      </c>
      <c r="P354" s="103">
        <f t="shared" si="123"/>
        <v>0</v>
      </c>
      <c r="Q354" s="103">
        <f t="shared" si="132"/>
        <v>4202464.8400000008</v>
      </c>
      <c r="S354" s="267" t="str">
        <f t="shared" si="134"/>
        <v/>
      </c>
      <c r="T354" s="267">
        <f t="shared" si="134"/>
        <v>3.776275066724756E-2</v>
      </c>
      <c r="U354" s="267" t="str">
        <f t="shared" si="134"/>
        <v/>
      </c>
      <c r="V354" s="267">
        <f t="shared" si="134"/>
        <v>3.776275066724756E-2</v>
      </c>
      <c r="W354" s="530"/>
      <c r="X354" s="236"/>
      <c r="Y354" s="236"/>
      <c r="Z354" s="236"/>
    </row>
    <row r="355" spans="1:26" s="256" customFormat="1" ht="12" customHeight="1">
      <c r="A355" s="548"/>
      <c r="B355" s="548" t="s">
        <v>146</v>
      </c>
      <c r="C355" s="460"/>
      <c r="D355" s="551"/>
      <c r="E355" s="390" t="s">
        <v>767</v>
      </c>
      <c r="F355" s="391">
        <f>+F352+F351</f>
        <v>0</v>
      </c>
      <c r="G355" s="391">
        <f t="shared" ref="G355:Q355" si="137">+G352+G351</f>
        <v>380000.00000000047</v>
      </c>
      <c r="H355" s="391">
        <f t="shared" si="137"/>
        <v>0</v>
      </c>
      <c r="I355" s="391">
        <f t="shared" si="137"/>
        <v>380000.00000000047</v>
      </c>
      <c r="J355" s="391">
        <f t="shared" si="137"/>
        <v>0</v>
      </c>
      <c r="K355" s="391">
        <f t="shared" si="137"/>
        <v>164924.63999999998</v>
      </c>
      <c r="L355" s="391">
        <f t="shared" si="137"/>
        <v>0</v>
      </c>
      <c r="M355" s="391">
        <f t="shared" si="137"/>
        <v>164924.63999999998</v>
      </c>
      <c r="N355" s="391">
        <f t="shared" si="137"/>
        <v>0</v>
      </c>
      <c r="O355" s="391">
        <f t="shared" si="137"/>
        <v>215075.36000000048</v>
      </c>
      <c r="P355" s="391">
        <f t="shared" si="137"/>
        <v>0</v>
      </c>
      <c r="Q355" s="391">
        <f t="shared" si="137"/>
        <v>215075.36000000048</v>
      </c>
      <c r="R355" s="761"/>
      <c r="S355" s="267" t="str">
        <f t="shared" si="134"/>
        <v/>
      </c>
      <c r="T355" s="267">
        <f t="shared" si="134"/>
        <v>0.43401221052631522</v>
      </c>
      <c r="U355" s="267" t="str">
        <f t="shared" si="134"/>
        <v/>
      </c>
      <c r="V355" s="267">
        <f t="shared" si="134"/>
        <v>0.43401221052631522</v>
      </c>
      <c r="W355" s="532"/>
      <c r="Y355" s="236" t="s">
        <v>598</v>
      </c>
      <c r="Z355" s="240" t="s">
        <v>598</v>
      </c>
    </row>
    <row r="356" spans="1:26" ht="12" hidden="1" customHeight="1">
      <c r="A356" s="548"/>
      <c r="B356" s="548"/>
      <c r="C356" s="456"/>
      <c r="D356" s="549"/>
      <c r="E356" s="461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S356" s="267" t="str">
        <f t="shared" si="134"/>
        <v/>
      </c>
      <c r="T356" s="267" t="str">
        <f t="shared" si="134"/>
        <v/>
      </c>
      <c r="U356" s="267" t="str">
        <f t="shared" si="134"/>
        <v/>
      </c>
      <c r="V356" s="267" t="str">
        <f t="shared" si="134"/>
        <v/>
      </c>
      <c r="W356" s="530"/>
      <c r="X356" s="236"/>
      <c r="Y356" s="236"/>
      <c r="Z356" s="236"/>
    </row>
    <row r="357" spans="1:26" s="256" customFormat="1" ht="12" customHeight="1">
      <c r="A357" s="548" t="s">
        <v>140</v>
      </c>
      <c r="B357" s="548" t="s">
        <v>146</v>
      </c>
      <c r="C357" s="460"/>
      <c r="D357" s="551" t="s">
        <v>98</v>
      </c>
      <c r="E357" s="390" t="s">
        <v>100</v>
      </c>
      <c r="F357" s="391">
        <f>SUM(F358:F358)</f>
        <v>0</v>
      </c>
      <c r="G357" s="391">
        <f>SUM(G358:G358)</f>
        <v>100000</v>
      </c>
      <c r="H357" s="391">
        <f>SUM(H358:H358)</f>
        <v>0</v>
      </c>
      <c r="I357" s="391">
        <f>+F357+G357+H357</f>
        <v>100000</v>
      </c>
      <c r="J357" s="391">
        <v>0</v>
      </c>
      <c r="K357" s="391">
        <f>SUM(K358:K358)</f>
        <v>100000</v>
      </c>
      <c r="L357" s="391">
        <f>SUM(L358:L358)</f>
        <v>0</v>
      </c>
      <c r="M357" s="391">
        <f>+J357+K357+L357</f>
        <v>100000</v>
      </c>
      <c r="N357" s="391">
        <f t="shared" ref="N357:P358" si="138">+F357-J357</f>
        <v>0</v>
      </c>
      <c r="O357" s="391">
        <f t="shared" si="138"/>
        <v>0</v>
      </c>
      <c r="P357" s="391">
        <f t="shared" si="138"/>
        <v>0</v>
      </c>
      <c r="Q357" s="391">
        <f>+N357+O357+P357</f>
        <v>0</v>
      </c>
      <c r="R357" s="761"/>
      <c r="S357" s="267" t="str">
        <f t="shared" si="134"/>
        <v/>
      </c>
      <c r="T357" s="267">
        <f t="shared" si="134"/>
        <v>1</v>
      </c>
      <c r="U357" s="267" t="str">
        <f t="shared" si="134"/>
        <v/>
      </c>
      <c r="V357" s="267">
        <f t="shared" si="134"/>
        <v>1</v>
      </c>
      <c r="W357" s="532"/>
      <c r="Y357" s="236" t="s">
        <v>598</v>
      </c>
      <c r="Z357" s="240" t="s">
        <v>598</v>
      </c>
    </row>
    <row r="358" spans="1:26" ht="12" customHeight="1">
      <c r="A358" s="548" t="s">
        <v>140</v>
      </c>
      <c r="B358" s="548" t="s">
        <v>146</v>
      </c>
      <c r="C358" s="456"/>
      <c r="D358" s="549"/>
      <c r="E358" s="462" t="s">
        <v>290</v>
      </c>
      <c r="F358" s="103">
        <v>0</v>
      </c>
      <c r="G358" s="103">
        <f>SUM('[3]chd3-SAOB'!BG222)</f>
        <v>100000</v>
      </c>
      <c r="H358" s="103">
        <f>SUM('[3]chd3-SAOB'!BG315)</f>
        <v>0</v>
      </c>
      <c r="I358" s="103">
        <f>+F358+G358+H358</f>
        <v>100000</v>
      </c>
      <c r="J358" s="103">
        <v>0</v>
      </c>
      <c r="K358" s="103">
        <f>SUM('[3]chd3-SAOB'!BG223)</f>
        <v>100000</v>
      </c>
      <c r="L358" s="103">
        <f>SUM('[3]chd3-SAOB'!BG316)</f>
        <v>0</v>
      </c>
      <c r="M358" s="103">
        <f>+J358+K358+L358</f>
        <v>100000</v>
      </c>
      <c r="N358" s="103">
        <f t="shared" si="138"/>
        <v>0</v>
      </c>
      <c r="O358" s="103">
        <f t="shared" si="138"/>
        <v>0</v>
      </c>
      <c r="P358" s="103">
        <f t="shared" si="138"/>
        <v>0</v>
      </c>
      <c r="Q358" s="103">
        <f>+N358+O358+P358</f>
        <v>0</v>
      </c>
      <c r="S358" s="267" t="str">
        <f t="shared" si="134"/>
        <v/>
      </c>
      <c r="T358" s="267">
        <f t="shared" si="134"/>
        <v>1</v>
      </c>
      <c r="U358" s="267" t="str">
        <f t="shared" si="134"/>
        <v/>
      </c>
      <c r="V358" s="267">
        <f t="shared" si="134"/>
        <v>1</v>
      </c>
      <c r="W358" s="530"/>
      <c r="X358" s="236"/>
      <c r="Y358" s="236" t="s">
        <v>598</v>
      </c>
      <c r="Z358" s="236"/>
    </row>
    <row r="359" spans="1:26" s="259" customFormat="1" ht="12" customHeight="1">
      <c r="A359" s="315" t="s">
        <v>140</v>
      </c>
      <c r="B359" s="315" t="s">
        <v>146</v>
      </c>
      <c r="C359" s="1096"/>
      <c r="D359" s="466"/>
      <c r="E359" s="1097" t="s">
        <v>4</v>
      </c>
      <c r="F359" s="652">
        <f>+F357+F355</f>
        <v>0</v>
      </c>
      <c r="G359" s="652">
        <f t="shared" ref="G359:Q359" si="139">+G357+G355</f>
        <v>480000.00000000047</v>
      </c>
      <c r="H359" s="652">
        <f t="shared" si="139"/>
        <v>0</v>
      </c>
      <c r="I359" s="652">
        <f t="shared" si="139"/>
        <v>480000.00000000047</v>
      </c>
      <c r="J359" s="652">
        <f t="shared" si="139"/>
        <v>0</v>
      </c>
      <c r="K359" s="652">
        <f t="shared" si="139"/>
        <v>264924.64</v>
      </c>
      <c r="L359" s="652">
        <f t="shared" si="139"/>
        <v>0</v>
      </c>
      <c r="M359" s="652">
        <f t="shared" si="139"/>
        <v>264924.64</v>
      </c>
      <c r="N359" s="652">
        <f t="shared" si="139"/>
        <v>0</v>
      </c>
      <c r="O359" s="652">
        <f t="shared" si="139"/>
        <v>215075.36000000048</v>
      </c>
      <c r="P359" s="652">
        <f t="shared" si="139"/>
        <v>0</v>
      </c>
      <c r="Q359" s="652">
        <f t="shared" si="139"/>
        <v>215075.36000000048</v>
      </c>
      <c r="R359" s="1095">
        <f>+Q359-'[3]chd3-SAOB'!CM352</f>
        <v>-3.2014213502407074E-10</v>
      </c>
      <c r="S359" s="524" t="str">
        <f t="shared" si="134"/>
        <v/>
      </c>
      <c r="T359" s="524">
        <f t="shared" si="134"/>
        <v>0.55192633333333285</v>
      </c>
      <c r="U359" s="524" t="str">
        <f t="shared" si="134"/>
        <v/>
      </c>
      <c r="V359" s="524">
        <f t="shared" si="134"/>
        <v>0.55192633333333285</v>
      </c>
      <c r="W359" s="344"/>
      <c r="X359" s="520"/>
      <c r="Y359" s="837" t="s">
        <v>598</v>
      </c>
      <c r="Z359" s="241" t="s">
        <v>598</v>
      </c>
    </row>
    <row r="360" spans="1:26" ht="12" customHeight="1">
      <c r="A360" s="315" t="s">
        <v>140</v>
      </c>
      <c r="B360" s="315" t="s">
        <v>146</v>
      </c>
      <c r="C360" s="456"/>
      <c r="D360" s="456"/>
      <c r="E360" s="46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S360" s="267" t="str">
        <f t="shared" si="134"/>
        <v/>
      </c>
      <c r="T360" s="267" t="str">
        <f t="shared" si="134"/>
        <v/>
      </c>
      <c r="U360" s="267" t="str">
        <f t="shared" si="134"/>
        <v/>
      </c>
      <c r="V360" s="267" t="str">
        <f t="shared" si="134"/>
        <v/>
      </c>
      <c r="W360" s="267"/>
      <c r="Y360" s="837" t="s">
        <v>598</v>
      </c>
      <c r="Z360" s="241" t="s">
        <v>598</v>
      </c>
    </row>
    <row r="361" spans="1:26" s="275" customFormat="1" ht="12" customHeight="1">
      <c r="A361" s="548" t="s">
        <v>140</v>
      </c>
      <c r="B361" s="548" t="s">
        <v>147</v>
      </c>
      <c r="C361" s="464" t="s">
        <v>98</v>
      </c>
      <c r="D361" s="552" t="s">
        <v>148</v>
      </c>
      <c r="E361" s="407" t="s">
        <v>802</v>
      </c>
      <c r="F361" s="468"/>
      <c r="G361" s="468"/>
      <c r="H361" s="468"/>
      <c r="I361" s="409">
        <f t="shared" si="130"/>
        <v>0</v>
      </c>
      <c r="J361" s="409">
        <v>0</v>
      </c>
      <c r="K361" s="468"/>
      <c r="L361" s="468"/>
      <c r="M361" s="409">
        <f t="shared" si="131"/>
        <v>0</v>
      </c>
      <c r="N361" s="409">
        <f t="shared" si="123"/>
        <v>0</v>
      </c>
      <c r="O361" s="409">
        <f t="shared" si="123"/>
        <v>0</v>
      </c>
      <c r="P361" s="409">
        <f t="shared" si="123"/>
        <v>0</v>
      </c>
      <c r="Q361" s="409">
        <f t="shared" si="132"/>
        <v>0</v>
      </c>
      <c r="R361" s="761"/>
      <c r="S361" s="267" t="str">
        <f t="shared" si="134"/>
        <v/>
      </c>
      <c r="T361" s="267" t="str">
        <f t="shared" si="134"/>
        <v/>
      </c>
      <c r="U361" s="267" t="str">
        <f t="shared" si="134"/>
        <v/>
      </c>
      <c r="V361" s="267" t="str">
        <f t="shared" si="134"/>
        <v/>
      </c>
      <c r="W361" s="553"/>
      <c r="Y361" s="236" t="s">
        <v>598</v>
      </c>
      <c r="Z361" s="240" t="s">
        <v>598</v>
      </c>
    </row>
    <row r="362" spans="1:26" ht="12" customHeight="1">
      <c r="A362" s="548" t="s">
        <v>140</v>
      </c>
      <c r="B362" s="548" t="s">
        <v>147</v>
      </c>
      <c r="C362" s="447" t="s">
        <v>766</v>
      </c>
      <c r="D362" s="549"/>
      <c r="E362" s="447" t="s">
        <v>766</v>
      </c>
      <c r="F362" s="104">
        <f>+'[3]chd3-SAOB'!B481</f>
        <v>0</v>
      </c>
      <c r="G362" s="104">
        <f>+'[3]chd3-SAOB'!C481</f>
        <v>2774647.03</v>
      </c>
      <c r="H362" s="104">
        <f>+'[3]chd3-SAOB'!D481</f>
        <v>0</v>
      </c>
      <c r="I362" s="103">
        <f t="shared" si="130"/>
        <v>2774647.03</v>
      </c>
      <c r="J362" s="103">
        <v>0</v>
      </c>
      <c r="K362" s="104">
        <f>+'[3]chd3-SAOB'!G481</f>
        <v>2774647.0300000003</v>
      </c>
      <c r="L362" s="104">
        <f>+'[3]chd3-SAOB'!H481</f>
        <v>0</v>
      </c>
      <c r="M362" s="103">
        <f t="shared" si="131"/>
        <v>2774647.0300000003</v>
      </c>
      <c r="N362" s="103">
        <f t="shared" si="123"/>
        <v>0</v>
      </c>
      <c r="O362" s="103">
        <f t="shared" si="123"/>
        <v>0</v>
      </c>
      <c r="P362" s="103">
        <f t="shared" si="123"/>
        <v>0</v>
      </c>
      <c r="Q362" s="103">
        <f t="shared" si="132"/>
        <v>0</v>
      </c>
      <c r="S362" s="267" t="str">
        <f t="shared" si="134"/>
        <v/>
      </c>
      <c r="T362" s="267">
        <f t="shared" si="134"/>
        <v>1.0000000000000002</v>
      </c>
      <c r="U362" s="267" t="str">
        <f t="shared" si="134"/>
        <v/>
      </c>
      <c r="V362" s="267">
        <f t="shared" si="134"/>
        <v>1.0000000000000002</v>
      </c>
      <c r="W362" s="530"/>
      <c r="X362" s="236"/>
      <c r="Y362" s="236" t="s">
        <v>688</v>
      </c>
      <c r="Z362" s="236"/>
    </row>
    <row r="363" spans="1:26" ht="12" customHeight="1">
      <c r="A363" s="548" t="s">
        <v>140</v>
      </c>
      <c r="B363" s="548" t="s">
        <v>147</v>
      </c>
      <c r="C363" s="456"/>
      <c r="D363" s="549"/>
      <c r="E363" s="453" t="s">
        <v>50</v>
      </c>
      <c r="F363" s="103">
        <f>+F364+F365</f>
        <v>0</v>
      </c>
      <c r="G363" s="103">
        <f>+G364+G365</f>
        <v>436385.04999999981</v>
      </c>
      <c r="H363" s="103">
        <f>+H364+H365</f>
        <v>0</v>
      </c>
      <c r="I363" s="103">
        <f t="shared" si="130"/>
        <v>436385.04999999981</v>
      </c>
      <c r="J363" s="103">
        <f>+J364+J365</f>
        <v>0</v>
      </c>
      <c r="K363" s="103">
        <f>+K364+K365</f>
        <v>415105.02</v>
      </c>
      <c r="L363" s="103">
        <f>+L364+L365</f>
        <v>0</v>
      </c>
      <c r="M363" s="103">
        <f t="shared" si="131"/>
        <v>415105.02</v>
      </c>
      <c r="N363" s="103">
        <f t="shared" si="123"/>
        <v>0</v>
      </c>
      <c r="O363" s="103">
        <f t="shared" si="123"/>
        <v>21280.029999999795</v>
      </c>
      <c r="P363" s="103">
        <f t="shared" si="123"/>
        <v>0</v>
      </c>
      <c r="Q363" s="103">
        <f t="shared" si="132"/>
        <v>21280.029999999795</v>
      </c>
      <c r="S363" s="267" t="str">
        <f t="shared" si="134"/>
        <v/>
      </c>
      <c r="T363" s="267">
        <f t="shared" si="134"/>
        <v>0.95123565759184503</v>
      </c>
      <c r="U363" s="267" t="str">
        <f t="shared" si="134"/>
        <v/>
      </c>
      <c r="V363" s="267">
        <f t="shared" si="134"/>
        <v>0.95123565759184503</v>
      </c>
      <c r="W363" s="530"/>
      <c r="X363" s="236"/>
      <c r="Y363" s="236" t="s">
        <v>688</v>
      </c>
      <c r="Z363" s="236"/>
    </row>
    <row r="364" spans="1:26" ht="12" hidden="1" customHeight="1">
      <c r="A364" s="548" t="s">
        <v>140</v>
      </c>
      <c r="B364" s="548" t="s">
        <v>147</v>
      </c>
      <c r="C364" s="458" t="s">
        <v>715</v>
      </c>
      <c r="D364" s="550" t="s">
        <v>715</v>
      </c>
      <c r="E364" s="447" t="s">
        <v>715</v>
      </c>
      <c r="F364" s="104">
        <f>'[3]CONAP - W INC'!F263</f>
        <v>0</v>
      </c>
      <c r="G364" s="104">
        <f>'[3]CONAP - W INC'!G263</f>
        <v>-2633144.66</v>
      </c>
      <c r="H364" s="104">
        <f>'[3]CONAP - W INC'!H263</f>
        <v>0</v>
      </c>
      <c r="I364" s="103">
        <f t="shared" si="130"/>
        <v>-2633144.66</v>
      </c>
      <c r="J364" s="103">
        <f>'[3]CONAP - W INC'!J263</f>
        <v>0</v>
      </c>
      <c r="K364" s="104">
        <f>'[3]CONAP - W INC'!K263</f>
        <v>195709.52</v>
      </c>
      <c r="L364" s="104">
        <f>'[3]CONAP - W INC'!L263</f>
        <v>0</v>
      </c>
      <c r="M364" s="103">
        <f t="shared" si="131"/>
        <v>195709.52</v>
      </c>
      <c r="N364" s="103">
        <f t="shared" si="123"/>
        <v>0</v>
      </c>
      <c r="O364" s="103">
        <f t="shared" si="123"/>
        <v>-2828854.18</v>
      </c>
      <c r="P364" s="103">
        <f t="shared" si="123"/>
        <v>0</v>
      </c>
      <c r="Q364" s="103">
        <f t="shared" si="132"/>
        <v>-2828854.18</v>
      </c>
      <c r="S364" s="267" t="str">
        <f t="shared" si="134"/>
        <v/>
      </c>
      <c r="T364" s="267">
        <f t="shared" si="134"/>
        <v>-7.432539615958661E-2</v>
      </c>
      <c r="U364" s="267" t="str">
        <f t="shared" si="134"/>
        <v/>
      </c>
      <c r="V364" s="267">
        <f t="shared" si="134"/>
        <v>-7.432539615958661E-2</v>
      </c>
      <c r="W364" s="530"/>
      <c r="X364" s="236"/>
      <c r="Y364" s="236"/>
      <c r="Z364" s="236"/>
    </row>
    <row r="365" spans="1:26" ht="12" hidden="1" customHeight="1">
      <c r="A365" s="548" t="s">
        <v>140</v>
      </c>
      <c r="B365" s="548" t="s">
        <v>147</v>
      </c>
      <c r="C365" s="458" t="s">
        <v>716</v>
      </c>
      <c r="D365" s="550" t="s">
        <v>716</v>
      </c>
      <c r="E365" s="459" t="s">
        <v>716</v>
      </c>
      <c r="F365" s="104">
        <f>'[3]CONAP - W INC'!F264</f>
        <v>0</v>
      </c>
      <c r="G365" s="104">
        <f>'[3]CONAP - W INC'!G264</f>
        <v>3069529.71</v>
      </c>
      <c r="H365" s="104">
        <f>'[3]CONAP - W INC'!H264</f>
        <v>0</v>
      </c>
      <c r="I365" s="103">
        <f t="shared" si="130"/>
        <v>3069529.71</v>
      </c>
      <c r="J365" s="103">
        <f>'[3]CONAP - W INC'!J264</f>
        <v>0</v>
      </c>
      <c r="K365" s="104">
        <f>'[3]CONAP - W INC'!K264</f>
        <v>219395.5</v>
      </c>
      <c r="L365" s="104">
        <f>'[3]CONAP - W INC'!L264</f>
        <v>0</v>
      </c>
      <c r="M365" s="103">
        <f t="shared" si="131"/>
        <v>219395.5</v>
      </c>
      <c r="N365" s="103">
        <f t="shared" si="123"/>
        <v>0</v>
      </c>
      <c r="O365" s="103">
        <f t="shared" si="123"/>
        <v>2850134.21</v>
      </c>
      <c r="P365" s="103">
        <f t="shared" si="123"/>
        <v>0</v>
      </c>
      <c r="Q365" s="103">
        <f t="shared" si="132"/>
        <v>2850134.21</v>
      </c>
      <c r="S365" s="267" t="str">
        <f t="shared" si="134"/>
        <v/>
      </c>
      <c r="T365" s="267">
        <f t="shared" si="134"/>
        <v>7.1475281469095153E-2</v>
      </c>
      <c r="U365" s="267" t="str">
        <f t="shared" si="134"/>
        <v/>
      </c>
      <c r="V365" s="267">
        <f t="shared" si="134"/>
        <v>7.1475281469095153E-2</v>
      </c>
      <c r="W365" s="530"/>
      <c r="X365" s="236"/>
      <c r="Y365" s="236"/>
      <c r="Z365" s="236"/>
    </row>
    <row r="366" spans="1:26" s="256" customFormat="1" ht="12" customHeight="1">
      <c r="A366" s="548"/>
      <c r="B366" s="548" t="s">
        <v>147</v>
      </c>
      <c r="C366" s="460"/>
      <c r="D366" s="551"/>
      <c r="E366" s="390" t="s">
        <v>767</v>
      </c>
      <c r="F366" s="391">
        <f>+F363+F362</f>
        <v>0</v>
      </c>
      <c r="G366" s="391">
        <f t="shared" ref="G366:Q366" si="140">+G363+G362</f>
        <v>3211032.0799999996</v>
      </c>
      <c r="H366" s="391">
        <f t="shared" si="140"/>
        <v>0</v>
      </c>
      <c r="I366" s="391">
        <f t="shared" si="140"/>
        <v>3211032.0799999996</v>
      </c>
      <c r="J366" s="391">
        <f t="shared" si="140"/>
        <v>0</v>
      </c>
      <c r="K366" s="391">
        <f t="shared" si="140"/>
        <v>3189752.0500000003</v>
      </c>
      <c r="L366" s="391">
        <f t="shared" si="140"/>
        <v>0</v>
      </c>
      <c r="M366" s="391">
        <f t="shared" si="140"/>
        <v>3189752.0500000003</v>
      </c>
      <c r="N366" s="391">
        <f t="shared" si="140"/>
        <v>0</v>
      </c>
      <c r="O366" s="391">
        <f t="shared" si="140"/>
        <v>21280.029999999795</v>
      </c>
      <c r="P366" s="391">
        <f t="shared" si="140"/>
        <v>0</v>
      </c>
      <c r="Q366" s="391">
        <f t="shared" si="140"/>
        <v>21280.029999999795</v>
      </c>
      <c r="R366" s="761"/>
      <c r="S366" s="267" t="str">
        <f t="shared" si="134"/>
        <v/>
      </c>
      <c r="T366" s="267">
        <f t="shared" si="134"/>
        <v>0.993372837931909</v>
      </c>
      <c r="U366" s="267" t="str">
        <f t="shared" si="134"/>
        <v/>
      </c>
      <c r="V366" s="267">
        <f t="shared" si="134"/>
        <v>0.993372837931909</v>
      </c>
      <c r="W366" s="532"/>
      <c r="Y366" s="236" t="s">
        <v>598</v>
      </c>
      <c r="Z366" s="240" t="s">
        <v>598</v>
      </c>
    </row>
    <row r="367" spans="1:26" ht="12" hidden="1" customHeight="1">
      <c r="A367" s="548"/>
      <c r="B367" s="548"/>
      <c r="C367" s="456"/>
      <c r="D367" s="549"/>
      <c r="E367" s="461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S367" s="267" t="str">
        <f t="shared" si="134"/>
        <v/>
      </c>
      <c r="T367" s="267" t="str">
        <f t="shared" si="134"/>
        <v/>
      </c>
      <c r="U367" s="267" t="str">
        <f t="shared" si="134"/>
        <v/>
      </c>
      <c r="V367" s="267" t="str">
        <f t="shared" si="134"/>
        <v/>
      </c>
      <c r="W367" s="530"/>
      <c r="X367" s="236"/>
      <c r="Y367" s="236"/>
      <c r="Z367" s="236"/>
    </row>
    <row r="368" spans="1:26" s="256" customFormat="1" ht="12" customHeight="1">
      <c r="A368" s="548" t="s">
        <v>140</v>
      </c>
      <c r="B368" s="548" t="s">
        <v>147</v>
      </c>
      <c r="C368" s="460"/>
      <c r="D368" s="551" t="s">
        <v>98</v>
      </c>
      <c r="E368" s="390" t="s">
        <v>100</v>
      </c>
      <c r="F368" s="391">
        <f>SUM(F369:F369)</f>
        <v>0</v>
      </c>
      <c r="G368" s="391">
        <f>SUM(G369:G369)</f>
        <v>1550000</v>
      </c>
      <c r="H368" s="391">
        <f>SUM(H369:H369)</f>
        <v>0</v>
      </c>
      <c r="I368" s="391">
        <f>+F368+G368+H368</f>
        <v>1550000</v>
      </c>
      <c r="J368" s="391">
        <v>0</v>
      </c>
      <c r="K368" s="391">
        <f>SUM(K369:K369)</f>
        <v>0</v>
      </c>
      <c r="L368" s="391">
        <f>SUM(L369:L369)</f>
        <v>0</v>
      </c>
      <c r="M368" s="391">
        <f>+J368+K368+L368</f>
        <v>0</v>
      </c>
      <c r="N368" s="391">
        <f t="shared" ref="N368:P369" si="141">+F368-J368</f>
        <v>0</v>
      </c>
      <c r="O368" s="391">
        <f t="shared" si="141"/>
        <v>1550000</v>
      </c>
      <c r="P368" s="391">
        <f t="shared" si="141"/>
        <v>0</v>
      </c>
      <c r="Q368" s="391">
        <f>+N368+O368+P368</f>
        <v>1550000</v>
      </c>
      <c r="R368" s="761"/>
      <c r="S368" s="267" t="str">
        <f t="shared" si="134"/>
        <v/>
      </c>
      <c r="T368" s="267">
        <f t="shared" si="134"/>
        <v>0</v>
      </c>
      <c r="U368" s="267" t="str">
        <f t="shared" si="134"/>
        <v/>
      </c>
      <c r="V368" s="267">
        <f t="shared" si="134"/>
        <v>0</v>
      </c>
      <c r="W368" s="532"/>
      <c r="Y368" s="236" t="s">
        <v>598</v>
      </c>
      <c r="Z368" s="240" t="s">
        <v>598</v>
      </c>
    </row>
    <row r="369" spans="1:26" ht="12" customHeight="1">
      <c r="A369" s="548" t="s">
        <v>140</v>
      </c>
      <c r="B369" s="548" t="s">
        <v>147</v>
      </c>
      <c r="C369" s="456"/>
      <c r="D369" s="549"/>
      <c r="E369" s="462" t="s">
        <v>290</v>
      </c>
      <c r="F369" s="103">
        <v>0</v>
      </c>
      <c r="G369" s="103">
        <f>SUM('[3]chd3-SAOB'!BH222)</f>
        <v>1550000</v>
      </c>
      <c r="H369" s="103">
        <f>SUM('[3]chd3-SAOB'!BH315)</f>
        <v>0</v>
      </c>
      <c r="I369" s="103">
        <f>+F369+G369+H369</f>
        <v>1550000</v>
      </c>
      <c r="J369" s="103">
        <v>0</v>
      </c>
      <c r="K369" s="103">
        <f>SUM('[3]chd3-SAOB'!BH223)</f>
        <v>0</v>
      </c>
      <c r="L369" s="103">
        <f>SUM('[3]chd3-SAOB'!BH316)</f>
        <v>0</v>
      </c>
      <c r="M369" s="103">
        <f>+J369+K369+L369</f>
        <v>0</v>
      </c>
      <c r="N369" s="103">
        <f t="shared" si="141"/>
        <v>0</v>
      </c>
      <c r="O369" s="103">
        <f t="shared" si="141"/>
        <v>1550000</v>
      </c>
      <c r="P369" s="103">
        <f t="shared" si="141"/>
        <v>0</v>
      </c>
      <c r="Q369" s="103">
        <f>+N369+O369+P369</f>
        <v>1550000</v>
      </c>
      <c r="S369" s="267" t="str">
        <f t="shared" si="134"/>
        <v/>
      </c>
      <c r="T369" s="267">
        <f t="shared" si="134"/>
        <v>0</v>
      </c>
      <c r="U369" s="267" t="str">
        <f t="shared" si="134"/>
        <v/>
      </c>
      <c r="V369" s="267">
        <f t="shared" si="134"/>
        <v>0</v>
      </c>
      <c r="W369" s="530"/>
      <c r="X369" s="236"/>
      <c r="Y369" s="236" t="s">
        <v>598</v>
      </c>
      <c r="Z369" s="236"/>
    </row>
    <row r="370" spans="1:26" s="259" customFormat="1" ht="12" customHeight="1">
      <c r="A370" s="315" t="s">
        <v>140</v>
      </c>
      <c r="B370" s="315" t="s">
        <v>147</v>
      </c>
      <c r="C370" s="1096"/>
      <c r="D370" s="466"/>
      <c r="E370" s="1097" t="s">
        <v>4</v>
      </c>
      <c r="F370" s="652">
        <f>+F368+F366</f>
        <v>0</v>
      </c>
      <c r="G370" s="652">
        <f t="shared" ref="G370:Q370" si="142">+G368+G366</f>
        <v>4761032.08</v>
      </c>
      <c r="H370" s="652">
        <f t="shared" si="142"/>
        <v>0</v>
      </c>
      <c r="I370" s="652">
        <f t="shared" si="142"/>
        <v>4761032.08</v>
      </c>
      <c r="J370" s="652">
        <f t="shared" si="142"/>
        <v>0</v>
      </c>
      <c r="K370" s="652">
        <f t="shared" si="142"/>
        <v>3189752.0500000003</v>
      </c>
      <c r="L370" s="652">
        <f t="shared" si="142"/>
        <v>0</v>
      </c>
      <c r="M370" s="652">
        <f t="shared" si="142"/>
        <v>3189752.0500000003</v>
      </c>
      <c r="N370" s="652">
        <f t="shared" si="142"/>
        <v>0</v>
      </c>
      <c r="O370" s="652">
        <f t="shared" si="142"/>
        <v>1571280.0299999998</v>
      </c>
      <c r="P370" s="652">
        <f t="shared" si="142"/>
        <v>0</v>
      </c>
      <c r="Q370" s="652">
        <f t="shared" si="142"/>
        <v>1571280.0299999998</v>
      </c>
      <c r="R370" s="1095">
        <f>+Q370-'[3]chd3-SAOB'!CN352</f>
        <v>0</v>
      </c>
      <c r="S370" s="524" t="str">
        <f t="shared" si="134"/>
        <v/>
      </c>
      <c r="T370" s="524">
        <f t="shared" si="134"/>
        <v>0.66997071147649145</v>
      </c>
      <c r="U370" s="524" t="str">
        <f t="shared" si="134"/>
        <v/>
      </c>
      <c r="V370" s="524">
        <f t="shared" si="134"/>
        <v>0.66997071147649145</v>
      </c>
      <c r="W370" s="344"/>
      <c r="X370" s="520"/>
      <c r="Y370" s="837" t="s">
        <v>598</v>
      </c>
      <c r="Z370" s="241" t="s">
        <v>598</v>
      </c>
    </row>
    <row r="371" spans="1:26" s="660" customFormat="1" ht="12" hidden="1" customHeight="1">
      <c r="A371" s="315" t="s">
        <v>140</v>
      </c>
      <c r="B371" s="315" t="s">
        <v>141</v>
      </c>
      <c r="C371" s="1467" t="s">
        <v>612</v>
      </c>
      <c r="D371" s="1468"/>
      <c r="E371" s="1469"/>
      <c r="F371" s="659">
        <f>+F326+F337+F348+F359+F370</f>
        <v>0</v>
      </c>
      <c r="G371" s="659">
        <f>+G326+G337+G348+G359+G370</f>
        <v>17916370.18</v>
      </c>
      <c r="H371" s="659">
        <f>+H326+H337+H348+H359+H370</f>
        <v>0</v>
      </c>
      <c r="I371" s="659">
        <f t="shared" si="130"/>
        <v>17916370.18</v>
      </c>
      <c r="J371" s="659">
        <v>0</v>
      </c>
      <c r="K371" s="659">
        <f>+K326+K337+K348+K359+K370</f>
        <v>15155763.960000001</v>
      </c>
      <c r="L371" s="659">
        <f>+L326+L337+L348+L359+L370</f>
        <v>0</v>
      </c>
      <c r="M371" s="659">
        <f t="shared" si="131"/>
        <v>15155763.960000001</v>
      </c>
      <c r="N371" s="659">
        <f t="shared" si="123"/>
        <v>0</v>
      </c>
      <c r="O371" s="659">
        <f t="shared" si="123"/>
        <v>2760606.2199999988</v>
      </c>
      <c r="P371" s="659">
        <f t="shared" si="123"/>
        <v>0</v>
      </c>
      <c r="Q371" s="659">
        <f t="shared" si="132"/>
        <v>2760606.2199999988</v>
      </c>
      <c r="R371" s="1098"/>
      <c r="S371" s="661" t="str">
        <f t="shared" si="134"/>
        <v/>
      </c>
      <c r="T371" s="661">
        <f t="shared" si="134"/>
        <v>0.84591710305909751</v>
      </c>
      <c r="U371" s="661" t="str">
        <f t="shared" si="134"/>
        <v/>
      </c>
      <c r="V371" s="661">
        <f t="shared" si="134"/>
        <v>0.84591710305909751</v>
      </c>
      <c r="W371" s="295"/>
      <c r="X371" s="520"/>
      <c r="Y371" s="837"/>
      <c r="Z371" s="241"/>
    </row>
    <row r="372" spans="1:26" ht="12" hidden="1" customHeight="1">
      <c r="A372" s="315" t="s">
        <v>140</v>
      </c>
      <c r="B372" s="315" t="s">
        <v>141</v>
      </c>
      <c r="C372" s="469"/>
      <c r="D372" s="470"/>
      <c r="E372" s="471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S372" s="267" t="str">
        <f t="shared" si="134"/>
        <v/>
      </c>
      <c r="T372" s="267" t="str">
        <f t="shared" si="134"/>
        <v/>
      </c>
      <c r="U372" s="267" t="str">
        <f t="shared" si="134"/>
        <v/>
      </c>
      <c r="V372" s="267" t="str">
        <f t="shared" si="134"/>
        <v/>
      </c>
      <c r="W372" s="267"/>
      <c r="X372" s="237" t="s">
        <v>598</v>
      </c>
    </row>
    <row r="373" spans="1:26" s="275" customFormat="1" ht="12.75" hidden="1" customHeight="1">
      <c r="A373" s="315" t="s">
        <v>613</v>
      </c>
      <c r="B373" s="315" t="s">
        <v>141</v>
      </c>
      <c r="C373" s="464" t="s">
        <v>803</v>
      </c>
      <c r="D373" s="464"/>
      <c r="E373" s="472"/>
      <c r="F373" s="409"/>
      <c r="G373" s="409"/>
      <c r="H373" s="409"/>
      <c r="I373" s="409">
        <f t="shared" si="130"/>
        <v>0</v>
      </c>
      <c r="J373" s="409">
        <v>0</v>
      </c>
      <c r="K373" s="409"/>
      <c r="L373" s="409"/>
      <c r="M373" s="409">
        <f t="shared" si="131"/>
        <v>0</v>
      </c>
      <c r="N373" s="409">
        <f t="shared" si="123"/>
        <v>0</v>
      </c>
      <c r="O373" s="409">
        <f t="shared" si="123"/>
        <v>0</v>
      </c>
      <c r="P373" s="409">
        <f t="shared" si="123"/>
        <v>0</v>
      </c>
      <c r="Q373" s="409">
        <f t="shared" si="132"/>
        <v>0</v>
      </c>
      <c r="R373" s="761"/>
      <c r="S373" s="267" t="str">
        <f t="shared" si="134"/>
        <v/>
      </c>
      <c r="T373" s="267" t="str">
        <f t="shared" si="134"/>
        <v/>
      </c>
      <c r="U373" s="267" t="str">
        <f t="shared" si="134"/>
        <v/>
      </c>
      <c r="V373" s="267" t="str">
        <f t="shared" si="134"/>
        <v/>
      </c>
      <c r="W373" s="251"/>
      <c r="X373" s="237" t="s">
        <v>598</v>
      </c>
      <c r="Y373" s="839"/>
      <c r="Z373" s="253"/>
    </row>
    <row r="374" spans="1:26" ht="12" hidden="1" customHeight="1">
      <c r="A374" s="315" t="s">
        <v>613</v>
      </c>
      <c r="B374" s="315" t="s">
        <v>141</v>
      </c>
      <c r="C374" s="447" t="s">
        <v>766</v>
      </c>
      <c r="D374" s="456" t="s">
        <v>98</v>
      </c>
      <c r="E374" s="447" t="s">
        <v>766</v>
      </c>
      <c r="F374" s="103">
        <f>+F303+F318+F329+F340+F351+F362</f>
        <v>0</v>
      </c>
      <c r="G374" s="103">
        <f>+G303+G318+G329+G340+G351+G362</f>
        <v>6671193.79</v>
      </c>
      <c r="H374" s="103">
        <f>+H303+H318+H329+H340+H351+H362</f>
        <v>0</v>
      </c>
      <c r="I374" s="103">
        <f t="shared" si="130"/>
        <v>6671193.79</v>
      </c>
      <c r="J374" s="103">
        <v>0</v>
      </c>
      <c r="K374" s="103">
        <f>+K303+K318+K329+K340+K351+K362</f>
        <v>6376741.4000000004</v>
      </c>
      <c r="L374" s="103">
        <f>+L303+L318+L329+L340+L351+L362</f>
        <v>0</v>
      </c>
      <c r="M374" s="103">
        <f t="shared" si="131"/>
        <v>6376741.4000000004</v>
      </c>
      <c r="N374" s="103">
        <f t="shared" si="123"/>
        <v>0</v>
      </c>
      <c r="O374" s="103">
        <f t="shared" si="123"/>
        <v>294452.38999999966</v>
      </c>
      <c r="P374" s="103">
        <f t="shared" si="123"/>
        <v>0</v>
      </c>
      <c r="Q374" s="103">
        <f t="shared" si="132"/>
        <v>294452.38999999966</v>
      </c>
      <c r="S374" s="267" t="str">
        <f t="shared" si="134"/>
        <v/>
      </c>
      <c r="T374" s="267">
        <f t="shared" si="134"/>
        <v>0.95586211414793876</v>
      </c>
      <c r="U374" s="267" t="str">
        <f t="shared" si="134"/>
        <v/>
      </c>
      <c r="V374" s="267">
        <f t="shared" si="134"/>
        <v>0.95586211414793876</v>
      </c>
      <c r="W374" s="267"/>
      <c r="X374" s="237" t="s">
        <v>598</v>
      </c>
    </row>
    <row r="375" spans="1:26" ht="12" hidden="1" customHeight="1">
      <c r="A375" s="315" t="s">
        <v>613</v>
      </c>
      <c r="B375" s="315" t="s">
        <v>141</v>
      </c>
      <c r="C375" s="456"/>
      <c r="D375" s="456" t="s">
        <v>98</v>
      </c>
      <c r="E375" s="453" t="s">
        <v>50</v>
      </c>
      <c r="F375" s="103">
        <f>+F376+F377</f>
        <v>0</v>
      </c>
      <c r="G375" s="103">
        <f>+G376+G377</f>
        <v>53586086.719999999</v>
      </c>
      <c r="H375" s="103">
        <f>+H376+H377</f>
        <v>28784993.719999999</v>
      </c>
      <c r="I375" s="103">
        <f t="shared" si="130"/>
        <v>82371080.439999998</v>
      </c>
      <c r="J375" s="103">
        <f>+J376+J377</f>
        <v>0</v>
      </c>
      <c r="K375" s="103">
        <f>+K376+K377</f>
        <v>26411848.420000006</v>
      </c>
      <c r="L375" s="103">
        <f>+L376+L377</f>
        <v>11021183.379999999</v>
      </c>
      <c r="M375" s="103">
        <f t="shared" si="131"/>
        <v>37433031.800000004</v>
      </c>
      <c r="N375" s="103">
        <f t="shared" si="123"/>
        <v>0</v>
      </c>
      <c r="O375" s="103">
        <f t="shared" si="123"/>
        <v>27174238.299999993</v>
      </c>
      <c r="P375" s="103">
        <f t="shared" si="123"/>
        <v>17763810.34</v>
      </c>
      <c r="Q375" s="103">
        <f t="shared" si="132"/>
        <v>44938048.639999993</v>
      </c>
      <c r="S375" s="267" t="str">
        <f t="shared" si="134"/>
        <v/>
      </c>
      <c r="T375" s="267">
        <f t="shared" si="134"/>
        <v>0.49288630755979945</v>
      </c>
      <c r="U375" s="267">
        <f t="shared" si="134"/>
        <v>0.38287947835619673</v>
      </c>
      <c r="V375" s="267">
        <f t="shared" si="134"/>
        <v>0.4544438606370671</v>
      </c>
      <c r="W375" s="267"/>
      <c r="X375" s="237" t="s">
        <v>598</v>
      </c>
    </row>
    <row r="376" spans="1:26" ht="12" hidden="1" customHeight="1">
      <c r="A376" s="315" t="s">
        <v>613</v>
      </c>
      <c r="B376" s="315" t="s">
        <v>141</v>
      </c>
      <c r="C376" s="458" t="s">
        <v>715</v>
      </c>
      <c r="D376" s="458" t="s">
        <v>715</v>
      </c>
      <c r="E376" s="447" t="s">
        <v>715</v>
      </c>
      <c r="F376" s="103">
        <v>0</v>
      </c>
      <c r="G376" s="103">
        <f>+G308+G320+G331+G342+G353+G364</f>
        <v>-13417578.82</v>
      </c>
      <c r="H376" s="103">
        <f>+H308+H320+H331+H342+H353+H364</f>
        <v>6913000</v>
      </c>
      <c r="I376" s="103">
        <f t="shared" si="130"/>
        <v>-6504578.8200000003</v>
      </c>
      <c r="J376" s="103">
        <v>0</v>
      </c>
      <c r="K376" s="103">
        <f>+K308+K320+K331+K342+K353+K364</f>
        <v>537111.92000000004</v>
      </c>
      <c r="L376" s="103">
        <f>+L308+L320+L331+L342+L353+L364</f>
        <v>0</v>
      </c>
      <c r="M376" s="103">
        <f t="shared" si="131"/>
        <v>537111.92000000004</v>
      </c>
      <c r="N376" s="103">
        <f t="shared" ref="N376:P437" si="143">+F376-J376</f>
        <v>0</v>
      </c>
      <c r="O376" s="103">
        <f t="shared" si="143"/>
        <v>-13954690.74</v>
      </c>
      <c r="P376" s="103">
        <f t="shared" si="143"/>
        <v>6913000</v>
      </c>
      <c r="Q376" s="103">
        <f t="shared" si="132"/>
        <v>-7041690.7400000002</v>
      </c>
      <c r="S376" s="267" t="str">
        <f t="shared" si="134"/>
        <v/>
      </c>
      <c r="T376" s="267">
        <f t="shared" si="134"/>
        <v>-4.0030465049282267E-2</v>
      </c>
      <c r="U376" s="267">
        <f t="shared" si="134"/>
        <v>0</v>
      </c>
      <c r="V376" s="267">
        <f t="shared" si="134"/>
        <v>-8.2574434850187575E-2</v>
      </c>
      <c r="W376" s="267"/>
      <c r="X376" s="237" t="s">
        <v>598</v>
      </c>
    </row>
    <row r="377" spans="1:26" ht="12" hidden="1" customHeight="1">
      <c r="A377" s="315" t="s">
        <v>613</v>
      </c>
      <c r="B377" s="315" t="s">
        <v>141</v>
      </c>
      <c r="C377" s="458" t="s">
        <v>716</v>
      </c>
      <c r="D377" s="458" t="s">
        <v>716</v>
      </c>
      <c r="E377" s="459" t="s">
        <v>716</v>
      </c>
      <c r="F377" s="103">
        <v>0</v>
      </c>
      <c r="G377" s="103">
        <f>+G309+G321+G332+G343+G354+G365</f>
        <v>67003665.539999999</v>
      </c>
      <c r="H377" s="103">
        <f>+H309+H321+H332+H343+H354+H365</f>
        <v>21871993.719999999</v>
      </c>
      <c r="I377" s="103">
        <f t="shared" si="130"/>
        <v>88875659.25999999</v>
      </c>
      <c r="J377" s="103">
        <v>0</v>
      </c>
      <c r="K377" s="103">
        <f>+K309+K321+K332+K343+K354+K365</f>
        <v>25874736.500000004</v>
      </c>
      <c r="L377" s="103">
        <f>+L309+L321+L332+L343+L354+L365</f>
        <v>11021183.379999999</v>
      </c>
      <c r="M377" s="103">
        <f t="shared" si="131"/>
        <v>36895919.880000003</v>
      </c>
      <c r="N377" s="103">
        <f t="shared" si="143"/>
        <v>0</v>
      </c>
      <c r="O377" s="103">
        <f>+G377-K377</f>
        <v>41128929.039999992</v>
      </c>
      <c r="P377" s="103">
        <f t="shared" si="143"/>
        <v>10850810.34</v>
      </c>
      <c r="Q377" s="103">
        <f t="shared" si="132"/>
        <v>51979739.379999995</v>
      </c>
      <c r="S377" s="267" t="str">
        <f t="shared" si="134"/>
        <v/>
      </c>
      <c r="T377" s="267">
        <f t="shared" si="134"/>
        <v>0.38616896988349458</v>
      </c>
      <c r="U377" s="267">
        <f t="shared" si="134"/>
        <v>0.50389477617315259</v>
      </c>
      <c r="V377" s="267">
        <f t="shared" si="134"/>
        <v>0.41514088544832478</v>
      </c>
      <c r="W377" s="267"/>
      <c r="X377" s="237" t="s">
        <v>598</v>
      </c>
    </row>
    <row r="378" spans="1:26" s="256" customFormat="1" ht="12" hidden="1" customHeight="1">
      <c r="A378" s="315"/>
      <c r="B378" s="315" t="s">
        <v>141</v>
      </c>
      <c r="C378" s="460"/>
      <c r="D378" s="460"/>
      <c r="E378" s="390" t="s">
        <v>767</v>
      </c>
      <c r="F378" s="391">
        <f>+F375+F374</f>
        <v>0</v>
      </c>
      <c r="G378" s="391">
        <f t="shared" ref="G378:Q378" si="144">+G375+G374</f>
        <v>60257280.509999998</v>
      </c>
      <c r="H378" s="391">
        <f t="shared" si="144"/>
        <v>28784993.719999999</v>
      </c>
      <c r="I378" s="391">
        <f t="shared" si="144"/>
        <v>89042274.230000004</v>
      </c>
      <c r="J378" s="391">
        <f t="shared" si="144"/>
        <v>0</v>
      </c>
      <c r="K378" s="391">
        <f t="shared" si="144"/>
        <v>32788589.820000008</v>
      </c>
      <c r="L378" s="391">
        <f t="shared" si="144"/>
        <v>11021183.379999999</v>
      </c>
      <c r="M378" s="391">
        <f t="shared" si="144"/>
        <v>43809773.200000003</v>
      </c>
      <c r="N378" s="391">
        <f t="shared" si="144"/>
        <v>0</v>
      </c>
      <c r="O378" s="391">
        <f t="shared" si="144"/>
        <v>27468690.689999994</v>
      </c>
      <c r="P378" s="391">
        <f t="shared" si="144"/>
        <v>17763810.34</v>
      </c>
      <c r="Q378" s="391">
        <f t="shared" si="144"/>
        <v>45232501.029999994</v>
      </c>
      <c r="R378" s="761"/>
      <c r="S378" s="267" t="str">
        <f t="shared" si="134"/>
        <v/>
      </c>
      <c r="T378" s="267">
        <f t="shared" si="134"/>
        <v>0.5441432063061421</v>
      </c>
      <c r="U378" s="267">
        <f t="shared" si="134"/>
        <v>0.38287947835619673</v>
      </c>
      <c r="V378" s="267">
        <f t="shared" si="134"/>
        <v>0.492010941756019</v>
      </c>
      <c r="W378" s="263"/>
      <c r="X378" s="237" t="s">
        <v>598</v>
      </c>
      <c r="Y378" s="840"/>
      <c r="Z378" s="241"/>
    </row>
    <row r="379" spans="1:26" ht="12" hidden="1" customHeight="1">
      <c r="A379" s="315"/>
      <c r="B379" s="315"/>
      <c r="C379" s="456"/>
      <c r="D379" s="456"/>
      <c r="E379" s="461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S379" s="267" t="str">
        <f t="shared" si="134"/>
        <v/>
      </c>
      <c r="T379" s="267" t="str">
        <f t="shared" si="134"/>
        <v/>
      </c>
      <c r="U379" s="267" t="str">
        <f t="shared" si="134"/>
        <v/>
      </c>
      <c r="V379" s="267" t="str">
        <f t="shared" si="134"/>
        <v/>
      </c>
      <c r="W379" s="267"/>
      <c r="X379" s="237" t="s">
        <v>598</v>
      </c>
    </row>
    <row r="380" spans="1:26" s="256" customFormat="1" ht="12" hidden="1" customHeight="1">
      <c r="A380" s="315" t="s">
        <v>613</v>
      </c>
      <c r="B380" s="315" t="s">
        <v>141</v>
      </c>
      <c r="C380" s="460"/>
      <c r="D380" s="460" t="s">
        <v>98</v>
      </c>
      <c r="E380" s="390" t="s">
        <v>100</v>
      </c>
      <c r="F380" s="391">
        <f>+F381</f>
        <v>0</v>
      </c>
      <c r="G380" s="391">
        <f t="shared" ref="G380:Q380" si="145">+G381</f>
        <v>11455682.219999999</v>
      </c>
      <c r="H380" s="391">
        <f t="shared" si="145"/>
        <v>0</v>
      </c>
      <c r="I380" s="391">
        <f t="shared" si="145"/>
        <v>11455682.219999999</v>
      </c>
      <c r="J380" s="391">
        <f t="shared" si="145"/>
        <v>0</v>
      </c>
      <c r="K380" s="391">
        <f t="shared" si="145"/>
        <v>9672635.3100000005</v>
      </c>
      <c r="L380" s="391">
        <f t="shared" si="145"/>
        <v>0</v>
      </c>
      <c r="M380" s="391">
        <f t="shared" si="145"/>
        <v>9672635.3100000005</v>
      </c>
      <c r="N380" s="391">
        <f t="shared" si="145"/>
        <v>0</v>
      </c>
      <c r="O380" s="391">
        <f t="shared" si="145"/>
        <v>1783046.9099999983</v>
      </c>
      <c r="P380" s="391">
        <f t="shared" si="145"/>
        <v>0</v>
      </c>
      <c r="Q380" s="391">
        <f t="shared" si="145"/>
        <v>1783046.9099999983</v>
      </c>
      <c r="R380" s="761"/>
      <c r="S380" s="267" t="str">
        <f t="shared" si="134"/>
        <v/>
      </c>
      <c r="T380" s="267">
        <f t="shared" si="134"/>
        <v>0.84435262119203591</v>
      </c>
      <c r="U380" s="267" t="str">
        <f t="shared" si="134"/>
        <v/>
      </c>
      <c r="V380" s="267">
        <f t="shared" si="134"/>
        <v>0.84435262119203591</v>
      </c>
      <c r="W380" s="263"/>
      <c r="X380" s="237" t="s">
        <v>598</v>
      </c>
      <c r="Y380" s="840"/>
      <c r="Z380" s="241"/>
    </row>
    <row r="381" spans="1:26" ht="12" hidden="1" customHeight="1">
      <c r="A381" s="315" t="s">
        <v>613</v>
      </c>
      <c r="B381" s="315" t="s">
        <v>141</v>
      </c>
      <c r="C381" s="456"/>
      <c r="D381" s="456"/>
      <c r="E381" s="462" t="s">
        <v>290</v>
      </c>
      <c r="F381" s="103">
        <v>0</v>
      </c>
      <c r="G381" s="103">
        <f>+G313+G325+G336+G347+G358+G369</f>
        <v>11455682.219999999</v>
      </c>
      <c r="H381" s="103">
        <f>+H313+H325+H336+H347+H358+H369</f>
        <v>0</v>
      </c>
      <c r="I381" s="103">
        <f>+F381+G381+H381</f>
        <v>11455682.219999999</v>
      </c>
      <c r="J381" s="103">
        <v>0</v>
      </c>
      <c r="K381" s="103">
        <f>+K313+K325+K336+K347+K358+K369</f>
        <v>9672635.3100000005</v>
      </c>
      <c r="L381" s="103">
        <f>+L313+L325+L336+L347+L358+L369</f>
        <v>0</v>
      </c>
      <c r="M381" s="103">
        <f>+J381+K381+L381</f>
        <v>9672635.3100000005</v>
      </c>
      <c r="N381" s="103">
        <f>+F381-J381</f>
        <v>0</v>
      </c>
      <c r="O381" s="103">
        <f>+G381-K381</f>
        <v>1783046.9099999983</v>
      </c>
      <c r="P381" s="103">
        <f>+H381-L381</f>
        <v>0</v>
      </c>
      <c r="Q381" s="103">
        <f>+N381+O381+P381</f>
        <v>1783046.9099999983</v>
      </c>
      <c r="S381" s="267" t="str">
        <f t="shared" si="134"/>
        <v/>
      </c>
      <c r="T381" s="267">
        <f t="shared" si="134"/>
        <v>0.84435262119203591</v>
      </c>
      <c r="U381" s="267" t="str">
        <f t="shared" si="134"/>
        <v/>
      </c>
      <c r="V381" s="267">
        <f t="shared" si="134"/>
        <v>0.84435262119203591</v>
      </c>
      <c r="W381" s="267"/>
      <c r="X381" s="237" t="s">
        <v>598</v>
      </c>
    </row>
    <row r="382" spans="1:26" s="266" customFormat="1" ht="24.75" customHeight="1">
      <c r="A382" s="315" t="s">
        <v>613</v>
      </c>
      <c r="B382" s="315" t="s">
        <v>141</v>
      </c>
      <c r="C382" s="1470" t="s">
        <v>615</v>
      </c>
      <c r="D382" s="1471"/>
      <c r="E382" s="1472"/>
      <c r="F382" s="666">
        <f>+F380+F378</f>
        <v>0</v>
      </c>
      <c r="G382" s="666">
        <f t="shared" ref="G382:Q382" si="146">+G380+G378</f>
        <v>71712962.729999989</v>
      </c>
      <c r="H382" s="666">
        <f t="shared" si="146"/>
        <v>28784993.719999999</v>
      </c>
      <c r="I382" s="666">
        <f t="shared" si="146"/>
        <v>100497956.45</v>
      </c>
      <c r="J382" s="666">
        <f t="shared" si="146"/>
        <v>0</v>
      </c>
      <c r="K382" s="666">
        <f t="shared" si="146"/>
        <v>42461225.13000001</v>
      </c>
      <c r="L382" s="666">
        <f t="shared" si="146"/>
        <v>11021183.379999999</v>
      </c>
      <c r="M382" s="666">
        <f t="shared" si="146"/>
        <v>53482408.510000005</v>
      </c>
      <c r="N382" s="666">
        <f t="shared" si="146"/>
        <v>0</v>
      </c>
      <c r="O382" s="666">
        <f t="shared" si="146"/>
        <v>29251737.599999994</v>
      </c>
      <c r="P382" s="666">
        <f t="shared" si="146"/>
        <v>17763810.34</v>
      </c>
      <c r="Q382" s="666">
        <f t="shared" si="146"/>
        <v>47015547.93999999</v>
      </c>
      <c r="R382" s="1099">
        <f>+Q382-'[3]chd3-SAOB'!CO352</f>
        <v>0</v>
      </c>
      <c r="S382" s="525" t="str">
        <f t="shared" si="134"/>
        <v/>
      </c>
      <c r="T382" s="525">
        <f t="shared" si="134"/>
        <v>0.59209971968201813</v>
      </c>
      <c r="U382" s="525">
        <f t="shared" si="134"/>
        <v>0.38287947835619673</v>
      </c>
      <c r="V382" s="525">
        <f t="shared" si="134"/>
        <v>0.53217408989414339</v>
      </c>
      <c r="W382" s="345"/>
      <c r="X382" s="237" t="s">
        <v>598</v>
      </c>
      <c r="Y382" s="837" t="s">
        <v>598</v>
      </c>
      <c r="Z382" s="241" t="s">
        <v>598</v>
      </c>
    </row>
    <row r="383" spans="1:26" ht="12" customHeight="1">
      <c r="A383" s="315" t="s">
        <v>613</v>
      </c>
      <c r="B383" s="315" t="s">
        <v>141</v>
      </c>
      <c r="C383" s="456"/>
      <c r="D383" s="456"/>
      <c r="E383" s="411"/>
      <c r="F383" s="104"/>
      <c r="G383" s="104"/>
      <c r="H383" s="104"/>
      <c r="I383" s="103"/>
      <c r="J383" s="103"/>
      <c r="K383" s="104"/>
      <c r="L383" s="104"/>
      <c r="M383" s="103"/>
      <c r="N383" s="103"/>
      <c r="O383" s="103"/>
      <c r="P383" s="103"/>
      <c r="Q383" s="103"/>
      <c r="S383" s="267" t="str">
        <f t="shared" si="134"/>
        <v/>
      </c>
      <c r="T383" s="267" t="str">
        <f t="shared" si="134"/>
        <v/>
      </c>
      <c r="U383" s="267" t="str">
        <f t="shared" si="134"/>
        <v/>
      </c>
      <c r="V383" s="267" t="str">
        <f t="shared" si="134"/>
        <v/>
      </c>
      <c r="W383" s="267"/>
      <c r="Y383" s="837" t="s">
        <v>598</v>
      </c>
      <c r="Z383" s="241" t="s">
        <v>598</v>
      </c>
    </row>
    <row r="384" spans="1:26" ht="11.25" customHeight="1">
      <c r="A384" s="528" t="s">
        <v>155</v>
      </c>
      <c r="B384" s="528" t="s">
        <v>150</v>
      </c>
      <c r="C384" s="408"/>
      <c r="D384" s="529"/>
      <c r="E384" s="408" t="s">
        <v>150</v>
      </c>
      <c r="F384" s="104"/>
      <c r="G384" s="104"/>
      <c r="H384" s="104"/>
      <c r="I384" s="103"/>
      <c r="J384" s="104"/>
      <c r="K384" s="104"/>
      <c r="L384" s="104"/>
      <c r="M384" s="103"/>
      <c r="N384" s="103">
        <f t="shared" si="143"/>
        <v>0</v>
      </c>
      <c r="O384" s="103">
        <f t="shared" si="143"/>
        <v>0</v>
      </c>
      <c r="P384" s="103">
        <f t="shared" si="143"/>
        <v>0</v>
      </c>
      <c r="Q384" s="103">
        <f>SUM(N384:P384)</f>
        <v>0</v>
      </c>
      <c r="S384" s="267" t="str">
        <f t="shared" si="134"/>
        <v/>
      </c>
      <c r="T384" s="267" t="str">
        <f t="shared" si="134"/>
        <v/>
      </c>
      <c r="U384" s="267" t="str">
        <f t="shared" si="134"/>
        <v/>
      </c>
      <c r="V384" s="267" t="str">
        <f t="shared" si="134"/>
        <v/>
      </c>
      <c r="W384" s="531"/>
      <c r="X384" s="236"/>
      <c r="Y384" s="236" t="s">
        <v>598</v>
      </c>
      <c r="Z384" s="240" t="s">
        <v>598</v>
      </c>
    </row>
    <row r="385" spans="1:26" ht="12" customHeight="1">
      <c r="A385" s="548" t="s">
        <v>149</v>
      </c>
      <c r="B385" s="548" t="s">
        <v>150</v>
      </c>
      <c r="C385" s="447" t="s">
        <v>766</v>
      </c>
      <c r="D385" s="549"/>
      <c r="E385" s="447" t="s">
        <v>766</v>
      </c>
      <c r="F385" s="104">
        <f>+'[3]chd4A-SAOB'!C419</f>
        <v>0</v>
      </c>
      <c r="G385" s="104">
        <f>+'[3]chd4A-SAOB'!D419</f>
        <v>2381325.2199999997</v>
      </c>
      <c r="H385" s="104">
        <f>+'[3]chd4A-SAOB'!E419</f>
        <v>0</v>
      </c>
      <c r="I385" s="103">
        <f t="shared" si="130"/>
        <v>2381325.2199999997</v>
      </c>
      <c r="J385" s="103">
        <v>0</v>
      </c>
      <c r="K385" s="104">
        <f>+'[3]chd4A-SAOB'!H419</f>
        <v>1798692.94</v>
      </c>
      <c r="L385" s="104">
        <f>+'[3]chd4A-SAOB'!I419</f>
        <v>0</v>
      </c>
      <c r="M385" s="103">
        <f t="shared" si="131"/>
        <v>1798692.94</v>
      </c>
      <c r="N385" s="103">
        <f t="shared" si="143"/>
        <v>0</v>
      </c>
      <c r="O385" s="103">
        <f t="shared" si="143"/>
        <v>582632.2799999998</v>
      </c>
      <c r="P385" s="103">
        <f t="shared" si="143"/>
        <v>0</v>
      </c>
      <c r="Q385" s="103">
        <f t="shared" si="132"/>
        <v>582632.2799999998</v>
      </c>
      <c r="S385" s="267" t="str">
        <f t="shared" si="134"/>
        <v/>
      </c>
      <c r="T385" s="267">
        <f t="shared" si="134"/>
        <v>0.75533275543102851</v>
      </c>
      <c r="U385" s="267" t="str">
        <f t="shared" si="134"/>
        <v/>
      </c>
      <c r="V385" s="267">
        <f t="shared" si="134"/>
        <v>0.75533275543102851</v>
      </c>
      <c r="W385" s="530"/>
      <c r="X385" s="236"/>
      <c r="Y385" s="236" t="s">
        <v>688</v>
      </c>
      <c r="Z385" s="236"/>
    </row>
    <row r="386" spans="1:26" ht="12" hidden="1" customHeight="1">
      <c r="A386" s="548" t="s">
        <v>149</v>
      </c>
      <c r="B386" s="548" t="s">
        <v>150</v>
      </c>
      <c r="C386" s="457" t="s">
        <v>775</v>
      </c>
      <c r="D386" s="549" t="s">
        <v>98</v>
      </c>
      <c r="E386" s="406" t="s">
        <v>775</v>
      </c>
      <c r="F386" s="103">
        <v>0</v>
      </c>
      <c r="G386" s="103">
        <f>+'[3]chd4A-SAOB'!C221</f>
        <v>90923.199999999997</v>
      </c>
      <c r="H386" s="103">
        <f>+'[3]chd4A-SAOB'!C313</f>
        <v>0</v>
      </c>
      <c r="I386" s="103">
        <f t="shared" si="130"/>
        <v>90923.199999999997</v>
      </c>
      <c r="J386" s="103">
        <v>0</v>
      </c>
      <c r="K386" s="103">
        <f>+'[3]chd4A-SAOB'!C222</f>
        <v>90923.199999999997</v>
      </c>
      <c r="L386" s="103">
        <f>+'[3]chd4A-SAOB'!C314</f>
        <v>0</v>
      </c>
      <c r="M386" s="103">
        <f t="shared" si="131"/>
        <v>90923.199999999997</v>
      </c>
      <c r="N386" s="103">
        <f t="shared" si="143"/>
        <v>0</v>
      </c>
      <c r="O386" s="103">
        <f t="shared" si="143"/>
        <v>0</v>
      </c>
      <c r="P386" s="103">
        <f t="shared" si="143"/>
        <v>0</v>
      </c>
      <c r="Q386" s="103">
        <f t="shared" si="132"/>
        <v>0</v>
      </c>
      <c r="S386" s="267" t="str">
        <f t="shared" si="134"/>
        <v/>
      </c>
      <c r="T386" s="267">
        <f t="shared" si="134"/>
        <v>1</v>
      </c>
      <c r="U386" s="267" t="str">
        <f t="shared" si="134"/>
        <v/>
      </c>
      <c r="V386" s="267">
        <f t="shared" si="134"/>
        <v>1</v>
      </c>
      <c r="W386" s="530"/>
      <c r="X386" s="236"/>
      <c r="Y386" s="236"/>
      <c r="Z386" s="236"/>
    </row>
    <row r="387" spans="1:26" ht="12" hidden="1" customHeight="1">
      <c r="A387" s="548" t="s">
        <v>149</v>
      </c>
      <c r="B387" s="548" t="s">
        <v>150</v>
      </c>
      <c r="C387" s="456"/>
      <c r="D387" s="549" t="s">
        <v>98</v>
      </c>
      <c r="E387" s="406" t="s">
        <v>776</v>
      </c>
      <c r="F387" s="103">
        <v>0</v>
      </c>
      <c r="G387" s="103">
        <f>+'[3]chd4A-SAOB'!D221</f>
        <v>548209.76</v>
      </c>
      <c r="H387" s="103">
        <f>+'[3]chd4A-SAOB'!D313</f>
        <v>0</v>
      </c>
      <c r="I387" s="103">
        <f t="shared" si="130"/>
        <v>548209.76</v>
      </c>
      <c r="J387" s="103">
        <v>0</v>
      </c>
      <c r="K387" s="103">
        <f>+'[3]chd4A-SAOB'!D222</f>
        <v>0</v>
      </c>
      <c r="L387" s="103">
        <f>+'[3]chd4A-SAOB'!D314</f>
        <v>0</v>
      </c>
      <c r="M387" s="103">
        <f t="shared" si="131"/>
        <v>0</v>
      </c>
      <c r="N387" s="103">
        <f t="shared" si="143"/>
        <v>0</v>
      </c>
      <c r="O387" s="103">
        <f t="shared" si="143"/>
        <v>548209.76</v>
      </c>
      <c r="P387" s="103">
        <f t="shared" si="143"/>
        <v>0</v>
      </c>
      <c r="Q387" s="103">
        <f t="shared" si="132"/>
        <v>548209.76</v>
      </c>
      <c r="S387" s="267" t="str">
        <f t="shared" si="134"/>
        <v/>
      </c>
      <c r="T387" s="267">
        <f t="shared" si="134"/>
        <v>0</v>
      </c>
      <c r="U387" s="267" t="str">
        <f t="shared" si="134"/>
        <v/>
      </c>
      <c r="V387" s="267">
        <f t="shared" si="134"/>
        <v>0</v>
      </c>
      <c r="W387" s="530"/>
      <c r="X387" s="236"/>
      <c r="Y387" s="236"/>
      <c r="Z387" s="236"/>
    </row>
    <row r="388" spans="1:26" ht="12" hidden="1" customHeight="1">
      <c r="A388" s="548" t="s">
        <v>149</v>
      </c>
      <c r="B388" s="548" t="s">
        <v>150</v>
      </c>
      <c r="C388" s="456"/>
      <c r="D388" s="549" t="s">
        <v>98</v>
      </c>
      <c r="E388" s="406" t="s">
        <v>777</v>
      </c>
      <c r="F388" s="103">
        <v>0</v>
      </c>
      <c r="G388" s="103">
        <f>+'[3]chd4A-SAOB'!E221</f>
        <v>1742192.26</v>
      </c>
      <c r="H388" s="103">
        <f>+'[3]chd4A-SAOB'!E313</f>
        <v>0</v>
      </c>
      <c r="I388" s="103">
        <f t="shared" si="130"/>
        <v>1742192.26</v>
      </c>
      <c r="J388" s="103">
        <v>0</v>
      </c>
      <c r="K388" s="103">
        <f>+'[3]chd4A-SAOB'!E222</f>
        <v>1707769.74</v>
      </c>
      <c r="L388" s="103">
        <f>+'[3]chd4A-SAOB'!E314</f>
        <v>0</v>
      </c>
      <c r="M388" s="103">
        <f t="shared" si="131"/>
        <v>1707769.74</v>
      </c>
      <c r="N388" s="103">
        <f t="shared" si="143"/>
        <v>0</v>
      </c>
      <c r="O388" s="103">
        <f t="shared" si="143"/>
        <v>34422.520000000019</v>
      </c>
      <c r="P388" s="103">
        <f t="shared" si="143"/>
        <v>0</v>
      </c>
      <c r="Q388" s="103">
        <f t="shared" si="132"/>
        <v>34422.520000000019</v>
      </c>
      <c r="S388" s="267" t="str">
        <f t="shared" si="134"/>
        <v/>
      </c>
      <c r="T388" s="267">
        <f t="shared" si="134"/>
        <v>0.98024183622535432</v>
      </c>
      <c r="U388" s="267" t="str">
        <f t="shared" si="134"/>
        <v/>
      </c>
      <c r="V388" s="267">
        <f t="shared" si="134"/>
        <v>0.98024183622535432</v>
      </c>
      <c r="W388" s="530"/>
      <c r="X388" s="236"/>
      <c r="Y388" s="236"/>
      <c r="Z388" s="236"/>
    </row>
    <row r="389" spans="1:26" ht="12" customHeight="1">
      <c r="A389" s="548" t="s">
        <v>149</v>
      </c>
      <c r="B389" s="548" t="s">
        <v>150</v>
      </c>
      <c r="C389" s="456"/>
      <c r="D389" s="549"/>
      <c r="E389" s="453" t="s">
        <v>50</v>
      </c>
      <c r="F389" s="103">
        <f>+F390+F391</f>
        <v>0</v>
      </c>
      <c r="G389" s="103">
        <f>+G390+G391</f>
        <v>46311066.030000001</v>
      </c>
      <c r="H389" s="103">
        <f>+H390+H391</f>
        <v>49109899.710000001</v>
      </c>
      <c r="I389" s="103">
        <f t="shared" si="130"/>
        <v>95420965.74000001</v>
      </c>
      <c r="J389" s="103">
        <f>+J390+J391</f>
        <v>0</v>
      </c>
      <c r="K389" s="103">
        <f>+K390+K391</f>
        <v>42003865.189999998</v>
      </c>
      <c r="L389" s="103">
        <f>+L390+L391</f>
        <v>24124450.649999999</v>
      </c>
      <c r="M389" s="103">
        <f t="shared" si="131"/>
        <v>66128315.839999996</v>
      </c>
      <c r="N389" s="103">
        <f t="shared" si="143"/>
        <v>0</v>
      </c>
      <c r="O389" s="103">
        <f t="shared" si="143"/>
        <v>4307200.8400000036</v>
      </c>
      <c r="P389" s="103">
        <f t="shared" si="143"/>
        <v>24985449.060000002</v>
      </c>
      <c r="Q389" s="103">
        <f t="shared" si="132"/>
        <v>29292649.900000006</v>
      </c>
      <c r="S389" s="267" t="str">
        <f t="shared" si="134"/>
        <v/>
      </c>
      <c r="T389" s="267">
        <f t="shared" si="134"/>
        <v>0.90699413316873712</v>
      </c>
      <c r="U389" s="267">
        <f t="shared" si="134"/>
        <v>0.49123396285591797</v>
      </c>
      <c r="V389" s="267">
        <f t="shared" si="134"/>
        <v>0.69301662718635981</v>
      </c>
      <c r="W389" s="530"/>
      <c r="X389" s="236"/>
      <c r="Y389" s="236" t="s">
        <v>688</v>
      </c>
      <c r="Z389" s="236"/>
    </row>
    <row r="390" spans="1:26" ht="12" hidden="1" customHeight="1">
      <c r="A390" s="548" t="s">
        <v>149</v>
      </c>
      <c r="B390" s="548" t="s">
        <v>150</v>
      </c>
      <c r="C390" s="458" t="s">
        <v>715</v>
      </c>
      <c r="D390" s="550" t="s">
        <v>715</v>
      </c>
      <c r="E390" s="447" t="s">
        <v>715</v>
      </c>
      <c r="F390" s="104">
        <f>'[3]CONAP - W INC'!F284</f>
        <v>0</v>
      </c>
      <c r="G390" s="104">
        <f>'[3]CONAP - W INC'!G284</f>
        <v>-2191140</v>
      </c>
      <c r="H390" s="104">
        <f>'[3]CONAP - W INC'!H284</f>
        <v>28030900</v>
      </c>
      <c r="I390" s="103">
        <f t="shared" si="130"/>
        <v>25839760</v>
      </c>
      <c r="J390" s="103">
        <f>'[3]CONAP - W INC'!J284</f>
        <v>0</v>
      </c>
      <c r="K390" s="104">
        <f>'[3]CONAP - W INC'!K284</f>
        <v>0</v>
      </c>
      <c r="L390" s="104">
        <f>'[3]CONAP - W INC'!L284</f>
        <v>21798585</v>
      </c>
      <c r="M390" s="103">
        <f t="shared" si="131"/>
        <v>21798585</v>
      </c>
      <c r="N390" s="103">
        <f t="shared" si="143"/>
        <v>0</v>
      </c>
      <c r="O390" s="103">
        <f t="shared" si="143"/>
        <v>-2191140</v>
      </c>
      <c r="P390" s="103">
        <f t="shared" si="143"/>
        <v>6232315</v>
      </c>
      <c r="Q390" s="103">
        <f t="shared" si="132"/>
        <v>4041175</v>
      </c>
      <c r="S390" s="267" t="str">
        <f t="shared" si="134"/>
        <v/>
      </c>
      <c r="T390" s="267">
        <f t="shared" si="134"/>
        <v>0</v>
      </c>
      <c r="U390" s="267">
        <f t="shared" si="134"/>
        <v>0.77766268653521653</v>
      </c>
      <c r="V390" s="267">
        <f t="shared" si="134"/>
        <v>0.84360632606494801</v>
      </c>
      <c r="W390" s="530"/>
      <c r="X390" s="236"/>
      <c r="Y390" s="236"/>
      <c r="Z390" s="236"/>
    </row>
    <row r="391" spans="1:26" ht="12" hidden="1" customHeight="1">
      <c r="A391" s="548" t="s">
        <v>149</v>
      </c>
      <c r="B391" s="548" t="s">
        <v>150</v>
      </c>
      <c r="C391" s="458" t="s">
        <v>716</v>
      </c>
      <c r="D391" s="550" t="s">
        <v>716</v>
      </c>
      <c r="E391" s="459" t="s">
        <v>716</v>
      </c>
      <c r="F391" s="104">
        <f>'[3]CONAP - W INC'!F285</f>
        <v>0</v>
      </c>
      <c r="G391" s="104">
        <f>'[3]CONAP - W INC'!G285</f>
        <v>48502206.030000001</v>
      </c>
      <c r="H391" s="104">
        <f>'[3]CONAP - W INC'!H285</f>
        <v>21078999.710000001</v>
      </c>
      <c r="I391" s="103">
        <f t="shared" si="130"/>
        <v>69581205.74000001</v>
      </c>
      <c r="J391" s="103">
        <f>'[3]CONAP - W INC'!J285</f>
        <v>0</v>
      </c>
      <c r="K391" s="104">
        <f>'[3]CONAP - W INC'!K285</f>
        <v>42003865.189999998</v>
      </c>
      <c r="L391" s="104">
        <f>'[3]CONAP - W INC'!L285</f>
        <v>2325865.65</v>
      </c>
      <c r="M391" s="103">
        <f t="shared" si="131"/>
        <v>44329730.839999996</v>
      </c>
      <c r="N391" s="103">
        <f t="shared" si="143"/>
        <v>0</v>
      </c>
      <c r="O391" s="103">
        <f t="shared" si="143"/>
        <v>6498340.8400000036</v>
      </c>
      <c r="P391" s="103">
        <f t="shared" si="143"/>
        <v>18753134.060000002</v>
      </c>
      <c r="Q391" s="103">
        <f t="shared" si="132"/>
        <v>25251474.900000006</v>
      </c>
      <c r="S391" s="267" t="str">
        <f t="shared" si="134"/>
        <v/>
      </c>
      <c r="T391" s="267">
        <f t="shared" si="134"/>
        <v>0.86601968504317939</v>
      </c>
      <c r="U391" s="267">
        <f t="shared" si="134"/>
        <v>0.11034041852074203</v>
      </c>
      <c r="V391" s="267">
        <f t="shared" si="134"/>
        <v>0.63709345603530199</v>
      </c>
      <c r="W391" s="530"/>
      <c r="X391" s="236"/>
      <c r="Y391" s="236"/>
      <c r="Z391" s="236"/>
    </row>
    <row r="392" spans="1:26" s="256" customFormat="1" ht="12" hidden="1" customHeight="1">
      <c r="A392" s="548"/>
      <c r="B392" s="548" t="s">
        <v>150</v>
      </c>
      <c r="C392" s="460"/>
      <c r="D392" s="551"/>
      <c r="E392" s="390" t="s">
        <v>767</v>
      </c>
      <c r="F392" s="391">
        <f>+F389+F385</f>
        <v>0</v>
      </c>
      <c r="G392" s="391">
        <f t="shared" ref="G392:Q392" si="147">+G389+G385</f>
        <v>48692391.25</v>
      </c>
      <c r="H392" s="391">
        <f t="shared" si="147"/>
        <v>49109899.710000001</v>
      </c>
      <c r="I392" s="391">
        <f t="shared" si="147"/>
        <v>97802290.960000008</v>
      </c>
      <c r="J392" s="391">
        <f t="shared" si="147"/>
        <v>0</v>
      </c>
      <c r="K392" s="391">
        <f t="shared" si="147"/>
        <v>43802558.129999995</v>
      </c>
      <c r="L392" s="391">
        <f t="shared" si="147"/>
        <v>24124450.649999999</v>
      </c>
      <c r="M392" s="391">
        <f t="shared" si="147"/>
        <v>67927008.780000001</v>
      </c>
      <c r="N392" s="391">
        <f t="shared" si="147"/>
        <v>0</v>
      </c>
      <c r="O392" s="391">
        <f t="shared" si="147"/>
        <v>4889833.1200000029</v>
      </c>
      <c r="P392" s="391">
        <f t="shared" si="147"/>
        <v>24985449.060000002</v>
      </c>
      <c r="Q392" s="391">
        <f t="shared" si="147"/>
        <v>29875282.180000007</v>
      </c>
      <c r="R392" s="761"/>
      <c r="S392" s="267" t="str">
        <f t="shared" si="134"/>
        <v/>
      </c>
      <c r="T392" s="267">
        <f t="shared" si="134"/>
        <v>0.8995770592802832</v>
      </c>
      <c r="U392" s="267">
        <f t="shared" si="134"/>
        <v>0.49123396285591797</v>
      </c>
      <c r="V392" s="267">
        <f t="shared" si="134"/>
        <v>0.69453392260291069</v>
      </c>
      <c r="W392" s="532"/>
      <c r="Y392" s="236"/>
      <c r="Z392" s="240" t="s">
        <v>598</v>
      </c>
    </row>
    <row r="393" spans="1:26" ht="12" hidden="1" customHeight="1">
      <c r="A393" s="548"/>
      <c r="B393" s="548"/>
      <c r="C393" s="456"/>
      <c r="D393" s="549"/>
      <c r="E393" s="461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S393" s="267" t="str">
        <f t="shared" si="134"/>
        <v/>
      </c>
      <c r="T393" s="267" t="str">
        <f t="shared" si="134"/>
        <v/>
      </c>
      <c r="U393" s="267" t="str">
        <f t="shared" si="134"/>
        <v/>
      </c>
      <c r="V393" s="267" t="str">
        <f t="shared" si="134"/>
        <v/>
      </c>
      <c r="W393" s="530"/>
      <c r="X393" s="236"/>
      <c r="Y393" s="236"/>
      <c r="Z393" s="236"/>
    </row>
    <row r="394" spans="1:26" s="256" customFormat="1" ht="12" hidden="1" customHeight="1">
      <c r="A394" s="548" t="s">
        <v>149</v>
      </c>
      <c r="B394" s="548" t="s">
        <v>150</v>
      </c>
      <c r="C394" s="460"/>
      <c r="D394" s="551" t="s">
        <v>98</v>
      </c>
      <c r="E394" s="390" t="s">
        <v>100</v>
      </c>
      <c r="F394" s="391">
        <f>SUM(F395:F395)</f>
        <v>0</v>
      </c>
      <c r="G394" s="391">
        <f>SUM(G395:G395)</f>
        <v>0</v>
      </c>
      <c r="H394" s="391">
        <f>SUM(H395:H395)</f>
        <v>0</v>
      </c>
      <c r="I394" s="391">
        <f>+F394+G394+H394</f>
        <v>0</v>
      </c>
      <c r="J394" s="391">
        <v>0</v>
      </c>
      <c r="K394" s="391">
        <f>SUM(K395:K395)</f>
        <v>0</v>
      </c>
      <c r="L394" s="391">
        <f>SUM(L395:L395)</f>
        <v>0</v>
      </c>
      <c r="M394" s="391">
        <f>+J394+K394+L394</f>
        <v>0</v>
      </c>
      <c r="N394" s="391">
        <f t="shared" ref="N394:P395" si="148">+F394-J394</f>
        <v>0</v>
      </c>
      <c r="O394" s="391">
        <f t="shared" si="148"/>
        <v>0</v>
      </c>
      <c r="P394" s="391">
        <f t="shared" si="148"/>
        <v>0</v>
      </c>
      <c r="Q394" s="391">
        <f>+N394+O394+P394</f>
        <v>0</v>
      </c>
      <c r="R394" s="761"/>
      <c r="S394" s="267" t="str">
        <f t="shared" si="134"/>
        <v/>
      </c>
      <c r="T394" s="267" t="str">
        <f t="shared" si="134"/>
        <v/>
      </c>
      <c r="U394" s="267" t="str">
        <f t="shared" si="134"/>
        <v/>
      </c>
      <c r="V394" s="267" t="str">
        <f t="shared" si="134"/>
        <v/>
      </c>
      <c r="W394" s="532"/>
      <c r="Y394" s="236"/>
      <c r="Z394" s="240" t="s">
        <v>598</v>
      </c>
    </row>
    <row r="395" spans="1:26" ht="12" hidden="1" customHeight="1">
      <c r="A395" s="548" t="s">
        <v>149</v>
      </c>
      <c r="B395" s="548" t="s">
        <v>150</v>
      </c>
      <c r="C395" s="456"/>
      <c r="D395" s="549"/>
      <c r="E395" s="462" t="s">
        <v>290</v>
      </c>
      <c r="F395" s="103">
        <v>0</v>
      </c>
      <c r="G395" s="103">
        <f>SUM('[3]chd4A-SAOB'!AA221)</f>
        <v>0</v>
      </c>
      <c r="H395" s="103">
        <f>SUM('[3]chd4A-SAOB'!AA313)</f>
        <v>0</v>
      </c>
      <c r="I395" s="103">
        <f>+F395+G395+H395</f>
        <v>0</v>
      </c>
      <c r="J395" s="103">
        <v>0</v>
      </c>
      <c r="K395" s="103">
        <f>SUM('[3]chd4A-SAOB'!AA222)</f>
        <v>0</v>
      </c>
      <c r="L395" s="103">
        <f>SUM('[3]chd4A-SAOB'!AA314)</f>
        <v>0</v>
      </c>
      <c r="M395" s="103">
        <f>+J395+K395+L395</f>
        <v>0</v>
      </c>
      <c r="N395" s="103">
        <f t="shared" si="148"/>
        <v>0</v>
      </c>
      <c r="O395" s="103">
        <f t="shared" si="148"/>
        <v>0</v>
      </c>
      <c r="P395" s="103">
        <f t="shared" si="148"/>
        <v>0</v>
      </c>
      <c r="Q395" s="103">
        <f>+N395+O395+P395</f>
        <v>0</v>
      </c>
      <c r="S395" s="267" t="str">
        <f t="shared" si="134"/>
        <v/>
      </c>
      <c r="T395" s="267" t="str">
        <f t="shared" si="134"/>
        <v/>
      </c>
      <c r="U395" s="267" t="str">
        <f t="shared" si="134"/>
        <v/>
      </c>
      <c r="V395" s="267" t="str">
        <f t="shared" si="134"/>
        <v/>
      </c>
      <c r="W395" s="530"/>
      <c r="X395" s="236"/>
      <c r="Y395" s="236"/>
      <c r="Z395" s="236"/>
    </row>
    <row r="396" spans="1:26" s="259" customFormat="1" ht="12" customHeight="1">
      <c r="A396" s="315" t="s">
        <v>149</v>
      </c>
      <c r="B396" s="315" t="s">
        <v>150</v>
      </c>
      <c r="C396" s="1477" t="s">
        <v>305</v>
      </c>
      <c r="D396" s="1478"/>
      <c r="E396" s="1479"/>
      <c r="F396" s="652">
        <f>+F392+F394</f>
        <v>0</v>
      </c>
      <c r="G396" s="652">
        <f t="shared" ref="G396:Q396" si="149">+G392+G394</f>
        <v>48692391.25</v>
      </c>
      <c r="H396" s="652">
        <f t="shared" si="149"/>
        <v>49109899.710000001</v>
      </c>
      <c r="I396" s="652">
        <f t="shared" si="149"/>
        <v>97802290.960000008</v>
      </c>
      <c r="J396" s="652">
        <f t="shared" si="149"/>
        <v>0</v>
      </c>
      <c r="K396" s="652">
        <f t="shared" si="149"/>
        <v>43802558.129999995</v>
      </c>
      <c r="L396" s="652">
        <f t="shared" si="149"/>
        <v>24124450.649999999</v>
      </c>
      <c r="M396" s="652">
        <f t="shared" si="149"/>
        <v>67927008.780000001</v>
      </c>
      <c r="N396" s="652">
        <f t="shared" si="149"/>
        <v>0</v>
      </c>
      <c r="O396" s="652">
        <f t="shared" si="149"/>
        <v>4889833.1200000029</v>
      </c>
      <c r="P396" s="652">
        <f t="shared" si="149"/>
        <v>24985449.060000002</v>
      </c>
      <c r="Q396" s="652">
        <f t="shared" si="149"/>
        <v>29875282.180000007</v>
      </c>
      <c r="R396" s="1095">
        <f>+Q396-'[3]chd4A-SAOB'!AQ350</f>
        <v>0</v>
      </c>
      <c r="S396" s="524" t="str">
        <f t="shared" si="134"/>
        <v/>
      </c>
      <c r="T396" s="524">
        <f t="shared" si="134"/>
        <v>0.8995770592802832</v>
      </c>
      <c r="U396" s="524">
        <f t="shared" si="134"/>
        <v>0.49123396285591797</v>
      </c>
      <c r="V396" s="524">
        <f t="shared" si="134"/>
        <v>0.69453392260291069</v>
      </c>
      <c r="W396" s="344"/>
      <c r="X396" s="520"/>
      <c r="Y396" s="837" t="s">
        <v>598</v>
      </c>
      <c r="Z396" s="241" t="s">
        <v>598</v>
      </c>
    </row>
    <row r="397" spans="1:26" ht="12" hidden="1" customHeight="1">
      <c r="A397" s="315" t="s">
        <v>101</v>
      </c>
      <c r="B397" s="315"/>
      <c r="C397" s="456"/>
      <c r="D397" s="456"/>
      <c r="E397" s="46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S397" s="267" t="str">
        <f t="shared" si="134"/>
        <v/>
      </c>
      <c r="T397" s="267" t="str">
        <f t="shared" si="134"/>
        <v/>
      </c>
      <c r="U397" s="267" t="str">
        <f t="shared" si="134"/>
        <v/>
      </c>
      <c r="V397" s="267" t="str">
        <f t="shared" si="134"/>
        <v/>
      </c>
      <c r="W397" s="267"/>
    </row>
    <row r="398" spans="1:26" ht="12" customHeight="1">
      <c r="A398" s="315" t="s">
        <v>151</v>
      </c>
      <c r="B398" s="315" t="s">
        <v>152</v>
      </c>
      <c r="C398" s="1100" t="s">
        <v>153</v>
      </c>
      <c r="D398" s="456"/>
      <c r="E398" s="463"/>
      <c r="F398" s="104"/>
      <c r="G398" s="104"/>
      <c r="H398" s="104"/>
      <c r="I398" s="103">
        <f t="shared" si="130"/>
        <v>0</v>
      </c>
      <c r="J398" s="103">
        <v>0</v>
      </c>
      <c r="K398" s="104"/>
      <c r="L398" s="104"/>
      <c r="M398" s="103">
        <f t="shared" si="131"/>
        <v>0</v>
      </c>
      <c r="N398" s="103">
        <f t="shared" si="143"/>
        <v>0</v>
      </c>
      <c r="O398" s="103">
        <f t="shared" si="143"/>
        <v>0</v>
      </c>
      <c r="P398" s="103">
        <f t="shared" si="143"/>
        <v>0</v>
      </c>
      <c r="Q398" s="103">
        <f t="shared" si="132"/>
        <v>0</v>
      </c>
      <c r="S398" s="267" t="str">
        <f t="shared" si="134"/>
        <v/>
      </c>
      <c r="T398" s="267" t="str">
        <f t="shared" si="134"/>
        <v/>
      </c>
      <c r="U398" s="267" t="str">
        <f t="shared" si="134"/>
        <v/>
      </c>
      <c r="V398" s="267" t="str">
        <f t="shared" si="134"/>
        <v/>
      </c>
      <c r="W398" s="267"/>
      <c r="Y398" s="837" t="s">
        <v>598</v>
      </c>
      <c r="Z398" s="241" t="s">
        <v>598</v>
      </c>
    </row>
    <row r="399" spans="1:26" s="275" customFormat="1" ht="12" customHeight="1">
      <c r="A399" s="548" t="s">
        <v>151</v>
      </c>
      <c r="B399" s="548" t="s">
        <v>154</v>
      </c>
      <c r="C399" s="464" t="s">
        <v>98</v>
      </c>
      <c r="D399" s="552" t="s">
        <v>105</v>
      </c>
      <c r="E399" s="407" t="s">
        <v>804</v>
      </c>
      <c r="F399" s="468"/>
      <c r="G399" s="468"/>
      <c r="H399" s="468"/>
      <c r="I399" s="409">
        <f t="shared" si="130"/>
        <v>0</v>
      </c>
      <c r="J399" s="409">
        <v>0</v>
      </c>
      <c r="K399" s="468"/>
      <c r="L399" s="468"/>
      <c r="M399" s="409">
        <f t="shared" si="131"/>
        <v>0</v>
      </c>
      <c r="N399" s="409">
        <f t="shared" si="143"/>
        <v>0</v>
      </c>
      <c r="O399" s="409">
        <f t="shared" si="143"/>
        <v>0</v>
      </c>
      <c r="P399" s="409">
        <f t="shared" si="143"/>
        <v>0</v>
      </c>
      <c r="Q399" s="409">
        <f t="shared" si="132"/>
        <v>0</v>
      </c>
      <c r="R399" s="761"/>
      <c r="S399" s="267" t="str">
        <f t="shared" si="134"/>
        <v/>
      </c>
      <c r="T399" s="267" t="str">
        <f t="shared" si="134"/>
        <v/>
      </c>
      <c r="U399" s="267" t="str">
        <f t="shared" si="134"/>
        <v/>
      </c>
      <c r="V399" s="267" t="str">
        <f t="shared" si="134"/>
        <v/>
      </c>
      <c r="W399" s="553"/>
      <c r="Y399" s="236" t="s">
        <v>598</v>
      </c>
      <c r="Z399" s="240" t="s">
        <v>598</v>
      </c>
    </row>
    <row r="400" spans="1:26" ht="12" customHeight="1">
      <c r="A400" s="548" t="s">
        <v>151</v>
      </c>
      <c r="B400" s="548" t="s">
        <v>154</v>
      </c>
      <c r="C400" s="447" t="s">
        <v>766</v>
      </c>
      <c r="D400" s="549"/>
      <c r="E400" s="447" t="s">
        <v>766</v>
      </c>
      <c r="F400" s="104">
        <f>+'[3]chd4A-SAOB'!C426</f>
        <v>0</v>
      </c>
      <c r="G400" s="104">
        <f>+'[3]chd4A-SAOB'!D426</f>
        <v>0</v>
      </c>
      <c r="H400" s="104">
        <f>+'[3]chd4A-SAOB'!E426</f>
        <v>0</v>
      </c>
      <c r="I400" s="103">
        <f t="shared" si="130"/>
        <v>0</v>
      </c>
      <c r="J400" s="103">
        <v>0</v>
      </c>
      <c r="K400" s="104">
        <f>+'[3]chd4A-SAOB'!H426</f>
        <v>0</v>
      </c>
      <c r="L400" s="104">
        <f>+'[3]chd4A-SAOB'!I426</f>
        <v>0</v>
      </c>
      <c r="M400" s="103">
        <f t="shared" si="131"/>
        <v>0</v>
      </c>
      <c r="N400" s="103">
        <f t="shared" si="143"/>
        <v>0</v>
      </c>
      <c r="O400" s="103">
        <f t="shared" si="143"/>
        <v>0</v>
      </c>
      <c r="P400" s="103">
        <f t="shared" si="143"/>
        <v>0</v>
      </c>
      <c r="Q400" s="103">
        <f t="shared" si="132"/>
        <v>0</v>
      </c>
      <c r="S400" s="267" t="str">
        <f t="shared" si="134"/>
        <v/>
      </c>
      <c r="T400" s="267" t="str">
        <f t="shared" si="134"/>
        <v/>
      </c>
      <c r="U400" s="267" t="str">
        <f t="shared" si="134"/>
        <v/>
      </c>
      <c r="V400" s="267" t="str">
        <f t="shared" si="134"/>
        <v/>
      </c>
      <c r="W400" s="530"/>
      <c r="X400" s="236"/>
      <c r="Y400" s="236" t="s">
        <v>688</v>
      </c>
      <c r="Z400" s="236"/>
    </row>
    <row r="401" spans="1:26" ht="12" customHeight="1">
      <c r="A401" s="548" t="s">
        <v>151</v>
      </c>
      <c r="B401" s="548" t="s">
        <v>154</v>
      </c>
      <c r="C401" s="456"/>
      <c r="D401" s="549"/>
      <c r="E401" s="453" t="s">
        <v>50</v>
      </c>
      <c r="F401" s="103">
        <f>+F402+F403</f>
        <v>0</v>
      </c>
      <c r="G401" s="103">
        <f>+G402+G403</f>
        <v>4276266.33</v>
      </c>
      <c r="H401" s="103">
        <f>+H402+H403</f>
        <v>0</v>
      </c>
      <c r="I401" s="103">
        <f t="shared" si="130"/>
        <v>4276266.33</v>
      </c>
      <c r="J401" s="103">
        <f>+J402+J403</f>
        <v>0</v>
      </c>
      <c r="K401" s="103">
        <f>+K402+K403</f>
        <v>3122715.61</v>
      </c>
      <c r="L401" s="103">
        <f>+L402+L403</f>
        <v>0</v>
      </c>
      <c r="M401" s="103">
        <f t="shared" si="131"/>
        <v>3122715.61</v>
      </c>
      <c r="N401" s="103">
        <f t="shared" si="143"/>
        <v>0</v>
      </c>
      <c r="O401" s="103">
        <f t="shared" si="143"/>
        <v>1153550.7200000002</v>
      </c>
      <c r="P401" s="103">
        <f t="shared" si="143"/>
        <v>0</v>
      </c>
      <c r="Q401" s="103">
        <f t="shared" si="132"/>
        <v>1153550.7200000002</v>
      </c>
      <c r="S401" s="267" t="str">
        <f t="shared" si="134"/>
        <v/>
      </c>
      <c r="T401" s="267">
        <f t="shared" si="134"/>
        <v>0.73024348088253888</v>
      </c>
      <c r="U401" s="267" t="str">
        <f t="shared" si="134"/>
        <v/>
      </c>
      <c r="V401" s="267">
        <f t="shared" si="134"/>
        <v>0.73024348088253888</v>
      </c>
      <c r="W401" s="530"/>
      <c r="X401" s="236"/>
      <c r="Y401" s="236" t="s">
        <v>688</v>
      </c>
      <c r="Z401" s="236"/>
    </row>
    <row r="402" spans="1:26" ht="12" hidden="1" customHeight="1">
      <c r="A402" s="548" t="s">
        <v>151</v>
      </c>
      <c r="B402" s="548" t="s">
        <v>154</v>
      </c>
      <c r="C402" s="458" t="s">
        <v>715</v>
      </c>
      <c r="D402" s="550" t="s">
        <v>715</v>
      </c>
      <c r="E402" s="447" t="s">
        <v>715</v>
      </c>
      <c r="F402" s="104">
        <f>'[3]CONAP - W INC'!F293</f>
        <v>0</v>
      </c>
      <c r="G402" s="104">
        <f>'[3]CONAP - W INC'!G293</f>
        <v>0</v>
      </c>
      <c r="H402" s="104">
        <f>'[3]CONAP - W INC'!H293</f>
        <v>0</v>
      </c>
      <c r="I402" s="103">
        <f t="shared" si="130"/>
        <v>0</v>
      </c>
      <c r="J402" s="103">
        <f>'[3]CONAP - W INC'!J293</f>
        <v>0</v>
      </c>
      <c r="K402" s="104">
        <f>'[3]CONAP - W INC'!K293</f>
        <v>0</v>
      </c>
      <c r="L402" s="104">
        <f>'[3]CONAP - W INC'!L293</f>
        <v>0</v>
      </c>
      <c r="M402" s="103">
        <f t="shared" si="131"/>
        <v>0</v>
      </c>
      <c r="N402" s="103">
        <f t="shared" si="143"/>
        <v>0</v>
      </c>
      <c r="O402" s="103">
        <f t="shared" si="143"/>
        <v>0</v>
      </c>
      <c r="P402" s="103">
        <f t="shared" si="143"/>
        <v>0</v>
      </c>
      <c r="Q402" s="103">
        <f t="shared" si="132"/>
        <v>0</v>
      </c>
      <c r="S402" s="267" t="str">
        <f t="shared" si="134"/>
        <v/>
      </c>
      <c r="T402" s="267" t="str">
        <f t="shared" si="134"/>
        <v/>
      </c>
      <c r="U402" s="267" t="str">
        <f t="shared" si="134"/>
        <v/>
      </c>
      <c r="V402" s="267" t="str">
        <f t="shared" si="134"/>
        <v/>
      </c>
      <c r="W402" s="530"/>
      <c r="X402" s="236"/>
      <c r="Y402" s="236"/>
      <c r="Z402" s="236"/>
    </row>
    <row r="403" spans="1:26" ht="12" hidden="1" customHeight="1">
      <c r="A403" s="548" t="s">
        <v>151</v>
      </c>
      <c r="B403" s="548" t="s">
        <v>154</v>
      </c>
      <c r="C403" s="458" t="s">
        <v>716</v>
      </c>
      <c r="D403" s="550" t="s">
        <v>716</v>
      </c>
      <c r="E403" s="459" t="s">
        <v>716</v>
      </c>
      <c r="F403" s="104">
        <f>'[3]CONAP - W INC'!F294</f>
        <v>0</v>
      </c>
      <c r="G403" s="104">
        <f>'[3]CONAP - W INC'!G294</f>
        <v>4276266.33</v>
      </c>
      <c r="H403" s="104">
        <f>'[3]CONAP - W INC'!H294</f>
        <v>0</v>
      </c>
      <c r="I403" s="103">
        <f t="shared" ref="I403:I437" si="150">+F403+G403+H403</f>
        <v>4276266.33</v>
      </c>
      <c r="J403" s="103">
        <f>'[3]CONAP - W INC'!J294</f>
        <v>0</v>
      </c>
      <c r="K403" s="104">
        <f>'[3]CONAP - W INC'!K294</f>
        <v>3122715.61</v>
      </c>
      <c r="L403" s="104">
        <f>'[3]CONAP - W INC'!L294</f>
        <v>0</v>
      </c>
      <c r="M403" s="103">
        <f t="shared" ref="M403:M463" si="151">+J403+K403+L403</f>
        <v>3122715.61</v>
      </c>
      <c r="N403" s="103">
        <f t="shared" si="143"/>
        <v>0</v>
      </c>
      <c r="O403" s="103">
        <f t="shared" si="143"/>
        <v>1153550.7200000002</v>
      </c>
      <c r="P403" s="103">
        <f t="shared" si="143"/>
        <v>0</v>
      </c>
      <c r="Q403" s="103">
        <f t="shared" ref="Q403:Q463" si="152">+N403+O403+P403</f>
        <v>1153550.7200000002</v>
      </c>
      <c r="S403" s="267" t="str">
        <f t="shared" si="134"/>
        <v/>
      </c>
      <c r="T403" s="267">
        <f t="shared" si="134"/>
        <v>0.73024348088253888</v>
      </c>
      <c r="U403" s="267" t="str">
        <f t="shared" si="134"/>
        <v/>
      </c>
      <c r="V403" s="267">
        <f t="shared" si="134"/>
        <v>0.73024348088253888</v>
      </c>
      <c r="W403" s="530"/>
      <c r="X403" s="236"/>
      <c r="Y403" s="236"/>
      <c r="Z403" s="236"/>
    </row>
    <row r="404" spans="1:26" s="256" customFormat="1" ht="12" customHeight="1">
      <c r="A404" s="548"/>
      <c r="B404" s="548" t="s">
        <v>154</v>
      </c>
      <c r="C404" s="460"/>
      <c r="D404" s="551"/>
      <c r="E404" s="390" t="s">
        <v>767</v>
      </c>
      <c r="F404" s="391">
        <f>+F401+F400</f>
        <v>0</v>
      </c>
      <c r="G404" s="391">
        <f t="shared" ref="G404:Q404" si="153">+G401+G400</f>
        <v>4276266.33</v>
      </c>
      <c r="H404" s="391">
        <f t="shared" si="153"/>
        <v>0</v>
      </c>
      <c r="I404" s="391">
        <f t="shared" si="153"/>
        <v>4276266.33</v>
      </c>
      <c r="J404" s="391">
        <f t="shared" si="153"/>
        <v>0</v>
      </c>
      <c r="K404" s="391">
        <f t="shared" si="153"/>
        <v>3122715.61</v>
      </c>
      <c r="L404" s="391">
        <f t="shared" si="153"/>
        <v>0</v>
      </c>
      <c r="M404" s="391">
        <f t="shared" si="153"/>
        <v>3122715.61</v>
      </c>
      <c r="N404" s="391">
        <f t="shared" si="153"/>
        <v>0</v>
      </c>
      <c r="O404" s="391">
        <f t="shared" si="153"/>
        <v>1153550.7200000002</v>
      </c>
      <c r="P404" s="391">
        <f t="shared" si="153"/>
        <v>0</v>
      </c>
      <c r="Q404" s="391">
        <f t="shared" si="153"/>
        <v>1153550.7200000002</v>
      </c>
      <c r="R404" s="761"/>
      <c r="S404" s="267" t="str">
        <f t="shared" si="134"/>
        <v/>
      </c>
      <c r="T404" s="267">
        <f t="shared" si="134"/>
        <v>0.73024348088253888</v>
      </c>
      <c r="U404" s="267" t="str">
        <f t="shared" si="134"/>
        <v/>
      </c>
      <c r="V404" s="267">
        <f t="shared" si="134"/>
        <v>0.73024348088253888</v>
      </c>
      <c r="W404" s="532"/>
      <c r="Y404" s="236" t="s">
        <v>598</v>
      </c>
      <c r="Z404" s="240" t="s">
        <v>598</v>
      </c>
    </row>
    <row r="405" spans="1:26" ht="12" hidden="1" customHeight="1">
      <c r="A405" s="548"/>
      <c r="B405" s="548"/>
      <c r="C405" s="456"/>
      <c r="D405" s="549"/>
      <c r="E405" s="461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S405" s="267" t="str">
        <f t="shared" si="134"/>
        <v/>
      </c>
      <c r="T405" s="267" t="str">
        <f t="shared" si="134"/>
        <v/>
      </c>
      <c r="U405" s="267" t="str">
        <f t="shared" si="134"/>
        <v/>
      </c>
      <c r="V405" s="267" t="str">
        <f t="shared" si="134"/>
        <v/>
      </c>
      <c r="W405" s="530"/>
      <c r="X405" s="236"/>
      <c r="Y405" s="236"/>
      <c r="Z405" s="236"/>
    </row>
    <row r="406" spans="1:26" s="256" customFormat="1" ht="12" customHeight="1">
      <c r="A406" s="548" t="s">
        <v>151</v>
      </c>
      <c r="B406" s="548" t="s">
        <v>154</v>
      </c>
      <c r="C406" s="460"/>
      <c r="D406" s="551" t="s">
        <v>98</v>
      </c>
      <c r="E406" s="390" t="s">
        <v>100</v>
      </c>
      <c r="F406" s="391">
        <f>SUM(F407:F407)</f>
        <v>0</v>
      </c>
      <c r="G406" s="391">
        <f>SUM(G407:G407)</f>
        <v>2448438.44</v>
      </c>
      <c r="H406" s="391">
        <f>SUM(H407:H407)</f>
        <v>0</v>
      </c>
      <c r="I406" s="391">
        <f>+F406+G406+H406</f>
        <v>2448438.44</v>
      </c>
      <c r="J406" s="391">
        <v>0</v>
      </c>
      <c r="K406" s="391">
        <f>SUM(K407:K407)</f>
        <v>2398438.44</v>
      </c>
      <c r="L406" s="391">
        <f>SUM(L407:L407)</f>
        <v>0</v>
      </c>
      <c r="M406" s="391">
        <f>+J406+K406+L406</f>
        <v>2398438.44</v>
      </c>
      <c r="N406" s="391">
        <f t="shared" ref="N406:P407" si="154">+F406-J406</f>
        <v>0</v>
      </c>
      <c r="O406" s="391">
        <f t="shared" si="154"/>
        <v>50000</v>
      </c>
      <c r="P406" s="391">
        <f t="shared" si="154"/>
        <v>0</v>
      </c>
      <c r="Q406" s="391">
        <f>+N406+O406+P406</f>
        <v>50000</v>
      </c>
      <c r="R406" s="761"/>
      <c r="S406" s="267" t="str">
        <f t="shared" si="134"/>
        <v/>
      </c>
      <c r="T406" s="267">
        <f t="shared" si="134"/>
        <v>0.9795788208585714</v>
      </c>
      <c r="U406" s="267" t="str">
        <f t="shared" si="134"/>
        <v/>
      </c>
      <c r="V406" s="267">
        <f t="shared" si="134"/>
        <v>0.9795788208585714</v>
      </c>
      <c r="W406" s="532"/>
      <c r="Y406" s="236" t="s">
        <v>598</v>
      </c>
      <c r="Z406" s="240" t="s">
        <v>598</v>
      </c>
    </row>
    <row r="407" spans="1:26" ht="12" customHeight="1">
      <c r="A407" s="548" t="s">
        <v>151</v>
      </c>
      <c r="B407" s="548" t="s">
        <v>154</v>
      </c>
      <c r="C407" s="456"/>
      <c r="D407" s="549"/>
      <c r="E407" s="462" t="s">
        <v>290</v>
      </c>
      <c r="F407" s="103">
        <v>0</v>
      </c>
      <c r="G407" s="103">
        <f>SUM('[3]chd4A-SAOB'!AB221)</f>
        <v>2448438.44</v>
      </c>
      <c r="H407" s="103">
        <f>SUM('[3]chd4A-SAOB'!AB313)</f>
        <v>0</v>
      </c>
      <c r="I407" s="103">
        <f>+F407+G407+H407</f>
        <v>2448438.44</v>
      </c>
      <c r="J407" s="103">
        <v>0</v>
      </c>
      <c r="K407" s="103">
        <f>SUM('[3]chd4A-SAOB'!AB222)</f>
        <v>2398438.44</v>
      </c>
      <c r="L407" s="103">
        <f>SUM('[3]chd4A-SAOB'!AB314)</f>
        <v>0</v>
      </c>
      <c r="M407" s="103">
        <f>+J407+K407+L407</f>
        <v>2398438.44</v>
      </c>
      <c r="N407" s="103">
        <f t="shared" si="154"/>
        <v>0</v>
      </c>
      <c r="O407" s="103">
        <f t="shared" si="154"/>
        <v>50000</v>
      </c>
      <c r="P407" s="103">
        <f t="shared" si="154"/>
        <v>0</v>
      </c>
      <c r="Q407" s="103">
        <f>+N407+O407+P407</f>
        <v>50000</v>
      </c>
      <c r="S407" s="267" t="str">
        <f t="shared" si="134"/>
        <v/>
      </c>
      <c r="T407" s="267">
        <f t="shared" si="134"/>
        <v>0.9795788208585714</v>
      </c>
      <c r="U407" s="267" t="str">
        <f t="shared" si="134"/>
        <v/>
      </c>
      <c r="V407" s="267">
        <f t="shared" ref="V407:V470" si="155">IF(I407=0,"",M407/I407)</f>
        <v>0.9795788208585714</v>
      </c>
      <c r="W407" s="530"/>
      <c r="X407" s="236"/>
      <c r="Y407" s="236" t="s">
        <v>598</v>
      </c>
      <c r="Z407" s="236"/>
    </row>
    <row r="408" spans="1:26" s="259" customFormat="1" ht="12" customHeight="1">
      <c r="A408" s="315" t="s">
        <v>151</v>
      </c>
      <c r="B408" s="315" t="s">
        <v>154</v>
      </c>
      <c r="C408" s="1096"/>
      <c r="D408" s="466"/>
      <c r="E408" s="1097" t="s">
        <v>4</v>
      </c>
      <c r="F408" s="652">
        <f>+F406+F404</f>
        <v>0</v>
      </c>
      <c r="G408" s="652">
        <f t="shared" ref="G408:Q408" si="156">+G406+G404</f>
        <v>6724704.7699999996</v>
      </c>
      <c r="H408" s="652">
        <f t="shared" si="156"/>
        <v>0</v>
      </c>
      <c r="I408" s="652">
        <f t="shared" si="156"/>
        <v>6724704.7699999996</v>
      </c>
      <c r="J408" s="652">
        <f t="shared" si="156"/>
        <v>0</v>
      </c>
      <c r="K408" s="652">
        <f t="shared" si="156"/>
        <v>5521154.0499999998</v>
      </c>
      <c r="L408" s="652">
        <f t="shared" si="156"/>
        <v>0</v>
      </c>
      <c r="M408" s="652">
        <f t="shared" si="156"/>
        <v>5521154.0499999998</v>
      </c>
      <c r="N408" s="652">
        <f t="shared" si="156"/>
        <v>0</v>
      </c>
      <c r="O408" s="652">
        <f t="shared" si="156"/>
        <v>1203550.7200000002</v>
      </c>
      <c r="P408" s="652">
        <f t="shared" si="156"/>
        <v>0</v>
      </c>
      <c r="Q408" s="652">
        <f t="shared" si="156"/>
        <v>1203550.7200000002</v>
      </c>
      <c r="R408" s="1095">
        <f>+Q408-'[3]chd4A-SAOB'!AR350</f>
        <v>0</v>
      </c>
      <c r="S408" s="524" t="str">
        <f t="shared" ref="S408:V471" si="157">IF(F408=0,"",J408/F408)</f>
        <v/>
      </c>
      <c r="T408" s="524">
        <f t="shared" si="157"/>
        <v>0.82102549313848916</v>
      </c>
      <c r="U408" s="524" t="str">
        <f t="shared" si="157"/>
        <v/>
      </c>
      <c r="V408" s="524">
        <f t="shared" si="155"/>
        <v>0.82102549313848916</v>
      </c>
      <c r="W408" s="344"/>
      <c r="X408" s="520"/>
      <c r="Y408" s="837" t="s">
        <v>598</v>
      </c>
      <c r="Z408" s="241" t="s">
        <v>598</v>
      </c>
    </row>
    <row r="409" spans="1:26" ht="12" hidden="1" customHeight="1">
      <c r="A409" s="315" t="s">
        <v>151</v>
      </c>
      <c r="B409" s="315" t="s">
        <v>154</v>
      </c>
      <c r="C409" s="469"/>
      <c r="D409" s="470"/>
      <c r="E409" s="471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S409" s="267" t="str">
        <f t="shared" si="157"/>
        <v/>
      </c>
      <c r="T409" s="267" t="str">
        <f t="shared" si="157"/>
        <v/>
      </c>
      <c r="U409" s="267" t="str">
        <f t="shared" si="157"/>
        <v/>
      </c>
      <c r="V409" s="267" t="str">
        <f t="shared" si="155"/>
        <v/>
      </c>
      <c r="W409" s="267"/>
      <c r="X409" s="237" t="s">
        <v>598</v>
      </c>
    </row>
    <row r="410" spans="1:26" s="275" customFormat="1" ht="12.75" hidden="1" customHeight="1">
      <c r="A410" s="315" t="s">
        <v>155</v>
      </c>
      <c r="B410" s="315" t="s">
        <v>152</v>
      </c>
      <c r="C410" s="464" t="s">
        <v>805</v>
      </c>
      <c r="D410" s="464"/>
      <c r="E410" s="472"/>
      <c r="F410" s="409"/>
      <c r="G410" s="409"/>
      <c r="H410" s="409"/>
      <c r="I410" s="409">
        <f t="shared" si="150"/>
        <v>0</v>
      </c>
      <c r="J410" s="409">
        <v>0</v>
      </c>
      <c r="K410" s="409"/>
      <c r="L410" s="409"/>
      <c r="M410" s="409">
        <f t="shared" si="151"/>
        <v>0</v>
      </c>
      <c r="N410" s="409">
        <f t="shared" si="143"/>
        <v>0</v>
      </c>
      <c r="O410" s="409">
        <f t="shared" si="143"/>
        <v>0</v>
      </c>
      <c r="P410" s="409">
        <f t="shared" si="143"/>
        <v>0</v>
      </c>
      <c r="Q410" s="409">
        <f t="shared" si="152"/>
        <v>0</v>
      </c>
      <c r="R410" s="761"/>
      <c r="S410" s="267" t="str">
        <f t="shared" si="157"/>
        <v/>
      </c>
      <c r="T410" s="267" t="str">
        <f t="shared" si="157"/>
        <v/>
      </c>
      <c r="U410" s="267" t="str">
        <f t="shared" si="157"/>
        <v/>
      </c>
      <c r="V410" s="267" t="str">
        <f t="shared" si="155"/>
        <v/>
      </c>
      <c r="W410" s="251"/>
      <c r="X410" s="237" t="s">
        <v>598</v>
      </c>
      <c r="Y410" s="839"/>
      <c r="Z410" s="253"/>
    </row>
    <row r="411" spans="1:26" ht="12" hidden="1" customHeight="1">
      <c r="A411" s="315" t="s">
        <v>155</v>
      </c>
      <c r="B411" s="315" t="s">
        <v>152</v>
      </c>
      <c r="C411" s="447" t="s">
        <v>766</v>
      </c>
      <c r="D411" s="456" t="s">
        <v>98</v>
      </c>
      <c r="E411" s="447" t="s">
        <v>766</v>
      </c>
      <c r="F411" s="103">
        <f>F385+F400</f>
        <v>0</v>
      </c>
      <c r="G411" s="103">
        <f>G385+G400</f>
        <v>2381325.2199999997</v>
      </c>
      <c r="H411" s="103">
        <f>H385+H400</f>
        <v>0</v>
      </c>
      <c r="I411" s="103">
        <f t="shared" si="150"/>
        <v>2381325.2199999997</v>
      </c>
      <c r="J411" s="103">
        <v>0</v>
      </c>
      <c r="K411" s="103">
        <f>K385+K400</f>
        <v>1798692.94</v>
      </c>
      <c r="L411" s="103">
        <f>L385+L400</f>
        <v>0</v>
      </c>
      <c r="M411" s="103">
        <f t="shared" si="151"/>
        <v>1798692.94</v>
      </c>
      <c r="N411" s="103">
        <f t="shared" si="143"/>
        <v>0</v>
      </c>
      <c r="O411" s="103">
        <f t="shared" si="143"/>
        <v>582632.2799999998</v>
      </c>
      <c r="P411" s="103">
        <f t="shared" si="143"/>
        <v>0</v>
      </c>
      <c r="Q411" s="103">
        <f t="shared" si="152"/>
        <v>582632.2799999998</v>
      </c>
      <c r="S411" s="267" t="str">
        <f t="shared" si="157"/>
        <v/>
      </c>
      <c r="T411" s="267">
        <f t="shared" si="157"/>
        <v>0.75533275543102851</v>
      </c>
      <c r="U411" s="267" t="str">
        <f t="shared" si="157"/>
        <v/>
      </c>
      <c r="V411" s="267">
        <f t="shared" si="155"/>
        <v>0.75533275543102851</v>
      </c>
      <c r="W411" s="267"/>
      <c r="X411" s="237" t="s">
        <v>598</v>
      </c>
    </row>
    <row r="412" spans="1:26" ht="12" hidden="1" customHeight="1">
      <c r="A412" s="315" t="s">
        <v>155</v>
      </c>
      <c r="B412" s="315" t="s">
        <v>152</v>
      </c>
      <c r="C412" s="456"/>
      <c r="D412" s="456" t="s">
        <v>98</v>
      </c>
      <c r="E412" s="453" t="s">
        <v>50</v>
      </c>
      <c r="F412" s="103">
        <f>+F413+F414</f>
        <v>0</v>
      </c>
      <c r="G412" s="103">
        <f>+G413+G414</f>
        <v>50587332.359999999</v>
      </c>
      <c r="H412" s="103">
        <f>+H413+H414</f>
        <v>49109899.710000001</v>
      </c>
      <c r="I412" s="103">
        <f t="shared" si="150"/>
        <v>99697232.069999993</v>
      </c>
      <c r="J412" s="103">
        <f>+J413+J414</f>
        <v>0</v>
      </c>
      <c r="K412" s="103">
        <f>+K413+K414</f>
        <v>45126580.799999997</v>
      </c>
      <c r="L412" s="103">
        <f>+L413+L414</f>
        <v>24124450.649999999</v>
      </c>
      <c r="M412" s="103">
        <f t="shared" si="151"/>
        <v>69251031.449999988</v>
      </c>
      <c r="N412" s="103">
        <f t="shared" si="143"/>
        <v>0</v>
      </c>
      <c r="O412" s="103">
        <f t="shared" si="143"/>
        <v>5460751.5600000024</v>
      </c>
      <c r="P412" s="103">
        <f t="shared" si="143"/>
        <v>24985449.060000002</v>
      </c>
      <c r="Q412" s="103">
        <f t="shared" si="152"/>
        <v>30446200.620000005</v>
      </c>
      <c r="S412" s="267" t="str">
        <f t="shared" si="157"/>
        <v/>
      </c>
      <c r="T412" s="267">
        <f t="shared" si="157"/>
        <v>0.89205298430960789</v>
      </c>
      <c r="U412" s="267">
        <f t="shared" si="157"/>
        <v>0.49123396285591797</v>
      </c>
      <c r="V412" s="267">
        <f t="shared" si="155"/>
        <v>0.69461338105532411</v>
      </c>
      <c r="W412" s="267"/>
      <c r="X412" s="237" t="s">
        <v>598</v>
      </c>
    </row>
    <row r="413" spans="1:26" ht="12" hidden="1" customHeight="1">
      <c r="A413" s="315" t="s">
        <v>155</v>
      </c>
      <c r="B413" s="315" t="s">
        <v>152</v>
      </c>
      <c r="C413" s="458" t="s">
        <v>715</v>
      </c>
      <c r="D413" s="458" t="s">
        <v>715</v>
      </c>
      <c r="E413" s="447" t="s">
        <v>715</v>
      </c>
      <c r="F413" s="103">
        <f t="shared" ref="F413:H414" si="158">+F390+F402</f>
        <v>0</v>
      </c>
      <c r="G413" s="103">
        <f t="shared" si="158"/>
        <v>-2191140</v>
      </c>
      <c r="H413" s="103">
        <f t="shared" si="158"/>
        <v>28030900</v>
      </c>
      <c r="I413" s="103">
        <f t="shared" si="150"/>
        <v>25839760</v>
      </c>
      <c r="J413" s="103">
        <f t="shared" ref="J413:L414" si="159">+J390+J402</f>
        <v>0</v>
      </c>
      <c r="K413" s="103">
        <f t="shared" si="159"/>
        <v>0</v>
      </c>
      <c r="L413" s="103">
        <f t="shared" si="159"/>
        <v>21798585</v>
      </c>
      <c r="M413" s="103">
        <f t="shared" si="151"/>
        <v>21798585</v>
      </c>
      <c r="N413" s="103">
        <f t="shared" si="143"/>
        <v>0</v>
      </c>
      <c r="O413" s="103">
        <f t="shared" si="143"/>
        <v>-2191140</v>
      </c>
      <c r="P413" s="103">
        <f t="shared" si="143"/>
        <v>6232315</v>
      </c>
      <c r="Q413" s="103">
        <f t="shared" si="152"/>
        <v>4041175</v>
      </c>
      <c r="S413" s="267" t="str">
        <f t="shared" si="157"/>
        <v/>
      </c>
      <c r="T413" s="267">
        <f t="shared" si="157"/>
        <v>0</v>
      </c>
      <c r="U413" s="267">
        <f t="shared" si="157"/>
        <v>0.77766268653521653</v>
      </c>
      <c r="V413" s="267">
        <f t="shared" si="155"/>
        <v>0.84360632606494801</v>
      </c>
      <c r="W413" s="267"/>
      <c r="X413" s="237" t="s">
        <v>598</v>
      </c>
    </row>
    <row r="414" spans="1:26" ht="12" hidden="1" customHeight="1">
      <c r="A414" s="315" t="s">
        <v>155</v>
      </c>
      <c r="B414" s="315" t="s">
        <v>152</v>
      </c>
      <c r="C414" s="458" t="s">
        <v>716</v>
      </c>
      <c r="D414" s="458" t="s">
        <v>716</v>
      </c>
      <c r="E414" s="459" t="s">
        <v>716</v>
      </c>
      <c r="F414" s="103">
        <f t="shared" si="158"/>
        <v>0</v>
      </c>
      <c r="G414" s="103">
        <f t="shared" si="158"/>
        <v>52778472.359999999</v>
      </c>
      <c r="H414" s="103">
        <f t="shared" si="158"/>
        <v>21078999.710000001</v>
      </c>
      <c r="I414" s="103">
        <f t="shared" si="150"/>
        <v>73857472.069999993</v>
      </c>
      <c r="J414" s="103">
        <f t="shared" si="159"/>
        <v>0</v>
      </c>
      <c r="K414" s="103">
        <f t="shared" si="159"/>
        <v>45126580.799999997</v>
      </c>
      <c r="L414" s="103">
        <f t="shared" si="159"/>
        <v>2325865.65</v>
      </c>
      <c r="M414" s="103">
        <f t="shared" si="151"/>
        <v>47452446.449999996</v>
      </c>
      <c r="N414" s="103">
        <f t="shared" si="143"/>
        <v>0</v>
      </c>
      <c r="O414" s="103">
        <f t="shared" si="143"/>
        <v>7651891.5600000024</v>
      </c>
      <c r="P414" s="103">
        <f t="shared" si="143"/>
        <v>18753134.060000002</v>
      </c>
      <c r="Q414" s="103">
        <f t="shared" si="152"/>
        <v>26405025.620000005</v>
      </c>
      <c r="S414" s="267" t="str">
        <f t="shared" si="157"/>
        <v/>
      </c>
      <c r="T414" s="267">
        <f t="shared" si="157"/>
        <v>0.85501869952190479</v>
      </c>
      <c r="U414" s="267">
        <f t="shared" si="157"/>
        <v>0.11034041852074203</v>
      </c>
      <c r="V414" s="267">
        <f t="shared" si="155"/>
        <v>0.64248673993371896</v>
      </c>
      <c r="W414" s="267"/>
      <c r="X414" s="237" t="s">
        <v>598</v>
      </c>
    </row>
    <row r="415" spans="1:26" s="256" customFormat="1" ht="12" hidden="1" customHeight="1">
      <c r="A415" s="315"/>
      <c r="B415" s="315" t="s">
        <v>152</v>
      </c>
      <c r="C415" s="460"/>
      <c r="D415" s="460"/>
      <c r="E415" s="390" t="s">
        <v>767</v>
      </c>
      <c r="F415" s="391">
        <f>+F412+F411</f>
        <v>0</v>
      </c>
      <c r="G415" s="391">
        <f t="shared" ref="G415:Q415" si="160">+G412+G411</f>
        <v>52968657.579999998</v>
      </c>
      <c r="H415" s="391">
        <f t="shared" si="160"/>
        <v>49109899.710000001</v>
      </c>
      <c r="I415" s="391">
        <f t="shared" si="160"/>
        <v>102078557.28999999</v>
      </c>
      <c r="J415" s="391">
        <f t="shared" si="160"/>
        <v>0</v>
      </c>
      <c r="K415" s="391">
        <f t="shared" si="160"/>
        <v>46925273.739999995</v>
      </c>
      <c r="L415" s="391">
        <f t="shared" si="160"/>
        <v>24124450.649999999</v>
      </c>
      <c r="M415" s="391">
        <f t="shared" si="160"/>
        <v>71049724.389999986</v>
      </c>
      <c r="N415" s="391">
        <f t="shared" si="160"/>
        <v>0</v>
      </c>
      <c r="O415" s="391">
        <f t="shared" si="160"/>
        <v>6043383.8400000017</v>
      </c>
      <c r="P415" s="391">
        <f t="shared" si="160"/>
        <v>24985449.060000002</v>
      </c>
      <c r="Q415" s="391">
        <f t="shared" si="160"/>
        <v>31028832.900000006</v>
      </c>
      <c r="R415" s="761"/>
      <c r="S415" s="267" t="str">
        <f t="shared" si="157"/>
        <v/>
      </c>
      <c r="T415" s="267">
        <f t="shared" si="157"/>
        <v>0.88590641869916154</v>
      </c>
      <c r="U415" s="267">
        <f t="shared" si="157"/>
        <v>0.49123396285591797</v>
      </c>
      <c r="V415" s="267">
        <f t="shared" si="155"/>
        <v>0.69602986441267323</v>
      </c>
      <c r="W415" s="263"/>
      <c r="X415" s="237" t="s">
        <v>598</v>
      </c>
      <c r="Y415" s="840"/>
      <c r="Z415" s="241"/>
    </row>
    <row r="416" spans="1:26" ht="12" hidden="1" customHeight="1">
      <c r="A416" s="315"/>
      <c r="B416" s="315"/>
      <c r="C416" s="456"/>
      <c r="D416" s="456"/>
      <c r="E416" s="461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S416" s="267" t="str">
        <f t="shared" si="157"/>
        <v/>
      </c>
      <c r="T416" s="267" t="str">
        <f t="shared" si="157"/>
        <v/>
      </c>
      <c r="U416" s="267" t="str">
        <f t="shared" si="157"/>
        <v/>
      </c>
      <c r="V416" s="267" t="str">
        <f t="shared" si="155"/>
        <v/>
      </c>
      <c r="W416" s="267"/>
      <c r="X416" s="237" t="s">
        <v>598</v>
      </c>
    </row>
    <row r="417" spans="1:26" s="256" customFormat="1" ht="12" hidden="1" customHeight="1">
      <c r="A417" s="315" t="s">
        <v>155</v>
      </c>
      <c r="B417" s="315" t="s">
        <v>152</v>
      </c>
      <c r="C417" s="460"/>
      <c r="D417" s="460" t="s">
        <v>98</v>
      </c>
      <c r="E417" s="390" t="s">
        <v>100</v>
      </c>
      <c r="F417" s="391">
        <f>SUM(F418:F418)</f>
        <v>0</v>
      </c>
      <c r="G417" s="391">
        <f>SUM(G418:G418)</f>
        <v>2448438.44</v>
      </c>
      <c r="H417" s="391">
        <f>SUM(H418:H418)</f>
        <v>0</v>
      </c>
      <c r="I417" s="391">
        <f>+F417+G417+H417</f>
        <v>2448438.44</v>
      </c>
      <c r="J417" s="391">
        <v>0</v>
      </c>
      <c r="K417" s="391">
        <f>SUM(K418:K418)</f>
        <v>2398438.44</v>
      </c>
      <c r="L417" s="391">
        <f>SUM(L418:L418)</f>
        <v>0</v>
      </c>
      <c r="M417" s="391">
        <f>+J417+K417+L417</f>
        <v>2398438.44</v>
      </c>
      <c r="N417" s="391">
        <f t="shared" ref="N417:P418" si="161">+F417-J417</f>
        <v>0</v>
      </c>
      <c r="O417" s="391">
        <f t="shared" si="161"/>
        <v>50000</v>
      </c>
      <c r="P417" s="391">
        <f t="shared" si="161"/>
        <v>0</v>
      </c>
      <c r="Q417" s="391">
        <f>+N417+O417+P417</f>
        <v>50000</v>
      </c>
      <c r="R417" s="761"/>
      <c r="S417" s="267" t="str">
        <f t="shared" si="157"/>
        <v/>
      </c>
      <c r="T417" s="267">
        <f t="shared" si="157"/>
        <v>0.9795788208585714</v>
      </c>
      <c r="U417" s="267" t="str">
        <f t="shared" si="157"/>
        <v/>
      </c>
      <c r="V417" s="267">
        <f t="shared" si="155"/>
        <v>0.9795788208585714</v>
      </c>
      <c r="W417" s="263"/>
      <c r="X417" s="237" t="s">
        <v>598</v>
      </c>
      <c r="Y417" s="840"/>
      <c r="Z417" s="241"/>
    </row>
    <row r="418" spans="1:26" ht="12" hidden="1" customHeight="1">
      <c r="A418" s="315" t="s">
        <v>155</v>
      </c>
      <c r="B418" s="315" t="s">
        <v>152</v>
      </c>
      <c r="C418" s="456"/>
      <c r="D418" s="456"/>
      <c r="E418" s="462" t="s">
        <v>290</v>
      </c>
      <c r="F418" s="103">
        <f>+F395+F407</f>
        <v>0</v>
      </c>
      <c r="G418" s="103">
        <f>+G395+G407</f>
        <v>2448438.44</v>
      </c>
      <c r="H418" s="103">
        <f>+H395+H407</f>
        <v>0</v>
      </c>
      <c r="I418" s="103">
        <f>+F418+G418+H418</f>
        <v>2448438.44</v>
      </c>
      <c r="J418" s="103">
        <f>+J395+J407</f>
        <v>0</v>
      </c>
      <c r="K418" s="103">
        <f>+K395+K407</f>
        <v>2398438.44</v>
      </c>
      <c r="L418" s="103">
        <f>+L395+L407</f>
        <v>0</v>
      </c>
      <c r="M418" s="103">
        <f>+J418+K418+L418</f>
        <v>2398438.44</v>
      </c>
      <c r="N418" s="103">
        <f t="shared" si="161"/>
        <v>0</v>
      </c>
      <c r="O418" s="103">
        <f t="shared" si="161"/>
        <v>50000</v>
      </c>
      <c r="P418" s="103">
        <f t="shared" si="161"/>
        <v>0</v>
      </c>
      <c r="Q418" s="103">
        <f>+N418+O418+P418</f>
        <v>50000</v>
      </c>
      <c r="S418" s="267" t="str">
        <f t="shared" si="157"/>
        <v/>
      </c>
      <c r="T418" s="267">
        <f t="shared" si="157"/>
        <v>0.9795788208585714</v>
      </c>
      <c r="U418" s="267" t="str">
        <f t="shared" si="157"/>
        <v/>
      </c>
      <c r="V418" s="267">
        <f t="shared" si="155"/>
        <v>0.9795788208585714</v>
      </c>
      <c r="W418" s="267"/>
      <c r="X418" s="237" t="s">
        <v>598</v>
      </c>
    </row>
    <row r="419" spans="1:26" s="266" customFormat="1" ht="24" customHeight="1">
      <c r="A419" s="315" t="s">
        <v>155</v>
      </c>
      <c r="B419" s="315" t="s">
        <v>152</v>
      </c>
      <c r="C419" s="1470" t="s">
        <v>618</v>
      </c>
      <c r="D419" s="1471"/>
      <c r="E419" s="1472"/>
      <c r="F419" s="666">
        <f>+F417+F415</f>
        <v>0</v>
      </c>
      <c r="G419" s="666">
        <f t="shared" ref="G419:Q419" si="162">+G417+G415</f>
        <v>55417096.019999996</v>
      </c>
      <c r="H419" s="666">
        <f t="shared" si="162"/>
        <v>49109899.710000001</v>
      </c>
      <c r="I419" s="666">
        <f t="shared" si="162"/>
        <v>104526995.72999999</v>
      </c>
      <c r="J419" s="666">
        <f t="shared" si="162"/>
        <v>0</v>
      </c>
      <c r="K419" s="666">
        <f t="shared" si="162"/>
        <v>49323712.179999992</v>
      </c>
      <c r="L419" s="666">
        <f t="shared" si="162"/>
        <v>24124450.649999999</v>
      </c>
      <c r="M419" s="666">
        <f t="shared" si="162"/>
        <v>73448162.829999983</v>
      </c>
      <c r="N419" s="666">
        <f t="shared" si="162"/>
        <v>0</v>
      </c>
      <c r="O419" s="666">
        <f t="shared" si="162"/>
        <v>6093383.8400000017</v>
      </c>
      <c r="P419" s="666">
        <f t="shared" si="162"/>
        <v>24985449.060000002</v>
      </c>
      <c r="Q419" s="666">
        <f t="shared" si="162"/>
        <v>31078832.900000006</v>
      </c>
      <c r="R419" s="1099">
        <f>+Q419-'[3]chd4A-SAOB'!AS350</f>
        <v>0</v>
      </c>
      <c r="S419" s="525" t="str">
        <f t="shared" si="157"/>
        <v/>
      </c>
      <c r="T419" s="525">
        <f t="shared" si="157"/>
        <v>0.89004505328462347</v>
      </c>
      <c r="U419" s="525">
        <f t="shared" si="157"/>
        <v>0.49123396285591797</v>
      </c>
      <c r="V419" s="525">
        <f t="shared" si="155"/>
        <v>0.70267170999271189</v>
      </c>
      <c r="W419" s="345"/>
      <c r="X419" s="237" t="s">
        <v>598</v>
      </c>
      <c r="Y419" s="837" t="s">
        <v>598</v>
      </c>
      <c r="Z419" s="241" t="s">
        <v>598</v>
      </c>
    </row>
    <row r="420" spans="1:26" ht="12" customHeight="1">
      <c r="A420" s="315" t="s">
        <v>155</v>
      </c>
      <c r="B420" s="315" t="s">
        <v>152</v>
      </c>
      <c r="C420" s="456"/>
      <c r="D420" s="456"/>
      <c r="E420" s="463"/>
      <c r="F420" s="104"/>
      <c r="G420" s="104"/>
      <c r="H420" s="104"/>
      <c r="I420" s="103"/>
      <c r="J420" s="103"/>
      <c r="K420" s="104"/>
      <c r="L420" s="104"/>
      <c r="M420" s="103"/>
      <c r="N420" s="103"/>
      <c r="O420" s="103"/>
      <c r="P420" s="103"/>
      <c r="Q420" s="103"/>
      <c r="S420" s="267" t="str">
        <f t="shared" si="157"/>
        <v/>
      </c>
      <c r="T420" s="267" t="str">
        <f t="shared" si="157"/>
        <v/>
      </c>
      <c r="U420" s="267" t="str">
        <f t="shared" si="157"/>
        <v/>
      </c>
      <c r="V420" s="267" t="str">
        <f t="shared" si="155"/>
        <v/>
      </c>
      <c r="W420" s="267"/>
      <c r="Y420" s="837" t="s">
        <v>598</v>
      </c>
      <c r="Z420" s="241" t="s">
        <v>598</v>
      </c>
    </row>
    <row r="421" spans="1:26" ht="11.25" customHeight="1">
      <c r="A421" s="528" t="s">
        <v>620</v>
      </c>
      <c r="B421" s="528" t="s">
        <v>157</v>
      </c>
      <c r="C421" s="408"/>
      <c r="D421" s="529"/>
      <c r="E421" s="408" t="s">
        <v>157</v>
      </c>
      <c r="F421" s="104"/>
      <c r="G421" s="104"/>
      <c r="H421" s="104"/>
      <c r="I421" s="103">
        <f>SUM(F421:H421)</f>
        <v>0</v>
      </c>
      <c r="J421" s="104"/>
      <c r="K421" s="104"/>
      <c r="L421" s="104"/>
      <c r="M421" s="103">
        <f>SUM(J421:L421)</f>
        <v>0</v>
      </c>
      <c r="N421" s="103">
        <f t="shared" si="143"/>
        <v>0</v>
      </c>
      <c r="O421" s="103">
        <f t="shared" si="143"/>
        <v>0</v>
      </c>
      <c r="P421" s="103">
        <f t="shared" si="143"/>
        <v>0</v>
      </c>
      <c r="Q421" s="103">
        <f>SUM(N421:P421)</f>
        <v>0</v>
      </c>
      <c r="S421" s="267" t="str">
        <f t="shared" si="157"/>
        <v/>
      </c>
      <c r="T421" s="267" t="str">
        <f t="shared" si="157"/>
        <v/>
      </c>
      <c r="U421" s="267" t="str">
        <f t="shared" si="157"/>
        <v/>
      </c>
      <c r="V421" s="267" t="str">
        <f t="shared" si="155"/>
        <v/>
      </c>
      <c r="W421" s="531"/>
      <c r="X421" s="236"/>
      <c r="Y421" s="236" t="s">
        <v>598</v>
      </c>
      <c r="Z421" s="240" t="s">
        <v>598</v>
      </c>
    </row>
    <row r="422" spans="1:26" ht="12" customHeight="1">
      <c r="A422" s="548" t="s">
        <v>156</v>
      </c>
      <c r="B422" s="548" t="s">
        <v>157</v>
      </c>
      <c r="C422" s="447" t="s">
        <v>766</v>
      </c>
      <c r="D422" s="549"/>
      <c r="E422" s="447" t="s">
        <v>766</v>
      </c>
      <c r="F422" s="104">
        <f>'[3]chd4b-SAOB'!C430</f>
        <v>0</v>
      </c>
      <c r="G422" s="104">
        <f>'[3]chd4b-SAOB'!D430</f>
        <v>612419.63</v>
      </c>
      <c r="H422" s="104">
        <f>'[3]chd4b-SAOB'!E430</f>
        <v>0</v>
      </c>
      <c r="I422" s="103">
        <f t="shared" si="150"/>
        <v>612419.63</v>
      </c>
      <c r="J422" s="103">
        <v>0</v>
      </c>
      <c r="K422" s="104">
        <f>'[3]chd4b-SAOB'!H430</f>
        <v>612419.63</v>
      </c>
      <c r="L422" s="104">
        <f>'[3]chd4b-SAOB'!I430</f>
        <v>0</v>
      </c>
      <c r="M422" s="103">
        <f t="shared" si="151"/>
        <v>612419.63</v>
      </c>
      <c r="N422" s="103">
        <f t="shared" si="143"/>
        <v>0</v>
      </c>
      <c r="O422" s="103">
        <f t="shared" si="143"/>
        <v>0</v>
      </c>
      <c r="P422" s="103">
        <f t="shared" si="143"/>
        <v>0</v>
      </c>
      <c r="Q422" s="103">
        <f t="shared" si="152"/>
        <v>0</v>
      </c>
      <c r="S422" s="267" t="str">
        <f t="shared" si="157"/>
        <v/>
      </c>
      <c r="T422" s="267">
        <f t="shared" si="157"/>
        <v>1</v>
      </c>
      <c r="U422" s="267" t="str">
        <f t="shared" si="157"/>
        <v/>
      </c>
      <c r="V422" s="267">
        <f t="shared" si="155"/>
        <v>1</v>
      </c>
      <c r="W422" s="530"/>
      <c r="X422" s="236"/>
      <c r="Y422" s="236" t="s">
        <v>688</v>
      </c>
      <c r="Z422" s="236"/>
    </row>
    <row r="423" spans="1:26" ht="12" hidden="1" customHeight="1">
      <c r="A423" s="548" t="s">
        <v>156</v>
      </c>
      <c r="B423" s="548" t="s">
        <v>157</v>
      </c>
      <c r="C423" s="457" t="s">
        <v>775</v>
      </c>
      <c r="D423" s="549" t="s">
        <v>98</v>
      </c>
      <c r="E423" s="406" t="s">
        <v>775</v>
      </c>
      <c r="F423" s="103">
        <v>0</v>
      </c>
      <c r="G423" s="103">
        <f>+'[3]chd4b-SAOB'!C223</f>
        <v>150158.23000000001</v>
      </c>
      <c r="H423" s="103">
        <f>+'[3]chd4b-SAOB'!C315</f>
        <v>0</v>
      </c>
      <c r="I423" s="103">
        <f t="shared" si="150"/>
        <v>150158.23000000001</v>
      </c>
      <c r="J423" s="103">
        <v>0</v>
      </c>
      <c r="K423" s="103">
        <f>+'[3]chd4b-SAOB'!C224</f>
        <v>150158.23000000001</v>
      </c>
      <c r="L423" s="103">
        <f>+'[3]chd4b-SAOB'!C316</f>
        <v>0</v>
      </c>
      <c r="M423" s="103">
        <f t="shared" si="151"/>
        <v>150158.23000000001</v>
      </c>
      <c r="N423" s="103">
        <f t="shared" si="143"/>
        <v>0</v>
      </c>
      <c r="O423" s="103">
        <f t="shared" si="143"/>
        <v>0</v>
      </c>
      <c r="P423" s="103">
        <f t="shared" si="143"/>
        <v>0</v>
      </c>
      <c r="Q423" s="103">
        <f t="shared" si="152"/>
        <v>0</v>
      </c>
      <c r="S423" s="267" t="str">
        <f t="shared" si="157"/>
        <v/>
      </c>
      <c r="T423" s="267">
        <f t="shared" si="157"/>
        <v>1</v>
      </c>
      <c r="U423" s="267" t="str">
        <f t="shared" si="157"/>
        <v/>
      </c>
      <c r="V423" s="267">
        <f t="shared" si="155"/>
        <v>1</v>
      </c>
      <c r="W423" s="530"/>
      <c r="X423" s="236"/>
      <c r="Y423" s="236"/>
      <c r="Z423" s="236"/>
    </row>
    <row r="424" spans="1:26" ht="12" hidden="1" customHeight="1">
      <c r="A424" s="548" t="s">
        <v>156</v>
      </c>
      <c r="B424" s="548" t="s">
        <v>157</v>
      </c>
      <c r="C424" s="456"/>
      <c r="D424" s="549" t="s">
        <v>98</v>
      </c>
      <c r="E424" s="406" t="s">
        <v>776</v>
      </c>
      <c r="F424" s="103">
        <v>0</v>
      </c>
      <c r="G424" s="103">
        <f>+'[3]chd4b-SAOB'!D223</f>
        <v>32073</v>
      </c>
      <c r="H424" s="103">
        <f>+'[3]chd4b-SAOB'!D315</f>
        <v>0</v>
      </c>
      <c r="I424" s="103">
        <f t="shared" si="150"/>
        <v>32073</v>
      </c>
      <c r="J424" s="103">
        <v>0</v>
      </c>
      <c r="K424" s="103">
        <f>+'[3]chd4b-SAOB'!D224</f>
        <v>32073</v>
      </c>
      <c r="L424" s="103">
        <f>+'[3]chd4b-SAOB'!D316</f>
        <v>0</v>
      </c>
      <c r="M424" s="103">
        <f t="shared" si="151"/>
        <v>32073</v>
      </c>
      <c r="N424" s="103">
        <f t="shared" si="143"/>
        <v>0</v>
      </c>
      <c r="O424" s="103">
        <f t="shared" si="143"/>
        <v>0</v>
      </c>
      <c r="P424" s="103">
        <f t="shared" si="143"/>
        <v>0</v>
      </c>
      <c r="Q424" s="103">
        <f t="shared" si="152"/>
        <v>0</v>
      </c>
      <c r="S424" s="267" t="str">
        <f t="shared" si="157"/>
        <v/>
      </c>
      <c r="T424" s="267">
        <f t="shared" si="157"/>
        <v>1</v>
      </c>
      <c r="U424" s="267" t="str">
        <f t="shared" si="157"/>
        <v/>
      </c>
      <c r="V424" s="267">
        <f t="shared" si="155"/>
        <v>1</v>
      </c>
      <c r="W424" s="530"/>
      <c r="X424" s="236"/>
      <c r="Y424" s="236"/>
      <c r="Z424" s="236"/>
    </row>
    <row r="425" spans="1:26" ht="12" hidden="1" customHeight="1">
      <c r="A425" s="548" t="s">
        <v>156</v>
      </c>
      <c r="B425" s="548" t="s">
        <v>157</v>
      </c>
      <c r="C425" s="456"/>
      <c r="D425" s="549" t="s">
        <v>98</v>
      </c>
      <c r="E425" s="406" t="s">
        <v>777</v>
      </c>
      <c r="F425" s="103">
        <v>0</v>
      </c>
      <c r="G425" s="103">
        <f>+'[3]chd4b-SAOB'!E223</f>
        <v>430188.4</v>
      </c>
      <c r="H425" s="103">
        <f>+'[3]chd4b-SAOB'!E315</f>
        <v>0</v>
      </c>
      <c r="I425" s="103">
        <f t="shared" si="150"/>
        <v>430188.4</v>
      </c>
      <c r="J425" s="103">
        <v>0</v>
      </c>
      <c r="K425" s="103">
        <f>+'[3]chd4b-SAOB'!E224</f>
        <v>430188.4</v>
      </c>
      <c r="L425" s="103">
        <f>+'[3]chd4b-SAOB'!E316</f>
        <v>0</v>
      </c>
      <c r="M425" s="103">
        <f t="shared" si="151"/>
        <v>430188.4</v>
      </c>
      <c r="N425" s="103">
        <f t="shared" si="143"/>
        <v>0</v>
      </c>
      <c r="O425" s="103">
        <f t="shared" si="143"/>
        <v>0</v>
      </c>
      <c r="P425" s="103">
        <f t="shared" si="143"/>
        <v>0</v>
      </c>
      <c r="Q425" s="103">
        <f t="shared" si="152"/>
        <v>0</v>
      </c>
      <c r="S425" s="267" t="str">
        <f t="shared" si="157"/>
        <v/>
      </c>
      <c r="T425" s="267">
        <f t="shared" si="157"/>
        <v>1</v>
      </c>
      <c r="U425" s="267" t="str">
        <f t="shared" si="157"/>
        <v/>
      </c>
      <c r="V425" s="267">
        <f t="shared" si="155"/>
        <v>1</v>
      </c>
      <c r="W425" s="530"/>
      <c r="X425" s="236"/>
      <c r="Y425" s="236"/>
      <c r="Z425" s="236"/>
    </row>
    <row r="426" spans="1:26" ht="12" customHeight="1">
      <c r="A426" s="548" t="s">
        <v>156</v>
      </c>
      <c r="B426" s="548" t="s">
        <v>157</v>
      </c>
      <c r="C426" s="456"/>
      <c r="D426" s="549"/>
      <c r="E426" s="453" t="s">
        <v>50</v>
      </c>
      <c r="F426" s="103">
        <f>+F427+F428</f>
        <v>0</v>
      </c>
      <c r="G426" s="103">
        <f>+G427+G428</f>
        <v>13548028.799999997</v>
      </c>
      <c r="H426" s="103">
        <f>+H427+H428</f>
        <v>13054465.33</v>
      </c>
      <c r="I426" s="103">
        <f t="shared" si="150"/>
        <v>26602494.129999995</v>
      </c>
      <c r="J426" s="103">
        <f>+J427+J428</f>
        <v>0</v>
      </c>
      <c r="K426" s="103">
        <f>+K427+K428</f>
        <v>10425199.559999999</v>
      </c>
      <c r="L426" s="103">
        <f>+L427+L428</f>
        <v>1661630</v>
      </c>
      <c r="M426" s="103">
        <f t="shared" si="151"/>
        <v>12086829.559999999</v>
      </c>
      <c r="N426" s="103">
        <f t="shared" si="143"/>
        <v>0</v>
      </c>
      <c r="O426" s="103">
        <f t="shared" si="143"/>
        <v>3122829.2399999984</v>
      </c>
      <c r="P426" s="103">
        <f t="shared" si="143"/>
        <v>11392835.33</v>
      </c>
      <c r="Q426" s="103">
        <f t="shared" si="152"/>
        <v>14515664.569999998</v>
      </c>
      <c r="S426" s="267" t="str">
        <f t="shared" si="157"/>
        <v/>
      </c>
      <c r="T426" s="267">
        <f t="shared" si="157"/>
        <v>0.76949936510320982</v>
      </c>
      <c r="U426" s="267">
        <f t="shared" si="157"/>
        <v>0.12728441632775778</v>
      </c>
      <c r="V426" s="267">
        <f t="shared" si="155"/>
        <v>0.45434948696669447</v>
      </c>
      <c r="W426" s="530"/>
      <c r="X426" s="236"/>
      <c r="Y426" s="236" t="s">
        <v>688</v>
      </c>
      <c r="Z426" s="236"/>
    </row>
    <row r="427" spans="1:26" ht="12" hidden="1" customHeight="1">
      <c r="A427" s="548" t="s">
        <v>156</v>
      </c>
      <c r="B427" s="548" t="s">
        <v>157</v>
      </c>
      <c r="C427" s="458" t="s">
        <v>715</v>
      </c>
      <c r="D427" s="550" t="s">
        <v>715</v>
      </c>
      <c r="E427" s="447" t="s">
        <v>715</v>
      </c>
      <c r="F427" s="104">
        <f>'[3]CONAP - W INC'!F312</f>
        <v>0</v>
      </c>
      <c r="G427" s="104">
        <f>'[3]CONAP - W INC'!G312</f>
        <v>-4434157.71</v>
      </c>
      <c r="H427" s="104">
        <f>'[3]CONAP - W INC'!H312</f>
        <v>8901800</v>
      </c>
      <c r="I427" s="103">
        <f t="shared" si="150"/>
        <v>4467642.29</v>
      </c>
      <c r="J427" s="103">
        <f>'[3]CONAP - W INC'!J312</f>
        <v>0</v>
      </c>
      <c r="K427" s="104">
        <f>'[3]CONAP - W INC'!K312</f>
        <v>0</v>
      </c>
      <c r="L427" s="104">
        <f>'[3]CONAP - W INC'!L312</f>
        <v>595000</v>
      </c>
      <c r="M427" s="103">
        <f t="shared" si="151"/>
        <v>595000</v>
      </c>
      <c r="N427" s="103">
        <f t="shared" si="143"/>
        <v>0</v>
      </c>
      <c r="O427" s="103">
        <f t="shared" si="143"/>
        <v>-4434157.71</v>
      </c>
      <c r="P427" s="103">
        <f t="shared" si="143"/>
        <v>8306800</v>
      </c>
      <c r="Q427" s="103">
        <f t="shared" si="152"/>
        <v>3872642.29</v>
      </c>
      <c r="S427" s="267" t="str">
        <f t="shared" si="157"/>
        <v/>
      </c>
      <c r="T427" s="267">
        <f t="shared" si="157"/>
        <v>0</v>
      </c>
      <c r="U427" s="267">
        <f t="shared" si="157"/>
        <v>6.6840414298231815E-2</v>
      </c>
      <c r="V427" s="267">
        <f t="shared" si="155"/>
        <v>0.13317986566019366</v>
      </c>
      <c r="W427" s="530"/>
      <c r="X427" s="236"/>
      <c r="Y427" s="236"/>
      <c r="Z427" s="236"/>
    </row>
    <row r="428" spans="1:26" ht="12" hidden="1" customHeight="1">
      <c r="A428" s="548" t="s">
        <v>156</v>
      </c>
      <c r="B428" s="548" t="s">
        <v>157</v>
      </c>
      <c r="C428" s="458" t="s">
        <v>716</v>
      </c>
      <c r="D428" s="550" t="s">
        <v>716</v>
      </c>
      <c r="E428" s="459" t="s">
        <v>716</v>
      </c>
      <c r="F428" s="104">
        <f>'[3]CONAP - W INC'!F313</f>
        <v>0</v>
      </c>
      <c r="G428" s="104">
        <f>'[3]CONAP - W INC'!G313</f>
        <v>17982186.509999998</v>
      </c>
      <c r="H428" s="104">
        <f>'[3]CONAP - W INC'!H313</f>
        <v>4152665.33</v>
      </c>
      <c r="I428" s="103">
        <f t="shared" si="150"/>
        <v>22134851.839999996</v>
      </c>
      <c r="J428" s="103">
        <f>'[3]CONAP - W INC'!J313</f>
        <v>0</v>
      </c>
      <c r="K428" s="104">
        <f>'[3]CONAP - W INC'!K313</f>
        <v>10425199.559999999</v>
      </c>
      <c r="L428" s="104">
        <f>'[3]CONAP - W INC'!L313</f>
        <v>1066630</v>
      </c>
      <c r="M428" s="103">
        <f t="shared" si="151"/>
        <v>11491829.559999999</v>
      </c>
      <c r="N428" s="103">
        <f t="shared" si="143"/>
        <v>0</v>
      </c>
      <c r="O428" s="103">
        <f t="shared" si="143"/>
        <v>7556986.9499999993</v>
      </c>
      <c r="P428" s="103">
        <f t="shared" si="143"/>
        <v>3086035.33</v>
      </c>
      <c r="Q428" s="103">
        <f t="shared" si="152"/>
        <v>10643022.279999999</v>
      </c>
      <c r="S428" s="267" t="str">
        <f t="shared" si="157"/>
        <v/>
      </c>
      <c r="T428" s="267">
        <f t="shared" si="157"/>
        <v>0.57975149763920453</v>
      </c>
      <c r="U428" s="267">
        <f t="shared" si="157"/>
        <v>0.25685431289017457</v>
      </c>
      <c r="V428" s="267">
        <f t="shared" si="155"/>
        <v>0.51917354780902847</v>
      </c>
      <c r="W428" s="530"/>
      <c r="X428" s="236"/>
      <c r="Y428" s="236"/>
      <c r="Z428" s="236"/>
    </row>
    <row r="429" spans="1:26" s="256" customFormat="1" ht="12" hidden="1" customHeight="1">
      <c r="A429" s="548"/>
      <c r="B429" s="548" t="s">
        <v>157</v>
      </c>
      <c r="C429" s="460"/>
      <c r="D429" s="551"/>
      <c r="E429" s="390" t="s">
        <v>767</v>
      </c>
      <c r="F429" s="391">
        <f>+F426+F422</f>
        <v>0</v>
      </c>
      <c r="G429" s="391">
        <f t="shared" ref="G429:Q429" si="163">+G426+G422</f>
        <v>14160448.429999998</v>
      </c>
      <c r="H429" s="391">
        <f t="shared" si="163"/>
        <v>13054465.33</v>
      </c>
      <c r="I429" s="391">
        <f t="shared" si="163"/>
        <v>27214913.759999994</v>
      </c>
      <c r="J429" s="391">
        <f t="shared" si="163"/>
        <v>0</v>
      </c>
      <c r="K429" s="391">
        <f t="shared" si="163"/>
        <v>11037619.189999999</v>
      </c>
      <c r="L429" s="391">
        <f t="shared" si="163"/>
        <v>1661630</v>
      </c>
      <c r="M429" s="391">
        <f t="shared" si="163"/>
        <v>12699249.189999999</v>
      </c>
      <c r="N429" s="391">
        <f t="shared" si="163"/>
        <v>0</v>
      </c>
      <c r="O429" s="391">
        <f t="shared" si="163"/>
        <v>3122829.2399999984</v>
      </c>
      <c r="P429" s="391">
        <f t="shared" si="163"/>
        <v>11392835.33</v>
      </c>
      <c r="Q429" s="391">
        <f t="shared" si="163"/>
        <v>14515664.569999998</v>
      </c>
      <c r="R429" s="761"/>
      <c r="S429" s="267" t="str">
        <f t="shared" si="157"/>
        <v/>
      </c>
      <c r="T429" s="267">
        <f t="shared" si="157"/>
        <v>0.77946819583876703</v>
      </c>
      <c r="U429" s="267">
        <f t="shared" si="157"/>
        <v>0.12728441632775778</v>
      </c>
      <c r="V429" s="267">
        <f t="shared" si="155"/>
        <v>0.46662830909518199</v>
      </c>
      <c r="W429" s="532"/>
      <c r="Y429" s="236"/>
      <c r="Z429" s="240" t="s">
        <v>598</v>
      </c>
    </row>
    <row r="430" spans="1:26" ht="12" hidden="1" customHeight="1">
      <c r="A430" s="548"/>
      <c r="B430" s="548"/>
      <c r="C430" s="456"/>
      <c r="D430" s="549"/>
      <c r="E430" s="461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S430" s="267" t="str">
        <f t="shared" si="157"/>
        <v/>
      </c>
      <c r="T430" s="267" t="str">
        <f t="shared" si="157"/>
        <v/>
      </c>
      <c r="U430" s="267" t="str">
        <f t="shared" si="157"/>
        <v/>
      </c>
      <c r="V430" s="267" t="str">
        <f t="shared" si="155"/>
        <v/>
      </c>
      <c r="W430" s="530"/>
      <c r="X430" s="236"/>
      <c r="Y430" s="236"/>
      <c r="Z430" s="236"/>
    </row>
    <row r="431" spans="1:26" s="256" customFormat="1" ht="12" hidden="1" customHeight="1">
      <c r="A431" s="548" t="s">
        <v>156</v>
      </c>
      <c r="B431" s="548" t="s">
        <v>157</v>
      </c>
      <c r="C431" s="460"/>
      <c r="D431" s="551" t="s">
        <v>98</v>
      </c>
      <c r="E431" s="390" t="s">
        <v>100</v>
      </c>
      <c r="F431" s="391">
        <f>SUM(F432:F432)</f>
        <v>0</v>
      </c>
      <c r="G431" s="391">
        <f>SUM(G432:G432)</f>
        <v>0</v>
      </c>
      <c r="H431" s="391">
        <f>SUM(H432:H432)</f>
        <v>0</v>
      </c>
      <c r="I431" s="391">
        <f>+F431+G431+H431</f>
        <v>0</v>
      </c>
      <c r="J431" s="391">
        <v>0</v>
      </c>
      <c r="K431" s="391">
        <f>SUM(K432:K432)</f>
        <v>0</v>
      </c>
      <c r="L431" s="391">
        <f>SUM(L432:L432)</f>
        <v>0</v>
      </c>
      <c r="M431" s="391">
        <f>+J431+K431+L431</f>
        <v>0</v>
      </c>
      <c r="N431" s="391">
        <f t="shared" ref="N431:P432" si="164">+F431-J431</f>
        <v>0</v>
      </c>
      <c r="O431" s="391">
        <f t="shared" si="164"/>
        <v>0</v>
      </c>
      <c r="P431" s="391">
        <f t="shared" si="164"/>
        <v>0</v>
      </c>
      <c r="Q431" s="391">
        <f>+N431+O431+P431</f>
        <v>0</v>
      </c>
      <c r="R431" s="761"/>
      <c r="S431" s="267" t="str">
        <f t="shared" si="157"/>
        <v/>
      </c>
      <c r="T431" s="267" t="str">
        <f t="shared" si="157"/>
        <v/>
      </c>
      <c r="U431" s="267" t="str">
        <f t="shared" si="157"/>
        <v/>
      </c>
      <c r="V431" s="267" t="str">
        <f t="shared" si="155"/>
        <v/>
      </c>
      <c r="W431" s="532"/>
      <c r="Y431" s="236"/>
      <c r="Z431" s="240" t="s">
        <v>598</v>
      </c>
    </row>
    <row r="432" spans="1:26" ht="12" hidden="1" customHeight="1">
      <c r="A432" s="548" t="s">
        <v>156</v>
      </c>
      <c r="B432" s="548" t="s">
        <v>157</v>
      </c>
      <c r="C432" s="456"/>
      <c r="D432" s="549"/>
      <c r="E432" s="462" t="s">
        <v>290</v>
      </c>
      <c r="F432" s="103">
        <v>0</v>
      </c>
      <c r="G432" s="103">
        <f>SUM('[3]chd4b-SAOB'!AH223)</f>
        <v>0</v>
      </c>
      <c r="H432" s="103">
        <f>SUM('[3]chd4b-SAOB'!AH315)</f>
        <v>0</v>
      </c>
      <c r="I432" s="103">
        <f>+F432+G432+H432</f>
        <v>0</v>
      </c>
      <c r="J432" s="103">
        <v>0</v>
      </c>
      <c r="K432" s="103">
        <f>SUM('[3]chd4b-SAOB'!AH224)</f>
        <v>0</v>
      </c>
      <c r="L432" s="103">
        <f>SUM('[3]chd4b-SAOB'!AH316)</f>
        <v>0</v>
      </c>
      <c r="M432" s="103">
        <f>+J432+K432+L432</f>
        <v>0</v>
      </c>
      <c r="N432" s="103">
        <f t="shared" si="164"/>
        <v>0</v>
      </c>
      <c r="O432" s="103">
        <f t="shared" si="164"/>
        <v>0</v>
      </c>
      <c r="P432" s="103">
        <f t="shared" si="164"/>
        <v>0</v>
      </c>
      <c r="Q432" s="103">
        <f>+N432+O432+P432</f>
        <v>0</v>
      </c>
      <c r="S432" s="267" t="str">
        <f t="shared" si="157"/>
        <v/>
      </c>
      <c r="T432" s="267" t="str">
        <f t="shared" si="157"/>
        <v/>
      </c>
      <c r="U432" s="267" t="str">
        <f t="shared" si="157"/>
        <v/>
      </c>
      <c r="V432" s="267" t="str">
        <f t="shared" si="155"/>
        <v/>
      </c>
      <c r="W432" s="530"/>
      <c r="X432" s="236"/>
      <c r="Y432" s="236"/>
      <c r="Z432" s="236"/>
    </row>
    <row r="433" spans="1:26" s="259" customFormat="1" ht="12" customHeight="1">
      <c r="A433" s="315" t="s">
        <v>156</v>
      </c>
      <c r="B433" s="315" t="s">
        <v>157</v>
      </c>
      <c r="C433" s="1477" t="s">
        <v>306</v>
      </c>
      <c r="D433" s="1478"/>
      <c r="E433" s="1479"/>
      <c r="F433" s="652">
        <f>+F429+F431</f>
        <v>0</v>
      </c>
      <c r="G433" s="652">
        <f t="shared" ref="G433:Q433" si="165">+G429+G431</f>
        <v>14160448.429999998</v>
      </c>
      <c r="H433" s="652">
        <f t="shared" si="165"/>
        <v>13054465.33</v>
      </c>
      <c r="I433" s="652">
        <f t="shared" si="165"/>
        <v>27214913.759999994</v>
      </c>
      <c r="J433" s="652">
        <f t="shared" si="165"/>
        <v>0</v>
      </c>
      <c r="K433" s="652">
        <f t="shared" si="165"/>
        <v>11037619.189999999</v>
      </c>
      <c r="L433" s="652">
        <f t="shared" si="165"/>
        <v>1661630</v>
      </c>
      <c r="M433" s="652">
        <f t="shared" si="165"/>
        <v>12699249.189999999</v>
      </c>
      <c r="N433" s="652">
        <f t="shared" si="165"/>
        <v>0</v>
      </c>
      <c r="O433" s="652">
        <f t="shared" si="165"/>
        <v>3122829.2399999984</v>
      </c>
      <c r="P433" s="652">
        <f t="shared" si="165"/>
        <v>11392835.33</v>
      </c>
      <c r="Q433" s="652">
        <f t="shared" si="165"/>
        <v>14515664.569999998</v>
      </c>
      <c r="R433" s="1095">
        <f>+Q433-'[3]chd4b-SAOB'!BB352</f>
        <v>0</v>
      </c>
      <c r="S433" s="524" t="str">
        <f t="shared" si="157"/>
        <v/>
      </c>
      <c r="T433" s="524">
        <f t="shared" si="157"/>
        <v>0.77946819583876703</v>
      </c>
      <c r="U433" s="524">
        <f t="shared" si="157"/>
        <v>0.12728441632775778</v>
      </c>
      <c r="V433" s="524">
        <f t="shared" si="155"/>
        <v>0.46662830909518199</v>
      </c>
      <c r="W433" s="344"/>
      <c r="X433" s="520"/>
      <c r="Y433" s="837" t="s">
        <v>598</v>
      </c>
      <c r="Z433" s="241" t="s">
        <v>598</v>
      </c>
    </row>
    <row r="434" spans="1:26" ht="12" customHeight="1">
      <c r="A434" s="315" t="s">
        <v>101</v>
      </c>
      <c r="B434" s="315" t="s">
        <v>157</v>
      </c>
      <c r="C434" s="456"/>
      <c r="D434" s="456"/>
      <c r="E434" s="46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S434" s="267" t="str">
        <f t="shared" si="157"/>
        <v/>
      </c>
      <c r="T434" s="267" t="str">
        <f t="shared" si="157"/>
        <v/>
      </c>
      <c r="U434" s="267" t="str">
        <f t="shared" si="157"/>
        <v/>
      </c>
      <c r="V434" s="267" t="str">
        <f t="shared" si="155"/>
        <v/>
      </c>
      <c r="W434" s="267"/>
      <c r="Y434" s="837" t="s">
        <v>598</v>
      </c>
      <c r="Z434" s="241" t="s">
        <v>598</v>
      </c>
    </row>
    <row r="435" spans="1:26" ht="12" customHeight="1">
      <c r="A435" s="315" t="s">
        <v>158</v>
      </c>
      <c r="B435" s="315" t="s">
        <v>159</v>
      </c>
      <c r="C435" s="1100" t="s">
        <v>160</v>
      </c>
      <c r="D435" s="456"/>
      <c r="E435" s="463"/>
      <c r="F435" s="104"/>
      <c r="G435" s="104"/>
      <c r="H435" s="104"/>
      <c r="I435" s="103">
        <f t="shared" si="150"/>
        <v>0</v>
      </c>
      <c r="J435" s="103">
        <v>0</v>
      </c>
      <c r="K435" s="104"/>
      <c r="L435" s="104"/>
      <c r="M435" s="103">
        <f t="shared" si="151"/>
        <v>0</v>
      </c>
      <c r="N435" s="103">
        <f t="shared" si="143"/>
        <v>0</v>
      </c>
      <c r="O435" s="103">
        <f t="shared" si="143"/>
        <v>0</v>
      </c>
      <c r="P435" s="103">
        <f t="shared" si="143"/>
        <v>0</v>
      </c>
      <c r="Q435" s="103">
        <f t="shared" si="152"/>
        <v>0</v>
      </c>
      <c r="S435" s="267" t="str">
        <f t="shared" si="157"/>
        <v/>
      </c>
      <c r="T435" s="267" t="str">
        <f t="shared" si="157"/>
        <v/>
      </c>
      <c r="U435" s="267" t="str">
        <f t="shared" si="157"/>
        <v/>
      </c>
      <c r="V435" s="267" t="str">
        <f t="shared" si="155"/>
        <v/>
      </c>
      <c r="W435" s="267"/>
      <c r="Y435" s="837" t="s">
        <v>598</v>
      </c>
      <c r="Z435" s="241" t="s">
        <v>598</v>
      </c>
    </row>
    <row r="436" spans="1:26" s="275" customFormat="1" ht="12.75" customHeight="1">
      <c r="A436" s="548" t="s">
        <v>158</v>
      </c>
      <c r="B436" s="548" t="s">
        <v>161</v>
      </c>
      <c r="C436" s="464" t="s">
        <v>98</v>
      </c>
      <c r="D436" s="552" t="s">
        <v>105</v>
      </c>
      <c r="E436" s="407" t="s">
        <v>806</v>
      </c>
      <c r="F436" s="468"/>
      <c r="G436" s="468"/>
      <c r="H436" s="468"/>
      <c r="I436" s="409">
        <f t="shared" si="150"/>
        <v>0</v>
      </c>
      <c r="J436" s="409">
        <v>0</v>
      </c>
      <c r="K436" s="468"/>
      <c r="L436" s="468"/>
      <c r="M436" s="409">
        <f t="shared" si="151"/>
        <v>0</v>
      </c>
      <c r="N436" s="409">
        <f t="shared" si="143"/>
        <v>0</v>
      </c>
      <c r="O436" s="409">
        <f t="shared" si="143"/>
        <v>0</v>
      </c>
      <c r="P436" s="409">
        <f t="shared" si="143"/>
        <v>0</v>
      </c>
      <c r="Q436" s="409">
        <f t="shared" si="152"/>
        <v>0</v>
      </c>
      <c r="R436" s="761"/>
      <c r="S436" s="267" t="str">
        <f t="shared" si="157"/>
        <v/>
      </c>
      <c r="T436" s="267" t="str">
        <f t="shared" si="157"/>
        <v/>
      </c>
      <c r="U436" s="267" t="str">
        <f t="shared" si="157"/>
        <v/>
      </c>
      <c r="V436" s="267" t="str">
        <f t="shared" si="155"/>
        <v/>
      </c>
      <c r="W436" s="553"/>
      <c r="Y436" s="236" t="s">
        <v>598</v>
      </c>
      <c r="Z436" s="240" t="s">
        <v>598</v>
      </c>
    </row>
    <row r="437" spans="1:26" ht="12" customHeight="1">
      <c r="A437" s="548" t="s">
        <v>158</v>
      </c>
      <c r="B437" s="548" t="s">
        <v>161</v>
      </c>
      <c r="C437" s="447" t="s">
        <v>766</v>
      </c>
      <c r="D437" s="549"/>
      <c r="E437" s="447" t="s">
        <v>766</v>
      </c>
      <c r="F437" s="104">
        <f>'[3]chd4b-SAOB'!C437</f>
        <v>0</v>
      </c>
      <c r="G437" s="104">
        <f>'[3]chd4b-SAOB'!D437</f>
        <v>183.46</v>
      </c>
      <c r="H437" s="104">
        <f>'[3]chd4b-SAOB'!E437</f>
        <v>0</v>
      </c>
      <c r="I437" s="103">
        <f t="shared" si="150"/>
        <v>183.46</v>
      </c>
      <c r="J437" s="103">
        <v>0</v>
      </c>
      <c r="K437" s="104">
        <f>'[3]chd4b-SAOB'!H437</f>
        <v>0</v>
      </c>
      <c r="L437" s="104">
        <f>'[3]chd4b-SAOB'!I437</f>
        <v>0</v>
      </c>
      <c r="M437" s="103">
        <f t="shared" si="151"/>
        <v>0</v>
      </c>
      <c r="N437" s="103">
        <f t="shared" si="143"/>
        <v>0</v>
      </c>
      <c r="O437" s="103">
        <f t="shared" si="143"/>
        <v>183.46</v>
      </c>
      <c r="P437" s="103">
        <f t="shared" si="143"/>
        <v>0</v>
      </c>
      <c r="Q437" s="103">
        <f t="shared" si="152"/>
        <v>183.46</v>
      </c>
      <c r="S437" s="267" t="str">
        <f t="shared" si="157"/>
        <v/>
      </c>
      <c r="T437" s="267">
        <f t="shared" si="157"/>
        <v>0</v>
      </c>
      <c r="U437" s="267" t="str">
        <f t="shared" si="157"/>
        <v/>
      </c>
      <c r="V437" s="267">
        <f t="shared" si="155"/>
        <v>0</v>
      </c>
      <c r="W437" s="530"/>
      <c r="X437" s="236"/>
      <c r="Y437" s="236" t="s">
        <v>688</v>
      </c>
      <c r="Z437" s="236"/>
    </row>
    <row r="438" spans="1:26" ht="12" customHeight="1">
      <c r="A438" s="548" t="s">
        <v>158</v>
      </c>
      <c r="B438" s="548" t="s">
        <v>161</v>
      </c>
      <c r="C438" s="456"/>
      <c r="D438" s="549"/>
      <c r="E438" s="453" t="s">
        <v>50</v>
      </c>
      <c r="F438" s="103">
        <f>+F439+F440</f>
        <v>0</v>
      </c>
      <c r="G438" s="103">
        <f>+G439+G440</f>
        <v>1300450.74</v>
      </c>
      <c r="H438" s="103">
        <f>+H439+H440</f>
        <v>0</v>
      </c>
      <c r="I438" s="103">
        <f>+F438+G438+H438</f>
        <v>1300450.74</v>
      </c>
      <c r="J438" s="103">
        <f>+J439+J440</f>
        <v>0</v>
      </c>
      <c r="K438" s="103">
        <f>+K439+K440</f>
        <v>748337.7</v>
      </c>
      <c r="L438" s="103">
        <f>+L439+L440</f>
        <v>0</v>
      </c>
      <c r="M438" s="103">
        <f t="shared" si="151"/>
        <v>748337.7</v>
      </c>
      <c r="N438" s="103">
        <f t="shared" ref="N438:P497" si="166">+F438-J438</f>
        <v>0</v>
      </c>
      <c r="O438" s="103">
        <f t="shared" si="166"/>
        <v>552113.04</v>
      </c>
      <c r="P438" s="103">
        <f t="shared" si="166"/>
        <v>0</v>
      </c>
      <c r="Q438" s="103">
        <f t="shared" si="152"/>
        <v>552113.04</v>
      </c>
      <c r="S438" s="267" t="str">
        <f t="shared" si="157"/>
        <v/>
      </c>
      <c r="T438" s="267">
        <f t="shared" si="157"/>
        <v>0.57544486460133037</v>
      </c>
      <c r="U438" s="267" t="str">
        <f t="shared" si="157"/>
        <v/>
      </c>
      <c r="V438" s="267">
        <f t="shared" si="155"/>
        <v>0.57544486460133037</v>
      </c>
      <c r="W438" s="530"/>
      <c r="X438" s="236"/>
      <c r="Y438" s="236" t="s">
        <v>688</v>
      </c>
      <c r="Z438" s="236"/>
    </row>
    <row r="439" spans="1:26" ht="12" hidden="1" customHeight="1">
      <c r="A439" s="548" t="s">
        <v>158</v>
      </c>
      <c r="B439" s="548" t="s">
        <v>161</v>
      </c>
      <c r="C439" s="458" t="s">
        <v>715</v>
      </c>
      <c r="D439" s="550" t="s">
        <v>715</v>
      </c>
      <c r="E439" s="447" t="s">
        <v>715</v>
      </c>
      <c r="F439" s="104">
        <f>'[3]CONAP - W INC'!F321</f>
        <v>0</v>
      </c>
      <c r="G439" s="104">
        <f>'[3]CONAP - W INC'!G321</f>
        <v>1300000</v>
      </c>
      <c r="H439" s="104">
        <f>'[3]CONAP - W INC'!H321</f>
        <v>0</v>
      </c>
      <c r="I439" s="103">
        <f>+F439+G439+H439</f>
        <v>1300000</v>
      </c>
      <c r="J439" s="103">
        <f>'[3]CONAP - W INC'!J321</f>
        <v>0</v>
      </c>
      <c r="K439" s="104">
        <f>'[3]CONAP - W INC'!K321</f>
        <v>748337.7</v>
      </c>
      <c r="L439" s="104">
        <f>'[3]CONAP - W INC'!L321</f>
        <v>0</v>
      </c>
      <c r="M439" s="103">
        <f t="shared" si="151"/>
        <v>748337.7</v>
      </c>
      <c r="N439" s="103">
        <f t="shared" si="166"/>
        <v>0</v>
      </c>
      <c r="O439" s="103">
        <f t="shared" si="166"/>
        <v>551662.30000000005</v>
      </c>
      <c r="P439" s="103">
        <f t="shared" si="166"/>
        <v>0</v>
      </c>
      <c r="Q439" s="103">
        <f t="shared" si="152"/>
        <v>551662.30000000005</v>
      </c>
      <c r="S439" s="267" t="str">
        <f t="shared" si="157"/>
        <v/>
      </c>
      <c r="T439" s="267">
        <f t="shared" si="157"/>
        <v>0.57564438461538459</v>
      </c>
      <c r="U439" s="267" t="str">
        <f t="shared" si="157"/>
        <v/>
      </c>
      <c r="V439" s="267">
        <f t="shared" si="155"/>
        <v>0.57564438461538459</v>
      </c>
      <c r="W439" s="530"/>
      <c r="X439" s="236"/>
      <c r="Y439" s="236"/>
      <c r="Z439" s="236"/>
    </row>
    <row r="440" spans="1:26" ht="12" hidden="1" customHeight="1">
      <c r="A440" s="548" t="s">
        <v>158</v>
      </c>
      <c r="B440" s="548" t="s">
        <v>161</v>
      </c>
      <c r="C440" s="458" t="s">
        <v>716</v>
      </c>
      <c r="D440" s="550" t="s">
        <v>716</v>
      </c>
      <c r="E440" s="459" t="s">
        <v>716</v>
      </c>
      <c r="F440" s="104">
        <f>'[3]CONAP - W INC'!F322</f>
        <v>0</v>
      </c>
      <c r="G440" s="104">
        <f>'[3]CONAP - W INC'!G322</f>
        <v>450.74</v>
      </c>
      <c r="H440" s="104">
        <f>'[3]CONAP - W INC'!H322</f>
        <v>0</v>
      </c>
      <c r="I440" s="103">
        <f>+F440+G440+H440</f>
        <v>450.74</v>
      </c>
      <c r="J440" s="103">
        <f>'[3]CONAP - W INC'!J322</f>
        <v>0</v>
      </c>
      <c r="K440" s="104">
        <f>'[3]CONAP - W INC'!K322</f>
        <v>0</v>
      </c>
      <c r="L440" s="104">
        <f>'[3]CONAP - W INC'!L322</f>
        <v>0</v>
      </c>
      <c r="M440" s="103">
        <f t="shared" si="151"/>
        <v>0</v>
      </c>
      <c r="N440" s="103">
        <f t="shared" si="166"/>
        <v>0</v>
      </c>
      <c r="O440" s="103">
        <f t="shared" si="166"/>
        <v>450.74</v>
      </c>
      <c r="P440" s="103">
        <f t="shared" si="166"/>
        <v>0</v>
      </c>
      <c r="Q440" s="103">
        <f t="shared" si="152"/>
        <v>450.74</v>
      </c>
      <c r="S440" s="267" t="str">
        <f t="shared" si="157"/>
        <v/>
      </c>
      <c r="T440" s="267">
        <f t="shared" si="157"/>
        <v>0</v>
      </c>
      <c r="U440" s="267" t="str">
        <f t="shared" si="157"/>
        <v/>
      </c>
      <c r="V440" s="267">
        <f t="shared" si="155"/>
        <v>0</v>
      </c>
      <c r="W440" s="530"/>
      <c r="X440" s="236"/>
      <c r="Y440" s="236"/>
      <c r="Z440" s="236"/>
    </row>
    <row r="441" spans="1:26" s="256" customFormat="1" ht="12" customHeight="1">
      <c r="A441" s="548"/>
      <c r="B441" s="548" t="s">
        <v>161</v>
      </c>
      <c r="C441" s="460"/>
      <c r="D441" s="551"/>
      <c r="E441" s="390" t="s">
        <v>767</v>
      </c>
      <c r="F441" s="391">
        <f>+F438+F437</f>
        <v>0</v>
      </c>
      <c r="G441" s="391">
        <f t="shared" ref="G441:Q441" si="167">+G438+G437</f>
        <v>1300634.2</v>
      </c>
      <c r="H441" s="391">
        <f t="shared" si="167"/>
        <v>0</v>
      </c>
      <c r="I441" s="391">
        <f t="shared" si="167"/>
        <v>1300634.2</v>
      </c>
      <c r="J441" s="391">
        <f t="shared" si="167"/>
        <v>0</v>
      </c>
      <c r="K441" s="391">
        <f t="shared" si="167"/>
        <v>748337.7</v>
      </c>
      <c r="L441" s="391">
        <f t="shared" si="167"/>
        <v>0</v>
      </c>
      <c r="M441" s="391">
        <f t="shared" si="167"/>
        <v>748337.7</v>
      </c>
      <c r="N441" s="391">
        <f t="shared" si="167"/>
        <v>0</v>
      </c>
      <c r="O441" s="391">
        <f t="shared" si="167"/>
        <v>552296.5</v>
      </c>
      <c r="P441" s="391">
        <f t="shared" si="167"/>
        <v>0</v>
      </c>
      <c r="Q441" s="391">
        <f t="shared" si="167"/>
        <v>552296.5</v>
      </c>
      <c r="R441" s="761"/>
      <c r="S441" s="267" t="str">
        <f t="shared" si="157"/>
        <v/>
      </c>
      <c r="T441" s="267">
        <f t="shared" si="157"/>
        <v>0.57536369564939938</v>
      </c>
      <c r="U441" s="267" t="str">
        <f t="shared" si="157"/>
        <v/>
      </c>
      <c r="V441" s="267">
        <f t="shared" si="155"/>
        <v>0.57536369564939938</v>
      </c>
      <c r="W441" s="532"/>
      <c r="Y441" s="236" t="s">
        <v>598</v>
      </c>
      <c r="Z441" s="240" t="s">
        <v>598</v>
      </c>
    </row>
    <row r="442" spans="1:26" ht="12" hidden="1" customHeight="1">
      <c r="A442" s="548"/>
      <c r="B442" s="548"/>
      <c r="C442" s="456"/>
      <c r="D442" s="549"/>
      <c r="E442" s="461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S442" s="267" t="str">
        <f t="shared" si="157"/>
        <v/>
      </c>
      <c r="T442" s="267" t="str">
        <f t="shared" si="157"/>
        <v/>
      </c>
      <c r="U442" s="267" t="str">
        <f t="shared" si="157"/>
        <v/>
      </c>
      <c r="V442" s="267" t="str">
        <f t="shared" si="155"/>
        <v/>
      </c>
      <c r="W442" s="530"/>
      <c r="X442" s="236"/>
      <c r="Y442" s="236"/>
      <c r="Z442" s="236"/>
    </row>
    <row r="443" spans="1:26" s="256" customFormat="1" ht="12" customHeight="1">
      <c r="A443" s="548" t="s">
        <v>158</v>
      </c>
      <c r="B443" s="548" t="s">
        <v>161</v>
      </c>
      <c r="C443" s="460"/>
      <c r="D443" s="551" t="s">
        <v>98</v>
      </c>
      <c r="E443" s="390" t="s">
        <v>100</v>
      </c>
      <c r="F443" s="391">
        <f>SUM(F444:F444)</f>
        <v>0</v>
      </c>
      <c r="G443" s="391">
        <f>SUM(G444:G444)</f>
        <v>0</v>
      </c>
      <c r="H443" s="391">
        <f>SUM(H444:H444)</f>
        <v>0</v>
      </c>
      <c r="I443" s="391">
        <f>+F443+G443+H443</f>
        <v>0</v>
      </c>
      <c r="J443" s="391">
        <v>0</v>
      </c>
      <c r="K443" s="391">
        <f>SUM(K444:K444)</f>
        <v>0</v>
      </c>
      <c r="L443" s="391">
        <f>SUM(L444:L444)</f>
        <v>0</v>
      </c>
      <c r="M443" s="391">
        <f>+J443+K443+L443</f>
        <v>0</v>
      </c>
      <c r="N443" s="391">
        <f t="shared" ref="N443:P444" si="168">+F443-J443</f>
        <v>0</v>
      </c>
      <c r="O443" s="391">
        <f t="shared" si="168"/>
        <v>0</v>
      </c>
      <c r="P443" s="391">
        <f t="shared" si="168"/>
        <v>0</v>
      </c>
      <c r="Q443" s="391">
        <f>+N443+O443+P443</f>
        <v>0</v>
      </c>
      <c r="R443" s="761"/>
      <c r="S443" s="267" t="str">
        <f t="shared" si="157"/>
        <v/>
      </c>
      <c r="T443" s="267" t="str">
        <f t="shared" si="157"/>
        <v/>
      </c>
      <c r="U443" s="267" t="str">
        <f t="shared" si="157"/>
        <v/>
      </c>
      <c r="V443" s="267" t="str">
        <f t="shared" si="155"/>
        <v/>
      </c>
      <c r="W443" s="532"/>
      <c r="Y443" s="236" t="s">
        <v>598</v>
      </c>
      <c r="Z443" s="240" t="s">
        <v>598</v>
      </c>
    </row>
    <row r="444" spans="1:26" ht="12" customHeight="1">
      <c r="A444" s="548" t="s">
        <v>158</v>
      </c>
      <c r="B444" s="548" t="s">
        <v>161</v>
      </c>
      <c r="C444" s="456"/>
      <c r="D444" s="549"/>
      <c r="E444" s="462" t="s">
        <v>290</v>
      </c>
      <c r="F444" s="103">
        <v>0</v>
      </c>
      <c r="G444" s="103">
        <f>SUM('[3]chd4b-SAOB'!AI223)</f>
        <v>0</v>
      </c>
      <c r="H444" s="103">
        <f>SUM('[3]chd4b-SAOB'!AI315)</f>
        <v>0</v>
      </c>
      <c r="I444" s="103">
        <f>+F444+G444+H444</f>
        <v>0</v>
      </c>
      <c r="J444" s="103">
        <v>0</v>
      </c>
      <c r="K444" s="103">
        <f>SUM('[3]chd4b-SAOB'!AI224)</f>
        <v>0</v>
      </c>
      <c r="L444" s="103">
        <f>SUM('[3]chd4b-SAOB'!AI316)</f>
        <v>0</v>
      </c>
      <c r="M444" s="103">
        <f>+J444+K444+L444</f>
        <v>0</v>
      </c>
      <c r="N444" s="103">
        <f t="shared" si="168"/>
        <v>0</v>
      </c>
      <c r="O444" s="103">
        <f t="shared" si="168"/>
        <v>0</v>
      </c>
      <c r="P444" s="103">
        <f t="shared" si="168"/>
        <v>0</v>
      </c>
      <c r="Q444" s="103">
        <f>+N444+O444+P444</f>
        <v>0</v>
      </c>
      <c r="S444" s="267" t="str">
        <f t="shared" si="157"/>
        <v/>
      </c>
      <c r="T444" s="267" t="str">
        <f t="shared" si="157"/>
        <v/>
      </c>
      <c r="U444" s="267" t="str">
        <f t="shared" si="157"/>
        <v/>
      </c>
      <c r="V444" s="267" t="str">
        <f t="shared" si="155"/>
        <v/>
      </c>
      <c r="W444" s="530"/>
      <c r="X444" s="236"/>
      <c r="Y444" s="236" t="s">
        <v>598</v>
      </c>
      <c r="Z444" s="236"/>
    </row>
    <row r="445" spans="1:26" s="259" customFormat="1" ht="12" customHeight="1">
      <c r="A445" s="315" t="s">
        <v>158</v>
      </c>
      <c r="B445" s="315" t="s">
        <v>161</v>
      </c>
      <c r="C445" s="1096"/>
      <c r="D445" s="466"/>
      <c r="E445" s="1097" t="s">
        <v>4</v>
      </c>
      <c r="F445" s="652">
        <f>+F443+F441</f>
        <v>0</v>
      </c>
      <c r="G445" s="652">
        <f t="shared" ref="G445:Q445" si="169">+G443+G441</f>
        <v>1300634.2</v>
      </c>
      <c r="H445" s="652">
        <f t="shared" si="169"/>
        <v>0</v>
      </c>
      <c r="I445" s="652">
        <f t="shared" si="169"/>
        <v>1300634.2</v>
      </c>
      <c r="J445" s="652">
        <f t="shared" si="169"/>
        <v>0</v>
      </c>
      <c r="K445" s="652">
        <f t="shared" si="169"/>
        <v>748337.7</v>
      </c>
      <c r="L445" s="652">
        <f t="shared" si="169"/>
        <v>0</v>
      </c>
      <c r="M445" s="652">
        <f t="shared" si="169"/>
        <v>748337.7</v>
      </c>
      <c r="N445" s="652">
        <f t="shared" si="169"/>
        <v>0</v>
      </c>
      <c r="O445" s="652">
        <f t="shared" si="169"/>
        <v>552296.5</v>
      </c>
      <c r="P445" s="652">
        <f t="shared" si="169"/>
        <v>0</v>
      </c>
      <c r="Q445" s="652">
        <f t="shared" si="169"/>
        <v>552296.5</v>
      </c>
      <c r="R445" s="1095">
        <f>+Q445-'[3]chd4b-SAOB'!BC352</f>
        <v>0</v>
      </c>
      <c r="S445" s="524" t="str">
        <f t="shared" si="157"/>
        <v/>
      </c>
      <c r="T445" s="524">
        <f t="shared" si="157"/>
        <v>0.57536369564939938</v>
      </c>
      <c r="U445" s="524" t="str">
        <f t="shared" si="157"/>
        <v/>
      </c>
      <c r="V445" s="524">
        <f t="shared" si="155"/>
        <v>0.57536369564939938</v>
      </c>
      <c r="W445" s="344"/>
      <c r="X445" s="520"/>
      <c r="Y445" s="837" t="s">
        <v>598</v>
      </c>
      <c r="Z445" s="241" t="s">
        <v>598</v>
      </c>
    </row>
    <row r="446" spans="1:26" ht="12" customHeight="1">
      <c r="A446" s="315" t="s">
        <v>158</v>
      </c>
      <c r="B446" s="315" t="s">
        <v>161</v>
      </c>
      <c r="C446" s="456"/>
      <c r="D446" s="456"/>
      <c r="E446" s="46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S446" s="267" t="str">
        <f t="shared" si="157"/>
        <v/>
      </c>
      <c r="T446" s="267" t="str">
        <f t="shared" si="157"/>
        <v/>
      </c>
      <c r="U446" s="267" t="str">
        <f t="shared" si="157"/>
        <v/>
      </c>
      <c r="V446" s="267" t="str">
        <f t="shared" si="155"/>
        <v/>
      </c>
      <c r="W446" s="267"/>
      <c r="Y446" s="837" t="s">
        <v>598</v>
      </c>
      <c r="Z446" s="241" t="s">
        <v>598</v>
      </c>
    </row>
    <row r="447" spans="1:26" s="275" customFormat="1" ht="12" customHeight="1">
      <c r="A447" s="548" t="s">
        <v>158</v>
      </c>
      <c r="B447" s="548" t="s">
        <v>162</v>
      </c>
      <c r="C447" s="464" t="s">
        <v>98</v>
      </c>
      <c r="D447" s="552" t="s">
        <v>107</v>
      </c>
      <c r="E447" s="407" t="s">
        <v>807</v>
      </c>
      <c r="F447" s="468"/>
      <c r="G447" s="468"/>
      <c r="H447" s="468"/>
      <c r="I447" s="409">
        <f t="shared" ref="I447:I451" si="170">+F447+G447+H447</f>
        <v>0</v>
      </c>
      <c r="J447" s="409">
        <v>0</v>
      </c>
      <c r="K447" s="468"/>
      <c r="L447" s="468"/>
      <c r="M447" s="409">
        <f t="shared" si="151"/>
        <v>0</v>
      </c>
      <c r="N447" s="409">
        <f t="shared" si="166"/>
        <v>0</v>
      </c>
      <c r="O447" s="409">
        <f t="shared" si="166"/>
        <v>0</v>
      </c>
      <c r="P447" s="409">
        <f t="shared" si="166"/>
        <v>0</v>
      </c>
      <c r="Q447" s="409">
        <f t="shared" si="152"/>
        <v>0</v>
      </c>
      <c r="R447" s="761"/>
      <c r="S447" s="267" t="str">
        <f t="shared" si="157"/>
        <v/>
      </c>
      <c r="T447" s="267" t="str">
        <f t="shared" si="157"/>
        <v/>
      </c>
      <c r="U447" s="267" t="str">
        <f t="shared" si="157"/>
        <v/>
      </c>
      <c r="V447" s="267" t="str">
        <f t="shared" si="155"/>
        <v/>
      </c>
      <c r="W447" s="553"/>
      <c r="Y447" s="236" t="s">
        <v>598</v>
      </c>
      <c r="Z447" s="240" t="s">
        <v>598</v>
      </c>
    </row>
    <row r="448" spans="1:26" ht="12" customHeight="1">
      <c r="A448" s="548" t="s">
        <v>158</v>
      </c>
      <c r="B448" s="548" t="s">
        <v>162</v>
      </c>
      <c r="C448" s="447" t="s">
        <v>766</v>
      </c>
      <c r="D448" s="549"/>
      <c r="E448" s="447" t="s">
        <v>766</v>
      </c>
      <c r="F448" s="104">
        <f>'[3]chd4b-SAOB'!C444</f>
        <v>0</v>
      </c>
      <c r="G448" s="104">
        <f>'[3]chd4b-SAOB'!D444</f>
        <v>0</v>
      </c>
      <c r="H448" s="104">
        <f>'[3]chd4b-SAOB'!E444</f>
        <v>0</v>
      </c>
      <c r="I448" s="103">
        <f t="shared" si="170"/>
        <v>0</v>
      </c>
      <c r="J448" s="103">
        <v>0</v>
      </c>
      <c r="K448" s="104">
        <f>'[3]chd4b-SAOB'!H444</f>
        <v>0</v>
      </c>
      <c r="L448" s="104">
        <f>'[3]chd4b-SAOB'!I444</f>
        <v>0</v>
      </c>
      <c r="M448" s="103">
        <f t="shared" si="151"/>
        <v>0</v>
      </c>
      <c r="N448" s="103">
        <f t="shared" si="166"/>
        <v>0</v>
      </c>
      <c r="O448" s="103">
        <f t="shared" si="166"/>
        <v>0</v>
      </c>
      <c r="P448" s="103">
        <f t="shared" si="166"/>
        <v>0</v>
      </c>
      <c r="Q448" s="103">
        <f t="shared" si="152"/>
        <v>0</v>
      </c>
      <c r="S448" s="267" t="str">
        <f t="shared" si="157"/>
        <v/>
      </c>
      <c r="T448" s="267" t="str">
        <f t="shared" si="157"/>
        <v/>
      </c>
      <c r="U448" s="267" t="str">
        <f t="shared" si="157"/>
        <v/>
      </c>
      <c r="V448" s="267" t="str">
        <f t="shared" si="155"/>
        <v/>
      </c>
      <c r="W448" s="530"/>
      <c r="X448" s="236"/>
      <c r="Y448" s="236" t="s">
        <v>688</v>
      </c>
      <c r="Z448" s="236"/>
    </row>
    <row r="449" spans="1:26" ht="12" customHeight="1">
      <c r="A449" s="548" t="s">
        <v>158</v>
      </c>
      <c r="B449" s="548" t="s">
        <v>162</v>
      </c>
      <c r="C449" s="456"/>
      <c r="D449" s="549"/>
      <c r="E449" s="453" t="s">
        <v>50</v>
      </c>
      <c r="F449" s="103">
        <f>+F450+F451</f>
        <v>0</v>
      </c>
      <c r="G449" s="103">
        <f>+G450+G451</f>
        <v>2689167.48</v>
      </c>
      <c r="H449" s="103">
        <f>+H450+H451</f>
        <v>0</v>
      </c>
      <c r="I449" s="103">
        <f t="shared" si="170"/>
        <v>2689167.48</v>
      </c>
      <c r="J449" s="103">
        <f>+J450+J451</f>
        <v>0</v>
      </c>
      <c r="K449" s="103">
        <f>+K450+K451</f>
        <v>1860964.87</v>
      </c>
      <c r="L449" s="103">
        <f>+L450+L451</f>
        <v>0</v>
      </c>
      <c r="M449" s="103">
        <f t="shared" si="151"/>
        <v>1860964.87</v>
      </c>
      <c r="N449" s="103">
        <f t="shared" si="166"/>
        <v>0</v>
      </c>
      <c r="O449" s="103">
        <f t="shared" si="166"/>
        <v>828202.60999999987</v>
      </c>
      <c r="P449" s="103">
        <f t="shared" si="166"/>
        <v>0</v>
      </c>
      <c r="Q449" s="103">
        <f t="shared" si="152"/>
        <v>828202.60999999987</v>
      </c>
      <c r="S449" s="267" t="str">
        <f t="shared" si="157"/>
        <v/>
      </c>
      <c r="T449" s="267">
        <f t="shared" si="157"/>
        <v>0.69202267387228711</v>
      </c>
      <c r="U449" s="267" t="str">
        <f t="shared" si="157"/>
        <v/>
      </c>
      <c r="V449" s="267">
        <f t="shared" si="155"/>
        <v>0.69202267387228711</v>
      </c>
      <c r="W449" s="530"/>
      <c r="X449" s="236"/>
      <c r="Y449" s="236" t="s">
        <v>688</v>
      </c>
      <c r="Z449" s="236"/>
    </row>
    <row r="450" spans="1:26" ht="12" hidden="1" customHeight="1">
      <c r="A450" s="548" t="s">
        <v>158</v>
      </c>
      <c r="B450" s="548" t="s">
        <v>162</v>
      </c>
      <c r="C450" s="458" t="s">
        <v>715</v>
      </c>
      <c r="D450" s="550" t="s">
        <v>715</v>
      </c>
      <c r="E450" s="447" t="s">
        <v>715</v>
      </c>
      <c r="F450" s="104">
        <f>'[3]CONAP - W INC'!F329</f>
        <v>0</v>
      </c>
      <c r="G450" s="104">
        <f>'[3]CONAP - W INC'!G329</f>
        <v>1483317</v>
      </c>
      <c r="H450" s="104">
        <f>'[3]CONAP - W INC'!H329</f>
        <v>0</v>
      </c>
      <c r="I450" s="103">
        <f t="shared" si="170"/>
        <v>1483317</v>
      </c>
      <c r="J450" s="103">
        <f>'[3]CONAP - W INC'!J329</f>
        <v>0</v>
      </c>
      <c r="K450" s="104">
        <f>'[3]CONAP - W INC'!K329</f>
        <v>782020.35</v>
      </c>
      <c r="L450" s="104">
        <f>'[3]CONAP - W INC'!L329</f>
        <v>0</v>
      </c>
      <c r="M450" s="103">
        <f t="shared" si="151"/>
        <v>782020.35</v>
      </c>
      <c r="N450" s="103">
        <f t="shared" si="166"/>
        <v>0</v>
      </c>
      <c r="O450" s="103">
        <f t="shared" si="166"/>
        <v>701296.65</v>
      </c>
      <c r="P450" s="103">
        <f t="shared" si="166"/>
        <v>0</v>
      </c>
      <c r="Q450" s="103">
        <f t="shared" si="152"/>
        <v>701296.65</v>
      </c>
      <c r="S450" s="267" t="str">
        <f t="shared" si="157"/>
        <v/>
      </c>
      <c r="T450" s="267">
        <f t="shared" si="157"/>
        <v>0.52721053557668385</v>
      </c>
      <c r="U450" s="267" t="str">
        <f t="shared" si="157"/>
        <v/>
      </c>
      <c r="V450" s="267">
        <f t="shared" si="155"/>
        <v>0.52721053557668385</v>
      </c>
      <c r="W450" s="530"/>
      <c r="X450" s="236"/>
      <c r="Y450" s="236"/>
      <c r="Z450" s="236"/>
    </row>
    <row r="451" spans="1:26" ht="12" hidden="1" customHeight="1">
      <c r="A451" s="548" t="s">
        <v>158</v>
      </c>
      <c r="B451" s="548" t="s">
        <v>162</v>
      </c>
      <c r="C451" s="458" t="s">
        <v>716</v>
      </c>
      <c r="D451" s="550" t="s">
        <v>716</v>
      </c>
      <c r="E451" s="459" t="s">
        <v>716</v>
      </c>
      <c r="F451" s="104">
        <f>'[3]CONAP - W INC'!F330</f>
        <v>0</v>
      </c>
      <c r="G451" s="104">
        <f>'[3]CONAP - W INC'!G330</f>
        <v>1205850.48</v>
      </c>
      <c r="H451" s="104">
        <f>'[3]CONAP - W INC'!H330</f>
        <v>0</v>
      </c>
      <c r="I451" s="103">
        <f t="shared" si="170"/>
        <v>1205850.48</v>
      </c>
      <c r="J451" s="103">
        <f>'[3]CONAP - W INC'!J330</f>
        <v>0</v>
      </c>
      <c r="K451" s="104">
        <f>'[3]CONAP - W INC'!K330</f>
        <v>1078944.52</v>
      </c>
      <c r="L451" s="104">
        <f>'[3]CONAP - W INC'!L330</f>
        <v>0</v>
      </c>
      <c r="M451" s="103">
        <f t="shared" si="151"/>
        <v>1078944.52</v>
      </c>
      <c r="N451" s="103">
        <f t="shared" si="166"/>
        <v>0</v>
      </c>
      <c r="O451" s="103">
        <f t="shared" si="166"/>
        <v>126905.95999999996</v>
      </c>
      <c r="P451" s="103">
        <f t="shared" si="166"/>
        <v>0</v>
      </c>
      <c r="Q451" s="103">
        <f t="shared" si="152"/>
        <v>126905.95999999996</v>
      </c>
      <c r="S451" s="267" t="str">
        <f t="shared" si="157"/>
        <v/>
      </c>
      <c r="T451" s="267">
        <f t="shared" si="157"/>
        <v>0.8947581295485324</v>
      </c>
      <c r="U451" s="267" t="str">
        <f t="shared" si="157"/>
        <v/>
      </c>
      <c r="V451" s="267">
        <f t="shared" si="155"/>
        <v>0.8947581295485324</v>
      </c>
      <c r="W451" s="530"/>
      <c r="X451" s="236"/>
      <c r="Y451" s="236"/>
      <c r="Z451" s="236"/>
    </row>
    <row r="452" spans="1:26" s="256" customFormat="1" ht="12" customHeight="1">
      <c r="A452" s="548"/>
      <c r="B452" s="548" t="s">
        <v>162</v>
      </c>
      <c r="C452" s="460"/>
      <c r="D452" s="551"/>
      <c r="E452" s="390" t="s">
        <v>767</v>
      </c>
      <c r="F452" s="391">
        <f>+F449+F448</f>
        <v>0</v>
      </c>
      <c r="G452" s="391">
        <f t="shared" ref="G452:Q452" si="171">+G449+G448</f>
        <v>2689167.48</v>
      </c>
      <c r="H452" s="391">
        <f t="shared" si="171"/>
        <v>0</v>
      </c>
      <c r="I452" s="391">
        <f t="shared" si="171"/>
        <v>2689167.48</v>
      </c>
      <c r="J452" s="391">
        <f t="shared" si="171"/>
        <v>0</v>
      </c>
      <c r="K452" s="391">
        <f t="shared" si="171"/>
        <v>1860964.87</v>
      </c>
      <c r="L452" s="391">
        <f t="shared" si="171"/>
        <v>0</v>
      </c>
      <c r="M452" s="391">
        <f t="shared" si="171"/>
        <v>1860964.87</v>
      </c>
      <c r="N452" s="391">
        <f t="shared" si="171"/>
        <v>0</v>
      </c>
      <c r="O452" s="391">
        <f t="shared" si="171"/>
        <v>828202.60999999987</v>
      </c>
      <c r="P452" s="391">
        <f t="shared" si="171"/>
        <v>0</v>
      </c>
      <c r="Q452" s="391">
        <f t="shared" si="171"/>
        <v>828202.60999999987</v>
      </c>
      <c r="R452" s="761"/>
      <c r="S452" s="267" t="str">
        <f t="shared" si="157"/>
        <v/>
      </c>
      <c r="T452" s="267">
        <f t="shared" si="157"/>
        <v>0.69202267387228711</v>
      </c>
      <c r="U452" s="267" t="str">
        <f t="shared" si="157"/>
        <v/>
      </c>
      <c r="V452" s="267">
        <f t="shared" si="155"/>
        <v>0.69202267387228711</v>
      </c>
      <c r="W452" s="532"/>
      <c r="Y452" s="236" t="s">
        <v>598</v>
      </c>
      <c r="Z452" s="240" t="s">
        <v>598</v>
      </c>
    </row>
    <row r="453" spans="1:26" ht="12" hidden="1" customHeight="1">
      <c r="A453" s="548"/>
      <c r="B453" s="548"/>
      <c r="C453" s="456"/>
      <c r="D453" s="549"/>
      <c r="E453" s="461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S453" s="267" t="str">
        <f t="shared" si="157"/>
        <v/>
      </c>
      <c r="T453" s="267" t="str">
        <f t="shared" si="157"/>
        <v/>
      </c>
      <c r="U453" s="267" t="str">
        <f t="shared" si="157"/>
        <v/>
      </c>
      <c r="V453" s="267" t="str">
        <f t="shared" si="155"/>
        <v/>
      </c>
      <c r="W453" s="530"/>
      <c r="X453" s="236"/>
      <c r="Y453" s="236"/>
      <c r="Z453" s="236"/>
    </row>
    <row r="454" spans="1:26" s="256" customFormat="1" ht="12" customHeight="1">
      <c r="A454" s="548" t="s">
        <v>158</v>
      </c>
      <c r="B454" s="548" t="s">
        <v>162</v>
      </c>
      <c r="C454" s="460"/>
      <c r="D454" s="551" t="s">
        <v>98</v>
      </c>
      <c r="E454" s="390" t="s">
        <v>100</v>
      </c>
      <c r="F454" s="391">
        <f>SUM(F455:F455)</f>
        <v>0</v>
      </c>
      <c r="G454" s="391">
        <f>SUM(G455:G455)</f>
        <v>0</v>
      </c>
      <c r="H454" s="391">
        <f>SUM(H455:H455)</f>
        <v>0</v>
      </c>
      <c r="I454" s="391">
        <f>+F454+G454+H454</f>
        <v>0</v>
      </c>
      <c r="J454" s="391">
        <v>0</v>
      </c>
      <c r="K454" s="391">
        <f>SUM(K455:K455)</f>
        <v>0</v>
      </c>
      <c r="L454" s="391">
        <f>SUM(L455:L455)</f>
        <v>0</v>
      </c>
      <c r="M454" s="391">
        <f>+J454+K454+L454</f>
        <v>0</v>
      </c>
      <c r="N454" s="391">
        <f t="shared" ref="N454:P455" si="172">+F454-J454</f>
        <v>0</v>
      </c>
      <c r="O454" s="391">
        <f t="shared" si="172"/>
        <v>0</v>
      </c>
      <c r="P454" s="391">
        <f t="shared" si="172"/>
        <v>0</v>
      </c>
      <c r="Q454" s="391">
        <f>+N454+O454+P454</f>
        <v>0</v>
      </c>
      <c r="R454" s="761"/>
      <c r="S454" s="267" t="str">
        <f t="shared" si="157"/>
        <v/>
      </c>
      <c r="T454" s="267" t="str">
        <f t="shared" si="157"/>
        <v/>
      </c>
      <c r="U454" s="267" t="str">
        <f t="shared" si="157"/>
        <v/>
      </c>
      <c r="V454" s="267" t="str">
        <f t="shared" si="155"/>
        <v/>
      </c>
      <c r="W454" s="532"/>
      <c r="Y454" s="236" t="s">
        <v>598</v>
      </c>
      <c r="Z454" s="240" t="s">
        <v>598</v>
      </c>
    </row>
    <row r="455" spans="1:26" ht="12" customHeight="1">
      <c r="A455" s="548" t="s">
        <v>158</v>
      </c>
      <c r="B455" s="548" t="s">
        <v>162</v>
      </c>
      <c r="C455" s="456"/>
      <c r="D455" s="549"/>
      <c r="E455" s="462" t="s">
        <v>290</v>
      </c>
      <c r="F455" s="103">
        <v>0</v>
      </c>
      <c r="G455" s="103">
        <f>SUM('[3]chd4b-SAOB'!AJ223)</f>
        <v>0</v>
      </c>
      <c r="H455" s="103">
        <f>SUM('[3]chd4b-SAOB'!AJ315)</f>
        <v>0</v>
      </c>
      <c r="I455" s="103">
        <f>+F455+G455+H455</f>
        <v>0</v>
      </c>
      <c r="J455" s="103">
        <v>0</v>
      </c>
      <c r="K455" s="103">
        <f>SUM('[3]chd4b-SAOB'!AJ224)</f>
        <v>0</v>
      </c>
      <c r="L455" s="103">
        <f>SUM('[3]chd4b-SAOB'!AJ316)</f>
        <v>0</v>
      </c>
      <c r="M455" s="103">
        <f>+J455+K455+L455</f>
        <v>0</v>
      </c>
      <c r="N455" s="103">
        <f t="shared" si="172"/>
        <v>0</v>
      </c>
      <c r="O455" s="103">
        <f t="shared" si="172"/>
        <v>0</v>
      </c>
      <c r="P455" s="103">
        <f t="shared" si="172"/>
        <v>0</v>
      </c>
      <c r="Q455" s="103">
        <f>+N455+O455+P455</f>
        <v>0</v>
      </c>
      <c r="S455" s="267" t="str">
        <f t="shared" si="157"/>
        <v/>
      </c>
      <c r="T455" s="267" t="str">
        <f t="shared" si="157"/>
        <v/>
      </c>
      <c r="U455" s="267" t="str">
        <f t="shared" si="157"/>
        <v/>
      </c>
      <c r="V455" s="267" t="str">
        <f t="shared" si="155"/>
        <v/>
      </c>
      <c r="W455" s="530"/>
      <c r="X455" s="236"/>
      <c r="Y455" s="236" t="s">
        <v>598</v>
      </c>
      <c r="Z455" s="236"/>
    </row>
    <row r="456" spans="1:26" s="259" customFormat="1" ht="12" customHeight="1">
      <c r="A456" s="315" t="s">
        <v>158</v>
      </c>
      <c r="B456" s="315" t="s">
        <v>162</v>
      </c>
      <c r="C456" s="1096"/>
      <c r="D456" s="466"/>
      <c r="E456" s="1097" t="s">
        <v>4</v>
      </c>
      <c r="F456" s="652">
        <f>+F454+F452</f>
        <v>0</v>
      </c>
      <c r="G456" s="652">
        <f t="shared" ref="G456:Q456" si="173">+G454+G452</f>
        <v>2689167.48</v>
      </c>
      <c r="H456" s="652">
        <f t="shared" si="173"/>
        <v>0</v>
      </c>
      <c r="I456" s="652">
        <f t="shared" si="173"/>
        <v>2689167.48</v>
      </c>
      <c r="J456" s="652">
        <f t="shared" si="173"/>
        <v>0</v>
      </c>
      <c r="K456" s="652">
        <f t="shared" si="173"/>
        <v>1860964.87</v>
      </c>
      <c r="L456" s="652">
        <f t="shared" si="173"/>
        <v>0</v>
      </c>
      <c r="M456" s="652">
        <f t="shared" si="173"/>
        <v>1860964.87</v>
      </c>
      <c r="N456" s="652">
        <f t="shared" si="173"/>
        <v>0</v>
      </c>
      <c r="O456" s="652">
        <f t="shared" si="173"/>
        <v>828202.60999999987</v>
      </c>
      <c r="P456" s="652">
        <f t="shared" si="173"/>
        <v>0</v>
      </c>
      <c r="Q456" s="652">
        <f t="shared" si="173"/>
        <v>828202.60999999987</v>
      </c>
      <c r="R456" s="1095">
        <f>+Q456-'[3]chd4b-SAOB'!BD352</f>
        <v>0</v>
      </c>
      <c r="S456" s="524" t="str">
        <f t="shared" si="157"/>
        <v/>
      </c>
      <c r="T456" s="524">
        <f t="shared" si="157"/>
        <v>0.69202267387228711</v>
      </c>
      <c r="U456" s="524" t="str">
        <f t="shared" si="157"/>
        <v/>
      </c>
      <c r="V456" s="524">
        <f t="shared" si="155"/>
        <v>0.69202267387228711</v>
      </c>
      <c r="W456" s="344"/>
      <c r="X456" s="520"/>
      <c r="Y456" s="837" t="s">
        <v>598</v>
      </c>
      <c r="Z456" s="241" t="s">
        <v>598</v>
      </c>
    </row>
    <row r="457" spans="1:26" s="660" customFormat="1" ht="12" hidden="1" customHeight="1">
      <c r="A457" s="315" t="s">
        <v>158</v>
      </c>
      <c r="B457" s="315" t="s">
        <v>159</v>
      </c>
      <c r="C457" s="1467" t="s">
        <v>619</v>
      </c>
      <c r="D457" s="1468"/>
      <c r="E457" s="1469"/>
      <c r="F457" s="659">
        <f>+F445+F456</f>
        <v>0</v>
      </c>
      <c r="G457" s="659">
        <f>+G445+G456</f>
        <v>3989801.6799999997</v>
      </c>
      <c r="H457" s="659">
        <f>+H445+H456</f>
        <v>0</v>
      </c>
      <c r="I457" s="659">
        <f>+F457+G457+H457</f>
        <v>3989801.6799999997</v>
      </c>
      <c r="J457" s="659">
        <v>0</v>
      </c>
      <c r="K457" s="659">
        <f>+K445+K456</f>
        <v>2609302.5700000003</v>
      </c>
      <c r="L457" s="659">
        <f>+L445+L456</f>
        <v>0</v>
      </c>
      <c r="M457" s="659">
        <f t="shared" si="151"/>
        <v>2609302.5700000003</v>
      </c>
      <c r="N457" s="659">
        <f t="shared" si="166"/>
        <v>0</v>
      </c>
      <c r="O457" s="659">
        <f t="shared" si="166"/>
        <v>1380499.1099999994</v>
      </c>
      <c r="P457" s="659">
        <f t="shared" si="166"/>
        <v>0</v>
      </c>
      <c r="Q457" s="659">
        <f t="shared" si="152"/>
        <v>1380499.1099999994</v>
      </c>
      <c r="R457" s="1098"/>
      <c r="S457" s="661" t="str">
        <f t="shared" si="157"/>
        <v/>
      </c>
      <c r="T457" s="661">
        <f t="shared" si="157"/>
        <v>0.65399305010067577</v>
      </c>
      <c r="U457" s="661" t="str">
        <f t="shared" si="157"/>
        <v/>
      </c>
      <c r="V457" s="661">
        <f t="shared" si="155"/>
        <v>0.65399305010067577</v>
      </c>
      <c r="W457" s="295"/>
      <c r="X457" s="520"/>
      <c r="Y457" s="837"/>
      <c r="Z457" s="241"/>
    </row>
    <row r="458" spans="1:26" ht="12" hidden="1" customHeight="1">
      <c r="A458" s="315" t="s">
        <v>158</v>
      </c>
      <c r="B458" s="315" t="s">
        <v>159</v>
      </c>
      <c r="C458" s="469"/>
      <c r="D458" s="470"/>
      <c r="E458" s="471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S458" s="267" t="str">
        <f t="shared" si="157"/>
        <v/>
      </c>
      <c r="T458" s="267" t="str">
        <f t="shared" si="157"/>
        <v/>
      </c>
      <c r="U458" s="267" t="str">
        <f t="shared" si="157"/>
        <v/>
      </c>
      <c r="V458" s="267" t="str">
        <f t="shared" si="155"/>
        <v/>
      </c>
      <c r="W458" s="267"/>
      <c r="X458" s="237" t="s">
        <v>598</v>
      </c>
    </row>
    <row r="459" spans="1:26" s="275" customFormat="1" ht="12.75" hidden="1" customHeight="1">
      <c r="A459" s="315" t="s">
        <v>620</v>
      </c>
      <c r="B459" s="315" t="s">
        <v>159</v>
      </c>
      <c r="C459" s="464" t="s">
        <v>808</v>
      </c>
      <c r="D459" s="464"/>
      <c r="E459" s="472"/>
      <c r="F459" s="409"/>
      <c r="G459" s="409"/>
      <c r="H459" s="409"/>
      <c r="I459" s="409">
        <f>+F459+G459+H459</f>
        <v>0</v>
      </c>
      <c r="J459" s="409">
        <v>0</v>
      </c>
      <c r="K459" s="409"/>
      <c r="L459" s="409"/>
      <c r="M459" s="409">
        <f t="shared" si="151"/>
        <v>0</v>
      </c>
      <c r="N459" s="409">
        <f t="shared" si="166"/>
        <v>0</v>
      </c>
      <c r="O459" s="409">
        <f t="shared" si="166"/>
        <v>0</v>
      </c>
      <c r="P459" s="409">
        <f t="shared" si="166"/>
        <v>0</v>
      </c>
      <c r="Q459" s="409">
        <f t="shared" si="152"/>
        <v>0</v>
      </c>
      <c r="R459" s="761"/>
      <c r="S459" s="267" t="str">
        <f t="shared" si="157"/>
        <v/>
      </c>
      <c r="T459" s="267" t="str">
        <f t="shared" si="157"/>
        <v/>
      </c>
      <c r="U459" s="267" t="str">
        <f t="shared" si="157"/>
        <v/>
      </c>
      <c r="V459" s="267" t="str">
        <f t="shared" si="155"/>
        <v/>
      </c>
      <c r="W459" s="251"/>
      <c r="X459" s="237" t="s">
        <v>598</v>
      </c>
      <c r="Y459" s="839"/>
      <c r="Z459" s="253"/>
    </row>
    <row r="460" spans="1:26" ht="12" hidden="1" customHeight="1">
      <c r="A460" s="315" t="s">
        <v>620</v>
      </c>
      <c r="B460" s="315" t="s">
        <v>159</v>
      </c>
      <c r="C460" s="447" t="s">
        <v>766</v>
      </c>
      <c r="D460" s="456" t="s">
        <v>98</v>
      </c>
      <c r="E460" s="447" t="s">
        <v>766</v>
      </c>
      <c r="F460" s="103">
        <f>+F422+F437+F448</f>
        <v>0</v>
      </c>
      <c r="G460" s="103">
        <f>+G422+G437+G448</f>
        <v>612603.09</v>
      </c>
      <c r="H460" s="103">
        <f>+H422+H437+H448</f>
        <v>0</v>
      </c>
      <c r="I460" s="103">
        <f>SUM(F460:H460)</f>
        <v>612603.09</v>
      </c>
      <c r="J460" s="103">
        <v>0</v>
      </c>
      <c r="K460" s="103">
        <f>+K422+K437+K448</f>
        <v>612419.63</v>
      </c>
      <c r="L460" s="103">
        <f>+L422+L437+L448</f>
        <v>0</v>
      </c>
      <c r="M460" s="103">
        <f t="shared" si="151"/>
        <v>612419.63</v>
      </c>
      <c r="N460" s="103">
        <f t="shared" si="166"/>
        <v>0</v>
      </c>
      <c r="O460" s="103">
        <f t="shared" si="166"/>
        <v>183.45999999996275</v>
      </c>
      <c r="P460" s="103">
        <f t="shared" si="166"/>
        <v>0</v>
      </c>
      <c r="Q460" s="103">
        <f t="shared" si="152"/>
        <v>183.45999999996275</v>
      </c>
      <c r="S460" s="267" t="str">
        <f t="shared" si="157"/>
        <v/>
      </c>
      <c r="T460" s="267">
        <f t="shared" si="157"/>
        <v>0.99970052387427566</v>
      </c>
      <c r="U460" s="267" t="str">
        <f t="shared" si="157"/>
        <v/>
      </c>
      <c r="V460" s="267">
        <f t="shared" si="155"/>
        <v>0.99970052387427566</v>
      </c>
      <c r="W460" s="267"/>
      <c r="X460" s="237" t="s">
        <v>598</v>
      </c>
    </row>
    <row r="461" spans="1:26" ht="12" hidden="1" customHeight="1">
      <c r="A461" s="315" t="s">
        <v>620</v>
      </c>
      <c r="B461" s="315" t="s">
        <v>159</v>
      </c>
      <c r="C461" s="456"/>
      <c r="D461" s="456" t="s">
        <v>98</v>
      </c>
      <c r="E461" s="453" t="s">
        <v>50</v>
      </c>
      <c r="F461" s="103">
        <f>+F462+F463</f>
        <v>0</v>
      </c>
      <c r="G461" s="103">
        <f>+G462+G463</f>
        <v>17537647.019999996</v>
      </c>
      <c r="H461" s="103">
        <f>+H462+H463</f>
        <v>13054465.33</v>
      </c>
      <c r="I461" s="103">
        <f>SUM(F461:H461)</f>
        <v>30592112.349999994</v>
      </c>
      <c r="J461" s="103">
        <f>+J462+J463</f>
        <v>0</v>
      </c>
      <c r="K461" s="103">
        <f>+K462+K463</f>
        <v>13034502.129999999</v>
      </c>
      <c r="L461" s="103">
        <f>+L462+L463</f>
        <v>1661630</v>
      </c>
      <c r="M461" s="103">
        <f t="shared" si="151"/>
        <v>14696132.129999999</v>
      </c>
      <c r="N461" s="103">
        <f t="shared" si="166"/>
        <v>0</v>
      </c>
      <c r="O461" s="103">
        <f t="shared" si="166"/>
        <v>4503144.8899999969</v>
      </c>
      <c r="P461" s="103">
        <f t="shared" si="166"/>
        <v>11392835.33</v>
      </c>
      <c r="Q461" s="103">
        <f t="shared" si="152"/>
        <v>15895980.219999997</v>
      </c>
      <c r="S461" s="267" t="str">
        <f t="shared" si="157"/>
        <v/>
      </c>
      <c r="T461" s="267">
        <f t="shared" si="157"/>
        <v>0.74322981384762765</v>
      </c>
      <c r="U461" s="267">
        <f t="shared" si="157"/>
        <v>0.12728441632775778</v>
      </c>
      <c r="V461" s="267">
        <f t="shared" si="155"/>
        <v>0.48038958414716992</v>
      </c>
      <c r="W461" s="267"/>
      <c r="X461" s="237" t="s">
        <v>598</v>
      </c>
    </row>
    <row r="462" spans="1:26" ht="12" hidden="1" customHeight="1">
      <c r="A462" s="315" t="s">
        <v>620</v>
      </c>
      <c r="B462" s="315" t="s">
        <v>159</v>
      </c>
      <c r="C462" s="458" t="s">
        <v>715</v>
      </c>
      <c r="D462" s="458" t="s">
        <v>715</v>
      </c>
      <c r="E462" s="447" t="s">
        <v>715</v>
      </c>
      <c r="F462" s="103">
        <f t="shared" ref="F462:H463" si="174">+F427+F439+F450</f>
        <v>0</v>
      </c>
      <c r="G462" s="103">
        <f t="shared" si="174"/>
        <v>-1650840.71</v>
      </c>
      <c r="H462" s="103">
        <f t="shared" si="174"/>
        <v>8901800</v>
      </c>
      <c r="I462" s="103">
        <f>SUM(F462:H462)</f>
        <v>7250959.29</v>
      </c>
      <c r="J462" s="103">
        <f t="shared" ref="J462:L463" si="175">+J427+J439+J450</f>
        <v>0</v>
      </c>
      <c r="K462" s="103">
        <f t="shared" si="175"/>
        <v>1530358.0499999998</v>
      </c>
      <c r="L462" s="103">
        <f t="shared" si="175"/>
        <v>595000</v>
      </c>
      <c r="M462" s="103">
        <f t="shared" si="151"/>
        <v>2125358.0499999998</v>
      </c>
      <c r="N462" s="103">
        <f t="shared" si="166"/>
        <v>0</v>
      </c>
      <c r="O462" s="103">
        <f t="shared" si="166"/>
        <v>-3181198.76</v>
      </c>
      <c r="P462" s="103">
        <f t="shared" si="166"/>
        <v>8306800</v>
      </c>
      <c r="Q462" s="103">
        <f t="shared" si="152"/>
        <v>5125601.24</v>
      </c>
      <c r="S462" s="267" t="str">
        <f t="shared" si="157"/>
        <v/>
      </c>
      <c r="T462" s="267">
        <f t="shared" si="157"/>
        <v>-0.9270173922473719</v>
      </c>
      <c r="U462" s="267">
        <f t="shared" si="157"/>
        <v>6.6840414298231815E-2</v>
      </c>
      <c r="V462" s="267">
        <f t="shared" si="155"/>
        <v>0.29311405084443659</v>
      </c>
      <c r="W462" s="267"/>
      <c r="X462" s="237" t="s">
        <v>598</v>
      </c>
    </row>
    <row r="463" spans="1:26" ht="12" hidden="1" customHeight="1">
      <c r="A463" s="315" t="s">
        <v>620</v>
      </c>
      <c r="B463" s="315" t="s">
        <v>159</v>
      </c>
      <c r="C463" s="458" t="s">
        <v>716</v>
      </c>
      <c r="D463" s="458" t="s">
        <v>716</v>
      </c>
      <c r="E463" s="459" t="s">
        <v>716</v>
      </c>
      <c r="F463" s="103">
        <f t="shared" si="174"/>
        <v>0</v>
      </c>
      <c r="G463" s="103">
        <f t="shared" si="174"/>
        <v>19188487.729999997</v>
      </c>
      <c r="H463" s="103">
        <f t="shared" si="174"/>
        <v>4152665.33</v>
      </c>
      <c r="I463" s="103">
        <f>SUM(F463:H463)</f>
        <v>23341153.059999995</v>
      </c>
      <c r="J463" s="103">
        <f t="shared" si="175"/>
        <v>0</v>
      </c>
      <c r="K463" s="103">
        <f t="shared" si="175"/>
        <v>11504144.079999998</v>
      </c>
      <c r="L463" s="103">
        <f t="shared" si="175"/>
        <v>1066630</v>
      </c>
      <c r="M463" s="103">
        <f t="shared" si="151"/>
        <v>12570774.079999998</v>
      </c>
      <c r="N463" s="103">
        <f t="shared" si="166"/>
        <v>0</v>
      </c>
      <c r="O463" s="103">
        <f t="shared" si="166"/>
        <v>7684343.6499999985</v>
      </c>
      <c r="P463" s="103">
        <f t="shared" si="166"/>
        <v>3086035.33</v>
      </c>
      <c r="Q463" s="103">
        <f t="shared" si="152"/>
        <v>10770378.979999999</v>
      </c>
      <c r="S463" s="267" t="str">
        <f t="shared" si="157"/>
        <v/>
      </c>
      <c r="T463" s="267">
        <f t="shared" si="157"/>
        <v>0.59953364964837697</v>
      </c>
      <c r="U463" s="267">
        <f t="shared" si="157"/>
        <v>0.25685431289017457</v>
      </c>
      <c r="V463" s="267">
        <f t="shared" si="155"/>
        <v>0.53856697000726494</v>
      </c>
      <c r="W463" s="267"/>
      <c r="X463" s="237" t="s">
        <v>598</v>
      </c>
    </row>
    <row r="464" spans="1:26" s="256" customFormat="1" ht="12" hidden="1" customHeight="1">
      <c r="A464" s="315"/>
      <c r="B464" s="315" t="s">
        <v>159</v>
      </c>
      <c r="C464" s="460"/>
      <c r="D464" s="460"/>
      <c r="E464" s="390" t="s">
        <v>767</v>
      </c>
      <c r="F464" s="391">
        <f>+F461+F460</f>
        <v>0</v>
      </c>
      <c r="G464" s="391">
        <f t="shared" ref="G464:Q464" si="176">+G461+G460</f>
        <v>18150250.109999996</v>
      </c>
      <c r="H464" s="391">
        <f t="shared" si="176"/>
        <v>13054465.33</v>
      </c>
      <c r="I464" s="391">
        <f>+I461+I460</f>
        <v>31204715.439999994</v>
      </c>
      <c r="J464" s="391">
        <f t="shared" si="176"/>
        <v>0</v>
      </c>
      <c r="K464" s="391">
        <f t="shared" si="176"/>
        <v>13646921.76</v>
      </c>
      <c r="L464" s="391">
        <f t="shared" si="176"/>
        <v>1661630</v>
      </c>
      <c r="M464" s="391">
        <f t="shared" si="176"/>
        <v>15308551.76</v>
      </c>
      <c r="N464" s="391">
        <f t="shared" si="176"/>
        <v>0</v>
      </c>
      <c r="O464" s="391">
        <f t="shared" si="176"/>
        <v>4503328.3499999968</v>
      </c>
      <c r="P464" s="391">
        <f t="shared" si="176"/>
        <v>11392835.33</v>
      </c>
      <c r="Q464" s="391">
        <f t="shared" si="176"/>
        <v>15896163.679999996</v>
      </c>
      <c r="R464" s="761"/>
      <c r="S464" s="267" t="str">
        <f t="shared" si="157"/>
        <v/>
      </c>
      <c r="T464" s="267">
        <f t="shared" si="157"/>
        <v>0.7518861545869906</v>
      </c>
      <c r="U464" s="267">
        <f t="shared" si="157"/>
        <v>0.12728441632775778</v>
      </c>
      <c r="V464" s="267">
        <f t="shared" si="155"/>
        <v>0.49058456531786282</v>
      </c>
      <c r="W464" s="263"/>
      <c r="X464" s="237" t="s">
        <v>598</v>
      </c>
      <c r="Y464" s="840"/>
      <c r="Z464" s="241"/>
    </row>
    <row r="465" spans="1:26" ht="12" hidden="1" customHeight="1">
      <c r="A465" s="315"/>
      <c r="B465" s="315"/>
      <c r="C465" s="456"/>
      <c r="D465" s="456"/>
      <c r="E465" s="461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S465" s="267" t="str">
        <f t="shared" si="157"/>
        <v/>
      </c>
      <c r="T465" s="267" t="str">
        <f t="shared" si="157"/>
        <v/>
      </c>
      <c r="U465" s="267" t="str">
        <f t="shared" si="157"/>
        <v/>
      </c>
      <c r="V465" s="267" t="str">
        <f t="shared" si="155"/>
        <v/>
      </c>
      <c r="W465" s="267"/>
      <c r="X465" s="237" t="s">
        <v>598</v>
      </c>
    </row>
    <row r="466" spans="1:26" s="256" customFormat="1" ht="12" hidden="1" customHeight="1">
      <c r="A466" s="315" t="s">
        <v>620</v>
      </c>
      <c r="B466" s="315" t="s">
        <v>159</v>
      </c>
      <c r="C466" s="460"/>
      <c r="D466" s="460" t="s">
        <v>98</v>
      </c>
      <c r="E466" s="390" t="s">
        <v>100</v>
      </c>
      <c r="F466" s="391">
        <f>SUM(F467:F467)</f>
        <v>0</v>
      </c>
      <c r="G466" s="391">
        <f>SUM(G467:G467)</f>
        <v>0</v>
      </c>
      <c r="H466" s="391">
        <f>SUM(H467:H467)</f>
        <v>0</v>
      </c>
      <c r="I466" s="391">
        <f>+F466+G466+H466</f>
        <v>0</v>
      </c>
      <c r="J466" s="391">
        <v>0</v>
      </c>
      <c r="K466" s="391">
        <f>SUM(K467:K467)</f>
        <v>0</v>
      </c>
      <c r="L466" s="391">
        <f>SUM(L467:L467)</f>
        <v>0</v>
      </c>
      <c r="M466" s="391">
        <f>+J466+K466+L466</f>
        <v>0</v>
      </c>
      <c r="N466" s="391">
        <f t="shared" ref="N466:P467" si="177">+F466-J466</f>
        <v>0</v>
      </c>
      <c r="O466" s="391">
        <f t="shared" si="177"/>
        <v>0</v>
      </c>
      <c r="P466" s="391">
        <f t="shared" si="177"/>
        <v>0</v>
      </c>
      <c r="Q466" s="391">
        <f>+N466+O466+P466</f>
        <v>0</v>
      </c>
      <c r="R466" s="761"/>
      <c r="S466" s="267" t="str">
        <f t="shared" si="157"/>
        <v/>
      </c>
      <c r="T466" s="267" t="str">
        <f t="shared" si="157"/>
        <v/>
      </c>
      <c r="U466" s="267" t="str">
        <f t="shared" si="157"/>
        <v/>
      </c>
      <c r="V466" s="267" t="str">
        <f t="shared" si="155"/>
        <v/>
      </c>
      <c r="W466" s="263"/>
      <c r="X466" s="237" t="s">
        <v>598</v>
      </c>
      <c r="Y466" s="840"/>
      <c r="Z466" s="241"/>
    </row>
    <row r="467" spans="1:26" ht="12" hidden="1" customHeight="1">
      <c r="A467" s="315" t="s">
        <v>620</v>
      </c>
      <c r="B467" s="315" t="s">
        <v>159</v>
      </c>
      <c r="C467" s="456"/>
      <c r="D467" s="456"/>
      <c r="E467" s="462" t="s">
        <v>290</v>
      </c>
      <c r="F467" s="103">
        <f>+F432+F444+F455</f>
        <v>0</v>
      </c>
      <c r="G467" s="103">
        <f>+G432+G444+G455</f>
        <v>0</v>
      </c>
      <c r="H467" s="103">
        <f>+H432+H444+H455</f>
        <v>0</v>
      </c>
      <c r="I467" s="103">
        <f>SUM(F467:H467)</f>
        <v>0</v>
      </c>
      <c r="J467" s="103">
        <f>+J432+J444+J455</f>
        <v>0</v>
      </c>
      <c r="K467" s="103">
        <f>+K432+K444+K455</f>
        <v>0</v>
      </c>
      <c r="L467" s="103">
        <f>+L432+L444+L455</f>
        <v>0</v>
      </c>
      <c r="M467" s="103">
        <f>+J467+K467+L467</f>
        <v>0</v>
      </c>
      <c r="N467" s="103">
        <f t="shared" si="177"/>
        <v>0</v>
      </c>
      <c r="O467" s="103">
        <f t="shared" si="177"/>
        <v>0</v>
      </c>
      <c r="P467" s="103">
        <f t="shared" si="177"/>
        <v>0</v>
      </c>
      <c r="Q467" s="103">
        <f>+N467+O467+P467</f>
        <v>0</v>
      </c>
      <c r="S467" s="267" t="str">
        <f t="shared" si="157"/>
        <v/>
      </c>
      <c r="T467" s="267" t="str">
        <f t="shared" si="157"/>
        <v/>
      </c>
      <c r="U467" s="267" t="str">
        <f t="shared" si="157"/>
        <v/>
      </c>
      <c r="V467" s="267" t="str">
        <f t="shared" si="155"/>
        <v/>
      </c>
      <c r="W467" s="267"/>
      <c r="X467" s="237" t="s">
        <v>598</v>
      </c>
    </row>
    <row r="468" spans="1:26" s="266" customFormat="1" ht="27.75" customHeight="1">
      <c r="A468" s="315" t="s">
        <v>620</v>
      </c>
      <c r="B468" s="315" t="s">
        <v>159</v>
      </c>
      <c r="C468" s="1470" t="s">
        <v>622</v>
      </c>
      <c r="D468" s="1471"/>
      <c r="E468" s="1472"/>
      <c r="F468" s="666">
        <f>+F466+F464</f>
        <v>0</v>
      </c>
      <c r="G468" s="666">
        <f t="shared" ref="G468:Q468" si="178">+G466+G464</f>
        <v>18150250.109999996</v>
      </c>
      <c r="H468" s="666">
        <f t="shared" si="178"/>
        <v>13054465.33</v>
      </c>
      <c r="I468" s="666">
        <f t="shared" si="178"/>
        <v>31204715.439999994</v>
      </c>
      <c r="J468" s="666">
        <f t="shared" si="178"/>
        <v>0</v>
      </c>
      <c r="K468" s="666">
        <f t="shared" si="178"/>
        <v>13646921.76</v>
      </c>
      <c r="L468" s="666">
        <f t="shared" si="178"/>
        <v>1661630</v>
      </c>
      <c r="M468" s="666">
        <f t="shared" si="178"/>
        <v>15308551.76</v>
      </c>
      <c r="N468" s="666">
        <f t="shared" si="178"/>
        <v>0</v>
      </c>
      <c r="O468" s="666">
        <f t="shared" si="178"/>
        <v>4503328.3499999968</v>
      </c>
      <c r="P468" s="666">
        <f t="shared" si="178"/>
        <v>11392835.33</v>
      </c>
      <c r="Q468" s="666">
        <f t="shared" si="178"/>
        <v>15896163.679999996</v>
      </c>
      <c r="R468" s="1099">
        <f>+Q468-'[3]chd4b-SAOB'!BE352</f>
        <v>0</v>
      </c>
      <c r="S468" s="525" t="str">
        <f t="shared" si="157"/>
        <v/>
      </c>
      <c r="T468" s="525">
        <f t="shared" si="157"/>
        <v>0.7518861545869906</v>
      </c>
      <c r="U468" s="525">
        <f t="shared" si="157"/>
        <v>0.12728441632775778</v>
      </c>
      <c r="V468" s="525">
        <f t="shared" si="155"/>
        <v>0.49058456531786282</v>
      </c>
      <c r="W468" s="345"/>
      <c r="X468" s="237" t="s">
        <v>598</v>
      </c>
      <c r="Y468" s="837" t="s">
        <v>598</v>
      </c>
      <c r="Z468" s="241" t="s">
        <v>598</v>
      </c>
    </row>
    <row r="469" spans="1:26" ht="12" customHeight="1">
      <c r="A469" s="315" t="s">
        <v>620</v>
      </c>
      <c r="B469" s="315" t="s">
        <v>159</v>
      </c>
      <c r="C469" s="456"/>
      <c r="D469" s="456"/>
      <c r="E469" s="411"/>
      <c r="F469" s="104"/>
      <c r="G469" s="104"/>
      <c r="H469" s="104"/>
      <c r="I469" s="103"/>
      <c r="J469" s="103"/>
      <c r="K469" s="104"/>
      <c r="L469" s="104"/>
      <c r="M469" s="103"/>
      <c r="N469" s="103"/>
      <c r="O469" s="103"/>
      <c r="P469" s="103"/>
      <c r="Q469" s="103"/>
      <c r="S469" s="267" t="str">
        <f t="shared" si="157"/>
        <v/>
      </c>
      <c r="T469" s="267" t="str">
        <f t="shared" si="157"/>
        <v/>
      </c>
      <c r="U469" s="267" t="str">
        <f t="shared" si="157"/>
        <v/>
      </c>
      <c r="V469" s="267" t="str">
        <f t="shared" si="155"/>
        <v/>
      </c>
      <c r="W469" s="267"/>
      <c r="X469" s="1402"/>
      <c r="Y469" s="837" t="s">
        <v>598</v>
      </c>
      <c r="Z469" s="241" t="s">
        <v>598</v>
      </c>
    </row>
    <row r="470" spans="1:26" ht="11.25" customHeight="1">
      <c r="A470" s="528" t="s">
        <v>624</v>
      </c>
      <c r="B470" s="528" t="s">
        <v>164</v>
      </c>
      <c r="C470" s="408"/>
      <c r="D470" s="529"/>
      <c r="E470" s="408" t="s">
        <v>164</v>
      </c>
      <c r="F470" s="104"/>
      <c r="G470" s="104"/>
      <c r="H470" s="104"/>
      <c r="I470" s="103">
        <f>SUM(F470:H470)</f>
        <v>0</v>
      </c>
      <c r="J470" s="104"/>
      <c r="K470" s="104"/>
      <c r="L470" s="104"/>
      <c r="M470" s="103">
        <f>SUM(J470:L470)</f>
        <v>0</v>
      </c>
      <c r="N470" s="103">
        <f t="shared" si="166"/>
        <v>0</v>
      </c>
      <c r="O470" s="103">
        <f t="shared" si="166"/>
        <v>0</v>
      </c>
      <c r="P470" s="103">
        <f t="shared" si="166"/>
        <v>0</v>
      </c>
      <c r="Q470" s="103">
        <f>SUM(N470:P470)</f>
        <v>0</v>
      </c>
      <c r="S470" s="267" t="str">
        <f t="shared" si="157"/>
        <v/>
      </c>
      <c r="T470" s="267" t="str">
        <f t="shared" si="157"/>
        <v/>
      </c>
      <c r="U470" s="267" t="str">
        <f t="shared" si="157"/>
        <v/>
      </c>
      <c r="V470" s="267" t="str">
        <f t="shared" si="155"/>
        <v/>
      </c>
      <c r="W470" s="531"/>
      <c r="X470" s="236"/>
      <c r="Y470" s="236" t="s">
        <v>598</v>
      </c>
      <c r="Z470" s="240" t="s">
        <v>598</v>
      </c>
    </row>
    <row r="471" spans="1:26" ht="12" customHeight="1">
      <c r="A471" s="548" t="s">
        <v>163</v>
      </c>
      <c r="B471" s="548" t="s">
        <v>164</v>
      </c>
      <c r="C471" s="447" t="s">
        <v>766</v>
      </c>
      <c r="D471" s="549"/>
      <c r="E471" s="447" t="s">
        <v>766</v>
      </c>
      <c r="F471" s="104">
        <f>SUM(F472:F474)</f>
        <v>0</v>
      </c>
      <c r="G471" s="104">
        <f t="shared" ref="G471:Q471" si="179">SUM(G472:G474)</f>
        <v>0</v>
      </c>
      <c r="H471" s="104">
        <f t="shared" si="179"/>
        <v>0</v>
      </c>
      <c r="I471" s="104">
        <f t="shared" si="179"/>
        <v>0</v>
      </c>
      <c r="J471" s="104">
        <f t="shared" si="179"/>
        <v>0</v>
      </c>
      <c r="K471" s="104">
        <f t="shared" si="179"/>
        <v>0</v>
      </c>
      <c r="L471" s="104">
        <f t="shared" si="179"/>
        <v>0</v>
      </c>
      <c r="M471" s="104">
        <f t="shared" si="179"/>
        <v>0</v>
      </c>
      <c r="N471" s="104">
        <f t="shared" si="179"/>
        <v>0</v>
      </c>
      <c r="O471" s="104">
        <f t="shared" si="179"/>
        <v>0</v>
      </c>
      <c r="P471" s="104">
        <f t="shared" si="179"/>
        <v>0</v>
      </c>
      <c r="Q471" s="104">
        <f t="shared" si="179"/>
        <v>0</v>
      </c>
      <c r="S471" s="267" t="str">
        <f t="shared" si="157"/>
        <v/>
      </c>
      <c r="T471" s="267" t="str">
        <f t="shared" si="157"/>
        <v/>
      </c>
      <c r="U471" s="267" t="str">
        <f t="shared" si="157"/>
        <v/>
      </c>
      <c r="V471" s="267" t="str">
        <f t="shared" si="157"/>
        <v/>
      </c>
      <c r="W471" s="530"/>
      <c r="X471" s="236"/>
      <c r="Y471" s="236" t="s">
        <v>688</v>
      </c>
      <c r="Z471" s="236"/>
    </row>
    <row r="472" spans="1:26" ht="12" hidden="1" customHeight="1">
      <c r="A472" s="548" t="s">
        <v>163</v>
      </c>
      <c r="B472" s="548" t="s">
        <v>164</v>
      </c>
      <c r="C472" s="457" t="s">
        <v>775</v>
      </c>
      <c r="D472" s="549" t="s">
        <v>98</v>
      </c>
      <c r="E472" s="406" t="s">
        <v>775</v>
      </c>
      <c r="F472" s="103">
        <v>0</v>
      </c>
      <c r="G472" s="103">
        <f>+'[3]chd5-SAOB'!C223</f>
        <v>0</v>
      </c>
      <c r="H472" s="103">
        <f>+'[3]chd5-SAOB'!C316</f>
        <v>0</v>
      </c>
      <c r="I472" s="103">
        <f t="shared" ref="I472:I477" si="180">+F472+G472+H472</f>
        <v>0</v>
      </c>
      <c r="J472" s="103">
        <v>0</v>
      </c>
      <c r="K472" s="103">
        <f>+'[3]chd5-SAOB'!C224</f>
        <v>0</v>
      </c>
      <c r="L472" s="103">
        <f>+'[3]chd5-SAOB'!C317</f>
        <v>0</v>
      </c>
      <c r="M472" s="103">
        <f t="shared" ref="M472:M535" si="181">+J472+K472+L472</f>
        <v>0</v>
      </c>
      <c r="N472" s="103">
        <f t="shared" si="166"/>
        <v>0</v>
      </c>
      <c r="O472" s="103">
        <f t="shared" si="166"/>
        <v>0</v>
      </c>
      <c r="P472" s="103">
        <f t="shared" si="166"/>
        <v>0</v>
      </c>
      <c r="Q472" s="103">
        <f t="shared" ref="Q472:Q535" si="182">+N472+O472+P472</f>
        <v>0</v>
      </c>
      <c r="S472" s="267" t="str">
        <f t="shared" ref="S472:V535" si="183">IF(F472=0,"",J472/F472)</f>
        <v/>
      </c>
      <c r="T472" s="267" t="str">
        <f t="shared" si="183"/>
        <v/>
      </c>
      <c r="U472" s="267" t="str">
        <f t="shared" si="183"/>
        <v/>
      </c>
      <c r="V472" s="267" t="str">
        <f t="shared" si="183"/>
        <v/>
      </c>
      <c r="W472" s="530"/>
      <c r="X472" s="95"/>
      <c r="Y472" s="236"/>
      <c r="Z472" s="236"/>
    </row>
    <row r="473" spans="1:26" ht="12" hidden="1" customHeight="1">
      <c r="A473" s="548" t="s">
        <v>163</v>
      </c>
      <c r="B473" s="548" t="s">
        <v>164</v>
      </c>
      <c r="C473" s="456"/>
      <c r="D473" s="549" t="s">
        <v>98</v>
      </c>
      <c r="E473" s="406" t="s">
        <v>776</v>
      </c>
      <c r="F473" s="103">
        <v>0</v>
      </c>
      <c r="G473" s="103">
        <f>+'[3]chd5-SAOB'!D223</f>
        <v>0</v>
      </c>
      <c r="H473" s="103">
        <f>+'[3]chd5-SAOB'!D316</f>
        <v>0</v>
      </c>
      <c r="I473" s="103">
        <f t="shared" si="180"/>
        <v>0</v>
      </c>
      <c r="J473" s="103">
        <v>0</v>
      </c>
      <c r="K473" s="103">
        <f>+'[3]chd5-SAOB'!D224</f>
        <v>0</v>
      </c>
      <c r="L473" s="103">
        <f>+'[3]chd5-SAOB'!D317</f>
        <v>0</v>
      </c>
      <c r="M473" s="103">
        <f t="shared" si="181"/>
        <v>0</v>
      </c>
      <c r="N473" s="103">
        <f t="shared" si="166"/>
        <v>0</v>
      </c>
      <c r="O473" s="103">
        <f t="shared" si="166"/>
        <v>0</v>
      </c>
      <c r="P473" s="103">
        <f t="shared" si="166"/>
        <v>0</v>
      </c>
      <c r="Q473" s="103">
        <f t="shared" si="182"/>
        <v>0</v>
      </c>
      <c r="S473" s="267" t="str">
        <f t="shared" si="183"/>
        <v/>
      </c>
      <c r="T473" s="267" t="str">
        <f t="shared" si="183"/>
        <v/>
      </c>
      <c r="U473" s="267" t="str">
        <f t="shared" si="183"/>
        <v/>
      </c>
      <c r="V473" s="267" t="str">
        <f t="shared" si="183"/>
        <v/>
      </c>
      <c r="W473" s="530"/>
      <c r="X473" s="95"/>
      <c r="Y473" s="236"/>
      <c r="Z473" s="236"/>
    </row>
    <row r="474" spans="1:26" ht="12" hidden="1" customHeight="1">
      <c r="A474" s="548" t="s">
        <v>163</v>
      </c>
      <c r="B474" s="548" t="s">
        <v>164</v>
      </c>
      <c r="C474" s="456"/>
      <c r="D474" s="549" t="s">
        <v>98</v>
      </c>
      <c r="E474" s="406" t="s">
        <v>777</v>
      </c>
      <c r="F474" s="103">
        <v>0</v>
      </c>
      <c r="G474" s="103">
        <f>+'[3]chd5-SAOB'!E223</f>
        <v>0</v>
      </c>
      <c r="H474" s="103">
        <f>+'[3]chd5-SAOB'!E316</f>
        <v>0</v>
      </c>
      <c r="I474" s="103">
        <f t="shared" si="180"/>
        <v>0</v>
      </c>
      <c r="J474" s="103">
        <v>0</v>
      </c>
      <c r="K474" s="103">
        <f>+'[3]chd5-SAOB'!E224</f>
        <v>0</v>
      </c>
      <c r="L474" s="103">
        <f>+'[3]chd5-SAOB'!D317</f>
        <v>0</v>
      </c>
      <c r="M474" s="103">
        <f t="shared" si="181"/>
        <v>0</v>
      </c>
      <c r="N474" s="103">
        <f t="shared" si="166"/>
        <v>0</v>
      </c>
      <c r="O474" s="103">
        <f t="shared" si="166"/>
        <v>0</v>
      </c>
      <c r="P474" s="103">
        <f t="shared" si="166"/>
        <v>0</v>
      </c>
      <c r="Q474" s="103">
        <f t="shared" si="182"/>
        <v>0</v>
      </c>
      <c r="S474" s="267" t="str">
        <f t="shared" si="183"/>
        <v/>
      </c>
      <c r="T474" s="267" t="str">
        <f t="shared" si="183"/>
        <v/>
      </c>
      <c r="U474" s="267" t="str">
        <f t="shared" si="183"/>
        <v/>
      </c>
      <c r="V474" s="267" t="str">
        <f t="shared" si="183"/>
        <v/>
      </c>
      <c r="W474" s="530"/>
      <c r="X474" s="236"/>
      <c r="Y474" s="236"/>
      <c r="Z474" s="236"/>
    </row>
    <row r="475" spans="1:26" ht="12" customHeight="1">
      <c r="A475" s="548" t="s">
        <v>163</v>
      </c>
      <c r="B475" s="548" t="s">
        <v>164</v>
      </c>
      <c r="C475" s="456"/>
      <c r="D475" s="549"/>
      <c r="E475" s="453" t="s">
        <v>50</v>
      </c>
      <c r="F475" s="103">
        <f>+F476+F477</f>
        <v>0</v>
      </c>
      <c r="G475" s="103">
        <f>+G476+G477</f>
        <v>41485876.359999999</v>
      </c>
      <c r="H475" s="103">
        <f>+H476+H477</f>
        <v>16746503.66</v>
      </c>
      <c r="I475" s="103">
        <f t="shared" si="180"/>
        <v>58232380.019999996</v>
      </c>
      <c r="J475" s="103">
        <f>+J476+J477</f>
        <v>0</v>
      </c>
      <c r="K475" s="103">
        <f>+K476+K477</f>
        <v>39042313.920000002</v>
      </c>
      <c r="L475" s="103">
        <f>+L476+L477</f>
        <v>8433812.7899999991</v>
      </c>
      <c r="M475" s="103">
        <f t="shared" si="181"/>
        <v>47476126.710000001</v>
      </c>
      <c r="N475" s="103">
        <f t="shared" si="166"/>
        <v>0</v>
      </c>
      <c r="O475" s="103">
        <f t="shared" si="166"/>
        <v>2443562.4399999976</v>
      </c>
      <c r="P475" s="103">
        <f t="shared" si="166"/>
        <v>8312690.870000001</v>
      </c>
      <c r="Q475" s="103">
        <f t="shared" si="182"/>
        <v>10756253.309999999</v>
      </c>
      <c r="S475" s="267" t="str">
        <f t="shared" si="183"/>
        <v/>
      </c>
      <c r="T475" s="267">
        <f t="shared" si="183"/>
        <v>0.94109893162685987</v>
      </c>
      <c r="U475" s="267">
        <f t="shared" si="183"/>
        <v>0.50361633456329469</v>
      </c>
      <c r="V475" s="267">
        <f t="shared" si="183"/>
        <v>0.81528741730450061</v>
      </c>
      <c r="W475" s="530"/>
      <c r="X475" s="236"/>
      <c r="Y475" s="236" t="s">
        <v>688</v>
      </c>
      <c r="Z475" s="236"/>
    </row>
    <row r="476" spans="1:26" ht="12" hidden="1" customHeight="1">
      <c r="A476" s="548" t="s">
        <v>163</v>
      </c>
      <c r="B476" s="548" t="s">
        <v>164</v>
      </c>
      <c r="C476" s="458" t="s">
        <v>715</v>
      </c>
      <c r="D476" s="550" t="s">
        <v>715</v>
      </c>
      <c r="E476" s="447" t="s">
        <v>715</v>
      </c>
      <c r="F476" s="104">
        <v>0</v>
      </c>
      <c r="G476" s="104">
        <f>+'[3]chd5-SAOB'!U223</f>
        <v>0</v>
      </c>
      <c r="H476" s="104">
        <f>+'[3]chd5-SAOB'!U316</f>
        <v>10022000</v>
      </c>
      <c r="I476" s="103">
        <f t="shared" si="180"/>
        <v>10022000</v>
      </c>
      <c r="J476" s="103">
        <f>'[3]CONAP - W INC'!J350</f>
        <v>0</v>
      </c>
      <c r="K476" s="104">
        <f>'[3]CONAP - W INC'!K350</f>
        <v>0</v>
      </c>
      <c r="L476" s="104">
        <f>'[3]CONAP - W INC'!L350</f>
        <v>3715905.2</v>
      </c>
      <c r="M476" s="103">
        <f t="shared" si="181"/>
        <v>3715905.2</v>
      </c>
      <c r="N476" s="103">
        <f t="shared" si="166"/>
        <v>0</v>
      </c>
      <c r="O476" s="103">
        <f t="shared" si="166"/>
        <v>0</v>
      </c>
      <c r="P476" s="103">
        <f t="shared" si="166"/>
        <v>6306094.7999999998</v>
      </c>
      <c r="Q476" s="103">
        <f t="shared" si="182"/>
        <v>6306094.7999999998</v>
      </c>
      <c r="S476" s="267" t="str">
        <f t="shared" si="183"/>
        <v/>
      </c>
      <c r="T476" s="267" t="str">
        <f t="shared" si="183"/>
        <v/>
      </c>
      <c r="U476" s="267">
        <f t="shared" si="183"/>
        <v>0.37077481540610657</v>
      </c>
      <c r="V476" s="267">
        <f t="shared" si="183"/>
        <v>0.37077481540610657</v>
      </c>
      <c r="W476" s="530"/>
      <c r="X476" s="236"/>
      <c r="Y476" s="236"/>
      <c r="Z476" s="236"/>
    </row>
    <row r="477" spans="1:26" ht="12" hidden="1" customHeight="1">
      <c r="A477" s="548" t="s">
        <v>163</v>
      </c>
      <c r="B477" s="548" t="s">
        <v>164</v>
      </c>
      <c r="C477" s="458" t="s">
        <v>716</v>
      </c>
      <c r="D477" s="550" t="s">
        <v>716</v>
      </c>
      <c r="E477" s="459" t="s">
        <v>716</v>
      </c>
      <c r="F477" s="104">
        <v>0</v>
      </c>
      <c r="G477" s="104">
        <f>'[3]CONAP - W INC'!G351</f>
        <v>41485876.359999999</v>
      </c>
      <c r="H477" s="104">
        <f>'[3]CONAP - W INC'!H351</f>
        <v>6724503.6600000001</v>
      </c>
      <c r="I477" s="103">
        <f t="shared" si="180"/>
        <v>48210380.019999996</v>
      </c>
      <c r="J477" s="103">
        <f>'[3]CONAP - W INC'!J351</f>
        <v>0</v>
      </c>
      <c r="K477" s="104">
        <f>'[3]CONAP - W INC'!K351</f>
        <v>39042313.920000002</v>
      </c>
      <c r="L477" s="104">
        <f>'[3]CONAP - W INC'!L351</f>
        <v>4717907.59</v>
      </c>
      <c r="M477" s="103">
        <f t="shared" si="181"/>
        <v>43760221.510000005</v>
      </c>
      <c r="N477" s="103">
        <f t="shared" si="166"/>
        <v>0</v>
      </c>
      <c r="O477" s="103">
        <f t="shared" si="166"/>
        <v>2443562.4399999976</v>
      </c>
      <c r="P477" s="103">
        <f t="shared" si="166"/>
        <v>2006596.0700000003</v>
      </c>
      <c r="Q477" s="103">
        <f t="shared" si="182"/>
        <v>4450158.5099999979</v>
      </c>
      <c r="S477" s="267" t="str">
        <f t="shared" si="183"/>
        <v/>
      </c>
      <c r="T477" s="267">
        <f t="shared" si="183"/>
        <v>0.94109893162685987</v>
      </c>
      <c r="U477" s="267">
        <f t="shared" si="183"/>
        <v>0.70159937871161782</v>
      </c>
      <c r="V477" s="267">
        <f t="shared" si="183"/>
        <v>0.90769293857144773</v>
      </c>
      <c r="W477" s="530"/>
      <c r="X477" s="236"/>
      <c r="Y477" s="236"/>
      <c r="Z477" s="236"/>
    </row>
    <row r="478" spans="1:26" s="256" customFormat="1" ht="12" hidden="1" customHeight="1">
      <c r="A478" s="548"/>
      <c r="B478" s="548" t="s">
        <v>164</v>
      </c>
      <c r="C478" s="460"/>
      <c r="D478" s="551"/>
      <c r="E478" s="390" t="s">
        <v>767</v>
      </c>
      <c r="F478" s="391">
        <f>+F475+F471</f>
        <v>0</v>
      </c>
      <c r="G478" s="391">
        <f t="shared" ref="G478:Q478" si="184">+G475+G471</f>
        <v>41485876.359999999</v>
      </c>
      <c r="H478" s="391">
        <f t="shared" si="184"/>
        <v>16746503.66</v>
      </c>
      <c r="I478" s="391">
        <f t="shared" si="184"/>
        <v>58232380.019999996</v>
      </c>
      <c r="J478" s="391">
        <f t="shared" si="184"/>
        <v>0</v>
      </c>
      <c r="K478" s="391">
        <f t="shared" si="184"/>
        <v>39042313.920000002</v>
      </c>
      <c r="L478" s="391">
        <f t="shared" si="184"/>
        <v>8433812.7899999991</v>
      </c>
      <c r="M478" s="391">
        <f t="shared" si="184"/>
        <v>47476126.710000001</v>
      </c>
      <c r="N478" s="391">
        <f t="shared" si="184"/>
        <v>0</v>
      </c>
      <c r="O478" s="391">
        <f t="shared" si="184"/>
        <v>2443562.4399999976</v>
      </c>
      <c r="P478" s="391">
        <f t="shared" si="184"/>
        <v>8312690.870000001</v>
      </c>
      <c r="Q478" s="391">
        <f t="shared" si="184"/>
        <v>10756253.309999999</v>
      </c>
      <c r="R478" s="761"/>
      <c r="S478" s="267" t="str">
        <f t="shared" si="183"/>
        <v/>
      </c>
      <c r="T478" s="267">
        <f t="shared" si="183"/>
        <v>0.94109893162685987</v>
      </c>
      <c r="U478" s="267">
        <f t="shared" si="183"/>
        <v>0.50361633456329469</v>
      </c>
      <c r="V478" s="267">
        <f t="shared" si="183"/>
        <v>0.81528741730450061</v>
      </c>
      <c r="W478" s="532"/>
      <c r="Y478" s="236"/>
      <c r="Z478" s="240" t="s">
        <v>598</v>
      </c>
    </row>
    <row r="479" spans="1:26" ht="12" hidden="1" customHeight="1">
      <c r="A479" s="548"/>
      <c r="B479" s="548"/>
      <c r="C479" s="456"/>
      <c r="D479" s="549"/>
      <c r="E479" s="461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S479" s="267" t="str">
        <f t="shared" si="183"/>
        <v/>
      </c>
      <c r="T479" s="267" t="str">
        <f t="shared" si="183"/>
        <v/>
      </c>
      <c r="U479" s="267" t="str">
        <f t="shared" si="183"/>
        <v/>
      </c>
      <c r="V479" s="267" t="str">
        <f t="shared" si="183"/>
        <v/>
      </c>
      <c r="W479" s="530"/>
      <c r="X479" s="236"/>
      <c r="Y479" s="236"/>
      <c r="Z479" s="236"/>
    </row>
    <row r="480" spans="1:26" s="256" customFormat="1" ht="12" hidden="1" customHeight="1">
      <c r="A480" s="548" t="s">
        <v>163</v>
      </c>
      <c r="B480" s="548" t="s">
        <v>164</v>
      </c>
      <c r="C480" s="460"/>
      <c r="D480" s="551" t="s">
        <v>98</v>
      </c>
      <c r="E480" s="390" t="s">
        <v>100</v>
      </c>
      <c r="F480" s="391">
        <f>SUM(F481:F481)</f>
        <v>0</v>
      </c>
      <c r="G480" s="391">
        <f>SUM(G481:G481)</f>
        <v>0</v>
      </c>
      <c r="H480" s="391">
        <f>SUM(H481:H481)</f>
        <v>0</v>
      </c>
      <c r="I480" s="391">
        <f>+F480+G480+H480</f>
        <v>0</v>
      </c>
      <c r="J480" s="391">
        <v>0</v>
      </c>
      <c r="K480" s="391">
        <f>SUM(K481:K481)</f>
        <v>0</v>
      </c>
      <c r="L480" s="391">
        <f>SUM(L481:L481)</f>
        <v>0</v>
      </c>
      <c r="M480" s="391">
        <f>+J480+K480+L480</f>
        <v>0</v>
      </c>
      <c r="N480" s="391">
        <f t="shared" ref="N480:P481" si="185">+F480-J480</f>
        <v>0</v>
      </c>
      <c r="O480" s="391">
        <f t="shared" si="185"/>
        <v>0</v>
      </c>
      <c r="P480" s="391">
        <f t="shared" si="185"/>
        <v>0</v>
      </c>
      <c r="Q480" s="391">
        <f>+N480+O480+P480</f>
        <v>0</v>
      </c>
      <c r="R480" s="761"/>
      <c r="S480" s="267" t="str">
        <f t="shared" si="183"/>
        <v/>
      </c>
      <c r="T480" s="267" t="str">
        <f t="shared" si="183"/>
        <v/>
      </c>
      <c r="U480" s="267" t="str">
        <f t="shared" si="183"/>
        <v/>
      </c>
      <c r="V480" s="267" t="str">
        <f t="shared" si="183"/>
        <v/>
      </c>
      <c r="W480" s="532"/>
      <c r="Y480" s="236"/>
      <c r="Z480" s="240" t="s">
        <v>598</v>
      </c>
    </row>
    <row r="481" spans="1:26" ht="12" hidden="1" customHeight="1">
      <c r="A481" s="548" t="s">
        <v>163</v>
      </c>
      <c r="B481" s="548" t="s">
        <v>164</v>
      </c>
      <c r="C481" s="456"/>
      <c r="D481" s="549"/>
      <c r="E481" s="462" t="s">
        <v>290</v>
      </c>
      <c r="F481" s="103">
        <v>0</v>
      </c>
      <c r="G481" s="103">
        <f>SUM('[3]chd5-SAOB'!AO223)</f>
        <v>0</v>
      </c>
      <c r="H481" s="103">
        <f>SUM('[3]chd5-SAOB'!AO316)</f>
        <v>0</v>
      </c>
      <c r="I481" s="103">
        <f>+F481+G481+H481</f>
        <v>0</v>
      </c>
      <c r="J481" s="103">
        <v>0</v>
      </c>
      <c r="K481" s="103">
        <f>SUM('[3]chd5-SAOB'!AO224)</f>
        <v>0</v>
      </c>
      <c r="L481" s="103">
        <f>SUM('[3]chd5-SAOB'!AO317)</f>
        <v>0</v>
      </c>
      <c r="M481" s="103">
        <f>+J481+K481+L481</f>
        <v>0</v>
      </c>
      <c r="N481" s="103">
        <f t="shared" si="185"/>
        <v>0</v>
      </c>
      <c r="O481" s="103">
        <f t="shared" si="185"/>
        <v>0</v>
      </c>
      <c r="P481" s="103">
        <f t="shared" si="185"/>
        <v>0</v>
      </c>
      <c r="Q481" s="103">
        <f>+N481+O481+P481</f>
        <v>0</v>
      </c>
      <c r="S481" s="267" t="str">
        <f t="shared" si="183"/>
        <v/>
      </c>
      <c r="T481" s="267" t="str">
        <f t="shared" si="183"/>
        <v/>
      </c>
      <c r="U481" s="267" t="str">
        <f t="shared" si="183"/>
        <v/>
      </c>
      <c r="V481" s="267" t="str">
        <f t="shared" si="183"/>
        <v/>
      </c>
      <c r="W481" s="530"/>
      <c r="X481" s="236"/>
      <c r="Y481" s="236"/>
      <c r="Z481" s="236"/>
    </row>
    <row r="482" spans="1:26" s="259" customFormat="1" ht="12" customHeight="1">
      <c r="A482" s="315" t="s">
        <v>163</v>
      </c>
      <c r="B482" s="315" t="s">
        <v>164</v>
      </c>
      <c r="C482" s="1477" t="s">
        <v>307</v>
      </c>
      <c r="D482" s="1478"/>
      <c r="E482" s="1479"/>
      <c r="F482" s="652">
        <f>+F478+F480</f>
        <v>0</v>
      </c>
      <c r="G482" s="652">
        <f t="shared" ref="G482:Q482" si="186">+G478+G480</f>
        <v>41485876.359999999</v>
      </c>
      <c r="H482" s="652">
        <f t="shared" si="186"/>
        <v>16746503.66</v>
      </c>
      <c r="I482" s="652">
        <f t="shared" si="186"/>
        <v>58232380.019999996</v>
      </c>
      <c r="J482" s="652">
        <f t="shared" si="186"/>
        <v>0</v>
      </c>
      <c r="K482" s="652">
        <f t="shared" si="186"/>
        <v>39042313.920000002</v>
      </c>
      <c r="L482" s="652">
        <f t="shared" si="186"/>
        <v>8433812.7899999991</v>
      </c>
      <c r="M482" s="652">
        <f t="shared" si="186"/>
        <v>47476126.710000001</v>
      </c>
      <c r="N482" s="652">
        <f t="shared" si="186"/>
        <v>0</v>
      </c>
      <c r="O482" s="652">
        <f t="shared" si="186"/>
        <v>2443562.4399999976</v>
      </c>
      <c r="P482" s="652">
        <f t="shared" si="186"/>
        <v>8312690.870000001</v>
      </c>
      <c r="Q482" s="652">
        <f t="shared" si="186"/>
        <v>10756253.309999999</v>
      </c>
      <c r="R482" s="1095">
        <f>+Q482-'[3]chd5-SAOB'!BM353</f>
        <v>0</v>
      </c>
      <c r="S482" s="524" t="str">
        <f t="shared" si="183"/>
        <v/>
      </c>
      <c r="T482" s="524">
        <f t="shared" si="183"/>
        <v>0.94109893162685987</v>
      </c>
      <c r="U482" s="524">
        <f t="shared" si="183"/>
        <v>0.50361633456329469</v>
      </c>
      <c r="V482" s="524">
        <f t="shared" si="183"/>
        <v>0.81528741730450061</v>
      </c>
      <c r="W482" s="344"/>
      <c r="X482" s="520"/>
      <c r="Y482" s="837" t="s">
        <v>598</v>
      </c>
      <c r="Z482" s="241" t="s">
        <v>598</v>
      </c>
    </row>
    <row r="483" spans="1:26" ht="12" customHeight="1">
      <c r="A483" s="315" t="s">
        <v>101</v>
      </c>
      <c r="B483" s="315" t="s">
        <v>164</v>
      </c>
      <c r="C483" s="456"/>
      <c r="D483" s="456"/>
      <c r="E483" s="46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S483" s="267" t="str">
        <f t="shared" si="183"/>
        <v/>
      </c>
      <c r="T483" s="267" t="str">
        <f t="shared" si="183"/>
        <v/>
      </c>
      <c r="U483" s="267" t="str">
        <f t="shared" si="183"/>
        <v/>
      </c>
      <c r="V483" s="267" t="str">
        <f t="shared" si="183"/>
        <v/>
      </c>
      <c r="W483" s="267"/>
      <c r="Y483" s="837" t="s">
        <v>598</v>
      </c>
      <c r="Z483" s="241" t="s">
        <v>598</v>
      </c>
    </row>
    <row r="484" spans="1:26" ht="12" customHeight="1">
      <c r="A484" s="315" t="s">
        <v>165</v>
      </c>
      <c r="B484" s="315" t="s">
        <v>308</v>
      </c>
      <c r="C484" s="1100" t="s">
        <v>166</v>
      </c>
      <c r="D484" s="456"/>
      <c r="E484" s="463"/>
      <c r="F484" s="104"/>
      <c r="G484" s="104"/>
      <c r="H484" s="104"/>
      <c r="I484" s="103">
        <f t="shared" ref="I484:I489" si="187">+F484+G484+H484</f>
        <v>0</v>
      </c>
      <c r="J484" s="103">
        <v>0</v>
      </c>
      <c r="K484" s="104"/>
      <c r="L484" s="104"/>
      <c r="M484" s="103">
        <f t="shared" si="181"/>
        <v>0</v>
      </c>
      <c r="N484" s="103">
        <f t="shared" si="166"/>
        <v>0</v>
      </c>
      <c r="O484" s="103">
        <f t="shared" si="166"/>
        <v>0</v>
      </c>
      <c r="P484" s="103">
        <f t="shared" si="166"/>
        <v>0</v>
      </c>
      <c r="Q484" s="103">
        <f t="shared" si="182"/>
        <v>0</v>
      </c>
      <c r="S484" s="267" t="str">
        <f t="shared" si="183"/>
        <v/>
      </c>
      <c r="T484" s="267" t="str">
        <f t="shared" si="183"/>
        <v/>
      </c>
      <c r="U484" s="267" t="str">
        <f t="shared" si="183"/>
        <v/>
      </c>
      <c r="V484" s="267" t="str">
        <f t="shared" si="183"/>
        <v/>
      </c>
      <c r="W484" s="267"/>
      <c r="Y484" s="837" t="s">
        <v>598</v>
      </c>
      <c r="Z484" s="241" t="s">
        <v>598</v>
      </c>
    </row>
    <row r="485" spans="1:26" s="275" customFormat="1" ht="12" customHeight="1">
      <c r="A485" s="548" t="s">
        <v>165</v>
      </c>
      <c r="B485" s="548" t="s">
        <v>167</v>
      </c>
      <c r="C485" s="464" t="s">
        <v>98</v>
      </c>
      <c r="D485" s="552" t="s">
        <v>105</v>
      </c>
      <c r="E485" s="407" t="s">
        <v>809</v>
      </c>
      <c r="F485" s="468"/>
      <c r="G485" s="468"/>
      <c r="H485" s="468"/>
      <c r="I485" s="409">
        <f t="shared" si="187"/>
        <v>0</v>
      </c>
      <c r="J485" s="409">
        <v>0</v>
      </c>
      <c r="K485" s="468"/>
      <c r="L485" s="468"/>
      <c r="M485" s="409">
        <f t="shared" si="181"/>
        <v>0</v>
      </c>
      <c r="N485" s="409">
        <f t="shared" si="166"/>
        <v>0</v>
      </c>
      <c r="O485" s="409">
        <f t="shared" si="166"/>
        <v>0</v>
      </c>
      <c r="P485" s="409">
        <f t="shared" si="166"/>
        <v>0</v>
      </c>
      <c r="Q485" s="409">
        <f t="shared" si="182"/>
        <v>0</v>
      </c>
      <c r="R485" s="761"/>
      <c r="S485" s="267" t="str">
        <f t="shared" si="183"/>
        <v/>
      </c>
      <c r="T485" s="267" t="str">
        <f t="shared" si="183"/>
        <v/>
      </c>
      <c r="U485" s="267" t="str">
        <f t="shared" si="183"/>
        <v/>
      </c>
      <c r="V485" s="267" t="str">
        <f t="shared" si="183"/>
        <v/>
      </c>
      <c r="W485" s="553"/>
      <c r="Y485" s="236" t="s">
        <v>598</v>
      </c>
      <c r="Z485" s="240" t="s">
        <v>598</v>
      </c>
    </row>
    <row r="486" spans="1:26" ht="12" customHeight="1">
      <c r="A486" s="548" t="s">
        <v>165</v>
      </c>
      <c r="B486" s="548" t="s">
        <v>167</v>
      </c>
      <c r="C486" s="447" t="s">
        <v>766</v>
      </c>
      <c r="D486" s="549"/>
      <c r="E486" s="447" t="s">
        <v>766</v>
      </c>
      <c r="F486" s="104">
        <f>+'[3]chd5-SAOB'!C445</f>
        <v>0</v>
      </c>
      <c r="G486" s="104">
        <f>+'[3]chd5-SAOB'!D445</f>
        <v>0</v>
      </c>
      <c r="H486" s="104">
        <f>+'[3]chd5-SAOB'!E445</f>
        <v>0</v>
      </c>
      <c r="I486" s="103">
        <f t="shared" si="187"/>
        <v>0</v>
      </c>
      <c r="J486" s="103">
        <v>0</v>
      </c>
      <c r="K486" s="104">
        <f>+'[3]chd5-SAOB'!H445</f>
        <v>0</v>
      </c>
      <c r="L486" s="104">
        <f>+'[3]chd5-SAOB'!I445</f>
        <v>0</v>
      </c>
      <c r="M486" s="103">
        <f t="shared" si="181"/>
        <v>0</v>
      </c>
      <c r="N486" s="103">
        <f t="shared" si="166"/>
        <v>0</v>
      </c>
      <c r="O486" s="103">
        <f t="shared" si="166"/>
        <v>0</v>
      </c>
      <c r="P486" s="103">
        <f t="shared" si="166"/>
        <v>0</v>
      </c>
      <c r="Q486" s="103">
        <f t="shared" si="182"/>
        <v>0</v>
      </c>
      <c r="S486" s="267" t="str">
        <f t="shared" si="183"/>
        <v/>
      </c>
      <c r="T486" s="267" t="str">
        <f t="shared" si="183"/>
        <v/>
      </c>
      <c r="U486" s="267" t="str">
        <f t="shared" si="183"/>
        <v/>
      </c>
      <c r="V486" s="267" t="str">
        <f t="shared" si="183"/>
        <v/>
      </c>
      <c r="W486" s="530"/>
      <c r="X486" s="236"/>
      <c r="Y486" s="236" t="s">
        <v>688</v>
      </c>
      <c r="Z486" s="236"/>
    </row>
    <row r="487" spans="1:26" ht="12" customHeight="1">
      <c r="A487" s="548" t="s">
        <v>165</v>
      </c>
      <c r="B487" s="548" t="s">
        <v>167</v>
      </c>
      <c r="C487" s="456"/>
      <c r="D487" s="549"/>
      <c r="E487" s="453" t="s">
        <v>50</v>
      </c>
      <c r="F487" s="103">
        <f>+F488+F489</f>
        <v>0</v>
      </c>
      <c r="G487" s="103">
        <f>+G488+G489</f>
        <v>9019780.620000001</v>
      </c>
      <c r="H487" s="103">
        <f>+H488+H489</f>
        <v>15000000</v>
      </c>
      <c r="I487" s="103">
        <f t="shared" si="187"/>
        <v>24019780.620000001</v>
      </c>
      <c r="J487" s="103">
        <f>+J488+J489</f>
        <v>0</v>
      </c>
      <c r="K487" s="103">
        <f>+K488+K489</f>
        <v>9019780.6199999992</v>
      </c>
      <c r="L487" s="103">
        <f>+L488+L489</f>
        <v>12980000</v>
      </c>
      <c r="M487" s="103">
        <f t="shared" si="181"/>
        <v>21999780.619999997</v>
      </c>
      <c r="N487" s="103">
        <f t="shared" si="166"/>
        <v>0</v>
      </c>
      <c r="O487" s="103">
        <f t="shared" si="166"/>
        <v>0</v>
      </c>
      <c r="P487" s="103">
        <f t="shared" si="166"/>
        <v>2020000</v>
      </c>
      <c r="Q487" s="103">
        <f t="shared" si="182"/>
        <v>2020000</v>
      </c>
      <c r="S487" s="267" t="str">
        <f t="shared" si="183"/>
        <v/>
      </c>
      <c r="T487" s="267">
        <f t="shared" si="183"/>
        <v>0.99999999999999978</v>
      </c>
      <c r="U487" s="267">
        <f t="shared" si="183"/>
        <v>0.86533333333333329</v>
      </c>
      <c r="V487" s="267">
        <f t="shared" si="183"/>
        <v>0.91590264574198244</v>
      </c>
      <c r="W487" s="530"/>
      <c r="X487" s="236"/>
      <c r="Y487" s="236" t="s">
        <v>688</v>
      </c>
      <c r="Z487" s="236"/>
    </row>
    <row r="488" spans="1:26" ht="12" hidden="1" customHeight="1">
      <c r="A488" s="548" t="s">
        <v>165</v>
      </c>
      <c r="B488" s="548" t="s">
        <v>167</v>
      </c>
      <c r="C488" s="458" t="s">
        <v>715</v>
      </c>
      <c r="D488" s="550" t="s">
        <v>715</v>
      </c>
      <c r="E488" s="447" t="s">
        <v>715</v>
      </c>
      <c r="F488" s="104">
        <f>'[3]CONAP - W INC'!F359</f>
        <v>0</v>
      </c>
      <c r="G488" s="104">
        <f>'[3]CONAP - W INC'!G359</f>
        <v>-2971035.76</v>
      </c>
      <c r="H488" s="104">
        <f>'[3]CONAP - W INC'!H359</f>
        <v>15000000</v>
      </c>
      <c r="I488" s="103">
        <f t="shared" si="187"/>
        <v>12028964.24</v>
      </c>
      <c r="J488" s="103">
        <f>'[3]CONAP - W INC'!J359</f>
        <v>0</v>
      </c>
      <c r="K488" s="104">
        <f>'[3]CONAP - W INC'!K359</f>
        <v>0</v>
      </c>
      <c r="L488" s="104">
        <f>'[3]CONAP - W INC'!L359</f>
        <v>12980000</v>
      </c>
      <c r="M488" s="103">
        <f t="shared" si="181"/>
        <v>12980000</v>
      </c>
      <c r="N488" s="103">
        <f t="shared" si="166"/>
        <v>0</v>
      </c>
      <c r="O488" s="103">
        <f t="shared" si="166"/>
        <v>-2971035.76</v>
      </c>
      <c r="P488" s="103">
        <f t="shared" si="166"/>
        <v>2020000</v>
      </c>
      <c r="Q488" s="103">
        <f t="shared" si="182"/>
        <v>-951035.75999999978</v>
      </c>
      <c r="S488" s="267" t="str">
        <f t="shared" si="183"/>
        <v/>
      </c>
      <c r="T488" s="267">
        <f t="shared" si="183"/>
        <v>0</v>
      </c>
      <c r="U488" s="267">
        <f t="shared" si="183"/>
        <v>0.86533333333333329</v>
      </c>
      <c r="V488" s="267">
        <f t="shared" si="183"/>
        <v>1.0790621487457344</v>
      </c>
      <c r="W488" s="530"/>
      <c r="X488" s="236"/>
      <c r="Y488" s="236"/>
      <c r="Z488" s="236"/>
    </row>
    <row r="489" spans="1:26" ht="12" hidden="1" customHeight="1">
      <c r="A489" s="548" t="s">
        <v>165</v>
      </c>
      <c r="B489" s="548" t="s">
        <v>167</v>
      </c>
      <c r="C489" s="458" t="s">
        <v>716</v>
      </c>
      <c r="D489" s="550" t="s">
        <v>716</v>
      </c>
      <c r="E489" s="459" t="s">
        <v>716</v>
      </c>
      <c r="F489" s="104">
        <f>'[3]CONAP - W INC'!F360</f>
        <v>0</v>
      </c>
      <c r="G489" s="104">
        <f>'[3]CONAP - W INC'!G360</f>
        <v>11990816.380000001</v>
      </c>
      <c r="H489" s="104">
        <f>'[3]CONAP - W INC'!H360</f>
        <v>0</v>
      </c>
      <c r="I489" s="103">
        <f t="shared" si="187"/>
        <v>11990816.380000001</v>
      </c>
      <c r="J489" s="103">
        <f>'[3]CONAP - W INC'!J360</f>
        <v>0</v>
      </c>
      <c r="K489" s="104">
        <f>'[3]CONAP - W INC'!K360</f>
        <v>9019780.6199999992</v>
      </c>
      <c r="L489" s="104">
        <f>'[3]CONAP - W INC'!L360</f>
        <v>0</v>
      </c>
      <c r="M489" s="103">
        <f t="shared" si="181"/>
        <v>9019780.6199999992</v>
      </c>
      <c r="N489" s="103">
        <f t="shared" si="166"/>
        <v>0</v>
      </c>
      <c r="O489" s="103">
        <f t="shared" si="166"/>
        <v>2971035.7600000016</v>
      </c>
      <c r="P489" s="103">
        <f t="shared" si="166"/>
        <v>0</v>
      </c>
      <c r="Q489" s="103">
        <f t="shared" si="182"/>
        <v>2971035.7600000016</v>
      </c>
      <c r="S489" s="267" t="str">
        <f t="shared" si="183"/>
        <v/>
      </c>
      <c r="T489" s="267">
        <f t="shared" si="183"/>
        <v>0.75222406332937264</v>
      </c>
      <c r="U489" s="267" t="str">
        <f t="shared" si="183"/>
        <v/>
      </c>
      <c r="V489" s="267">
        <f t="shared" si="183"/>
        <v>0.75222406332937264</v>
      </c>
      <c r="W489" s="530"/>
      <c r="X489" s="236"/>
      <c r="Y489" s="236"/>
      <c r="Z489" s="236"/>
    </row>
    <row r="490" spans="1:26" s="256" customFormat="1" ht="12" customHeight="1">
      <c r="A490" s="548"/>
      <c r="B490" s="548" t="s">
        <v>167</v>
      </c>
      <c r="C490" s="460"/>
      <c r="D490" s="551"/>
      <c r="E490" s="390" t="s">
        <v>767</v>
      </c>
      <c r="F490" s="391">
        <f>+F487+F486</f>
        <v>0</v>
      </c>
      <c r="G490" s="391">
        <f t="shared" ref="G490:Q490" si="188">+G487+G486</f>
        <v>9019780.620000001</v>
      </c>
      <c r="H490" s="391">
        <f t="shared" si="188"/>
        <v>15000000</v>
      </c>
      <c r="I490" s="391">
        <f t="shared" si="188"/>
        <v>24019780.620000001</v>
      </c>
      <c r="J490" s="391">
        <f t="shared" si="188"/>
        <v>0</v>
      </c>
      <c r="K490" s="391">
        <f t="shared" si="188"/>
        <v>9019780.6199999992</v>
      </c>
      <c r="L490" s="391">
        <f t="shared" si="188"/>
        <v>12980000</v>
      </c>
      <c r="M490" s="391">
        <f t="shared" si="188"/>
        <v>21999780.619999997</v>
      </c>
      <c r="N490" s="391">
        <f t="shared" si="188"/>
        <v>0</v>
      </c>
      <c r="O490" s="391">
        <f t="shared" si="188"/>
        <v>0</v>
      </c>
      <c r="P490" s="391">
        <f t="shared" si="188"/>
        <v>2020000</v>
      </c>
      <c r="Q490" s="391">
        <f t="shared" si="188"/>
        <v>2020000</v>
      </c>
      <c r="R490" s="761"/>
      <c r="S490" s="267" t="str">
        <f t="shared" si="183"/>
        <v/>
      </c>
      <c r="T490" s="267">
        <f t="shared" si="183"/>
        <v>0.99999999999999978</v>
      </c>
      <c r="U490" s="267">
        <f t="shared" si="183"/>
        <v>0.86533333333333329</v>
      </c>
      <c r="V490" s="267">
        <f t="shared" si="183"/>
        <v>0.91590264574198244</v>
      </c>
      <c r="W490" s="532"/>
      <c r="Y490" s="236" t="s">
        <v>598</v>
      </c>
      <c r="Z490" s="240" t="s">
        <v>598</v>
      </c>
    </row>
    <row r="491" spans="1:26" ht="12" hidden="1" customHeight="1">
      <c r="A491" s="548"/>
      <c r="B491" s="548"/>
      <c r="C491" s="456"/>
      <c r="D491" s="549"/>
      <c r="E491" s="461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S491" s="267" t="str">
        <f t="shared" si="183"/>
        <v/>
      </c>
      <c r="T491" s="267" t="str">
        <f t="shared" si="183"/>
        <v/>
      </c>
      <c r="U491" s="267" t="str">
        <f t="shared" si="183"/>
        <v/>
      </c>
      <c r="V491" s="267" t="str">
        <f t="shared" si="183"/>
        <v/>
      </c>
      <c r="W491" s="530"/>
      <c r="X491" s="236"/>
      <c r="Y491" s="236"/>
      <c r="Z491" s="236"/>
    </row>
    <row r="492" spans="1:26" s="256" customFormat="1" ht="12" customHeight="1">
      <c r="A492" s="548" t="s">
        <v>165</v>
      </c>
      <c r="B492" s="548" t="s">
        <v>167</v>
      </c>
      <c r="C492" s="460"/>
      <c r="D492" s="551" t="s">
        <v>98</v>
      </c>
      <c r="E492" s="390" t="s">
        <v>100</v>
      </c>
      <c r="F492" s="391">
        <f>SUM(F493:F493)</f>
        <v>0</v>
      </c>
      <c r="G492" s="391">
        <f>SUM(G493:G493)</f>
        <v>18943635.129999999</v>
      </c>
      <c r="H492" s="391">
        <f>SUM(H493:H493)</f>
        <v>10000000</v>
      </c>
      <c r="I492" s="391">
        <f>+F492+G492+H492</f>
        <v>28943635.129999999</v>
      </c>
      <c r="J492" s="391">
        <v>0</v>
      </c>
      <c r="K492" s="391">
        <f>SUM(K493:K493)</f>
        <v>18943635.129999999</v>
      </c>
      <c r="L492" s="391">
        <f>SUM(L493:L493)</f>
        <v>10000000</v>
      </c>
      <c r="M492" s="391">
        <f>+J492+K492+L492</f>
        <v>28943635.129999999</v>
      </c>
      <c r="N492" s="391">
        <f t="shared" ref="N492:P493" si="189">+F492-J492</f>
        <v>0</v>
      </c>
      <c r="O492" s="391">
        <f t="shared" si="189"/>
        <v>0</v>
      </c>
      <c r="P492" s="391">
        <f t="shared" si="189"/>
        <v>0</v>
      </c>
      <c r="Q492" s="391">
        <f>+N492+O492+P492</f>
        <v>0</v>
      </c>
      <c r="R492" s="761"/>
      <c r="S492" s="267" t="str">
        <f t="shared" si="183"/>
        <v/>
      </c>
      <c r="T492" s="267">
        <f t="shared" si="183"/>
        <v>1</v>
      </c>
      <c r="U492" s="267">
        <f t="shared" si="183"/>
        <v>1</v>
      </c>
      <c r="V492" s="267">
        <f t="shared" si="183"/>
        <v>1</v>
      </c>
      <c r="W492" s="532"/>
      <c r="Y492" s="236" t="s">
        <v>598</v>
      </c>
      <c r="Z492" s="240" t="s">
        <v>598</v>
      </c>
    </row>
    <row r="493" spans="1:26" ht="12" customHeight="1">
      <c r="A493" s="548" t="s">
        <v>165</v>
      </c>
      <c r="B493" s="548" t="s">
        <v>167</v>
      </c>
      <c r="C493" s="456"/>
      <c r="D493" s="549"/>
      <c r="E493" s="462" t="s">
        <v>290</v>
      </c>
      <c r="F493" s="103">
        <v>0</v>
      </c>
      <c r="G493" s="103">
        <f>SUM('[3]chd5-SAOB'!AP223)</f>
        <v>18943635.129999999</v>
      </c>
      <c r="H493" s="103">
        <f>SUM('[3]chd5-SAOB'!AP316)</f>
        <v>10000000</v>
      </c>
      <c r="I493" s="103">
        <f>+F493+G493+H493</f>
        <v>28943635.129999999</v>
      </c>
      <c r="J493" s="103">
        <v>0</v>
      </c>
      <c r="K493" s="103">
        <f>SUM('[3]chd5-SAOB'!AP224)</f>
        <v>18943635.129999999</v>
      </c>
      <c r="L493" s="103">
        <f>SUM('[3]chd5-SAOB'!AP317)</f>
        <v>10000000</v>
      </c>
      <c r="M493" s="103">
        <f>+J493+K493+L493</f>
        <v>28943635.129999999</v>
      </c>
      <c r="N493" s="103">
        <f t="shared" si="189"/>
        <v>0</v>
      </c>
      <c r="O493" s="103">
        <f t="shared" si="189"/>
        <v>0</v>
      </c>
      <c r="P493" s="103">
        <f t="shared" si="189"/>
        <v>0</v>
      </c>
      <c r="Q493" s="103">
        <f>+N493+O493+P493</f>
        <v>0</v>
      </c>
      <c r="S493" s="267" t="str">
        <f t="shared" si="183"/>
        <v/>
      </c>
      <c r="T493" s="267">
        <f t="shared" si="183"/>
        <v>1</v>
      </c>
      <c r="U493" s="267">
        <f t="shared" si="183"/>
        <v>1</v>
      </c>
      <c r="V493" s="267">
        <f t="shared" si="183"/>
        <v>1</v>
      </c>
      <c r="W493" s="530"/>
      <c r="X493" s="236"/>
      <c r="Y493" s="236" t="s">
        <v>598</v>
      </c>
      <c r="Z493" s="236"/>
    </row>
    <row r="494" spans="1:26" s="259" customFormat="1" ht="12" customHeight="1">
      <c r="A494" s="315" t="s">
        <v>165</v>
      </c>
      <c r="B494" s="315" t="s">
        <v>167</v>
      </c>
      <c r="C494" s="1096"/>
      <c r="D494" s="466"/>
      <c r="E494" s="1097" t="s">
        <v>4</v>
      </c>
      <c r="F494" s="652">
        <f>+F492+F490</f>
        <v>0</v>
      </c>
      <c r="G494" s="652">
        <f t="shared" ref="G494:Q494" si="190">+G492+G490</f>
        <v>27963415.75</v>
      </c>
      <c r="H494" s="652">
        <f t="shared" si="190"/>
        <v>25000000</v>
      </c>
      <c r="I494" s="652">
        <f t="shared" si="190"/>
        <v>52963415.75</v>
      </c>
      <c r="J494" s="652">
        <f t="shared" si="190"/>
        <v>0</v>
      </c>
      <c r="K494" s="652">
        <f t="shared" si="190"/>
        <v>27963415.75</v>
      </c>
      <c r="L494" s="652">
        <f t="shared" si="190"/>
        <v>22980000</v>
      </c>
      <c r="M494" s="652">
        <f t="shared" si="190"/>
        <v>50943415.75</v>
      </c>
      <c r="N494" s="652">
        <f t="shared" si="190"/>
        <v>0</v>
      </c>
      <c r="O494" s="652">
        <f t="shared" si="190"/>
        <v>0</v>
      </c>
      <c r="P494" s="652">
        <f t="shared" si="190"/>
        <v>2020000</v>
      </c>
      <c r="Q494" s="652">
        <f t="shared" si="190"/>
        <v>2020000</v>
      </c>
      <c r="R494" s="1095">
        <f>+Q494-'[3]chd5-SAOB'!BN353</f>
        <v>-1.862645149230957E-9</v>
      </c>
      <c r="S494" s="524" t="str">
        <f t="shared" si="183"/>
        <v/>
      </c>
      <c r="T494" s="524">
        <f t="shared" si="183"/>
        <v>1</v>
      </c>
      <c r="U494" s="524">
        <f t="shared" si="183"/>
        <v>0.91920000000000002</v>
      </c>
      <c r="V494" s="524">
        <f t="shared" si="183"/>
        <v>0.96186046591981744</v>
      </c>
      <c r="W494" s="344"/>
      <c r="X494" s="520"/>
      <c r="Y494" s="837" t="s">
        <v>598</v>
      </c>
      <c r="Z494" s="241" t="s">
        <v>598</v>
      </c>
    </row>
    <row r="495" spans="1:26" ht="12" customHeight="1">
      <c r="A495" s="315" t="s">
        <v>165</v>
      </c>
      <c r="B495" s="315" t="s">
        <v>167</v>
      </c>
      <c r="C495" s="456"/>
      <c r="D495" s="456"/>
      <c r="E495" s="46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S495" s="267" t="str">
        <f t="shared" si="183"/>
        <v/>
      </c>
      <c r="T495" s="267" t="str">
        <f t="shared" si="183"/>
        <v/>
      </c>
      <c r="U495" s="267" t="str">
        <f t="shared" si="183"/>
        <v/>
      </c>
      <c r="V495" s="267" t="str">
        <f t="shared" si="183"/>
        <v/>
      </c>
      <c r="W495" s="267"/>
      <c r="Y495" s="837" t="s">
        <v>598</v>
      </c>
      <c r="Z495" s="241" t="s">
        <v>598</v>
      </c>
    </row>
    <row r="496" spans="1:26" s="275" customFormat="1" ht="12.75" customHeight="1">
      <c r="A496" s="548" t="s">
        <v>165</v>
      </c>
      <c r="B496" s="548" t="s">
        <v>168</v>
      </c>
      <c r="C496" s="464" t="s">
        <v>98</v>
      </c>
      <c r="D496" s="552" t="s">
        <v>107</v>
      </c>
      <c r="E496" s="407" t="s">
        <v>810</v>
      </c>
      <c r="F496" s="468"/>
      <c r="G496" s="468"/>
      <c r="H496" s="468"/>
      <c r="I496" s="409">
        <f>+F496+G496+H496</f>
        <v>0</v>
      </c>
      <c r="J496" s="409">
        <v>0</v>
      </c>
      <c r="K496" s="468"/>
      <c r="L496" s="468"/>
      <c r="M496" s="409">
        <f t="shared" si="181"/>
        <v>0</v>
      </c>
      <c r="N496" s="409">
        <f t="shared" si="166"/>
        <v>0</v>
      </c>
      <c r="O496" s="409">
        <f t="shared" si="166"/>
        <v>0</v>
      </c>
      <c r="P496" s="409">
        <f t="shared" si="166"/>
        <v>0</v>
      </c>
      <c r="Q496" s="409">
        <f t="shared" si="182"/>
        <v>0</v>
      </c>
      <c r="R496" s="761"/>
      <c r="S496" s="267" t="str">
        <f t="shared" si="183"/>
        <v/>
      </c>
      <c r="T496" s="267" t="str">
        <f t="shared" si="183"/>
        <v/>
      </c>
      <c r="U496" s="267" t="str">
        <f t="shared" si="183"/>
        <v/>
      </c>
      <c r="V496" s="267" t="str">
        <f t="shared" si="183"/>
        <v/>
      </c>
      <c r="W496" s="553"/>
      <c r="Y496" s="236" t="s">
        <v>598</v>
      </c>
      <c r="Z496" s="240" t="s">
        <v>598</v>
      </c>
    </row>
    <row r="497" spans="1:26" ht="12" customHeight="1">
      <c r="A497" s="548" t="s">
        <v>165</v>
      </c>
      <c r="B497" s="548" t="s">
        <v>168</v>
      </c>
      <c r="C497" s="447" t="s">
        <v>766</v>
      </c>
      <c r="D497" s="549"/>
      <c r="E497" s="447" t="s">
        <v>766</v>
      </c>
      <c r="F497" s="104">
        <f>+'[3]chd5-SAOB'!C452</f>
        <v>0</v>
      </c>
      <c r="G497" s="104">
        <f>+'[3]chd5-SAOB'!D452</f>
        <v>0</v>
      </c>
      <c r="H497" s="104">
        <f>+'[3]chd5-SAOB'!E452</f>
        <v>0</v>
      </c>
      <c r="I497" s="103">
        <f>+F497+G497+H497</f>
        <v>0</v>
      </c>
      <c r="J497" s="103">
        <v>0</v>
      </c>
      <c r="K497" s="104">
        <f>+'[3]chd5-SAOB'!H452</f>
        <v>0</v>
      </c>
      <c r="L497" s="104">
        <f>+'[3]chd5-SAOB'!I452</f>
        <v>0</v>
      </c>
      <c r="M497" s="103">
        <f t="shared" si="181"/>
        <v>0</v>
      </c>
      <c r="N497" s="103">
        <f t="shared" si="166"/>
        <v>0</v>
      </c>
      <c r="O497" s="103">
        <f t="shared" si="166"/>
        <v>0</v>
      </c>
      <c r="P497" s="103">
        <f t="shared" si="166"/>
        <v>0</v>
      </c>
      <c r="Q497" s="103">
        <f t="shared" si="182"/>
        <v>0</v>
      </c>
      <c r="S497" s="267" t="str">
        <f t="shared" si="183"/>
        <v/>
      </c>
      <c r="T497" s="267" t="str">
        <f t="shared" si="183"/>
        <v/>
      </c>
      <c r="U497" s="267" t="str">
        <f t="shared" si="183"/>
        <v/>
      </c>
      <c r="V497" s="267" t="str">
        <f t="shared" si="183"/>
        <v/>
      </c>
      <c r="W497" s="530"/>
      <c r="X497" s="236"/>
      <c r="Y497" s="236" t="s">
        <v>688</v>
      </c>
      <c r="Z497" s="236"/>
    </row>
    <row r="498" spans="1:26" ht="12" customHeight="1">
      <c r="A498" s="548" t="s">
        <v>165</v>
      </c>
      <c r="B498" s="548" t="s">
        <v>168</v>
      </c>
      <c r="C498" s="456"/>
      <c r="D498" s="549"/>
      <c r="E498" s="453" t="s">
        <v>50</v>
      </c>
      <c r="F498" s="103">
        <f>+F499+F500</f>
        <v>0</v>
      </c>
      <c r="G498" s="103">
        <f>+G499+G500</f>
        <v>1711489.73</v>
      </c>
      <c r="H498" s="103">
        <f>+H499+H500</f>
        <v>0</v>
      </c>
      <c r="I498" s="103">
        <f t="shared" ref="I498:I549" si="191">+F498+G498+H498</f>
        <v>1711489.73</v>
      </c>
      <c r="J498" s="103">
        <f>+J499+J500</f>
        <v>0</v>
      </c>
      <c r="K498" s="103">
        <f>+K499+K500</f>
        <v>980991.14000000013</v>
      </c>
      <c r="L498" s="103">
        <f>+L499+L500</f>
        <v>0</v>
      </c>
      <c r="M498" s="103">
        <f t="shared" si="181"/>
        <v>980991.14000000013</v>
      </c>
      <c r="N498" s="103">
        <f t="shared" ref="N498:P549" si="192">+F498-J498</f>
        <v>0</v>
      </c>
      <c r="O498" s="103">
        <f t="shared" si="192"/>
        <v>730498.58999999985</v>
      </c>
      <c r="P498" s="103">
        <f t="shared" si="192"/>
        <v>0</v>
      </c>
      <c r="Q498" s="103">
        <f t="shared" si="182"/>
        <v>730498.58999999985</v>
      </c>
      <c r="S498" s="267" t="str">
        <f t="shared" si="183"/>
        <v/>
      </c>
      <c r="T498" s="267">
        <f t="shared" si="183"/>
        <v>0.5731796824746358</v>
      </c>
      <c r="U498" s="267" t="str">
        <f t="shared" si="183"/>
        <v/>
      </c>
      <c r="V498" s="267">
        <f t="shared" si="183"/>
        <v>0.5731796824746358</v>
      </c>
      <c r="W498" s="530"/>
      <c r="X498" s="236"/>
      <c r="Y498" s="236" t="s">
        <v>688</v>
      </c>
      <c r="Z498" s="236"/>
    </row>
    <row r="499" spans="1:26" ht="12" hidden="1" customHeight="1">
      <c r="A499" s="548" t="s">
        <v>165</v>
      </c>
      <c r="B499" s="548" t="s">
        <v>168</v>
      </c>
      <c r="C499" s="458" t="s">
        <v>715</v>
      </c>
      <c r="D499" s="550" t="s">
        <v>715</v>
      </c>
      <c r="E499" s="447" t="s">
        <v>715</v>
      </c>
      <c r="F499" s="104">
        <f>'[3]CONAP - W INC'!F367</f>
        <v>0</v>
      </c>
      <c r="G499" s="104">
        <f>'[3]CONAP - W INC'!G367</f>
        <v>-157500</v>
      </c>
      <c r="H499" s="104">
        <f>'[3]CONAP - W INC'!H367</f>
        <v>0</v>
      </c>
      <c r="I499" s="103">
        <f t="shared" si="191"/>
        <v>-157500</v>
      </c>
      <c r="J499" s="103">
        <f>'[3]CONAP - W INC'!J367</f>
        <v>0</v>
      </c>
      <c r="K499" s="104">
        <f>'[3]CONAP - W INC'!K367</f>
        <v>0</v>
      </c>
      <c r="L499" s="104">
        <f>'[3]CONAP - W INC'!L367</f>
        <v>0</v>
      </c>
      <c r="M499" s="103">
        <f t="shared" si="181"/>
        <v>0</v>
      </c>
      <c r="N499" s="103">
        <f t="shared" si="192"/>
        <v>0</v>
      </c>
      <c r="O499" s="103">
        <f t="shared" si="192"/>
        <v>-157500</v>
      </c>
      <c r="P499" s="103">
        <f t="shared" si="192"/>
        <v>0</v>
      </c>
      <c r="Q499" s="103">
        <f t="shared" si="182"/>
        <v>-157500</v>
      </c>
      <c r="S499" s="267" t="str">
        <f t="shared" si="183"/>
        <v/>
      </c>
      <c r="T499" s="267">
        <f t="shared" si="183"/>
        <v>0</v>
      </c>
      <c r="U499" s="267" t="str">
        <f t="shared" si="183"/>
        <v/>
      </c>
      <c r="V499" s="267">
        <f t="shared" si="183"/>
        <v>0</v>
      </c>
      <c r="W499" s="530"/>
      <c r="X499" s="236"/>
      <c r="Y499" s="236"/>
      <c r="Z499" s="236"/>
    </row>
    <row r="500" spans="1:26" ht="12" hidden="1" customHeight="1">
      <c r="A500" s="548" t="s">
        <v>165</v>
      </c>
      <c r="B500" s="548" t="s">
        <v>168</v>
      </c>
      <c r="C500" s="458" t="s">
        <v>716</v>
      </c>
      <c r="D500" s="550" t="s">
        <v>716</v>
      </c>
      <c r="E500" s="459" t="s">
        <v>716</v>
      </c>
      <c r="F500" s="104">
        <f>'[3]CONAP - W INC'!F368</f>
        <v>0</v>
      </c>
      <c r="G500" s="104">
        <f>'[3]CONAP - W INC'!G368</f>
        <v>1868989.73</v>
      </c>
      <c r="H500" s="104">
        <f>'[3]CONAP - W INC'!H368</f>
        <v>0</v>
      </c>
      <c r="I500" s="103">
        <f t="shared" si="191"/>
        <v>1868989.73</v>
      </c>
      <c r="J500" s="103">
        <f>'[3]CONAP - W INC'!J368</f>
        <v>0</v>
      </c>
      <c r="K500" s="104">
        <f>'[3]CONAP - W INC'!K368</f>
        <v>980991.14000000013</v>
      </c>
      <c r="L500" s="104">
        <f>'[3]CONAP - W INC'!L368</f>
        <v>0</v>
      </c>
      <c r="M500" s="103">
        <f t="shared" si="181"/>
        <v>980991.14000000013</v>
      </c>
      <c r="N500" s="103">
        <f t="shared" si="192"/>
        <v>0</v>
      </c>
      <c r="O500" s="103">
        <f t="shared" si="192"/>
        <v>887998.58999999985</v>
      </c>
      <c r="P500" s="103">
        <f t="shared" si="192"/>
        <v>0</v>
      </c>
      <c r="Q500" s="103">
        <f t="shared" si="182"/>
        <v>887998.58999999985</v>
      </c>
      <c r="S500" s="267" t="str">
        <f t="shared" si="183"/>
        <v/>
      </c>
      <c r="T500" s="267">
        <f t="shared" si="183"/>
        <v>0.52487775842406592</v>
      </c>
      <c r="U500" s="267" t="str">
        <f t="shared" si="183"/>
        <v/>
      </c>
      <c r="V500" s="267">
        <f t="shared" si="183"/>
        <v>0.52487775842406592</v>
      </c>
      <c r="W500" s="530"/>
      <c r="X500" s="236"/>
      <c r="Y500" s="236"/>
      <c r="Z500" s="236"/>
    </row>
    <row r="501" spans="1:26" s="256" customFormat="1" ht="12" customHeight="1">
      <c r="A501" s="548"/>
      <c r="B501" s="548" t="s">
        <v>168</v>
      </c>
      <c r="C501" s="460"/>
      <c r="D501" s="551"/>
      <c r="E501" s="390" t="s">
        <v>767</v>
      </c>
      <c r="F501" s="391">
        <f>+F498+F497</f>
        <v>0</v>
      </c>
      <c r="G501" s="391">
        <f t="shared" ref="G501:Q501" si="193">+G498+G497</f>
        <v>1711489.73</v>
      </c>
      <c r="H501" s="391">
        <f t="shared" si="193"/>
        <v>0</v>
      </c>
      <c r="I501" s="391">
        <f t="shared" si="193"/>
        <v>1711489.73</v>
      </c>
      <c r="J501" s="391">
        <f t="shared" si="193"/>
        <v>0</v>
      </c>
      <c r="K501" s="391">
        <f t="shared" si="193"/>
        <v>980991.14000000013</v>
      </c>
      <c r="L501" s="391">
        <f t="shared" si="193"/>
        <v>0</v>
      </c>
      <c r="M501" s="391">
        <f t="shared" si="193"/>
        <v>980991.14000000013</v>
      </c>
      <c r="N501" s="391">
        <f t="shared" si="193"/>
        <v>0</v>
      </c>
      <c r="O501" s="391">
        <f t="shared" si="193"/>
        <v>730498.58999999985</v>
      </c>
      <c r="P501" s="391">
        <f t="shared" si="193"/>
        <v>0</v>
      </c>
      <c r="Q501" s="391">
        <f t="shared" si="193"/>
        <v>730498.58999999985</v>
      </c>
      <c r="R501" s="761"/>
      <c r="S501" s="267" t="str">
        <f t="shared" si="183"/>
        <v/>
      </c>
      <c r="T501" s="267">
        <f t="shared" si="183"/>
        <v>0.5731796824746358</v>
      </c>
      <c r="U501" s="267" t="str">
        <f t="shared" si="183"/>
        <v/>
      </c>
      <c r="V501" s="267">
        <f t="shared" si="183"/>
        <v>0.5731796824746358</v>
      </c>
      <c r="W501" s="532"/>
      <c r="Y501" s="236" t="s">
        <v>598</v>
      </c>
      <c r="Z501" s="240" t="s">
        <v>598</v>
      </c>
    </row>
    <row r="502" spans="1:26" ht="12" hidden="1" customHeight="1">
      <c r="A502" s="548"/>
      <c r="B502" s="548"/>
      <c r="C502" s="456"/>
      <c r="D502" s="549"/>
      <c r="E502" s="461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S502" s="267" t="str">
        <f t="shared" si="183"/>
        <v/>
      </c>
      <c r="T502" s="267" t="str">
        <f t="shared" si="183"/>
        <v/>
      </c>
      <c r="U502" s="267" t="str">
        <f t="shared" si="183"/>
        <v/>
      </c>
      <c r="V502" s="267" t="str">
        <f t="shared" si="183"/>
        <v/>
      </c>
      <c r="W502" s="530"/>
      <c r="X502" s="236"/>
      <c r="Y502" s="236"/>
      <c r="Z502" s="236"/>
    </row>
    <row r="503" spans="1:26" s="256" customFormat="1" ht="12" customHeight="1">
      <c r="A503" s="548" t="s">
        <v>165</v>
      </c>
      <c r="B503" s="548" t="s">
        <v>168</v>
      </c>
      <c r="C503" s="460"/>
      <c r="D503" s="551" t="s">
        <v>98</v>
      </c>
      <c r="E503" s="390" t="s">
        <v>100</v>
      </c>
      <c r="F503" s="391">
        <f>SUM(F504:F504)</f>
        <v>0</v>
      </c>
      <c r="G503" s="391">
        <f>SUM(G504:G504)</f>
        <v>7566948.8499999996</v>
      </c>
      <c r="H503" s="391">
        <f>SUM(H504:H504)</f>
        <v>2000000</v>
      </c>
      <c r="I503" s="391">
        <f>+F503+G503+H503</f>
        <v>9566948.8499999996</v>
      </c>
      <c r="J503" s="391">
        <v>0</v>
      </c>
      <c r="K503" s="391">
        <f>SUM(K504:K504)</f>
        <v>6852284.7999999998</v>
      </c>
      <c r="L503" s="391">
        <f>SUM(L504:L504)</f>
        <v>1920000</v>
      </c>
      <c r="M503" s="391">
        <f>+J503+K503+L503</f>
        <v>8772284.8000000007</v>
      </c>
      <c r="N503" s="391">
        <f t="shared" ref="N503:P504" si="194">+F503-J503</f>
        <v>0</v>
      </c>
      <c r="O503" s="391">
        <f t="shared" si="194"/>
        <v>714664.04999999981</v>
      </c>
      <c r="P503" s="391">
        <f t="shared" si="194"/>
        <v>80000</v>
      </c>
      <c r="Q503" s="391">
        <f>+N503+O503+P503</f>
        <v>794664.04999999981</v>
      </c>
      <c r="R503" s="761"/>
      <c r="S503" s="267" t="str">
        <f t="shared" si="183"/>
        <v/>
      </c>
      <c r="T503" s="267">
        <f t="shared" si="183"/>
        <v>0.90555452875831188</v>
      </c>
      <c r="U503" s="267">
        <f t="shared" si="183"/>
        <v>0.96</v>
      </c>
      <c r="V503" s="267">
        <f t="shared" si="183"/>
        <v>0.91693652151176719</v>
      </c>
      <c r="W503" s="532"/>
      <c r="Y503" s="236" t="s">
        <v>598</v>
      </c>
      <c r="Z503" s="240" t="s">
        <v>598</v>
      </c>
    </row>
    <row r="504" spans="1:26" ht="12" customHeight="1">
      <c r="A504" s="548" t="s">
        <v>165</v>
      </c>
      <c r="B504" s="548" t="s">
        <v>168</v>
      </c>
      <c r="C504" s="456"/>
      <c r="D504" s="549"/>
      <c r="E504" s="462" t="s">
        <v>290</v>
      </c>
      <c r="F504" s="103">
        <v>0</v>
      </c>
      <c r="G504" s="103">
        <f>SUM('[3]chd5-SAOB'!AQ223)</f>
        <v>7566948.8499999996</v>
      </c>
      <c r="H504" s="103">
        <f>SUM('[3]chd5-SAOB'!AQ316)</f>
        <v>2000000</v>
      </c>
      <c r="I504" s="103">
        <f>+F504+G504+H504</f>
        <v>9566948.8499999996</v>
      </c>
      <c r="J504" s="103">
        <v>0</v>
      </c>
      <c r="K504" s="103">
        <f>SUM('[3]chd5-SAOB'!AQ224)</f>
        <v>6852284.7999999998</v>
      </c>
      <c r="L504" s="103">
        <f>SUM('[3]chd5-SAOB'!AQ317)</f>
        <v>1920000</v>
      </c>
      <c r="M504" s="103">
        <f>+J504+K504+L504</f>
        <v>8772284.8000000007</v>
      </c>
      <c r="N504" s="103">
        <f t="shared" si="194"/>
        <v>0</v>
      </c>
      <c r="O504" s="103">
        <f t="shared" si="194"/>
        <v>714664.04999999981</v>
      </c>
      <c r="P504" s="103">
        <f t="shared" si="194"/>
        <v>80000</v>
      </c>
      <c r="Q504" s="103">
        <f>+N504+O504+P504</f>
        <v>794664.04999999981</v>
      </c>
      <c r="S504" s="267" t="str">
        <f t="shared" si="183"/>
        <v/>
      </c>
      <c r="T504" s="267">
        <f t="shared" si="183"/>
        <v>0.90555452875831188</v>
      </c>
      <c r="U504" s="267">
        <f t="shared" si="183"/>
        <v>0.96</v>
      </c>
      <c r="V504" s="267">
        <f t="shared" si="183"/>
        <v>0.91693652151176719</v>
      </c>
      <c r="W504" s="530"/>
      <c r="X504" s="236"/>
      <c r="Y504" s="236" t="s">
        <v>598</v>
      </c>
      <c r="Z504" s="236"/>
    </row>
    <row r="505" spans="1:26" s="259" customFormat="1" ht="12" customHeight="1">
      <c r="A505" s="315" t="s">
        <v>165</v>
      </c>
      <c r="B505" s="315" t="s">
        <v>168</v>
      </c>
      <c r="C505" s="1096"/>
      <c r="D505" s="466"/>
      <c r="E505" s="1097" t="s">
        <v>4</v>
      </c>
      <c r="F505" s="652">
        <f>+F503+F501</f>
        <v>0</v>
      </c>
      <c r="G505" s="652">
        <f t="shared" ref="G505:Q505" si="195">+G503+G501</f>
        <v>9278438.5800000001</v>
      </c>
      <c r="H505" s="652">
        <f t="shared" si="195"/>
        <v>2000000</v>
      </c>
      <c r="I505" s="652">
        <f t="shared" si="195"/>
        <v>11278438.58</v>
      </c>
      <c r="J505" s="652">
        <f t="shared" si="195"/>
        <v>0</v>
      </c>
      <c r="K505" s="652">
        <f t="shared" si="195"/>
        <v>7833275.9399999995</v>
      </c>
      <c r="L505" s="652">
        <f t="shared" si="195"/>
        <v>1920000</v>
      </c>
      <c r="M505" s="652">
        <f t="shared" si="195"/>
        <v>9753275.9400000013</v>
      </c>
      <c r="N505" s="652">
        <f t="shared" si="195"/>
        <v>0</v>
      </c>
      <c r="O505" s="652">
        <f t="shared" si="195"/>
        <v>1445162.6399999997</v>
      </c>
      <c r="P505" s="652">
        <f t="shared" si="195"/>
        <v>80000</v>
      </c>
      <c r="Q505" s="652">
        <f t="shared" si="195"/>
        <v>1525162.6399999997</v>
      </c>
      <c r="R505" s="1095">
        <f>+Q505-'[3]chd5-SAOB'!BO353</f>
        <v>0</v>
      </c>
      <c r="S505" s="524" t="str">
        <f t="shared" si="183"/>
        <v/>
      </c>
      <c r="T505" s="524">
        <f t="shared" si="183"/>
        <v>0.84424506046576642</v>
      </c>
      <c r="U505" s="524">
        <f t="shared" si="183"/>
        <v>0.96</v>
      </c>
      <c r="V505" s="524">
        <f t="shared" si="183"/>
        <v>0.86477182730732227</v>
      </c>
      <c r="W505" s="344"/>
      <c r="X505" s="520"/>
      <c r="Y505" s="837" t="s">
        <v>598</v>
      </c>
      <c r="Z505" s="241" t="s">
        <v>598</v>
      </c>
    </row>
    <row r="506" spans="1:26" ht="12" customHeight="1">
      <c r="A506" s="315" t="s">
        <v>165</v>
      </c>
      <c r="B506" s="315" t="s">
        <v>168</v>
      </c>
      <c r="C506" s="456"/>
      <c r="D506" s="456"/>
      <c r="E506" s="46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S506" s="267" t="str">
        <f t="shared" si="183"/>
        <v/>
      </c>
      <c r="T506" s="267" t="str">
        <f t="shared" si="183"/>
        <v/>
      </c>
      <c r="U506" s="267" t="str">
        <f t="shared" si="183"/>
        <v/>
      </c>
      <c r="V506" s="267" t="str">
        <f t="shared" si="183"/>
        <v/>
      </c>
      <c r="W506" s="267"/>
      <c r="Y506" s="837" t="s">
        <v>598</v>
      </c>
      <c r="Z506" s="241" t="s">
        <v>598</v>
      </c>
    </row>
    <row r="507" spans="1:26" s="275" customFormat="1" ht="12" customHeight="1">
      <c r="A507" s="548" t="s">
        <v>165</v>
      </c>
      <c r="B507" s="548" t="s">
        <v>169</v>
      </c>
      <c r="C507" s="464" t="s">
        <v>98</v>
      </c>
      <c r="D507" s="552" t="s">
        <v>109</v>
      </c>
      <c r="E507" s="407" t="s">
        <v>811</v>
      </c>
      <c r="F507" s="468"/>
      <c r="G507" s="468"/>
      <c r="H507" s="468"/>
      <c r="I507" s="409">
        <f t="shared" si="191"/>
        <v>0</v>
      </c>
      <c r="J507" s="409">
        <v>0</v>
      </c>
      <c r="K507" s="468"/>
      <c r="L507" s="468"/>
      <c r="M507" s="409">
        <f t="shared" si="181"/>
        <v>0</v>
      </c>
      <c r="N507" s="409">
        <f t="shared" si="192"/>
        <v>0</v>
      </c>
      <c r="O507" s="409">
        <f t="shared" si="192"/>
        <v>0</v>
      </c>
      <c r="P507" s="409">
        <f t="shared" si="192"/>
        <v>0</v>
      </c>
      <c r="Q507" s="409">
        <f t="shared" si="182"/>
        <v>0</v>
      </c>
      <c r="R507" s="761"/>
      <c r="S507" s="267" t="str">
        <f t="shared" si="183"/>
        <v/>
      </c>
      <c r="T507" s="267" t="str">
        <f t="shared" si="183"/>
        <v/>
      </c>
      <c r="U507" s="267" t="str">
        <f t="shared" si="183"/>
        <v/>
      </c>
      <c r="V507" s="267" t="str">
        <f t="shared" si="183"/>
        <v/>
      </c>
      <c r="W507" s="553"/>
      <c r="Y507" s="236" t="s">
        <v>598</v>
      </c>
      <c r="Z507" s="240" t="s">
        <v>598</v>
      </c>
    </row>
    <row r="508" spans="1:26" ht="12" customHeight="1">
      <c r="A508" s="548" t="s">
        <v>165</v>
      </c>
      <c r="B508" s="548" t="s">
        <v>169</v>
      </c>
      <c r="C508" s="447" t="s">
        <v>766</v>
      </c>
      <c r="D508" s="549"/>
      <c r="E508" s="447" t="s">
        <v>766</v>
      </c>
      <c r="F508" s="104">
        <f>+'[3]chd5-SAOB'!C459</f>
        <v>0</v>
      </c>
      <c r="G508" s="104">
        <f>+'[3]chd5-SAOB'!D459</f>
        <v>250000</v>
      </c>
      <c r="H508" s="104">
        <f>+'[3]chd5-SAOB'!E459</f>
        <v>0</v>
      </c>
      <c r="I508" s="103">
        <f t="shared" si="191"/>
        <v>250000</v>
      </c>
      <c r="J508" s="103">
        <v>0</v>
      </c>
      <c r="K508" s="104">
        <f>+'[3]chd5-SAOB'!H459</f>
        <v>250000</v>
      </c>
      <c r="L508" s="104">
        <f>+'[3]chd5-SAOB'!I459</f>
        <v>0</v>
      </c>
      <c r="M508" s="103">
        <f t="shared" si="181"/>
        <v>250000</v>
      </c>
      <c r="N508" s="103">
        <f t="shared" si="192"/>
        <v>0</v>
      </c>
      <c r="O508" s="103">
        <f t="shared" si="192"/>
        <v>0</v>
      </c>
      <c r="P508" s="103">
        <f t="shared" si="192"/>
        <v>0</v>
      </c>
      <c r="Q508" s="103">
        <f t="shared" si="182"/>
        <v>0</v>
      </c>
      <c r="S508" s="267" t="str">
        <f t="shared" si="183"/>
        <v/>
      </c>
      <c r="T508" s="267">
        <f t="shared" si="183"/>
        <v>1</v>
      </c>
      <c r="U508" s="267" t="str">
        <f t="shared" si="183"/>
        <v/>
      </c>
      <c r="V508" s="267">
        <f t="shared" si="183"/>
        <v>1</v>
      </c>
      <c r="W508" s="530"/>
      <c r="X508" s="236"/>
      <c r="Y508" s="236" t="s">
        <v>688</v>
      </c>
      <c r="Z508" s="236"/>
    </row>
    <row r="509" spans="1:26" ht="12" customHeight="1">
      <c r="A509" s="548" t="s">
        <v>165</v>
      </c>
      <c r="B509" s="548" t="s">
        <v>169</v>
      </c>
      <c r="C509" s="456"/>
      <c r="D509" s="549"/>
      <c r="E509" s="453" t="s">
        <v>50</v>
      </c>
      <c r="F509" s="103">
        <f>+F510+F511</f>
        <v>0</v>
      </c>
      <c r="G509" s="103">
        <f>+G510+G511</f>
        <v>3441969.01</v>
      </c>
      <c r="H509" s="103">
        <f>+H510+H511</f>
        <v>0</v>
      </c>
      <c r="I509" s="103">
        <f t="shared" si="191"/>
        <v>3441969.01</v>
      </c>
      <c r="J509" s="103">
        <f>+J510+J511</f>
        <v>0</v>
      </c>
      <c r="K509" s="103">
        <f>+K510+K511</f>
        <v>3441969.01</v>
      </c>
      <c r="L509" s="103">
        <f>+L510+L511</f>
        <v>0</v>
      </c>
      <c r="M509" s="103">
        <f t="shared" si="181"/>
        <v>3441969.01</v>
      </c>
      <c r="N509" s="103">
        <f t="shared" si="192"/>
        <v>0</v>
      </c>
      <c r="O509" s="103">
        <f t="shared" si="192"/>
        <v>0</v>
      </c>
      <c r="P509" s="103">
        <f t="shared" si="192"/>
        <v>0</v>
      </c>
      <c r="Q509" s="103">
        <f t="shared" si="182"/>
        <v>0</v>
      </c>
      <c r="S509" s="267" t="str">
        <f t="shared" si="183"/>
        <v/>
      </c>
      <c r="T509" s="267">
        <f t="shared" si="183"/>
        <v>1</v>
      </c>
      <c r="U509" s="267" t="str">
        <f t="shared" si="183"/>
        <v/>
      </c>
      <c r="V509" s="267">
        <f t="shared" si="183"/>
        <v>1</v>
      </c>
      <c r="W509" s="530"/>
      <c r="X509" s="236"/>
      <c r="Y509" s="236" t="s">
        <v>688</v>
      </c>
      <c r="Z509" s="236"/>
    </row>
    <row r="510" spans="1:26" ht="12" hidden="1" customHeight="1">
      <c r="A510" s="548" t="s">
        <v>165</v>
      </c>
      <c r="B510" s="548" t="s">
        <v>169</v>
      </c>
      <c r="C510" s="458" t="s">
        <v>715</v>
      </c>
      <c r="D510" s="550" t="s">
        <v>715</v>
      </c>
      <c r="E510" s="447" t="s">
        <v>715</v>
      </c>
      <c r="F510" s="104">
        <f>'[3]CONAP - W INC'!F375</f>
        <v>0</v>
      </c>
      <c r="G510" s="104">
        <f>'[3]CONAP - W INC'!G375</f>
        <v>-266034.99</v>
      </c>
      <c r="H510" s="104">
        <f>'[3]CONAP - W INC'!H375</f>
        <v>0</v>
      </c>
      <c r="I510" s="103">
        <f t="shared" si="191"/>
        <v>-266034.99</v>
      </c>
      <c r="J510" s="103">
        <f>'[3]CONAP - W INC'!J375</f>
        <v>0</v>
      </c>
      <c r="K510" s="104">
        <f>'[3]CONAP - W INC'!K375</f>
        <v>0</v>
      </c>
      <c r="L510" s="104">
        <f>'[3]CONAP - W INC'!L375</f>
        <v>0</v>
      </c>
      <c r="M510" s="103">
        <f t="shared" si="181"/>
        <v>0</v>
      </c>
      <c r="N510" s="103">
        <f t="shared" si="192"/>
        <v>0</v>
      </c>
      <c r="O510" s="103">
        <f t="shared" si="192"/>
        <v>-266034.99</v>
      </c>
      <c r="P510" s="103">
        <f t="shared" si="192"/>
        <v>0</v>
      </c>
      <c r="Q510" s="103">
        <f t="shared" si="182"/>
        <v>-266034.99</v>
      </c>
      <c r="S510" s="267" t="str">
        <f t="shared" si="183"/>
        <v/>
      </c>
      <c r="T510" s="267">
        <f t="shared" si="183"/>
        <v>0</v>
      </c>
      <c r="U510" s="267" t="str">
        <f t="shared" si="183"/>
        <v/>
      </c>
      <c r="V510" s="267">
        <f t="shared" si="183"/>
        <v>0</v>
      </c>
      <c r="W510" s="530"/>
      <c r="X510" s="236"/>
      <c r="Y510" s="236"/>
      <c r="Z510" s="236"/>
    </row>
    <row r="511" spans="1:26" ht="12" hidden="1" customHeight="1">
      <c r="A511" s="548" t="s">
        <v>165</v>
      </c>
      <c r="B511" s="548" t="s">
        <v>169</v>
      </c>
      <c r="C511" s="458" t="s">
        <v>716</v>
      </c>
      <c r="D511" s="550" t="s">
        <v>716</v>
      </c>
      <c r="E511" s="459" t="s">
        <v>716</v>
      </c>
      <c r="F511" s="104">
        <f>'[3]CONAP - W INC'!F376</f>
        <v>0</v>
      </c>
      <c r="G511" s="104">
        <f>'[3]CONAP - W INC'!G376</f>
        <v>3708004</v>
      </c>
      <c r="H511" s="104">
        <f>'[3]CONAP - W INC'!H376</f>
        <v>0</v>
      </c>
      <c r="I511" s="103">
        <f t="shared" si="191"/>
        <v>3708004</v>
      </c>
      <c r="J511" s="103">
        <f>'[3]CONAP - W INC'!J376</f>
        <v>0</v>
      </c>
      <c r="K511" s="104">
        <f>'[3]CONAP - W INC'!K376</f>
        <v>3441969.01</v>
      </c>
      <c r="L511" s="104">
        <f>'[3]CONAP - W INC'!L376</f>
        <v>0</v>
      </c>
      <c r="M511" s="103">
        <f t="shared" si="181"/>
        <v>3441969.01</v>
      </c>
      <c r="N511" s="103">
        <f t="shared" si="192"/>
        <v>0</v>
      </c>
      <c r="O511" s="103">
        <f t="shared" si="192"/>
        <v>266034.99000000022</v>
      </c>
      <c r="P511" s="103">
        <f t="shared" si="192"/>
        <v>0</v>
      </c>
      <c r="Q511" s="103">
        <f t="shared" si="182"/>
        <v>266034.99000000022</v>
      </c>
      <c r="S511" s="267" t="str">
        <f t="shared" si="183"/>
        <v/>
      </c>
      <c r="T511" s="267">
        <f t="shared" si="183"/>
        <v>0.9282538557132084</v>
      </c>
      <c r="U511" s="267" t="str">
        <f t="shared" si="183"/>
        <v/>
      </c>
      <c r="V511" s="267">
        <f t="shared" si="183"/>
        <v>0.9282538557132084</v>
      </c>
      <c r="W511" s="530"/>
      <c r="X511" s="95"/>
      <c r="Y511" s="236"/>
      <c r="Z511" s="236"/>
    </row>
    <row r="512" spans="1:26" s="256" customFormat="1" ht="12" customHeight="1">
      <c r="A512" s="548"/>
      <c r="B512" s="548" t="s">
        <v>169</v>
      </c>
      <c r="C512" s="460"/>
      <c r="D512" s="551"/>
      <c r="E512" s="390" t="s">
        <v>767</v>
      </c>
      <c r="F512" s="391">
        <f>+F509+F508</f>
        <v>0</v>
      </c>
      <c r="G512" s="391">
        <f t="shared" ref="G512:Q512" si="196">+G509+G508</f>
        <v>3691969.01</v>
      </c>
      <c r="H512" s="391">
        <f t="shared" si="196"/>
        <v>0</v>
      </c>
      <c r="I512" s="391">
        <f t="shared" si="196"/>
        <v>3691969.01</v>
      </c>
      <c r="J512" s="391">
        <f t="shared" si="196"/>
        <v>0</v>
      </c>
      <c r="K512" s="391">
        <f t="shared" si="196"/>
        <v>3691969.01</v>
      </c>
      <c r="L512" s="391">
        <f t="shared" si="196"/>
        <v>0</v>
      </c>
      <c r="M512" s="391">
        <f t="shared" si="196"/>
        <v>3691969.01</v>
      </c>
      <c r="N512" s="391">
        <f t="shared" si="196"/>
        <v>0</v>
      </c>
      <c r="O512" s="391">
        <f t="shared" si="196"/>
        <v>0</v>
      </c>
      <c r="P512" s="391">
        <f t="shared" si="196"/>
        <v>0</v>
      </c>
      <c r="Q512" s="391">
        <f t="shared" si="196"/>
        <v>0</v>
      </c>
      <c r="R512" s="761"/>
      <c r="S512" s="267" t="str">
        <f t="shared" si="183"/>
        <v/>
      </c>
      <c r="T512" s="267">
        <f t="shared" si="183"/>
        <v>1</v>
      </c>
      <c r="U512" s="267" t="str">
        <f t="shared" si="183"/>
        <v/>
      </c>
      <c r="V512" s="267">
        <f t="shared" si="183"/>
        <v>1</v>
      </c>
      <c r="W512" s="532"/>
      <c r="Y512" s="236" t="s">
        <v>598</v>
      </c>
      <c r="Z512" s="240" t="s">
        <v>598</v>
      </c>
    </row>
    <row r="513" spans="1:26" ht="12" hidden="1" customHeight="1">
      <c r="A513" s="548"/>
      <c r="B513" s="548"/>
      <c r="C513" s="456"/>
      <c r="D513" s="549"/>
      <c r="E513" s="461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S513" s="267" t="str">
        <f t="shared" si="183"/>
        <v/>
      </c>
      <c r="T513" s="267" t="str">
        <f t="shared" si="183"/>
        <v/>
      </c>
      <c r="U513" s="267" t="str">
        <f t="shared" si="183"/>
        <v/>
      </c>
      <c r="V513" s="267" t="str">
        <f t="shared" si="183"/>
        <v/>
      </c>
      <c r="W513" s="530"/>
      <c r="X513" s="236"/>
      <c r="Y513" s="236"/>
      <c r="Z513" s="236"/>
    </row>
    <row r="514" spans="1:26" s="256" customFormat="1" ht="12" customHeight="1">
      <c r="A514" s="548" t="s">
        <v>165</v>
      </c>
      <c r="B514" s="548" t="s">
        <v>169</v>
      </c>
      <c r="C514" s="460"/>
      <c r="D514" s="551" t="s">
        <v>98</v>
      </c>
      <c r="E514" s="390" t="s">
        <v>100</v>
      </c>
      <c r="F514" s="391">
        <f>SUM(F515:F515)</f>
        <v>0</v>
      </c>
      <c r="G514" s="391">
        <f>SUM(G515:G515)</f>
        <v>1548534.43</v>
      </c>
      <c r="H514" s="391">
        <f>SUM(H515:H515)</f>
        <v>0</v>
      </c>
      <c r="I514" s="391">
        <f>+F514+G514+H514</f>
        <v>1548534.43</v>
      </c>
      <c r="J514" s="391">
        <v>0</v>
      </c>
      <c r="K514" s="391">
        <f>SUM(K515:K515)</f>
        <v>1548534.4300000002</v>
      </c>
      <c r="L514" s="391">
        <f>SUM(L515:L515)</f>
        <v>0</v>
      </c>
      <c r="M514" s="391">
        <f>+J514+K514+L514</f>
        <v>1548534.4300000002</v>
      </c>
      <c r="N514" s="391">
        <f t="shared" ref="N514:P515" si="197">+F514-J514</f>
        <v>0</v>
      </c>
      <c r="O514" s="391">
        <f t="shared" si="197"/>
        <v>0</v>
      </c>
      <c r="P514" s="391">
        <f t="shared" si="197"/>
        <v>0</v>
      </c>
      <c r="Q514" s="391">
        <f>+N514+O514+P514</f>
        <v>0</v>
      </c>
      <c r="R514" s="761"/>
      <c r="S514" s="267" t="str">
        <f t="shared" si="183"/>
        <v/>
      </c>
      <c r="T514" s="267">
        <f t="shared" si="183"/>
        <v>1.0000000000000002</v>
      </c>
      <c r="U514" s="267" t="str">
        <f t="shared" si="183"/>
        <v/>
      </c>
      <c r="V514" s="267">
        <f t="shared" si="183"/>
        <v>1.0000000000000002</v>
      </c>
      <c r="W514" s="532"/>
      <c r="Y514" s="236" t="s">
        <v>598</v>
      </c>
      <c r="Z514" s="240" t="s">
        <v>598</v>
      </c>
    </row>
    <row r="515" spans="1:26" ht="12" customHeight="1">
      <c r="A515" s="548" t="s">
        <v>165</v>
      </c>
      <c r="B515" s="548" t="s">
        <v>169</v>
      </c>
      <c r="C515" s="456"/>
      <c r="D515" s="549"/>
      <c r="E515" s="462" t="s">
        <v>290</v>
      </c>
      <c r="F515" s="103">
        <v>0</v>
      </c>
      <c r="G515" s="103">
        <f>SUM('[3]chd5-SAOB'!AR223)</f>
        <v>1548534.43</v>
      </c>
      <c r="H515" s="103">
        <f>SUM('[3]chd5-SAOB'!AR316)</f>
        <v>0</v>
      </c>
      <c r="I515" s="103">
        <f>+F515+G515+H515</f>
        <v>1548534.43</v>
      </c>
      <c r="J515" s="103">
        <v>0</v>
      </c>
      <c r="K515" s="103">
        <f>SUM('[3]chd5-SAOB'!AR224)</f>
        <v>1548534.4300000002</v>
      </c>
      <c r="L515" s="103">
        <f>SUM('[3]chd5-SAOB'!AR317)</f>
        <v>0</v>
      </c>
      <c r="M515" s="103">
        <f>+J515+K515+L515</f>
        <v>1548534.4300000002</v>
      </c>
      <c r="N515" s="103">
        <f t="shared" si="197"/>
        <v>0</v>
      </c>
      <c r="O515" s="103">
        <f t="shared" si="197"/>
        <v>0</v>
      </c>
      <c r="P515" s="103">
        <f t="shared" si="197"/>
        <v>0</v>
      </c>
      <c r="Q515" s="103">
        <f>+N515+O515+P515</f>
        <v>0</v>
      </c>
      <c r="S515" s="267" t="str">
        <f t="shared" si="183"/>
        <v/>
      </c>
      <c r="T515" s="267">
        <f t="shared" si="183"/>
        <v>1.0000000000000002</v>
      </c>
      <c r="U515" s="267" t="str">
        <f t="shared" si="183"/>
        <v/>
      </c>
      <c r="V515" s="267">
        <f t="shared" si="183"/>
        <v>1.0000000000000002</v>
      </c>
      <c r="W515" s="530"/>
      <c r="X515" s="236"/>
      <c r="Y515" s="236" t="s">
        <v>598</v>
      </c>
      <c r="Z515" s="236"/>
    </row>
    <row r="516" spans="1:26" s="259" customFormat="1" ht="12" customHeight="1">
      <c r="A516" s="315" t="s">
        <v>165</v>
      </c>
      <c r="B516" s="315" t="s">
        <v>169</v>
      </c>
      <c r="C516" s="1096"/>
      <c r="D516" s="466"/>
      <c r="E516" s="1097" t="s">
        <v>4</v>
      </c>
      <c r="F516" s="652">
        <f>+F514+F512</f>
        <v>0</v>
      </c>
      <c r="G516" s="652">
        <f t="shared" ref="G516:Q516" si="198">+G514+G512</f>
        <v>5240503.4399999995</v>
      </c>
      <c r="H516" s="652">
        <f t="shared" si="198"/>
        <v>0</v>
      </c>
      <c r="I516" s="652">
        <f t="shared" si="198"/>
        <v>5240503.4399999995</v>
      </c>
      <c r="J516" s="652">
        <f t="shared" si="198"/>
        <v>0</v>
      </c>
      <c r="K516" s="652">
        <f t="shared" si="198"/>
        <v>5240503.4399999995</v>
      </c>
      <c r="L516" s="652">
        <f t="shared" si="198"/>
        <v>0</v>
      </c>
      <c r="M516" s="652">
        <f t="shared" si="198"/>
        <v>5240503.4399999995</v>
      </c>
      <c r="N516" s="652">
        <f t="shared" si="198"/>
        <v>0</v>
      </c>
      <c r="O516" s="652">
        <f t="shared" si="198"/>
        <v>0</v>
      </c>
      <c r="P516" s="652">
        <f t="shared" si="198"/>
        <v>0</v>
      </c>
      <c r="Q516" s="652">
        <f t="shared" si="198"/>
        <v>0</v>
      </c>
      <c r="R516" s="1095">
        <f>+Q516-'[3]chd5-SAOB'!BP353</f>
        <v>0</v>
      </c>
      <c r="S516" s="524" t="str">
        <f t="shared" si="183"/>
        <v/>
      </c>
      <c r="T516" s="524">
        <f t="shared" si="183"/>
        <v>1</v>
      </c>
      <c r="U516" s="524" t="str">
        <f t="shared" si="183"/>
        <v/>
      </c>
      <c r="V516" s="524">
        <f t="shared" si="183"/>
        <v>1</v>
      </c>
      <c r="W516" s="344"/>
      <c r="X516" s="520"/>
      <c r="Y516" s="837" t="s">
        <v>598</v>
      </c>
      <c r="Z516" s="241" t="s">
        <v>598</v>
      </c>
    </row>
    <row r="517" spans="1:26" s="660" customFormat="1" ht="12" hidden="1" customHeight="1">
      <c r="A517" s="315" t="s">
        <v>165</v>
      </c>
      <c r="B517" s="315" t="s">
        <v>308</v>
      </c>
      <c r="C517" s="1467" t="s">
        <v>623</v>
      </c>
      <c r="D517" s="1468"/>
      <c r="E517" s="1469"/>
      <c r="F517" s="659">
        <f>+F494+F505+F516</f>
        <v>0</v>
      </c>
      <c r="G517" s="659">
        <f>+G494+G505+G516</f>
        <v>42482357.769999996</v>
      </c>
      <c r="H517" s="659">
        <f>+H494+H505+H516</f>
        <v>27000000</v>
      </c>
      <c r="I517" s="659">
        <f t="shared" si="191"/>
        <v>69482357.769999996</v>
      </c>
      <c r="J517" s="659">
        <v>0</v>
      </c>
      <c r="K517" s="659">
        <f>+K494+K505+K516</f>
        <v>41037195.129999995</v>
      </c>
      <c r="L517" s="659">
        <f>+L494+L505+L516</f>
        <v>24900000</v>
      </c>
      <c r="M517" s="659">
        <f t="shared" si="181"/>
        <v>65937195.129999995</v>
      </c>
      <c r="N517" s="659">
        <f t="shared" si="192"/>
        <v>0</v>
      </c>
      <c r="O517" s="659">
        <f t="shared" si="192"/>
        <v>1445162.6400000006</v>
      </c>
      <c r="P517" s="659">
        <f t="shared" si="192"/>
        <v>2100000</v>
      </c>
      <c r="Q517" s="659">
        <f t="shared" si="182"/>
        <v>3545162.6400000006</v>
      </c>
      <c r="R517" s="1098"/>
      <c r="S517" s="661" t="str">
        <f t="shared" si="183"/>
        <v/>
      </c>
      <c r="T517" s="661">
        <f t="shared" si="183"/>
        <v>0.96598205194202902</v>
      </c>
      <c r="U517" s="661">
        <f t="shared" si="183"/>
        <v>0.92222222222222228</v>
      </c>
      <c r="V517" s="661">
        <f t="shared" si="183"/>
        <v>0.94897751380666773</v>
      </c>
      <c r="W517" s="295"/>
      <c r="X517" s="520"/>
      <c r="Y517" s="837"/>
      <c r="Z517" s="241"/>
    </row>
    <row r="518" spans="1:26" ht="12" hidden="1" customHeight="1">
      <c r="A518" s="315" t="s">
        <v>165</v>
      </c>
      <c r="B518" s="315" t="s">
        <v>308</v>
      </c>
      <c r="C518" s="469"/>
      <c r="D518" s="470"/>
      <c r="E518" s="471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S518" s="267" t="str">
        <f t="shared" si="183"/>
        <v/>
      </c>
      <c r="T518" s="267" t="str">
        <f t="shared" si="183"/>
        <v/>
      </c>
      <c r="U518" s="267" t="str">
        <f t="shared" si="183"/>
        <v/>
      </c>
      <c r="V518" s="267" t="str">
        <f t="shared" si="183"/>
        <v/>
      </c>
      <c r="W518" s="267"/>
      <c r="X518" s="237" t="s">
        <v>598</v>
      </c>
    </row>
    <row r="519" spans="1:26" s="275" customFormat="1" ht="12.75" hidden="1" customHeight="1">
      <c r="A519" s="315" t="s">
        <v>624</v>
      </c>
      <c r="B519" s="315" t="s">
        <v>308</v>
      </c>
      <c r="C519" s="464" t="s">
        <v>812</v>
      </c>
      <c r="D519" s="464"/>
      <c r="E519" s="472"/>
      <c r="F519" s="409"/>
      <c r="G519" s="409"/>
      <c r="H519" s="409"/>
      <c r="I519" s="409">
        <f t="shared" si="191"/>
        <v>0</v>
      </c>
      <c r="J519" s="409">
        <v>0</v>
      </c>
      <c r="K519" s="409"/>
      <c r="L519" s="409"/>
      <c r="M519" s="409">
        <f t="shared" si="181"/>
        <v>0</v>
      </c>
      <c r="N519" s="409">
        <f t="shared" si="192"/>
        <v>0</v>
      </c>
      <c r="O519" s="409">
        <f t="shared" si="192"/>
        <v>0</v>
      </c>
      <c r="P519" s="409">
        <f t="shared" si="192"/>
        <v>0</v>
      </c>
      <c r="Q519" s="409">
        <f t="shared" si="182"/>
        <v>0</v>
      </c>
      <c r="R519" s="761"/>
      <c r="S519" s="267" t="str">
        <f t="shared" si="183"/>
        <v/>
      </c>
      <c r="T519" s="267" t="str">
        <f t="shared" si="183"/>
        <v/>
      </c>
      <c r="U519" s="267" t="str">
        <f t="shared" si="183"/>
        <v/>
      </c>
      <c r="V519" s="267" t="str">
        <f t="shared" si="183"/>
        <v/>
      </c>
      <c r="W519" s="251"/>
      <c r="X519" s="237" t="s">
        <v>598</v>
      </c>
      <c r="Y519" s="839"/>
      <c r="Z519" s="253"/>
    </row>
    <row r="520" spans="1:26" ht="12" hidden="1" customHeight="1">
      <c r="A520" s="315" t="s">
        <v>624</v>
      </c>
      <c r="B520" s="315" t="s">
        <v>308</v>
      </c>
      <c r="C520" s="447" t="s">
        <v>766</v>
      </c>
      <c r="D520" s="456" t="s">
        <v>98</v>
      </c>
      <c r="E520" s="447" t="s">
        <v>766</v>
      </c>
      <c r="F520" s="103">
        <f>+F471+F486+F497+F508</f>
        <v>0</v>
      </c>
      <c r="G520" s="103">
        <f>+G471+G486+G497+G508</f>
        <v>250000</v>
      </c>
      <c r="H520" s="103">
        <f>+H471+H486+H497+H508</f>
        <v>0</v>
      </c>
      <c r="I520" s="103">
        <f t="shared" si="191"/>
        <v>250000</v>
      </c>
      <c r="J520" s="103">
        <v>0</v>
      </c>
      <c r="K520" s="103">
        <f>+K471+K486+K497+K508</f>
        <v>250000</v>
      </c>
      <c r="L520" s="103">
        <f>+L471+L486+L497+L508</f>
        <v>0</v>
      </c>
      <c r="M520" s="103">
        <f t="shared" si="181"/>
        <v>250000</v>
      </c>
      <c r="N520" s="103">
        <f t="shared" si="192"/>
        <v>0</v>
      </c>
      <c r="O520" s="103">
        <f t="shared" si="192"/>
        <v>0</v>
      </c>
      <c r="P520" s="103">
        <f t="shared" si="192"/>
        <v>0</v>
      </c>
      <c r="Q520" s="103">
        <f t="shared" si="182"/>
        <v>0</v>
      </c>
      <c r="S520" s="267" t="str">
        <f t="shared" si="183"/>
        <v/>
      </c>
      <c r="T520" s="267">
        <f t="shared" si="183"/>
        <v>1</v>
      </c>
      <c r="U520" s="267" t="str">
        <f t="shared" si="183"/>
        <v/>
      </c>
      <c r="V520" s="267">
        <f t="shared" si="183"/>
        <v>1</v>
      </c>
      <c r="W520" s="267"/>
      <c r="X520" s="237" t="s">
        <v>598</v>
      </c>
    </row>
    <row r="521" spans="1:26" ht="12" hidden="1" customHeight="1">
      <c r="A521" s="315" t="s">
        <v>624</v>
      </c>
      <c r="B521" s="315" t="s">
        <v>308</v>
      </c>
      <c r="C521" s="456"/>
      <c r="D521" s="456" t="s">
        <v>98</v>
      </c>
      <c r="E521" s="453" t="s">
        <v>50</v>
      </c>
      <c r="F521" s="103">
        <f>+F522+F523</f>
        <v>0</v>
      </c>
      <c r="G521" s="103">
        <f>+G522+G523</f>
        <v>55659115.719999999</v>
      </c>
      <c r="H521" s="103">
        <f>+H522+H523</f>
        <v>31746503.66</v>
      </c>
      <c r="I521" s="103">
        <f t="shared" si="191"/>
        <v>87405619.379999995</v>
      </c>
      <c r="J521" s="103">
        <f>+J522+J523</f>
        <v>0</v>
      </c>
      <c r="K521" s="103">
        <f>+K522+K523</f>
        <v>52485054.689999998</v>
      </c>
      <c r="L521" s="103">
        <f>+L522+L523</f>
        <v>21413812.789999999</v>
      </c>
      <c r="M521" s="103">
        <f t="shared" si="181"/>
        <v>73898867.479999989</v>
      </c>
      <c r="N521" s="103">
        <f t="shared" si="192"/>
        <v>0</v>
      </c>
      <c r="O521" s="103">
        <f t="shared" si="192"/>
        <v>3174061.0300000012</v>
      </c>
      <c r="P521" s="103">
        <f t="shared" si="192"/>
        <v>10332690.870000001</v>
      </c>
      <c r="Q521" s="103">
        <f t="shared" si="182"/>
        <v>13506751.900000002</v>
      </c>
      <c r="S521" s="267" t="str">
        <f t="shared" si="183"/>
        <v/>
      </c>
      <c r="T521" s="267">
        <f t="shared" si="183"/>
        <v>0.94297320413842889</v>
      </c>
      <c r="U521" s="267">
        <f t="shared" si="183"/>
        <v>0.67452507587413479</v>
      </c>
      <c r="V521" s="267">
        <f t="shared" si="183"/>
        <v>0.84547044004941174</v>
      </c>
      <c r="W521" s="267"/>
      <c r="X521" s="237" t="s">
        <v>598</v>
      </c>
    </row>
    <row r="522" spans="1:26" ht="12" hidden="1" customHeight="1">
      <c r="A522" s="315" t="s">
        <v>624</v>
      </c>
      <c r="B522" s="315" t="s">
        <v>308</v>
      </c>
      <c r="C522" s="458" t="s">
        <v>715</v>
      </c>
      <c r="D522" s="458" t="s">
        <v>715</v>
      </c>
      <c r="E522" s="447" t="s">
        <v>715</v>
      </c>
      <c r="F522" s="103">
        <f t="shared" ref="F522:H523" si="199">+F488+F476+F499+F510</f>
        <v>0</v>
      </c>
      <c r="G522" s="103">
        <f t="shared" si="199"/>
        <v>-3394570.75</v>
      </c>
      <c r="H522" s="103">
        <f t="shared" si="199"/>
        <v>25022000</v>
      </c>
      <c r="I522" s="103">
        <f t="shared" si="191"/>
        <v>21627429.25</v>
      </c>
      <c r="J522" s="103">
        <f t="shared" ref="J522:L523" si="200">+J488+J476+J499+J510</f>
        <v>0</v>
      </c>
      <c r="K522" s="103">
        <f t="shared" si="200"/>
        <v>0</v>
      </c>
      <c r="L522" s="103">
        <f t="shared" si="200"/>
        <v>16695905.199999999</v>
      </c>
      <c r="M522" s="103">
        <f t="shared" si="181"/>
        <v>16695905.199999999</v>
      </c>
      <c r="N522" s="103">
        <f t="shared" si="192"/>
        <v>0</v>
      </c>
      <c r="O522" s="103">
        <f t="shared" si="192"/>
        <v>-3394570.75</v>
      </c>
      <c r="P522" s="103">
        <f t="shared" si="192"/>
        <v>8326094.8000000007</v>
      </c>
      <c r="Q522" s="103">
        <f t="shared" si="182"/>
        <v>4931524.0500000007</v>
      </c>
      <c r="S522" s="267" t="str">
        <f t="shared" si="183"/>
        <v/>
      </c>
      <c r="T522" s="267">
        <f t="shared" si="183"/>
        <v>0</v>
      </c>
      <c r="U522" s="267">
        <f t="shared" si="183"/>
        <v>0.66724902885460791</v>
      </c>
      <c r="V522" s="267">
        <f t="shared" si="183"/>
        <v>0.7719782599681837</v>
      </c>
      <c r="W522" s="267"/>
      <c r="X522" s="237" t="s">
        <v>598</v>
      </c>
    </row>
    <row r="523" spans="1:26" ht="12" hidden="1" customHeight="1">
      <c r="A523" s="315" t="s">
        <v>624</v>
      </c>
      <c r="B523" s="315" t="s">
        <v>308</v>
      </c>
      <c r="C523" s="458" t="s">
        <v>716</v>
      </c>
      <c r="D523" s="458" t="s">
        <v>716</v>
      </c>
      <c r="E523" s="459" t="s">
        <v>716</v>
      </c>
      <c r="F523" s="103">
        <f t="shared" si="199"/>
        <v>0</v>
      </c>
      <c r="G523" s="103">
        <f t="shared" si="199"/>
        <v>59053686.469999999</v>
      </c>
      <c r="H523" s="103">
        <f t="shared" si="199"/>
        <v>6724503.6600000001</v>
      </c>
      <c r="I523" s="103">
        <f t="shared" si="191"/>
        <v>65778190.129999995</v>
      </c>
      <c r="J523" s="103">
        <f t="shared" si="200"/>
        <v>0</v>
      </c>
      <c r="K523" s="103">
        <f t="shared" si="200"/>
        <v>52485054.689999998</v>
      </c>
      <c r="L523" s="103">
        <f t="shared" si="200"/>
        <v>4717907.59</v>
      </c>
      <c r="M523" s="103">
        <f t="shared" si="181"/>
        <v>57202962.280000001</v>
      </c>
      <c r="N523" s="103">
        <f t="shared" si="192"/>
        <v>0</v>
      </c>
      <c r="O523" s="103">
        <f t="shared" si="192"/>
        <v>6568631.7800000012</v>
      </c>
      <c r="P523" s="103">
        <f t="shared" si="192"/>
        <v>2006596.0700000003</v>
      </c>
      <c r="Q523" s="103">
        <f t="shared" si="182"/>
        <v>8575227.8500000015</v>
      </c>
      <c r="S523" s="267" t="str">
        <f t="shared" si="183"/>
        <v/>
      </c>
      <c r="T523" s="267">
        <f t="shared" si="183"/>
        <v>0.88876847200154141</v>
      </c>
      <c r="U523" s="267">
        <f t="shared" si="183"/>
        <v>0.70159937871161782</v>
      </c>
      <c r="V523" s="267">
        <f t="shared" si="183"/>
        <v>0.86963417763467743</v>
      </c>
      <c r="W523" s="267"/>
      <c r="X523" s="237" t="s">
        <v>598</v>
      </c>
    </row>
    <row r="524" spans="1:26" s="256" customFormat="1" ht="12" hidden="1" customHeight="1">
      <c r="A524" s="315"/>
      <c r="B524" s="315" t="s">
        <v>308</v>
      </c>
      <c r="C524" s="460"/>
      <c r="D524" s="460"/>
      <c r="E524" s="390" t="s">
        <v>767</v>
      </c>
      <c r="F524" s="391">
        <f>+F521+F520</f>
        <v>0</v>
      </c>
      <c r="G524" s="391">
        <f t="shared" ref="G524:Q524" si="201">+G521+G520</f>
        <v>55909115.719999999</v>
      </c>
      <c r="H524" s="391">
        <f t="shared" si="201"/>
        <v>31746503.66</v>
      </c>
      <c r="I524" s="391">
        <f t="shared" si="201"/>
        <v>87655619.379999995</v>
      </c>
      <c r="J524" s="391">
        <f t="shared" si="201"/>
        <v>0</v>
      </c>
      <c r="K524" s="391">
        <f t="shared" si="201"/>
        <v>52735054.689999998</v>
      </c>
      <c r="L524" s="391">
        <f t="shared" si="201"/>
        <v>21413812.789999999</v>
      </c>
      <c r="M524" s="391">
        <f t="shared" si="201"/>
        <v>74148867.479999989</v>
      </c>
      <c r="N524" s="391">
        <f t="shared" si="201"/>
        <v>0</v>
      </c>
      <c r="O524" s="391">
        <f t="shared" si="201"/>
        <v>3174061.0300000012</v>
      </c>
      <c r="P524" s="391">
        <f t="shared" si="201"/>
        <v>10332690.870000001</v>
      </c>
      <c r="Q524" s="391">
        <f t="shared" si="201"/>
        <v>13506751.900000002</v>
      </c>
      <c r="R524" s="761"/>
      <c r="S524" s="267" t="str">
        <f t="shared" si="183"/>
        <v/>
      </c>
      <c r="T524" s="267">
        <f t="shared" si="183"/>
        <v>0.94322820189294165</v>
      </c>
      <c r="U524" s="267">
        <f t="shared" si="183"/>
        <v>0.67452507587413479</v>
      </c>
      <c r="V524" s="267">
        <f t="shared" si="183"/>
        <v>0.84591116923780718</v>
      </c>
      <c r="W524" s="263"/>
      <c r="X524" s="237" t="s">
        <v>598</v>
      </c>
      <c r="Y524" s="840"/>
      <c r="Z524" s="241"/>
    </row>
    <row r="525" spans="1:26" ht="12" hidden="1" customHeight="1">
      <c r="A525" s="315"/>
      <c r="B525" s="315"/>
      <c r="C525" s="456"/>
      <c r="D525" s="456"/>
      <c r="E525" s="461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S525" s="267" t="str">
        <f t="shared" si="183"/>
        <v/>
      </c>
      <c r="T525" s="267" t="str">
        <f t="shared" si="183"/>
        <v/>
      </c>
      <c r="U525" s="267" t="str">
        <f t="shared" si="183"/>
        <v/>
      </c>
      <c r="V525" s="267" t="str">
        <f t="shared" si="183"/>
        <v/>
      </c>
      <c r="W525" s="267"/>
      <c r="X525" s="237" t="s">
        <v>598</v>
      </c>
    </row>
    <row r="526" spans="1:26" s="256" customFormat="1" ht="12" hidden="1" customHeight="1">
      <c r="A526" s="315" t="s">
        <v>624</v>
      </c>
      <c r="B526" s="315" t="s">
        <v>308</v>
      </c>
      <c r="C526" s="460"/>
      <c r="D526" s="460" t="s">
        <v>98</v>
      </c>
      <c r="E526" s="390" t="s">
        <v>100</v>
      </c>
      <c r="F526" s="391">
        <f>SUM(F527:F527)</f>
        <v>0</v>
      </c>
      <c r="G526" s="391">
        <f>SUM(G527:G527)</f>
        <v>28059118.409999996</v>
      </c>
      <c r="H526" s="391">
        <f>SUM(H527:H527)</f>
        <v>12000000</v>
      </c>
      <c r="I526" s="391">
        <f>+F526+G526+H526</f>
        <v>40059118.409999996</v>
      </c>
      <c r="J526" s="391">
        <v>0</v>
      </c>
      <c r="K526" s="391">
        <f>SUM(K527:K527)</f>
        <v>27344454.359999999</v>
      </c>
      <c r="L526" s="391">
        <f>SUM(L527:L527)</f>
        <v>11920000</v>
      </c>
      <c r="M526" s="391">
        <f>+J526+K526+L526</f>
        <v>39264454.359999999</v>
      </c>
      <c r="N526" s="391">
        <f t="shared" ref="N526:P527" si="202">+F526-J526</f>
        <v>0</v>
      </c>
      <c r="O526" s="391">
        <f t="shared" si="202"/>
        <v>714664.04999999702</v>
      </c>
      <c r="P526" s="391">
        <f t="shared" si="202"/>
        <v>80000</v>
      </c>
      <c r="Q526" s="391">
        <f>+N526+O526+P526</f>
        <v>794664.04999999702</v>
      </c>
      <c r="R526" s="761"/>
      <c r="S526" s="267" t="str">
        <f t="shared" si="183"/>
        <v/>
      </c>
      <c r="T526" s="267">
        <f t="shared" si="183"/>
        <v>0.97453006044034163</v>
      </c>
      <c r="U526" s="267">
        <f t="shared" si="183"/>
        <v>0.99333333333333329</v>
      </c>
      <c r="V526" s="267">
        <f t="shared" si="183"/>
        <v>0.98016271746505479</v>
      </c>
      <c r="W526" s="263"/>
      <c r="X526" s="237" t="s">
        <v>598</v>
      </c>
      <c r="Y526" s="840"/>
      <c r="Z526" s="241"/>
    </row>
    <row r="527" spans="1:26" ht="12" hidden="1" customHeight="1">
      <c r="A527" s="315" t="s">
        <v>624</v>
      </c>
      <c r="B527" s="315" t="s">
        <v>308</v>
      </c>
      <c r="C527" s="456"/>
      <c r="D527" s="456"/>
      <c r="E527" s="462" t="s">
        <v>290</v>
      </c>
      <c r="F527" s="103">
        <f>+F493+F481+F504+F515</f>
        <v>0</v>
      </c>
      <c r="G527" s="103">
        <f>+G493+G481+G504+G515</f>
        <v>28059118.409999996</v>
      </c>
      <c r="H527" s="103">
        <f>+H493+H481+H504+H515</f>
        <v>12000000</v>
      </c>
      <c r="I527" s="103">
        <f>+F527+G527+H527</f>
        <v>40059118.409999996</v>
      </c>
      <c r="J527" s="103">
        <f>+J493+J481+J504+J515</f>
        <v>0</v>
      </c>
      <c r="K527" s="103">
        <f>+K493+K481+K504+K515</f>
        <v>27344454.359999999</v>
      </c>
      <c r="L527" s="103">
        <f>+L493+L481+L504+L515</f>
        <v>11920000</v>
      </c>
      <c r="M527" s="103">
        <f>+J527+K527+L527</f>
        <v>39264454.359999999</v>
      </c>
      <c r="N527" s="103">
        <f t="shared" si="202"/>
        <v>0</v>
      </c>
      <c r="O527" s="103">
        <f t="shared" si="202"/>
        <v>714664.04999999702</v>
      </c>
      <c r="P527" s="103">
        <f t="shared" si="202"/>
        <v>80000</v>
      </c>
      <c r="Q527" s="103">
        <f>+N527+O527+P527</f>
        <v>794664.04999999702</v>
      </c>
      <c r="S527" s="267" t="str">
        <f t="shared" si="183"/>
        <v/>
      </c>
      <c r="T527" s="267">
        <f t="shared" si="183"/>
        <v>0.97453006044034163</v>
      </c>
      <c r="U527" s="267">
        <f t="shared" si="183"/>
        <v>0.99333333333333329</v>
      </c>
      <c r="V527" s="267">
        <f t="shared" si="183"/>
        <v>0.98016271746505479</v>
      </c>
      <c r="W527" s="267"/>
      <c r="X527" s="237" t="s">
        <v>598</v>
      </c>
    </row>
    <row r="528" spans="1:26" s="266" customFormat="1" ht="18.75" customHeight="1">
      <c r="A528" s="315" t="s">
        <v>624</v>
      </c>
      <c r="B528" s="315" t="s">
        <v>308</v>
      </c>
      <c r="C528" s="1470" t="s">
        <v>626</v>
      </c>
      <c r="D528" s="1471"/>
      <c r="E528" s="1472"/>
      <c r="F528" s="666">
        <f>+F526+F524</f>
        <v>0</v>
      </c>
      <c r="G528" s="666">
        <f t="shared" ref="G528:Q528" si="203">+G526+G524</f>
        <v>83968234.129999995</v>
      </c>
      <c r="H528" s="666">
        <f t="shared" si="203"/>
        <v>43746503.659999996</v>
      </c>
      <c r="I528" s="666">
        <f t="shared" si="203"/>
        <v>127714737.78999999</v>
      </c>
      <c r="J528" s="666">
        <f t="shared" si="203"/>
        <v>0</v>
      </c>
      <c r="K528" s="666">
        <f t="shared" si="203"/>
        <v>80079509.049999997</v>
      </c>
      <c r="L528" s="666">
        <f t="shared" si="203"/>
        <v>33333812.789999999</v>
      </c>
      <c r="M528" s="666">
        <f t="shared" si="203"/>
        <v>113413321.83999999</v>
      </c>
      <c r="N528" s="666">
        <f t="shared" si="203"/>
        <v>0</v>
      </c>
      <c r="O528" s="666">
        <f t="shared" si="203"/>
        <v>3888725.0799999982</v>
      </c>
      <c r="P528" s="666">
        <f t="shared" si="203"/>
        <v>10412690.870000001</v>
      </c>
      <c r="Q528" s="666">
        <f t="shared" si="203"/>
        <v>14301415.949999999</v>
      </c>
      <c r="R528" s="1099">
        <f>+Q528-'[3]chd5-SAOB'!BQ353</f>
        <v>0</v>
      </c>
      <c r="S528" s="525" t="str">
        <f t="shared" si="183"/>
        <v/>
      </c>
      <c r="T528" s="525">
        <f t="shared" si="183"/>
        <v>0.95368814027957938</v>
      </c>
      <c r="U528" s="525">
        <f t="shared" si="183"/>
        <v>0.76197661529872307</v>
      </c>
      <c r="V528" s="525">
        <f t="shared" si="183"/>
        <v>0.888020629431854</v>
      </c>
      <c r="W528" s="345"/>
      <c r="X528" s="237" t="s">
        <v>598</v>
      </c>
      <c r="Y528" s="837" t="s">
        <v>598</v>
      </c>
      <c r="Z528" s="241" t="s">
        <v>598</v>
      </c>
    </row>
    <row r="529" spans="1:26" ht="12" customHeight="1">
      <c r="A529" s="315" t="s">
        <v>624</v>
      </c>
      <c r="B529" s="315" t="s">
        <v>308</v>
      </c>
      <c r="C529" s="456"/>
      <c r="D529" s="456"/>
      <c r="E529" s="411"/>
      <c r="F529" s="104"/>
      <c r="G529" s="104"/>
      <c r="H529" s="104"/>
      <c r="I529" s="103"/>
      <c r="J529" s="103"/>
      <c r="K529" s="104"/>
      <c r="L529" s="104"/>
      <c r="M529" s="103"/>
      <c r="N529" s="103"/>
      <c r="O529" s="103"/>
      <c r="P529" s="103"/>
      <c r="Q529" s="103"/>
      <c r="S529" s="267" t="str">
        <f t="shared" si="183"/>
        <v/>
      </c>
      <c r="T529" s="267" t="str">
        <f t="shared" si="183"/>
        <v/>
      </c>
      <c r="U529" s="267" t="str">
        <f t="shared" si="183"/>
        <v/>
      </c>
      <c r="V529" s="267" t="str">
        <f t="shared" si="183"/>
        <v/>
      </c>
      <c r="W529" s="267"/>
      <c r="Y529" s="837" t="s">
        <v>598</v>
      </c>
      <c r="Z529" s="241" t="s">
        <v>598</v>
      </c>
    </row>
    <row r="530" spans="1:26" ht="11.25" customHeight="1">
      <c r="A530" s="528" t="s">
        <v>628</v>
      </c>
      <c r="B530" s="528" t="s">
        <v>171</v>
      </c>
      <c r="C530" s="408"/>
      <c r="D530" s="529"/>
      <c r="E530" s="408" t="s">
        <v>171</v>
      </c>
      <c r="F530" s="104"/>
      <c r="G530" s="104"/>
      <c r="H530" s="104"/>
      <c r="I530" s="103">
        <f>SUM(F530:H530)</f>
        <v>0</v>
      </c>
      <c r="J530" s="104"/>
      <c r="K530" s="104"/>
      <c r="L530" s="104"/>
      <c r="M530" s="103">
        <f>SUM(J530:L530)</f>
        <v>0</v>
      </c>
      <c r="N530" s="103">
        <f t="shared" si="192"/>
        <v>0</v>
      </c>
      <c r="O530" s="103">
        <f t="shared" si="192"/>
        <v>0</v>
      </c>
      <c r="P530" s="103">
        <f t="shared" si="192"/>
        <v>0</v>
      </c>
      <c r="Q530" s="103">
        <f>SUM(N530:P530)</f>
        <v>0</v>
      </c>
      <c r="S530" s="267" t="str">
        <f t="shared" si="183"/>
        <v/>
      </c>
      <c r="T530" s="267" t="str">
        <f t="shared" si="183"/>
        <v/>
      </c>
      <c r="U530" s="267" t="str">
        <f t="shared" si="183"/>
        <v/>
      </c>
      <c r="V530" s="267" t="str">
        <f t="shared" si="183"/>
        <v/>
      </c>
      <c r="W530" s="531"/>
      <c r="X530" s="236"/>
      <c r="Y530" s="236" t="s">
        <v>598</v>
      </c>
      <c r="Z530" s="240" t="s">
        <v>598</v>
      </c>
    </row>
    <row r="531" spans="1:26" ht="12" customHeight="1">
      <c r="A531" s="548" t="s">
        <v>170</v>
      </c>
      <c r="B531" s="548" t="s">
        <v>171</v>
      </c>
      <c r="C531" s="447" t="s">
        <v>766</v>
      </c>
      <c r="D531" s="549"/>
      <c r="E531" s="447" t="s">
        <v>766</v>
      </c>
      <c r="F531" s="104">
        <f>'[3]chd6-SAOB'!C442</f>
        <v>0</v>
      </c>
      <c r="G531" s="104">
        <f>'[3]chd6-SAOB'!D442</f>
        <v>16958861.049999997</v>
      </c>
      <c r="H531" s="104">
        <f>'[3]chd6-SAOB'!E442</f>
        <v>0</v>
      </c>
      <c r="I531" s="103">
        <f t="shared" si="191"/>
        <v>16958861.049999997</v>
      </c>
      <c r="J531" s="103">
        <v>0</v>
      </c>
      <c r="K531" s="104">
        <f>'[3]chd6-SAOB'!H442</f>
        <v>2399970.8599999994</v>
      </c>
      <c r="L531" s="104">
        <f>'[3]chd6-SAOB'!I442</f>
        <v>0</v>
      </c>
      <c r="M531" s="103">
        <f t="shared" si="181"/>
        <v>2399970.8599999994</v>
      </c>
      <c r="N531" s="103">
        <f t="shared" si="192"/>
        <v>0</v>
      </c>
      <c r="O531" s="103">
        <f t="shared" si="192"/>
        <v>14558890.189999998</v>
      </c>
      <c r="P531" s="103">
        <f t="shared" si="192"/>
        <v>0</v>
      </c>
      <c r="Q531" s="103">
        <f t="shared" si="182"/>
        <v>14558890.189999998</v>
      </c>
      <c r="S531" s="267" t="str">
        <f t="shared" si="183"/>
        <v/>
      </c>
      <c r="T531" s="267">
        <f t="shared" si="183"/>
        <v>0.14151721940076864</v>
      </c>
      <c r="U531" s="267" t="str">
        <f t="shared" si="183"/>
        <v/>
      </c>
      <c r="V531" s="267">
        <f t="shared" si="183"/>
        <v>0.14151721940076864</v>
      </c>
      <c r="W531" s="530"/>
      <c r="X531" s="236"/>
      <c r="Y531" s="236" t="s">
        <v>688</v>
      </c>
      <c r="Z531" s="236"/>
    </row>
    <row r="532" spans="1:26" ht="12" hidden="1" customHeight="1">
      <c r="A532" s="548" t="s">
        <v>170</v>
      </c>
      <c r="B532" s="548" t="s">
        <v>171</v>
      </c>
      <c r="C532" s="457" t="s">
        <v>775</v>
      </c>
      <c r="D532" s="549" t="s">
        <v>98</v>
      </c>
      <c r="E532" s="406" t="s">
        <v>775</v>
      </c>
      <c r="F532" s="103">
        <v>0</v>
      </c>
      <c r="G532" s="103">
        <f>+'[3]chd6-SAOB'!C224</f>
        <v>1026280.0999999959</v>
      </c>
      <c r="H532" s="103">
        <f>+'[3]chd6-SAOB'!C316</f>
        <v>0</v>
      </c>
      <c r="I532" s="103">
        <f t="shared" si="191"/>
        <v>1026280.0999999959</v>
      </c>
      <c r="J532" s="103">
        <v>0</v>
      </c>
      <c r="K532" s="103">
        <f>+'[3]chd6-SAOB'!C225</f>
        <v>866023.9</v>
      </c>
      <c r="L532" s="103">
        <f>+'[3]chd6-SAOB'!C317</f>
        <v>0</v>
      </c>
      <c r="M532" s="103">
        <f t="shared" si="181"/>
        <v>866023.9</v>
      </c>
      <c r="N532" s="103">
        <f t="shared" si="192"/>
        <v>0</v>
      </c>
      <c r="O532" s="103">
        <f t="shared" si="192"/>
        <v>160256.19999999588</v>
      </c>
      <c r="P532" s="103">
        <f t="shared" si="192"/>
        <v>0</v>
      </c>
      <c r="Q532" s="103">
        <f t="shared" si="182"/>
        <v>160256.19999999588</v>
      </c>
      <c r="S532" s="267" t="str">
        <f t="shared" si="183"/>
        <v/>
      </c>
      <c r="T532" s="267">
        <f t="shared" si="183"/>
        <v>0.84384750323035929</v>
      </c>
      <c r="U532" s="267" t="str">
        <f t="shared" si="183"/>
        <v/>
      </c>
      <c r="V532" s="267">
        <f t="shared" si="183"/>
        <v>0.84384750323035929</v>
      </c>
      <c r="W532" s="530"/>
      <c r="X532" s="236"/>
      <c r="Y532" s="236"/>
      <c r="Z532" s="236"/>
    </row>
    <row r="533" spans="1:26" ht="12" hidden="1" customHeight="1">
      <c r="A533" s="548" t="s">
        <v>170</v>
      </c>
      <c r="B533" s="548" t="s">
        <v>171</v>
      </c>
      <c r="C533" s="456"/>
      <c r="D533" s="549" t="s">
        <v>98</v>
      </c>
      <c r="E533" s="406" t="s">
        <v>776</v>
      </c>
      <c r="F533" s="103">
        <v>0</v>
      </c>
      <c r="G533" s="103">
        <f>+'[3]chd6-SAOB'!D224</f>
        <v>1258128.27</v>
      </c>
      <c r="H533" s="103">
        <f>+'[3]chd6-SAOB'!D316</f>
        <v>0</v>
      </c>
      <c r="I533" s="103">
        <f t="shared" si="191"/>
        <v>1258128.27</v>
      </c>
      <c r="J533" s="103">
        <v>0</v>
      </c>
      <c r="K533" s="103">
        <f>+'[3]chd6-SAOB'!D225</f>
        <v>18958.669999999998</v>
      </c>
      <c r="L533" s="103">
        <f>+'[3]chd6-SAOB'!D317</f>
        <v>0</v>
      </c>
      <c r="M533" s="103">
        <f t="shared" si="181"/>
        <v>18958.669999999998</v>
      </c>
      <c r="N533" s="103">
        <f t="shared" si="192"/>
        <v>0</v>
      </c>
      <c r="O533" s="103">
        <f t="shared" si="192"/>
        <v>1239169.6000000001</v>
      </c>
      <c r="P533" s="103">
        <f t="shared" si="192"/>
        <v>0</v>
      </c>
      <c r="Q533" s="103">
        <f t="shared" si="182"/>
        <v>1239169.6000000001</v>
      </c>
      <c r="S533" s="267" t="str">
        <f t="shared" si="183"/>
        <v/>
      </c>
      <c r="T533" s="267">
        <f t="shared" si="183"/>
        <v>1.5068948414933874E-2</v>
      </c>
      <c r="U533" s="267" t="str">
        <f t="shared" si="183"/>
        <v/>
      </c>
      <c r="V533" s="267">
        <f t="shared" si="183"/>
        <v>1.5068948414933874E-2</v>
      </c>
      <c r="W533" s="530"/>
      <c r="X533" s="236"/>
      <c r="Y533" s="236"/>
      <c r="Z533" s="236"/>
    </row>
    <row r="534" spans="1:26" ht="12" hidden="1" customHeight="1">
      <c r="A534" s="548" t="s">
        <v>170</v>
      </c>
      <c r="B534" s="548" t="s">
        <v>171</v>
      </c>
      <c r="C534" s="456"/>
      <c r="D534" s="549" t="s">
        <v>98</v>
      </c>
      <c r="E534" s="406" t="s">
        <v>777</v>
      </c>
      <c r="F534" s="103">
        <v>0</v>
      </c>
      <c r="G534" s="103">
        <f>+'[3]chd6-SAOB'!E224</f>
        <v>14674452.68</v>
      </c>
      <c r="H534" s="103">
        <f>+'[3]chd6-SAOB'!E316</f>
        <v>0</v>
      </c>
      <c r="I534" s="103">
        <f t="shared" si="191"/>
        <v>14674452.68</v>
      </c>
      <c r="J534" s="103">
        <v>0</v>
      </c>
      <c r="K534" s="103">
        <f>+'[3]chd6-SAOB'!E225</f>
        <v>1514988.2899999998</v>
      </c>
      <c r="L534" s="103">
        <f>+'[3]chd6-SAOB'!E317</f>
        <v>0</v>
      </c>
      <c r="M534" s="103">
        <f t="shared" si="181"/>
        <v>1514988.2899999998</v>
      </c>
      <c r="N534" s="103">
        <f t="shared" si="192"/>
        <v>0</v>
      </c>
      <c r="O534" s="103">
        <f t="shared" si="192"/>
        <v>13159464.390000001</v>
      </c>
      <c r="P534" s="103">
        <f t="shared" si="192"/>
        <v>0</v>
      </c>
      <c r="Q534" s="103">
        <f t="shared" si="182"/>
        <v>13159464.390000001</v>
      </c>
      <c r="S534" s="267" t="str">
        <f t="shared" si="183"/>
        <v/>
      </c>
      <c r="T534" s="267">
        <f t="shared" si="183"/>
        <v>0.10323984976044775</v>
      </c>
      <c r="U534" s="267" t="str">
        <f t="shared" si="183"/>
        <v/>
      </c>
      <c r="V534" s="267">
        <f t="shared" si="183"/>
        <v>0.10323984976044775</v>
      </c>
      <c r="W534" s="530"/>
      <c r="X534" s="236"/>
      <c r="Y534" s="236"/>
      <c r="Z534" s="236"/>
    </row>
    <row r="535" spans="1:26" ht="12" customHeight="1">
      <c r="A535" s="548" t="s">
        <v>170</v>
      </c>
      <c r="B535" s="548" t="s">
        <v>171</v>
      </c>
      <c r="C535" s="456"/>
      <c r="D535" s="549"/>
      <c r="E535" s="453" t="s">
        <v>50</v>
      </c>
      <c r="F535" s="103">
        <f>+F536+F537</f>
        <v>0</v>
      </c>
      <c r="G535" s="103">
        <f>+G536+G537</f>
        <v>36905200.020000003</v>
      </c>
      <c r="H535" s="103">
        <f>+H536+H537</f>
        <v>5320082.5599999996</v>
      </c>
      <c r="I535" s="103">
        <f t="shared" si="191"/>
        <v>42225282.580000006</v>
      </c>
      <c r="J535" s="103">
        <f>+J536+J537</f>
        <v>0</v>
      </c>
      <c r="K535" s="103">
        <f>+K536+K537</f>
        <v>20063604.439999998</v>
      </c>
      <c r="L535" s="103">
        <f>+L536+L537</f>
        <v>280210</v>
      </c>
      <c r="M535" s="103">
        <f t="shared" si="181"/>
        <v>20343814.439999998</v>
      </c>
      <c r="N535" s="103">
        <f t="shared" si="192"/>
        <v>0</v>
      </c>
      <c r="O535" s="103">
        <f t="shared" si="192"/>
        <v>16841595.580000006</v>
      </c>
      <c r="P535" s="103">
        <f t="shared" si="192"/>
        <v>5039872.5599999996</v>
      </c>
      <c r="Q535" s="103">
        <f t="shared" si="182"/>
        <v>21881468.140000004</v>
      </c>
      <c r="S535" s="267" t="str">
        <f t="shared" si="183"/>
        <v/>
      </c>
      <c r="T535" s="267">
        <f t="shared" si="183"/>
        <v>0.54365250504337992</v>
      </c>
      <c r="U535" s="267">
        <f t="shared" si="183"/>
        <v>5.2670235252890517E-2</v>
      </c>
      <c r="V535" s="267">
        <f t="shared" ref="V535:V598" si="204">IF(I535=0,"",M535/I535)</f>
        <v>0.481792262762401</v>
      </c>
      <c r="W535" s="530"/>
      <c r="X535" s="236"/>
      <c r="Y535" s="236" t="s">
        <v>688</v>
      </c>
      <c r="Z535" s="236"/>
    </row>
    <row r="536" spans="1:26" ht="12" hidden="1" customHeight="1">
      <c r="A536" s="548" t="s">
        <v>170</v>
      </c>
      <c r="B536" s="548" t="s">
        <v>171</v>
      </c>
      <c r="C536" s="458" t="s">
        <v>715</v>
      </c>
      <c r="D536" s="550" t="s">
        <v>715</v>
      </c>
      <c r="E536" s="447" t="s">
        <v>715</v>
      </c>
      <c r="F536" s="104">
        <f>'[3]CONAP - W INC'!F396</f>
        <v>0</v>
      </c>
      <c r="G536" s="104">
        <f>'[3]CONAP - W INC'!G396</f>
        <v>-2059866.99</v>
      </c>
      <c r="H536" s="104">
        <f>'[3]CONAP - W INC'!H396</f>
        <v>4959400</v>
      </c>
      <c r="I536" s="103">
        <f t="shared" si="191"/>
        <v>2899533.01</v>
      </c>
      <c r="J536" s="103">
        <f>'[3]CONAP - W INC'!J396</f>
        <v>0</v>
      </c>
      <c r="K536" s="104">
        <f>'[3]CONAP - W INC'!K396</f>
        <v>1500000</v>
      </c>
      <c r="L536" s="104">
        <f>'[3]CONAP - W INC'!L396</f>
        <v>62910</v>
      </c>
      <c r="M536" s="103">
        <f t="shared" ref="M536:M549" si="205">+J536+K536+L536</f>
        <v>1562910</v>
      </c>
      <c r="N536" s="103">
        <f t="shared" si="192"/>
        <v>0</v>
      </c>
      <c r="O536" s="103">
        <f t="shared" si="192"/>
        <v>-3559866.99</v>
      </c>
      <c r="P536" s="103">
        <f t="shared" si="192"/>
        <v>4896490</v>
      </c>
      <c r="Q536" s="103">
        <f t="shared" ref="Q536:Q549" si="206">+N536+O536+P536</f>
        <v>1336623.0099999998</v>
      </c>
      <c r="S536" s="267" t="str">
        <f t="shared" ref="S536:V599" si="207">IF(F536=0,"",J536/F536)</f>
        <v/>
      </c>
      <c r="T536" s="267">
        <f t="shared" si="207"/>
        <v>-0.72820235834741931</v>
      </c>
      <c r="U536" s="267">
        <f t="shared" si="207"/>
        <v>1.2685002218010243E-2</v>
      </c>
      <c r="V536" s="267">
        <f t="shared" si="204"/>
        <v>0.53902128191325549</v>
      </c>
      <c r="W536" s="530"/>
      <c r="X536" s="236"/>
      <c r="Y536" s="236"/>
      <c r="Z536" s="236"/>
    </row>
    <row r="537" spans="1:26" ht="12" hidden="1" customHeight="1">
      <c r="A537" s="548" t="s">
        <v>170</v>
      </c>
      <c r="B537" s="548" t="s">
        <v>171</v>
      </c>
      <c r="C537" s="458" t="s">
        <v>716</v>
      </c>
      <c r="D537" s="550" t="s">
        <v>716</v>
      </c>
      <c r="E537" s="459" t="s">
        <v>716</v>
      </c>
      <c r="F537" s="104">
        <f>'[3]CONAP - W INC'!F397</f>
        <v>0</v>
      </c>
      <c r="G537" s="104">
        <f>'[3]CONAP - W INC'!G397</f>
        <v>38965067.010000005</v>
      </c>
      <c r="H537" s="104">
        <f>'[3]CONAP - W INC'!H397</f>
        <v>360682.56</v>
      </c>
      <c r="I537" s="103">
        <f t="shared" si="191"/>
        <v>39325749.570000008</v>
      </c>
      <c r="J537" s="103">
        <f>'[3]CONAP - W INC'!J397</f>
        <v>0</v>
      </c>
      <c r="K537" s="104">
        <f>'[3]CONAP - W INC'!K397</f>
        <v>18563604.439999998</v>
      </c>
      <c r="L537" s="104">
        <f>'[3]CONAP - W INC'!L397</f>
        <v>217300</v>
      </c>
      <c r="M537" s="103">
        <f t="shared" si="205"/>
        <v>18780904.439999998</v>
      </c>
      <c r="N537" s="103">
        <f t="shared" si="192"/>
        <v>0</v>
      </c>
      <c r="O537" s="103">
        <f t="shared" si="192"/>
        <v>20401462.570000008</v>
      </c>
      <c r="P537" s="103">
        <f t="shared" si="192"/>
        <v>143382.56</v>
      </c>
      <c r="Q537" s="103">
        <f t="shared" si="206"/>
        <v>20544845.130000006</v>
      </c>
      <c r="S537" s="267" t="str">
        <f t="shared" si="207"/>
        <v/>
      </c>
      <c r="T537" s="267">
        <f t="shared" si="207"/>
        <v>0.47641659220644555</v>
      </c>
      <c r="U537" s="267">
        <f t="shared" si="207"/>
        <v>0.60246883020903474</v>
      </c>
      <c r="V537" s="267">
        <f t="shared" si="204"/>
        <v>0.47757270097471138</v>
      </c>
      <c r="W537" s="530"/>
      <c r="X537" s="236"/>
      <c r="Y537" s="236"/>
      <c r="Z537" s="236"/>
    </row>
    <row r="538" spans="1:26" s="256" customFormat="1" ht="12" hidden="1" customHeight="1">
      <c r="A538" s="548"/>
      <c r="B538" s="548" t="s">
        <v>171</v>
      </c>
      <c r="C538" s="460"/>
      <c r="D538" s="551"/>
      <c r="E538" s="390" t="s">
        <v>767</v>
      </c>
      <c r="F538" s="391">
        <f>+F535+F531</f>
        <v>0</v>
      </c>
      <c r="G538" s="391">
        <f t="shared" ref="G538:Q538" si="208">+G535+G531</f>
        <v>53864061.07</v>
      </c>
      <c r="H538" s="391">
        <f t="shared" si="208"/>
        <v>5320082.5599999996</v>
      </c>
      <c r="I538" s="391">
        <f t="shared" si="208"/>
        <v>59184143.630000003</v>
      </c>
      <c r="J538" s="391">
        <f t="shared" si="208"/>
        <v>0</v>
      </c>
      <c r="K538" s="391">
        <f t="shared" si="208"/>
        <v>22463575.299999997</v>
      </c>
      <c r="L538" s="391">
        <f t="shared" si="208"/>
        <v>280210</v>
      </c>
      <c r="M538" s="391">
        <f t="shared" si="208"/>
        <v>22743785.299999997</v>
      </c>
      <c r="N538" s="391">
        <f t="shared" si="208"/>
        <v>0</v>
      </c>
      <c r="O538" s="391">
        <f t="shared" si="208"/>
        <v>31400485.770000003</v>
      </c>
      <c r="P538" s="391">
        <f t="shared" si="208"/>
        <v>5039872.5599999996</v>
      </c>
      <c r="Q538" s="391">
        <f t="shared" si="208"/>
        <v>36440358.329999998</v>
      </c>
      <c r="R538" s="761"/>
      <c r="S538" s="267" t="str">
        <f t="shared" si="207"/>
        <v/>
      </c>
      <c r="T538" s="267">
        <f t="shared" si="207"/>
        <v>0.41704199152022825</v>
      </c>
      <c r="U538" s="267">
        <f t="shared" si="207"/>
        <v>5.2670235252890517E-2</v>
      </c>
      <c r="V538" s="267">
        <f t="shared" si="204"/>
        <v>0.38428849190057962</v>
      </c>
      <c r="W538" s="532"/>
      <c r="Y538" s="236"/>
      <c r="Z538" s="240" t="s">
        <v>598</v>
      </c>
    </row>
    <row r="539" spans="1:26" ht="12" hidden="1" customHeight="1">
      <c r="A539" s="548"/>
      <c r="B539" s="548"/>
      <c r="C539" s="456"/>
      <c r="D539" s="549"/>
      <c r="E539" s="461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S539" s="267" t="str">
        <f t="shared" si="207"/>
        <v/>
      </c>
      <c r="T539" s="267" t="str">
        <f t="shared" si="207"/>
        <v/>
      </c>
      <c r="U539" s="267" t="str">
        <f t="shared" si="207"/>
        <v/>
      </c>
      <c r="V539" s="267" t="str">
        <f t="shared" si="204"/>
        <v/>
      </c>
      <c r="W539" s="530"/>
      <c r="X539" s="236"/>
      <c r="Y539" s="236"/>
      <c r="Z539" s="236"/>
    </row>
    <row r="540" spans="1:26" s="256" customFormat="1" ht="12" hidden="1" customHeight="1">
      <c r="A540" s="548" t="s">
        <v>170</v>
      </c>
      <c r="B540" s="548" t="s">
        <v>171</v>
      </c>
      <c r="C540" s="460"/>
      <c r="D540" s="551" t="s">
        <v>98</v>
      </c>
      <c r="E540" s="390" t="s">
        <v>100</v>
      </c>
      <c r="F540" s="391">
        <f>SUM(F541:F541)</f>
        <v>0</v>
      </c>
      <c r="G540" s="391">
        <f>SUM(G541:G541)</f>
        <v>0</v>
      </c>
      <c r="H540" s="391">
        <f>SUM(H541:H541)</f>
        <v>0</v>
      </c>
      <c r="I540" s="391">
        <f>+F540+G540+H540</f>
        <v>0</v>
      </c>
      <c r="J540" s="391">
        <v>0</v>
      </c>
      <c r="K540" s="391">
        <f>SUM(K541:K541)</f>
        <v>0</v>
      </c>
      <c r="L540" s="391">
        <f>SUM(L541:L541)</f>
        <v>0</v>
      </c>
      <c r="M540" s="391">
        <f>+J540+K540+L540</f>
        <v>0</v>
      </c>
      <c r="N540" s="391">
        <f t="shared" ref="N540:P541" si="209">+F540-J540</f>
        <v>0</v>
      </c>
      <c r="O540" s="391">
        <f t="shared" si="209"/>
        <v>0</v>
      </c>
      <c r="P540" s="391">
        <f t="shared" si="209"/>
        <v>0</v>
      </c>
      <c r="Q540" s="391">
        <f>+N540+O540+P540</f>
        <v>0</v>
      </c>
      <c r="R540" s="761"/>
      <c r="S540" s="267" t="str">
        <f t="shared" si="207"/>
        <v/>
      </c>
      <c r="T540" s="267" t="str">
        <f t="shared" si="207"/>
        <v/>
      </c>
      <c r="U540" s="267" t="str">
        <f t="shared" si="207"/>
        <v/>
      </c>
      <c r="V540" s="267" t="str">
        <f t="shared" si="204"/>
        <v/>
      </c>
      <c r="W540" s="532"/>
      <c r="Y540" s="236"/>
      <c r="Z540" s="240" t="s">
        <v>598</v>
      </c>
    </row>
    <row r="541" spans="1:26" ht="12" hidden="1" customHeight="1">
      <c r="A541" s="548" t="s">
        <v>170</v>
      </c>
      <c r="B541" s="548" t="s">
        <v>171</v>
      </c>
      <c r="C541" s="456"/>
      <c r="D541" s="549"/>
      <c r="E541" s="462" t="s">
        <v>290</v>
      </c>
      <c r="F541" s="103">
        <v>0</v>
      </c>
      <c r="G541" s="103">
        <f>SUM('[3]chd6-SAOB'!AV224)</f>
        <v>0</v>
      </c>
      <c r="H541" s="103">
        <f>SUM('[3]chd6-SAOB'!AV316)</f>
        <v>0</v>
      </c>
      <c r="I541" s="103">
        <f>+F541+G541+H541</f>
        <v>0</v>
      </c>
      <c r="J541" s="103">
        <v>0</v>
      </c>
      <c r="K541" s="103">
        <f>SUM('[3]chd6-SAOB'!AV225)</f>
        <v>0</v>
      </c>
      <c r="L541" s="103">
        <f>SUM('[3]chd6-SAOB'!AV317)</f>
        <v>0</v>
      </c>
      <c r="M541" s="103">
        <f>+J541+K541+L541</f>
        <v>0</v>
      </c>
      <c r="N541" s="103">
        <f t="shared" si="209"/>
        <v>0</v>
      </c>
      <c r="O541" s="103">
        <f t="shared" si="209"/>
        <v>0</v>
      </c>
      <c r="P541" s="103">
        <f t="shared" si="209"/>
        <v>0</v>
      </c>
      <c r="Q541" s="103">
        <f>+N541+O541+P541</f>
        <v>0</v>
      </c>
      <c r="S541" s="267" t="str">
        <f t="shared" si="207"/>
        <v/>
      </c>
      <c r="T541" s="267" t="str">
        <f t="shared" si="207"/>
        <v/>
      </c>
      <c r="U541" s="267" t="str">
        <f t="shared" si="207"/>
        <v/>
      </c>
      <c r="V541" s="267" t="str">
        <f t="shared" si="204"/>
        <v/>
      </c>
      <c r="W541" s="530"/>
      <c r="X541" s="236"/>
      <c r="Y541" s="236"/>
      <c r="Z541" s="236"/>
    </row>
    <row r="542" spans="1:26" s="259" customFormat="1" ht="12" customHeight="1">
      <c r="A542" s="315" t="s">
        <v>170</v>
      </c>
      <c r="B542" s="315" t="s">
        <v>171</v>
      </c>
      <c r="C542" s="1477" t="s">
        <v>309</v>
      </c>
      <c r="D542" s="1478"/>
      <c r="E542" s="1479"/>
      <c r="F542" s="652">
        <f>+F538+F540</f>
        <v>0</v>
      </c>
      <c r="G542" s="652">
        <f t="shared" ref="G542:Q542" si="210">+G538+G540</f>
        <v>53864061.07</v>
      </c>
      <c r="H542" s="652">
        <f t="shared" si="210"/>
        <v>5320082.5599999996</v>
      </c>
      <c r="I542" s="652">
        <f t="shared" si="210"/>
        <v>59184143.630000003</v>
      </c>
      <c r="J542" s="652">
        <f t="shared" si="210"/>
        <v>0</v>
      </c>
      <c r="K542" s="652">
        <f t="shared" si="210"/>
        <v>22463575.299999997</v>
      </c>
      <c r="L542" s="652">
        <f t="shared" si="210"/>
        <v>280210</v>
      </c>
      <c r="M542" s="652">
        <f t="shared" si="210"/>
        <v>22743785.299999997</v>
      </c>
      <c r="N542" s="652">
        <f t="shared" si="210"/>
        <v>0</v>
      </c>
      <c r="O542" s="652">
        <f t="shared" si="210"/>
        <v>31400485.770000003</v>
      </c>
      <c r="P542" s="652">
        <f t="shared" si="210"/>
        <v>5039872.5599999996</v>
      </c>
      <c r="Q542" s="652">
        <f t="shared" si="210"/>
        <v>36440358.329999998</v>
      </c>
      <c r="R542" s="1095">
        <f>+Q542-'[3]chd6-SAOB'!BX353</f>
        <v>0</v>
      </c>
      <c r="S542" s="524" t="str">
        <f t="shared" si="207"/>
        <v/>
      </c>
      <c r="T542" s="524">
        <f t="shared" si="207"/>
        <v>0.41704199152022825</v>
      </c>
      <c r="U542" s="524">
        <f t="shared" si="207"/>
        <v>5.2670235252890517E-2</v>
      </c>
      <c r="V542" s="524">
        <f t="shared" si="204"/>
        <v>0.38428849190057962</v>
      </c>
      <c r="W542" s="344"/>
      <c r="X542" s="520"/>
      <c r="Y542" s="837" t="s">
        <v>598</v>
      </c>
      <c r="Z542" s="241" t="s">
        <v>598</v>
      </c>
    </row>
    <row r="543" spans="1:26" ht="12" customHeight="1">
      <c r="A543" s="315" t="s">
        <v>101</v>
      </c>
      <c r="B543" s="315" t="s">
        <v>171</v>
      </c>
      <c r="C543" s="456"/>
      <c r="D543" s="456"/>
      <c r="E543" s="46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S543" s="267" t="str">
        <f t="shared" si="207"/>
        <v/>
      </c>
      <c r="T543" s="267" t="str">
        <f t="shared" si="207"/>
        <v/>
      </c>
      <c r="U543" s="267" t="str">
        <f t="shared" si="207"/>
        <v/>
      </c>
      <c r="V543" s="267" t="str">
        <f t="shared" si="204"/>
        <v/>
      </c>
      <c r="W543" s="267"/>
      <c r="Y543" s="837" t="s">
        <v>598</v>
      </c>
      <c r="Z543" s="241" t="s">
        <v>598</v>
      </c>
    </row>
    <row r="544" spans="1:26" ht="12" customHeight="1">
      <c r="A544" s="315" t="s">
        <v>172</v>
      </c>
      <c r="B544" s="315" t="s">
        <v>173</v>
      </c>
      <c r="C544" s="1100" t="s">
        <v>174</v>
      </c>
      <c r="D544" s="456"/>
      <c r="E544" s="463"/>
      <c r="F544" s="104"/>
      <c r="G544" s="104"/>
      <c r="H544" s="104"/>
      <c r="I544" s="103">
        <f t="shared" si="191"/>
        <v>0</v>
      </c>
      <c r="J544" s="103">
        <v>0</v>
      </c>
      <c r="K544" s="104"/>
      <c r="L544" s="104"/>
      <c r="M544" s="103">
        <f t="shared" si="205"/>
        <v>0</v>
      </c>
      <c r="N544" s="103">
        <f t="shared" si="192"/>
        <v>0</v>
      </c>
      <c r="O544" s="103">
        <f t="shared" si="192"/>
        <v>0</v>
      </c>
      <c r="P544" s="103">
        <f t="shared" si="192"/>
        <v>0</v>
      </c>
      <c r="Q544" s="103">
        <f t="shared" si="206"/>
        <v>0</v>
      </c>
      <c r="S544" s="267" t="str">
        <f t="shared" si="207"/>
        <v/>
      </c>
      <c r="T544" s="267" t="str">
        <f t="shared" si="207"/>
        <v/>
      </c>
      <c r="U544" s="267" t="str">
        <f t="shared" si="207"/>
        <v/>
      </c>
      <c r="V544" s="267" t="str">
        <f t="shared" si="204"/>
        <v/>
      </c>
      <c r="W544" s="267"/>
      <c r="Y544" s="837" t="s">
        <v>598</v>
      </c>
      <c r="Z544" s="241" t="s">
        <v>598</v>
      </c>
    </row>
    <row r="545" spans="1:26" s="275" customFormat="1" ht="12" customHeight="1">
      <c r="A545" s="548" t="s">
        <v>172</v>
      </c>
      <c r="B545" s="548" t="s">
        <v>175</v>
      </c>
      <c r="C545" s="464" t="s">
        <v>98</v>
      </c>
      <c r="D545" s="552" t="s">
        <v>105</v>
      </c>
      <c r="E545" s="407" t="s">
        <v>813</v>
      </c>
      <c r="F545" s="468"/>
      <c r="G545" s="468"/>
      <c r="H545" s="468"/>
      <c r="I545" s="409">
        <f t="shared" si="191"/>
        <v>0</v>
      </c>
      <c r="J545" s="409">
        <v>0</v>
      </c>
      <c r="K545" s="468"/>
      <c r="L545" s="468"/>
      <c r="M545" s="409">
        <f t="shared" si="205"/>
        <v>0</v>
      </c>
      <c r="N545" s="409">
        <f t="shared" si="192"/>
        <v>0</v>
      </c>
      <c r="O545" s="409">
        <f t="shared" si="192"/>
        <v>0</v>
      </c>
      <c r="P545" s="409">
        <f t="shared" si="192"/>
        <v>0</v>
      </c>
      <c r="Q545" s="409">
        <f t="shared" si="206"/>
        <v>0</v>
      </c>
      <c r="R545" s="761"/>
      <c r="S545" s="267" t="str">
        <f t="shared" si="207"/>
        <v/>
      </c>
      <c r="T545" s="267" t="str">
        <f t="shared" si="207"/>
        <v/>
      </c>
      <c r="U545" s="267" t="str">
        <f t="shared" si="207"/>
        <v/>
      </c>
      <c r="V545" s="267" t="str">
        <f t="shared" si="204"/>
        <v/>
      </c>
      <c r="W545" s="553"/>
      <c r="Y545" s="236" t="s">
        <v>598</v>
      </c>
      <c r="Z545" s="240" t="s">
        <v>598</v>
      </c>
    </row>
    <row r="546" spans="1:26" ht="12" customHeight="1">
      <c r="A546" s="548" t="s">
        <v>172</v>
      </c>
      <c r="B546" s="548" t="s">
        <v>175</v>
      </c>
      <c r="C546" s="447" t="s">
        <v>766</v>
      </c>
      <c r="D546" s="549"/>
      <c r="E546" s="447" t="s">
        <v>766</v>
      </c>
      <c r="F546" s="104">
        <f>'[3]chd6-SAOB'!C449</f>
        <v>0</v>
      </c>
      <c r="G546" s="104">
        <f>'[3]chd6-SAOB'!D449</f>
        <v>2470437.36</v>
      </c>
      <c r="H546" s="104">
        <f>'[3]chd6-SAOB'!E449</f>
        <v>0</v>
      </c>
      <c r="I546" s="103">
        <f t="shared" si="191"/>
        <v>2470437.36</v>
      </c>
      <c r="J546" s="103">
        <v>0</v>
      </c>
      <c r="K546" s="104">
        <f>'[3]chd6-SAOB'!H449</f>
        <v>1483279.99</v>
      </c>
      <c r="L546" s="104">
        <f>'[3]chd6-SAOB'!I449</f>
        <v>0</v>
      </c>
      <c r="M546" s="103">
        <f t="shared" si="205"/>
        <v>1483279.99</v>
      </c>
      <c r="N546" s="103">
        <f t="shared" si="192"/>
        <v>0</v>
      </c>
      <c r="O546" s="103">
        <f t="shared" si="192"/>
        <v>987157.36999999988</v>
      </c>
      <c r="P546" s="103">
        <f t="shared" si="192"/>
        <v>0</v>
      </c>
      <c r="Q546" s="103">
        <f t="shared" si="206"/>
        <v>987157.36999999988</v>
      </c>
      <c r="S546" s="267" t="str">
        <f t="shared" si="207"/>
        <v/>
      </c>
      <c r="T546" s="267">
        <f t="shared" si="207"/>
        <v>0.60041190034464187</v>
      </c>
      <c r="U546" s="267" t="str">
        <f t="shared" si="207"/>
        <v/>
      </c>
      <c r="V546" s="267">
        <f t="shared" si="204"/>
        <v>0.60041190034464187</v>
      </c>
      <c r="W546" s="530"/>
      <c r="X546" s="236"/>
      <c r="Y546" s="236" t="s">
        <v>688</v>
      </c>
      <c r="Z546" s="236"/>
    </row>
    <row r="547" spans="1:26" ht="12" customHeight="1">
      <c r="A547" s="548" t="s">
        <v>172</v>
      </c>
      <c r="B547" s="548" t="s">
        <v>175</v>
      </c>
      <c r="C547" s="456"/>
      <c r="D547" s="549"/>
      <c r="E547" s="453" t="s">
        <v>50</v>
      </c>
      <c r="F547" s="103">
        <f>+F548+F549</f>
        <v>0</v>
      </c>
      <c r="G547" s="103">
        <f>+G548+G549</f>
        <v>10491515.009999998</v>
      </c>
      <c r="H547" s="103">
        <f>+H548+H549</f>
        <v>0</v>
      </c>
      <c r="I547" s="103">
        <f t="shared" si="191"/>
        <v>10491515.009999998</v>
      </c>
      <c r="J547" s="103">
        <f>+J548+J549</f>
        <v>0</v>
      </c>
      <c r="K547" s="103">
        <f>+K548+K549</f>
        <v>2627541.64</v>
      </c>
      <c r="L547" s="103">
        <f>+L548+L549</f>
        <v>0</v>
      </c>
      <c r="M547" s="103">
        <f t="shared" si="205"/>
        <v>2627541.64</v>
      </c>
      <c r="N547" s="103">
        <f t="shared" si="192"/>
        <v>0</v>
      </c>
      <c r="O547" s="103">
        <f t="shared" si="192"/>
        <v>7863973.3699999973</v>
      </c>
      <c r="P547" s="103">
        <f t="shared" si="192"/>
        <v>0</v>
      </c>
      <c r="Q547" s="103">
        <f t="shared" si="206"/>
        <v>7863973.3699999973</v>
      </c>
      <c r="S547" s="267" t="str">
        <f t="shared" si="207"/>
        <v/>
      </c>
      <c r="T547" s="267">
        <f t="shared" si="207"/>
        <v>0.25044444367620466</v>
      </c>
      <c r="U547" s="267" t="str">
        <f t="shared" si="207"/>
        <v/>
      </c>
      <c r="V547" s="267">
        <f t="shared" si="204"/>
        <v>0.25044444367620466</v>
      </c>
      <c r="W547" s="530"/>
      <c r="X547" s="236"/>
      <c r="Y547" s="236" t="s">
        <v>688</v>
      </c>
      <c r="Z547" s="236"/>
    </row>
    <row r="548" spans="1:26" ht="12" hidden="1" customHeight="1">
      <c r="A548" s="548" t="s">
        <v>172</v>
      </c>
      <c r="B548" s="548" t="s">
        <v>175</v>
      </c>
      <c r="C548" s="458" t="s">
        <v>715</v>
      </c>
      <c r="D548" s="550" t="s">
        <v>715</v>
      </c>
      <c r="E548" s="447" t="s">
        <v>715</v>
      </c>
      <c r="F548" s="104">
        <f>'[3]CONAP - W INC'!F405</f>
        <v>0</v>
      </c>
      <c r="G548" s="104">
        <f>'[3]CONAP - W INC'!G405</f>
        <v>1631324.54</v>
      </c>
      <c r="H548" s="104">
        <f>'[3]CONAP - W INC'!H405</f>
        <v>0</v>
      </c>
      <c r="I548" s="103">
        <f t="shared" si="191"/>
        <v>1631324.54</v>
      </c>
      <c r="J548" s="104">
        <f>'[3]CONAP - W INC'!J405</f>
        <v>0</v>
      </c>
      <c r="K548" s="104">
        <f>'[3]CONAP - W INC'!K405</f>
        <v>480762.62</v>
      </c>
      <c r="L548" s="104">
        <f>'[3]CONAP - W INC'!L405</f>
        <v>0</v>
      </c>
      <c r="M548" s="103">
        <f t="shared" si="205"/>
        <v>480762.62</v>
      </c>
      <c r="N548" s="103">
        <f t="shared" si="192"/>
        <v>0</v>
      </c>
      <c r="O548" s="103">
        <f t="shared" si="192"/>
        <v>1150561.92</v>
      </c>
      <c r="P548" s="103">
        <f t="shared" si="192"/>
        <v>0</v>
      </c>
      <c r="Q548" s="103">
        <f t="shared" si="206"/>
        <v>1150561.92</v>
      </c>
      <c r="S548" s="267" t="str">
        <f t="shared" si="207"/>
        <v/>
      </c>
      <c r="T548" s="267">
        <f t="shared" si="207"/>
        <v>0.29470691343857303</v>
      </c>
      <c r="U548" s="267" t="str">
        <f t="shared" si="207"/>
        <v/>
      </c>
      <c r="V548" s="267">
        <f t="shared" si="204"/>
        <v>0.29470691343857303</v>
      </c>
      <c r="W548" s="530"/>
      <c r="X548" s="236"/>
      <c r="Y548" s="236"/>
      <c r="Z548" s="236"/>
    </row>
    <row r="549" spans="1:26" ht="12" hidden="1" customHeight="1">
      <c r="A549" s="548" t="s">
        <v>172</v>
      </c>
      <c r="B549" s="548" t="s">
        <v>175</v>
      </c>
      <c r="C549" s="458" t="s">
        <v>716</v>
      </c>
      <c r="D549" s="550" t="s">
        <v>716</v>
      </c>
      <c r="E549" s="459" t="s">
        <v>716</v>
      </c>
      <c r="F549" s="104">
        <f>'[3]CONAP - W INC'!F406</f>
        <v>0</v>
      </c>
      <c r="G549" s="104">
        <f>'[3]CONAP - W INC'!G406</f>
        <v>8860190.4699999988</v>
      </c>
      <c r="H549" s="104">
        <f>'[3]CONAP - W INC'!H406</f>
        <v>0</v>
      </c>
      <c r="I549" s="103">
        <f t="shared" si="191"/>
        <v>8860190.4699999988</v>
      </c>
      <c r="J549" s="104">
        <f>'[3]CONAP - W INC'!J406</f>
        <v>0</v>
      </c>
      <c r="K549" s="104">
        <f>'[3]CONAP - W INC'!K406</f>
        <v>2146779.02</v>
      </c>
      <c r="L549" s="104">
        <f>'[3]CONAP - W INC'!L406</f>
        <v>0</v>
      </c>
      <c r="M549" s="103">
        <f t="shared" si="205"/>
        <v>2146779.02</v>
      </c>
      <c r="N549" s="103">
        <f t="shared" si="192"/>
        <v>0</v>
      </c>
      <c r="O549" s="103">
        <f t="shared" si="192"/>
        <v>6713411.4499999993</v>
      </c>
      <c r="P549" s="103">
        <f t="shared" si="192"/>
        <v>0</v>
      </c>
      <c r="Q549" s="103">
        <f t="shared" si="206"/>
        <v>6713411.4499999993</v>
      </c>
      <c r="S549" s="267" t="str">
        <f t="shared" si="207"/>
        <v/>
      </c>
      <c r="T549" s="267">
        <f t="shared" si="207"/>
        <v>0.24229490633060852</v>
      </c>
      <c r="U549" s="267" t="str">
        <f t="shared" si="207"/>
        <v/>
      </c>
      <c r="V549" s="267">
        <f t="shared" si="204"/>
        <v>0.24229490633060852</v>
      </c>
      <c r="W549" s="530"/>
      <c r="X549" s="236"/>
      <c r="Y549" s="236"/>
      <c r="Z549" s="236"/>
    </row>
    <row r="550" spans="1:26" s="256" customFormat="1" ht="12" customHeight="1">
      <c r="A550" s="548"/>
      <c r="B550" s="548" t="s">
        <v>175</v>
      </c>
      <c r="C550" s="460"/>
      <c r="D550" s="551"/>
      <c r="E550" s="390" t="s">
        <v>767</v>
      </c>
      <c r="F550" s="391">
        <f>+F547+F546</f>
        <v>0</v>
      </c>
      <c r="G550" s="391">
        <f t="shared" ref="G550:Q550" si="211">+G547+G546</f>
        <v>12961952.369999997</v>
      </c>
      <c r="H550" s="391">
        <f t="shared" si="211"/>
        <v>0</v>
      </c>
      <c r="I550" s="391">
        <f t="shared" si="211"/>
        <v>12961952.369999997</v>
      </c>
      <c r="J550" s="391">
        <f t="shared" si="211"/>
        <v>0</v>
      </c>
      <c r="K550" s="391">
        <f t="shared" si="211"/>
        <v>4110821.63</v>
      </c>
      <c r="L550" s="391">
        <f t="shared" si="211"/>
        <v>0</v>
      </c>
      <c r="M550" s="391">
        <f t="shared" si="211"/>
        <v>4110821.63</v>
      </c>
      <c r="N550" s="391">
        <f t="shared" si="211"/>
        <v>0</v>
      </c>
      <c r="O550" s="391">
        <f t="shared" si="211"/>
        <v>8851130.7399999965</v>
      </c>
      <c r="P550" s="391">
        <f t="shared" si="211"/>
        <v>0</v>
      </c>
      <c r="Q550" s="391">
        <f t="shared" si="211"/>
        <v>8851130.7399999965</v>
      </c>
      <c r="R550" s="761"/>
      <c r="S550" s="267" t="str">
        <f t="shared" si="207"/>
        <v/>
      </c>
      <c r="T550" s="267">
        <f t="shared" si="207"/>
        <v>0.31714525039563934</v>
      </c>
      <c r="U550" s="267" t="str">
        <f t="shared" si="207"/>
        <v/>
      </c>
      <c r="V550" s="267">
        <f t="shared" si="204"/>
        <v>0.31714525039563934</v>
      </c>
      <c r="W550" s="532"/>
      <c r="Y550" s="236" t="s">
        <v>598</v>
      </c>
      <c r="Z550" s="240" t="s">
        <v>598</v>
      </c>
    </row>
    <row r="551" spans="1:26" ht="12" hidden="1" customHeight="1">
      <c r="A551" s="548"/>
      <c r="B551" s="548"/>
      <c r="C551" s="456"/>
      <c r="D551" s="549"/>
      <c r="E551" s="461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S551" s="267" t="str">
        <f t="shared" si="207"/>
        <v/>
      </c>
      <c r="T551" s="267" t="str">
        <f t="shared" si="207"/>
        <v/>
      </c>
      <c r="U551" s="267" t="str">
        <f t="shared" si="207"/>
        <v/>
      </c>
      <c r="V551" s="267" t="str">
        <f t="shared" si="204"/>
        <v/>
      </c>
      <c r="W551" s="530"/>
      <c r="X551" s="236"/>
      <c r="Y551" s="236"/>
      <c r="Z551" s="236"/>
    </row>
    <row r="552" spans="1:26" s="256" customFormat="1" ht="12" customHeight="1">
      <c r="A552" s="548" t="s">
        <v>172</v>
      </c>
      <c r="B552" s="548" t="s">
        <v>175</v>
      </c>
      <c r="C552" s="460"/>
      <c r="D552" s="551" t="s">
        <v>98</v>
      </c>
      <c r="E552" s="390" t="s">
        <v>100</v>
      </c>
      <c r="F552" s="391">
        <f>SUM(F553:F553)</f>
        <v>0</v>
      </c>
      <c r="G552" s="391">
        <f>SUM(G553:G553)</f>
        <v>3530000</v>
      </c>
      <c r="H552" s="391">
        <f>SUM(H553:H553)</f>
        <v>0</v>
      </c>
      <c r="I552" s="391">
        <f>+F552+G552+H552</f>
        <v>3530000</v>
      </c>
      <c r="J552" s="391">
        <v>0</v>
      </c>
      <c r="K552" s="391">
        <f>SUM(K553:K553)</f>
        <v>2412043</v>
      </c>
      <c r="L552" s="391">
        <f>SUM(L553:L553)</f>
        <v>0</v>
      </c>
      <c r="M552" s="391">
        <f>+J552+K552+L552</f>
        <v>2412043</v>
      </c>
      <c r="N552" s="391">
        <f t="shared" ref="N552:P553" si="212">+F552-J552</f>
        <v>0</v>
      </c>
      <c r="O552" s="391">
        <f t="shared" si="212"/>
        <v>1117957</v>
      </c>
      <c r="P552" s="391">
        <f t="shared" si="212"/>
        <v>0</v>
      </c>
      <c r="Q552" s="391">
        <f>+N552+O552+P552</f>
        <v>1117957</v>
      </c>
      <c r="R552" s="761"/>
      <c r="S552" s="267" t="str">
        <f t="shared" si="207"/>
        <v/>
      </c>
      <c r="T552" s="267">
        <f t="shared" si="207"/>
        <v>0.68329830028328609</v>
      </c>
      <c r="U552" s="267" t="str">
        <f t="shared" si="207"/>
        <v/>
      </c>
      <c r="V552" s="267">
        <f t="shared" si="204"/>
        <v>0.68329830028328609</v>
      </c>
      <c r="W552" s="532"/>
      <c r="Y552" s="236" t="s">
        <v>598</v>
      </c>
      <c r="Z552" s="240" t="s">
        <v>598</v>
      </c>
    </row>
    <row r="553" spans="1:26" ht="12" customHeight="1">
      <c r="A553" s="548" t="s">
        <v>172</v>
      </c>
      <c r="B553" s="548" t="s">
        <v>175</v>
      </c>
      <c r="C553" s="456"/>
      <c r="D553" s="549"/>
      <c r="E553" s="462" t="s">
        <v>290</v>
      </c>
      <c r="F553" s="103">
        <v>0</v>
      </c>
      <c r="G553" s="103">
        <f>SUM('[3]chd6-SAOB'!AW224)</f>
        <v>3530000</v>
      </c>
      <c r="H553" s="103">
        <f>SUM('[3]chd6-SAOB'!AW316)</f>
        <v>0</v>
      </c>
      <c r="I553" s="103">
        <f>+F553+G553+H553</f>
        <v>3530000</v>
      </c>
      <c r="J553" s="103">
        <v>0</v>
      </c>
      <c r="K553" s="103">
        <f>SUM('[3]chd6-SAOB'!AW225)</f>
        <v>2412043</v>
      </c>
      <c r="L553" s="103">
        <f>SUM('[3]chd6-SAOB'!AW317)</f>
        <v>0</v>
      </c>
      <c r="M553" s="103">
        <f>+J553+K553+L553</f>
        <v>2412043</v>
      </c>
      <c r="N553" s="103">
        <f t="shared" si="212"/>
        <v>0</v>
      </c>
      <c r="O553" s="103">
        <f t="shared" si="212"/>
        <v>1117957</v>
      </c>
      <c r="P553" s="103">
        <f t="shared" si="212"/>
        <v>0</v>
      </c>
      <c r="Q553" s="103">
        <f>+N553+O553+P553</f>
        <v>1117957</v>
      </c>
      <c r="S553" s="267" t="str">
        <f t="shared" si="207"/>
        <v/>
      </c>
      <c r="T553" s="267">
        <f t="shared" si="207"/>
        <v>0.68329830028328609</v>
      </c>
      <c r="U553" s="267" t="str">
        <f t="shared" si="207"/>
        <v/>
      </c>
      <c r="V553" s="267">
        <f t="shared" si="204"/>
        <v>0.68329830028328609</v>
      </c>
      <c r="W553" s="530"/>
      <c r="X553" s="236"/>
      <c r="Y553" s="236" t="s">
        <v>598</v>
      </c>
      <c r="Z553" s="236"/>
    </row>
    <row r="554" spans="1:26" s="259" customFormat="1" ht="12" customHeight="1">
      <c r="A554" s="315" t="s">
        <v>172</v>
      </c>
      <c r="B554" s="315" t="s">
        <v>175</v>
      </c>
      <c r="C554" s="1096"/>
      <c r="D554" s="466"/>
      <c r="E554" s="1097" t="s">
        <v>4</v>
      </c>
      <c r="F554" s="652">
        <f>+F552+F550</f>
        <v>0</v>
      </c>
      <c r="G554" s="652">
        <f t="shared" ref="G554:Q554" si="213">+G552+G550</f>
        <v>16491952.369999997</v>
      </c>
      <c r="H554" s="652">
        <f t="shared" si="213"/>
        <v>0</v>
      </c>
      <c r="I554" s="652">
        <f t="shared" si="213"/>
        <v>16491952.369999997</v>
      </c>
      <c r="J554" s="652">
        <f t="shared" si="213"/>
        <v>0</v>
      </c>
      <c r="K554" s="652">
        <f t="shared" si="213"/>
        <v>6522864.6299999999</v>
      </c>
      <c r="L554" s="652">
        <f t="shared" si="213"/>
        <v>0</v>
      </c>
      <c r="M554" s="652">
        <f t="shared" si="213"/>
        <v>6522864.6299999999</v>
      </c>
      <c r="N554" s="652">
        <f t="shared" si="213"/>
        <v>0</v>
      </c>
      <c r="O554" s="652">
        <f t="shared" si="213"/>
        <v>9969087.7399999965</v>
      </c>
      <c r="P554" s="652">
        <f t="shared" si="213"/>
        <v>0</v>
      </c>
      <c r="Q554" s="652">
        <f t="shared" si="213"/>
        <v>9969087.7399999965</v>
      </c>
      <c r="R554" s="1095">
        <f>+Q554-'[3]chd6-SAOB'!BY353</f>
        <v>0</v>
      </c>
      <c r="S554" s="524" t="str">
        <f t="shared" si="207"/>
        <v/>
      </c>
      <c r="T554" s="524">
        <f t="shared" si="207"/>
        <v>0.39551803714068096</v>
      </c>
      <c r="U554" s="524" t="str">
        <f t="shared" si="207"/>
        <v/>
      </c>
      <c r="V554" s="524">
        <f t="shared" si="204"/>
        <v>0.39551803714068096</v>
      </c>
      <c r="W554" s="344"/>
      <c r="X554" s="520"/>
      <c r="Y554" s="837" t="s">
        <v>598</v>
      </c>
      <c r="Z554" s="241" t="s">
        <v>598</v>
      </c>
    </row>
    <row r="555" spans="1:26" ht="12" customHeight="1">
      <c r="A555" s="315" t="s">
        <v>172</v>
      </c>
      <c r="B555" s="315" t="s">
        <v>175</v>
      </c>
      <c r="C555" s="456"/>
      <c r="D555" s="456"/>
      <c r="E555" s="463"/>
      <c r="F555" s="103"/>
      <c r="G555" s="103"/>
      <c r="H555" s="103"/>
      <c r="I555" s="103"/>
      <c r="J555" s="104"/>
      <c r="K555" s="103"/>
      <c r="L555" s="103"/>
      <c r="M555" s="103"/>
      <c r="N555" s="103"/>
      <c r="O555" s="103"/>
      <c r="P555" s="103"/>
      <c r="Q555" s="103"/>
      <c r="S555" s="267" t="str">
        <f t="shared" si="207"/>
        <v/>
      </c>
      <c r="T555" s="267" t="str">
        <f t="shared" si="207"/>
        <v/>
      </c>
      <c r="U555" s="267" t="str">
        <f t="shared" si="207"/>
        <v/>
      </c>
      <c r="V555" s="267" t="str">
        <f t="shared" si="204"/>
        <v/>
      </c>
      <c r="W555" s="267"/>
      <c r="Y555" s="837" t="s">
        <v>598</v>
      </c>
      <c r="Z555" s="241" t="s">
        <v>598</v>
      </c>
    </row>
    <row r="556" spans="1:26" s="275" customFormat="1" ht="12" customHeight="1">
      <c r="A556" s="548" t="s">
        <v>172</v>
      </c>
      <c r="B556" s="548" t="s">
        <v>176</v>
      </c>
      <c r="C556" s="464" t="s">
        <v>98</v>
      </c>
      <c r="D556" s="552" t="s">
        <v>107</v>
      </c>
      <c r="E556" s="407" t="s">
        <v>814</v>
      </c>
      <c r="F556" s="468"/>
      <c r="G556" s="468"/>
      <c r="H556" s="468"/>
      <c r="I556" s="409">
        <f t="shared" ref="I556:I608" si="214">+F556+G556+H556</f>
        <v>0</v>
      </c>
      <c r="J556" s="468">
        <v>0</v>
      </c>
      <c r="K556" s="468"/>
      <c r="L556" s="468"/>
      <c r="M556" s="409">
        <f t="shared" ref="M556:M608" si="215">+J556+K556+L556</f>
        <v>0</v>
      </c>
      <c r="N556" s="409">
        <f t="shared" ref="N556:P608" si="216">+F556-J556</f>
        <v>0</v>
      </c>
      <c r="O556" s="409">
        <f t="shared" si="216"/>
        <v>0</v>
      </c>
      <c r="P556" s="409">
        <f t="shared" si="216"/>
        <v>0</v>
      </c>
      <c r="Q556" s="409">
        <f t="shared" ref="Q556:Q608" si="217">+N556+O556+P556</f>
        <v>0</v>
      </c>
      <c r="R556" s="761"/>
      <c r="S556" s="267" t="str">
        <f t="shared" si="207"/>
        <v/>
      </c>
      <c r="T556" s="267" t="str">
        <f t="shared" si="207"/>
        <v/>
      </c>
      <c r="U556" s="267" t="str">
        <f t="shared" si="207"/>
        <v/>
      </c>
      <c r="V556" s="267" t="str">
        <f t="shared" si="204"/>
        <v/>
      </c>
      <c r="W556" s="553"/>
      <c r="Y556" s="236" t="s">
        <v>598</v>
      </c>
      <c r="Z556" s="240" t="s">
        <v>598</v>
      </c>
    </row>
    <row r="557" spans="1:26" ht="12" customHeight="1">
      <c r="A557" s="548" t="s">
        <v>172</v>
      </c>
      <c r="B557" s="548" t="s">
        <v>176</v>
      </c>
      <c r="C557" s="447" t="s">
        <v>766</v>
      </c>
      <c r="D557" s="775"/>
      <c r="E557" s="447" t="s">
        <v>766</v>
      </c>
      <c r="F557" s="104">
        <f>'[3]chd6-SAOB'!C463</f>
        <v>0</v>
      </c>
      <c r="G557" s="104">
        <f>'[3]chd6-SAOB'!D463</f>
        <v>84.92</v>
      </c>
      <c r="H557" s="104">
        <f>'[3]chd6-SAOB'!E463</f>
        <v>0</v>
      </c>
      <c r="I557" s="103">
        <f t="shared" si="214"/>
        <v>84.92</v>
      </c>
      <c r="J557" s="104">
        <v>0</v>
      </c>
      <c r="K557" s="104">
        <f>'[3]chd6-SAOB'!H463</f>
        <v>0</v>
      </c>
      <c r="L557" s="104">
        <f>'[3]chd6-SAOB'!I463</f>
        <v>0</v>
      </c>
      <c r="M557" s="103">
        <f t="shared" si="215"/>
        <v>0</v>
      </c>
      <c r="N557" s="103">
        <f t="shared" si="216"/>
        <v>0</v>
      </c>
      <c r="O557" s="103">
        <f t="shared" si="216"/>
        <v>84.92</v>
      </c>
      <c r="P557" s="103">
        <f t="shared" si="216"/>
        <v>0</v>
      </c>
      <c r="Q557" s="103">
        <f t="shared" si="217"/>
        <v>84.92</v>
      </c>
      <c r="S557" s="267" t="str">
        <f t="shared" si="207"/>
        <v/>
      </c>
      <c r="T557" s="267">
        <f t="shared" si="207"/>
        <v>0</v>
      </c>
      <c r="U557" s="267" t="str">
        <f t="shared" si="207"/>
        <v/>
      </c>
      <c r="V557" s="267">
        <f t="shared" si="204"/>
        <v>0</v>
      </c>
      <c r="W557" s="530"/>
      <c r="X557" s="236"/>
      <c r="Y557" s="236" t="s">
        <v>688</v>
      </c>
      <c r="Z557" s="236"/>
    </row>
    <row r="558" spans="1:26" ht="12" customHeight="1">
      <c r="A558" s="548" t="s">
        <v>172</v>
      </c>
      <c r="B558" s="548" t="s">
        <v>176</v>
      </c>
      <c r="C558" s="456"/>
      <c r="D558" s="775"/>
      <c r="E558" s="453" t="s">
        <v>50</v>
      </c>
      <c r="F558" s="103">
        <f>+F559+F560</f>
        <v>0</v>
      </c>
      <c r="G558" s="103">
        <f>+G559+G560</f>
        <v>1783.52</v>
      </c>
      <c r="H558" s="103">
        <f>+H559+H560</f>
        <v>0</v>
      </c>
      <c r="I558" s="103">
        <f t="shared" si="214"/>
        <v>1783.52</v>
      </c>
      <c r="J558" s="103">
        <f>+J559+J560</f>
        <v>0</v>
      </c>
      <c r="K558" s="103">
        <f>+K559+K560</f>
        <v>0</v>
      </c>
      <c r="L558" s="103">
        <f>+L559+L560</f>
        <v>0</v>
      </c>
      <c r="M558" s="103">
        <f t="shared" si="215"/>
        <v>0</v>
      </c>
      <c r="N558" s="103">
        <f t="shared" si="216"/>
        <v>0</v>
      </c>
      <c r="O558" s="103">
        <f t="shared" si="216"/>
        <v>1783.52</v>
      </c>
      <c r="P558" s="103">
        <f t="shared" si="216"/>
        <v>0</v>
      </c>
      <c r="Q558" s="103">
        <f t="shared" si="217"/>
        <v>1783.52</v>
      </c>
      <c r="S558" s="267" t="str">
        <f t="shared" si="207"/>
        <v/>
      </c>
      <c r="T558" s="267">
        <f t="shared" si="207"/>
        <v>0</v>
      </c>
      <c r="U558" s="267" t="str">
        <f t="shared" si="207"/>
        <v/>
      </c>
      <c r="V558" s="267">
        <f t="shared" si="204"/>
        <v>0</v>
      </c>
      <c r="W558" s="530"/>
      <c r="X558" s="236"/>
      <c r="Y558" s="236" t="s">
        <v>688</v>
      </c>
      <c r="Z558" s="236"/>
    </row>
    <row r="559" spans="1:26" ht="12" hidden="1" customHeight="1">
      <c r="A559" s="548" t="s">
        <v>172</v>
      </c>
      <c r="B559" s="548" t="s">
        <v>176</v>
      </c>
      <c r="C559" s="458" t="s">
        <v>715</v>
      </c>
      <c r="D559" s="550" t="s">
        <v>715</v>
      </c>
      <c r="E559" s="447" t="s">
        <v>715</v>
      </c>
      <c r="F559" s="104">
        <f>'[3]CONAP - W INC'!F421</f>
        <v>0</v>
      </c>
      <c r="G559" s="104">
        <f>'[3]CONAP - W INC'!G421</f>
        <v>0</v>
      </c>
      <c r="H559" s="104">
        <f>'[3]CONAP - W INC'!H421</f>
        <v>0</v>
      </c>
      <c r="I559" s="103">
        <f t="shared" si="214"/>
        <v>0</v>
      </c>
      <c r="J559" s="104">
        <f>'[3]CONAP - W INC'!J421</f>
        <v>0</v>
      </c>
      <c r="K559" s="104">
        <f>'[3]CONAP - W INC'!K421</f>
        <v>0</v>
      </c>
      <c r="L559" s="104">
        <f>'[3]CONAP - W INC'!L421</f>
        <v>0</v>
      </c>
      <c r="M559" s="103">
        <f t="shared" si="215"/>
        <v>0</v>
      </c>
      <c r="N559" s="103">
        <f t="shared" si="216"/>
        <v>0</v>
      </c>
      <c r="O559" s="103">
        <f t="shared" si="216"/>
        <v>0</v>
      </c>
      <c r="P559" s="103">
        <f t="shared" si="216"/>
        <v>0</v>
      </c>
      <c r="Q559" s="103">
        <f t="shared" si="217"/>
        <v>0</v>
      </c>
      <c r="S559" s="267" t="str">
        <f t="shared" si="207"/>
        <v/>
      </c>
      <c r="T559" s="267" t="str">
        <f t="shared" si="207"/>
        <v/>
      </c>
      <c r="U559" s="267" t="str">
        <f t="shared" si="207"/>
        <v/>
      </c>
      <c r="V559" s="267" t="str">
        <f t="shared" si="204"/>
        <v/>
      </c>
      <c r="W559" s="530"/>
      <c r="X559" s="236"/>
      <c r="Y559" s="236"/>
      <c r="Z559" s="236"/>
    </row>
    <row r="560" spans="1:26" ht="12" hidden="1" customHeight="1">
      <c r="A560" s="548" t="s">
        <v>172</v>
      </c>
      <c r="B560" s="548" t="s">
        <v>176</v>
      </c>
      <c r="C560" s="458" t="s">
        <v>716</v>
      </c>
      <c r="D560" s="550" t="s">
        <v>716</v>
      </c>
      <c r="E560" s="459" t="s">
        <v>716</v>
      </c>
      <c r="F560" s="104">
        <f>'[3]CONAP - W INC'!F422</f>
        <v>0</v>
      </c>
      <c r="G560" s="104">
        <f>'[3]CONAP - W INC'!G422</f>
        <v>1783.52</v>
      </c>
      <c r="H560" s="104">
        <f>'[3]CONAP - W INC'!H422</f>
        <v>0</v>
      </c>
      <c r="I560" s="103">
        <f t="shared" si="214"/>
        <v>1783.52</v>
      </c>
      <c r="J560" s="104">
        <f>'[3]CONAP - W INC'!J422</f>
        <v>0</v>
      </c>
      <c r="K560" s="104">
        <f>'[3]CONAP - W INC'!K422</f>
        <v>0</v>
      </c>
      <c r="L560" s="104">
        <f>'[3]CONAP - W INC'!L422</f>
        <v>0</v>
      </c>
      <c r="M560" s="103">
        <f t="shared" si="215"/>
        <v>0</v>
      </c>
      <c r="N560" s="103">
        <f t="shared" si="216"/>
        <v>0</v>
      </c>
      <c r="O560" s="103">
        <f t="shared" si="216"/>
        <v>1783.52</v>
      </c>
      <c r="P560" s="103">
        <f t="shared" si="216"/>
        <v>0</v>
      </c>
      <c r="Q560" s="103">
        <f t="shared" si="217"/>
        <v>1783.52</v>
      </c>
      <c r="S560" s="267" t="str">
        <f t="shared" si="207"/>
        <v/>
      </c>
      <c r="T560" s="267">
        <f t="shared" si="207"/>
        <v>0</v>
      </c>
      <c r="U560" s="267" t="str">
        <f t="shared" si="207"/>
        <v/>
      </c>
      <c r="V560" s="267">
        <f t="shared" si="204"/>
        <v>0</v>
      </c>
      <c r="W560" s="530"/>
      <c r="X560" s="236"/>
      <c r="Y560" s="236"/>
      <c r="Z560" s="236"/>
    </row>
    <row r="561" spans="1:26" s="256" customFormat="1" ht="12" customHeight="1">
      <c r="A561" s="548"/>
      <c r="B561" s="548" t="s">
        <v>176</v>
      </c>
      <c r="C561" s="460"/>
      <c r="D561" s="551"/>
      <c r="E561" s="390" t="s">
        <v>767</v>
      </c>
      <c r="F561" s="391">
        <f>+F558+F557</f>
        <v>0</v>
      </c>
      <c r="G561" s="391">
        <f t="shared" ref="G561:Q561" si="218">+G558+G557</f>
        <v>1868.44</v>
      </c>
      <c r="H561" s="391">
        <f t="shared" si="218"/>
        <v>0</v>
      </c>
      <c r="I561" s="391">
        <f t="shared" si="218"/>
        <v>1868.44</v>
      </c>
      <c r="J561" s="391">
        <f t="shared" si="218"/>
        <v>0</v>
      </c>
      <c r="K561" s="391">
        <f t="shared" si="218"/>
        <v>0</v>
      </c>
      <c r="L561" s="391">
        <f t="shared" si="218"/>
        <v>0</v>
      </c>
      <c r="M561" s="391">
        <f t="shared" si="218"/>
        <v>0</v>
      </c>
      <c r="N561" s="391">
        <f t="shared" si="218"/>
        <v>0</v>
      </c>
      <c r="O561" s="391">
        <f t="shared" si="218"/>
        <v>1868.44</v>
      </c>
      <c r="P561" s="391">
        <f t="shared" si="218"/>
        <v>0</v>
      </c>
      <c r="Q561" s="391">
        <f t="shared" si="218"/>
        <v>1868.44</v>
      </c>
      <c r="R561" s="761"/>
      <c r="S561" s="267" t="str">
        <f t="shared" si="207"/>
        <v/>
      </c>
      <c r="T561" s="267">
        <f t="shared" si="207"/>
        <v>0</v>
      </c>
      <c r="U561" s="267" t="str">
        <f t="shared" si="207"/>
        <v/>
      </c>
      <c r="V561" s="267">
        <f t="shared" si="204"/>
        <v>0</v>
      </c>
      <c r="W561" s="532"/>
      <c r="Y561" s="236" t="s">
        <v>598</v>
      </c>
      <c r="Z561" s="240" t="s">
        <v>598</v>
      </c>
    </row>
    <row r="562" spans="1:26" ht="12" hidden="1" customHeight="1">
      <c r="A562" s="548"/>
      <c r="B562" s="548"/>
      <c r="C562" s="456"/>
      <c r="D562" s="549"/>
      <c r="E562" s="461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S562" s="267" t="str">
        <f t="shared" si="207"/>
        <v/>
      </c>
      <c r="T562" s="267" t="str">
        <f t="shared" si="207"/>
        <v/>
      </c>
      <c r="U562" s="267" t="str">
        <f t="shared" si="207"/>
        <v/>
      </c>
      <c r="V562" s="267" t="str">
        <f t="shared" si="204"/>
        <v/>
      </c>
      <c r="W562" s="530"/>
      <c r="X562" s="236"/>
      <c r="Y562" s="236"/>
      <c r="Z562" s="236"/>
    </row>
    <row r="563" spans="1:26" s="256" customFormat="1" ht="12" customHeight="1">
      <c r="A563" s="548" t="s">
        <v>172</v>
      </c>
      <c r="B563" s="548" t="s">
        <v>176</v>
      </c>
      <c r="C563" s="460"/>
      <c r="D563" s="551" t="s">
        <v>98</v>
      </c>
      <c r="E563" s="390" t="s">
        <v>100</v>
      </c>
      <c r="F563" s="391">
        <f>SUM(F564:F564)</f>
        <v>0</v>
      </c>
      <c r="G563" s="391">
        <f>SUM(G564:G564)</f>
        <v>0</v>
      </c>
      <c r="H563" s="391">
        <f>SUM(H564:H564)</f>
        <v>0</v>
      </c>
      <c r="I563" s="391">
        <f>+F563+G563+H563</f>
        <v>0</v>
      </c>
      <c r="J563" s="391">
        <v>0</v>
      </c>
      <c r="K563" s="391">
        <f>SUM(K564:K564)</f>
        <v>0</v>
      </c>
      <c r="L563" s="391">
        <f>SUM(L564:L564)</f>
        <v>0</v>
      </c>
      <c r="M563" s="391">
        <f>+J563+K563+L563</f>
        <v>0</v>
      </c>
      <c r="N563" s="391">
        <f t="shared" ref="N563:P564" si="219">+F563-J563</f>
        <v>0</v>
      </c>
      <c r="O563" s="391">
        <f t="shared" si="219"/>
        <v>0</v>
      </c>
      <c r="P563" s="391">
        <f t="shared" si="219"/>
        <v>0</v>
      </c>
      <c r="Q563" s="391">
        <f>+N563+O563+P563</f>
        <v>0</v>
      </c>
      <c r="R563" s="761"/>
      <c r="S563" s="267" t="str">
        <f t="shared" si="207"/>
        <v/>
      </c>
      <c r="T563" s="267" t="str">
        <f t="shared" si="207"/>
        <v/>
      </c>
      <c r="U563" s="267" t="str">
        <f t="shared" si="207"/>
        <v/>
      </c>
      <c r="V563" s="267" t="str">
        <f t="shared" si="204"/>
        <v/>
      </c>
      <c r="W563" s="532"/>
      <c r="Y563" s="236" t="s">
        <v>598</v>
      </c>
      <c r="Z563" s="240" t="s">
        <v>598</v>
      </c>
    </row>
    <row r="564" spans="1:26" ht="12" customHeight="1">
      <c r="A564" s="548" t="s">
        <v>172</v>
      </c>
      <c r="B564" s="548" t="s">
        <v>176</v>
      </c>
      <c r="C564" s="456"/>
      <c r="D564" s="549"/>
      <c r="E564" s="462" t="s">
        <v>290</v>
      </c>
      <c r="F564" s="103">
        <v>0</v>
      </c>
      <c r="G564" s="103">
        <f>SUM('[3]chd6-SAOB'!AY224)</f>
        <v>0</v>
      </c>
      <c r="H564" s="103">
        <f>SUM('[3]chd6-SAOB'!AY316)</f>
        <v>0</v>
      </c>
      <c r="I564" s="103">
        <f>+F564+G564+H564</f>
        <v>0</v>
      </c>
      <c r="J564" s="104">
        <v>0</v>
      </c>
      <c r="K564" s="103">
        <f>SUM('[3]chd6-SAOB'!AY225)</f>
        <v>0</v>
      </c>
      <c r="L564" s="103">
        <f>SUM('[3]chd6-SAOB'!AY317)</f>
        <v>0</v>
      </c>
      <c r="M564" s="103">
        <f>+J564+K564+L564</f>
        <v>0</v>
      </c>
      <c r="N564" s="103">
        <f t="shared" si="219"/>
        <v>0</v>
      </c>
      <c r="O564" s="103">
        <f t="shared" si="219"/>
        <v>0</v>
      </c>
      <c r="P564" s="103">
        <f t="shared" si="219"/>
        <v>0</v>
      </c>
      <c r="Q564" s="103">
        <f>+N564+O564+P564</f>
        <v>0</v>
      </c>
      <c r="S564" s="267" t="str">
        <f t="shared" si="207"/>
        <v/>
      </c>
      <c r="T564" s="267" t="str">
        <f t="shared" si="207"/>
        <v/>
      </c>
      <c r="U564" s="267" t="str">
        <f t="shared" si="207"/>
        <v/>
      </c>
      <c r="V564" s="267" t="str">
        <f t="shared" si="204"/>
        <v/>
      </c>
      <c r="W564" s="530"/>
      <c r="X564" s="236"/>
      <c r="Y564" s="236" t="s">
        <v>598</v>
      </c>
      <c r="Z564" s="236"/>
    </row>
    <row r="565" spans="1:26" s="259" customFormat="1" ht="12" customHeight="1">
      <c r="A565" s="315" t="s">
        <v>172</v>
      </c>
      <c r="B565" s="315" t="s">
        <v>176</v>
      </c>
      <c r="C565" s="1096"/>
      <c r="D565" s="466"/>
      <c r="E565" s="1097" t="s">
        <v>4</v>
      </c>
      <c r="F565" s="652">
        <f>+F563+F561</f>
        <v>0</v>
      </c>
      <c r="G565" s="652">
        <f t="shared" ref="G565:Q565" si="220">+G563+G561</f>
        <v>1868.44</v>
      </c>
      <c r="H565" s="652">
        <f t="shared" si="220"/>
        <v>0</v>
      </c>
      <c r="I565" s="652">
        <f t="shared" si="220"/>
        <v>1868.44</v>
      </c>
      <c r="J565" s="652">
        <f t="shared" si="220"/>
        <v>0</v>
      </c>
      <c r="K565" s="652">
        <f t="shared" si="220"/>
        <v>0</v>
      </c>
      <c r="L565" s="652">
        <f t="shared" si="220"/>
        <v>0</v>
      </c>
      <c r="M565" s="652">
        <f t="shared" si="220"/>
        <v>0</v>
      </c>
      <c r="N565" s="652">
        <f t="shared" si="220"/>
        <v>0</v>
      </c>
      <c r="O565" s="652">
        <f t="shared" si="220"/>
        <v>1868.44</v>
      </c>
      <c r="P565" s="652">
        <f t="shared" si="220"/>
        <v>0</v>
      </c>
      <c r="Q565" s="652">
        <f t="shared" si="220"/>
        <v>1868.44</v>
      </c>
      <c r="R565" s="1095">
        <f>+Q565-'[3]chd6-SAOB'!CA353</f>
        <v>0</v>
      </c>
      <c r="S565" s="524" t="str">
        <f t="shared" si="207"/>
        <v/>
      </c>
      <c r="T565" s="524">
        <f t="shared" si="207"/>
        <v>0</v>
      </c>
      <c r="U565" s="524" t="str">
        <f t="shared" si="207"/>
        <v/>
      </c>
      <c r="V565" s="524">
        <f t="shared" si="204"/>
        <v>0</v>
      </c>
      <c r="W565" s="344"/>
      <c r="X565" s="520"/>
      <c r="Y565" s="837" t="s">
        <v>598</v>
      </c>
      <c r="Z565" s="241" t="s">
        <v>598</v>
      </c>
    </row>
    <row r="566" spans="1:26" ht="12" customHeight="1">
      <c r="A566" s="315" t="s">
        <v>172</v>
      </c>
      <c r="B566" s="315" t="s">
        <v>176</v>
      </c>
      <c r="C566" s="456"/>
      <c r="D566" s="456"/>
      <c r="E566" s="463"/>
      <c r="F566" s="103"/>
      <c r="G566" s="103"/>
      <c r="H566" s="103"/>
      <c r="I566" s="103"/>
      <c r="J566" s="104"/>
      <c r="K566" s="103"/>
      <c r="L566" s="103"/>
      <c r="M566" s="103"/>
      <c r="N566" s="103"/>
      <c r="O566" s="103"/>
      <c r="P566" s="103"/>
      <c r="Q566" s="103"/>
      <c r="S566" s="267" t="str">
        <f t="shared" si="207"/>
        <v/>
      </c>
      <c r="T566" s="267" t="str">
        <f t="shared" si="207"/>
        <v/>
      </c>
      <c r="U566" s="267" t="str">
        <f t="shared" si="207"/>
        <v/>
      </c>
      <c r="V566" s="267" t="str">
        <f t="shared" si="204"/>
        <v/>
      </c>
      <c r="W566" s="267"/>
      <c r="Y566" s="837" t="s">
        <v>598</v>
      </c>
      <c r="Z566" s="241" t="s">
        <v>598</v>
      </c>
    </row>
    <row r="567" spans="1:26" s="813" customFormat="1" ht="13.5" customHeight="1">
      <c r="A567" s="548" t="s">
        <v>172</v>
      </c>
      <c r="B567" s="548" t="s">
        <v>177</v>
      </c>
      <c r="C567" s="464" t="s">
        <v>98</v>
      </c>
      <c r="D567" s="552" t="s">
        <v>109</v>
      </c>
      <c r="E567" s="407" t="s">
        <v>815</v>
      </c>
      <c r="F567" s="809"/>
      <c r="G567" s="809"/>
      <c r="H567" s="809"/>
      <c r="I567" s="810">
        <f t="shared" si="214"/>
        <v>0</v>
      </c>
      <c r="J567" s="809">
        <v>0</v>
      </c>
      <c r="K567" s="809"/>
      <c r="L567" s="809"/>
      <c r="M567" s="810">
        <f t="shared" si="215"/>
        <v>0</v>
      </c>
      <c r="N567" s="810">
        <f t="shared" si="216"/>
        <v>0</v>
      </c>
      <c r="O567" s="810">
        <f t="shared" si="216"/>
        <v>0</v>
      </c>
      <c r="P567" s="810">
        <f t="shared" si="216"/>
        <v>0</v>
      </c>
      <c r="Q567" s="810">
        <f t="shared" si="217"/>
        <v>0</v>
      </c>
      <c r="R567" s="811"/>
      <c r="S567" s="812" t="str">
        <f t="shared" si="207"/>
        <v/>
      </c>
      <c r="T567" s="812" t="str">
        <f t="shared" si="207"/>
        <v/>
      </c>
      <c r="U567" s="812" t="str">
        <f t="shared" si="207"/>
        <v/>
      </c>
      <c r="V567" s="812" t="str">
        <f t="shared" si="204"/>
        <v/>
      </c>
      <c r="W567" s="776"/>
      <c r="Y567" s="1403" t="s">
        <v>598</v>
      </c>
      <c r="Z567" s="240" t="s">
        <v>598</v>
      </c>
    </row>
    <row r="568" spans="1:26" ht="12" customHeight="1">
      <c r="A568" s="548" t="s">
        <v>172</v>
      </c>
      <c r="B568" s="548" t="s">
        <v>177</v>
      </c>
      <c r="C568" s="447" t="s">
        <v>766</v>
      </c>
      <c r="D568" s="775"/>
      <c r="E568" s="447" t="s">
        <v>766</v>
      </c>
      <c r="F568" s="104">
        <f>'[3]chd6-SAOB'!C469</f>
        <v>0</v>
      </c>
      <c r="G568" s="104">
        <f>'[3]chd6-SAOB'!D469</f>
        <v>0</v>
      </c>
      <c r="H568" s="104">
        <f>'[3]chd6-SAOB'!E469</f>
        <v>0</v>
      </c>
      <c r="I568" s="103">
        <f t="shared" si="214"/>
        <v>0</v>
      </c>
      <c r="J568" s="104">
        <v>0</v>
      </c>
      <c r="K568" s="104">
        <f>'[3]chd6-SAOB'!H469</f>
        <v>0</v>
      </c>
      <c r="L568" s="104">
        <f>'[3]chd6-SAOB'!I469</f>
        <v>0</v>
      </c>
      <c r="M568" s="103">
        <f t="shared" si="215"/>
        <v>0</v>
      </c>
      <c r="N568" s="103">
        <f t="shared" si="216"/>
        <v>0</v>
      </c>
      <c r="O568" s="103">
        <f t="shared" si="216"/>
        <v>0</v>
      </c>
      <c r="P568" s="103">
        <f t="shared" si="216"/>
        <v>0</v>
      </c>
      <c r="Q568" s="103">
        <f t="shared" si="217"/>
        <v>0</v>
      </c>
      <c r="S568" s="267" t="str">
        <f t="shared" si="207"/>
        <v/>
      </c>
      <c r="T568" s="267" t="str">
        <f t="shared" si="207"/>
        <v/>
      </c>
      <c r="U568" s="267" t="str">
        <f t="shared" si="207"/>
        <v/>
      </c>
      <c r="V568" s="267" t="str">
        <f t="shared" si="204"/>
        <v/>
      </c>
      <c r="W568" s="530"/>
      <c r="X568" s="236"/>
      <c r="Y568" s="236" t="s">
        <v>688</v>
      </c>
      <c r="Z568" s="236"/>
    </row>
    <row r="569" spans="1:26" ht="12" customHeight="1">
      <c r="A569" s="548" t="s">
        <v>172</v>
      </c>
      <c r="B569" s="548" t="s">
        <v>177</v>
      </c>
      <c r="C569" s="456"/>
      <c r="D569" s="775"/>
      <c r="E569" s="453" t="s">
        <v>50</v>
      </c>
      <c r="F569" s="103">
        <f>+F570+F571</f>
        <v>0</v>
      </c>
      <c r="G569" s="103">
        <f>+G570+G571</f>
        <v>515573.78</v>
      </c>
      <c r="H569" s="103">
        <f>+H570+H571</f>
        <v>0</v>
      </c>
      <c r="I569" s="103">
        <f t="shared" si="214"/>
        <v>515573.78</v>
      </c>
      <c r="J569" s="103">
        <f>+J570+J571</f>
        <v>0</v>
      </c>
      <c r="K569" s="103">
        <f>+K570+K571</f>
        <v>506881.78</v>
      </c>
      <c r="L569" s="103">
        <f>+L570+L571</f>
        <v>0</v>
      </c>
      <c r="M569" s="103">
        <f t="shared" si="215"/>
        <v>506881.78</v>
      </c>
      <c r="N569" s="103">
        <f t="shared" si="216"/>
        <v>0</v>
      </c>
      <c r="O569" s="103">
        <f t="shared" si="216"/>
        <v>8692</v>
      </c>
      <c r="P569" s="103">
        <f t="shared" si="216"/>
        <v>0</v>
      </c>
      <c r="Q569" s="103">
        <f t="shared" si="217"/>
        <v>8692</v>
      </c>
      <c r="S569" s="267" t="str">
        <f t="shared" si="207"/>
        <v/>
      </c>
      <c r="T569" s="267">
        <f t="shared" si="207"/>
        <v>0.98314111318849462</v>
      </c>
      <c r="U569" s="267" t="str">
        <f t="shared" si="207"/>
        <v/>
      </c>
      <c r="V569" s="267">
        <f t="shared" si="204"/>
        <v>0.98314111318849462</v>
      </c>
      <c r="W569" s="530"/>
      <c r="X569" s="236"/>
      <c r="Y569" s="236" t="s">
        <v>688</v>
      </c>
      <c r="Z569" s="236"/>
    </row>
    <row r="570" spans="1:26" ht="12" hidden="1" customHeight="1">
      <c r="A570" s="548" t="s">
        <v>172</v>
      </c>
      <c r="B570" s="548" t="s">
        <v>177</v>
      </c>
      <c r="C570" s="458" t="s">
        <v>715</v>
      </c>
      <c r="D570" s="550" t="s">
        <v>715</v>
      </c>
      <c r="E570" s="447" t="s">
        <v>715</v>
      </c>
      <c r="F570" s="104">
        <f>'[3]CONAP - W INC'!F429</f>
        <v>0</v>
      </c>
      <c r="G570" s="104">
        <f>'[3]CONAP - W INC'!G429</f>
        <v>189028.89</v>
      </c>
      <c r="H570" s="104">
        <f>'[3]CONAP - W INC'!H429</f>
        <v>0</v>
      </c>
      <c r="I570" s="103">
        <f t="shared" si="214"/>
        <v>189028.89</v>
      </c>
      <c r="J570" s="104">
        <f>'[3]CONAP - W INC'!J429</f>
        <v>0</v>
      </c>
      <c r="K570" s="104">
        <f>'[3]CONAP - W INC'!K429</f>
        <v>195245</v>
      </c>
      <c r="L570" s="104">
        <f>'[3]CONAP - W INC'!L429</f>
        <v>0</v>
      </c>
      <c r="M570" s="103">
        <f t="shared" si="215"/>
        <v>195245</v>
      </c>
      <c r="N570" s="103">
        <f t="shared" si="216"/>
        <v>0</v>
      </c>
      <c r="O570" s="103">
        <f t="shared" si="216"/>
        <v>-6216.109999999986</v>
      </c>
      <c r="P570" s="103">
        <f t="shared" si="216"/>
        <v>0</v>
      </c>
      <c r="Q570" s="103">
        <f t="shared" si="217"/>
        <v>-6216.109999999986</v>
      </c>
      <c r="S570" s="267" t="str">
        <f t="shared" si="207"/>
        <v/>
      </c>
      <c r="T570" s="267">
        <f t="shared" si="207"/>
        <v>1.0328844442772742</v>
      </c>
      <c r="U570" s="267" t="str">
        <f t="shared" si="207"/>
        <v/>
      </c>
      <c r="V570" s="267">
        <f t="shared" si="204"/>
        <v>1.0328844442772742</v>
      </c>
      <c r="W570" s="530"/>
      <c r="X570" s="236"/>
      <c r="Y570" s="236"/>
      <c r="Z570" s="236"/>
    </row>
    <row r="571" spans="1:26" ht="12" hidden="1" customHeight="1">
      <c r="A571" s="548" t="s">
        <v>172</v>
      </c>
      <c r="B571" s="548" t="s">
        <v>177</v>
      </c>
      <c r="C571" s="458" t="s">
        <v>716</v>
      </c>
      <c r="D571" s="550" t="s">
        <v>716</v>
      </c>
      <c r="E571" s="459" t="s">
        <v>716</v>
      </c>
      <c r="F571" s="104">
        <f>'[3]CONAP - W INC'!F430</f>
        <v>0</v>
      </c>
      <c r="G571" s="104">
        <f>'[3]CONAP - W INC'!G430</f>
        <v>326544.89</v>
      </c>
      <c r="H571" s="104">
        <f>'[3]CONAP - W INC'!H430</f>
        <v>0</v>
      </c>
      <c r="I571" s="103">
        <f t="shared" si="214"/>
        <v>326544.89</v>
      </c>
      <c r="J571" s="104">
        <f>'[3]CONAP - W INC'!J430</f>
        <v>0</v>
      </c>
      <c r="K571" s="104">
        <f>'[3]CONAP - W INC'!K430</f>
        <v>311636.78000000003</v>
      </c>
      <c r="L571" s="104">
        <f>'[3]CONAP - W INC'!L430</f>
        <v>0</v>
      </c>
      <c r="M571" s="103">
        <f t="shared" si="215"/>
        <v>311636.78000000003</v>
      </c>
      <c r="N571" s="103">
        <f t="shared" si="216"/>
        <v>0</v>
      </c>
      <c r="O571" s="103">
        <f t="shared" si="216"/>
        <v>14908.109999999986</v>
      </c>
      <c r="P571" s="103">
        <f t="shared" si="216"/>
        <v>0</v>
      </c>
      <c r="Q571" s="103">
        <f t="shared" si="217"/>
        <v>14908.109999999986</v>
      </c>
      <c r="S571" s="267" t="str">
        <f t="shared" si="207"/>
        <v/>
      </c>
      <c r="T571" s="267">
        <f t="shared" si="207"/>
        <v>0.95434590937864627</v>
      </c>
      <c r="U571" s="267" t="str">
        <f t="shared" si="207"/>
        <v/>
      </c>
      <c r="V571" s="267">
        <f t="shared" si="204"/>
        <v>0.95434590937864627</v>
      </c>
      <c r="W571" s="530"/>
      <c r="X571" s="236"/>
      <c r="Y571" s="236"/>
      <c r="Z571" s="236"/>
    </row>
    <row r="572" spans="1:26" s="256" customFormat="1" ht="12" customHeight="1">
      <c r="A572" s="548"/>
      <c r="B572" s="548" t="s">
        <v>177</v>
      </c>
      <c r="C572" s="460"/>
      <c r="D572" s="551"/>
      <c r="E572" s="390" t="s">
        <v>767</v>
      </c>
      <c r="F572" s="391">
        <f>+F569+F568</f>
        <v>0</v>
      </c>
      <c r="G572" s="391">
        <f t="shared" ref="G572:Q572" si="221">+G569+G568</f>
        <v>515573.78</v>
      </c>
      <c r="H572" s="391">
        <f t="shared" si="221"/>
        <v>0</v>
      </c>
      <c r="I572" s="391">
        <f t="shared" si="221"/>
        <v>515573.78</v>
      </c>
      <c r="J572" s="391">
        <f t="shared" si="221"/>
        <v>0</v>
      </c>
      <c r="K572" s="391">
        <f t="shared" si="221"/>
        <v>506881.78</v>
      </c>
      <c r="L572" s="391">
        <f t="shared" si="221"/>
        <v>0</v>
      </c>
      <c r="M572" s="391">
        <f t="shared" si="221"/>
        <v>506881.78</v>
      </c>
      <c r="N572" s="391">
        <f t="shared" si="221"/>
        <v>0</v>
      </c>
      <c r="O572" s="391">
        <f t="shared" si="221"/>
        <v>8692</v>
      </c>
      <c r="P572" s="391">
        <f t="shared" si="221"/>
        <v>0</v>
      </c>
      <c r="Q572" s="391">
        <f t="shared" si="221"/>
        <v>8692</v>
      </c>
      <c r="R572" s="761"/>
      <c r="S572" s="267" t="str">
        <f t="shared" si="207"/>
        <v/>
      </c>
      <c r="T572" s="267">
        <f t="shared" si="207"/>
        <v>0.98314111318849462</v>
      </c>
      <c r="U572" s="267" t="str">
        <f t="shared" si="207"/>
        <v/>
      </c>
      <c r="V572" s="267">
        <f t="shared" si="204"/>
        <v>0.98314111318849462</v>
      </c>
      <c r="W572" s="532"/>
      <c r="Y572" s="236" t="s">
        <v>598</v>
      </c>
      <c r="Z572" s="240" t="s">
        <v>598</v>
      </c>
    </row>
    <row r="573" spans="1:26" ht="12" hidden="1" customHeight="1">
      <c r="A573" s="548"/>
      <c r="B573" s="548"/>
      <c r="C573" s="456"/>
      <c r="D573" s="549"/>
      <c r="E573" s="461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S573" s="267" t="str">
        <f t="shared" si="207"/>
        <v/>
      </c>
      <c r="T573" s="267" t="str">
        <f t="shared" si="207"/>
        <v/>
      </c>
      <c r="U573" s="267" t="str">
        <f t="shared" si="207"/>
        <v/>
      </c>
      <c r="V573" s="267" t="str">
        <f t="shared" si="204"/>
        <v/>
      </c>
      <c r="W573" s="530"/>
      <c r="X573" s="236"/>
      <c r="Y573" s="236"/>
      <c r="Z573" s="236"/>
    </row>
    <row r="574" spans="1:26" s="256" customFormat="1" ht="12" customHeight="1">
      <c r="A574" s="548" t="s">
        <v>172</v>
      </c>
      <c r="B574" s="548" t="s">
        <v>177</v>
      </c>
      <c r="C574" s="460"/>
      <c r="D574" s="551" t="s">
        <v>98</v>
      </c>
      <c r="E574" s="390" t="s">
        <v>100</v>
      </c>
      <c r="F574" s="391">
        <f>SUM(F575:F575)</f>
        <v>0</v>
      </c>
      <c r="G574" s="391">
        <f>SUM(G575:G575)</f>
        <v>0</v>
      </c>
      <c r="H574" s="391">
        <f>SUM(H575:H575)</f>
        <v>0</v>
      </c>
      <c r="I574" s="391">
        <f>+F574+G574+H574</f>
        <v>0</v>
      </c>
      <c r="J574" s="443">
        <v>0</v>
      </c>
      <c r="K574" s="391">
        <f>SUM(K575:K575)</f>
        <v>0</v>
      </c>
      <c r="L574" s="391">
        <f>SUM(L575:L575)</f>
        <v>0</v>
      </c>
      <c r="M574" s="391">
        <f>+J574+K574+L574</f>
        <v>0</v>
      </c>
      <c r="N574" s="391">
        <f t="shared" ref="N574:P575" si="222">+F574-J574</f>
        <v>0</v>
      </c>
      <c r="O574" s="391">
        <f t="shared" si="222"/>
        <v>0</v>
      </c>
      <c r="P574" s="391">
        <f t="shared" si="222"/>
        <v>0</v>
      </c>
      <c r="Q574" s="391">
        <f>+N574+O574+P574</f>
        <v>0</v>
      </c>
      <c r="R574" s="761"/>
      <c r="S574" s="267" t="str">
        <f t="shared" si="207"/>
        <v/>
      </c>
      <c r="T574" s="267" t="str">
        <f t="shared" si="207"/>
        <v/>
      </c>
      <c r="U574" s="267" t="str">
        <f t="shared" si="207"/>
        <v/>
      </c>
      <c r="V574" s="267" t="str">
        <f t="shared" si="204"/>
        <v/>
      </c>
      <c r="W574" s="532"/>
      <c r="Y574" s="236" t="s">
        <v>598</v>
      </c>
      <c r="Z574" s="240" t="s">
        <v>598</v>
      </c>
    </row>
    <row r="575" spans="1:26" ht="12" customHeight="1">
      <c r="A575" s="548" t="s">
        <v>172</v>
      </c>
      <c r="B575" s="548" t="s">
        <v>177</v>
      </c>
      <c r="C575" s="456"/>
      <c r="D575" s="549"/>
      <c r="E575" s="462" t="s">
        <v>290</v>
      </c>
      <c r="F575" s="103">
        <v>0</v>
      </c>
      <c r="G575" s="103">
        <f>SUM('[3]chd6-SAOB'!AZ224)</f>
        <v>0</v>
      </c>
      <c r="H575" s="103">
        <f>SUM('[3]chd6-SAOB'!AZ316)</f>
        <v>0</v>
      </c>
      <c r="I575" s="103">
        <f>+F575+G575+H575</f>
        <v>0</v>
      </c>
      <c r="J575" s="103">
        <v>0</v>
      </c>
      <c r="K575" s="103">
        <f>SUM('[3]chd6-SAOB'!AZ225)</f>
        <v>0</v>
      </c>
      <c r="L575" s="103">
        <f>SUM('[3]chd6-SAOB'!AZ317)</f>
        <v>0</v>
      </c>
      <c r="M575" s="103">
        <f>+J575+K575+L575</f>
        <v>0</v>
      </c>
      <c r="N575" s="103">
        <f t="shared" si="222"/>
        <v>0</v>
      </c>
      <c r="O575" s="103">
        <f t="shared" si="222"/>
        <v>0</v>
      </c>
      <c r="P575" s="103">
        <f t="shared" si="222"/>
        <v>0</v>
      </c>
      <c r="Q575" s="103">
        <f>+N575+O575+P575</f>
        <v>0</v>
      </c>
      <c r="S575" s="267" t="str">
        <f t="shared" si="207"/>
        <v/>
      </c>
      <c r="T575" s="267" t="str">
        <f t="shared" si="207"/>
        <v/>
      </c>
      <c r="U575" s="267" t="str">
        <f t="shared" si="207"/>
        <v/>
      </c>
      <c r="V575" s="267" t="str">
        <f t="shared" si="204"/>
        <v/>
      </c>
      <c r="W575" s="530"/>
      <c r="X575" s="236"/>
      <c r="Y575" s="236" t="s">
        <v>598</v>
      </c>
      <c r="Z575" s="236"/>
    </row>
    <row r="576" spans="1:26" s="259" customFormat="1" ht="12" customHeight="1">
      <c r="A576" s="315" t="s">
        <v>172</v>
      </c>
      <c r="B576" s="315" t="s">
        <v>177</v>
      </c>
      <c r="C576" s="1096"/>
      <c r="D576" s="466"/>
      <c r="E576" s="1097" t="s">
        <v>4</v>
      </c>
      <c r="F576" s="652">
        <f>+F574+F572</f>
        <v>0</v>
      </c>
      <c r="G576" s="652">
        <f t="shared" ref="G576:Q576" si="223">+G574+G572</f>
        <v>515573.78</v>
      </c>
      <c r="H576" s="652">
        <f t="shared" si="223"/>
        <v>0</v>
      </c>
      <c r="I576" s="652">
        <f t="shared" si="223"/>
        <v>515573.78</v>
      </c>
      <c r="J576" s="652">
        <f t="shared" si="223"/>
        <v>0</v>
      </c>
      <c r="K576" s="652">
        <f t="shared" si="223"/>
        <v>506881.78</v>
      </c>
      <c r="L576" s="652">
        <f t="shared" si="223"/>
        <v>0</v>
      </c>
      <c r="M576" s="652">
        <f t="shared" si="223"/>
        <v>506881.78</v>
      </c>
      <c r="N576" s="652">
        <f t="shared" si="223"/>
        <v>0</v>
      </c>
      <c r="O576" s="652">
        <f t="shared" si="223"/>
        <v>8692</v>
      </c>
      <c r="P576" s="652">
        <f t="shared" si="223"/>
        <v>0</v>
      </c>
      <c r="Q576" s="652">
        <f t="shared" si="223"/>
        <v>8692</v>
      </c>
      <c r="R576" s="1095">
        <f>+Q576-'[3]chd6-SAOB'!CB353</f>
        <v>0</v>
      </c>
      <c r="S576" s="524" t="str">
        <f t="shared" si="207"/>
        <v/>
      </c>
      <c r="T576" s="524">
        <f t="shared" si="207"/>
        <v>0.98314111318849462</v>
      </c>
      <c r="U576" s="524" t="str">
        <f t="shared" si="207"/>
        <v/>
      </c>
      <c r="V576" s="524">
        <f t="shared" si="204"/>
        <v>0.98314111318849462</v>
      </c>
      <c r="W576" s="344"/>
      <c r="X576" s="520"/>
      <c r="Y576" s="837" t="s">
        <v>598</v>
      </c>
      <c r="Z576" s="241" t="s">
        <v>598</v>
      </c>
    </row>
    <row r="577" spans="1:26" ht="12" customHeight="1">
      <c r="A577" s="315" t="s">
        <v>172</v>
      </c>
      <c r="B577" s="315" t="s">
        <v>177</v>
      </c>
      <c r="C577" s="456"/>
      <c r="D577" s="456"/>
      <c r="E577" s="46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S577" s="267" t="str">
        <f t="shared" si="207"/>
        <v/>
      </c>
      <c r="T577" s="267" t="str">
        <f t="shared" si="207"/>
        <v/>
      </c>
      <c r="U577" s="267" t="str">
        <f t="shared" si="207"/>
        <v/>
      </c>
      <c r="V577" s="267" t="str">
        <f t="shared" si="204"/>
        <v/>
      </c>
      <c r="W577" s="267"/>
      <c r="Y577" s="837" t="s">
        <v>598</v>
      </c>
      <c r="Z577" s="241" t="s">
        <v>598</v>
      </c>
    </row>
    <row r="578" spans="1:26" s="275" customFormat="1" ht="13.5" customHeight="1">
      <c r="A578" s="315" t="s">
        <v>172</v>
      </c>
      <c r="B578" s="315" t="s">
        <v>178</v>
      </c>
      <c r="C578" s="464" t="s">
        <v>98</v>
      </c>
      <c r="D578" s="465" t="s">
        <v>111</v>
      </c>
      <c r="E578" s="407" t="s">
        <v>816</v>
      </c>
      <c r="F578" s="468"/>
      <c r="G578" s="468"/>
      <c r="H578" s="468"/>
      <c r="I578" s="409">
        <f t="shared" si="214"/>
        <v>0</v>
      </c>
      <c r="J578" s="468"/>
      <c r="K578" s="468"/>
      <c r="L578" s="468"/>
      <c r="M578" s="409">
        <f t="shared" si="215"/>
        <v>0</v>
      </c>
      <c r="N578" s="409">
        <f t="shared" si="216"/>
        <v>0</v>
      </c>
      <c r="O578" s="409">
        <f t="shared" si="216"/>
        <v>0</v>
      </c>
      <c r="P578" s="409">
        <f t="shared" si="216"/>
        <v>0</v>
      </c>
      <c r="Q578" s="409">
        <f t="shared" si="217"/>
        <v>0</v>
      </c>
      <c r="R578" s="761"/>
      <c r="S578" s="267" t="str">
        <f t="shared" si="207"/>
        <v/>
      </c>
      <c r="T578" s="267" t="str">
        <f t="shared" si="207"/>
        <v/>
      </c>
      <c r="U578" s="267" t="str">
        <f t="shared" si="207"/>
        <v/>
      </c>
      <c r="V578" s="267" t="str">
        <f t="shared" si="204"/>
        <v/>
      </c>
      <c r="W578" s="251"/>
      <c r="X578" s="274"/>
      <c r="Y578" s="837" t="s">
        <v>598</v>
      </c>
      <c r="Z578" s="241" t="s">
        <v>598</v>
      </c>
    </row>
    <row r="579" spans="1:26" ht="12" customHeight="1">
      <c r="A579" s="315" t="s">
        <v>172</v>
      </c>
      <c r="B579" s="315" t="s">
        <v>178</v>
      </c>
      <c r="C579" s="447" t="s">
        <v>766</v>
      </c>
      <c r="D579" s="474"/>
      <c r="E579" s="447" t="s">
        <v>766</v>
      </c>
      <c r="F579" s="104">
        <f>'[3]chd6-SAOB'!C456</f>
        <v>0</v>
      </c>
      <c r="G579" s="104">
        <f>'[3]chd6-SAOB'!D456</f>
        <v>483713.05</v>
      </c>
      <c r="H579" s="104">
        <f>'[3]chd6-SAOB'!E456</f>
        <v>100000000</v>
      </c>
      <c r="I579" s="103">
        <f t="shared" si="214"/>
        <v>100483713.05</v>
      </c>
      <c r="J579" s="104">
        <f>'[3]chd6-SAOB'!G456</f>
        <v>0</v>
      </c>
      <c r="K579" s="104">
        <f>'[3]chd6-SAOB'!H456</f>
        <v>416164.96</v>
      </c>
      <c r="L579" s="104">
        <f>'[3]chd6-SAOB'!I456</f>
        <v>31356400</v>
      </c>
      <c r="M579" s="103">
        <f t="shared" si="215"/>
        <v>31772564.960000001</v>
      </c>
      <c r="N579" s="103">
        <f t="shared" si="216"/>
        <v>0</v>
      </c>
      <c r="O579" s="103">
        <f t="shared" si="216"/>
        <v>67548.089999999967</v>
      </c>
      <c r="P579" s="103">
        <f t="shared" si="216"/>
        <v>68643600</v>
      </c>
      <c r="Q579" s="103">
        <f t="shared" si="217"/>
        <v>68711148.090000004</v>
      </c>
      <c r="S579" s="267" t="str">
        <f t="shared" si="207"/>
        <v/>
      </c>
      <c r="T579" s="267">
        <f t="shared" si="207"/>
        <v>0.86035503900504651</v>
      </c>
      <c r="U579" s="267">
        <f t="shared" si="207"/>
        <v>0.31356400000000001</v>
      </c>
      <c r="V579" s="267">
        <f t="shared" si="204"/>
        <v>0.31619616747432683</v>
      </c>
      <c r="W579" s="267"/>
      <c r="Y579" s="837" t="s">
        <v>688</v>
      </c>
    </row>
    <row r="580" spans="1:26" ht="12" customHeight="1">
      <c r="A580" s="315" t="s">
        <v>172</v>
      </c>
      <c r="B580" s="315" t="s">
        <v>178</v>
      </c>
      <c r="C580" s="456"/>
      <c r="D580" s="474"/>
      <c r="E580" s="453" t="s">
        <v>50</v>
      </c>
      <c r="F580" s="103">
        <f>+F581+F582</f>
        <v>0</v>
      </c>
      <c r="G580" s="103">
        <f>+G581+G582</f>
        <v>2220894.6399999997</v>
      </c>
      <c r="H580" s="103">
        <f>+H581+H582</f>
        <v>0</v>
      </c>
      <c r="I580" s="103">
        <f t="shared" si="214"/>
        <v>2220894.6399999997</v>
      </c>
      <c r="J580" s="103">
        <f>+J581+J582</f>
        <v>0</v>
      </c>
      <c r="K580" s="103">
        <f>+K581+K582</f>
        <v>951650</v>
      </c>
      <c r="L580" s="103">
        <f>+L581+L582</f>
        <v>0</v>
      </c>
      <c r="M580" s="103">
        <f t="shared" si="215"/>
        <v>951650</v>
      </c>
      <c r="N580" s="103">
        <f t="shared" si="216"/>
        <v>0</v>
      </c>
      <c r="O580" s="103">
        <f t="shared" si="216"/>
        <v>1269244.6399999997</v>
      </c>
      <c r="P580" s="103">
        <f t="shared" si="216"/>
        <v>0</v>
      </c>
      <c r="Q580" s="103">
        <f t="shared" si="217"/>
        <v>1269244.6399999997</v>
      </c>
      <c r="S580" s="267" t="str">
        <f t="shared" si="207"/>
        <v/>
      </c>
      <c r="T580" s="267">
        <f t="shared" si="207"/>
        <v>0.42849849013999158</v>
      </c>
      <c r="U580" s="267" t="str">
        <f t="shared" si="207"/>
        <v/>
      </c>
      <c r="V580" s="267">
        <f t="shared" si="204"/>
        <v>0.42849849013999158</v>
      </c>
      <c r="W580" s="267"/>
      <c r="Y580" s="837" t="s">
        <v>688</v>
      </c>
    </row>
    <row r="581" spans="1:26" ht="12" hidden="1" customHeight="1">
      <c r="A581" s="315" t="s">
        <v>172</v>
      </c>
      <c r="B581" s="315" t="s">
        <v>178</v>
      </c>
      <c r="C581" s="458" t="s">
        <v>715</v>
      </c>
      <c r="D581" s="458" t="s">
        <v>715</v>
      </c>
      <c r="E581" s="447" t="s">
        <v>715</v>
      </c>
      <c r="F581" s="104">
        <f>'[3]CONAP - W INC'!F437</f>
        <v>0</v>
      </c>
      <c r="G581" s="104">
        <f>'[3]CONAP - W INC'!G437</f>
        <v>-177731.34000000008</v>
      </c>
      <c r="H581" s="104">
        <f>'[3]CONAP - W INC'!H437</f>
        <v>0</v>
      </c>
      <c r="I581" s="103">
        <f t="shared" si="214"/>
        <v>-177731.34000000008</v>
      </c>
      <c r="J581" s="104">
        <f>'[3]CONAP - W INC'!J437</f>
        <v>0</v>
      </c>
      <c r="K581" s="104">
        <f>'[3]CONAP - W INC'!K437</f>
        <v>240000</v>
      </c>
      <c r="L581" s="104">
        <f>'[3]CONAP - W INC'!L437</f>
        <v>0</v>
      </c>
      <c r="M581" s="103">
        <f t="shared" si="215"/>
        <v>240000</v>
      </c>
      <c r="N581" s="103">
        <f t="shared" si="216"/>
        <v>0</v>
      </c>
      <c r="O581" s="103">
        <f t="shared" si="216"/>
        <v>-417731.34000000008</v>
      </c>
      <c r="P581" s="103">
        <f t="shared" si="216"/>
        <v>0</v>
      </c>
      <c r="Q581" s="103">
        <f t="shared" si="217"/>
        <v>-417731.34000000008</v>
      </c>
      <c r="S581" s="267" t="str">
        <f t="shared" si="207"/>
        <v/>
      </c>
      <c r="T581" s="267">
        <f t="shared" si="207"/>
        <v>-1.3503527290122264</v>
      </c>
      <c r="U581" s="267" t="str">
        <f t="shared" si="207"/>
        <v/>
      </c>
      <c r="V581" s="267">
        <f t="shared" si="204"/>
        <v>-1.3503527290122264</v>
      </c>
      <c r="W581" s="267"/>
    </row>
    <row r="582" spans="1:26" ht="12" hidden="1" customHeight="1">
      <c r="A582" s="315" t="s">
        <v>172</v>
      </c>
      <c r="B582" s="315" t="s">
        <v>178</v>
      </c>
      <c r="C582" s="458" t="s">
        <v>716</v>
      </c>
      <c r="D582" s="458" t="s">
        <v>716</v>
      </c>
      <c r="E582" s="459" t="s">
        <v>716</v>
      </c>
      <c r="F582" s="104">
        <f>'[3]CONAP - W INC'!F438</f>
        <v>0</v>
      </c>
      <c r="G582" s="104">
        <f>'[3]CONAP - W INC'!G438</f>
        <v>2398625.98</v>
      </c>
      <c r="H582" s="104">
        <f>'[3]CONAP - W INC'!H438</f>
        <v>0</v>
      </c>
      <c r="I582" s="103">
        <f t="shared" si="214"/>
        <v>2398625.98</v>
      </c>
      <c r="J582" s="104">
        <f>'[3]CONAP - W INC'!J438</f>
        <v>0</v>
      </c>
      <c r="K582" s="104">
        <f>'[3]CONAP - W INC'!K438</f>
        <v>711650</v>
      </c>
      <c r="L582" s="104">
        <f>'[3]CONAP - W INC'!L438</f>
        <v>0</v>
      </c>
      <c r="M582" s="103">
        <f t="shared" si="215"/>
        <v>711650</v>
      </c>
      <c r="N582" s="103">
        <f t="shared" si="216"/>
        <v>0</v>
      </c>
      <c r="O582" s="103">
        <f t="shared" si="216"/>
        <v>1686975.98</v>
      </c>
      <c r="P582" s="103">
        <f t="shared" si="216"/>
        <v>0</v>
      </c>
      <c r="Q582" s="103">
        <f t="shared" si="217"/>
        <v>1686975.98</v>
      </c>
      <c r="S582" s="267" t="str">
        <f t="shared" si="207"/>
        <v/>
      </c>
      <c r="T582" s="267">
        <f t="shared" si="207"/>
        <v>0.29669069122648295</v>
      </c>
      <c r="U582" s="267" t="str">
        <f t="shared" si="207"/>
        <v/>
      </c>
      <c r="V582" s="267">
        <f t="shared" si="204"/>
        <v>0.29669069122648295</v>
      </c>
      <c r="W582" s="267"/>
    </row>
    <row r="583" spans="1:26" s="256" customFormat="1" ht="12" customHeight="1">
      <c r="A583" s="315"/>
      <c r="B583" s="315" t="s">
        <v>178</v>
      </c>
      <c r="C583" s="460"/>
      <c r="D583" s="460"/>
      <c r="E583" s="390" t="s">
        <v>767</v>
      </c>
      <c r="F583" s="391">
        <f>+F580+F579</f>
        <v>0</v>
      </c>
      <c r="G583" s="391">
        <f t="shared" ref="G583:Q583" si="224">+G580+G579</f>
        <v>2704607.6899999995</v>
      </c>
      <c r="H583" s="391">
        <f t="shared" si="224"/>
        <v>100000000</v>
      </c>
      <c r="I583" s="391">
        <f t="shared" si="224"/>
        <v>102704607.69</v>
      </c>
      <c r="J583" s="391">
        <f t="shared" si="224"/>
        <v>0</v>
      </c>
      <c r="K583" s="391">
        <f t="shared" si="224"/>
        <v>1367814.96</v>
      </c>
      <c r="L583" s="391">
        <f t="shared" si="224"/>
        <v>31356400</v>
      </c>
      <c r="M583" s="391">
        <f t="shared" si="224"/>
        <v>32724214.960000001</v>
      </c>
      <c r="N583" s="391">
        <f t="shared" si="224"/>
        <v>0</v>
      </c>
      <c r="O583" s="391">
        <f t="shared" si="224"/>
        <v>1336792.7299999995</v>
      </c>
      <c r="P583" s="391">
        <f t="shared" si="224"/>
        <v>68643600</v>
      </c>
      <c r="Q583" s="391">
        <f t="shared" si="224"/>
        <v>69980392.730000004</v>
      </c>
      <c r="R583" s="761"/>
      <c r="S583" s="267" t="str">
        <f t="shared" si="207"/>
        <v/>
      </c>
      <c r="T583" s="267">
        <f t="shared" si="207"/>
        <v>0.50573507021271547</v>
      </c>
      <c r="U583" s="267">
        <f t="shared" si="207"/>
        <v>0.31356400000000001</v>
      </c>
      <c r="V583" s="267">
        <f t="shared" si="204"/>
        <v>0.31862460405645704</v>
      </c>
      <c r="W583" s="263"/>
      <c r="X583" s="271"/>
      <c r="Y583" s="837" t="s">
        <v>598</v>
      </c>
      <c r="Z583" s="241" t="s">
        <v>598</v>
      </c>
    </row>
    <row r="584" spans="1:26" ht="12" hidden="1" customHeight="1">
      <c r="A584" s="315"/>
      <c r="B584" s="315"/>
      <c r="C584" s="456"/>
      <c r="D584" s="456"/>
      <c r="E584" s="461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S584" s="267" t="str">
        <f t="shared" si="207"/>
        <v/>
      </c>
      <c r="T584" s="267" t="str">
        <f t="shared" si="207"/>
        <v/>
      </c>
      <c r="U584" s="267" t="str">
        <f t="shared" si="207"/>
        <v/>
      </c>
      <c r="V584" s="267" t="str">
        <f t="shared" si="204"/>
        <v/>
      </c>
      <c r="W584" s="267"/>
    </row>
    <row r="585" spans="1:26" s="256" customFormat="1" ht="12" customHeight="1">
      <c r="A585" s="315" t="s">
        <v>172</v>
      </c>
      <c r="B585" s="315" t="s">
        <v>178</v>
      </c>
      <c r="C585" s="460"/>
      <c r="D585" s="460" t="s">
        <v>98</v>
      </c>
      <c r="E585" s="390" t="s">
        <v>100</v>
      </c>
      <c r="F585" s="391">
        <f>SUM(F586:F586)</f>
        <v>0</v>
      </c>
      <c r="G585" s="391">
        <f>SUM(G586:G586)</f>
        <v>6346936.1699999999</v>
      </c>
      <c r="H585" s="391">
        <f>SUM(H586:H586)</f>
        <v>0</v>
      </c>
      <c r="I585" s="391">
        <f>+F585+G585+H585</f>
        <v>6346936.1699999999</v>
      </c>
      <c r="J585" s="391">
        <f>SUM(J586:J586)</f>
        <v>0</v>
      </c>
      <c r="K585" s="391">
        <f>SUM(K586:K586)</f>
        <v>6342927.9399999995</v>
      </c>
      <c r="L585" s="391">
        <f>SUM(L586:L586)</f>
        <v>0</v>
      </c>
      <c r="M585" s="391">
        <f>+J585+K585+L585</f>
        <v>6342927.9399999995</v>
      </c>
      <c r="N585" s="391">
        <f t="shared" ref="N585:P586" si="225">+F585-J585</f>
        <v>0</v>
      </c>
      <c r="O585" s="391">
        <f t="shared" si="225"/>
        <v>4008.230000000447</v>
      </c>
      <c r="P585" s="391">
        <f t="shared" si="225"/>
        <v>0</v>
      </c>
      <c r="Q585" s="391">
        <f>+N585+O585+P585</f>
        <v>4008.230000000447</v>
      </c>
      <c r="R585" s="761"/>
      <c r="S585" s="267" t="str">
        <f t="shared" si="207"/>
        <v/>
      </c>
      <c r="T585" s="267">
        <f t="shared" si="207"/>
        <v>0.99936847797226225</v>
      </c>
      <c r="U585" s="267" t="str">
        <f t="shared" si="207"/>
        <v/>
      </c>
      <c r="V585" s="267">
        <f t="shared" si="204"/>
        <v>0.99936847797226225</v>
      </c>
      <c r="W585" s="263"/>
      <c r="X585" s="271"/>
      <c r="Y585" s="837" t="s">
        <v>598</v>
      </c>
      <c r="Z585" s="241" t="s">
        <v>598</v>
      </c>
    </row>
    <row r="586" spans="1:26" ht="12" customHeight="1">
      <c r="A586" s="315" t="s">
        <v>172</v>
      </c>
      <c r="B586" s="315" t="s">
        <v>178</v>
      </c>
      <c r="C586" s="456"/>
      <c r="D586" s="456"/>
      <c r="E586" s="462" t="s">
        <v>290</v>
      </c>
      <c r="F586" s="103">
        <v>0</v>
      </c>
      <c r="G586" s="103">
        <f>SUM('[3]chd6-SAOB'!AX224)</f>
        <v>6346936.1699999999</v>
      </c>
      <c r="H586" s="103">
        <f>SUM('[3]chd6-SAOB'!AX316)</f>
        <v>0</v>
      </c>
      <c r="I586" s="103">
        <f>+F586+G586+H586</f>
        <v>6346936.1699999999</v>
      </c>
      <c r="J586" s="103">
        <v>0</v>
      </c>
      <c r="K586" s="103">
        <f>SUM('[3]chd6-SAOB'!AX225)</f>
        <v>6342927.9399999995</v>
      </c>
      <c r="L586" s="103">
        <f>SUM('[3]chd6-SAOB'!AX317)</f>
        <v>0</v>
      </c>
      <c r="M586" s="103">
        <f>+J586+K586+L586</f>
        <v>6342927.9399999995</v>
      </c>
      <c r="N586" s="103">
        <f t="shared" si="225"/>
        <v>0</v>
      </c>
      <c r="O586" s="103">
        <f t="shared" si="225"/>
        <v>4008.230000000447</v>
      </c>
      <c r="P586" s="103">
        <f t="shared" si="225"/>
        <v>0</v>
      </c>
      <c r="Q586" s="103">
        <f>+N586+O586+P586</f>
        <v>4008.230000000447</v>
      </c>
      <c r="S586" s="267" t="str">
        <f t="shared" si="207"/>
        <v/>
      </c>
      <c r="T586" s="267">
        <f t="shared" si="207"/>
        <v>0.99936847797226225</v>
      </c>
      <c r="U586" s="267" t="str">
        <f t="shared" si="207"/>
        <v/>
      </c>
      <c r="V586" s="267">
        <f t="shared" si="204"/>
        <v>0.99936847797226225</v>
      </c>
      <c r="W586" s="267"/>
      <c r="Y586" s="837" t="s">
        <v>598</v>
      </c>
    </row>
    <row r="587" spans="1:26" s="259" customFormat="1" ht="12" customHeight="1">
      <c r="A587" s="315" t="s">
        <v>172</v>
      </c>
      <c r="B587" s="315" t="s">
        <v>178</v>
      </c>
      <c r="C587" s="1096"/>
      <c r="D587" s="466"/>
      <c r="E587" s="1097" t="s">
        <v>4</v>
      </c>
      <c r="F587" s="652">
        <f>+F585+F583</f>
        <v>0</v>
      </c>
      <c r="G587" s="652">
        <f t="shared" ref="G587:Q587" si="226">+G585+G583</f>
        <v>9051543.8599999994</v>
      </c>
      <c r="H587" s="652">
        <f t="shared" si="226"/>
        <v>100000000</v>
      </c>
      <c r="I587" s="652">
        <f t="shared" si="226"/>
        <v>109051543.86</v>
      </c>
      <c r="J587" s="652">
        <f t="shared" si="226"/>
        <v>0</v>
      </c>
      <c r="K587" s="652">
        <f t="shared" si="226"/>
        <v>7710742.8999999994</v>
      </c>
      <c r="L587" s="652">
        <f t="shared" si="226"/>
        <v>31356400</v>
      </c>
      <c r="M587" s="652">
        <f t="shared" si="226"/>
        <v>39067142.899999999</v>
      </c>
      <c r="N587" s="652">
        <f t="shared" si="226"/>
        <v>0</v>
      </c>
      <c r="O587" s="652">
        <f t="shared" si="226"/>
        <v>1340800.96</v>
      </c>
      <c r="P587" s="652">
        <f t="shared" si="226"/>
        <v>68643600</v>
      </c>
      <c r="Q587" s="652">
        <f t="shared" si="226"/>
        <v>69984400.960000008</v>
      </c>
      <c r="R587" s="1095">
        <f>+Q587-'[3]chd6-SAOB'!BZ353</f>
        <v>0</v>
      </c>
      <c r="S587" s="524" t="str">
        <f t="shared" si="207"/>
        <v/>
      </c>
      <c r="T587" s="524">
        <f t="shared" si="207"/>
        <v>0.85187046754253914</v>
      </c>
      <c r="U587" s="524">
        <f t="shared" si="207"/>
        <v>0.31356400000000001</v>
      </c>
      <c r="V587" s="524">
        <f t="shared" si="204"/>
        <v>0.35824474846641569</v>
      </c>
      <c r="W587" s="344"/>
      <c r="X587" s="520"/>
      <c r="Y587" s="837" t="s">
        <v>598</v>
      </c>
      <c r="Z587" s="241" t="s">
        <v>598</v>
      </c>
    </row>
    <row r="588" spans="1:26" s="660" customFormat="1" ht="12" hidden="1" customHeight="1">
      <c r="A588" s="315" t="s">
        <v>172</v>
      </c>
      <c r="B588" s="315" t="s">
        <v>173</v>
      </c>
      <c r="C588" s="1467" t="s">
        <v>627</v>
      </c>
      <c r="D588" s="1468"/>
      <c r="E588" s="1469"/>
      <c r="F588" s="659">
        <f>+F554+F565+F576+F587</f>
        <v>0</v>
      </c>
      <c r="G588" s="659">
        <f>+G554+G565+G576+G587</f>
        <v>26060938.449999996</v>
      </c>
      <c r="H588" s="659">
        <f>+H554+H565+H576+H587</f>
        <v>100000000</v>
      </c>
      <c r="I588" s="659">
        <f t="shared" si="214"/>
        <v>126060938.44999999</v>
      </c>
      <c r="J588" s="659">
        <f>+J554+J565+J576+J587</f>
        <v>0</v>
      </c>
      <c r="K588" s="659">
        <f>+K554+K565+K576+K587</f>
        <v>14740489.309999999</v>
      </c>
      <c r="L588" s="659">
        <f>+L554+L565+L576+L587</f>
        <v>31356400</v>
      </c>
      <c r="M588" s="659">
        <f t="shared" si="215"/>
        <v>46096889.310000002</v>
      </c>
      <c r="N588" s="659">
        <f t="shared" si="216"/>
        <v>0</v>
      </c>
      <c r="O588" s="659">
        <f t="shared" si="216"/>
        <v>11320449.139999997</v>
      </c>
      <c r="P588" s="659">
        <f t="shared" si="216"/>
        <v>68643600</v>
      </c>
      <c r="Q588" s="659">
        <f t="shared" si="217"/>
        <v>79964049.140000001</v>
      </c>
      <c r="R588" s="1098"/>
      <c r="S588" s="661" t="str">
        <f t="shared" si="207"/>
        <v/>
      </c>
      <c r="T588" s="661">
        <f t="shared" si="207"/>
        <v>0.56561621287279473</v>
      </c>
      <c r="U588" s="661">
        <f t="shared" si="207"/>
        <v>0.31356400000000001</v>
      </c>
      <c r="V588" s="661">
        <f t="shared" si="204"/>
        <v>0.365671475056356</v>
      </c>
      <c r="W588" s="295"/>
      <c r="X588" s="520"/>
      <c r="Y588" s="837"/>
      <c r="Z588" s="241"/>
    </row>
    <row r="589" spans="1:26" ht="12" hidden="1" customHeight="1">
      <c r="A589" s="315" t="s">
        <v>172</v>
      </c>
      <c r="B589" s="315" t="s">
        <v>173</v>
      </c>
      <c r="C589" s="469"/>
      <c r="D589" s="470"/>
      <c r="E589" s="471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S589" s="267" t="str">
        <f t="shared" si="207"/>
        <v/>
      </c>
      <c r="T589" s="267" t="str">
        <f t="shared" si="207"/>
        <v/>
      </c>
      <c r="U589" s="267" t="str">
        <f t="shared" si="207"/>
        <v/>
      </c>
      <c r="V589" s="267" t="str">
        <f t="shared" si="204"/>
        <v/>
      </c>
      <c r="W589" s="267"/>
      <c r="X589" s="237" t="s">
        <v>598</v>
      </c>
    </row>
    <row r="590" spans="1:26" s="275" customFormat="1" ht="12.75" hidden="1" customHeight="1">
      <c r="A590" s="315" t="s">
        <v>628</v>
      </c>
      <c r="B590" s="315" t="s">
        <v>173</v>
      </c>
      <c r="C590" s="464" t="s">
        <v>817</v>
      </c>
      <c r="D590" s="464"/>
      <c r="E590" s="472"/>
      <c r="F590" s="409"/>
      <c r="G590" s="409"/>
      <c r="H590" s="409"/>
      <c r="I590" s="409">
        <f t="shared" si="214"/>
        <v>0</v>
      </c>
      <c r="J590" s="409"/>
      <c r="K590" s="409"/>
      <c r="L590" s="409"/>
      <c r="M590" s="409">
        <f t="shared" si="215"/>
        <v>0</v>
      </c>
      <c r="N590" s="409">
        <f t="shared" si="216"/>
        <v>0</v>
      </c>
      <c r="O590" s="409">
        <f t="shared" si="216"/>
        <v>0</v>
      </c>
      <c r="P590" s="409">
        <f t="shared" si="216"/>
        <v>0</v>
      </c>
      <c r="Q590" s="409">
        <f t="shared" si="217"/>
        <v>0</v>
      </c>
      <c r="R590" s="761"/>
      <c r="S590" s="267" t="str">
        <f t="shared" si="207"/>
        <v/>
      </c>
      <c r="T590" s="267" t="str">
        <f t="shared" si="207"/>
        <v/>
      </c>
      <c r="U590" s="267" t="str">
        <f t="shared" si="207"/>
        <v/>
      </c>
      <c r="V590" s="267" t="str">
        <f t="shared" si="204"/>
        <v/>
      </c>
      <c r="W590" s="251"/>
      <c r="X590" s="237" t="s">
        <v>598</v>
      </c>
      <c r="Y590" s="839"/>
      <c r="Z590" s="253"/>
    </row>
    <row r="591" spans="1:26" ht="12" hidden="1" customHeight="1">
      <c r="A591" s="315" t="s">
        <v>628</v>
      </c>
      <c r="B591" s="315" t="s">
        <v>173</v>
      </c>
      <c r="C591" s="447" t="s">
        <v>766</v>
      </c>
      <c r="D591" s="456" t="s">
        <v>98</v>
      </c>
      <c r="E591" s="447" t="s">
        <v>766</v>
      </c>
      <c r="F591" s="103">
        <f>+F531+F546+F557+F568+F579</f>
        <v>0</v>
      </c>
      <c r="G591" s="103">
        <f>+G531+G546+G557+G568+G579</f>
        <v>19913096.379999999</v>
      </c>
      <c r="H591" s="103">
        <f>+H531+H546+H557+H568+H579</f>
        <v>100000000</v>
      </c>
      <c r="I591" s="103">
        <f t="shared" si="214"/>
        <v>119913096.38</v>
      </c>
      <c r="J591" s="103">
        <f>+J531+J546+J557+J568+J579</f>
        <v>0</v>
      </c>
      <c r="K591" s="103">
        <f>+K531+K546+K557+K568+K579</f>
        <v>4299415.8099999996</v>
      </c>
      <c r="L591" s="103">
        <f>+L531+L546+L557+L568+L579</f>
        <v>31356400</v>
      </c>
      <c r="M591" s="103">
        <f t="shared" si="215"/>
        <v>35655815.810000002</v>
      </c>
      <c r="N591" s="103">
        <f t="shared" si="216"/>
        <v>0</v>
      </c>
      <c r="O591" s="103">
        <f t="shared" si="216"/>
        <v>15613680.57</v>
      </c>
      <c r="P591" s="103">
        <f t="shared" si="216"/>
        <v>68643600</v>
      </c>
      <c r="Q591" s="103">
        <f t="shared" si="217"/>
        <v>84257280.569999993</v>
      </c>
      <c r="S591" s="267" t="str">
        <f t="shared" si="207"/>
        <v/>
      </c>
      <c r="T591" s="267">
        <f t="shared" si="207"/>
        <v>0.21590895398458368</v>
      </c>
      <c r="U591" s="267">
        <f t="shared" si="207"/>
        <v>0.31356400000000001</v>
      </c>
      <c r="V591" s="267">
        <f t="shared" si="204"/>
        <v>0.297347136271155</v>
      </c>
      <c r="W591" s="267"/>
      <c r="X591" s="237" t="s">
        <v>598</v>
      </c>
    </row>
    <row r="592" spans="1:26" ht="12" hidden="1" customHeight="1">
      <c r="A592" s="315" t="s">
        <v>628</v>
      </c>
      <c r="B592" s="315" t="s">
        <v>173</v>
      </c>
      <c r="C592" s="456"/>
      <c r="D592" s="456" t="s">
        <v>98</v>
      </c>
      <c r="E592" s="453" t="s">
        <v>50</v>
      </c>
      <c r="F592" s="103">
        <f>+F593+F594</f>
        <v>0</v>
      </c>
      <c r="G592" s="103">
        <f t="shared" ref="G592:L592" si="227">+G593+G594</f>
        <v>50134966.970000006</v>
      </c>
      <c r="H592" s="103">
        <f t="shared" si="227"/>
        <v>5320082.5599999996</v>
      </c>
      <c r="I592" s="103">
        <f t="shared" si="214"/>
        <v>55455049.530000009</v>
      </c>
      <c r="J592" s="103">
        <f t="shared" si="227"/>
        <v>0</v>
      </c>
      <c r="K592" s="103">
        <f t="shared" si="227"/>
        <v>24149677.859999999</v>
      </c>
      <c r="L592" s="103">
        <f t="shared" si="227"/>
        <v>280210</v>
      </c>
      <c r="M592" s="103">
        <f t="shared" si="215"/>
        <v>24429887.859999999</v>
      </c>
      <c r="N592" s="103">
        <f t="shared" si="216"/>
        <v>0</v>
      </c>
      <c r="O592" s="103">
        <f t="shared" si="216"/>
        <v>25985289.110000007</v>
      </c>
      <c r="P592" s="103">
        <f t="shared" si="216"/>
        <v>5039872.5599999996</v>
      </c>
      <c r="Q592" s="103">
        <f t="shared" si="217"/>
        <v>31025161.670000006</v>
      </c>
      <c r="S592" s="267" t="str">
        <f t="shared" si="207"/>
        <v/>
      </c>
      <c r="T592" s="267">
        <f t="shared" si="207"/>
        <v>0.48169330348718081</v>
      </c>
      <c r="U592" s="267">
        <f t="shared" si="207"/>
        <v>5.2670235252890517E-2</v>
      </c>
      <c r="V592" s="267">
        <f t="shared" si="204"/>
        <v>0.44053495699763007</v>
      </c>
      <c r="W592" s="267"/>
      <c r="X592" s="237" t="s">
        <v>598</v>
      </c>
    </row>
    <row r="593" spans="1:26" ht="12" hidden="1" customHeight="1">
      <c r="A593" s="315" t="s">
        <v>628</v>
      </c>
      <c r="B593" s="315" t="s">
        <v>173</v>
      </c>
      <c r="C593" s="458" t="s">
        <v>715</v>
      </c>
      <c r="D593" s="458" t="s">
        <v>715</v>
      </c>
      <c r="E593" s="447" t="s">
        <v>715</v>
      </c>
      <c r="F593" s="103">
        <f t="shared" ref="F593:H594" si="228">+F536+F548+F559+F570+F581</f>
        <v>0</v>
      </c>
      <c r="G593" s="103">
        <f t="shared" si="228"/>
        <v>-417244.9</v>
      </c>
      <c r="H593" s="103">
        <f t="shared" si="228"/>
        <v>4959400</v>
      </c>
      <c r="I593" s="103">
        <f t="shared" si="214"/>
        <v>4542155.0999999996</v>
      </c>
      <c r="J593" s="103">
        <f t="shared" ref="J593:L594" si="229">+J536+J548+J559+J570+J581</f>
        <v>0</v>
      </c>
      <c r="K593" s="103">
        <f t="shared" si="229"/>
        <v>2416007.62</v>
      </c>
      <c r="L593" s="103">
        <f t="shared" si="229"/>
        <v>62910</v>
      </c>
      <c r="M593" s="103">
        <f t="shared" si="215"/>
        <v>2478917.62</v>
      </c>
      <c r="N593" s="103">
        <f t="shared" si="216"/>
        <v>0</v>
      </c>
      <c r="O593" s="103">
        <f t="shared" si="216"/>
        <v>-2833252.52</v>
      </c>
      <c r="P593" s="103">
        <f t="shared" si="216"/>
        <v>4896490</v>
      </c>
      <c r="Q593" s="103">
        <f t="shared" si="217"/>
        <v>2063237.48</v>
      </c>
      <c r="S593" s="267" t="str">
        <f t="shared" si="207"/>
        <v/>
      </c>
      <c r="T593" s="267">
        <f t="shared" si="207"/>
        <v>-5.7903826266061014</v>
      </c>
      <c r="U593" s="267">
        <f t="shared" si="207"/>
        <v>1.2685002218010243E-2</v>
      </c>
      <c r="V593" s="267">
        <f t="shared" si="204"/>
        <v>0.54575803014740742</v>
      </c>
      <c r="W593" s="267"/>
      <c r="X593" s="237" t="s">
        <v>598</v>
      </c>
    </row>
    <row r="594" spans="1:26" ht="12" hidden="1" customHeight="1">
      <c r="A594" s="315" t="s">
        <v>628</v>
      </c>
      <c r="B594" s="315" t="s">
        <v>173</v>
      </c>
      <c r="C594" s="458" t="s">
        <v>716</v>
      </c>
      <c r="D594" s="458" t="s">
        <v>716</v>
      </c>
      <c r="E594" s="459" t="s">
        <v>716</v>
      </c>
      <c r="F594" s="103">
        <f t="shared" si="228"/>
        <v>0</v>
      </c>
      <c r="G594" s="103">
        <f t="shared" si="228"/>
        <v>50552211.870000005</v>
      </c>
      <c r="H594" s="103">
        <f t="shared" si="228"/>
        <v>360682.56</v>
      </c>
      <c r="I594" s="103">
        <f t="shared" si="214"/>
        <v>50912894.430000007</v>
      </c>
      <c r="J594" s="103">
        <f t="shared" si="229"/>
        <v>0</v>
      </c>
      <c r="K594" s="103">
        <f t="shared" si="229"/>
        <v>21733670.239999998</v>
      </c>
      <c r="L594" s="103">
        <f t="shared" si="229"/>
        <v>217300</v>
      </c>
      <c r="M594" s="103">
        <f t="shared" si="215"/>
        <v>21950970.239999998</v>
      </c>
      <c r="N594" s="103">
        <f t="shared" si="216"/>
        <v>0</v>
      </c>
      <c r="O594" s="103">
        <f t="shared" si="216"/>
        <v>28818541.630000006</v>
      </c>
      <c r="P594" s="103">
        <f t="shared" si="216"/>
        <v>143382.56</v>
      </c>
      <c r="Q594" s="103">
        <f t="shared" si="217"/>
        <v>28961924.190000005</v>
      </c>
      <c r="S594" s="267" t="str">
        <f t="shared" si="207"/>
        <v/>
      </c>
      <c r="T594" s="267">
        <f t="shared" si="207"/>
        <v>0.42992520873053536</v>
      </c>
      <c r="U594" s="267">
        <f t="shared" si="207"/>
        <v>0.60246883020903474</v>
      </c>
      <c r="V594" s="267">
        <f t="shared" si="204"/>
        <v>0.43114756066717685</v>
      </c>
      <c r="W594" s="267"/>
      <c r="X594" s="237" t="s">
        <v>598</v>
      </c>
    </row>
    <row r="595" spans="1:26" s="256" customFormat="1" ht="12" hidden="1" customHeight="1">
      <c r="A595" s="315"/>
      <c r="B595" s="315" t="s">
        <v>173</v>
      </c>
      <c r="C595" s="460"/>
      <c r="D595" s="460"/>
      <c r="E595" s="390" t="s">
        <v>767</v>
      </c>
      <c r="F595" s="391">
        <f>+F592+F591</f>
        <v>0</v>
      </c>
      <c r="G595" s="391">
        <f t="shared" ref="G595:Q595" si="230">+G592+G591</f>
        <v>70048063.350000009</v>
      </c>
      <c r="H595" s="391">
        <f t="shared" si="230"/>
        <v>105320082.56</v>
      </c>
      <c r="I595" s="391">
        <f t="shared" si="230"/>
        <v>175368145.91</v>
      </c>
      <c r="J595" s="391">
        <f t="shared" si="230"/>
        <v>0</v>
      </c>
      <c r="K595" s="391">
        <f t="shared" si="230"/>
        <v>28449093.669999998</v>
      </c>
      <c r="L595" s="391">
        <f t="shared" si="230"/>
        <v>31636610</v>
      </c>
      <c r="M595" s="391">
        <f t="shared" si="230"/>
        <v>60085703.670000002</v>
      </c>
      <c r="N595" s="391">
        <f t="shared" si="230"/>
        <v>0</v>
      </c>
      <c r="O595" s="391">
        <f t="shared" si="230"/>
        <v>41598969.680000007</v>
      </c>
      <c r="P595" s="391">
        <f t="shared" si="230"/>
        <v>73683472.560000002</v>
      </c>
      <c r="Q595" s="391">
        <f t="shared" si="230"/>
        <v>115282442.23999999</v>
      </c>
      <c r="R595" s="761"/>
      <c r="S595" s="267" t="str">
        <f t="shared" si="207"/>
        <v/>
      </c>
      <c r="T595" s="267">
        <f t="shared" si="207"/>
        <v>0.40613676252335668</v>
      </c>
      <c r="U595" s="267">
        <f t="shared" si="207"/>
        <v>0.30038535131205274</v>
      </c>
      <c r="V595" s="267">
        <f t="shared" si="204"/>
        <v>0.34262609870344612</v>
      </c>
      <c r="W595" s="263"/>
      <c r="X595" s="237" t="s">
        <v>598</v>
      </c>
      <c r="Y595" s="840"/>
      <c r="Z595" s="241"/>
    </row>
    <row r="596" spans="1:26" ht="12" hidden="1" customHeight="1">
      <c r="A596" s="315"/>
      <c r="B596" s="315"/>
      <c r="C596" s="456"/>
      <c r="D596" s="456"/>
      <c r="E596" s="461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S596" s="267" t="str">
        <f t="shared" si="207"/>
        <v/>
      </c>
      <c r="T596" s="267" t="str">
        <f t="shared" si="207"/>
        <v/>
      </c>
      <c r="U596" s="267" t="str">
        <f t="shared" si="207"/>
        <v/>
      </c>
      <c r="V596" s="267" t="str">
        <f t="shared" si="204"/>
        <v/>
      </c>
      <c r="W596" s="267"/>
      <c r="X596" s="237" t="s">
        <v>598</v>
      </c>
    </row>
    <row r="597" spans="1:26" s="256" customFormat="1" ht="12" hidden="1" customHeight="1">
      <c r="A597" s="315" t="s">
        <v>628</v>
      </c>
      <c r="B597" s="315" t="s">
        <v>173</v>
      </c>
      <c r="C597" s="460"/>
      <c r="D597" s="460" t="s">
        <v>98</v>
      </c>
      <c r="E597" s="390" t="s">
        <v>100</v>
      </c>
      <c r="F597" s="391">
        <f>SUM(F598:F598)</f>
        <v>0</v>
      </c>
      <c r="G597" s="391">
        <f>SUM(G598:G598)</f>
        <v>9876936.1699999999</v>
      </c>
      <c r="H597" s="391">
        <f>SUM(H598:H598)</f>
        <v>0</v>
      </c>
      <c r="I597" s="391">
        <f>+F597+G597+H597</f>
        <v>9876936.1699999999</v>
      </c>
      <c r="J597" s="391">
        <f>SUM(J598:J598)</f>
        <v>0</v>
      </c>
      <c r="K597" s="391">
        <f>SUM(K598:K598)</f>
        <v>8754970.9399999995</v>
      </c>
      <c r="L597" s="391">
        <f>SUM(L598:L598)</f>
        <v>0</v>
      </c>
      <c r="M597" s="391">
        <f>+J597+K597+L597</f>
        <v>8754970.9399999995</v>
      </c>
      <c r="N597" s="391">
        <f t="shared" ref="N597:P598" si="231">+F597-J597</f>
        <v>0</v>
      </c>
      <c r="O597" s="391">
        <f t="shared" si="231"/>
        <v>1121965.2300000004</v>
      </c>
      <c r="P597" s="391">
        <f t="shared" si="231"/>
        <v>0</v>
      </c>
      <c r="Q597" s="391">
        <f>+N597+O597+P597</f>
        <v>1121965.2300000004</v>
      </c>
      <c r="R597" s="761"/>
      <c r="S597" s="267" t="str">
        <f t="shared" si="207"/>
        <v/>
      </c>
      <c r="T597" s="267">
        <f t="shared" si="207"/>
        <v>0.88640554006941608</v>
      </c>
      <c r="U597" s="267" t="str">
        <f t="shared" si="207"/>
        <v/>
      </c>
      <c r="V597" s="267">
        <f t="shared" si="204"/>
        <v>0.88640554006941608</v>
      </c>
      <c r="W597" s="263"/>
      <c r="X597" s="237" t="s">
        <v>598</v>
      </c>
      <c r="Y597" s="840"/>
      <c r="Z597" s="241"/>
    </row>
    <row r="598" spans="1:26" ht="12" hidden="1" customHeight="1">
      <c r="A598" s="315" t="s">
        <v>628</v>
      </c>
      <c r="B598" s="315" t="s">
        <v>173</v>
      </c>
      <c r="C598" s="456"/>
      <c r="D598" s="456"/>
      <c r="E598" s="462" t="s">
        <v>290</v>
      </c>
      <c r="F598" s="103">
        <f>+F541+F553+F564+F575+F586</f>
        <v>0</v>
      </c>
      <c r="G598" s="103">
        <f>+G541+G553+G564+G575+G586</f>
        <v>9876936.1699999999</v>
      </c>
      <c r="H598" s="103">
        <f>+H541+H553+H564+H575+H586</f>
        <v>0</v>
      </c>
      <c r="I598" s="103">
        <f>+F598+G598+H598</f>
        <v>9876936.1699999999</v>
      </c>
      <c r="J598" s="103">
        <f>+J541+J553+J564+J575+J586</f>
        <v>0</v>
      </c>
      <c r="K598" s="103">
        <f>+K541+K553+K564+K575+K586</f>
        <v>8754970.9399999995</v>
      </c>
      <c r="L598" s="103">
        <f>+L541+L553+L564+L575+L586</f>
        <v>0</v>
      </c>
      <c r="M598" s="103">
        <f>+J598+K598+L598</f>
        <v>8754970.9399999995</v>
      </c>
      <c r="N598" s="103">
        <f t="shared" si="231"/>
        <v>0</v>
      </c>
      <c r="O598" s="103">
        <f t="shared" si="231"/>
        <v>1121965.2300000004</v>
      </c>
      <c r="P598" s="103">
        <f t="shared" si="231"/>
        <v>0</v>
      </c>
      <c r="Q598" s="103">
        <f>+N598+O598+P598</f>
        <v>1121965.2300000004</v>
      </c>
      <c r="S598" s="267" t="str">
        <f t="shared" si="207"/>
        <v/>
      </c>
      <c r="T598" s="267">
        <f t="shared" si="207"/>
        <v>0.88640554006941608</v>
      </c>
      <c r="U598" s="267" t="str">
        <f t="shared" si="207"/>
        <v/>
      </c>
      <c r="V598" s="267">
        <f t="shared" si="204"/>
        <v>0.88640554006941608</v>
      </c>
      <c r="W598" s="267"/>
      <c r="X598" s="237" t="s">
        <v>598</v>
      </c>
    </row>
    <row r="599" spans="1:26" s="266" customFormat="1" ht="28.5" customHeight="1">
      <c r="A599" s="315" t="s">
        <v>628</v>
      </c>
      <c r="B599" s="315" t="s">
        <v>173</v>
      </c>
      <c r="C599" s="1470" t="s">
        <v>630</v>
      </c>
      <c r="D599" s="1471"/>
      <c r="E599" s="1472"/>
      <c r="F599" s="666">
        <f>+F597+F595</f>
        <v>0</v>
      </c>
      <c r="G599" s="666">
        <f t="shared" ref="G599:Q599" si="232">+G597+G595</f>
        <v>79924999.520000011</v>
      </c>
      <c r="H599" s="666">
        <f t="shared" si="232"/>
        <v>105320082.56</v>
      </c>
      <c r="I599" s="666">
        <f t="shared" si="232"/>
        <v>185245082.07999998</v>
      </c>
      <c r="J599" s="666">
        <f t="shared" si="232"/>
        <v>0</v>
      </c>
      <c r="K599" s="666">
        <f t="shared" si="232"/>
        <v>37204064.609999999</v>
      </c>
      <c r="L599" s="666">
        <f t="shared" si="232"/>
        <v>31636610</v>
      </c>
      <c r="M599" s="666">
        <f t="shared" si="232"/>
        <v>68840674.609999999</v>
      </c>
      <c r="N599" s="666">
        <f t="shared" si="232"/>
        <v>0</v>
      </c>
      <c r="O599" s="666">
        <f t="shared" si="232"/>
        <v>42720934.910000011</v>
      </c>
      <c r="P599" s="666">
        <f t="shared" si="232"/>
        <v>73683472.560000002</v>
      </c>
      <c r="Q599" s="666">
        <f t="shared" si="232"/>
        <v>116404407.47</v>
      </c>
      <c r="R599" s="1099">
        <f>+Q599-'[3]chd6-SAOB'!CC353</f>
        <v>0</v>
      </c>
      <c r="S599" s="525" t="str">
        <f t="shared" si="207"/>
        <v/>
      </c>
      <c r="T599" s="525">
        <f t="shared" si="207"/>
        <v>0.46548720467230342</v>
      </c>
      <c r="U599" s="525">
        <f t="shared" si="207"/>
        <v>0.30038535131205274</v>
      </c>
      <c r="V599" s="525">
        <f t="shared" si="207"/>
        <v>0.37161944509960299</v>
      </c>
      <c r="W599" s="345"/>
      <c r="X599" s="237" t="s">
        <v>598</v>
      </c>
      <c r="Y599" s="837" t="s">
        <v>598</v>
      </c>
      <c r="Z599" s="241" t="s">
        <v>598</v>
      </c>
    </row>
    <row r="600" spans="1:26" ht="12" customHeight="1">
      <c r="A600" s="315" t="s">
        <v>628</v>
      </c>
      <c r="B600" s="315" t="s">
        <v>173</v>
      </c>
      <c r="C600" s="456"/>
      <c r="D600" s="474"/>
      <c r="E600" s="411"/>
      <c r="F600" s="104"/>
      <c r="G600" s="104"/>
      <c r="H600" s="104"/>
      <c r="I600" s="103"/>
      <c r="J600" s="104"/>
      <c r="K600" s="104"/>
      <c r="L600" s="104"/>
      <c r="M600" s="103"/>
      <c r="N600" s="103"/>
      <c r="O600" s="103"/>
      <c r="P600" s="103"/>
      <c r="Q600" s="103"/>
      <c r="S600" s="267" t="str">
        <f t="shared" ref="S600:V663" si="233">IF(F600=0,"",J600/F600)</f>
        <v/>
      </c>
      <c r="T600" s="267" t="str">
        <f t="shared" si="233"/>
        <v/>
      </c>
      <c r="U600" s="267" t="str">
        <f t="shared" si="233"/>
        <v/>
      </c>
      <c r="V600" s="267" t="str">
        <f t="shared" si="233"/>
        <v/>
      </c>
      <c r="W600" s="267"/>
      <c r="Y600" s="837" t="s">
        <v>598</v>
      </c>
      <c r="Z600" s="241" t="s">
        <v>598</v>
      </c>
    </row>
    <row r="601" spans="1:26" ht="11.25" customHeight="1">
      <c r="A601" s="528" t="s">
        <v>632</v>
      </c>
      <c r="B601" s="528" t="s">
        <v>180</v>
      </c>
      <c r="C601" s="408"/>
      <c r="D601" s="682"/>
      <c r="E601" s="408" t="s">
        <v>180</v>
      </c>
      <c r="F601" s="104"/>
      <c r="G601" s="104"/>
      <c r="H601" s="104"/>
      <c r="I601" s="103">
        <f>SUM(F601:H601)</f>
        <v>0</v>
      </c>
      <c r="J601" s="104"/>
      <c r="K601" s="104"/>
      <c r="L601" s="104"/>
      <c r="M601" s="103">
        <f>SUM(J601:L601)</f>
        <v>0</v>
      </c>
      <c r="N601" s="103">
        <f t="shared" si="216"/>
        <v>0</v>
      </c>
      <c r="O601" s="103">
        <f t="shared" si="216"/>
        <v>0</v>
      </c>
      <c r="P601" s="103">
        <f t="shared" si="216"/>
        <v>0</v>
      </c>
      <c r="Q601" s="103">
        <f>SUM(N601:P601)</f>
        <v>0</v>
      </c>
      <c r="S601" s="267" t="str">
        <f t="shared" si="233"/>
        <v/>
      </c>
      <c r="T601" s="267" t="str">
        <f t="shared" si="233"/>
        <v/>
      </c>
      <c r="U601" s="267" t="str">
        <f t="shared" si="233"/>
        <v/>
      </c>
      <c r="V601" s="267" t="str">
        <f t="shared" si="233"/>
        <v/>
      </c>
      <c r="W601" s="531"/>
      <c r="X601" s="236"/>
      <c r="Y601" s="236" t="s">
        <v>598</v>
      </c>
      <c r="Z601" s="240" t="s">
        <v>598</v>
      </c>
    </row>
    <row r="602" spans="1:26" ht="12" customHeight="1">
      <c r="A602" s="548" t="s">
        <v>179</v>
      </c>
      <c r="B602" s="548" t="s">
        <v>180</v>
      </c>
      <c r="C602" s="447" t="s">
        <v>766</v>
      </c>
      <c r="D602" s="775"/>
      <c r="E602" s="447" t="s">
        <v>766</v>
      </c>
      <c r="F602" s="104">
        <f>+'[3]chd7-SAOB'!C453</f>
        <v>0</v>
      </c>
      <c r="G602" s="104">
        <f>+'[3]chd7-SAOB'!D453</f>
        <v>1983158.9300000016</v>
      </c>
      <c r="H602" s="104">
        <f>+'[3]chd7-SAOB'!E453</f>
        <v>0</v>
      </c>
      <c r="I602" s="103">
        <f t="shared" si="214"/>
        <v>1983158.9300000016</v>
      </c>
      <c r="J602" s="104">
        <f>+'[3]chd7-SAOB'!G453</f>
        <v>0</v>
      </c>
      <c r="K602" s="104">
        <f>+'[3]chd7-SAOB'!H453</f>
        <v>1395245.7799999998</v>
      </c>
      <c r="L602" s="104">
        <f>+'[3]chd7-SAOB'!I453</f>
        <v>0</v>
      </c>
      <c r="M602" s="103">
        <f t="shared" si="215"/>
        <v>1395245.7799999998</v>
      </c>
      <c r="N602" s="103">
        <f t="shared" si="216"/>
        <v>0</v>
      </c>
      <c r="O602" s="103">
        <f t="shared" si="216"/>
        <v>587913.15000000177</v>
      </c>
      <c r="P602" s="103">
        <f t="shared" si="216"/>
        <v>0</v>
      </c>
      <c r="Q602" s="103">
        <f t="shared" si="217"/>
        <v>587913.15000000177</v>
      </c>
      <c r="S602" s="267" t="str">
        <f t="shared" si="233"/>
        <v/>
      </c>
      <c r="T602" s="267">
        <f t="shared" si="233"/>
        <v>0.70354713325976281</v>
      </c>
      <c r="U602" s="267" t="str">
        <f t="shared" si="233"/>
        <v/>
      </c>
      <c r="V602" s="267">
        <f t="shared" si="233"/>
        <v>0.70354713325976281</v>
      </c>
      <c r="W602" s="530"/>
      <c r="X602" s="236"/>
      <c r="Y602" s="236" t="s">
        <v>688</v>
      </c>
      <c r="Z602" s="236"/>
    </row>
    <row r="603" spans="1:26" ht="12" hidden="1" customHeight="1">
      <c r="A603" s="548" t="s">
        <v>179</v>
      </c>
      <c r="B603" s="548" t="s">
        <v>180</v>
      </c>
      <c r="C603" s="457" t="s">
        <v>775</v>
      </c>
      <c r="D603" s="549" t="s">
        <v>98</v>
      </c>
      <c r="E603" s="406" t="s">
        <v>775</v>
      </c>
      <c r="F603" s="103">
        <v>0</v>
      </c>
      <c r="G603" s="103">
        <f>+'[3]chd7-SAOB'!C223</f>
        <v>344643.13</v>
      </c>
      <c r="H603" s="103">
        <f>+'[3]chd7-SAOB'!C315</f>
        <v>0</v>
      </c>
      <c r="I603" s="103">
        <f t="shared" si="214"/>
        <v>344643.13</v>
      </c>
      <c r="J603" s="103">
        <v>0</v>
      </c>
      <c r="K603" s="103">
        <f>+'[3]chd7-SAOB'!C224</f>
        <v>18573.87</v>
      </c>
      <c r="L603" s="103">
        <f>+'[3]chd7-SAOB'!C316</f>
        <v>0</v>
      </c>
      <c r="M603" s="103">
        <f t="shared" si="215"/>
        <v>18573.87</v>
      </c>
      <c r="N603" s="103">
        <f t="shared" si="216"/>
        <v>0</v>
      </c>
      <c r="O603" s="103">
        <f t="shared" si="216"/>
        <v>326069.26</v>
      </c>
      <c r="P603" s="103">
        <f t="shared" si="216"/>
        <v>0</v>
      </c>
      <c r="Q603" s="103">
        <f t="shared" si="217"/>
        <v>326069.26</v>
      </c>
      <c r="S603" s="267" t="str">
        <f t="shared" si="233"/>
        <v/>
      </c>
      <c r="T603" s="267">
        <f t="shared" si="233"/>
        <v>5.3893051632858603E-2</v>
      </c>
      <c r="U603" s="267" t="str">
        <f t="shared" si="233"/>
        <v/>
      </c>
      <c r="V603" s="267">
        <f t="shared" si="233"/>
        <v>5.3893051632858603E-2</v>
      </c>
      <c r="W603" s="530"/>
      <c r="X603" s="236"/>
      <c r="Y603" s="236"/>
      <c r="Z603" s="236"/>
    </row>
    <row r="604" spans="1:26" ht="12" hidden="1" customHeight="1">
      <c r="A604" s="548" t="s">
        <v>179</v>
      </c>
      <c r="B604" s="548" t="s">
        <v>180</v>
      </c>
      <c r="C604" s="456"/>
      <c r="D604" s="549" t="s">
        <v>98</v>
      </c>
      <c r="E604" s="406" t="s">
        <v>776</v>
      </c>
      <c r="F604" s="103">
        <v>0</v>
      </c>
      <c r="G604" s="103">
        <f>+'[3]chd7-SAOB'!D223</f>
        <v>218703.87999999989</v>
      </c>
      <c r="H604" s="103">
        <f>+'[3]chd7-SAOB'!D315</f>
        <v>0</v>
      </c>
      <c r="I604" s="103">
        <f t="shared" si="214"/>
        <v>218703.87999999989</v>
      </c>
      <c r="J604" s="103">
        <v>0</v>
      </c>
      <c r="K604" s="103">
        <f>+'[3]chd7-SAOB'!D224</f>
        <v>218703.88</v>
      </c>
      <c r="L604" s="103">
        <f>+'[3]chd7-SAOB'!D316</f>
        <v>0</v>
      </c>
      <c r="M604" s="103">
        <f t="shared" si="215"/>
        <v>218703.88</v>
      </c>
      <c r="N604" s="103">
        <f t="shared" si="216"/>
        <v>0</v>
      </c>
      <c r="O604" s="103">
        <f t="shared" si="216"/>
        <v>0</v>
      </c>
      <c r="P604" s="103">
        <f t="shared" si="216"/>
        <v>0</v>
      </c>
      <c r="Q604" s="103">
        <f t="shared" si="217"/>
        <v>0</v>
      </c>
      <c r="S604" s="267" t="str">
        <f t="shared" si="233"/>
        <v/>
      </c>
      <c r="T604" s="267">
        <f t="shared" si="233"/>
        <v>1.0000000000000004</v>
      </c>
      <c r="U604" s="267" t="str">
        <f t="shared" si="233"/>
        <v/>
      </c>
      <c r="V604" s="267">
        <f t="shared" si="233"/>
        <v>1.0000000000000004</v>
      </c>
      <c r="W604" s="530"/>
      <c r="X604" s="236"/>
      <c r="Y604" s="236"/>
      <c r="Z604" s="236"/>
    </row>
    <row r="605" spans="1:26" ht="12" hidden="1" customHeight="1">
      <c r="A605" s="548" t="s">
        <v>179</v>
      </c>
      <c r="B605" s="548" t="s">
        <v>180</v>
      </c>
      <c r="C605" s="456"/>
      <c r="D605" s="549" t="s">
        <v>98</v>
      </c>
      <c r="E605" s="406" t="s">
        <v>777</v>
      </c>
      <c r="F605" s="103">
        <v>0</v>
      </c>
      <c r="G605" s="103">
        <f>+'[3]chd7-SAOB'!E223</f>
        <v>1419811.9200000018</v>
      </c>
      <c r="H605" s="103">
        <f>+'[3]chd7-SAOB'!E315</f>
        <v>0</v>
      </c>
      <c r="I605" s="103">
        <f t="shared" si="214"/>
        <v>1419811.9200000018</v>
      </c>
      <c r="J605" s="103">
        <v>0</v>
      </c>
      <c r="K605" s="103">
        <f>+'[3]chd7-SAOB'!E224</f>
        <v>1157968.03</v>
      </c>
      <c r="L605" s="103">
        <f>+'[3]chd7-SAOB'!E316</f>
        <v>0</v>
      </c>
      <c r="M605" s="103">
        <f t="shared" si="215"/>
        <v>1157968.03</v>
      </c>
      <c r="N605" s="103">
        <f t="shared" si="216"/>
        <v>0</v>
      </c>
      <c r="O605" s="103">
        <f t="shared" si="216"/>
        <v>261843.89000000176</v>
      </c>
      <c r="P605" s="103">
        <f t="shared" si="216"/>
        <v>0</v>
      </c>
      <c r="Q605" s="103">
        <f t="shared" si="217"/>
        <v>261843.89000000176</v>
      </c>
      <c r="S605" s="267" t="str">
        <f t="shared" si="233"/>
        <v/>
      </c>
      <c r="T605" s="267">
        <f t="shared" si="233"/>
        <v>0.81557846760435604</v>
      </c>
      <c r="U605" s="267" t="str">
        <f t="shared" si="233"/>
        <v/>
      </c>
      <c r="V605" s="267">
        <f t="shared" si="233"/>
        <v>0.81557846760435604</v>
      </c>
      <c r="W605" s="530"/>
      <c r="X605" s="236"/>
      <c r="Y605" s="236"/>
      <c r="Z605" s="236"/>
    </row>
    <row r="606" spans="1:26" ht="12" customHeight="1">
      <c r="A606" s="548" t="s">
        <v>179</v>
      </c>
      <c r="B606" s="548" t="s">
        <v>180</v>
      </c>
      <c r="C606" s="456"/>
      <c r="D606" s="775"/>
      <c r="E606" s="453" t="s">
        <v>50</v>
      </c>
      <c r="F606" s="103">
        <f>+F607+F608</f>
        <v>0</v>
      </c>
      <c r="G606" s="103">
        <f>+G607+G608</f>
        <v>38344659.25999999</v>
      </c>
      <c r="H606" s="103">
        <f>+H607+H608</f>
        <v>17732068.450000003</v>
      </c>
      <c r="I606" s="103">
        <f t="shared" si="214"/>
        <v>56076727.709999993</v>
      </c>
      <c r="J606" s="103">
        <f>+J607+J608</f>
        <v>0</v>
      </c>
      <c r="K606" s="103">
        <f>+K607+K608</f>
        <v>33749840.410000004</v>
      </c>
      <c r="L606" s="103">
        <f>+L607+L608</f>
        <v>12775953</v>
      </c>
      <c r="M606" s="103">
        <f t="shared" si="215"/>
        <v>46525793.410000004</v>
      </c>
      <c r="N606" s="103">
        <f t="shared" si="216"/>
        <v>0</v>
      </c>
      <c r="O606" s="103">
        <f t="shared" si="216"/>
        <v>4594818.8499999866</v>
      </c>
      <c r="P606" s="103">
        <f t="shared" si="216"/>
        <v>4956115.450000003</v>
      </c>
      <c r="Q606" s="103">
        <f t="shared" si="217"/>
        <v>9550934.2999999896</v>
      </c>
      <c r="S606" s="267" t="str">
        <f t="shared" si="233"/>
        <v/>
      </c>
      <c r="T606" s="267">
        <f t="shared" si="233"/>
        <v>0.88017056511457481</v>
      </c>
      <c r="U606" s="267">
        <f t="shared" si="233"/>
        <v>0.72049986926370102</v>
      </c>
      <c r="V606" s="267">
        <f t="shared" si="233"/>
        <v>0.82968096231662247</v>
      </c>
      <c r="W606" s="530"/>
      <c r="X606" s="236"/>
      <c r="Y606" s="236" t="s">
        <v>688</v>
      </c>
      <c r="Z606" s="236"/>
    </row>
    <row r="607" spans="1:26" ht="12" hidden="1" customHeight="1">
      <c r="A607" s="548" t="s">
        <v>179</v>
      </c>
      <c r="B607" s="548" t="s">
        <v>180</v>
      </c>
      <c r="C607" s="458" t="s">
        <v>715</v>
      </c>
      <c r="D607" s="550" t="s">
        <v>715</v>
      </c>
      <c r="E607" s="447" t="s">
        <v>715</v>
      </c>
      <c r="F607" s="104">
        <f>'[3]CONAP - W INC'!F458</f>
        <v>0</v>
      </c>
      <c r="G607" s="104">
        <f>'[3]CONAP - W INC'!G458</f>
        <v>-9041006.0599999987</v>
      </c>
      <c r="H607" s="104">
        <f>'[3]CONAP - W INC'!H458</f>
        <v>-97107238</v>
      </c>
      <c r="I607" s="103">
        <f t="shared" si="214"/>
        <v>-106148244.06</v>
      </c>
      <c r="J607" s="104">
        <f>'[3]CONAP - W INC'!J458</f>
        <v>0</v>
      </c>
      <c r="K607" s="104">
        <f>'[3]CONAP - W INC'!K458</f>
        <v>0</v>
      </c>
      <c r="L607" s="104">
        <f>'[3]CONAP - W INC'!L458</f>
        <v>0</v>
      </c>
      <c r="M607" s="103">
        <f t="shared" si="215"/>
        <v>0</v>
      </c>
      <c r="N607" s="103">
        <f t="shared" si="216"/>
        <v>0</v>
      </c>
      <c r="O607" s="103">
        <f t="shared" si="216"/>
        <v>-9041006.0599999987</v>
      </c>
      <c r="P607" s="103">
        <f t="shared" si="216"/>
        <v>-97107238</v>
      </c>
      <c r="Q607" s="103">
        <f t="shared" si="217"/>
        <v>-106148244.06</v>
      </c>
      <c r="S607" s="267" t="str">
        <f t="shared" si="233"/>
        <v/>
      </c>
      <c r="T607" s="267">
        <f t="shared" si="233"/>
        <v>0</v>
      </c>
      <c r="U607" s="267">
        <f t="shared" si="233"/>
        <v>0</v>
      </c>
      <c r="V607" s="267">
        <f t="shared" si="233"/>
        <v>0</v>
      </c>
      <c r="W607" s="530"/>
      <c r="X607" s="236"/>
      <c r="Y607" s="236"/>
      <c r="Z607" s="236"/>
    </row>
    <row r="608" spans="1:26" ht="12" hidden="1" customHeight="1">
      <c r="A608" s="548" t="s">
        <v>179</v>
      </c>
      <c r="B608" s="548" t="s">
        <v>180</v>
      </c>
      <c r="C608" s="458" t="s">
        <v>716</v>
      </c>
      <c r="D608" s="550" t="s">
        <v>716</v>
      </c>
      <c r="E608" s="459" t="s">
        <v>716</v>
      </c>
      <c r="F608" s="104">
        <f>'[3]CONAP - W INC'!F459</f>
        <v>0</v>
      </c>
      <c r="G608" s="104">
        <f>'[3]CONAP - W INC'!G459</f>
        <v>47385665.319999993</v>
      </c>
      <c r="H608" s="104">
        <f>'[3]CONAP - W INC'!H459</f>
        <v>114839306.45</v>
      </c>
      <c r="I608" s="103">
        <f t="shared" si="214"/>
        <v>162224971.76999998</v>
      </c>
      <c r="J608" s="104">
        <f>'[3]CONAP - W INC'!J459</f>
        <v>0</v>
      </c>
      <c r="K608" s="104">
        <f>'[3]CONAP - W INC'!K459</f>
        <v>33749840.410000004</v>
      </c>
      <c r="L608" s="104">
        <f>'[3]CONAP - W INC'!L459</f>
        <v>12775953</v>
      </c>
      <c r="M608" s="103">
        <f t="shared" si="215"/>
        <v>46525793.410000004</v>
      </c>
      <c r="N608" s="103">
        <f t="shared" si="216"/>
        <v>0</v>
      </c>
      <c r="O608" s="103">
        <f t="shared" si="216"/>
        <v>13635824.909999989</v>
      </c>
      <c r="P608" s="103">
        <f t="shared" si="216"/>
        <v>102063353.45</v>
      </c>
      <c r="Q608" s="103">
        <f t="shared" si="217"/>
        <v>115699178.35999998</v>
      </c>
      <c r="S608" s="267" t="str">
        <f t="shared" si="233"/>
        <v/>
      </c>
      <c r="T608" s="267">
        <f t="shared" si="233"/>
        <v>0.71223734397489324</v>
      </c>
      <c r="U608" s="267">
        <f t="shared" si="233"/>
        <v>0.11125069799653078</v>
      </c>
      <c r="V608" s="267">
        <f t="shared" si="233"/>
        <v>0.2867979750735512</v>
      </c>
      <c r="W608" s="530"/>
      <c r="X608" s="236"/>
      <c r="Y608" s="236"/>
      <c r="Z608" s="236"/>
    </row>
    <row r="609" spans="1:26" s="256" customFormat="1" ht="12" hidden="1" customHeight="1">
      <c r="A609" s="548"/>
      <c r="B609" s="548" t="s">
        <v>180</v>
      </c>
      <c r="C609" s="460"/>
      <c r="D609" s="551"/>
      <c r="E609" s="390" t="s">
        <v>767</v>
      </c>
      <c r="F609" s="391">
        <f>+F606+F602</f>
        <v>0</v>
      </c>
      <c r="G609" s="391">
        <f t="shared" ref="G609:Q609" si="234">+G606+G602</f>
        <v>40327818.18999999</v>
      </c>
      <c r="H609" s="391">
        <f t="shared" si="234"/>
        <v>17732068.450000003</v>
      </c>
      <c r="I609" s="391">
        <f t="shared" si="234"/>
        <v>58059886.639999993</v>
      </c>
      <c r="J609" s="391">
        <f t="shared" si="234"/>
        <v>0</v>
      </c>
      <c r="K609" s="391">
        <f t="shared" si="234"/>
        <v>35145086.190000005</v>
      </c>
      <c r="L609" s="391">
        <f t="shared" si="234"/>
        <v>12775953</v>
      </c>
      <c r="M609" s="391">
        <f t="shared" si="234"/>
        <v>47921039.190000005</v>
      </c>
      <c r="N609" s="391">
        <f t="shared" si="234"/>
        <v>0</v>
      </c>
      <c r="O609" s="391">
        <f t="shared" si="234"/>
        <v>5182731.9999999888</v>
      </c>
      <c r="P609" s="391">
        <f t="shared" si="234"/>
        <v>4956115.450000003</v>
      </c>
      <c r="Q609" s="391">
        <f t="shared" si="234"/>
        <v>10138847.449999992</v>
      </c>
      <c r="R609" s="761"/>
      <c r="S609" s="267" t="str">
        <f t="shared" si="233"/>
        <v/>
      </c>
      <c r="T609" s="267">
        <f t="shared" si="233"/>
        <v>0.87148493936413507</v>
      </c>
      <c r="U609" s="267">
        <f t="shared" si="233"/>
        <v>0.72049986926370102</v>
      </c>
      <c r="V609" s="267">
        <f t="shared" si="233"/>
        <v>0.82537259308021294</v>
      </c>
      <c r="W609" s="532"/>
      <c r="Y609" s="236"/>
      <c r="Z609" s="240" t="s">
        <v>598</v>
      </c>
    </row>
    <row r="610" spans="1:26" ht="12" hidden="1" customHeight="1">
      <c r="A610" s="548"/>
      <c r="B610" s="548"/>
      <c r="C610" s="456"/>
      <c r="D610" s="549"/>
      <c r="E610" s="461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S610" s="267" t="str">
        <f t="shared" si="233"/>
        <v/>
      </c>
      <c r="T610" s="267" t="str">
        <f t="shared" si="233"/>
        <v/>
      </c>
      <c r="U610" s="267" t="str">
        <f t="shared" si="233"/>
        <v/>
      </c>
      <c r="V610" s="267" t="str">
        <f t="shared" si="233"/>
        <v/>
      </c>
      <c r="W610" s="530"/>
      <c r="X610" s="236"/>
      <c r="Y610" s="236"/>
      <c r="Z610" s="236"/>
    </row>
    <row r="611" spans="1:26" s="256" customFormat="1" ht="12" hidden="1" customHeight="1">
      <c r="A611" s="548" t="s">
        <v>179</v>
      </c>
      <c r="B611" s="548" t="s">
        <v>180</v>
      </c>
      <c r="C611" s="460"/>
      <c r="D611" s="551" t="s">
        <v>98</v>
      </c>
      <c r="E611" s="390" t="s">
        <v>100</v>
      </c>
      <c r="F611" s="391">
        <f>SUM(F612:F612)</f>
        <v>0</v>
      </c>
      <c r="G611" s="391">
        <f>SUM(G612:G612)</f>
        <v>0</v>
      </c>
      <c r="H611" s="391">
        <f>SUM(H612:H612)</f>
        <v>0</v>
      </c>
      <c r="I611" s="391">
        <f>+F611+G611+H611</f>
        <v>0</v>
      </c>
      <c r="J611" s="391">
        <f>SUM(J612:J612)</f>
        <v>0</v>
      </c>
      <c r="K611" s="391">
        <f>SUM(K612:K612)</f>
        <v>0</v>
      </c>
      <c r="L611" s="391">
        <f>SUM(L612:L612)</f>
        <v>0</v>
      </c>
      <c r="M611" s="391">
        <f>+J611+K611+L611</f>
        <v>0</v>
      </c>
      <c r="N611" s="391">
        <f t="shared" ref="N611:P612" si="235">+F611-J611</f>
        <v>0</v>
      </c>
      <c r="O611" s="391">
        <f t="shared" si="235"/>
        <v>0</v>
      </c>
      <c r="P611" s="391">
        <f t="shared" si="235"/>
        <v>0</v>
      </c>
      <c r="Q611" s="391">
        <f>+N611+O611+P611</f>
        <v>0</v>
      </c>
      <c r="R611" s="761"/>
      <c r="S611" s="267" t="str">
        <f t="shared" si="233"/>
        <v/>
      </c>
      <c r="T611" s="267" t="str">
        <f t="shared" si="233"/>
        <v/>
      </c>
      <c r="U611" s="267" t="str">
        <f t="shared" si="233"/>
        <v/>
      </c>
      <c r="V611" s="267" t="str">
        <f t="shared" si="233"/>
        <v/>
      </c>
      <c r="W611" s="532"/>
      <c r="Y611" s="236"/>
      <c r="Z611" s="240" t="s">
        <v>598</v>
      </c>
    </row>
    <row r="612" spans="1:26" ht="12" hidden="1" customHeight="1">
      <c r="A612" s="548" t="s">
        <v>179</v>
      </c>
      <c r="B612" s="548" t="s">
        <v>180</v>
      </c>
      <c r="C612" s="456"/>
      <c r="D612" s="549"/>
      <c r="E612" s="462" t="s">
        <v>290</v>
      </c>
      <c r="F612" s="103">
        <v>0</v>
      </c>
      <c r="G612" s="103">
        <f>SUM('[3]chd7-SAOB'!BJ223)</f>
        <v>0</v>
      </c>
      <c r="H612" s="103">
        <f>SUM('[3]chd7-SAOB'!BJ315)</f>
        <v>0</v>
      </c>
      <c r="I612" s="103">
        <f>+F612+G612+H612</f>
        <v>0</v>
      </c>
      <c r="J612" s="103">
        <v>0</v>
      </c>
      <c r="K612" s="103">
        <f>SUM('[3]chd7-SAOB'!BJ224)</f>
        <v>0</v>
      </c>
      <c r="L612" s="103">
        <f>SUM('[3]chd7-SAOB'!BJ316)</f>
        <v>0</v>
      </c>
      <c r="M612" s="103">
        <f>+J612+K612+L612</f>
        <v>0</v>
      </c>
      <c r="N612" s="103">
        <f t="shared" si="235"/>
        <v>0</v>
      </c>
      <c r="O612" s="103">
        <f t="shared" si="235"/>
        <v>0</v>
      </c>
      <c r="P612" s="103">
        <f t="shared" si="235"/>
        <v>0</v>
      </c>
      <c r="Q612" s="103">
        <f>+N612+O612+P612</f>
        <v>0</v>
      </c>
      <c r="S612" s="267" t="str">
        <f t="shared" si="233"/>
        <v/>
      </c>
      <c r="T612" s="267" t="str">
        <f t="shared" si="233"/>
        <v/>
      </c>
      <c r="U612" s="267" t="str">
        <f t="shared" si="233"/>
        <v/>
      </c>
      <c r="V612" s="267" t="str">
        <f t="shared" si="233"/>
        <v/>
      </c>
      <c r="W612" s="530"/>
      <c r="X612" s="236"/>
      <c r="Y612" s="236"/>
      <c r="Z612" s="236"/>
    </row>
    <row r="613" spans="1:26" s="259" customFormat="1" ht="12" customHeight="1">
      <c r="A613" s="315" t="s">
        <v>179</v>
      </c>
      <c r="B613" s="315" t="s">
        <v>180</v>
      </c>
      <c r="C613" s="1477" t="s">
        <v>310</v>
      </c>
      <c r="D613" s="1478"/>
      <c r="E613" s="1479"/>
      <c r="F613" s="652">
        <f>+F609+F611</f>
        <v>0</v>
      </c>
      <c r="G613" s="652">
        <f t="shared" ref="G613:Q613" si="236">+G609+G611</f>
        <v>40327818.18999999</v>
      </c>
      <c r="H613" s="652">
        <f t="shared" si="236"/>
        <v>17732068.450000003</v>
      </c>
      <c r="I613" s="652">
        <f t="shared" si="236"/>
        <v>58059886.639999993</v>
      </c>
      <c r="J613" s="652">
        <f t="shared" si="236"/>
        <v>0</v>
      </c>
      <c r="K613" s="652">
        <f t="shared" si="236"/>
        <v>35145086.190000005</v>
      </c>
      <c r="L613" s="652">
        <f t="shared" si="236"/>
        <v>12775953</v>
      </c>
      <c r="M613" s="652">
        <f t="shared" si="236"/>
        <v>47921039.190000005</v>
      </c>
      <c r="N613" s="652">
        <f t="shared" si="236"/>
        <v>0</v>
      </c>
      <c r="O613" s="652">
        <f t="shared" si="236"/>
        <v>5182731.9999999888</v>
      </c>
      <c r="P613" s="652">
        <f t="shared" si="236"/>
        <v>4956115.450000003</v>
      </c>
      <c r="Q613" s="652">
        <f t="shared" si="236"/>
        <v>10138847.449999992</v>
      </c>
      <c r="R613" s="1095">
        <f>+Q613-'[3]chd7-SAOB'!CT352</f>
        <v>0</v>
      </c>
      <c r="S613" s="524" t="str">
        <f t="shared" si="233"/>
        <v/>
      </c>
      <c r="T613" s="524">
        <f t="shared" si="233"/>
        <v>0.87148493936413507</v>
      </c>
      <c r="U613" s="524">
        <f t="shared" si="233"/>
        <v>0.72049986926370102</v>
      </c>
      <c r="V613" s="524">
        <f t="shared" si="233"/>
        <v>0.82537259308021294</v>
      </c>
      <c r="W613" s="344"/>
      <c r="X613" s="520"/>
      <c r="Y613" s="837" t="s">
        <v>598</v>
      </c>
      <c r="Z613" s="241" t="s">
        <v>598</v>
      </c>
    </row>
    <row r="614" spans="1:26" ht="12" customHeight="1">
      <c r="A614" s="315" t="s">
        <v>101</v>
      </c>
      <c r="B614" s="315" t="s">
        <v>180</v>
      </c>
      <c r="C614" s="456"/>
      <c r="D614" s="456"/>
      <c r="E614" s="46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S614" s="267" t="str">
        <f t="shared" si="233"/>
        <v/>
      </c>
      <c r="T614" s="267" t="str">
        <f t="shared" si="233"/>
        <v/>
      </c>
      <c r="U614" s="267" t="str">
        <f t="shared" si="233"/>
        <v/>
      </c>
      <c r="V614" s="267" t="str">
        <f t="shared" si="233"/>
        <v/>
      </c>
      <c r="W614" s="267"/>
      <c r="Y614" s="837" t="s">
        <v>598</v>
      </c>
      <c r="Z614" s="241" t="s">
        <v>598</v>
      </c>
    </row>
    <row r="615" spans="1:26" ht="12" customHeight="1">
      <c r="A615" s="315" t="s">
        <v>181</v>
      </c>
      <c r="B615" s="315" t="s">
        <v>311</v>
      </c>
      <c r="C615" s="1100" t="s">
        <v>182</v>
      </c>
      <c r="D615" s="456"/>
      <c r="E615" s="463"/>
      <c r="F615" s="104"/>
      <c r="G615" s="104"/>
      <c r="H615" s="104"/>
      <c r="I615" s="103">
        <f t="shared" ref="I615:I675" si="237">+F615+G615+H615</f>
        <v>0</v>
      </c>
      <c r="J615" s="104"/>
      <c r="K615" s="104"/>
      <c r="L615" s="104"/>
      <c r="M615" s="103">
        <f t="shared" ref="M615:M675" si="238">+J615+K615+L615</f>
        <v>0</v>
      </c>
      <c r="N615" s="103">
        <f t="shared" ref="N615:P672" si="239">+F615-J615</f>
        <v>0</v>
      </c>
      <c r="O615" s="103">
        <f t="shared" si="239"/>
        <v>0</v>
      </c>
      <c r="P615" s="103">
        <f t="shared" si="239"/>
        <v>0</v>
      </c>
      <c r="Q615" s="103">
        <f t="shared" ref="Q615:Q675" si="240">+N615+O615+P615</f>
        <v>0</v>
      </c>
      <c r="S615" s="267" t="str">
        <f t="shared" si="233"/>
        <v/>
      </c>
      <c r="T615" s="267" t="str">
        <f t="shared" si="233"/>
        <v/>
      </c>
      <c r="U615" s="267" t="str">
        <f t="shared" si="233"/>
        <v/>
      </c>
      <c r="V615" s="267" t="str">
        <f t="shared" si="233"/>
        <v/>
      </c>
      <c r="W615" s="267"/>
      <c r="Y615" s="837" t="s">
        <v>598</v>
      </c>
      <c r="Z615" s="241" t="s">
        <v>598</v>
      </c>
    </row>
    <row r="616" spans="1:26" s="275" customFormat="1" ht="13.5" customHeight="1">
      <c r="A616" s="548" t="s">
        <v>181</v>
      </c>
      <c r="B616" s="548" t="s">
        <v>183</v>
      </c>
      <c r="C616" s="464" t="s">
        <v>98</v>
      </c>
      <c r="D616" s="552" t="s">
        <v>105</v>
      </c>
      <c r="E616" s="407" t="s">
        <v>818</v>
      </c>
      <c r="F616" s="468"/>
      <c r="G616" s="468"/>
      <c r="H616" s="468"/>
      <c r="I616" s="409">
        <f t="shared" si="237"/>
        <v>0</v>
      </c>
      <c r="J616" s="468"/>
      <c r="K616" s="468"/>
      <c r="L616" s="468"/>
      <c r="M616" s="409">
        <f t="shared" si="238"/>
        <v>0</v>
      </c>
      <c r="N616" s="409">
        <f t="shared" si="239"/>
        <v>0</v>
      </c>
      <c r="O616" s="409">
        <f t="shared" si="239"/>
        <v>0</v>
      </c>
      <c r="P616" s="409">
        <f t="shared" si="239"/>
        <v>0</v>
      </c>
      <c r="Q616" s="409">
        <f t="shared" si="240"/>
        <v>0</v>
      </c>
      <c r="R616" s="761"/>
      <c r="S616" s="267" t="str">
        <f t="shared" si="233"/>
        <v/>
      </c>
      <c r="T616" s="267" t="str">
        <f t="shared" si="233"/>
        <v/>
      </c>
      <c r="U616" s="267" t="str">
        <f t="shared" si="233"/>
        <v/>
      </c>
      <c r="V616" s="267" t="str">
        <f t="shared" si="233"/>
        <v/>
      </c>
      <c r="W616" s="553"/>
      <c r="Y616" s="236" t="s">
        <v>598</v>
      </c>
      <c r="Z616" s="240" t="s">
        <v>598</v>
      </c>
    </row>
    <row r="617" spans="1:26" ht="12" customHeight="1">
      <c r="A617" s="548" t="s">
        <v>181</v>
      </c>
      <c r="B617" s="548" t="s">
        <v>183</v>
      </c>
      <c r="C617" s="447" t="s">
        <v>766</v>
      </c>
      <c r="D617" s="775"/>
      <c r="E617" s="447" t="s">
        <v>766</v>
      </c>
      <c r="F617" s="104">
        <f>+'[3]chd7-SAOB'!C460</f>
        <v>0</v>
      </c>
      <c r="G617" s="104">
        <f>+'[3]chd7-SAOB'!D460</f>
        <v>2974859.6700000167</v>
      </c>
      <c r="H617" s="104">
        <f>+'[3]chd7-SAOB'!E460</f>
        <v>0</v>
      </c>
      <c r="I617" s="103">
        <f t="shared" si="237"/>
        <v>2974859.6700000167</v>
      </c>
      <c r="J617" s="104">
        <f>+'[3]chd7-SAOB'!G460</f>
        <v>0</v>
      </c>
      <c r="K617" s="104">
        <f>+'[3]chd7-SAOB'!H460</f>
        <v>2974859.67</v>
      </c>
      <c r="L617" s="104">
        <f>+'[3]chd7-SAOB'!I460</f>
        <v>0</v>
      </c>
      <c r="M617" s="103">
        <f t="shared" si="238"/>
        <v>2974859.67</v>
      </c>
      <c r="N617" s="103">
        <f t="shared" si="239"/>
        <v>0</v>
      </c>
      <c r="O617" s="103">
        <f t="shared" si="239"/>
        <v>1.6763806343078613E-8</v>
      </c>
      <c r="P617" s="103">
        <f t="shared" si="239"/>
        <v>0</v>
      </c>
      <c r="Q617" s="103">
        <f t="shared" si="240"/>
        <v>1.6763806343078613E-8</v>
      </c>
      <c r="S617" s="267" t="str">
        <f t="shared" si="233"/>
        <v/>
      </c>
      <c r="T617" s="267">
        <f t="shared" si="233"/>
        <v>0.99999999999999434</v>
      </c>
      <c r="U617" s="267" t="str">
        <f t="shared" si="233"/>
        <v/>
      </c>
      <c r="V617" s="267">
        <f t="shared" si="233"/>
        <v>0.99999999999999434</v>
      </c>
      <c r="W617" s="530"/>
      <c r="X617" s="236"/>
      <c r="Y617" s="236" t="s">
        <v>688</v>
      </c>
      <c r="Z617" s="236"/>
    </row>
    <row r="618" spans="1:26" ht="12" customHeight="1">
      <c r="A618" s="548" t="s">
        <v>181</v>
      </c>
      <c r="B618" s="548" t="s">
        <v>183</v>
      </c>
      <c r="C618" s="456"/>
      <c r="D618" s="775"/>
      <c r="E618" s="453" t="s">
        <v>50</v>
      </c>
      <c r="F618" s="103">
        <f>+F619+F620</f>
        <v>0</v>
      </c>
      <c r="G618" s="103">
        <f>+G619+G620</f>
        <v>13181742.42</v>
      </c>
      <c r="H618" s="103">
        <f>+H619+H620</f>
        <v>0</v>
      </c>
      <c r="I618" s="103">
        <f t="shared" si="237"/>
        <v>13181742.42</v>
      </c>
      <c r="J618" s="103">
        <f>+J619+J620</f>
        <v>0</v>
      </c>
      <c r="K618" s="103">
        <f>+K619+K620</f>
        <v>2527002.1599999997</v>
      </c>
      <c r="L618" s="103">
        <f>+L619+L620</f>
        <v>0</v>
      </c>
      <c r="M618" s="103">
        <f t="shared" si="238"/>
        <v>2527002.1599999997</v>
      </c>
      <c r="N618" s="103">
        <f t="shared" si="239"/>
        <v>0</v>
      </c>
      <c r="O618" s="103">
        <f t="shared" si="239"/>
        <v>10654740.26</v>
      </c>
      <c r="P618" s="103">
        <f t="shared" si="239"/>
        <v>0</v>
      </c>
      <c r="Q618" s="103">
        <f t="shared" si="240"/>
        <v>10654740.26</v>
      </c>
      <c r="S618" s="267" t="str">
        <f t="shared" si="233"/>
        <v/>
      </c>
      <c r="T618" s="267">
        <f t="shared" si="233"/>
        <v>0.1917047139508587</v>
      </c>
      <c r="U618" s="267" t="str">
        <f t="shared" si="233"/>
        <v/>
      </c>
      <c r="V618" s="267">
        <f t="shared" si="233"/>
        <v>0.1917047139508587</v>
      </c>
      <c r="W618" s="530"/>
      <c r="X618" s="236"/>
      <c r="Y618" s="236" t="s">
        <v>688</v>
      </c>
      <c r="Z618" s="236"/>
    </row>
    <row r="619" spans="1:26" ht="12" hidden="1" customHeight="1">
      <c r="A619" s="548" t="s">
        <v>181</v>
      </c>
      <c r="B619" s="548" t="s">
        <v>183</v>
      </c>
      <c r="C619" s="458" t="s">
        <v>715</v>
      </c>
      <c r="D619" s="550" t="s">
        <v>715</v>
      </c>
      <c r="E619" s="447" t="s">
        <v>715</v>
      </c>
      <c r="F619" s="104">
        <f>'[3]CONAP - W INC'!F467</f>
        <v>0</v>
      </c>
      <c r="G619" s="104">
        <f>'[3]CONAP - W INC'!G467</f>
        <v>0</v>
      </c>
      <c r="H619" s="104">
        <f>'[3]CONAP - W INC'!H467</f>
        <v>0</v>
      </c>
      <c r="I619" s="103">
        <f t="shared" si="237"/>
        <v>0</v>
      </c>
      <c r="J619" s="104">
        <f>'[3]CONAP - W INC'!J467</f>
        <v>0</v>
      </c>
      <c r="K619" s="104">
        <f>'[3]CONAP - W INC'!K467</f>
        <v>0</v>
      </c>
      <c r="L619" s="104">
        <f>'[3]CONAP - W INC'!L467</f>
        <v>0</v>
      </c>
      <c r="M619" s="103">
        <f t="shared" si="238"/>
        <v>0</v>
      </c>
      <c r="N619" s="103">
        <f t="shared" si="239"/>
        <v>0</v>
      </c>
      <c r="O619" s="103">
        <f t="shared" si="239"/>
        <v>0</v>
      </c>
      <c r="P619" s="103">
        <f t="shared" si="239"/>
        <v>0</v>
      </c>
      <c r="Q619" s="103">
        <f t="shared" si="240"/>
        <v>0</v>
      </c>
      <c r="S619" s="267" t="str">
        <f t="shared" si="233"/>
        <v/>
      </c>
      <c r="T619" s="267" t="str">
        <f t="shared" si="233"/>
        <v/>
      </c>
      <c r="U619" s="267" t="str">
        <f t="shared" si="233"/>
        <v/>
      </c>
      <c r="V619" s="267" t="str">
        <f t="shared" si="233"/>
        <v/>
      </c>
      <c r="W619" s="530"/>
      <c r="X619" s="236"/>
      <c r="Y619" s="236"/>
      <c r="Z619" s="236"/>
    </row>
    <row r="620" spans="1:26" ht="12" hidden="1" customHeight="1">
      <c r="A620" s="548" t="s">
        <v>181</v>
      </c>
      <c r="B620" s="548" t="s">
        <v>183</v>
      </c>
      <c r="C620" s="458" t="s">
        <v>716</v>
      </c>
      <c r="D620" s="550" t="s">
        <v>716</v>
      </c>
      <c r="E620" s="459" t="s">
        <v>716</v>
      </c>
      <c r="F620" s="104">
        <f>'[3]CONAP - W INC'!F468</f>
        <v>0</v>
      </c>
      <c r="G620" s="104">
        <f>'[3]CONAP - W INC'!G468</f>
        <v>13181742.42</v>
      </c>
      <c r="H620" s="104">
        <f>'[3]CONAP - W INC'!H468</f>
        <v>0</v>
      </c>
      <c r="I620" s="103">
        <f t="shared" si="237"/>
        <v>13181742.42</v>
      </c>
      <c r="J620" s="104">
        <f>'[3]CONAP - W INC'!J468</f>
        <v>0</v>
      </c>
      <c r="K620" s="104">
        <f>'[3]CONAP - W INC'!K468</f>
        <v>2527002.1599999997</v>
      </c>
      <c r="L620" s="104">
        <f>'[3]CONAP - W INC'!L468</f>
        <v>0</v>
      </c>
      <c r="M620" s="103">
        <f t="shared" si="238"/>
        <v>2527002.1599999997</v>
      </c>
      <c r="N620" s="103">
        <f t="shared" si="239"/>
        <v>0</v>
      </c>
      <c r="O620" s="103">
        <f t="shared" si="239"/>
        <v>10654740.26</v>
      </c>
      <c r="P620" s="103">
        <f t="shared" si="239"/>
        <v>0</v>
      </c>
      <c r="Q620" s="103">
        <f t="shared" si="240"/>
        <v>10654740.26</v>
      </c>
      <c r="S620" s="267" t="str">
        <f t="shared" si="233"/>
        <v/>
      </c>
      <c r="T620" s="267">
        <f t="shared" si="233"/>
        <v>0.1917047139508587</v>
      </c>
      <c r="U620" s="267" t="str">
        <f t="shared" si="233"/>
        <v/>
      </c>
      <c r="V620" s="267">
        <f t="shared" si="233"/>
        <v>0.1917047139508587</v>
      </c>
      <c r="W620" s="530"/>
      <c r="X620" s="236"/>
      <c r="Y620" s="236"/>
      <c r="Z620" s="236"/>
    </row>
    <row r="621" spans="1:26" s="256" customFormat="1" ht="12" customHeight="1">
      <c r="A621" s="548"/>
      <c r="B621" s="548" t="s">
        <v>183</v>
      </c>
      <c r="C621" s="460"/>
      <c r="D621" s="551"/>
      <c r="E621" s="390" t="s">
        <v>767</v>
      </c>
      <c r="F621" s="391">
        <f>+F618+F617</f>
        <v>0</v>
      </c>
      <c r="G621" s="391">
        <f t="shared" ref="G621:Q621" si="241">+G618+G617</f>
        <v>16156602.090000017</v>
      </c>
      <c r="H621" s="391">
        <f t="shared" si="241"/>
        <v>0</v>
      </c>
      <c r="I621" s="391">
        <f t="shared" si="241"/>
        <v>16156602.090000017</v>
      </c>
      <c r="J621" s="391">
        <f t="shared" si="241"/>
        <v>0</v>
      </c>
      <c r="K621" s="391">
        <f t="shared" si="241"/>
        <v>5501861.8300000001</v>
      </c>
      <c r="L621" s="391">
        <f t="shared" si="241"/>
        <v>0</v>
      </c>
      <c r="M621" s="391">
        <f t="shared" si="241"/>
        <v>5501861.8300000001</v>
      </c>
      <c r="N621" s="391">
        <f t="shared" si="241"/>
        <v>0</v>
      </c>
      <c r="O621" s="391">
        <f t="shared" si="241"/>
        <v>10654740.260000017</v>
      </c>
      <c r="P621" s="391">
        <f t="shared" si="241"/>
        <v>0</v>
      </c>
      <c r="Q621" s="391">
        <f t="shared" si="241"/>
        <v>10654740.260000017</v>
      </c>
      <c r="R621" s="761"/>
      <c r="S621" s="267" t="str">
        <f t="shared" si="233"/>
        <v/>
      </c>
      <c r="T621" s="267">
        <f t="shared" si="233"/>
        <v>0.34053334973232569</v>
      </c>
      <c r="U621" s="267" t="str">
        <f t="shared" si="233"/>
        <v/>
      </c>
      <c r="V621" s="267">
        <f t="shared" si="233"/>
        <v>0.34053334973232569</v>
      </c>
      <c r="W621" s="532"/>
      <c r="Y621" s="236" t="s">
        <v>598</v>
      </c>
      <c r="Z621" s="240" t="s">
        <v>598</v>
      </c>
    </row>
    <row r="622" spans="1:26" ht="12" hidden="1" customHeight="1">
      <c r="A622" s="548"/>
      <c r="B622" s="548"/>
      <c r="C622" s="456"/>
      <c r="D622" s="549"/>
      <c r="E622" s="461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S622" s="267" t="str">
        <f t="shared" si="233"/>
        <v/>
      </c>
      <c r="T622" s="267" t="str">
        <f t="shared" si="233"/>
        <v/>
      </c>
      <c r="U622" s="267" t="str">
        <f t="shared" si="233"/>
        <v/>
      </c>
      <c r="V622" s="267" t="str">
        <f t="shared" si="233"/>
        <v/>
      </c>
      <c r="W622" s="530"/>
      <c r="X622" s="236"/>
      <c r="Y622" s="236"/>
      <c r="Z622" s="236"/>
    </row>
    <row r="623" spans="1:26" s="256" customFormat="1" ht="12" customHeight="1">
      <c r="A623" s="548" t="s">
        <v>181</v>
      </c>
      <c r="B623" s="548" t="s">
        <v>183</v>
      </c>
      <c r="C623" s="460"/>
      <c r="D623" s="551" t="s">
        <v>98</v>
      </c>
      <c r="E623" s="390" t="s">
        <v>100</v>
      </c>
      <c r="F623" s="391">
        <f>SUM(F624:F624)</f>
        <v>0</v>
      </c>
      <c r="G623" s="391">
        <f>SUM(G624:G624)</f>
        <v>41221222.609999999</v>
      </c>
      <c r="H623" s="391">
        <f>SUM(H624:H624)</f>
        <v>1150000</v>
      </c>
      <c r="I623" s="391">
        <f>+F623+G623+H623</f>
        <v>42371222.609999999</v>
      </c>
      <c r="J623" s="391">
        <f>SUM(J624:J624)</f>
        <v>0</v>
      </c>
      <c r="K623" s="391">
        <f>SUM(K624:K624)</f>
        <v>41161785.660000011</v>
      </c>
      <c r="L623" s="391">
        <f>SUM(L624:L624)</f>
        <v>72000</v>
      </c>
      <c r="M623" s="391">
        <f>+J623+K623+L623</f>
        <v>41233785.660000011</v>
      </c>
      <c r="N623" s="391">
        <f t="shared" ref="N623:P624" si="242">+F623-J623</f>
        <v>0</v>
      </c>
      <c r="O623" s="391">
        <f t="shared" si="242"/>
        <v>59436.949999988079</v>
      </c>
      <c r="P623" s="391">
        <f t="shared" si="242"/>
        <v>1078000</v>
      </c>
      <c r="Q623" s="391">
        <f>+N623+O623+P623</f>
        <v>1137436.9499999881</v>
      </c>
      <c r="R623" s="761"/>
      <c r="S623" s="267" t="str">
        <f t="shared" si="233"/>
        <v/>
      </c>
      <c r="T623" s="267">
        <f t="shared" si="233"/>
        <v>0.99855809832322706</v>
      </c>
      <c r="U623" s="267">
        <f t="shared" si="233"/>
        <v>6.2608695652173918E-2</v>
      </c>
      <c r="V623" s="267">
        <f t="shared" si="233"/>
        <v>0.97315543711189623</v>
      </c>
      <c r="W623" s="532"/>
      <c r="Y623" s="236" t="s">
        <v>598</v>
      </c>
      <c r="Z623" s="240" t="s">
        <v>598</v>
      </c>
    </row>
    <row r="624" spans="1:26" ht="12" customHeight="1">
      <c r="A624" s="548" t="s">
        <v>181</v>
      </c>
      <c r="B624" s="548" t="s">
        <v>183</v>
      </c>
      <c r="C624" s="456"/>
      <c r="D624" s="549"/>
      <c r="E624" s="462" t="s">
        <v>290</v>
      </c>
      <c r="F624" s="103">
        <v>0</v>
      </c>
      <c r="G624" s="103">
        <f>SUM('[3]chd7-SAOB'!BK223)</f>
        <v>41221222.609999999</v>
      </c>
      <c r="H624" s="103">
        <f>SUM('[3]chd7-SAOB'!BK315)</f>
        <v>1150000</v>
      </c>
      <c r="I624" s="103">
        <f>+F624+G624+H624</f>
        <v>42371222.609999999</v>
      </c>
      <c r="J624" s="103">
        <v>0</v>
      </c>
      <c r="K624" s="103">
        <f>SUM('[3]chd7-SAOB'!BK224)</f>
        <v>41161785.660000011</v>
      </c>
      <c r="L624" s="103">
        <f>SUM('[3]chd7-SAOB'!BK316)</f>
        <v>72000</v>
      </c>
      <c r="M624" s="103">
        <f>+J624+K624+L624</f>
        <v>41233785.660000011</v>
      </c>
      <c r="N624" s="103">
        <f t="shared" si="242"/>
        <v>0</v>
      </c>
      <c r="O624" s="103">
        <f t="shared" si="242"/>
        <v>59436.949999988079</v>
      </c>
      <c r="P624" s="103">
        <f t="shared" si="242"/>
        <v>1078000</v>
      </c>
      <c r="Q624" s="103">
        <f>+N624+O624+P624</f>
        <v>1137436.9499999881</v>
      </c>
      <c r="S624" s="267" t="str">
        <f t="shared" si="233"/>
        <v/>
      </c>
      <c r="T624" s="267">
        <f t="shared" si="233"/>
        <v>0.99855809832322706</v>
      </c>
      <c r="U624" s="267">
        <f t="shared" si="233"/>
        <v>6.2608695652173918E-2</v>
      </c>
      <c r="V624" s="267">
        <f t="shared" si="233"/>
        <v>0.97315543711189623</v>
      </c>
      <c r="W624" s="530"/>
      <c r="X624" s="236"/>
      <c r="Y624" s="236" t="s">
        <v>598</v>
      </c>
      <c r="Z624" s="236"/>
    </row>
    <row r="625" spans="1:26" s="259" customFormat="1" ht="12" customHeight="1">
      <c r="A625" s="315" t="s">
        <v>181</v>
      </c>
      <c r="B625" s="315" t="s">
        <v>183</v>
      </c>
      <c r="C625" s="1096"/>
      <c r="D625" s="466"/>
      <c r="E625" s="1097" t="s">
        <v>4</v>
      </c>
      <c r="F625" s="652">
        <f>+F623+F621</f>
        <v>0</v>
      </c>
      <c r="G625" s="652">
        <f t="shared" ref="G625:Q625" si="243">+G623+G621</f>
        <v>57377824.700000018</v>
      </c>
      <c r="H625" s="652">
        <f t="shared" si="243"/>
        <v>1150000</v>
      </c>
      <c r="I625" s="652">
        <f t="shared" si="243"/>
        <v>58527824.700000018</v>
      </c>
      <c r="J625" s="652">
        <f t="shared" si="243"/>
        <v>0</v>
      </c>
      <c r="K625" s="652">
        <f t="shared" si="243"/>
        <v>46663647.49000001</v>
      </c>
      <c r="L625" s="652">
        <f t="shared" si="243"/>
        <v>72000</v>
      </c>
      <c r="M625" s="652">
        <f t="shared" si="243"/>
        <v>46735647.49000001</v>
      </c>
      <c r="N625" s="652">
        <f t="shared" si="243"/>
        <v>0</v>
      </c>
      <c r="O625" s="652">
        <f t="shared" si="243"/>
        <v>10714177.210000005</v>
      </c>
      <c r="P625" s="652">
        <f t="shared" si="243"/>
        <v>1078000</v>
      </c>
      <c r="Q625" s="652">
        <f t="shared" si="243"/>
        <v>11792177.210000005</v>
      </c>
      <c r="R625" s="1095">
        <f>+Q625-'[3]chd7-SAOB'!CU352</f>
        <v>0</v>
      </c>
      <c r="S625" s="524" t="str">
        <f t="shared" si="233"/>
        <v/>
      </c>
      <c r="T625" s="524">
        <f t="shared" si="233"/>
        <v>0.81326972108093865</v>
      </c>
      <c r="U625" s="524">
        <f t="shared" si="233"/>
        <v>6.2608695652173918E-2</v>
      </c>
      <c r="V625" s="524">
        <f t="shared" si="233"/>
        <v>0.79852015224478345</v>
      </c>
      <c r="W625" s="344"/>
      <c r="X625" s="520"/>
      <c r="Y625" s="837" t="s">
        <v>598</v>
      </c>
      <c r="Z625" s="241" t="s">
        <v>598</v>
      </c>
    </row>
    <row r="626" spans="1:26" ht="12" customHeight="1">
      <c r="A626" s="315" t="s">
        <v>181</v>
      </c>
      <c r="B626" s="315" t="s">
        <v>183</v>
      </c>
      <c r="C626" s="456"/>
      <c r="D626" s="456"/>
      <c r="E626" s="46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S626" s="267" t="str">
        <f t="shared" si="233"/>
        <v/>
      </c>
      <c r="T626" s="267" t="str">
        <f t="shared" si="233"/>
        <v/>
      </c>
      <c r="U626" s="267" t="str">
        <f t="shared" si="233"/>
        <v/>
      </c>
      <c r="V626" s="267" t="str">
        <f t="shared" si="233"/>
        <v/>
      </c>
      <c r="W626" s="267"/>
      <c r="Y626" s="837" t="s">
        <v>598</v>
      </c>
      <c r="Z626" s="241" t="s">
        <v>598</v>
      </c>
    </row>
    <row r="627" spans="1:26" s="275" customFormat="1" ht="13.5" customHeight="1">
      <c r="A627" s="548" t="s">
        <v>181</v>
      </c>
      <c r="B627" s="548" t="s">
        <v>184</v>
      </c>
      <c r="C627" s="464" t="s">
        <v>98</v>
      </c>
      <c r="D627" s="552" t="s">
        <v>107</v>
      </c>
      <c r="E627" s="407" t="s">
        <v>819</v>
      </c>
      <c r="F627" s="468"/>
      <c r="G627" s="468"/>
      <c r="H627" s="468"/>
      <c r="I627" s="409">
        <f t="shared" si="237"/>
        <v>0</v>
      </c>
      <c r="J627" s="468"/>
      <c r="K627" s="468"/>
      <c r="L627" s="468"/>
      <c r="M627" s="409">
        <f t="shared" si="238"/>
        <v>0</v>
      </c>
      <c r="N627" s="409">
        <f t="shared" si="239"/>
        <v>0</v>
      </c>
      <c r="O627" s="409">
        <f t="shared" si="239"/>
        <v>0</v>
      </c>
      <c r="P627" s="409">
        <f t="shared" si="239"/>
        <v>0</v>
      </c>
      <c r="Q627" s="409">
        <f t="shared" si="240"/>
        <v>0</v>
      </c>
      <c r="R627" s="761"/>
      <c r="S627" s="267" t="str">
        <f t="shared" si="233"/>
        <v/>
      </c>
      <c r="T627" s="267" t="str">
        <f t="shared" si="233"/>
        <v/>
      </c>
      <c r="U627" s="267" t="str">
        <f t="shared" si="233"/>
        <v/>
      </c>
      <c r="V627" s="267" t="str">
        <f t="shared" si="233"/>
        <v/>
      </c>
      <c r="W627" s="553"/>
      <c r="Y627" s="236" t="s">
        <v>598</v>
      </c>
      <c r="Z627" s="240" t="s">
        <v>598</v>
      </c>
    </row>
    <row r="628" spans="1:26" ht="12" customHeight="1">
      <c r="A628" s="548" t="s">
        <v>181</v>
      </c>
      <c r="B628" s="548" t="s">
        <v>184</v>
      </c>
      <c r="C628" s="447" t="s">
        <v>766</v>
      </c>
      <c r="D628" s="775"/>
      <c r="E628" s="447" t="s">
        <v>766</v>
      </c>
      <c r="F628" s="104">
        <f>+'[3]chd7-SAOB'!C467</f>
        <v>0</v>
      </c>
      <c r="G628" s="104">
        <f>+'[3]chd7-SAOB'!D467</f>
        <v>29385.189999997616</v>
      </c>
      <c r="H628" s="104">
        <f>+'[3]chd7-SAOB'!E467</f>
        <v>0</v>
      </c>
      <c r="I628" s="103">
        <f t="shared" si="237"/>
        <v>29385.189999997616</v>
      </c>
      <c r="J628" s="104">
        <f>+'[3]chd7-SAOB'!G467</f>
        <v>0</v>
      </c>
      <c r="K628" s="104">
        <f>+'[3]chd7-SAOB'!H467</f>
        <v>0</v>
      </c>
      <c r="L628" s="104">
        <f>+'[3]chd7-SAOB'!I467</f>
        <v>0</v>
      </c>
      <c r="M628" s="103">
        <f t="shared" si="238"/>
        <v>0</v>
      </c>
      <c r="N628" s="103">
        <f t="shared" si="239"/>
        <v>0</v>
      </c>
      <c r="O628" s="103">
        <f t="shared" si="239"/>
        <v>29385.189999997616</v>
      </c>
      <c r="P628" s="103">
        <f t="shared" si="239"/>
        <v>0</v>
      </c>
      <c r="Q628" s="103">
        <f t="shared" si="240"/>
        <v>29385.189999997616</v>
      </c>
      <c r="S628" s="267" t="str">
        <f t="shared" si="233"/>
        <v/>
      </c>
      <c r="T628" s="267">
        <f t="shared" si="233"/>
        <v>0</v>
      </c>
      <c r="U628" s="267" t="str">
        <f t="shared" si="233"/>
        <v/>
      </c>
      <c r="V628" s="267">
        <f t="shared" si="233"/>
        <v>0</v>
      </c>
      <c r="W628" s="530"/>
      <c r="X628" s="236"/>
      <c r="Y628" s="236" t="s">
        <v>688</v>
      </c>
      <c r="Z628" s="236"/>
    </row>
    <row r="629" spans="1:26" ht="12" customHeight="1">
      <c r="A629" s="548" t="s">
        <v>181</v>
      </c>
      <c r="B629" s="548" t="s">
        <v>184</v>
      </c>
      <c r="C629" s="456"/>
      <c r="D629" s="775"/>
      <c r="E629" s="453" t="s">
        <v>50</v>
      </c>
      <c r="F629" s="103">
        <f>+F630+F631</f>
        <v>0</v>
      </c>
      <c r="G629" s="103">
        <f>+G630+G631</f>
        <v>3774.5299999997951</v>
      </c>
      <c r="H629" s="103">
        <f>+H630+H631</f>
        <v>0</v>
      </c>
      <c r="I629" s="103">
        <f t="shared" si="237"/>
        <v>3774.5299999997951</v>
      </c>
      <c r="J629" s="103">
        <f>+J630+J631</f>
        <v>0</v>
      </c>
      <c r="K629" s="103">
        <f>+K630+K631</f>
        <v>0</v>
      </c>
      <c r="L629" s="103">
        <f>+L630+L631</f>
        <v>0</v>
      </c>
      <c r="M629" s="103">
        <f t="shared" si="238"/>
        <v>0</v>
      </c>
      <c r="N629" s="103">
        <f t="shared" si="239"/>
        <v>0</v>
      </c>
      <c r="O629" s="103">
        <f t="shared" si="239"/>
        <v>3774.5299999997951</v>
      </c>
      <c r="P629" s="103">
        <f t="shared" si="239"/>
        <v>0</v>
      </c>
      <c r="Q629" s="103">
        <f t="shared" si="240"/>
        <v>3774.5299999997951</v>
      </c>
      <c r="S629" s="267" t="str">
        <f t="shared" si="233"/>
        <v/>
      </c>
      <c r="T629" s="267">
        <f t="shared" si="233"/>
        <v>0</v>
      </c>
      <c r="U629" s="267" t="str">
        <f t="shared" si="233"/>
        <v/>
      </c>
      <c r="V629" s="267">
        <f t="shared" si="233"/>
        <v>0</v>
      </c>
      <c r="W629" s="530"/>
      <c r="X629" s="236"/>
      <c r="Y629" s="236" t="s">
        <v>688</v>
      </c>
      <c r="Z629" s="236"/>
    </row>
    <row r="630" spans="1:26" ht="12" hidden="1" customHeight="1">
      <c r="A630" s="548" t="s">
        <v>181</v>
      </c>
      <c r="B630" s="548" t="s">
        <v>184</v>
      </c>
      <c r="C630" s="458" t="s">
        <v>715</v>
      </c>
      <c r="D630" s="550" t="s">
        <v>715</v>
      </c>
      <c r="E630" s="447" t="s">
        <v>715</v>
      </c>
      <c r="F630" s="104">
        <f>'[3]CONAP - W INC'!F475</f>
        <v>0</v>
      </c>
      <c r="G630" s="104">
        <f>'[3]CONAP - W INC'!G475</f>
        <v>-2806843.85</v>
      </c>
      <c r="H630" s="104">
        <f>'[3]CONAP - W INC'!H475</f>
        <v>0</v>
      </c>
      <c r="I630" s="103">
        <f t="shared" si="237"/>
        <v>-2806843.85</v>
      </c>
      <c r="J630" s="104">
        <f>'[3]CONAP - W INC'!J475</f>
        <v>0</v>
      </c>
      <c r="K630" s="104">
        <f>'[3]CONAP - W INC'!K475</f>
        <v>0</v>
      </c>
      <c r="L630" s="104">
        <f>'[3]CONAP - W INC'!L475</f>
        <v>0</v>
      </c>
      <c r="M630" s="103">
        <f t="shared" si="238"/>
        <v>0</v>
      </c>
      <c r="N630" s="103">
        <f t="shared" si="239"/>
        <v>0</v>
      </c>
      <c r="O630" s="103">
        <f t="shared" si="239"/>
        <v>-2806843.85</v>
      </c>
      <c r="P630" s="103">
        <f t="shared" si="239"/>
        <v>0</v>
      </c>
      <c r="Q630" s="103">
        <f t="shared" si="240"/>
        <v>-2806843.85</v>
      </c>
      <c r="S630" s="267" t="str">
        <f t="shared" si="233"/>
        <v/>
      </c>
      <c r="T630" s="267">
        <f t="shared" si="233"/>
        <v>0</v>
      </c>
      <c r="U630" s="267" t="str">
        <f t="shared" si="233"/>
        <v/>
      </c>
      <c r="V630" s="267">
        <f t="shared" si="233"/>
        <v>0</v>
      </c>
      <c r="W630" s="530"/>
      <c r="X630" s="236"/>
      <c r="Y630" s="236"/>
      <c r="Z630" s="236"/>
    </row>
    <row r="631" spans="1:26" ht="12" hidden="1" customHeight="1">
      <c r="A631" s="548" t="s">
        <v>181</v>
      </c>
      <c r="B631" s="548" t="s">
        <v>184</v>
      </c>
      <c r="C631" s="458" t="s">
        <v>716</v>
      </c>
      <c r="D631" s="550" t="s">
        <v>716</v>
      </c>
      <c r="E631" s="459" t="s">
        <v>716</v>
      </c>
      <c r="F631" s="104">
        <f>'[3]CONAP - W INC'!F476</f>
        <v>0</v>
      </c>
      <c r="G631" s="104">
        <f>'[3]CONAP - W INC'!G476</f>
        <v>2810618.38</v>
      </c>
      <c r="H631" s="104">
        <f>'[3]CONAP - W INC'!H476</f>
        <v>0</v>
      </c>
      <c r="I631" s="103">
        <f t="shared" si="237"/>
        <v>2810618.38</v>
      </c>
      <c r="J631" s="104">
        <f>'[3]CONAP - W INC'!J476</f>
        <v>0</v>
      </c>
      <c r="K631" s="104">
        <f>'[3]CONAP - W INC'!K476</f>
        <v>0</v>
      </c>
      <c r="L631" s="104">
        <f>'[3]CONAP - W INC'!L476</f>
        <v>0</v>
      </c>
      <c r="M631" s="103">
        <f t="shared" si="238"/>
        <v>0</v>
      </c>
      <c r="N631" s="103">
        <f t="shared" si="239"/>
        <v>0</v>
      </c>
      <c r="O631" s="103">
        <f t="shared" si="239"/>
        <v>2810618.38</v>
      </c>
      <c r="P631" s="103">
        <f t="shared" si="239"/>
        <v>0</v>
      </c>
      <c r="Q631" s="103">
        <f t="shared" si="240"/>
        <v>2810618.38</v>
      </c>
      <c r="S631" s="267" t="str">
        <f t="shared" si="233"/>
        <v/>
      </c>
      <c r="T631" s="267">
        <f t="shared" si="233"/>
        <v>0</v>
      </c>
      <c r="U631" s="267" t="str">
        <f t="shared" si="233"/>
        <v/>
      </c>
      <c r="V631" s="267">
        <f t="shared" si="233"/>
        <v>0</v>
      </c>
      <c r="W631" s="530"/>
      <c r="X631" s="236"/>
      <c r="Y631" s="236"/>
      <c r="Z631" s="236"/>
    </row>
    <row r="632" spans="1:26" s="256" customFormat="1" ht="12" customHeight="1">
      <c r="A632" s="548"/>
      <c r="B632" s="548" t="s">
        <v>184</v>
      </c>
      <c r="C632" s="460"/>
      <c r="D632" s="551"/>
      <c r="E632" s="390" t="s">
        <v>767</v>
      </c>
      <c r="F632" s="391">
        <f>+F629+F628</f>
        <v>0</v>
      </c>
      <c r="G632" s="391">
        <f t="shared" ref="G632:Q632" si="244">+G629+G628</f>
        <v>33159.719999997411</v>
      </c>
      <c r="H632" s="391">
        <f t="shared" si="244"/>
        <v>0</v>
      </c>
      <c r="I632" s="391">
        <f t="shared" si="244"/>
        <v>33159.719999997411</v>
      </c>
      <c r="J632" s="391">
        <f t="shared" si="244"/>
        <v>0</v>
      </c>
      <c r="K632" s="391">
        <f t="shared" si="244"/>
        <v>0</v>
      </c>
      <c r="L632" s="391">
        <f t="shared" si="244"/>
        <v>0</v>
      </c>
      <c r="M632" s="391">
        <f t="shared" si="244"/>
        <v>0</v>
      </c>
      <c r="N632" s="391">
        <f t="shared" si="244"/>
        <v>0</v>
      </c>
      <c r="O632" s="391">
        <f t="shared" si="244"/>
        <v>33159.719999997411</v>
      </c>
      <c r="P632" s="391">
        <f t="shared" si="244"/>
        <v>0</v>
      </c>
      <c r="Q632" s="391">
        <f t="shared" si="244"/>
        <v>33159.719999997411</v>
      </c>
      <c r="R632" s="761"/>
      <c r="S632" s="267" t="str">
        <f t="shared" si="233"/>
        <v/>
      </c>
      <c r="T632" s="267">
        <f t="shared" si="233"/>
        <v>0</v>
      </c>
      <c r="U632" s="267" t="str">
        <f t="shared" si="233"/>
        <v/>
      </c>
      <c r="V632" s="267">
        <f t="shared" si="233"/>
        <v>0</v>
      </c>
      <c r="W632" s="532"/>
      <c r="Y632" s="236" t="s">
        <v>598</v>
      </c>
      <c r="Z632" s="240" t="s">
        <v>598</v>
      </c>
    </row>
    <row r="633" spans="1:26" ht="12" hidden="1" customHeight="1">
      <c r="A633" s="548"/>
      <c r="B633" s="548"/>
      <c r="C633" s="456"/>
      <c r="D633" s="549"/>
      <c r="E633" s="461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S633" s="267" t="str">
        <f t="shared" si="233"/>
        <v/>
      </c>
      <c r="T633" s="267" t="str">
        <f t="shared" si="233"/>
        <v/>
      </c>
      <c r="U633" s="267" t="str">
        <f t="shared" si="233"/>
        <v/>
      </c>
      <c r="V633" s="267" t="str">
        <f t="shared" si="233"/>
        <v/>
      </c>
      <c r="W633" s="530"/>
      <c r="X633" s="236"/>
      <c r="Y633" s="236"/>
      <c r="Z633" s="236"/>
    </row>
    <row r="634" spans="1:26" s="256" customFormat="1" ht="12" customHeight="1">
      <c r="A634" s="548" t="s">
        <v>181</v>
      </c>
      <c r="B634" s="548" t="s">
        <v>184</v>
      </c>
      <c r="C634" s="460"/>
      <c r="D634" s="551" t="s">
        <v>98</v>
      </c>
      <c r="E634" s="390" t="s">
        <v>100</v>
      </c>
      <c r="F634" s="391">
        <f>SUM(F635:F635)</f>
        <v>0</v>
      </c>
      <c r="G634" s="391">
        <f>SUM(G635:G635)</f>
        <v>1765272.89</v>
      </c>
      <c r="H634" s="391">
        <f>SUM(H635:H635)</f>
        <v>0</v>
      </c>
      <c r="I634" s="391">
        <f>+F634+G634+H634</f>
        <v>1765272.89</v>
      </c>
      <c r="J634" s="391">
        <f>SUM(J635:J635)</f>
        <v>0</v>
      </c>
      <c r="K634" s="391">
        <f>SUM(K635:K635)</f>
        <v>1756394</v>
      </c>
      <c r="L634" s="391">
        <f>SUM(L635:L635)</f>
        <v>0</v>
      </c>
      <c r="M634" s="391">
        <f>+J634+K634+L634</f>
        <v>1756394</v>
      </c>
      <c r="N634" s="391">
        <f t="shared" ref="N634:P635" si="245">+F634-J634</f>
        <v>0</v>
      </c>
      <c r="O634" s="391">
        <f t="shared" si="245"/>
        <v>8878.8899999998976</v>
      </c>
      <c r="P634" s="391">
        <f t="shared" si="245"/>
        <v>0</v>
      </c>
      <c r="Q634" s="391">
        <f>+N634+O634+P634</f>
        <v>8878.8899999998976</v>
      </c>
      <c r="R634" s="761"/>
      <c r="S634" s="267" t="str">
        <f t="shared" si="233"/>
        <v/>
      </c>
      <c r="T634" s="267">
        <f t="shared" si="233"/>
        <v>0.99497024508205079</v>
      </c>
      <c r="U634" s="267" t="str">
        <f t="shared" si="233"/>
        <v/>
      </c>
      <c r="V634" s="267">
        <f t="shared" si="233"/>
        <v>0.99497024508205079</v>
      </c>
      <c r="W634" s="532"/>
      <c r="Y634" s="236" t="s">
        <v>598</v>
      </c>
      <c r="Z634" s="240" t="s">
        <v>598</v>
      </c>
    </row>
    <row r="635" spans="1:26" ht="12" customHeight="1">
      <c r="A635" s="548" t="s">
        <v>181</v>
      </c>
      <c r="B635" s="548" t="s">
        <v>184</v>
      </c>
      <c r="C635" s="456"/>
      <c r="D635" s="549"/>
      <c r="E635" s="462" t="s">
        <v>290</v>
      </c>
      <c r="F635" s="103">
        <v>0</v>
      </c>
      <c r="G635" s="103">
        <f>SUM('[3]chd7-SAOB'!BL223)</f>
        <v>1765272.89</v>
      </c>
      <c r="H635" s="103">
        <f>SUM('[3]chd7-SAOB'!BL315)</f>
        <v>0</v>
      </c>
      <c r="I635" s="103">
        <f>+F635+G635+H635</f>
        <v>1765272.89</v>
      </c>
      <c r="J635" s="103">
        <v>0</v>
      </c>
      <c r="K635" s="103">
        <f>SUM('[3]chd7-SAOB'!BL224)</f>
        <v>1756394</v>
      </c>
      <c r="L635" s="103">
        <f>SUM('[3]chd7-SAOB'!BL316)</f>
        <v>0</v>
      </c>
      <c r="M635" s="103">
        <f>+J635+K635+L635</f>
        <v>1756394</v>
      </c>
      <c r="N635" s="103">
        <f t="shared" si="245"/>
        <v>0</v>
      </c>
      <c r="O635" s="103">
        <f t="shared" si="245"/>
        <v>8878.8899999998976</v>
      </c>
      <c r="P635" s="103">
        <f t="shared" si="245"/>
        <v>0</v>
      </c>
      <c r="Q635" s="103">
        <f>+N635+O635+P635</f>
        <v>8878.8899999998976</v>
      </c>
      <c r="S635" s="267" t="str">
        <f t="shared" si="233"/>
        <v/>
      </c>
      <c r="T635" s="267">
        <f t="shared" si="233"/>
        <v>0.99497024508205079</v>
      </c>
      <c r="U635" s="267" t="str">
        <f t="shared" si="233"/>
        <v/>
      </c>
      <c r="V635" s="267">
        <f t="shared" si="233"/>
        <v>0.99497024508205079</v>
      </c>
      <c r="W635" s="530"/>
      <c r="X635" s="236"/>
      <c r="Y635" s="236" t="s">
        <v>598</v>
      </c>
      <c r="Z635" s="236"/>
    </row>
    <row r="636" spans="1:26" s="259" customFormat="1" ht="12" customHeight="1">
      <c r="A636" s="315" t="s">
        <v>181</v>
      </c>
      <c r="B636" s="315" t="s">
        <v>184</v>
      </c>
      <c r="C636" s="1096"/>
      <c r="D636" s="466"/>
      <c r="E636" s="1097" t="s">
        <v>4</v>
      </c>
      <c r="F636" s="652">
        <f>+F634+F632</f>
        <v>0</v>
      </c>
      <c r="G636" s="652">
        <f t="shared" ref="G636:Q636" si="246">+G634+G632</f>
        <v>1798432.6099999973</v>
      </c>
      <c r="H636" s="652">
        <f t="shared" si="246"/>
        <v>0</v>
      </c>
      <c r="I636" s="652">
        <f t="shared" si="246"/>
        <v>1798432.6099999973</v>
      </c>
      <c r="J636" s="652">
        <f t="shared" si="246"/>
        <v>0</v>
      </c>
      <c r="K636" s="652">
        <f t="shared" si="246"/>
        <v>1756394</v>
      </c>
      <c r="L636" s="652">
        <f t="shared" si="246"/>
        <v>0</v>
      </c>
      <c r="M636" s="652">
        <f t="shared" si="246"/>
        <v>1756394</v>
      </c>
      <c r="N636" s="652">
        <f t="shared" si="246"/>
        <v>0</v>
      </c>
      <c r="O636" s="652">
        <f t="shared" si="246"/>
        <v>42038.609999997308</v>
      </c>
      <c r="P636" s="652">
        <f t="shared" si="246"/>
        <v>0</v>
      </c>
      <c r="Q636" s="652">
        <f t="shared" si="246"/>
        <v>42038.609999997308</v>
      </c>
      <c r="R636" s="1095">
        <f>+Q636-'[3]chd7-SAOB'!CV352</f>
        <v>-2.3283064365386963E-10</v>
      </c>
      <c r="S636" s="524" t="str">
        <f t="shared" si="233"/>
        <v/>
      </c>
      <c r="T636" s="524">
        <f t="shared" si="233"/>
        <v>0.9766248622460213</v>
      </c>
      <c r="U636" s="524" t="str">
        <f t="shared" si="233"/>
        <v/>
      </c>
      <c r="V636" s="524">
        <f t="shared" si="233"/>
        <v>0.9766248622460213</v>
      </c>
      <c r="W636" s="344"/>
      <c r="X636" s="520"/>
      <c r="Y636" s="837" t="s">
        <v>598</v>
      </c>
      <c r="Z636" s="241" t="s">
        <v>598</v>
      </c>
    </row>
    <row r="637" spans="1:26" ht="12" customHeight="1">
      <c r="A637" s="315" t="s">
        <v>181</v>
      </c>
      <c r="B637" s="315" t="s">
        <v>184</v>
      </c>
      <c r="C637" s="456"/>
      <c r="D637" s="456"/>
      <c r="E637" s="46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S637" s="267" t="str">
        <f t="shared" si="233"/>
        <v/>
      </c>
      <c r="T637" s="267" t="str">
        <f t="shared" si="233"/>
        <v/>
      </c>
      <c r="U637" s="267" t="str">
        <f t="shared" si="233"/>
        <v/>
      </c>
      <c r="V637" s="267" t="str">
        <f t="shared" si="233"/>
        <v/>
      </c>
      <c r="W637" s="267"/>
      <c r="Y637" s="837" t="s">
        <v>598</v>
      </c>
      <c r="Z637" s="241" t="s">
        <v>598</v>
      </c>
    </row>
    <row r="638" spans="1:26" s="275" customFormat="1" ht="14.25" customHeight="1">
      <c r="A638" s="548" t="s">
        <v>181</v>
      </c>
      <c r="B638" s="548" t="s">
        <v>185</v>
      </c>
      <c r="C638" s="464" t="s">
        <v>98</v>
      </c>
      <c r="D638" s="552" t="s">
        <v>109</v>
      </c>
      <c r="E638" s="407" t="s">
        <v>820</v>
      </c>
      <c r="F638" s="468"/>
      <c r="G638" s="468"/>
      <c r="H638" s="468"/>
      <c r="I638" s="409">
        <f t="shared" si="237"/>
        <v>0</v>
      </c>
      <c r="J638" s="468"/>
      <c r="K638" s="468"/>
      <c r="L638" s="468"/>
      <c r="M638" s="409">
        <f t="shared" si="238"/>
        <v>0</v>
      </c>
      <c r="N638" s="409">
        <f t="shared" si="239"/>
        <v>0</v>
      </c>
      <c r="O638" s="409">
        <f t="shared" si="239"/>
        <v>0</v>
      </c>
      <c r="P638" s="409">
        <f t="shared" si="239"/>
        <v>0</v>
      </c>
      <c r="Q638" s="409">
        <f t="shared" si="240"/>
        <v>0</v>
      </c>
      <c r="R638" s="761"/>
      <c r="S638" s="267" t="str">
        <f t="shared" si="233"/>
        <v/>
      </c>
      <c r="T638" s="267" t="str">
        <f t="shared" si="233"/>
        <v/>
      </c>
      <c r="U638" s="267" t="str">
        <f t="shared" si="233"/>
        <v/>
      </c>
      <c r="V638" s="267" t="str">
        <f t="shared" si="233"/>
        <v/>
      </c>
      <c r="W638" s="553"/>
      <c r="Y638" s="236" t="s">
        <v>598</v>
      </c>
      <c r="Z638" s="240" t="s">
        <v>598</v>
      </c>
    </row>
    <row r="639" spans="1:26" ht="12" customHeight="1">
      <c r="A639" s="548" t="s">
        <v>181</v>
      </c>
      <c r="B639" s="548" t="s">
        <v>185</v>
      </c>
      <c r="C639" s="447" t="s">
        <v>766</v>
      </c>
      <c r="D639" s="775"/>
      <c r="E639" s="447" t="s">
        <v>766</v>
      </c>
      <c r="F639" s="104">
        <f>+'[3]chd7-SAOB'!C474</f>
        <v>0</v>
      </c>
      <c r="G639" s="104">
        <f>+'[3]chd7-SAOB'!D474</f>
        <v>0</v>
      </c>
      <c r="H639" s="104">
        <f>+'[3]chd7-SAOB'!E474</f>
        <v>0</v>
      </c>
      <c r="I639" s="103">
        <f t="shared" si="237"/>
        <v>0</v>
      </c>
      <c r="J639" s="104">
        <f>+'[3]chd7-SAOB'!G474</f>
        <v>0</v>
      </c>
      <c r="K639" s="104">
        <f>+'[3]chd7-SAOB'!H474</f>
        <v>0</v>
      </c>
      <c r="L639" s="104">
        <f>+'[3]chd7-SAOB'!I474</f>
        <v>0</v>
      </c>
      <c r="M639" s="103">
        <f t="shared" si="238"/>
        <v>0</v>
      </c>
      <c r="N639" s="103">
        <f t="shared" si="239"/>
        <v>0</v>
      </c>
      <c r="O639" s="103">
        <f t="shared" si="239"/>
        <v>0</v>
      </c>
      <c r="P639" s="103">
        <f t="shared" si="239"/>
        <v>0</v>
      </c>
      <c r="Q639" s="103">
        <f t="shared" si="240"/>
        <v>0</v>
      </c>
      <c r="S639" s="267" t="str">
        <f t="shared" si="233"/>
        <v/>
      </c>
      <c r="T639" s="267" t="str">
        <f t="shared" si="233"/>
        <v/>
      </c>
      <c r="U639" s="267" t="str">
        <f t="shared" si="233"/>
        <v/>
      </c>
      <c r="V639" s="267" t="str">
        <f t="shared" si="233"/>
        <v/>
      </c>
      <c r="W639" s="530"/>
      <c r="X639" s="236"/>
      <c r="Y639" s="236" t="s">
        <v>688</v>
      </c>
      <c r="Z639" s="236"/>
    </row>
    <row r="640" spans="1:26" ht="12" customHeight="1">
      <c r="A640" s="548" t="s">
        <v>181</v>
      </c>
      <c r="B640" s="548" t="s">
        <v>185</v>
      </c>
      <c r="C640" s="456"/>
      <c r="D640" s="775"/>
      <c r="E640" s="453" t="s">
        <v>50</v>
      </c>
      <c r="F640" s="103">
        <f>+F641+F642</f>
        <v>0</v>
      </c>
      <c r="G640" s="103">
        <f>+G641+G642</f>
        <v>141452.59</v>
      </c>
      <c r="H640" s="103">
        <f>+H641+H642</f>
        <v>0</v>
      </c>
      <c r="I640" s="103">
        <f t="shared" si="237"/>
        <v>141452.59</v>
      </c>
      <c r="J640" s="103">
        <f>+J641+J642</f>
        <v>0</v>
      </c>
      <c r="K640" s="103">
        <f>+K641+K642</f>
        <v>140946.68</v>
      </c>
      <c r="L640" s="103">
        <f>+L641+L642</f>
        <v>0</v>
      </c>
      <c r="M640" s="103">
        <f t="shared" si="238"/>
        <v>140946.68</v>
      </c>
      <c r="N640" s="103">
        <f t="shared" si="239"/>
        <v>0</v>
      </c>
      <c r="O640" s="103">
        <f t="shared" si="239"/>
        <v>505.91000000000349</v>
      </c>
      <c r="P640" s="103">
        <f t="shared" si="239"/>
        <v>0</v>
      </c>
      <c r="Q640" s="103">
        <f t="shared" si="240"/>
        <v>505.91000000000349</v>
      </c>
      <c r="S640" s="267" t="str">
        <f t="shared" si="233"/>
        <v/>
      </c>
      <c r="T640" s="267">
        <f t="shared" si="233"/>
        <v>0.99642346598248921</v>
      </c>
      <c r="U640" s="267" t="str">
        <f t="shared" si="233"/>
        <v/>
      </c>
      <c r="V640" s="267">
        <f t="shared" si="233"/>
        <v>0.99642346598248921</v>
      </c>
      <c r="W640" s="530"/>
      <c r="X640" s="236"/>
      <c r="Y640" s="236" t="s">
        <v>688</v>
      </c>
      <c r="Z640" s="236"/>
    </row>
    <row r="641" spans="1:26" ht="12" hidden="1" customHeight="1">
      <c r="A641" s="548" t="s">
        <v>181</v>
      </c>
      <c r="B641" s="548" t="s">
        <v>185</v>
      </c>
      <c r="C641" s="458" t="s">
        <v>715</v>
      </c>
      <c r="D641" s="550" t="s">
        <v>715</v>
      </c>
      <c r="E641" s="447" t="s">
        <v>715</v>
      </c>
      <c r="F641" s="104">
        <f>'[3]CONAP - W INC'!F483</f>
        <v>0</v>
      </c>
      <c r="G641" s="104">
        <f>'[3]CONAP - W INC'!G483</f>
        <v>0</v>
      </c>
      <c r="H641" s="104">
        <f>'[3]CONAP - W INC'!H483</f>
        <v>0</v>
      </c>
      <c r="I641" s="103">
        <f t="shared" si="237"/>
        <v>0</v>
      </c>
      <c r="J641" s="104">
        <f>'[3]CONAP - W INC'!J483</f>
        <v>0</v>
      </c>
      <c r="K641" s="104">
        <f>'[3]CONAP - W INC'!K483</f>
        <v>0</v>
      </c>
      <c r="L641" s="104">
        <f>'[3]CONAP - W INC'!L483</f>
        <v>0</v>
      </c>
      <c r="M641" s="103">
        <f t="shared" si="238"/>
        <v>0</v>
      </c>
      <c r="N641" s="103">
        <f t="shared" si="239"/>
        <v>0</v>
      </c>
      <c r="O641" s="103">
        <f t="shared" si="239"/>
        <v>0</v>
      </c>
      <c r="P641" s="103">
        <f t="shared" si="239"/>
        <v>0</v>
      </c>
      <c r="Q641" s="103">
        <f t="shared" si="240"/>
        <v>0</v>
      </c>
      <c r="S641" s="267" t="str">
        <f t="shared" si="233"/>
        <v/>
      </c>
      <c r="T641" s="267" t="str">
        <f t="shared" si="233"/>
        <v/>
      </c>
      <c r="U641" s="267" t="str">
        <f t="shared" si="233"/>
        <v/>
      </c>
      <c r="V641" s="267" t="str">
        <f t="shared" si="233"/>
        <v/>
      </c>
      <c r="W641" s="530"/>
      <c r="X641" s="236"/>
      <c r="Y641" s="236"/>
      <c r="Z641" s="236"/>
    </row>
    <row r="642" spans="1:26" ht="12" hidden="1" customHeight="1">
      <c r="A642" s="548" t="s">
        <v>181</v>
      </c>
      <c r="B642" s="548" t="s">
        <v>185</v>
      </c>
      <c r="C642" s="458" t="s">
        <v>716</v>
      </c>
      <c r="D642" s="550" t="s">
        <v>716</v>
      </c>
      <c r="E642" s="459" t="s">
        <v>716</v>
      </c>
      <c r="F642" s="104">
        <f>'[3]CONAP - W INC'!F484</f>
        <v>0</v>
      </c>
      <c r="G642" s="104">
        <f>'[3]CONAP - W INC'!G484</f>
        <v>141452.59</v>
      </c>
      <c r="H642" s="104">
        <f>'[3]CONAP - W INC'!H484</f>
        <v>0</v>
      </c>
      <c r="I642" s="103">
        <f t="shared" si="237"/>
        <v>141452.59</v>
      </c>
      <c r="J642" s="104">
        <f>'[3]CONAP - W INC'!J484</f>
        <v>0</v>
      </c>
      <c r="K642" s="104">
        <f>'[3]CONAP - W INC'!K484</f>
        <v>140946.68</v>
      </c>
      <c r="L642" s="104">
        <f>'[3]CONAP - W INC'!L484</f>
        <v>0</v>
      </c>
      <c r="M642" s="103">
        <f t="shared" si="238"/>
        <v>140946.68</v>
      </c>
      <c r="N642" s="103">
        <f t="shared" si="239"/>
        <v>0</v>
      </c>
      <c r="O642" s="103">
        <f t="shared" si="239"/>
        <v>505.91000000000349</v>
      </c>
      <c r="P642" s="103">
        <f t="shared" si="239"/>
        <v>0</v>
      </c>
      <c r="Q642" s="103">
        <f t="shared" si="240"/>
        <v>505.91000000000349</v>
      </c>
      <c r="S642" s="267" t="str">
        <f t="shared" si="233"/>
        <v/>
      </c>
      <c r="T642" s="267">
        <f t="shared" si="233"/>
        <v>0.99642346598248921</v>
      </c>
      <c r="U642" s="267" t="str">
        <f t="shared" si="233"/>
        <v/>
      </c>
      <c r="V642" s="267">
        <f t="shared" si="233"/>
        <v>0.99642346598248921</v>
      </c>
      <c r="W642" s="530"/>
      <c r="X642" s="236"/>
      <c r="Y642" s="236"/>
      <c r="Z642" s="236"/>
    </row>
    <row r="643" spans="1:26" s="256" customFormat="1" ht="12" customHeight="1">
      <c r="A643" s="548"/>
      <c r="B643" s="548" t="s">
        <v>185</v>
      </c>
      <c r="C643" s="460"/>
      <c r="D643" s="551"/>
      <c r="E643" s="390" t="s">
        <v>767</v>
      </c>
      <c r="F643" s="391">
        <f>+F640+F639</f>
        <v>0</v>
      </c>
      <c r="G643" s="391">
        <f t="shared" ref="G643:Q643" si="247">+G640+G639</f>
        <v>141452.59</v>
      </c>
      <c r="H643" s="391">
        <f t="shared" si="247"/>
        <v>0</v>
      </c>
      <c r="I643" s="391">
        <f t="shared" si="247"/>
        <v>141452.59</v>
      </c>
      <c r="J643" s="391">
        <f t="shared" si="247"/>
        <v>0</v>
      </c>
      <c r="K643" s="391">
        <f t="shared" si="247"/>
        <v>140946.68</v>
      </c>
      <c r="L643" s="391">
        <f t="shared" si="247"/>
        <v>0</v>
      </c>
      <c r="M643" s="391">
        <f t="shared" si="247"/>
        <v>140946.68</v>
      </c>
      <c r="N643" s="391">
        <f t="shared" si="247"/>
        <v>0</v>
      </c>
      <c r="O643" s="391">
        <f t="shared" si="247"/>
        <v>505.91000000000349</v>
      </c>
      <c r="P643" s="391">
        <f t="shared" si="247"/>
        <v>0</v>
      </c>
      <c r="Q643" s="391">
        <f t="shared" si="247"/>
        <v>505.91000000000349</v>
      </c>
      <c r="R643" s="761"/>
      <c r="S643" s="267" t="str">
        <f t="shared" si="233"/>
        <v/>
      </c>
      <c r="T643" s="267">
        <f t="shared" si="233"/>
        <v>0.99642346598248921</v>
      </c>
      <c r="U643" s="267" t="str">
        <f t="shared" si="233"/>
        <v/>
      </c>
      <c r="V643" s="267">
        <f t="shared" si="233"/>
        <v>0.99642346598248921</v>
      </c>
      <c r="W643" s="532"/>
      <c r="Y643" s="236" t="s">
        <v>598</v>
      </c>
      <c r="Z643" s="240" t="s">
        <v>598</v>
      </c>
    </row>
    <row r="644" spans="1:26" ht="12" hidden="1" customHeight="1">
      <c r="A644" s="548"/>
      <c r="B644" s="548"/>
      <c r="C644" s="456"/>
      <c r="D644" s="549"/>
      <c r="E644" s="461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S644" s="267" t="str">
        <f t="shared" si="233"/>
        <v/>
      </c>
      <c r="T644" s="267" t="str">
        <f t="shared" si="233"/>
        <v/>
      </c>
      <c r="U644" s="267" t="str">
        <f t="shared" si="233"/>
        <v/>
      </c>
      <c r="V644" s="267" t="str">
        <f t="shared" si="233"/>
        <v/>
      </c>
      <c r="W644" s="530"/>
      <c r="X644" s="236"/>
      <c r="Y644" s="236"/>
      <c r="Z644" s="236"/>
    </row>
    <row r="645" spans="1:26" s="256" customFormat="1" ht="12" customHeight="1">
      <c r="A645" s="548" t="s">
        <v>181</v>
      </c>
      <c r="B645" s="548" t="s">
        <v>185</v>
      </c>
      <c r="C645" s="460"/>
      <c r="D645" s="551" t="s">
        <v>98</v>
      </c>
      <c r="E645" s="390" t="s">
        <v>100</v>
      </c>
      <c r="F645" s="391">
        <f>SUM(F646:F646)</f>
        <v>0</v>
      </c>
      <c r="G645" s="391">
        <f>SUM(G646:G646)</f>
        <v>198.49</v>
      </c>
      <c r="H645" s="391">
        <f>SUM(H646:H646)</f>
        <v>0</v>
      </c>
      <c r="I645" s="391">
        <f>+F645+G645+H645</f>
        <v>198.49</v>
      </c>
      <c r="J645" s="391">
        <f>SUM(J646:J646)</f>
        <v>0</v>
      </c>
      <c r="K645" s="391">
        <f>SUM(K646:K646)</f>
        <v>0</v>
      </c>
      <c r="L645" s="391">
        <f>SUM(L646:L646)</f>
        <v>0</v>
      </c>
      <c r="M645" s="391">
        <f>+J645+K645+L645</f>
        <v>0</v>
      </c>
      <c r="N645" s="391">
        <f t="shared" ref="N645:P646" si="248">+F645-J645</f>
        <v>0</v>
      </c>
      <c r="O645" s="391">
        <f t="shared" si="248"/>
        <v>198.49</v>
      </c>
      <c r="P645" s="391">
        <f t="shared" si="248"/>
        <v>0</v>
      </c>
      <c r="Q645" s="391">
        <f>+N645+O645+P645</f>
        <v>198.49</v>
      </c>
      <c r="R645" s="761"/>
      <c r="S645" s="267" t="str">
        <f t="shared" si="233"/>
        <v/>
      </c>
      <c r="T645" s="267">
        <f t="shared" si="233"/>
        <v>0</v>
      </c>
      <c r="U645" s="267" t="str">
        <f t="shared" si="233"/>
        <v/>
      </c>
      <c r="V645" s="267">
        <f t="shared" si="233"/>
        <v>0</v>
      </c>
      <c r="W645" s="532"/>
      <c r="Y645" s="236" t="s">
        <v>598</v>
      </c>
      <c r="Z645" s="240" t="s">
        <v>598</v>
      </c>
    </row>
    <row r="646" spans="1:26" ht="12" customHeight="1">
      <c r="A646" s="548" t="s">
        <v>181</v>
      </c>
      <c r="B646" s="548" t="s">
        <v>185</v>
      </c>
      <c r="C646" s="456"/>
      <c r="D646" s="549"/>
      <c r="E646" s="462" t="s">
        <v>290</v>
      </c>
      <c r="F646" s="103">
        <v>0</v>
      </c>
      <c r="G646" s="103">
        <f>SUM('[3]chd7-SAOB'!BM223)</f>
        <v>198.49</v>
      </c>
      <c r="H646" s="103">
        <f>SUM('[3]chd7-SAOB'!BM315)</f>
        <v>0</v>
      </c>
      <c r="I646" s="103">
        <f>+F646+G646+H646</f>
        <v>198.49</v>
      </c>
      <c r="J646" s="103">
        <v>0</v>
      </c>
      <c r="K646" s="103">
        <f>SUM('[3]chd7-SAOB'!BM224)</f>
        <v>0</v>
      </c>
      <c r="L646" s="103">
        <f>SUM('[3]chd7-SAOB'!BM316)</f>
        <v>0</v>
      </c>
      <c r="M646" s="103">
        <f>+J646+K646+L646</f>
        <v>0</v>
      </c>
      <c r="N646" s="103">
        <f t="shared" si="248"/>
        <v>0</v>
      </c>
      <c r="O646" s="103">
        <f t="shared" si="248"/>
        <v>198.49</v>
      </c>
      <c r="P646" s="103">
        <f t="shared" si="248"/>
        <v>0</v>
      </c>
      <c r="Q646" s="103">
        <f>+N646+O646+P646</f>
        <v>198.49</v>
      </c>
      <c r="S646" s="267" t="str">
        <f t="shared" si="233"/>
        <v/>
      </c>
      <c r="T646" s="267">
        <f t="shared" si="233"/>
        <v>0</v>
      </c>
      <c r="U646" s="267" t="str">
        <f t="shared" si="233"/>
        <v/>
      </c>
      <c r="V646" s="267">
        <f t="shared" si="233"/>
        <v>0</v>
      </c>
      <c r="W646" s="530"/>
      <c r="X646" s="236"/>
      <c r="Y646" s="236" t="s">
        <v>598</v>
      </c>
      <c r="Z646" s="236"/>
    </row>
    <row r="647" spans="1:26" s="259" customFormat="1" ht="12" customHeight="1">
      <c r="A647" s="315" t="s">
        <v>181</v>
      </c>
      <c r="B647" s="315" t="s">
        <v>185</v>
      </c>
      <c r="C647" s="1096"/>
      <c r="D647" s="466"/>
      <c r="E647" s="1097" t="s">
        <v>4</v>
      </c>
      <c r="F647" s="652">
        <f>+F645+F643</f>
        <v>0</v>
      </c>
      <c r="G647" s="652">
        <f t="shared" ref="G647:Q647" si="249">+G645+G643</f>
        <v>141651.07999999999</v>
      </c>
      <c r="H647" s="652">
        <f t="shared" si="249"/>
        <v>0</v>
      </c>
      <c r="I647" s="652">
        <f t="shared" si="249"/>
        <v>141651.07999999999</v>
      </c>
      <c r="J647" s="652">
        <f t="shared" si="249"/>
        <v>0</v>
      </c>
      <c r="K647" s="652">
        <f t="shared" si="249"/>
        <v>140946.68</v>
      </c>
      <c r="L647" s="652">
        <f t="shared" si="249"/>
        <v>0</v>
      </c>
      <c r="M647" s="652">
        <f t="shared" si="249"/>
        <v>140946.68</v>
      </c>
      <c r="N647" s="652">
        <f t="shared" si="249"/>
        <v>0</v>
      </c>
      <c r="O647" s="652">
        <f t="shared" si="249"/>
        <v>704.4000000000035</v>
      </c>
      <c r="P647" s="652">
        <f t="shared" si="249"/>
        <v>0</v>
      </c>
      <c r="Q647" s="652">
        <f t="shared" si="249"/>
        <v>704.4000000000035</v>
      </c>
      <c r="R647" s="1095">
        <f>+Q647-'[3]chd7-SAOB'!CW352</f>
        <v>0</v>
      </c>
      <c r="S647" s="524" t="str">
        <f t="shared" si="233"/>
        <v/>
      </c>
      <c r="T647" s="524">
        <f t="shared" si="233"/>
        <v>0.99502721758280988</v>
      </c>
      <c r="U647" s="524" t="str">
        <f t="shared" si="233"/>
        <v/>
      </c>
      <c r="V647" s="524">
        <f t="shared" si="233"/>
        <v>0.99502721758280988</v>
      </c>
      <c r="W647" s="344"/>
      <c r="X647" s="520"/>
      <c r="Y647" s="837" t="s">
        <v>598</v>
      </c>
      <c r="Z647" s="241" t="s">
        <v>598</v>
      </c>
    </row>
    <row r="648" spans="1:26" ht="12" customHeight="1">
      <c r="A648" s="315"/>
      <c r="B648" s="315" t="s">
        <v>185</v>
      </c>
      <c r="C648" s="456"/>
      <c r="D648" s="456"/>
      <c r="E648" s="46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S648" s="267" t="str">
        <f t="shared" si="233"/>
        <v/>
      </c>
      <c r="T648" s="267" t="str">
        <f t="shared" si="233"/>
        <v/>
      </c>
      <c r="U648" s="267" t="str">
        <f t="shared" si="233"/>
        <v/>
      </c>
      <c r="V648" s="267" t="str">
        <f t="shared" si="233"/>
        <v/>
      </c>
      <c r="W648" s="267"/>
      <c r="Y648" s="837" t="s">
        <v>598</v>
      </c>
      <c r="Z648" s="241" t="s">
        <v>598</v>
      </c>
    </row>
    <row r="649" spans="1:26" s="275" customFormat="1" ht="12" customHeight="1">
      <c r="A649" s="548" t="s">
        <v>181</v>
      </c>
      <c r="B649" s="548" t="s">
        <v>186</v>
      </c>
      <c r="C649" s="464" t="s">
        <v>98</v>
      </c>
      <c r="D649" s="552" t="s">
        <v>111</v>
      </c>
      <c r="E649" s="407" t="s">
        <v>821</v>
      </c>
      <c r="F649" s="468"/>
      <c r="G649" s="468"/>
      <c r="H649" s="468"/>
      <c r="I649" s="409">
        <f t="shared" si="237"/>
        <v>0</v>
      </c>
      <c r="J649" s="468"/>
      <c r="K649" s="468"/>
      <c r="L649" s="468"/>
      <c r="M649" s="409">
        <f t="shared" si="238"/>
        <v>0</v>
      </c>
      <c r="N649" s="409">
        <f t="shared" si="239"/>
        <v>0</v>
      </c>
      <c r="O649" s="409">
        <f t="shared" si="239"/>
        <v>0</v>
      </c>
      <c r="P649" s="409">
        <f t="shared" si="239"/>
        <v>0</v>
      </c>
      <c r="Q649" s="409">
        <f t="shared" si="240"/>
        <v>0</v>
      </c>
      <c r="R649" s="761"/>
      <c r="S649" s="267" t="str">
        <f t="shared" si="233"/>
        <v/>
      </c>
      <c r="T649" s="267" t="str">
        <f t="shared" si="233"/>
        <v/>
      </c>
      <c r="U649" s="267" t="str">
        <f t="shared" si="233"/>
        <v/>
      </c>
      <c r="V649" s="267" t="str">
        <f t="shared" si="233"/>
        <v/>
      </c>
      <c r="W649" s="553"/>
      <c r="Y649" s="236" t="s">
        <v>598</v>
      </c>
      <c r="Z649" s="240" t="s">
        <v>598</v>
      </c>
    </row>
    <row r="650" spans="1:26" ht="12" customHeight="1">
      <c r="A650" s="548" t="s">
        <v>181</v>
      </c>
      <c r="B650" s="548" t="s">
        <v>186</v>
      </c>
      <c r="C650" s="447" t="s">
        <v>766</v>
      </c>
      <c r="D650" s="775"/>
      <c r="E650" s="447" t="s">
        <v>766</v>
      </c>
      <c r="F650" s="104">
        <f>+'[3]chd7-SAOB'!C480</f>
        <v>0</v>
      </c>
      <c r="G650" s="104">
        <f>+'[3]chd7-SAOB'!D480</f>
        <v>723709.8200000003</v>
      </c>
      <c r="H650" s="104">
        <f>+'[3]chd7-SAOB'!E480</f>
        <v>0</v>
      </c>
      <c r="I650" s="103">
        <f t="shared" si="237"/>
        <v>723709.8200000003</v>
      </c>
      <c r="J650" s="104">
        <f>+'[3]chd7-SAOB'!G480</f>
        <v>0</v>
      </c>
      <c r="K650" s="104">
        <f>+'[3]chd7-SAOB'!H480</f>
        <v>723562.88000000012</v>
      </c>
      <c r="L650" s="104">
        <f>+'[3]chd7-SAOB'!I480</f>
        <v>0</v>
      </c>
      <c r="M650" s="103">
        <f t="shared" si="238"/>
        <v>723562.88000000012</v>
      </c>
      <c r="N650" s="103">
        <f t="shared" si="239"/>
        <v>0</v>
      </c>
      <c r="O650" s="103">
        <f t="shared" si="239"/>
        <v>146.94000000017695</v>
      </c>
      <c r="P650" s="103">
        <f t="shared" si="239"/>
        <v>0</v>
      </c>
      <c r="Q650" s="103">
        <f t="shared" si="240"/>
        <v>146.94000000017695</v>
      </c>
      <c r="S650" s="267" t="str">
        <f t="shared" si="233"/>
        <v/>
      </c>
      <c r="T650" s="267">
        <f t="shared" si="233"/>
        <v>0.99979696282136921</v>
      </c>
      <c r="U650" s="267" t="str">
        <f t="shared" si="233"/>
        <v/>
      </c>
      <c r="V650" s="267">
        <f t="shared" si="233"/>
        <v>0.99979696282136921</v>
      </c>
      <c r="W650" s="530"/>
      <c r="X650" s="236"/>
      <c r="Y650" s="236" t="s">
        <v>688</v>
      </c>
      <c r="Z650" s="236"/>
    </row>
    <row r="651" spans="1:26" ht="12" customHeight="1">
      <c r="A651" s="548" t="s">
        <v>181</v>
      </c>
      <c r="B651" s="548" t="s">
        <v>186</v>
      </c>
      <c r="C651" s="456"/>
      <c r="D651" s="775"/>
      <c r="E651" s="453" t="s">
        <v>50</v>
      </c>
      <c r="F651" s="103">
        <f>+F652+F653</f>
        <v>0</v>
      </c>
      <c r="G651" s="103">
        <f>+G652+G653</f>
        <v>535655.78</v>
      </c>
      <c r="H651" s="103">
        <f>+H652+H653</f>
        <v>0</v>
      </c>
      <c r="I651" s="103">
        <f t="shared" si="237"/>
        <v>535655.78</v>
      </c>
      <c r="J651" s="103">
        <f>+J652+J653</f>
        <v>0</v>
      </c>
      <c r="K651" s="103">
        <f>+K652+K653</f>
        <v>535454</v>
      </c>
      <c r="L651" s="103">
        <f>+L652+L653</f>
        <v>0</v>
      </c>
      <c r="M651" s="103">
        <f t="shared" si="238"/>
        <v>535454</v>
      </c>
      <c r="N651" s="103">
        <f t="shared" si="239"/>
        <v>0</v>
      </c>
      <c r="O651" s="103">
        <f t="shared" si="239"/>
        <v>201.78000000002794</v>
      </c>
      <c r="P651" s="103">
        <f t="shared" si="239"/>
        <v>0</v>
      </c>
      <c r="Q651" s="103">
        <f t="shared" si="240"/>
        <v>201.78000000002794</v>
      </c>
      <c r="S651" s="267" t="str">
        <f t="shared" si="233"/>
        <v/>
      </c>
      <c r="T651" s="267">
        <f t="shared" si="233"/>
        <v>0.99962330286065426</v>
      </c>
      <c r="U651" s="267" t="str">
        <f t="shared" si="233"/>
        <v/>
      </c>
      <c r="V651" s="267">
        <f t="shared" si="233"/>
        <v>0.99962330286065426</v>
      </c>
      <c r="W651" s="530"/>
      <c r="X651" s="236"/>
      <c r="Y651" s="236" t="s">
        <v>688</v>
      </c>
      <c r="Z651" s="236"/>
    </row>
    <row r="652" spans="1:26" ht="12" hidden="1" customHeight="1">
      <c r="A652" s="548" t="s">
        <v>181</v>
      </c>
      <c r="B652" s="548" t="s">
        <v>186</v>
      </c>
      <c r="C652" s="458" t="s">
        <v>715</v>
      </c>
      <c r="D652" s="550" t="s">
        <v>715</v>
      </c>
      <c r="E652" s="447" t="s">
        <v>715</v>
      </c>
      <c r="F652" s="104">
        <f>'[3]CONAP - W INC'!F491</f>
        <v>0</v>
      </c>
      <c r="G652" s="104">
        <f>'[3]CONAP - W INC'!G491</f>
        <v>-223610.37</v>
      </c>
      <c r="H652" s="104">
        <f>'[3]CONAP - W INC'!H491</f>
        <v>0</v>
      </c>
      <c r="I652" s="103">
        <f t="shared" si="237"/>
        <v>-223610.37</v>
      </c>
      <c r="J652" s="104">
        <f>'[3]CONAP - W INC'!J491</f>
        <v>0</v>
      </c>
      <c r="K652" s="104">
        <f>'[3]CONAP - W INC'!K491</f>
        <v>0</v>
      </c>
      <c r="L652" s="104">
        <f>'[3]CONAP - W INC'!L491</f>
        <v>0</v>
      </c>
      <c r="M652" s="103">
        <f t="shared" si="238"/>
        <v>0</v>
      </c>
      <c r="N652" s="103">
        <f t="shared" si="239"/>
        <v>0</v>
      </c>
      <c r="O652" s="103">
        <f t="shared" si="239"/>
        <v>-223610.37</v>
      </c>
      <c r="P652" s="103">
        <f t="shared" si="239"/>
        <v>0</v>
      </c>
      <c r="Q652" s="103">
        <f t="shared" si="240"/>
        <v>-223610.37</v>
      </c>
      <c r="S652" s="267" t="str">
        <f t="shared" si="233"/>
        <v/>
      </c>
      <c r="T652" s="267">
        <f t="shared" si="233"/>
        <v>0</v>
      </c>
      <c r="U652" s="267" t="str">
        <f t="shared" si="233"/>
        <v/>
      </c>
      <c r="V652" s="267">
        <f t="shared" si="233"/>
        <v>0</v>
      </c>
      <c r="W652" s="530"/>
      <c r="X652" s="236"/>
      <c r="Y652" s="236"/>
      <c r="Z652" s="236"/>
    </row>
    <row r="653" spans="1:26" ht="12" hidden="1" customHeight="1">
      <c r="A653" s="548" t="s">
        <v>181</v>
      </c>
      <c r="B653" s="548" t="s">
        <v>186</v>
      </c>
      <c r="C653" s="458" t="s">
        <v>716</v>
      </c>
      <c r="D653" s="550" t="s">
        <v>716</v>
      </c>
      <c r="E653" s="459" t="s">
        <v>716</v>
      </c>
      <c r="F653" s="104">
        <f>'[3]CONAP - W INC'!F492</f>
        <v>0</v>
      </c>
      <c r="G653" s="104">
        <f>'[3]CONAP - W INC'!G492</f>
        <v>759266.15</v>
      </c>
      <c r="H653" s="104">
        <f>'[3]CONAP - W INC'!H492</f>
        <v>0</v>
      </c>
      <c r="I653" s="103">
        <f t="shared" si="237"/>
        <v>759266.15</v>
      </c>
      <c r="J653" s="104">
        <f>'[3]CONAP - W INC'!J492</f>
        <v>0</v>
      </c>
      <c r="K653" s="104">
        <f>'[3]CONAP - W INC'!K492</f>
        <v>535454</v>
      </c>
      <c r="L653" s="104">
        <f>'[3]CONAP - W INC'!L492</f>
        <v>0</v>
      </c>
      <c r="M653" s="103">
        <f t="shared" si="238"/>
        <v>535454</v>
      </c>
      <c r="N653" s="103">
        <f t="shared" si="239"/>
        <v>0</v>
      </c>
      <c r="O653" s="103">
        <f t="shared" si="239"/>
        <v>223812.15000000002</v>
      </c>
      <c r="P653" s="103">
        <f t="shared" si="239"/>
        <v>0</v>
      </c>
      <c r="Q653" s="103">
        <f t="shared" si="240"/>
        <v>223812.15000000002</v>
      </c>
      <c r="S653" s="267" t="str">
        <f t="shared" si="233"/>
        <v/>
      </c>
      <c r="T653" s="267">
        <f t="shared" si="233"/>
        <v>0.70522569720775774</v>
      </c>
      <c r="U653" s="267" t="str">
        <f t="shared" si="233"/>
        <v/>
      </c>
      <c r="V653" s="267">
        <f t="shared" si="233"/>
        <v>0.70522569720775774</v>
      </c>
      <c r="W653" s="530"/>
      <c r="X653" s="236"/>
      <c r="Y653" s="236"/>
      <c r="Z653" s="236"/>
    </row>
    <row r="654" spans="1:26" s="256" customFormat="1" ht="12" customHeight="1">
      <c r="A654" s="548"/>
      <c r="B654" s="548" t="s">
        <v>186</v>
      </c>
      <c r="C654" s="460"/>
      <c r="D654" s="551"/>
      <c r="E654" s="390" t="s">
        <v>767</v>
      </c>
      <c r="F654" s="391">
        <f>+F651+F650</f>
        <v>0</v>
      </c>
      <c r="G654" s="391">
        <f t="shared" ref="G654:Q654" si="250">+G651+G650</f>
        <v>1259365.6000000003</v>
      </c>
      <c r="H654" s="391">
        <f t="shared" si="250"/>
        <v>0</v>
      </c>
      <c r="I654" s="391">
        <f t="shared" si="250"/>
        <v>1259365.6000000003</v>
      </c>
      <c r="J654" s="391">
        <f t="shared" si="250"/>
        <v>0</v>
      </c>
      <c r="K654" s="391">
        <f t="shared" si="250"/>
        <v>1259016.8800000001</v>
      </c>
      <c r="L654" s="391">
        <f t="shared" si="250"/>
        <v>0</v>
      </c>
      <c r="M654" s="391">
        <f t="shared" si="250"/>
        <v>1259016.8800000001</v>
      </c>
      <c r="N654" s="391">
        <f t="shared" si="250"/>
        <v>0</v>
      </c>
      <c r="O654" s="391">
        <f t="shared" si="250"/>
        <v>348.72000000020489</v>
      </c>
      <c r="P654" s="391">
        <f t="shared" si="250"/>
        <v>0</v>
      </c>
      <c r="Q654" s="391">
        <f t="shared" si="250"/>
        <v>348.72000000020489</v>
      </c>
      <c r="R654" s="761"/>
      <c r="S654" s="267" t="str">
        <f t="shared" si="233"/>
        <v/>
      </c>
      <c r="T654" s="267">
        <f t="shared" si="233"/>
        <v>0.99972309867761977</v>
      </c>
      <c r="U654" s="267" t="str">
        <f t="shared" si="233"/>
        <v/>
      </c>
      <c r="V654" s="267">
        <f t="shared" si="233"/>
        <v>0.99972309867761977</v>
      </c>
      <c r="W654" s="532"/>
      <c r="Y654" s="236" t="s">
        <v>598</v>
      </c>
      <c r="Z654" s="240" t="s">
        <v>598</v>
      </c>
    </row>
    <row r="655" spans="1:26" ht="12" hidden="1" customHeight="1">
      <c r="A655" s="548"/>
      <c r="B655" s="548"/>
      <c r="C655" s="456"/>
      <c r="D655" s="549"/>
      <c r="E655" s="461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S655" s="267" t="str">
        <f t="shared" si="233"/>
        <v/>
      </c>
      <c r="T655" s="267" t="str">
        <f t="shared" si="233"/>
        <v/>
      </c>
      <c r="U655" s="267" t="str">
        <f t="shared" si="233"/>
        <v/>
      </c>
      <c r="V655" s="267" t="str">
        <f t="shared" si="233"/>
        <v/>
      </c>
      <c r="W655" s="530"/>
      <c r="X655" s="236"/>
      <c r="Y655" s="236"/>
      <c r="Z655" s="236"/>
    </row>
    <row r="656" spans="1:26" s="256" customFormat="1" ht="12" customHeight="1">
      <c r="A656" s="548" t="s">
        <v>181</v>
      </c>
      <c r="B656" s="548" t="s">
        <v>186</v>
      </c>
      <c r="C656" s="460"/>
      <c r="D656" s="551" t="s">
        <v>98</v>
      </c>
      <c r="E656" s="390" t="s">
        <v>100</v>
      </c>
      <c r="F656" s="391">
        <f>SUM(F657:F657)</f>
        <v>0</v>
      </c>
      <c r="G656" s="391">
        <f>SUM(G657:G657)</f>
        <v>5838375.4299999997</v>
      </c>
      <c r="H656" s="391">
        <f>SUM(H657:H657)</f>
        <v>0</v>
      </c>
      <c r="I656" s="391">
        <f>+F656+G656+H656</f>
        <v>5838375.4299999997</v>
      </c>
      <c r="J656" s="391">
        <f>SUM(J657:J657)</f>
        <v>0</v>
      </c>
      <c r="K656" s="391">
        <f>SUM(K657:K657)</f>
        <v>5838156.1399999997</v>
      </c>
      <c r="L656" s="391">
        <f>SUM(L657:L657)</f>
        <v>0</v>
      </c>
      <c r="M656" s="391">
        <f>+J656+K656+L656</f>
        <v>5838156.1399999997</v>
      </c>
      <c r="N656" s="391">
        <f t="shared" ref="N656:P657" si="251">+F656-J656</f>
        <v>0</v>
      </c>
      <c r="O656" s="391">
        <f t="shared" si="251"/>
        <v>219.29000000003725</v>
      </c>
      <c r="P656" s="391">
        <f t="shared" si="251"/>
        <v>0</v>
      </c>
      <c r="Q656" s="391">
        <f>+N656+O656+P656</f>
        <v>219.29000000003725</v>
      </c>
      <c r="R656" s="761"/>
      <c r="S656" s="267" t="str">
        <f t="shared" si="233"/>
        <v/>
      </c>
      <c r="T656" s="267">
        <f t="shared" si="233"/>
        <v>0.99996243989400313</v>
      </c>
      <c r="U656" s="267" t="str">
        <f t="shared" si="233"/>
        <v/>
      </c>
      <c r="V656" s="267">
        <f t="shared" si="233"/>
        <v>0.99996243989400313</v>
      </c>
      <c r="W656" s="532"/>
      <c r="Y656" s="236" t="s">
        <v>598</v>
      </c>
      <c r="Z656" s="240" t="s">
        <v>598</v>
      </c>
    </row>
    <row r="657" spans="1:26" ht="12" customHeight="1">
      <c r="A657" s="548" t="s">
        <v>181</v>
      </c>
      <c r="B657" s="548" t="s">
        <v>186</v>
      </c>
      <c r="C657" s="456"/>
      <c r="D657" s="549"/>
      <c r="E657" s="462" t="s">
        <v>290</v>
      </c>
      <c r="F657" s="103">
        <v>0</v>
      </c>
      <c r="G657" s="103">
        <f>SUM('[3]chd7-SAOB'!BN223)</f>
        <v>5838375.4299999997</v>
      </c>
      <c r="H657" s="103">
        <f>SUM('[3]chd7-SAOB'!BN315)</f>
        <v>0</v>
      </c>
      <c r="I657" s="103">
        <f>+F657+G657+H657</f>
        <v>5838375.4299999997</v>
      </c>
      <c r="J657" s="103">
        <v>0</v>
      </c>
      <c r="K657" s="103">
        <f>SUM('[3]chd7-SAOB'!BN224)</f>
        <v>5838156.1399999997</v>
      </c>
      <c r="L657" s="103">
        <f>SUM('[3]chd7-SAOB'!BN316)</f>
        <v>0</v>
      </c>
      <c r="M657" s="103">
        <f>+J657+K657+L657</f>
        <v>5838156.1399999997</v>
      </c>
      <c r="N657" s="103">
        <f t="shared" si="251"/>
        <v>0</v>
      </c>
      <c r="O657" s="103">
        <f t="shared" si="251"/>
        <v>219.29000000003725</v>
      </c>
      <c r="P657" s="103">
        <f t="shared" si="251"/>
        <v>0</v>
      </c>
      <c r="Q657" s="103">
        <f>+N657+O657+P657</f>
        <v>219.29000000003725</v>
      </c>
      <c r="S657" s="267" t="str">
        <f t="shared" si="233"/>
        <v/>
      </c>
      <c r="T657" s="267">
        <f t="shared" si="233"/>
        <v>0.99996243989400313</v>
      </c>
      <c r="U657" s="267" t="str">
        <f t="shared" si="233"/>
        <v/>
      </c>
      <c r="V657" s="267">
        <f t="shared" si="233"/>
        <v>0.99996243989400313</v>
      </c>
      <c r="W657" s="530"/>
      <c r="X657" s="236"/>
      <c r="Y657" s="236" t="s">
        <v>598</v>
      </c>
      <c r="Z657" s="236"/>
    </row>
    <row r="658" spans="1:26" s="259" customFormat="1" ht="12" customHeight="1">
      <c r="A658" s="315" t="s">
        <v>181</v>
      </c>
      <c r="B658" s="315" t="s">
        <v>186</v>
      </c>
      <c r="C658" s="1096"/>
      <c r="D658" s="466"/>
      <c r="E658" s="1097" t="s">
        <v>4</v>
      </c>
      <c r="F658" s="652">
        <f>+F656+F654</f>
        <v>0</v>
      </c>
      <c r="G658" s="652">
        <f t="shared" ref="G658:Q658" si="252">+G656+G654</f>
        <v>7097741.0300000003</v>
      </c>
      <c r="H658" s="652">
        <f t="shared" si="252"/>
        <v>0</v>
      </c>
      <c r="I658" s="652">
        <f t="shared" si="252"/>
        <v>7097741.0300000003</v>
      </c>
      <c r="J658" s="652">
        <f t="shared" si="252"/>
        <v>0</v>
      </c>
      <c r="K658" s="652">
        <f t="shared" si="252"/>
        <v>7097173.0199999996</v>
      </c>
      <c r="L658" s="652">
        <f t="shared" si="252"/>
        <v>0</v>
      </c>
      <c r="M658" s="652">
        <f t="shared" si="252"/>
        <v>7097173.0199999996</v>
      </c>
      <c r="N658" s="652">
        <f t="shared" si="252"/>
        <v>0</v>
      </c>
      <c r="O658" s="652">
        <f t="shared" si="252"/>
        <v>568.01000000024214</v>
      </c>
      <c r="P658" s="652">
        <f t="shared" si="252"/>
        <v>0</v>
      </c>
      <c r="Q658" s="652">
        <f t="shared" si="252"/>
        <v>568.01000000024214</v>
      </c>
      <c r="R658" s="1095">
        <f>+Q658-'[3]chd7-SAOB'!CX352</f>
        <v>0</v>
      </c>
      <c r="S658" s="524" t="str">
        <f t="shared" si="233"/>
        <v/>
      </c>
      <c r="T658" s="524">
        <f t="shared" si="233"/>
        <v>0.99991997312981695</v>
      </c>
      <c r="U658" s="524" t="str">
        <f t="shared" si="233"/>
        <v/>
      </c>
      <c r="V658" s="524">
        <f t="shared" si="233"/>
        <v>0.99991997312981695</v>
      </c>
      <c r="W658" s="344"/>
      <c r="X658" s="520"/>
      <c r="Y658" s="837" t="s">
        <v>598</v>
      </c>
      <c r="Z658" s="241" t="s">
        <v>598</v>
      </c>
    </row>
    <row r="659" spans="1:26" ht="12" customHeight="1">
      <c r="A659" s="315"/>
      <c r="B659" s="315" t="s">
        <v>186</v>
      </c>
      <c r="C659" s="456"/>
      <c r="D659" s="456"/>
      <c r="E659" s="46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S659" s="267" t="str">
        <f t="shared" si="233"/>
        <v/>
      </c>
      <c r="T659" s="267" t="str">
        <f t="shared" si="233"/>
        <v/>
      </c>
      <c r="U659" s="267" t="str">
        <f t="shared" si="233"/>
        <v/>
      </c>
      <c r="V659" s="267" t="str">
        <f t="shared" si="233"/>
        <v/>
      </c>
      <c r="W659" s="267"/>
      <c r="Y659" s="837" t="s">
        <v>598</v>
      </c>
      <c r="Z659" s="241" t="s">
        <v>598</v>
      </c>
    </row>
    <row r="660" spans="1:26" s="275" customFormat="1" ht="12" customHeight="1">
      <c r="A660" s="548" t="s">
        <v>181</v>
      </c>
      <c r="B660" s="548" t="s">
        <v>187</v>
      </c>
      <c r="C660" s="464" t="s">
        <v>98</v>
      </c>
      <c r="D660" s="552" t="s">
        <v>148</v>
      </c>
      <c r="E660" s="407" t="s">
        <v>822</v>
      </c>
      <c r="F660" s="468"/>
      <c r="G660" s="468"/>
      <c r="H660" s="468"/>
      <c r="I660" s="409">
        <f t="shared" si="237"/>
        <v>0</v>
      </c>
      <c r="J660" s="468"/>
      <c r="K660" s="468"/>
      <c r="L660" s="468"/>
      <c r="M660" s="409">
        <f t="shared" si="238"/>
        <v>0</v>
      </c>
      <c r="N660" s="409">
        <f t="shared" si="239"/>
        <v>0</v>
      </c>
      <c r="O660" s="409">
        <f t="shared" si="239"/>
        <v>0</v>
      </c>
      <c r="P660" s="409">
        <f t="shared" si="239"/>
        <v>0</v>
      </c>
      <c r="Q660" s="409">
        <f t="shared" si="240"/>
        <v>0</v>
      </c>
      <c r="R660" s="761"/>
      <c r="S660" s="267" t="str">
        <f t="shared" si="233"/>
        <v/>
      </c>
      <c r="T660" s="267" t="str">
        <f t="shared" si="233"/>
        <v/>
      </c>
      <c r="U660" s="267" t="str">
        <f t="shared" si="233"/>
        <v/>
      </c>
      <c r="V660" s="267" t="str">
        <f t="shared" si="233"/>
        <v/>
      </c>
      <c r="W660" s="553"/>
      <c r="Y660" s="236" t="s">
        <v>598</v>
      </c>
      <c r="Z660" s="240" t="s">
        <v>598</v>
      </c>
    </row>
    <row r="661" spans="1:26" ht="12" customHeight="1">
      <c r="A661" s="548" t="s">
        <v>181</v>
      </c>
      <c r="B661" s="548" t="s">
        <v>187</v>
      </c>
      <c r="C661" s="447" t="s">
        <v>766</v>
      </c>
      <c r="D661" s="775"/>
      <c r="E661" s="447" t="s">
        <v>766</v>
      </c>
      <c r="F661" s="104">
        <f>+'[3]chd7-SAOB'!C486</f>
        <v>0</v>
      </c>
      <c r="G661" s="104">
        <f>+'[3]chd7-SAOB'!D486</f>
        <v>118.73</v>
      </c>
      <c r="H661" s="104">
        <f>+'[3]chd7-SAOB'!E486</f>
        <v>0</v>
      </c>
      <c r="I661" s="103">
        <f t="shared" si="237"/>
        <v>118.73</v>
      </c>
      <c r="J661" s="104">
        <f>+'[3]chd7-SAOB'!G486</f>
        <v>0</v>
      </c>
      <c r="K661" s="104">
        <f>+'[3]chd7-SAOB'!H486</f>
        <v>0</v>
      </c>
      <c r="L661" s="104">
        <f>+'[3]chd7-SAOB'!I486</f>
        <v>0</v>
      </c>
      <c r="M661" s="103">
        <f t="shared" si="238"/>
        <v>0</v>
      </c>
      <c r="N661" s="103">
        <f t="shared" si="239"/>
        <v>0</v>
      </c>
      <c r="O661" s="103">
        <f t="shared" si="239"/>
        <v>118.73</v>
      </c>
      <c r="P661" s="103">
        <f t="shared" si="239"/>
        <v>0</v>
      </c>
      <c r="Q661" s="103">
        <f t="shared" si="240"/>
        <v>118.73</v>
      </c>
      <c r="S661" s="267" t="str">
        <f t="shared" si="233"/>
        <v/>
      </c>
      <c r="T661" s="267">
        <f t="shared" si="233"/>
        <v>0</v>
      </c>
      <c r="U661" s="267" t="str">
        <f t="shared" si="233"/>
        <v/>
      </c>
      <c r="V661" s="267">
        <f t="shared" si="233"/>
        <v>0</v>
      </c>
      <c r="W661" s="530"/>
      <c r="X661" s="236"/>
      <c r="Y661" s="236" t="s">
        <v>688</v>
      </c>
      <c r="Z661" s="236"/>
    </row>
    <row r="662" spans="1:26" ht="12" customHeight="1">
      <c r="A662" s="548" t="s">
        <v>181</v>
      </c>
      <c r="B662" s="548" t="s">
        <v>187</v>
      </c>
      <c r="C662" s="456"/>
      <c r="D662" s="775"/>
      <c r="E662" s="453" t="s">
        <v>50</v>
      </c>
      <c r="F662" s="103">
        <f>+F663+F664</f>
        <v>0</v>
      </c>
      <c r="G662" s="103">
        <f>+G663+G664</f>
        <v>890</v>
      </c>
      <c r="H662" s="103">
        <f>+H663+H664</f>
        <v>0</v>
      </c>
      <c r="I662" s="103">
        <f t="shared" si="237"/>
        <v>890</v>
      </c>
      <c r="J662" s="103">
        <f>+J663+J664</f>
        <v>0</v>
      </c>
      <c r="K662" s="103">
        <f>+K663+K664</f>
        <v>0</v>
      </c>
      <c r="L662" s="103">
        <f>+L663+L664</f>
        <v>0</v>
      </c>
      <c r="M662" s="103">
        <f t="shared" si="238"/>
        <v>0</v>
      </c>
      <c r="N662" s="103">
        <f t="shared" si="239"/>
        <v>0</v>
      </c>
      <c r="O662" s="103">
        <f t="shared" si="239"/>
        <v>890</v>
      </c>
      <c r="P662" s="103">
        <f t="shared" si="239"/>
        <v>0</v>
      </c>
      <c r="Q662" s="103">
        <f t="shared" si="240"/>
        <v>890</v>
      </c>
      <c r="S662" s="267" t="str">
        <f t="shared" si="233"/>
        <v/>
      </c>
      <c r="T662" s="267">
        <f t="shared" si="233"/>
        <v>0</v>
      </c>
      <c r="U662" s="267" t="str">
        <f t="shared" si="233"/>
        <v/>
      </c>
      <c r="V662" s="267">
        <f t="shared" si="233"/>
        <v>0</v>
      </c>
      <c r="W662" s="530"/>
      <c r="X662" s="236"/>
      <c r="Y662" s="236" t="s">
        <v>688</v>
      </c>
      <c r="Z662" s="236"/>
    </row>
    <row r="663" spans="1:26" ht="12" hidden="1" customHeight="1">
      <c r="A663" s="548" t="s">
        <v>181</v>
      </c>
      <c r="B663" s="548" t="s">
        <v>187</v>
      </c>
      <c r="C663" s="458" t="s">
        <v>715</v>
      </c>
      <c r="D663" s="550" t="s">
        <v>715</v>
      </c>
      <c r="E663" s="447" t="s">
        <v>715</v>
      </c>
      <c r="F663" s="104">
        <f>'[3]CONAP - W INC'!F499</f>
        <v>0</v>
      </c>
      <c r="G663" s="104">
        <f>'[3]CONAP - W INC'!G499</f>
        <v>0</v>
      </c>
      <c r="H663" s="104">
        <f>'[3]CONAP - W INC'!H499</f>
        <v>0</v>
      </c>
      <c r="I663" s="103">
        <f t="shared" si="237"/>
        <v>0</v>
      </c>
      <c r="J663" s="104">
        <f>'[3]CONAP - W INC'!J499</f>
        <v>0</v>
      </c>
      <c r="K663" s="104">
        <f>'[3]CONAP - W INC'!K499</f>
        <v>0</v>
      </c>
      <c r="L663" s="104">
        <f>'[3]CONAP - W INC'!L499</f>
        <v>0</v>
      </c>
      <c r="M663" s="103">
        <f t="shared" si="238"/>
        <v>0</v>
      </c>
      <c r="N663" s="103">
        <f t="shared" si="239"/>
        <v>0</v>
      </c>
      <c r="O663" s="103">
        <f t="shared" si="239"/>
        <v>0</v>
      </c>
      <c r="P663" s="103">
        <f t="shared" si="239"/>
        <v>0</v>
      </c>
      <c r="Q663" s="103">
        <f t="shared" si="240"/>
        <v>0</v>
      </c>
      <c r="S663" s="267" t="str">
        <f t="shared" si="233"/>
        <v/>
      </c>
      <c r="T663" s="267" t="str">
        <f t="shared" si="233"/>
        <v/>
      </c>
      <c r="U663" s="267" t="str">
        <f t="shared" si="233"/>
        <v/>
      </c>
      <c r="V663" s="267" t="str">
        <f t="shared" ref="V663:V726" si="253">IF(I663=0,"",M663/I663)</f>
        <v/>
      </c>
      <c r="W663" s="530"/>
      <c r="X663" s="236"/>
      <c r="Y663" s="236"/>
      <c r="Z663" s="236"/>
    </row>
    <row r="664" spans="1:26" ht="12" hidden="1" customHeight="1">
      <c r="A664" s="548" t="s">
        <v>181</v>
      </c>
      <c r="B664" s="548" t="s">
        <v>187</v>
      </c>
      <c r="C664" s="458" t="s">
        <v>716</v>
      </c>
      <c r="D664" s="550" t="s">
        <v>716</v>
      </c>
      <c r="E664" s="459" t="s">
        <v>716</v>
      </c>
      <c r="F664" s="104">
        <f>'[3]CONAP - W INC'!F500</f>
        <v>0</v>
      </c>
      <c r="G664" s="104">
        <f>'[3]CONAP - W INC'!G500</f>
        <v>890</v>
      </c>
      <c r="H664" s="104">
        <f>'[3]CONAP - W INC'!H500</f>
        <v>0</v>
      </c>
      <c r="I664" s="103">
        <f t="shared" si="237"/>
        <v>890</v>
      </c>
      <c r="J664" s="104">
        <f>'[3]CONAP - W INC'!J500</f>
        <v>0</v>
      </c>
      <c r="K664" s="104">
        <f>'[3]CONAP - W INC'!K500</f>
        <v>0</v>
      </c>
      <c r="L664" s="104">
        <f>'[3]CONAP - W INC'!L500</f>
        <v>0</v>
      </c>
      <c r="M664" s="103">
        <f t="shared" si="238"/>
        <v>0</v>
      </c>
      <c r="N664" s="103">
        <f t="shared" si="239"/>
        <v>0</v>
      </c>
      <c r="O664" s="103">
        <f t="shared" si="239"/>
        <v>890</v>
      </c>
      <c r="P664" s="103">
        <f t="shared" si="239"/>
        <v>0</v>
      </c>
      <c r="Q664" s="103">
        <f t="shared" si="240"/>
        <v>890</v>
      </c>
      <c r="S664" s="267" t="str">
        <f t="shared" ref="S664:V727" si="254">IF(F664=0,"",J664/F664)</f>
        <v/>
      </c>
      <c r="T664" s="267">
        <f t="shared" si="254"/>
        <v>0</v>
      </c>
      <c r="U664" s="267" t="str">
        <f t="shared" si="254"/>
        <v/>
      </c>
      <c r="V664" s="267">
        <f t="shared" si="253"/>
        <v>0</v>
      </c>
      <c r="W664" s="530"/>
      <c r="X664" s="236"/>
      <c r="Y664" s="236"/>
      <c r="Z664" s="236"/>
    </row>
    <row r="665" spans="1:26" s="256" customFormat="1" ht="12" customHeight="1">
      <c r="A665" s="548"/>
      <c r="B665" s="548" t="s">
        <v>187</v>
      </c>
      <c r="C665" s="460"/>
      <c r="D665" s="551"/>
      <c r="E665" s="390" t="s">
        <v>767</v>
      </c>
      <c r="F665" s="391">
        <f>+F662+F661</f>
        <v>0</v>
      </c>
      <c r="G665" s="391">
        <f t="shared" ref="G665:Q665" si="255">+G662+G661</f>
        <v>1008.73</v>
      </c>
      <c r="H665" s="391">
        <f t="shared" si="255"/>
        <v>0</v>
      </c>
      <c r="I665" s="391">
        <f t="shared" si="255"/>
        <v>1008.73</v>
      </c>
      <c r="J665" s="391">
        <f t="shared" si="255"/>
        <v>0</v>
      </c>
      <c r="K665" s="391">
        <f t="shared" si="255"/>
        <v>0</v>
      </c>
      <c r="L665" s="391">
        <f t="shared" si="255"/>
        <v>0</v>
      </c>
      <c r="M665" s="391">
        <f t="shared" si="255"/>
        <v>0</v>
      </c>
      <c r="N665" s="391">
        <f t="shared" si="255"/>
        <v>0</v>
      </c>
      <c r="O665" s="391">
        <f t="shared" si="255"/>
        <v>1008.73</v>
      </c>
      <c r="P665" s="391">
        <f t="shared" si="255"/>
        <v>0</v>
      </c>
      <c r="Q665" s="391">
        <f t="shared" si="255"/>
        <v>1008.73</v>
      </c>
      <c r="R665" s="761"/>
      <c r="S665" s="267" t="str">
        <f t="shared" si="254"/>
        <v/>
      </c>
      <c r="T665" s="267">
        <f t="shared" si="254"/>
        <v>0</v>
      </c>
      <c r="U665" s="267" t="str">
        <f t="shared" si="254"/>
        <v/>
      </c>
      <c r="V665" s="267">
        <f t="shared" si="253"/>
        <v>0</v>
      </c>
      <c r="W665" s="532"/>
      <c r="Y665" s="236" t="s">
        <v>598</v>
      </c>
      <c r="Z665" s="240" t="s">
        <v>598</v>
      </c>
    </row>
    <row r="666" spans="1:26" ht="12" hidden="1" customHeight="1">
      <c r="A666" s="548"/>
      <c r="B666" s="548"/>
      <c r="C666" s="456"/>
      <c r="D666" s="549"/>
      <c r="E666" s="461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S666" s="267" t="str">
        <f t="shared" si="254"/>
        <v/>
      </c>
      <c r="T666" s="267" t="str">
        <f t="shared" si="254"/>
        <v/>
      </c>
      <c r="U666" s="267" t="str">
        <f t="shared" si="254"/>
        <v/>
      </c>
      <c r="V666" s="267" t="str">
        <f t="shared" si="253"/>
        <v/>
      </c>
      <c r="W666" s="530"/>
      <c r="X666" s="236"/>
      <c r="Y666" s="236"/>
      <c r="Z666" s="236"/>
    </row>
    <row r="667" spans="1:26" s="256" customFormat="1" ht="12" customHeight="1">
      <c r="A667" s="548" t="s">
        <v>181</v>
      </c>
      <c r="B667" s="548" t="s">
        <v>187</v>
      </c>
      <c r="C667" s="460"/>
      <c r="D667" s="551" t="s">
        <v>98</v>
      </c>
      <c r="E667" s="390" t="s">
        <v>100</v>
      </c>
      <c r="F667" s="391">
        <f>SUM(F668:F668)</f>
        <v>0</v>
      </c>
      <c r="G667" s="391">
        <f>SUM(G668:G668)</f>
        <v>0</v>
      </c>
      <c r="H667" s="391">
        <f>SUM(H668:H668)</f>
        <v>0</v>
      </c>
      <c r="I667" s="391">
        <f>+F667+G667+H667</f>
        <v>0</v>
      </c>
      <c r="J667" s="391">
        <f>SUM(J668:J668)</f>
        <v>0</v>
      </c>
      <c r="K667" s="391">
        <f>SUM(K668:K668)</f>
        <v>0</v>
      </c>
      <c r="L667" s="391">
        <f>SUM(L668:L668)</f>
        <v>0</v>
      </c>
      <c r="M667" s="391">
        <f>+J667+K667+L667</f>
        <v>0</v>
      </c>
      <c r="N667" s="391">
        <f t="shared" ref="N667:P668" si="256">+F667-J667</f>
        <v>0</v>
      </c>
      <c r="O667" s="391">
        <f t="shared" si="256"/>
        <v>0</v>
      </c>
      <c r="P667" s="391">
        <f t="shared" si="256"/>
        <v>0</v>
      </c>
      <c r="Q667" s="391">
        <f>+N667+O667+P667</f>
        <v>0</v>
      </c>
      <c r="R667" s="761"/>
      <c r="S667" s="267" t="str">
        <f t="shared" si="254"/>
        <v/>
      </c>
      <c r="T667" s="267" t="str">
        <f t="shared" si="254"/>
        <v/>
      </c>
      <c r="U667" s="267" t="str">
        <f t="shared" si="254"/>
        <v/>
      </c>
      <c r="V667" s="267" t="str">
        <f t="shared" si="253"/>
        <v/>
      </c>
      <c r="W667" s="532"/>
      <c r="Y667" s="236" t="s">
        <v>598</v>
      </c>
      <c r="Z667" s="240" t="s">
        <v>598</v>
      </c>
    </row>
    <row r="668" spans="1:26" ht="12" customHeight="1">
      <c r="A668" s="548" t="s">
        <v>181</v>
      </c>
      <c r="B668" s="548" t="s">
        <v>187</v>
      </c>
      <c r="C668" s="456"/>
      <c r="D668" s="549"/>
      <c r="E668" s="462" t="s">
        <v>290</v>
      </c>
      <c r="F668" s="103">
        <v>0</v>
      </c>
      <c r="G668" s="103">
        <f>SUM('[3]chd7-SAOB'!BO223)</f>
        <v>0</v>
      </c>
      <c r="H668" s="103">
        <f>SUM('[3]chd7-SAOB'!BO315)</f>
        <v>0</v>
      </c>
      <c r="I668" s="103">
        <f>+F668+G668+H668</f>
        <v>0</v>
      </c>
      <c r="J668" s="103">
        <v>0</v>
      </c>
      <c r="K668" s="103">
        <f>SUM('[3]chd7-SAOB'!BO224)</f>
        <v>0</v>
      </c>
      <c r="L668" s="103">
        <f>SUM('[3]chd7-SAOB'!BO316)</f>
        <v>0</v>
      </c>
      <c r="M668" s="103">
        <f>+J668+K668+L668</f>
        <v>0</v>
      </c>
      <c r="N668" s="103">
        <f t="shared" si="256"/>
        <v>0</v>
      </c>
      <c r="O668" s="103">
        <f t="shared" si="256"/>
        <v>0</v>
      </c>
      <c r="P668" s="103">
        <f t="shared" si="256"/>
        <v>0</v>
      </c>
      <c r="Q668" s="103">
        <f>+N668+O668+P668</f>
        <v>0</v>
      </c>
      <c r="S668" s="267" t="str">
        <f t="shared" si="254"/>
        <v/>
      </c>
      <c r="T668" s="267" t="str">
        <f t="shared" si="254"/>
        <v/>
      </c>
      <c r="U668" s="267" t="str">
        <f t="shared" si="254"/>
        <v/>
      </c>
      <c r="V668" s="267" t="str">
        <f t="shared" si="253"/>
        <v/>
      </c>
      <c r="W668" s="530"/>
      <c r="X668" s="236"/>
      <c r="Y668" s="236" t="s">
        <v>598</v>
      </c>
      <c r="Z668" s="236"/>
    </row>
    <row r="669" spans="1:26" s="259" customFormat="1" ht="12" customHeight="1">
      <c r="A669" s="315" t="s">
        <v>181</v>
      </c>
      <c r="B669" s="315" t="s">
        <v>187</v>
      </c>
      <c r="C669" s="1096"/>
      <c r="D669" s="466"/>
      <c r="E669" s="1097" t="s">
        <v>4</v>
      </c>
      <c r="F669" s="652">
        <f>+F667+F665</f>
        <v>0</v>
      </c>
      <c r="G669" s="652">
        <f t="shared" ref="G669:Q669" si="257">+G667+G665</f>
        <v>1008.73</v>
      </c>
      <c r="H669" s="652">
        <f t="shared" si="257"/>
        <v>0</v>
      </c>
      <c r="I669" s="652">
        <f t="shared" si="257"/>
        <v>1008.73</v>
      </c>
      <c r="J669" s="652">
        <f t="shared" si="257"/>
        <v>0</v>
      </c>
      <c r="K669" s="652">
        <f t="shared" si="257"/>
        <v>0</v>
      </c>
      <c r="L669" s="652">
        <f t="shared" si="257"/>
        <v>0</v>
      </c>
      <c r="M669" s="652">
        <f t="shared" si="257"/>
        <v>0</v>
      </c>
      <c r="N669" s="652">
        <f t="shared" si="257"/>
        <v>0</v>
      </c>
      <c r="O669" s="652">
        <f t="shared" si="257"/>
        <v>1008.73</v>
      </c>
      <c r="P669" s="652">
        <f t="shared" si="257"/>
        <v>0</v>
      </c>
      <c r="Q669" s="652">
        <f t="shared" si="257"/>
        <v>1008.73</v>
      </c>
      <c r="R669" s="1095">
        <f>+Q669-'[3]chd7-SAOB'!CY352</f>
        <v>0</v>
      </c>
      <c r="S669" s="524" t="str">
        <f t="shared" si="254"/>
        <v/>
      </c>
      <c r="T669" s="524">
        <f t="shared" si="254"/>
        <v>0</v>
      </c>
      <c r="U669" s="524" t="str">
        <f t="shared" si="254"/>
        <v/>
      </c>
      <c r="V669" s="524">
        <f t="shared" si="253"/>
        <v>0</v>
      </c>
      <c r="W669" s="344"/>
      <c r="X669" s="520"/>
      <c r="Y669" s="837" t="s">
        <v>598</v>
      </c>
      <c r="Z669" s="241" t="s">
        <v>598</v>
      </c>
    </row>
    <row r="670" spans="1:26" ht="12" customHeight="1">
      <c r="A670" s="315"/>
      <c r="B670" s="315" t="s">
        <v>187</v>
      </c>
      <c r="C670" s="456"/>
      <c r="D670" s="456"/>
      <c r="E670" s="46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S670" s="267" t="str">
        <f t="shared" si="254"/>
        <v/>
      </c>
      <c r="T670" s="267" t="str">
        <f t="shared" si="254"/>
        <v/>
      </c>
      <c r="U670" s="267" t="str">
        <f t="shared" si="254"/>
        <v/>
      </c>
      <c r="V670" s="267" t="str">
        <f t="shared" si="253"/>
        <v/>
      </c>
      <c r="W670" s="267"/>
      <c r="Y670" s="837" t="s">
        <v>598</v>
      </c>
      <c r="Z670" s="241" t="s">
        <v>598</v>
      </c>
    </row>
    <row r="671" spans="1:26" s="275" customFormat="1" ht="13.5" customHeight="1">
      <c r="A671" s="548" t="s">
        <v>181</v>
      </c>
      <c r="B671" s="548" t="s">
        <v>188</v>
      </c>
      <c r="C671" s="464" t="s">
        <v>98</v>
      </c>
      <c r="D671" s="552" t="s">
        <v>189</v>
      </c>
      <c r="E671" s="407" t="s">
        <v>823</v>
      </c>
      <c r="F671" s="468"/>
      <c r="G671" s="468"/>
      <c r="H671" s="468"/>
      <c r="I671" s="409">
        <f t="shared" si="237"/>
        <v>0</v>
      </c>
      <c r="J671" s="468"/>
      <c r="K671" s="468"/>
      <c r="L671" s="468"/>
      <c r="M671" s="409">
        <f t="shared" si="238"/>
        <v>0</v>
      </c>
      <c r="N671" s="409">
        <f t="shared" si="239"/>
        <v>0</v>
      </c>
      <c r="O671" s="409">
        <f t="shared" si="239"/>
        <v>0</v>
      </c>
      <c r="P671" s="409">
        <f t="shared" si="239"/>
        <v>0</v>
      </c>
      <c r="Q671" s="409">
        <f t="shared" si="240"/>
        <v>0</v>
      </c>
      <c r="R671" s="761"/>
      <c r="S671" s="267" t="str">
        <f t="shared" si="254"/>
        <v/>
      </c>
      <c r="T671" s="267" t="str">
        <f t="shared" si="254"/>
        <v/>
      </c>
      <c r="U671" s="267" t="str">
        <f t="shared" si="254"/>
        <v/>
      </c>
      <c r="V671" s="267" t="str">
        <f t="shared" si="253"/>
        <v/>
      </c>
      <c r="W671" s="553"/>
      <c r="Y671" s="236" t="s">
        <v>598</v>
      </c>
      <c r="Z671" s="240" t="s">
        <v>598</v>
      </c>
    </row>
    <row r="672" spans="1:26" ht="12" customHeight="1">
      <c r="A672" s="548" t="s">
        <v>181</v>
      </c>
      <c r="B672" s="548" t="s">
        <v>188</v>
      </c>
      <c r="C672" s="447" t="s">
        <v>766</v>
      </c>
      <c r="D672" s="775"/>
      <c r="E672" s="447" t="s">
        <v>766</v>
      </c>
      <c r="F672" s="104">
        <f>+'[3]chd7-SAOB'!C492</f>
        <v>0</v>
      </c>
      <c r="G672" s="104">
        <f>+'[3]chd7-SAOB'!D492</f>
        <v>2059.36</v>
      </c>
      <c r="H672" s="104">
        <f>+'[3]chd7-SAOB'!E492</f>
        <v>0</v>
      </c>
      <c r="I672" s="103">
        <f t="shared" si="237"/>
        <v>2059.36</v>
      </c>
      <c r="J672" s="104">
        <f>+'[3]chd7-SAOB'!G492</f>
        <v>0</v>
      </c>
      <c r="K672" s="104">
        <f>+'[3]chd7-SAOB'!H492</f>
        <v>1943.88</v>
      </c>
      <c r="L672" s="104">
        <f>+'[3]chd7-SAOB'!I492</f>
        <v>0</v>
      </c>
      <c r="M672" s="103">
        <f t="shared" si="238"/>
        <v>1943.88</v>
      </c>
      <c r="N672" s="103">
        <f t="shared" si="239"/>
        <v>0</v>
      </c>
      <c r="O672" s="103">
        <f t="shared" si="239"/>
        <v>115.48000000000002</v>
      </c>
      <c r="P672" s="103">
        <f t="shared" si="239"/>
        <v>0</v>
      </c>
      <c r="Q672" s="103">
        <f t="shared" si="240"/>
        <v>115.48000000000002</v>
      </c>
      <c r="S672" s="267" t="str">
        <f t="shared" si="254"/>
        <v/>
      </c>
      <c r="T672" s="267">
        <f t="shared" si="254"/>
        <v>0.94392432600419551</v>
      </c>
      <c r="U672" s="267" t="str">
        <f t="shared" si="254"/>
        <v/>
      </c>
      <c r="V672" s="267">
        <f t="shared" si="253"/>
        <v>0.94392432600419551</v>
      </c>
      <c r="W672" s="530"/>
      <c r="X672" s="236"/>
      <c r="Y672" s="236" t="s">
        <v>688</v>
      </c>
      <c r="Z672" s="236"/>
    </row>
    <row r="673" spans="1:26" ht="12" customHeight="1">
      <c r="A673" s="548" t="s">
        <v>181</v>
      </c>
      <c r="B673" s="548" t="s">
        <v>188</v>
      </c>
      <c r="C673" s="456"/>
      <c r="D673" s="775"/>
      <c r="E673" s="453" t="s">
        <v>50</v>
      </c>
      <c r="F673" s="103">
        <f>+F674+F675</f>
        <v>0</v>
      </c>
      <c r="G673" s="103">
        <f>+G674+G675</f>
        <v>178230.22</v>
      </c>
      <c r="H673" s="103">
        <f>+H674+H675</f>
        <v>0</v>
      </c>
      <c r="I673" s="103">
        <f t="shared" si="237"/>
        <v>178230.22</v>
      </c>
      <c r="J673" s="103">
        <f>+J674+J675</f>
        <v>0</v>
      </c>
      <c r="K673" s="103">
        <f>+K674+K675</f>
        <v>178230.22</v>
      </c>
      <c r="L673" s="103">
        <f>+L674+L675</f>
        <v>0</v>
      </c>
      <c r="M673" s="103">
        <f t="shared" si="238"/>
        <v>178230.22</v>
      </c>
      <c r="N673" s="103">
        <f t="shared" ref="N673:P724" si="258">+F673-J673</f>
        <v>0</v>
      </c>
      <c r="O673" s="103">
        <f t="shared" si="258"/>
        <v>0</v>
      </c>
      <c r="P673" s="103">
        <f t="shared" si="258"/>
        <v>0</v>
      </c>
      <c r="Q673" s="103">
        <f t="shared" si="240"/>
        <v>0</v>
      </c>
      <c r="S673" s="267" t="str">
        <f t="shared" si="254"/>
        <v/>
      </c>
      <c r="T673" s="267">
        <f t="shared" si="254"/>
        <v>1</v>
      </c>
      <c r="U673" s="267" t="str">
        <f t="shared" si="254"/>
        <v/>
      </c>
      <c r="V673" s="267">
        <f t="shared" si="253"/>
        <v>1</v>
      </c>
      <c r="W673" s="530"/>
      <c r="X673" s="236"/>
      <c r="Y673" s="236" t="s">
        <v>688</v>
      </c>
      <c r="Z673" s="236"/>
    </row>
    <row r="674" spans="1:26" ht="12" hidden="1" customHeight="1">
      <c r="A674" s="548" t="s">
        <v>181</v>
      </c>
      <c r="B674" s="548" t="s">
        <v>188</v>
      </c>
      <c r="C674" s="458" t="s">
        <v>715</v>
      </c>
      <c r="D674" s="550" t="s">
        <v>715</v>
      </c>
      <c r="E674" s="447" t="s">
        <v>715</v>
      </c>
      <c r="F674" s="104">
        <f>'[3]CONAP - W INC'!F507</f>
        <v>0</v>
      </c>
      <c r="G674" s="104">
        <f>'[3]CONAP - W INC'!G507</f>
        <v>-12925</v>
      </c>
      <c r="H674" s="104">
        <f>'[3]CONAP - W INC'!H507</f>
        <v>0</v>
      </c>
      <c r="I674" s="103">
        <f t="shared" si="237"/>
        <v>-12925</v>
      </c>
      <c r="J674" s="104">
        <f>'[3]CONAP - W INC'!J507</f>
        <v>0</v>
      </c>
      <c r="K674" s="104">
        <f>'[3]CONAP - W INC'!K507</f>
        <v>0</v>
      </c>
      <c r="L674" s="104">
        <f>'[3]CONAP - W INC'!L507</f>
        <v>0</v>
      </c>
      <c r="M674" s="103">
        <f t="shared" si="238"/>
        <v>0</v>
      </c>
      <c r="N674" s="103">
        <f t="shared" si="258"/>
        <v>0</v>
      </c>
      <c r="O674" s="103">
        <f t="shared" si="258"/>
        <v>-12925</v>
      </c>
      <c r="P674" s="103">
        <f t="shared" si="258"/>
        <v>0</v>
      </c>
      <c r="Q674" s="103">
        <f t="shared" si="240"/>
        <v>-12925</v>
      </c>
      <c r="S674" s="267" t="str">
        <f t="shared" si="254"/>
        <v/>
      </c>
      <c r="T674" s="267">
        <f t="shared" si="254"/>
        <v>0</v>
      </c>
      <c r="U674" s="267" t="str">
        <f t="shared" si="254"/>
        <v/>
      </c>
      <c r="V674" s="267">
        <f t="shared" si="253"/>
        <v>0</v>
      </c>
      <c r="W674" s="530"/>
      <c r="X674" s="236"/>
      <c r="Y674" s="236"/>
      <c r="Z674" s="236"/>
    </row>
    <row r="675" spans="1:26" ht="12" hidden="1" customHeight="1">
      <c r="A675" s="548" t="s">
        <v>181</v>
      </c>
      <c r="B675" s="548" t="s">
        <v>188</v>
      </c>
      <c r="C675" s="458" t="s">
        <v>716</v>
      </c>
      <c r="D675" s="550" t="s">
        <v>716</v>
      </c>
      <c r="E675" s="459" t="s">
        <v>716</v>
      </c>
      <c r="F675" s="104">
        <f>'[3]CONAP - W INC'!F508</f>
        <v>0</v>
      </c>
      <c r="G675" s="104">
        <f>'[3]CONAP - W INC'!G508</f>
        <v>191155.22</v>
      </c>
      <c r="H675" s="104">
        <f>'[3]CONAP - W INC'!H508</f>
        <v>0</v>
      </c>
      <c r="I675" s="103">
        <f t="shared" si="237"/>
        <v>191155.22</v>
      </c>
      <c r="J675" s="104">
        <f>'[3]CONAP - W INC'!J508</f>
        <v>0</v>
      </c>
      <c r="K675" s="104">
        <f>'[3]CONAP - W INC'!K508</f>
        <v>178230.22</v>
      </c>
      <c r="L675" s="104">
        <f>'[3]CONAP - W INC'!L508</f>
        <v>0</v>
      </c>
      <c r="M675" s="103">
        <f t="shared" si="238"/>
        <v>178230.22</v>
      </c>
      <c r="N675" s="103">
        <f t="shared" si="258"/>
        <v>0</v>
      </c>
      <c r="O675" s="103">
        <f t="shared" si="258"/>
        <v>12925</v>
      </c>
      <c r="P675" s="103">
        <f t="shared" si="258"/>
        <v>0</v>
      </c>
      <c r="Q675" s="103">
        <f t="shared" si="240"/>
        <v>12925</v>
      </c>
      <c r="S675" s="267" t="str">
        <f t="shared" si="254"/>
        <v/>
      </c>
      <c r="T675" s="267">
        <f t="shared" si="254"/>
        <v>0.93238479179381029</v>
      </c>
      <c r="U675" s="267" t="str">
        <f t="shared" si="254"/>
        <v/>
      </c>
      <c r="V675" s="267">
        <f t="shared" si="253"/>
        <v>0.93238479179381029</v>
      </c>
      <c r="W675" s="530"/>
      <c r="X675" s="236"/>
      <c r="Y675" s="236"/>
      <c r="Z675" s="236"/>
    </row>
    <row r="676" spans="1:26" s="256" customFormat="1" ht="12" customHeight="1">
      <c r="A676" s="548"/>
      <c r="B676" s="548" t="s">
        <v>188</v>
      </c>
      <c r="C676" s="460"/>
      <c r="D676" s="551"/>
      <c r="E676" s="390" t="s">
        <v>767</v>
      </c>
      <c r="F676" s="391">
        <f>+F673+F672</f>
        <v>0</v>
      </c>
      <c r="G676" s="391">
        <f t="shared" ref="G676:Q676" si="259">+G673+G672</f>
        <v>180289.58</v>
      </c>
      <c r="H676" s="391">
        <f t="shared" si="259"/>
        <v>0</v>
      </c>
      <c r="I676" s="391">
        <f t="shared" si="259"/>
        <v>180289.58</v>
      </c>
      <c r="J676" s="391">
        <f t="shared" si="259"/>
        <v>0</v>
      </c>
      <c r="K676" s="391">
        <f t="shared" si="259"/>
        <v>180174.1</v>
      </c>
      <c r="L676" s="391">
        <f t="shared" si="259"/>
        <v>0</v>
      </c>
      <c r="M676" s="391">
        <f t="shared" si="259"/>
        <v>180174.1</v>
      </c>
      <c r="N676" s="391">
        <f t="shared" si="259"/>
        <v>0</v>
      </c>
      <c r="O676" s="391">
        <f t="shared" si="259"/>
        <v>115.48000000000002</v>
      </c>
      <c r="P676" s="391">
        <f t="shared" si="259"/>
        <v>0</v>
      </c>
      <c r="Q676" s="391">
        <f t="shared" si="259"/>
        <v>115.48000000000002</v>
      </c>
      <c r="R676" s="761"/>
      <c r="S676" s="267" t="str">
        <f t="shared" si="254"/>
        <v/>
      </c>
      <c r="T676" s="267">
        <f t="shared" si="254"/>
        <v>0.99935947490698029</v>
      </c>
      <c r="U676" s="267" t="str">
        <f t="shared" si="254"/>
        <v/>
      </c>
      <c r="V676" s="267">
        <f t="shared" si="253"/>
        <v>0.99935947490698029</v>
      </c>
      <c r="W676" s="532"/>
      <c r="Y676" s="236" t="s">
        <v>598</v>
      </c>
      <c r="Z676" s="240" t="s">
        <v>598</v>
      </c>
    </row>
    <row r="677" spans="1:26" ht="12" hidden="1" customHeight="1">
      <c r="A677" s="548"/>
      <c r="B677" s="548"/>
      <c r="C677" s="456"/>
      <c r="D677" s="549"/>
      <c r="E677" s="461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S677" s="267" t="str">
        <f t="shared" si="254"/>
        <v/>
      </c>
      <c r="T677" s="267" t="str">
        <f t="shared" si="254"/>
        <v/>
      </c>
      <c r="U677" s="267" t="str">
        <f t="shared" si="254"/>
        <v/>
      </c>
      <c r="V677" s="267" t="str">
        <f t="shared" si="253"/>
        <v/>
      </c>
      <c r="W677" s="530"/>
      <c r="X677" s="236"/>
      <c r="Y677" s="236"/>
      <c r="Z677" s="236"/>
    </row>
    <row r="678" spans="1:26" s="256" customFormat="1" ht="12" customHeight="1">
      <c r="A678" s="548" t="s">
        <v>181</v>
      </c>
      <c r="B678" s="548" t="s">
        <v>188</v>
      </c>
      <c r="C678" s="460"/>
      <c r="D678" s="551" t="s">
        <v>98</v>
      </c>
      <c r="E678" s="390" t="s">
        <v>100</v>
      </c>
      <c r="F678" s="391">
        <f>SUM(F679:F679)</f>
        <v>0</v>
      </c>
      <c r="G678" s="391">
        <f>SUM(G679:G679)</f>
        <v>300396</v>
      </c>
      <c r="H678" s="391">
        <f>SUM(H679:H679)</f>
        <v>50000</v>
      </c>
      <c r="I678" s="391">
        <f>+F678+G678+H678</f>
        <v>350396</v>
      </c>
      <c r="J678" s="391">
        <f>SUM(J679:J679)</f>
        <v>0</v>
      </c>
      <c r="K678" s="391">
        <f>SUM(K679:K679)</f>
        <v>300396</v>
      </c>
      <c r="L678" s="391">
        <f>SUM(L679:L679)</f>
        <v>0</v>
      </c>
      <c r="M678" s="391">
        <f>+J678+K678+L678</f>
        <v>300396</v>
      </c>
      <c r="N678" s="391">
        <f t="shared" ref="N678:P679" si="260">+F678-J678</f>
        <v>0</v>
      </c>
      <c r="O678" s="391">
        <f t="shared" si="260"/>
        <v>0</v>
      </c>
      <c r="P678" s="391">
        <f t="shared" si="260"/>
        <v>50000</v>
      </c>
      <c r="Q678" s="391">
        <f>+N678+O678+P678</f>
        <v>50000</v>
      </c>
      <c r="R678" s="761"/>
      <c r="S678" s="267" t="str">
        <f t="shared" si="254"/>
        <v/>
      </c>
      <c r="T678" s="267">
        <f t="shared" si="254"/>
        <v>1</v>
      </c>
      <c r="U678" s="267">
        <f t="shared" si="254"/>
        <v>0</v>
      </c>
      <c r="V678" s="267">
        <f t="shared" si="253"/>
        <v>0.85730430712679373</v>
      </c>
      <c r="W678" s="532"/>
      <c r="Y678" s="236" t="s">
        <v>598</v>
      </c>
      <c r="Z678" s="240" t="s">
        <v>598</v>
      </c>
    </row>
    <row r="679" spans="1:26" ht="12" customHeight="1">
      <c r="A679" s="548" t="s">
        <v>181</v>
      </c>
      <c r="B679" s="548" t="s">
        <v>188</v>
      </c>
      <c r="C679" s="456"/>
      <c r="D679" s="549"/>
      <c r="E679" s="462" t="s">
        <v>290</v>
      </c>
      <c r="F679" s="103">
        <v>0</v>
      </c>
      <c r="G679" s="103">
        <f>SUM('[3]chd7-SAOB'!BP223)</f>
        <v>300396</v>
      </c>
      <c r="H679" s="103">
        <f>SUM('[3]chd7-SAOB'!BP315)</f>
        <v>50000</v>
      </c>
      <c r="I679" s="103">
        <f>+F679+G679+H679</f>
        <v>350396</v>
      </c>
      <c r="J679" s="103">
        <v>0</v>
      </c>
      <c r="K679" s="103">
        <f>SUM('[3]chd7-SAOB'!BP224)</f>
        <v>300396</v>
      </c>
      <c r="L679" s="103">
        <f>SUM('[3]chd7-SAOB'!BP316)</f>
        <v>0</v>
      </c>
      <c r="M679" s="103">
        <f>+J679+K679+L679</f>
        <v>300396</v>
      </c>
      <c r="N679" s="103">
        <f t="shared" si="260"/>
        <v>0</v>
      </c>
      <c r="O679" s="103">
        <f t="shared" si="260"/>
        <v>0</v>
      </c>
      <c r="P679" s="103">
        <f t="shared" si="260"/>
        <v>50000</v>
      </c>
      <c r="Q679" s="103">
        <f>+N679+O679+P679</f>
        <v>50000</v>
      </c>
      <c r="S679" s="267" t="str">
        <f t="shared" si="254"/>
        <v/>
      </c>
      <c r="T679" s="267">
        <f t="shared" si="254"/>
        <v>1</v>
      </c>
      <c r="U679" s="267">
        <f t="shared" si="254"/>
        <v>0</v>
      </c>
      <c r="V679" s="267">
        <f t="shared" si="253"/>
        <v>0.85730430712679373</v>
      </c>
      <c r="W679" s="530"/>
      <c r="X679" s="236"/>
      <c r="Y679" s="236" t="s">
        <v>598</v>
      </c>
      <c r="Z679" s="236"/>
    </row>
    <row r="680" spans="1:26" s="259" customFormat="1" ht="12" customHeight="1">
      <c r="A680" s="315" t="s">
        <v>181</v>
      </c>
      <c r="B680" s="315" t="s">
        <v>188</v>
      </c>
      <c r="C680" s="1096"/>
      <c r="D680" s="466"/>
      <c r="E680" s="1097" t="s">
        <v>4</v>
      </c>
      <c r="F680" s="652">
        <f>+F678+F676</f>
        <v>0</v>
      </c>
      <c r="G680" s="652">
        <f t="shared" ref="G680:Q680" si="261">+G678+G676</f>
        <v>480685.57999999996</v>
      </c>
      <c r="H680" s="652">
        <f t="shared" si="261"/>
        <v>50000</v>
      </c>
      <c r="I680" s="652">
        <f t="shared" si="261"/>
        <v>530685.57999999996</v>
      </c>
      <c r="J680" s="652">
        <f t="shared" si="261"/>
        <v>0</v>
      </c>
      <c r="K680" s="652">
        <f t="shared" si="261"/>
        <v>480570.1</v>
      </c>
      <c r="L680" s="652">
        <f t="shared" si="261"/>
        <v>0</v>
      </c>
      <c r="M680" s="652">
        <f t="shared" si="261"/>
        <v>480570.1</v>
      </c>
      <c r="N680" s="652">
        <f t="shared" si="261"/>
        <v>0</v>
      </c>
      <c r="O680" s="652">
        <f t="shared" si="261"/>
        <v>115.48000000000002</v>
      </c>
      <c r="P680" s="652">
        <f t="shared" si="261"/>
        <v>50000</v>
      </c>
      <c r="Q680" s="652">
        <f t="shared" si="261"/>
        <v>50115.48</v>
      </c>
      <c r="R680" s="1095">
        <f>+Q680-'[3]chd7-SAOB'!CZ352</f>
        <v>0</v>
      </c>
      <c r="S680" s="524" t="str">
        <f t="shared" si="254"/>
        <v/>
      </c>
      <c r="T680" s="524">
        <f t="shared" si="254"/>
        <v>0.99975975979974274</v>
      </c>
      <c r="U680" s="524">
        <f t="shared" si="254"/>
        <v>0</v>
      </c>
      <c r="V680" s="524">
        <f t="shared" si="253"/>
        <v>0.90556464714944773</v>
      </c>
      <c r="W680" s="344"/>
      <c r="X680" s="520"/>
      <c r="Y680" s="837" t="s">
        <v>598</v>
      </c>
      <c r="Z680" s="241" t="s">
        <v>598</v>
      </c>
    </row>
    <row r="681" spans="1:26" s="660" customFormat="1" ht="12" hidden="1" customHeight="1">
      <c r="A681" s="315" t="s">
        <v>181</v>
      </c>
      <c r="B681" s="315" t="s">
        <v>311</v>
      </c>
      <c r="C681" s="1467" t="s">
        <v>631</v>
      </c>
      <c r="D681" s="1468"/>
      <c r="E681" s="1469"/>
      <c r="F681" s="659">
        <f>+F625+F636+F647+F658+F669+F680</f>
        <v>0</v>
      </c>
      <c r="G681" s="659">
        <f>+G625+G636+G647+G658+G669+G680</f>
        <v>66897343.730000012</v>
      </c>
      <c r="H681" s="659">
        <f>+H625+H636+H647+H658+H669+H680</f>
        <v>1200000</v>
      </c>
      <c r="I681" s="659">
        <f t="shared" ref="I681:I724" si="262">+F681+G681+H681</f>
        <v>68097343.730000019</v>
      </c>
      <c r="J681" s="659">
        <f>+J625+J636+J647+J658+J669+J680</f>
        <v>0</v>
      </c>
      <c r="K681" s="659">
        <f>+K625+K636+K647+K658+K669+K680</f>
        <v>56138731.290000014</v>
      </c>
      <c r="L681" s="659">
        <f>+L625+L636+L647+L658+L669+L680</f>
        <v>72000</v>
      </c>
      <c r="M681" s="659">
        <f t="shared" ref="M681:M724" si="263">+J681+K681+L681</f>
        <v>56210731.290000014</v>
      </c>
      <c r="N681" s="659">
        <f t="shared" si="258"/>
        <v>0</v>
      </c>
      <c r="O681" s="659">
        <f t="shared" si="258"/>
        <v>10758612.439999998</v>
      </c>
      <c r="P681" s="659">
        <f t="shared" si="258"/>
        <v>1128000</v>
      </c>
      <c r="Q681" s="659">
        <f t="shared" ref="Q681:Q724" si="264">+N681+O681+P681</f>
        <v>11886612.439999998</v>
      </c>
      <c r="R681" s="1098"/>
      <c r="S681" s="661" t="str">
        <f t="shared" si="254"/>
        <v/>
      </c>
      <c r="T681" s="661">
        <f t="shared" si="254"/>
        <v>0.83917728507394662</v>
      </c>
      <c r="U681" s="661">
        <f t="shared" si="254"/>
        <v>0.06</v>
      </c>
      <c r="V681" s="661">
        <f t="shared" si="253"/>
        <v>0.82544675329584982</v>
      </c>
      <c r="W681" s="295"/>
      <c r="X681" s="520"/>
      <c r="Y681" s="837"/>
      <c r="Z681" s="241"/>
    </row>
    <row r="682" spans="1:26" ht="12" hidden="1" customHeight="1">
      <c r="A682" s="315" t="s">
        <v>181</v>
      </c>
      <c r="B682" s="315" t="s">
        <v>311</v>
      </c>
      <c r="C682" s="469"/>
      <c r="D682" s="470"/>
      <c r="E682" s="471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S682" s="267" t="str">
        <f t="shared" si="254"/>
        <v/>
      </c>
      <c r="T682" s="267" t="str">
        <f t="shared" si="254"/>
        <v/>
      </c>
      <c r="U682" s="267" t="str">
        <f t="shared" si="254"/>
        <v/>
      </c>
      <c r="V682" s="267" t="str">
        <f t="shared" si="253"/>
        <v/>
      </c>
      <c r="W682" s="267"/>
      <c r="X682" s="237" t="s">
        <v>598</v>
      </c>
    </row>
    <row r="683" spans="1:26" s="275" customFormat="1" ht="12.75" hidden="1" customHeight="1">
      <c r="A683" s="315" t="s">
        <v>632</v>
      </c>
      <c r="B683" s="315" t="s">
        <v>311</v>
      </c>
      <c r="C683" s="464" t="s">
        <v>824</v>
      </c>
      <c r="D683" s="464"/>
      <c r="E683" s="472"/>
      <c r="F683" s="409"/>
      <c r="G683" s="409"/>
      <c r="H683" s="409"/>
      <c r="I683" s="409">
        <f t="shared" si="262"/>
        <v>0</v>
      </c>
      <c r="J683" s="409"/>
      <c r="K683" s="409"/>
      <c r="L683" s="409"/>
      <c r="M683" s="409">
        <f t="shared" si="263"/>
        <v>0</v>
      </c>
      <c r="N683" s="409">
        <f t="shared" si="258"/>
        <v>0</v>
      </c>
      <c r="O683" s="409">
        <f t="shared" si="258"/>
        <v>0</v>
      </c>
      <c r="P683" s="409">
        <f t="shared" si="258"/>
        <v>0</v>
      </c>
      <c r="Q683" s="409">
        <f t="shared" si="264"/>
        <v>0</v>
      </c>
      <c r="R683" s="761"/>
      <c r="S683" s="267" t="str">
        <f t="shared" si="254"/>
        <v/>
      </c>
      <c r="T683" s="267" t="str">
        <f t="shared" si="254"/>
        <v/>
      </c>
      <c r="U683" s="267" t="str">
        <f t="shared" si="254"/>
        <v/>
      </c>
      <c r="V683" s="267" t="str">
        <f t="shared" si="253"/>
        <v/>
      </c>
      <c r="W683" s="251"/>
      <c r="X683" s="237" t="s">
        <v>598</v>
      </c>
      <c r="Y683" s="839"/>
      <c r="Z683" s="253"/>
    </row>
    <row r="684" spans="1:26" ht="12" hidden="1" customHeight="1">
      <c r="A684" s="315" t="s">
        <v>632</v>
      </c>
      <c r="B684" s="315" t="s">
        <v>311</v>
      </c>
      <c r="C684" s="447" t="s">
        <v>766</v>
      </c>
      <c r="D684" s="456" t="s">
        <v>98</v>
      </c>
      <c r="E684" s="447" t="s">
        <v>766</v>
      </c>
      <c r="F684" s="103">
        <f>+F602+F617+F628+F639+F650+F661+F672</f>
        <v>0</v>
      </c>
      <c r="G684" s="103">
        <f>+G602+G617+G628+G639+G650+G661+G672</f>
        <v>5713291.700000017</v>
      </c>
      <c r="H684" s="103">
        <f>+H602+H617+H628+H639+H650+H661+H672</f>
        <v>0</v>
      </c>
      <c r="I684" s="103">
        <f t="shared" si="262"/>
        <v>5713291.700000017</v>
      </c>
      <c r="J684" s="103">
        <f>+J602+J617+J628+J639+J650+J661+J672</f>
        <v>0</v>
      </c>
      <c r="K684" s="103">
        <f>+K602+K617+K628+K639+K650+K661+K672</f>
        <v>5095612.209999999</v>
      </c>
      <c r="L684" s="103">
        <f>+L602+L617+L628+L639+L650+L661+L672</f>
        <v>0</v>
      </c>
      <c r="M684" s="103">
        <f t="shared" si="263"/>
        <v>5095612.209999999</v>
      </c>
      <c r="N684" s="103">
        <f t="shared" si="258"/>
        <v>0</v>
      </c>
      <c r="O684" s="103">
        <f t="shared" si="258"/>
        <v>617679.49000001792</v>
      </c>
      <c r="P684" s="103">
        <f t="shared" si="258"/>
        <v>0</v>
      </c>
      <c r="Q684" s="103">
        <f t="shared" si="264"/>
        <v>617679.49000001792</v>
      </c>
      <c r="S684" s="267" t="str">
        <f t="shared" si="254"/>
        <v/>
      </c>
      <c r="T684" s="267">
        <f t="shared" si="254"/>
        <v>0.89188728277255369</v>
      </c>
      <c r="U684" s="267" t="str">
        <f t="shared" si="254"/>
        <v/>
      </c>
      <c r="V684" s="267">
        <f t="shared" si="253"/>
        <v>0.89188728277255369</v>
      </c>
      <c r="W684" s="267"/>
      <c r="X684" s="237" t="s">
        <v>598</v>
      </c>
    </row>
    <row r="685" spans="1:26" ht="12" hidden="1" customHeight="1">
      <c r="A685" s="315" t="s">
        <v>632</v>
      </c>
      <c r="B685" s="315" t="s">
        <v>311</v>
      </c>
      <c r="C685" s="456"/>
      <c r="D685" s="456" t="s">
        <v>98</v>
      </c>
      <c r="E685" s="453" t="s">
        <v>50</v>
      </c>
      <c r="F685" s="103">
        <f>+F686+F687</f>
        <v>0</v>
      </c>
      <c r="G685" s="103">
        <f>+G686+G687</f>
        <v>52386404.799999997</v>
      </c>
      <c r="H685" s="103">
        <f>+H686+H687</f>
        <v>17732068.450000003</v>
      </c>
      <c r="I685" s="103">
        <f t="shared" si="262"/>
        <v>70118473.25</v>
      </c>
      <c r="J685" s="103">
        <f>+J686+J687</f>
        <v>0</v>
      </c>
      <c r="K685" s="103">
        <f>+K686+K687</f>
        <v>37131473.469999999</v>
      </c>
      <c r="L685" s="103">
        <f>+L686+L687</f>
        <v>12775953</v>
      </c>
      <c r="M685" s="103">
        <f t="shared" si="263"/>
        <v>49907426.469999999</v>
      </c>
      <c r="N685" s="103">
        <f t="shared" si="258"/>
        <v>0</v>
      </c>
      <c r="O685" s="103">
        <f t="shared" si="258"/>
        <v>15254931.329999998</v>
      </c>
      <c r="P685" s="103">
        <f t="shared" si="258"/>
        <v>4956115.450000003</v>
      </c>
      <c r="Q685" s="103">
        <f t="shared" si="264"/>
        <v>20211046.780000001</v>
      </c>
      <c r="S685" s="267" t="str">
        <f t="shared" si="254"/>
        <v/>
      </c>
      <c r="T685" s="267">
        <f t="shared" si="254"/>
        <v>0.70879980429578937</v>
      </c>
      <c r="U685" s="267">
        <f t="shared" si="254"/>
        <v>0.72049986926370102</v>
      </c>
      <c r="V685" s="267">
        <f t="shared" si="253"/>
        <v>0.71175860164639282</v>
      </c>
      <c r="W685" s="267"/>
      <c r="X685" s="237" t="s">
        <v>598</v>
      </c>
    </row>
    <row r="686" spans="1:26" ht="12" hidden="1" customHeight="1">
      <c r="A686" s="315" t="s">
        <v>632</v>
      </c>
      <c r="B686" s="315" t="s">
        <v>311</v>
      </c>
      <c r="C686" s="458" t="s">
        <v>715</v>
      </c>
      <c r="D686" s="458" t="s">
        <v>715</v>
      </c>
      <c r="E686" s="447" t="s">
        <v>715</v>
      </c>
      <c r="F686" s="103">
        <f t="shared" ref="F686:H687" si="265">+F607+F619+F630+F641+F652+F663+F674</f>
        <v>0</v>
      </c>
      <c r="G686" s="103">
        <f t="shared" si="265"/>
        <v>-12084385.279999997</v>
      </c>
      <c r="H686" s="103">
        <f t="shared" si="265"/>
        <v>-97107238</v>
      </c>
      <c r="I686" s="103">
        <f t="shared" si="262"/>
        <v>-109191623.28</v>
      </c>
      <c r="J686" s="103">
        <f t="shared" ref="J686:L687" si="266">+J607+J619+J630+J641+J652+J663+J674</f>
        <v>0</v>
      </c>
      <c r="K686" s="103">
        <f t="shared" si="266"/>
        <v>0</v>
      </c>
      <c r="L686" s="103">
        <f t="shared" si="266"/>
        <v>0</v>
      </c>
      <c r="M686" s="103">
        <f t="shared" si="263"/>
        <v>0</v>
      </c>
      <c r="N686" s="103">
        <f t="shared" si="258"/>
        <v>0</v>
      </c>
      <c r="O686" s="103">
        <f t="shared" si="258"/>
        <v>-12084385.279999997</v>
      </c>
      <c r="P686" s="103">
        <f t="shared" si="258"/>
        <v>-97107238</v>
      </c>
      <c r="Q686" s="103">
        <f t="shared" si="264"/>
        <v>-109191623.28</v>
      </c>
      <c r="S686" s="267" t="str">
        <f t="shared" si="254"/>
        <v/>
      </c>
      <c r="T686" s="267">
        <f t="shared" si="254"/>
        <v>0</v>
      </c>
      <c r="U686" s="267">
        <f t="shared" si="254"/>
        <v>0</v>
      </c>
      <c r="V686" s="267">
        <f t="shared" si="253"/>
        <v>0</v>
      </c>
      <c r="W686" s="267"/>
      <c r="X686" s="237" t="s">
        <v>598</v>
      </c>
    </row>
    <row r="687" spans="1:26" ht="12" hidden="1" customHeight="1">
      <c r="A687" s="315" t="s">
        <v>632</v>
      </c>
      <c r="B687" s="315" t="s">
        <v>311</v>
      </c>
      <c r="C687" s="458" t="s">
        <v>716</v>
      </c>
      <c r="D687" s="458" t="s">
        <v>716</v>
      </c>
      <c r="E687" s="459" t="s">
        <v>716</v>
      </c>
      <c r="F687" s="103">
        <f t="shared" si="265"/>
        <v>0</v>
      </c>
      <c r="G687" s="103">
        <f t="shared" si="265"/>
        <v>64470790.079999998</v>
      </c>
      <c r="H687" s="103">
        <f t="shared" si="265"/>
        <v>114839306.45</v>
      </c>
      <c r="I687" s="103">
        <f t="shared" si="262"/>
        <v>179310096.53</v>
      </c>
      <c r="J687" s="103">
        <f t="shared" si="266"/>
        <v>0</v>
      </c>
      <c r="K687" s="103">
        <f t="shared" si="266"/>
        <v>37131473.469999999</v>
      </c>
      <c r="L687" s="103">
        <f t="shared" si="266"/>
        <v>12775953</v>
      </c>
      <c r="M687" s="103">
        <f t="shared" si="263"/>
        <v>49907426.469999999</v>
      </c>
      <c r="N687" s="103">
        <f t="shared" si="258"/>
        <v>0</v>
      </c>
      <c r="O687" s="103">
        <f t="shared" si="258"/>
        <v>27339316.609999999</v>
      </c>
      <c r="P687" s="103">
        <f t="shared" si="258"/>
        <v>102063353.45</v>
      </c>
      <c r="Q687" s="103">
        <f t="shared" si="264"/>
        <v>129402670.06</v>
      </c>
      <c r="S687" s="267" t="str">
        <f t="shared" si="254"/>
        <v/>
      </c>
      <c r="T687" s="267">
        <f t="shared" si="254"/>
        <v>0.57594258460187309</v>
      </c>
      <c r="U687" s="267">
        <f t="shared" si="254"/>
        <v>0.11125069799653078</v>
      </c>
      <c r="V687" s="267">
        <f t="shared" si="253"/>
        <v>0.27833026380447068</v>
      </c>
      <c r="W687" s="267"/>
      <c r="X687" s="237" t="s">
        <v>598</v>
      </c>
    </row>
    <row r="688" spans="1:26" s="256" customFormat="1" ht="12" hidden="1" customHeight="1">
      <c r="A688" s="315"/>
      <c r="B688" s="315" t="s">
        <v>311</v>
      </c>
      <c r="C688" s="460"/>
      <c r="D688" s="460"/>
      <c r="E688" s="390" t="s">
        <v>767</v>
      </c>
      <c r="F688" s="391">
        <f>+F685+F684</f>
        <v>0</v>
      </c>
      <c r="G688" s="391">
        <f t="shared" ref="G688:Q688" si="267">+G685+G684</f>
        <v>58099696.500000015</v>
      </c>
      <c r="H688" s="391">
        <f t="shared" si="267"/>
        <v>17732068.450000003</v>
      </c>
      <c r="I688" s="391">
        <f t="shared" si="267"/>
        <v>75831764.950000018</v>
      </c>
      <c r="J688" s="391">
        <f t="shared" si="267"/>
        <v>0</v>
      </c>
      <c r="K688" s="391">
        <f t="shared" si="267"/>
        <v>42227085.68</v>
      </c>
      <c r="L688" s="391">
        <f t="shared" si="267"/>
        <v>12775953</v>
      </c>
      <c r="M688" s="391">
        <f t="shared" si="267"/>
        <v>55003038.68</v>
      </c>
      <c r="N688" s="391">
        <f t="shared" si="267"/>
        <v>0</v>
      </c>
      <c r="O688" s="391">
        <f t="shared" si="267"/>
        <v>15872610.820000015</v>
      </c>
      <c r="P688" s="391">
        <f t="shared" si="267"/>
        <v>4956115.450000003</v>
      </c>
      <c r="Q688" s="391">
        <f t="shared" si="267"/>
        <v>20828726.270000018</v>
      </c>
      <c r="R688" s="761"/>
      <c r="S688" s="267" t="str">
        <f t="shared" si="254"/>
        <v/>
      </c>
      <c r="T688" s="267">
        <f t="shared" si="254"/>
        <v>0.72680389440588544</v>
      </c>
      <c r="U688" s="267">
        <f t="shared" si="254"/>
        <v>0.72049986926370102</v>
      </c>
      <c r="V688" s="267">
        <f t="shared" si="253"/>
        <v>0.72532979703514056</v>
      </c>
      <c r="W688" s="263"/>
      <c r="X688" s="237" t="s">
        <v>598</v>
      </c>
      <c r="Y688" s="840"/>
      <c r="Z688" s="241"/>
    </row>
    <row r="689" spans="1:26" ht="12" hidden="1" customHeight="1">
      <c r="A689" s="315"/>
      <c r="B689" s="315"/>
      <c r="C689" s="456"/>
      <c r="D689" s="456"/>
      <c r="E689" s="461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S689" s="267" t="str">
        <f t="shared" si="254"/>
        <v/>
      </c>
      <c r="T689" s="267" t="str">
        <f t="shared" si="254"/>
        <v/>
      </c>
      <c r="U689" s="267" t="str">
        <f t="shared" si="254"/>
        <v/>
      </c>
      <c r="V689" s="267" t="str">
        <f t="shared" si="253"/>
        <v/>
      </c>
      <c r="W689" s="267"/>
      <c r="X689" s="237" t="s">
        <v>598</v>
      </c>
    </row>
    <row r="690" spans="1:26" s="256" customFormat="1" ht="12" hidden="1" customHeight="1">
      <c r="A690" s="315" t="s">
        <v>632</v>
      </c>
      <c r="B690" s="315" t="s">
        <v>311</v>
      </c>
      <c r="C690" s="460"/>
      <c r="D690" s="460" t="s">
        <v>98</v>
      </c>
      <c r="E690" s="390" t="s">
        <v>100</v>
      </c>
      <c r="F690" s="391">
        <f>SUM(F691:F691)</f>
        <v>0</v>
      </c>
      <c r="G690" s="391">
        <f>SUM(G691:G691)</f>
        <v>49125465.420000002</v>
      </c>
      <c r="H690" s="391">
        <f>SUM(H691:H691)</f>
        <v>1200000</v>
      </c>
      <c r="I690" s="391">
        <f>+F690+G690+H690</f>
        <v>50325465.420000002</v>
      </c>
      <c r="J690" s="391">
        <f>SUM(J691:J691)</f>
        <v>0</v>
      </c>
      <c r="K690" s="391">
        <f>SUM(K691:K691)</f>
        <v>49056731.800000012</v>
      </c>
      <c r="L690" s="391">
        <f>SUM(L691:L691)</f>
        <v>72000</v>
      </c>
      <c r="M690" s="391">
        <f>+J690+K690+L690</f>
        <v>49128731.800000012</v>
      </c>
      <c r="N690" s="391">
        <f t="shared" ref="N690:P691" si="268">+F690-J690</f>
        <v>0</v>
      </c>
      <c r="O690" s="391">
        <f t="shared" si="268"/>
        <v>68733.619999989867</v>
      </c>
      <c r="P690" s="391">
        <f t="shared" si="268"/>
        <v>1128000</v>
      </c>
      <c r="Q690" s="391">
        <f>+N690+O690+P690</f>
        <v>1196733.6199999899</v>
      </c>
      <c r="R690" s="761"/>
      <c r="S690" s="267" t="str">
        <f t="shared" si="254"/>
        <v/>
      </c>
      <c r="T690" s="267">
        <f t="shared" si="254"/>
        <v>0.99860085559673895</v>
      </c>
      <c r="U690" s="267">
        <f t="shared" si="254"/>
        <v>0.06</v>
      </c>
      <c r="V690" s="267">
        <f t="shared" si="253"/>
        <v>0.9762201181844532</v>
      </c>
      <c r="W690" s="263"/>
      <c r="X690" s="237" t="s">
        <v>598</v>
      </c>
      <c r="Y690" s="840"/>
      <c r="Z690" s="241"/>
    </row>
    <row r="691" spans="1:26" ht="12" hidden="1" customHeight="1">
      <c r="A691" s="315" t="s">
        <v>632</v>
      </c>
      <c r="B691" s="315" t="s">
        <v>311</v>
      </c>
      <c r="C691" s="456"/>
      <c r="D691" s="456"/>
      <c r="E691" s="462" t="s">
        <v>290</v>
      </c>
      <c r="F691" s="103">
        <f>+F612+F624+F635+F646+F657+F668+F679</f>
        <v>0</v>
      </c>
      <c r="G691" s="103">
        <f>+G612+G624+G635+G646+G657+G668+G679</f>
        <v>49125465.420000002</v>
      </c>
      <c r="H691" s="103">
        <f>+H612+H624+H635+H646+H657+H668+H679</f>
        <v>1200000</v>
      </c>
      <c r="I691" s="103">
        <f>+F691+G691+H691</f>
        <v>50325465.420000002</v>
      </c>
      <c r="J691" s="103">
        <f>+J612+J624+J635+J646+J657+J668+J679</f>
        <v>0</v>
      </c>
      <c r="K691" s="103">
        <f>+K612+K624+K635+K646+K657+K668+K679</f>
        <v>49056731.800000012</v>
      </c>
      <c r="L691" s="103">
        <f>+L612+L624+L635+L646+L657+L668+L679</f>
        <v>72000</v>
      </c>
      <c r="M691" s="103">
        <f>+J691+K691+L691</f>
        <v>49128731.800000012</v>
      </c>
      <c r="N691" s="103">
        <f t="shared" si="268"/>
        <v>0</v>
      </c>
      <c r="O691" s="103">
        <f t="shared" si="268"/>
        <v>68733.619999989867</v>
      </c>
      <c r="P691" s="103">
        <f t="shared" si="268"/>
        <v>1128000</v>
      </c>
      <c r="Q691" s="103">
        <f>+N691+O691+P691</f>
        <v>1196733.6199999899</v>
      </c>
      <c r="S691" s="267" t="str">
        <f t="shared" si="254"/>
        <v/>
      </c>
      <c r="T691" s="267">
        <f t="shared" si="254"/>
        <v>0.99860085559673895</v>
      </c>
      <c r="U691" s="267">
        <f t="shared" si="254"/>
        <v>0.06</v>
      </c>
      <c r="V691" s="267">
        <f t="shared" si="253"/>
        <v>0.9762201181844532</v>
      </c>
      <c r="W691" s="267"/>
      <c r="X691" s="237" t="s">
        <v>598</v>
      </c>
    </row>
    <row r="692" spans="1:26" s="266" customFormat="1" ht="27.75" customHeight="1">
      <c r="A692" s="315" t="s">
        <v>632</v>
      </c>
      <c r="B692" s="315" t="s">
        <v>311</v>
      </c>
      <c r="C692" s="1470" t="s">
        <v>634</v>
      </c>
      <c r="D692" s="1471"/>
      <c r="E692" s="1472"/>
      <c r="F692" s="666">
        <f>+F690+F688</f>
        <v>0</v>
      </c>
      <c r="G692" s="666">
        <f t="shared" ref="G692:Q692" si="269">+G690+G688</f>
        <v>107225161.92000002</v>
      </c>
      <c r="H692" s="666">
        <f t="shared" si="269"/>
        <v>18932068.450000003</v>
      </c>
      <c r="I692" s="666">
        <f t="shared" si="269"/>
        <v>126157230.37000002</v>
      </c>
      <c r="J692" s="666">
        <f t="shared" si="269"/>
        <v>0</v>
      </c>
      <c r="K692" s="666">
        <f t="shared" si="269"/>
        <v>91283817.480000019</v>
      </c>
      <c r="L692" s="666">
        <f t="shared" si="269"/>
        <v>12847953</v>
      </c>
      <c r="M692" s="666">
        <f t="shared" si="269"/>
        <v>104131770.48000002</v>
      </c>
      <c r="N692" s="666">
        <f t="shared" si="269"/>
        <v>0</v>
      </c>
      <c r="O692" s="666">
        <f t="shared" si="269"/>
        <v>15941344.440000005</v>
      </c>
      <c r="P692" s="666">
        <f t="shared" si="269"/>
        <v>6084115.450000003</v>
      </c>
      <c r="Q692" s="666">
        <f t="shared" si="269"/>
        <v>22025459.890000008</v>
      </c>
      <c r="R692" s="1099">
        <f>+Q692-'[3]chd7-SAOB'!DA352</f>
        <v>0</v>
      </c>
      <c r="S692" s="525" t="str">
        <f t="shared" si="254"/>
        <v/>
      </c>
      <c r="T692" s="525">
        <f t="shared" si="254"/>
        <v>0.85132832485817345</v>
      </c>
      <c r="U692" s="525">
        <f t="shared" si="254"/>
        <v>0.67863440457822755</v>
      </c>
      <c r="V692" s="525">
        <f t="shared" si="253"/>
        <v>0.82541262339540378</v>
      </c>
      <c r="W692" s="345"/>
      <c r="X692" s="237" t="s">
        <v>598</v>
      </c>
      <c r="Y692" s="837" t="s">
        <v>598</v>
      </c>
      <c r="Z692" s="241" t="s">
        <v>598</v>
      </c>
    </row>
    <row r="693" spans="1:26" ht="12" customHeight="1">
      <c r="A693" s="315" t="s">
        <v>632</v>
      </c>
      <c r="B693" s="315" t="s">
        <v>311</v>
      </c>
      <c r="C693" s="456"/>
      <c r="D693" s="474"/>
      <c r="E693" s="411"/>
      <c r="F693" s="104"/>
      <c r="G693" s="104"/>
      <c r="H693" s="104"/>
      <c r="I693" s="103"/>
      <c r="J693" s="104"/>
      <c r="K693" s="104"/>
      <c r="L693" s="104"/>
      <c r="M693" s="103"/>
      <c r="N693" s="103"/>
      <c r="O693" s="103"/>
      <c r="P693" s="103"/>
      <c r="Q693" s="103"/>
      <c r="S693" s="267" t="str">
        <f t="shared" si="254"/>
        <v/>
      </c>
      <c r="T693" s="267" t="str">
        <f t="shared" si="254"/>
        <v/>
      </c>
      <c r="U693" s="267" t="str">
        <f t="shared" si="254"/>
        <v/>
      </c>
      <c r="V693" s="267" t="str">
        <f t="shared" si="253"/>
        <v/>
      </c>
      <c r="W693" s="267"/>
      <c r="Y693" s="837" t="s">
        <v>598</v>
      </c>
      <c r="Z693" s="241" t="s">
        <v>598</v>
      </c>
    </row>
    <row r="694" spans="1:26" ht="11.25" customHeight="1">
      <c r="A694" s="528" t="s">
        <v>636</v>
      </c>
      <c r="B694" s="528" t="s">
        <v>191</v>
      </c>
      <c r="C694" s="408"/>
      <c r="D694" s="682"/>
      <c r="E694" s="408" t="s">
        <v>191</v>
      </c>
      <c r="F694" s="104"/>
      <c r="G694" s="104"/>
      <c r="H694" s="104"/>
      <c r="I694" s="103">
        <f>SUM(F694:H694)</f>
        <v>0</v>
      </c>
      <c r="J694" s="104"/>
      <c r="K694" s="104"/>
      <c r="L694" s="104"/>
      <c r="M694" s="103">
        <f>SUM(J694:L694)</f>
        <v>0</v>
      </c>
      <c r="N694" s="103">
        <f t="shared" si="258"/>
        <v>0</v>
      </c>
      <c r="O694" s="103">
        <f t="shared" si="258"/>
        <v>0</v>
      </c>
      <c r="P694" s="103">
        <f t="shared" si="258"/>
        <v>0</v>
      </c>
      <c r="Q694" s="103">
        <f>SUM(N694:P694)</f>
        <v>0</v>
      </c>
      <c r="S694" s="267" t="str">
        <f t="shared" si="254"/>
        <v/>
      </c>
      <c r="T694" s="267" t="str">
        <f t="shared" si="254"/>
        <v/>
      </c>
      <c r="U694" s="267" t="str">
        <f t="shared" si="254"/>
        <v/>
      </c>
      <c r="V694" s="267" t="str">
        <f t="shared" si="253"/>
        <v/>
      </c>
      <c r="W694" s="531"/>
      <c r="X694" s="236"/>
      <c r="Y694" s="236" t="s">
        <v>598</v>
      </c>
      <c r="Z694" s="240" t="s">
        <v>598</v>
      </c>
    </row>
    <row r="695" spans="1:26" ht="12" customHeight="1">
      <c r="A695" s="548" t="s">
        <v>190</v>
      </c>
      <c r="B695" s="548" t="s">
        <v>191</v>
      </c>
      <c r="C695" s="447" t="s">
        <v>766</v>
      </c>
      <c r="D695" s="775"/>
      <c r="E695" s="447" t="s">
        <v>766</v>
      </c>
      <c r="F695" s="104">
        <f>+'[3]chd 8-SAOB'!C425</f>
        <v>0</v>
      </c>
      <c r="G695" s="104">
        <f>+'[3]chd 8-SAOB'!D425</f>
        <v>556785.28</v>
      </c>
      <c r="H695" s="104">
        <f>+'[3]chd 8-SAOB'!E425</f>
        <v>0</v>
      </c>
      <c r="I695" s="103">
        <f t="shared" si="262"/>
        <v>556785.28</v>
      </c>
      <c r="J695" s="104">
        <f>+'[3]chd 8-SAOB'!G425</f>
        <v>0</v>
      </c>
      <c r="K695" s="104">
        <f>+'[3]chd 8-SAOB'!H425</f>
        <v>555797.43999999994</v>
      </c>
      <c r="L695" s="104">
        <f>+'[3]chd 8-SAOB'!I425</f>
        <v>0</v>
      </c>
      <c r="M695" s="103">
        <f t="shared" si="263"/>
        <v>555797.43999999994</v>
      </c>
      <c r="N695" s="103">
        <f t="shared" si="258"/>
        <v>0</v>
      </c>
      <c r="O695" s="103">
        <f t="shared" si="258"/>
        <v>987.84000000008382</v>
      </c>
      <c r="P695" s="103">
        <f t="shared" si="258"/>
        <v>0</v>
      </c>
      <c r="Q695" s="103">
        <f t="shared" si="264"/>
        <v>987.84000000008382</v>
      </c>
      <c r="S695" s="267" t="str">
        <f t="shared" si="254"/>
        <v/>
      </c>
      <c r="T695" s="267">
        <f t="shared" si="254"/>
        <v>0.99822581516522835</v>
      </c>
      <c r="U695" s="267" t="str">
        <f t="shared" si="254"/>
        <v/>
      </c>
      <c r="V695" s="267">
        <f t="shared" si="253"/>
        <v>0.99822581516522835</v>
      </c>
      <c r="W695" s="530"/>
      <c r="X695" s="236"/>
      <c r="Y695" s="236" t="s">
        <v>688</v>
      </c>
      <c r="Z695" s="236"/>
    </row>
    <row r="696" spans="1:26" ht="12" hidden="1" customHeight="1">
      <c r="A696" s="548" t="s">
        <v>190</v>
      </c>
      <c r="B696" s="548" t="s">
        <v>191</v>
      </c>
      <c r="C696" s="457" t="s">
        <v>775</v>
      </c>
      <c r="D696" s="549" t="s">
        <v>98</v>
      </c>
      <c r="E696" s="406" t="s">
        <v>775</v>
      </c>
      <c r="F696" s="103">
        <v>0</v>
      </c>
      <c r="G696" s="103">
        <f>+'[3]chd 8-SAOB'!C222</f>
        <v>30186.5</v>
      </c>
      <c r="H696" s="103">
        <f>+'[3]chd 8-SAOB'!C314</f>
        <v>0</v>
      </c>
      <c r="I696" s="103">
        <f t="shared" si="262"/>
        <v>30186.5</v>
      </c>
      <c r="J696" s="103">
        <v>0</v>
      </c>
      <c r="K696" s="103">
        <f>+'[3]chd 8-SAOB'!C223</f>
        <v>29198.66</v>
      </c>
      <c r="L696" s="103">
        <f>+'[3]chd 8-SAOB'!C315</f>
        <v>0</v>
      </c>
      <c r="M696" s="103">
        <f t="shared" si="263"/>
        <v>29198.66</v>
      </c>
      <c r="N696" s="103">
        <f t="shared" si="258"/>
        <v>0</v>
      </c>
      <c r="O696" s="103">
        <f t="shared" si="258"/>
        <v>987.84000000000015</v>
      </c>
      <c r="P696" s="103">
        <f t="shared" si="258"/>
        <v>0</v>
      </c>
      <c r="Q696" s="103">
        <f t="shared" si="264"/>
        <v>987.84000000000015</v>
      </c>
      <c r="S696" s="267" t="str">
        <f t="shared" si="254"/>
        <v/>
      </c>
      <c r="T696" s="267">
        <f t="shared" si="254"/>
        <v>0.9672754376956586</v>
      </c>
      <c r="U696" s="267" t="str">
        <f t="shared" si="254"/>
        <v/>
      </c>
      <c r="V696" s="267">
        <f t="shared" si="253"/>
        <v>0.9672754376956586</v>
      </c>
      <c r="W696" s="530"/>
      <c r="X696" s="236"/>
      <c r="Y696" s="236"/>
      <c r="Z696" s="236"/>
    </row>
    <row r="697" spans="1:26" ht="12" hidden="1" customHeight="1">
      <c r="A697" s="548" t="s">
        <v>190</v>
      </c>
      <c r="B697" s="548" t="s">
        <v>191</v>
      </c>
      <c r="C697" s="456"/>
      <c r="D697" s="549" t="s">
        <v>98</v>
      </c>
      <c r="E697" s="406" t="s">
        <v>776</v>
      </c>
      <c r="F697" s="103">
        <v>0</v>
      </c>
      <c r="G697" s="103">
        <f>+'[3]chd 8-SAOB'!D222</f>
        <v>281582.84999999998</v>
      </c>
      <c r="H697" s="103">
        <f>+'[3]chd 8-SAOB'!D314</f>
        <v>0</v>
      </c>
      <c r="I697" s="103">
        <f t="shared" si="262"/>
        <v>281582.84999999998</v>
      </c>
      <c r="J697" s="103">
        <v>0</v>
      </c>
      <c r="K697" s="103">
        <f>+'[3]chd 8-SAOB'!D223</f>
        <v>281582.84999999998</v>
      </c>
      <c r="L697" s="103">
        <f>+'[3]chd 8-SAOB'!D315</f>
        <v>0</v>
      </c>
      <c r="M697" s="103">
        <f t="shared" si="263"/>
        <v>281582.84999999998</v>
      </c>
      <c r="N697" s="103">
        <f t="shared" si="258"/>
        <v>0</v>
      </c>
      <c r="O697" s="103">
        <f t="shared" si="258"/>
        <v>0</v>
      </c>
      <c r="P697" s="103">
        <f t="shared" si="258"/>
        <v>0</v>
      </c>
      <c r="Q697" s="103">
        <f t="shared" si="264"/>
        <v>0</v>
      </c>
      <c r="S697" s="267" t="str">
        <f t="shared" si="254"/>
        <v/>
      </c>
      <c r="T697" s="267">
        <f t="shared" si="254"/>
        <v>1</v>
      </c>
      <c r="U697" s="267" t="str">
        <f t="shared" si="254"/>
        <v/>
      </c>
      <c r="V697" s="267">
        <f t="shared" si="253"/>
        <v>1</v>
      </c>
      <c r="W697" s="530"/>
      <c r="X697" s="236"/>
      <c r="Y697" s="236"/>
      <c r="Z697" s="236"/>
    </row>
    <row r="698" spans="1:26" ht="12" hidden="1" customHeight="1">
      <c r="A698" s="548" t="s">
        <v>190</v>
      </c>
      <c r="B698" s="548" t="s">
        <v>191</v>
      </c>
      <c r="C698" s="456"/>
      <c r="D698" s="549" t="s">
        <v>98</v>
      </c>
      <c r="E698" s="406" t="s">
        <v>777</v>
      </c>
      <c r="F698" s="103">
        <v>0</v>
      </c>
      <c r="G698" s="103">
        <f>+'[3]chd 8-SAOB'!E222</f>
        <v>245015.93</v>
      </c>
      <c r="H698" s="103">
        <f>+'[3]chd 8-SAOB'!E314</f>
        <v>0</v>
      </c>
      <c r="I698" s="103">
        <f t="shared" si="262"/>
        <v>245015.93</v>
      </c>
      <c r="J698" s="103">
        <v>0</v>
      </c>
      <c r="K698" s="103">
        <f>+'[3]chd 8-SAOB'!E223</f>
        <v>245015.93</v>
      </c>
      <c r="L698" s="103">
        <f>+'[3]chd 8-SAOB'!E315</f>
        <v>0</v>
      </c>
      <c r="M698" s="103">
        <f t="shared" si="263"/>
        <v>245015.93</v>
      </c>
      <c r="N698" s="103">
        <f t="shared" si="258"/>
        <v>0</v>
      </c>
      <c r="O698" s="103">
        <f t="shared" si="258"/>
        <v>0</v>
      </c>
      <c r="P698" s="103">
        <f t="shared" si="258"/>
        <v>0</v>
      </c>
      <c r="Q698" s="103">
        <f t="shared" si="264"/>
        <v>0</v>
      </c>
      <c r="S698" s="267" t="str">
        <f t="shared" si="254"/>
        <v/>
      </c>
      <c r="T698" s="267">
        <f t="shared" si="254"/>
        <v>1</v>
      </c>
      <c r="U698" s="267" t="str">
        <f t="shared" si="254"/>
        <v/>
      </c>
      <c r="V698" s="267">
        <f t="shared" si="253"/>
        <v>1</v>
      </c>
      <c r="W698" s="530"/>
      <c r="X698" s="236"/>
      <c r="Y698" s="236"/>
      <c r="Z698" s="236"/>
    </row>
    <row r="699" spans="1:26" ht="12" customHeight="1">
      <c r="A699" s="548" t="s">
        <v>190</v>
      </c>
      <c r="B699" s="548" t="s">
        <v>191</v>
      </c>
      <c r="C699" s="456"/>
      <c r="D699" s="775"/>
      <c r="E699" s="453" t="s">
        <v>50</v>
      </c>
      <c r="F699" s="103">
        <f>+F700+F701</f>
        <v>0</v>
      </c>
      <c r="G699" s="103">
        <f>+G700+G701</f>
        <v>42279044.130000003</v>
      </c>
      <c r="H699" s="103">
        <f>+H700+H701</f>
        <v>56633341.170000002</v>
      </c>
      <c r="I699" s="103">
        <f t="shared" si="262"/>
        <v>98912385.300000012</v>
      </c>
      <c r="J699" s="103">
        <f>+J700+J701</f>
        <v>0</v>
      </c>
      <c r="K699" s="103">
        <f>+K700+K701</f>
        <v>16464401.840000004</v>
      </c>
      <c r="L699" s="103">
        <f>+L700+L701</f>
        <v>7548272.8499999996</v>
      </c>
      <c r="M699" s="103">
        <f t="shared" si="263"/>
        <v>24012674.690000005</v>
      </c>
      <c r="N699" s="103">
        <f t="shared" si="258"/>
        <v>0</v>
      </c>
      <c r="O699" s="103">
        <f t="shared" si="258"/>
        <v>25814642.289999999</v>
      </c>
      <c r="P699" s="103">
        <f t="shared" si="258"/>
        <v>49085068.32</v>
      </c>
      <c r="Q699" s="103">
        <f t="shared" si="264"/>
        <v>74899710.609999999</v>
      </c>
      <c r="S699" s="267" t="str">
        <f t="shared" si="254"/>
        <v/>
      </c>
      <c r="T699" s="267">
        <f t="shared" si="254"/>
        <v>0.38942228186084593</v>
      </c>
      <c r="U699" s="267">
        <f t="shared" si="254"/>
        <v>0.13328319844915834</v>
      </c>
      <c r="V699" s="267">
        <f t="shared" si="253"/>
        <v>0.24276711775951887</v>
      </c>
      <c r="W699" s="530"/>
      <c r="X699" s="236"/>
      <c r="Y699" s="236" t="s">
        <v>688</v>
      </c>
      <c r="Z699" s="236"/>
    </row>
    <row r="700" spans="1:26" ht="12" hidden="1" customHeight="1">
      <c r="A700" s="548" t="s">
        <v>190</v>
      </c>
      <c r="B700" s="548" t="s">
        <v>191</v>
      </c>
      <c r="C700" s="458" t="s">
        <v>715</v>
      </c>
      <c r="D700" s="550" t="s">
        <v>715</v>
      </c>
      <c r="E700" s="447" t="s">
        <v>715</v>
      </c>
      <c r="F700" s="104">
        <f>'[3]CONAP - W INC'!F528</f>
        <v>0</v>
      </c>
      <c r="G700" s="104">
        <f>'[3]CONAP - W INC'!G528</f>
        <v>3000000</v>
      </c>
      <c r="H700" s="104">
        <f>'[3]CONAP - W INC'!H528</f>
        <v>40364000</v>
      </c>
      <c r="I700" s="103">
        <f t="shared" si="262"/>
        <v>43364000</v>
      </c>
      <c r="J700" s="104">
        <f>'[3]CONAP - W INC'!J528</f>
        <v>0</v>
      </c>
      <c r="K700" s="104">
        <f>'[3]CONAP - W INC'!K528</f>
        <v>2996200</v>
      </c>
      <c r="L700" s="104">
        <f>'[3]CONAP - W INC'!L528</f>
        <v>0</v>
      </c>
      <c r="M700" s="103">
        <f t="shared" si="263"/>
        <v>2996200</v>
      </c>
      <c r="N700" s="103">
        <f t="shared" si="258"/>
        <v>0</v>
      </c>
      <c r="O700" s="103">
        <f t="shared" si="258"/>
        <v>3800</v>
      </c>
      <c r="P700" s="103">
        <f t="shared" si="258"/>
        <v>40364000</v>
      </c>
      <c r="Q700" s="103">
        <f t="shared" si="264"/>
        <v>40367800</v>
      </c>
      <c r="S700" s="267" t="str">
        <f t="shared" si="254"/>
        <v/>
      </c>
      <c r="T700" s="267">
        <f t="shared" si="254"/>
        <v>0.99873333333333336</v>
      </c>
      <c r="U700" s="267">
        <f t="shared" si="254"/>
        <v>0</v>
      </c>
      <c r="V700" s="267">
        <f t="shared" si="253"/>
        <v>6.9094179503735823E-2</v>
      </c>
      <c r="W700" s="530"/>
      <c r="X700" s="236"/>
      <c r="Y700" s="236"/>
      <c r="Z700" s="236"/>
    </row>
    <row r="701" spans="1:26" ht="12" hidden="1" customHeight="1">
      <c r="A701" s="548" t="s">
        <v>190</v>
      </c>
      <c r="B701" s="548" t="s">
        <v>191</v>
      </c>
      <c r="C701" s="458" t="s">
        <v>716</v>
      </c>
      <c r="D701" s="550" t="s">
        <v>716</v>
      </c>
      <c r="E701" s="459" t="s">
        <v>716</v>
      </c>
      <c r="F701" s="104">
        <f>'[3]CONAP - W INC'!F529</f>
        <v>0</v>
      </c>
      <c r="G701" s="104">
        <f>'[3]CONAP - W INC'!G529</f>
        <v>39279044.130000003</v>
      </c>
      <c r="H701" s="104">
        <f>'[3]CONAP - W INC'!H529</f>
        <v>16269341.17</v>
      </c>
      <c r="I701" s="103">
        <f t="shared" si="262"/>
        <v>55548385.300000004</v>
      </c>
      <c r="J701" s="104">
        <f>'[3]CONAP - W INC'!J529</f>
        <v>0</v>
      </c>
      <c r="K701" s="104">
        <f>'[3]CONAP - W INC'!K529</f>
        <v>13468201.840000004</v>
      </c>
      <c r="L701" s="104">
        <f>'[3]CONAP - W INC'!L529</f>
        <v>7548272.8499999996</v>
      </c>
      <c r="M701" s="103">
        <f t="shared" si="263"/>
        <v>21016474.690000005</v>
      </c>
      <c r="N701" s="103">
        <f t="shared" si="258"/>
        <v>0</v>
      </c>
      <c r="O701" s="103">
        <f t="shared" si="258"/>
        <v>25810842.289999999</v>
      </c>
      <c r="P701" s="103">
        <f t="shared" si="258"/>
        <v>8721068.3200000003</v>
      </c>
      <c r="Q701" s="103">
        <f t="shared" si="264"/>
        <v>34531910.609999999</v>
      </c>
      <c r="S701" s="267" t="str">
        <f t="shared" si="254"/>
        <v/>
      </c>
      <c r="T701" s="267">
        <f t="shared" si="254"/>
        <v>0.34288517295443671</v>
      </c>
      <c r="U701" s="267">
        <f t="shared" si="254"/>
        <v>0.46395688498552762</v>
      </c>
      <c r="V701" s="267">
        <f t="shared" si="253"/>
        <v>0.37834537541453978</v>
      </c>
      <c r="W701" s="530"/>
      <c r="X701" s="236"/>
      <c r="Y701" s="236"/>
      <c r="Z701" s="236"/>
    </row>
    <row r="702" spans="1:26" s="256" customFormat="1" ht="12" hidden="1" customHeight="1">
      <c r="A702" s="548"/>
      <c r="B702" s="548" t="s">
        <v>191</v>
      </c>
      <c r="C702" s="460"/>
      <c r="D702" s="551"/>
      <c r="E702" s="390" t="s">
        <v>767</v>
      </c>
      <c r="F702" s="391">
        <f>+F699+F695</f>
        <v>0</v>
      </c>
      <c r="G702" s="391">
        <f t="shared" ref="G702:Q702" si="270">+G699+G695</f>
        <v>42835829.410000004</v>
      </c>
      <c r="H702" s="391">
        <f t="shared" si="270"/>
        <v>56633341.170000002</v>
      </c>
      <c r="I702" s="391">
        <f t="shared" si="270"/>
        <v>99469170.580000013</v>
      </c>
      <c r="J702" s="391">
        <f t="shared" si="270"/>
        <v>0</v>
      </c>
      <c r="K702" s="391">
        <f t="shared" si="270"/>
        <v>17020199.280000005</v>
      </c>
      <c r="L702" s="391">
        <f t="shared" si="270"/>
        <v>7548272.8499999996</v>
      </c>
      <c r="M702" s="391">
        <f t="shared" si="270"/>
        <v>24568472.130000006</v>
      </c>
      <c r="N702" s="391">
        <f t="shared" si="270"/>
        <v>0</v>
      </c>
      <c r="O702" s="391">
        <f t="shared" si="270"/>
        <v>25815630.129999999</v>
      </c>
      <c r="P702" s="391">
        <f t="shared" si="270"/>
        <v>49085068.32</v>
      </c>
      <c r="Q702" s="391">
        <f t="shared" si="270"/>
        <v>74900698.450000003</v>
      </c>
      <c r="R702" s="761"/>
      <c r="S702" s="267" t="str">
        <f t="shared" si="254"/>
        <v/>
      </c>
      <c r="T702" s="267">
        <f t="shared" si="254"/>
        <v>0.39733558365573862</v>
      </c>
      <c r="U702" s="267">
        <f t="shared" si="254"/>
        <v>0.13328319844915834</v>
      </c>
      <c r="V702" s="267">
        <f t="shared" si="253"/>
        <v>0.24699584792697488</v>
      </c>
      <c r="W702" s="532"/>
      <c r="Y702" s="236"/>
      <c r="Z702" s="240" t="s">
        <v>598</v>
      </c>
    </row>
    <row r="703" spans="1:26" ht="12" hidden="1" customHeight="1">
      <c r="A703" s="548"/>
      <c r="B703" s="548"/>
      <c r="C703" s="456"/>
      <c r="D703" s="549"/>
      <c r="E703" s="461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S703" s="267" t="str">
        <f t="shared" si="254"/>
        <v/>
      </c>
      <c r="T703" s="267" t="str">
        <f t="shared" si="254"/>
        <v/>
      </c>
      <c r="U703" s="267" t="str">
        <f t="shared" si="254"/>
        <v/>
      </c>
      <c r="V703" s="267" t="str">
        <f t="shared" si="253"/>
        <v/>
      </c>
      <c r="W703" s="530"/>
      <c r="X703" s="236"/>
      <c r="Y703" s="236"/>
      <c r="Z703" s="236"/>
    </row>
    <row r="704" spans="1:26" s="256" customFormat="1" ht="12" hidden="1" customHeight="1">
      <c r="A704" s="548" t="s">
        <v>190</v>
      </c>
      <c r="B704" s="548" t="s">
        <v>191</v>
      </c>
      <c r="C704" s="460"/>
      <c r="D704" s="551" t="s">
        <v>98</v>
      </c>
      <c r="E704" s="390" t="s">
        <v>100</v>
      </c>
      <c r="F704" s="391">
        <f>SUM(F705:F705)</f>
        <v>0</v>
      </c>
      <c r="G704" s="391">
        <f>SUM(G705:G705)</f>
        <v>0</v>
      </c>
      <c r="H704" s="391">
        <f>SUM(H705:H705)</f>
        <v>0</v>
      </c>
      <c r="I704" s="391">
        <f>+F704+G704+H704</f>
        <v>0</v>
      </c>
      <c r="J704" s="391"/>
      <c r="K704" s="391">
        <f>SUM(K705:K705)</f>
        <v>0</v>
      </c>
      <c r="L704" s="391">
        <f>SUM(L705:L705)</f>
        <v>0</v>
      </c>
      <c r="M704" s="391">
        <f>+J704+K704+L704</f>
        <v>0</v>
      </c>
      <c r="N704" s="391">
        <f t="shared" ref="N704:P705" si="271">+F704-J704</f>
        <v>0</v>
      </c>
      <c r="O704" s="391">
        <f t="shared" si="271"/>
        <v>0</v>
      </c>
      <c r="P704" s="391">
        <f t="shared" si="271"/>
        <v>0</v>
      </c>
      <c r="Q704" s="391">
        <f>+N704+O704+P704</f>
        <v>0</v>
      </c>
      <c r="R704" s="761"/>
      <c r="S704" s="267" t="str">
        <f t="shared" si="254"/>
        <v/>
      </c>
      <c r="T704" s="267" t="str">
        <f t="shared" si="254"/>
        <v/>
      </c>
      <c r="U704" s="267" t="str">
        <f t="shared" si="254"/>
        <v/>
      </c>
      <c r="V704" s="267" t="str">
        <f t="shared" si="253"/>
        <v/>
      </c>
      <c r="W704" s="532"/>
      <c r="Y704" s="236"/>
      <c r="Z704" s="240" t="s">
        <v>598</v>
      </c>
    </row>
    <row r="705" spans="1:26" ht="12" hidden="1" customHeight="1">
      <c r="A705" s="548" t="s">
        <v>190</v>
      </c>
      <c r="B705" s="548" t="s">
        <v>191</v>
      </c>
      <c r="C705" s="456"/>
      <c r="D705" s="549"/>
      <c r="E705" s="462" t="s">
        <v>290</v>
      </c>
      <c r="F705" s="103">
        <v>0</v>
      </c>
      <c r="G705" s="103">
        <f>SUM('[3]chd 8-SAOB'!AH222)</f>
        <v>0</v>
      </c>
      <c r="H705" s="103">
        <f>SUM('[3]chd 8-SAOB'!AH314)</f>
        <v>0</v>
      </c>
      <c r="I705" s="103">
        <f>+F705+G705+H705</f>
        <v>0</v>
      </c>
      <c r="J705" s="103">
        <f>SUM('[3]chd 8-SAOB'!AH15)</f>
        <v>0</v>
      </c>
      <c r="K705" s="103">
        <f>SUM('[3]chd 8-SAOB'!AH223)</f>
        <v>0</v>
      </c>
      <c r="L705" s="103">
        <f>SUM('[3]chd 8-SAOB'!AH315)</f>
        <v>0</v>
      </c>
      <c r="M705" s="103">
        <f>+J705+K705+L705</f>
        <v>0</v>
      </c>
      <c r="N705" s="103">
        <f t="shared" si="271"/>
        <v>0</v>
      </c>
      <c r="O705" s="103">
        <f t="shared" si="271"/>
        <v>0</v>
      </c>
      <c r="P705" s="103">
        <f t="shared" si="271"/>
        <v>0</v>
      </c>
      <c r="Q705" s="103">
        <f>+N705+O705+P705</f>
        <v>0</v>
      </c>
      <c r="S705" s="267" t="str">
        <f t="shared" si="254"/>
        <v/>
      </c>
      <c r="T705" s="267" t="str">
        <f t="shared" si="254"/>
        <v/>
      </c>
      <c r="U705" s="267" t="str">
        <f t="shared" si="254"/>
        <v/>
      </c>
      <c r="V705" s="267" t="str">
        <f t="shared" si="253"/>
        <v/>
      </c>
      <c r="W705" s="530"/>
      <c r="X705" s="236"/>
      <c r="Y705" s="236"/>
      <c r="Z705" s="236"/>
    </row>
    <row r="706" spans="1:26" s="259" customFormat="1" ht="12" customHeight="1">
      <c r="A706" s="315" t="s">
        <v>190</v>
      </c>
      <c r="B706" s="315" t="s">
        <v>191</v>
      </c>
      <c r="C706" s="1477" t="s">
        <v>312</v>
      </c>
      <c r="D706" s="1478"/>
      <c r="E706" s="1479"/>
      <c r="F706" s="652">
        <f>+F702+F704</f>
        <v>0</v>
      </c>
      <c r="G706" s="652">
        <f t="shared" ref="G706:Q706" si="272">+G702+G704</f>
        <v>42835829.410000004</v>
      </c>
      <c r="H706" s="652">
        <f t="shared" si="272"/>
        <v>56633341.170000002</v>
      </c>
      <c r="I706" s="652">
        <f t="shared" si="272"/>
        <v>99469170.580000013</v>
      </c>
      <c r="J706" s="652">
        <f t="shared" si="272"/>
        <v>0</v>
      </c>
      <c r="K706" s="652">
        <f t="shared" si="272"/>
        <v>17020199.280000005</v>
      </c>
      <c r="L706" s="652">
        <f t="shared" si="272"/>
        <v>7548272.8499999996</v>
      </c>
      <c r="M706" s="652">
        <f t="shared" si="272"/>
        <v>24568472.130000006</v>
      </c>
      <c r="N706" s="652">
        <f t="shared" si="272"/>
        <v>0</v>
      </c>
      <c r="O706" s="652">
        <f t="shared" si="272"/>
        <v>25815630.129999999</v>
      </c>
      <c r="P706" s="652">
        <f t="shared" si="272"/>
        <v>49085068.32</v>
      </c>
      <c r="Q706" s="652">
        <f t="shared" si="272"/>
        <v>74900698.450000003</v>
      </c>
      <c r="R706" s="1095">
        <f>+Q706-'[3]chd 8-SAOB'!BB351</f>
        <v>0</v>
      </c>
      <c r="S706" s="524" t="str">
        <f t="shared" si="254"/>
        <v/>
      </c>
      <c r="T706" s="524">
        <f t="shared" si="254"/>
        <v>0.39733558365573862</v>
      </c>
      <c r="U706" s="524">
        <f t="shared" si="254"/>
        <v>0.13328319844915834</v>
      </c>
      <c r="V706" s="524">
        <f t="shared" si="253"/>
        <v>0.24699584792697488</v>
      </c>
      <c r="W706" s="344"/>
      <c r="X706" s="520"/>
      <c r="Y706" s="837" t="s">
        <v>598</v>
      </c>
      <c r="Z706" s="241" t="s">
        <v>598</v>
      </c>
    </row>
    <row r="707" spans="1:26" ht="12" customHeight="1">
      <c r="A707" s="315" t="s">
        <v>101</v>
      </c>
      <c r="B707" s="315" t="s">
        <v>191</v>
      </c>
      <c r="C707" s="456"/>
      <c r="D707" s="456"/>
      <c r="E707" s="46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S707" s="267" t="str">
        <f t="shared" si="254"/>
        <v/>
      </c>
      <c r="T707" s="267" t="str">
        <f t="shared" si="254"/>
        <v/>
      </c>
      <c r="U707" s="267" t="str">
        <f t="shared" si="254"/>
        <v/>
      </c>
      <c r="V707" s="267" t="str">
        <f t="shared" si="253"/>
        <v/>
      </c>
      <c r="W707" s="267"/>
      <c r="Y707" s="837" t="s">
        <v>598</v>
      </c>
      <c r="Z707" s="241" t="s">
        <v>598</v>
      </c>
    </row>
    <row r="708" spans="1:26" ht="14.25" customHeight="1">
      <c r="A708" s="315" t="s">
        <v>192</v>
      </c>
      <c r="B708" s="315" t="s">
        <v>191</v>
      </c>
      <c r="C708" s="1100" t="s">
        <v>193</v>
      </c>
      <c r="D708" s="456"/>
      <c r="E708" s="463"/>
      <c r="F708" s="104"/>
      <c r="G708" s="104"/>
      <c r="H708" s="104"/>
      <c r="I708" s="103">
        <f t="shared" si="262"/>
        <v>0</v>
      </c>
      <c r="J708" s="104"/>
      <c r="K708" s="104"/>
      <c r="L708" s="104"/>
      <c r="M708" s="103">
        <f t="shared" si="263"/>
        <v>0</v>
      </c>
      <c r="N708" s="103">
        <f t="shared" si="258"/>
        <v>0</v>
      </c>
      <c r="O708" s="103">
        <f t="shared" si="258"/>
        <v>0</v>
      </c>
      <c r="P708" s="103">
        <f t="shared" si="258"/>
        <v>0</v>
      </c>
      <c r="Q708" s="103">
        <f t="shared" si="264"/>
        <v>0</v>
      </c>
      <c r="S708" s="267" t="str">
        <f t="shared" si="254"/>
        <v/>
      </c>
      <c r="T708" s="267" t="str">
        <f t="shared" si="254"/>
        <v/>
      </c>
      <c r="U708" s="267" t="str">
        <f t="shared" si="254"/>
        <v/>
      </c>
      <c r="V708" s="267" t="str">
        <f t="shared" si="253"/>
        <v/>
      </c>
      <c r="W708" s="267"/>
      <c r="Y708" s="837" t="s">
        <v>598</v>
      </c>
      <c r="Z708" s="241" t="s">
        <v>598</v>
      </c>
    </row>
    <row r="709" spans="1:26" s="275" customFormat="1" ht="14.25" customHeight="1">
      <c r="A709" s="548" t="s">
        <v>192</v>
      </c>
      <c r="B709" s="548" t="s">
        <v>194</v>
      </c>
      <c r="C709" s="464" t="s">
        <v>98</v>
      </c>
      <c r="D709" s="552" t="s">
        <v>105</v>
      </c>
      <c r="E709" s="407" t="s">
        <v>825</v>
      </c>
      <c r="F709" s="468"/>
      <c r="G709" s="468"/>
      <c r="H709" s="468"/>
      <c r="I709" s="409">
        <f t="shared" si="262"/>
        <v>0</v>
      </c>
      <c r="J709" s="468"/>
      <c r="K709" s="468"/>
      <c r="L709" s="468"/>
      <c r="M709" s="409">
        <f t="shared" si="263"/>
        <v>0</v>
      </c>
      <c r="N709" s="409">
        <f t="shared" si="258"/>
        <v>0</v>
      </c>
      <c r="O709" s="409">
        <f t="shared" si="258"/>
        <v>0</v>
      </c>
      <c r="P709" s="409">
        <f t="shared" si="258"/>
        <v>0</v>
      </c>
      <c r="Q709" s="409">
        <f t="shared" si="264"/>
        <v>0</v>
      </c>
      <c r="R709" s="761"/>
      <c r="S709" s="267" t="str">
        <f t="shared" si="254"/>
        <v/>
      </c>
      <c r="T709" s="267" t="str">
        <f t="shared" si="254"/>
        <v/>
      </c>
      <c r="U709" s="267" t="str">
        <f t="shared" si="254"/>
        <v/>
      </c>
      <c r="V709" s="267" t="str">
        <f t="shared" si="253"/>
        <v/>
      </c>
      <c r="W709" s="553"/>
      <c r="Y709" s="236" t="s">
        <v>598</v>
      </c>
      <c r="Z709" s="240" t="s">
        <v>598</v>
      </c>
    </row>
    <row r="710" spans="1:26" ht="12" customHeight="1">
      <c r="A710" s="548" t="s">
        <v>192</v>
      </c>
      <c r="B710" s="548" t="s">
        <v>194</v>
      </c>
      <c r="C710" s="447" t="s">
        <v>766</v>
      </c>
      <c r="D710" s="775"/>
      <c r="E710" s="447" t="s">
        <v>766</v>
      </c>
      <c r="F710" s="104">
        <f>+'[3]chd 8-SAOB'!C432</f>
        <v>0</v>
      </c>
      <c r="G710" s="104">
        <f>+'[3]chd 8-SAOB'!D432</f>
        <v>0</v>
      </c>
      <c r="H710" s="104">
        <f>+'[3]chd 8-SAOB'!E432</f>
        <v>0</v>
      </c>
      <c r="I710" s="103">
        <f t="shared" si="262"/>
        <v>0</v>
      </c>
      <c r="J710" s="104">
        <f>+'[3]chd 8-SAOB'!G432</f>
        <v>0</v>
      </c>
      <c r="K710" s="104">
        <f>+'[3]chd 8-SAOB'!H432</f>
        <v>0</v>
      </c>
      <c r="L710" s="104">
        <f>+'[3]chd 8-SAOB'!I432</f>
        <v>0</v>
      </c>
      <c r="M710" s="103">
        <f t="shared" si="263"/>
        <v>0</v>
      </c>
      <c r="N710" s="103">
        <f t="shared" si="258"/>
        <v>0</v>
      </c>
      <c r="O710" s="103">
        <f t="shared" si="258"/>
        <v>0</v>
      </c>
      <c r="P710" s="103">
        <f t="shared" si="258"/>
        <v>0</v>
      </c>
      <c r="Q710" s="103">
        <f t="shared" si="264"/>
        <v>0</v>
      </c>
      <c r="S710" s="267" t="str">
        <f t="shared" si="254"/>
        <v/>
      </c>
      <c r="T710" s="267" t="str">
        <f t="shared" si="254"/>
        <v/>
      </c>
      <c r="U710" s="267" t="str">
        <f t="shared" si="254"/>
        <v/>
      </c>
      <c r="V710" s="267" t="str">
        <f t="shared" si="253"/>
        <v/>
      </c>
      <c r="W710" s="530"/>
      <c r="X710" s="236"/>
      <c r="Y710" s="236" t="s">
        <v>688</v>
      </c>
      <c r="Z710" s="236"/>
    </row>
    <row r="711" spans="1:26" ht="12" customHeight="1">
      <c r="A711" s="548" t="s">
        <v>192</v>
      </c>
      <c r="B711" s="548" t="s">
        <v>194</v>
      </c>
      <c r="C711" s="456"/>
      <c r="D711" s="775"/>
      <c r="E711" s="453" t="s">
        <v>50</v>
      </c>
      <c r="F711" s="103">
        <f>+F712+F713</f>
        <v>0</v>
      </c>
      <c r="G711" s="103">
        <f>+G712+G713</f>
        <v>0</v>
      </c>
      <c r="H711" s="103">
        <f>+H712+H713</f>
        <v>0</v>
      </c>
      <c r="I711" s="103">
        <f t="shared" si="262"/>
        <v>0</v>
      </c>
      <c r="J711" s="103">
        <f>+J712+J713</f>
        <v>0</v>
      </c>
      <c r="K711" s="103">
        <f>+K712+K713</f>
        <v>0</v>
      </c>
      <c r="L711" s="103">
        <f>+L712+L713</f>
        <v>0</v>
      </c>
      <c r="M711" s="103">
        <f t="shared" si="263"/>
        <v>0</v>
      </c>
      <c r="N711" s="103">
        <f t="shared" si="258"/>
        <v>0</v>
      </c>
      <c r="O711" s="103">
        <f t="shared" si="258"/>
        <v>0</v>
      </c>
      <c r="P711" s="103">
        <f t="shared" si="258"/>
        <v>0</v>
      </c>
      <c r="Q711" s="103">
        <f t="shared" si="264"/>
        <v>0</v>
      </c>
      <c r="S711" s="267" t="str">
        <f t="shared" si="254"/>
        <v/>
      </c>
      <c r="T711" s="267" t="str">
        <f t="shared" si="254"/>
        <v/>
      </c>
      <c r="U711" s="267" t="str">
        <f t="shared" si="254"/>
        <v/>
      </c>
      <c r="V711" s="267" t="str">
        <f t="shared" si="253"/>
        <v/>
      </c>
      <c r="W711" s="530"/>
      <c r="X711" s="236"/>
      <c r="Y711" s="236" t="s">
        <v>688</v>
      </c>
      <c r="Z711" s="236"/>
    </row>
    <row r="712" spans="1:26" ht="12" hidden="1" customHeight="1">
      <c r="A712" s="548" t="s">
        <v>192</v>
      </c>
      <c r="B712" s="548" t="s">
        <v>194</v>
      </c>
      <c r="C712" s="458" t="s">
        <v>715</v>
      </c>
      <c r="D712" s="550" t="s">
        <v>715</v>
      </c>
      <c r="E712" s="447" t="s">
        <v>715</v>
      </c>
      <c r="F712" s="104">
        <f>'[3]CONAP - W INC'!F537</f>
        <v>0</v>
      </c>
      <c r="G712" s="104">
        <f>'[3]CONAP - W INC'!G537</f>
        <v>0</v>
      </c>
      <c r="H712" s="104">
        <f>'[3]CONAP - W INC'!H537</f>
        <v>0</v>
      </c>
      <c r="I712" s="103">
        <f t="shared" si="262"/>
        <v>0</v>
      </c>
      <c r="J712" s="104">
        <f>'[3]CONAP - W INC'!J537</f>
        <v>0</v>
      </c>
      <c r="K712" s="104">
        <f>'[3]CONAP - W INC'!K537</f>
        <v>0</v>
      </c>
      <c r="L712" s="104">
        <f>'[3]CONAP - W INC'!L537</f>
        <v>0</v>
      </c>
      <c r="M712" s="103">
        <f t="shared" si="263"/>
        <v>0</v>
      </c>
      <c r="N712" s="103">
        <f t="shared" si="258"/>
        <v>0</v>
      </c>
      <c r="O712" s="103">
        <f t="shared" si="258"/>
        <v>0</v>
      </c>
      <c r="P712" s="103">
        <f t="shared" si="258"/>
        <v>0</v>
      </c>
      <c r="Q712" s="103">
        <f t="shared" si="264"/>
        <v>0</v>
      </c>
      <c r="S712" s="267" t="str">
        <f t="shared" si="254"/>
        <v/>
      </c>
      <c r="T712" s="267" t="str">
        <f t="shared" si="254"/>
        <v/>
      </c>
      <c r="U712" s="267" t="str">
        <f t="shared" si="254"/>
        <v/>
      </c>
      <c r="V712" s="267" t="str">
        <f t="shared" si="253"/>
        <v/>
      </c>
      <c r="W712" s="530"/>
      <c r="X712" s="236"/>
      <c r="Y712" s="236"/>
      <c r="Z712" s="236"/>
    </row>
    <row r="713" spans="1:26" ht="12" hidden="1" customHeight="1">
      <c r="A713" s="548" t="s">
        <v>192</v>
      </c>
      <c r="B713" s="548" t="s">
        <v>194</v>
      </c>
      <c r="C713" s="458" t="s">
        <v>716</v>
      </c>
      <c r="D713" s="550" t="s">
        <v>716</v>
      </c>
      <c r="E713" s="459" t="s">
        <v>716</v>
      </c>
      <c r="F713" s="104">
        <f>'[3]CONAP - W INC'!F538</f>
        <v>0</v>
      </c>
      <c r="G713" s="104">
        <f>'[3]CONAP - W INC'!G538</f>
        <v>0</v>
      </c>
      <c r="H713" s="104">
        <f>'[3]CONAP - W INC'!H538</f>
        <v>0</v>
      </c>
      <c r="I713" s="103">
        <f t="shared" si="262"/>
        <v>0</v>
      </c>
      <c r="J713" s="104">
        <f>'[3]CONAP - W INC'!J538</f>
        <v>0</v>
      </c>
      <c r="K713" s="104">
        <f>'[3]CONAP - W INC'!K538</f>
        <v>0</v>
      </c>
      <c r="L713" s="104">
        <f>'[3]CONAP - W INC'!L538</f>
        <v>0</v>
      </c>
      <c r="M713" s="103">
        <f t="shared" si="263"/>
        <v>0</v>
      </c>
      <c r="N713" s="103">
        <f t="shared" si="258"/>
        <v>0</v>
      </c>
      <c r="O713" s="103">
        <f t="shared" si="258"/>
        <v>0</v>
      </c>
      <c r="P713" s="103">
        <f t="shared" si="258"/>
        <v>0</v>
      </c>
      <c r="Q713" s="103">
        <f t="shared" si="264"/>
        <v>0</v>
      </c>
      <c r="S713" s="267" t="str">
        <f t="shared" si="254"/>
        <v/>
      </c>
      <c r="T713" s="267" t="str">
        <f t="shared" si="254"/>
        <v/>
      </c>
      <c r="U713" s="267" t="str">
        <f t="shared" si="254"/>
        <v/>
      </c>
      <c r="V713" s="267" t="str">
        <f t="shared" si="253"/>
        <v/>
      </c>
      <c r="W713" s="530"/>
      <c r="X713" s="236"/>
      <c r="Y713" s="236"/>
      <c r="Z713" s="236"/>
    </row>
    <row r="714" spans="1:26" s="256" customFormat="1" ht="12" customHeight="1">
      <c r="A714" s="548"/>
      <c r="B714" s="548" t="s">
        <v>194</v>
      </c>
      <c r="C714" s="460"/>
      <c r="D714" s="551"/>
      <c r="E714" s="390" t="s">
        <v>767</v>
      </c>
      <c r="F714" s="391">
        <f>+F711+F710</f>
        <v>0</v>
      </c>
      <c r="G714" s="391">
        <f t="shared" ref="G714:Q714" si="273">+G711+G710</f>
        <v>0</v>
      </c>
      <c r="H714" s="391">
        <f t="shared" si="273"/>
        <v>0</v>
      </c>
      <c r="I714" s="391">
        <f t="shared" si="273"/>
        <v>0</v>
      </c>
      <c r="J714" s="391">
        <f t="shared" si="273"/>
        <v>0</v>
      </c>
      <c r="K714" s="391">
        <f t="shared" si="273"/>
        <v>0</v>
      </c>
      <c r="L714" s="391">
        <f t="shared" si="273"/>
        <v>0</v>
      </c>
      <c r="M714" s="391">
        <f t="shared" si="273"/>
        <v>0</v>
      </c>
      <c r="N714" s="391">
        <f t="shared" si="273"/>
        <v>0</v>
      </c>
      <c r="O714" s="391">
        <f t="shared" si="273"/>
        <v>0</v>
      </c>
      <c r="P714" s="391">
        <f t="shared" si="273"/>
        <v>0</v>
      </c>
      <c r="Q714" s="391">
        <f t="shared" si="273"/>
        <v>0</v>
      </c>
      <c r="R714" s="761"/>
      <c r="S714" s="267" t="str">
        <f t="shared" si="254"/>
        <v/>
      </c>
      <c r="T714" s="267" t="str">
        <f t="shared" si="254"/>
        <v/>
      </c>
      <c r="U714" s="267" t="str">
        <f t="shared" si="254"/>
        <v/>
      </c>
      <c r="V714" s="267" t="str">
        <f t="shared" si="253"/>
        <v/>
      </c>
      <c r="W714" s="532"/>
      <c r="Y714" s="236" t="s">
        <v>598</v>
      </c>
      <c r="Z714" s="240" t="s">
        <v>598</v>
      </c>
    </row>
    <row r="715" spans="1:26" ht="12" hidden="1" customHeight="1">
      <c r="A715" s="548"/>
      <c r="B715" s="548"/>
      <c r="C715" s="456"/>
      <c r="D715" s="549"/>
      <c r="E715" s="461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S715" s="267" t="str">
        <f t="shared" si="254"/>
        <v/>
      </c>
      <c r="T715" s="267" t="str">
        <f t="shared" si="254"/>
        <v/>
      </c>
      <c r="U715" s="267" t="str">
        <f t="shared" si="254"/>
        <v/>
      </c>
      <c r="V715" s="267" t="str">
        <f t="shared" si="253"/>
        <v/>
      </c>
      <c r="W715" s="530"/>
      <c r="X715" s="236"/>
      <c r="Y715" s="236"/>
      <c r="Z715" s="236"/>
    </row>
    <row r="716" spans="1:26" s="256" customFormat="1" ht="12" customHeight="1">
      <c r="A716" s="548" t="s">
        <v>192</v>
      </c>
      <c r="B716" s="548" t="s">
        <v>194</v>
      </c>
      <c r="C716" s="460"/>
      <c r="D716" s="551" t="s">
        <v>98</v>
      </c>
      <c r="E716" s="390" t="s">
        <v>100</v>
      </c>
      <c r="F716" s="391">
        <f>SUM(F717:F717)</f>
        <v>0</v>
      </c>
      <c r="G716" s="391">
        <f>SUM(G717:G717)</f>
        <v>18959573.59</v>
      </c>
      <c r="H716" s="391">
        <f>SUM(H717:H717)</f>
        <v>0</v>
      </c>
      <c r="I716" s="391">
        <f>+F716+G716+H716</f>
        <v>18959573.59</v>
      </c>
      <c r="J716" s="391"/>
      <c r="K716" s="391">
        <f>SUM(K717:K717)</f>
        <v>17140973.450000003</v>
      </c>
      <c r="L716" s="391">
        <f>SUM(L717:L717)</f>
        <v>0</v>
      </c>
      <c r="M716" s="391">
        <f>+J716+K716+L716</f>
        <v>17140973.450000003</v>
      </c>
      <c r="N716" s="391">
        <f t="shared" ref="N716:P717" si="274">+F716-J716</f>
        <v>0</v>
      </c>
      <c r="O716" s="391">
        <f t="shared" si="274"/>
        <v>1818600.1399999969</v>
      </c>
      <c r="P716" s="391">
        <f t="shared" si="274"/>
        <v>0</v>
      </c>
      <c r="Q716" s="391">
        <f>+N716+O716+P716</f>
        <v>1818600.1399999969</v>
      </c>
      <c r="R716" s="761"/>
      <c r="S716" s="267" t="str">
        <f t="shared" si="254"/>
        <v/>
      </c>
      <c r="T716" s="267">
        <f t="shared" si="254"/>
        <v>0.90408011386083098</v>
      </c>
      <c r="U716" s="267" t="str">
        <f t="shared" si="254"/>
        <v/>
      </c>
      <c r="V716" s="267">
        <f t="shared" si="253"/>
        <v>0.90408011386083098</v>
      </c>
      <c r="W716" s="532"/>
      <c r="Y716" s="236" t="s">
        <v>598</v>
      </c>
      <c r="Z716" s="240" t="s">
        <v>598</v>
      </c>
    </row>
    <row r="717" spans="1:26" ht="12" customHeight="1">
      <c r="A717" s="548" t="s">
        <v>192</v>
      </c>
      <c r="B717" s="548" t="s">
        <v>194</v>
      </c>
      <c r="C717" s="456"/>
      <c r="D717" s="549"/>
      <c r="E717" s="462" t="s">
        <v>290</v>
      </c>
      <c r="F717" s="103">
        <v>0</v>
      </c>
      <c r="G717" s="103">
        <f>SUM('[3]chd 8-SAOB'!AI222)</f>
        <v>18959573.59</v>
      </c>
      <c r="H717" s="103">
        <f>SUM('[3]chd 8-SAOB'!AI314)</f>
        <v>0</v>
      </c>
      <c r="I717" s="103">
        <f>+F717+G717+H717</f>
        <v>18959573.59</v>
      </c>
      <c r="J717" s="103">
        <f>SUM('[3]chd 8-SAOB'!AI15)</f>
        <v>0</v>
      </c>
      <c r="K717" s="103">
        <f>SUM('[3]chd 8-SAOB'!AI223)</f>
        <v>17140973.450000003</v>
      </c>
      <c r="L717" s="103">
        <f>SUM('[3]chd 8-SAOB'!AI315)</f>
        <v>0</v>
      </c>
      <c r="M717" s="103">
        <f>+J717+K717+L717</f>
        <v>17140973.450000003</v>
      </c>
      <c r="N717" s="103">
        <f t="shared" si="274"/>
        <v>0</v>
      </c>
      <c r="O717" s="103">
        <f t="shared" si="274"/>
        <v>1818600.1399999969</v>
      </c>
      <c r="P717" s="103">
        <f t="shared" si="274"/>
        <v>0</v>
      </c>
      <c r="Q717" s="103">
        <f>+N717+O717+P717</f>
        <v>1818600.1399999969</v>
      </c>
      <c r="S717" s="267" t="str">
        <f t="shared" si="254"/>
        <v/>
      </c>
      <c r="T717" s="267">
        <f t="shared" si="254"/>
        <v>0.90408011386083098</v>
      </c>
      <c r="U717" s="267" t="str">
        <f t="shared" si="254"/>
        <v/>
      </c>
      <c r="V717" s="267">
        <f t="shared" si="253"/>
        <v>0.90408011386083098</v>
      </c>
      <c r="W717" s="530"/>
      <c r="X717" s="236"/>
      <c r="Y717" s="236" t="s">
        <v>598</v>
      </c>
      <c r="Z717" s="236"/>
    </row>
    <row r="718" spans="1:26" s="259" customFormat="1" ht="12" customHeight="1">
      <c r="A718" s="315" t="s">
        <v>192</v>
      </c>
      <c r="B718" s="315" t="s">
        <v>194</v>
      </c>
      <c r="C718" s="1096"/>
      <c r="D718" s="466"/>
      <c r="E718" s="1097" t="s">
        <v>4</v>
      </c>
      <c r="F718" s="652">
        <f>+F716+F714</f>
        <v>0</v>
      </c>
      <c r="G718" s="652">
        <f t="shared" ref="G718:Q718" si="275">+G716+G714</f>
        <v>18959573.59</v>
      </c>
      <c r="H718" s="652">
        <f t="shared" si="275"/>
        <v>0</v>
      </c>
      <c r="I718" s="652">
        <f t="shared" si="275"/>
        <v>18959573.59</v>
      </c>
      <c r="J718" s="652">
        <f t="shared" si="275"/>
        <v>0</v>
      </c>
      <c r="K718" s="652">
        <f t="shared" si="275"/>
        <v>17140973.450000003</v>
      </c>
      <c r="L718" s="652">
        <f t="shared" si="275"/>
        <v>0</v>
      </c>
      <c r="M718" s="652">
        <f t="shared" si="275"/>
        <v>17140973.450000003</v>
      </c>
      <c r="N718" s="652">
        <f t="shared" si="275"/>
        <v>0</v>
      </c>
      <c r="O718" s="652">
        <f t="shared" si="275"/>
        <v>1818600.1399999969</v>
      </c>
      <c r="P718" s="652">
        <f t="shared" si="275"/>
        <v>0</v>
      </c>
      <c r="Q718" s="652">
        <f t="shared" si="275"/>
        <v>1818600.1399999969</v>
      </c>
      <c r="R718" s="1095">
        <f>+Q718-'[3]chd 8-SAOB'!BC351</f>
        <v>0</v>
      </c>
      <c r="S718" s="524" t="str">
        <f t="shared" si="254"/>
        <v/>
      </c>
      <c r="T718" s="524">
        <f t="shared" si="254"/>
        <v>0.90408011386083098</v>
      </c>
      <c r="U718" s="524" t="str">
        <f t="shared" si="254"/>
        <v/>
      </c>
      <c r="V718" s="524">
        <f t="shared" si="253"/>
        <v>0.90408011386083098</v>
      </c>
      <c r="W718" s="344"/>
      <c r="X718" s="520"/>
      <c r="Y718" s="837" t="s">
        <v>598</v>
      </c>
      <c r="Z718" s="241" t="s">
        <v>598</v>
      </c>
    </row>
    <row r="719" spans="1:26" ht="12" customHeight="1">
      <c r="A719" s="315" t="s">
        <v>192</v>
      </c>
      <c r="B719" s="315" t="s">
        <v>194</v>
      </c>
      <c r="C719" s="456"/>
      <c r="D719" s="456"/>
      <c r="E719" s="46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S719" s="267" t="str">
        <f t="shared" si="254"/>
        <v/>
      </c>
      <c r="T719" s="267" t="str">
        <f t="shared" si="254"/>
        <v/>
      </c>
      <c r="U719" s="267" t="str">
        <f t="shared" si="254"/>
        <v/>
      </c>
      <c r="V719" s="267" t="str">
        <f t="shared" si="253"/>
        <v/>
      </c>
      <c r="W719" s="267"/>
      <c r="Y719" s="837" t="s">
        <v>598</v>
      </c>
      <c r="Z719" s="241" t="s">
        <v>598</v>
      </c>
    </row>
    <row r="720" spans="1:26" s="275" customFormat="1" ht="12" customHeight="1">
      <c r="A720" s="548" t="s">
        <v>192</v>
      </c>
      <c r="B720" s="548" t="s">
        <v>195</v>
      </c>
      <c r="C720" s="464" t="s">
        <v>98</v>
      </c>
      <c r="D720" s="552" t="s">
        <v>107</v>
      </c>
      <c r="E720" s="407" t="s">
        <v>826</v>
      </c>
      <c r="F720" s="468"/>
      <c r="G720" s="468"/>
      <c r="H720" s="468"/>
      <c r="I720" s="409">
        <f t="shared" si="262"/>
        <v>0</v>
      </c>
      <c r="J720" s="468"/>
      <c r="K720" s="468"/>
      <c r="L720" s="468"/>
      <c r="M720" s="409">
        <f t="shared" si="263"/>
        <v>0</v>
      </c>
      <c r="N720" s="409">
        <f t="shared" si="258"/>
        <v>0</v>
      </c>
      <c r="O720" s="409">
        <f t="shared" si="258"/>
        <v>0</v>
      </c>
      <c r="P720" s="409">
        <f t="shared" si="258"/>
        <v>0</v>
      </c>
      <c r="Q720" s="409">
        <f t="shared" si="264"/>
        <v>0</v>
      </c>
      <c r="R720" s="761"/>
      <c r="S720" s="267" t="str">
        <f t="shared" si="254"/>
        <v/>
      </c>
      <c r="T720" s="267" t="str">
        <f t="shared" si="254"/>
        <v/>
      </c>
      <c r="U720" s="267" t="str">
        <f t="shared" si="254"/>
        <v/>
      </c>
      <c r="V720" s="267" t="str">
        <f t="shared" si="253"/>
        <v/>
      </c>
      <c r="W720" s="553"/>
      <c r="Y720" s="236" t="s">
        <v>598</v>
      </c>
      <c r="Z720" s="240" t="s">
        <v>598</v>
      </c>
    </row>
    <row r="721" spans="1:26" ht="12" customHeight="1">
      <c r="A721" s="548" t="s">
        <v>192</v>
      </c>
      <c r="B721" s="548" t="s">
        <v>195</v>
      </c>
      <c r="C721" s="447" t="s">
        <v>766</v>
      </c>
      <c r="D721" s="775"/>
      <c r="E721" s="447" t="s">
        <v>766</v>
      </c>
      <c r="F721" s="104">
        <f>+'[3]chd 8-SAOB'!C439</f>
        <v>0</v>
      </c>
      <c r="G721" s="104">
        <f>+'[3]chd 8-SAOB'!D439</f>
        <v>0</v>
      </c>
      <c r="H721" s="104">
        <f>+'[3]chd 8-SAOB'!E439</f>
        <v>0</v>
      </c>
      <c r="I721" s="103">
        <f t="shared" si="262"/>
        <v>0</v>
      </c>
      <c r="J721" s="104"/>
      <c r="K721" s="104">
        <f>+'[3]chd 8-SAOB'!H439</f>
        <v>0</v>
      </c>
      <c r="L721" s="104">
        <f>+'[3]chd 8-SAOB'!I439</f>
        <v>0</v>
      </c>
      <c r="M721" s="103">
        <f t="shared" si="263"/>
        <v>0</v>
      </c>
      <c r="N721" s="103">
        <f t="shared" si="258"/>
        <v>0</v>
      </c>
      <c r="O721" s="103">
        <f t="shared" si="258"/>
        <v>0</v>
      </c>
      <c r="P721" s="103">
        <f t="shared" si="258"/>
        <v>0</v>
      </c>
      <c r="Q721" s="103">
        <f t="shared" si="264"/>
        <v>0</v>
      </c>
      <c r="S721" s="267" t="str">
        <f t="shared" si="254"/>
        <v/>
      </c>
      <c r="T721" s="267" t="str">
        <f t="shared" si="254"/>
        <v/>
      </c>
      <c r="U721" s="267" t="str">
        <f t="shared" si="254"/>
        <v/>
      </c>
      <c r="V721" s="267" t="str">
        <f t="shared" si="253"/>
        <v/>
      </c>
      <c r="W721" s="530"/>
      <c r="X721" s="236"/>
      <c r="Y721" s="236" t="s">
        <v>688</v>
      </c>
      <c r="Z721" s="236"/>
    </row>
    <row r="722" spans="1:26" ht="12" customHeight="1">
      <c r="A722" s="548" t="s">
        <v>192</v>
      </c>
      <c r="B722" s="548" t="s">
        <v>195</v>
      </c>
      <c r="C722" s="456"/>
      <c r="D722" s="775"/>
      <c r="E722" s="453" t="s">
        <v>50</v>
      </c>
      <c r="F722" s="103">
        <f>+F723+F724</f>
        <v>0</v>
      </c>
      <c r="G722" s="103">
        <f>+G723+G724</f>
        <v>0</v>
      </c>
      <c r="H722" s="103">
        <f>+H723+H724</f>
        <v>0</v>
      </c>
      <c r="I722" s="103">
        <f t="shared" si="262"/>
        <v>0</v>
      </c>
      <c r="J722" s="103">
        <f>+J723+J724</f>
        <v>0</v>
      </c>
      <c r="K722" s="103">
        <f>+K723+K724</f>
        <v>0</v>
      </c>
      <c r="L722" s="103">
        <f>+L723+L724</f>
        <v>0</v>
      </c>
      <c r="M722" s="103">
        <f t="shared" si="263"/>
        <v>0</v>
      </c>
      <c r="N722" s="103">
        <f t="shared" si="258"/>
        <v>0</v>
      </c>
      <c r="O722" s="103">
        <f t="shared" si="258"/>
        <v>0</v>
      </c>
      <c r="P722" s="103">
        <f t="shared" si="258"/>
        <v>0</v>
      </c>
      <c r="Q722" s="103">
        <f t="shared" si="264"/>
        <v>0</v>
      </c>
      <c r="S722" s="267" t="str">
        <f t="shared" si="254"/>
        <v/>
      </c>
      <c r="T722" s="267" t="str">
        <f t="shared" si="254"/>
        <v/>
      </c>
      <c r="U722" s="267" t="str">
        <f t="shared" si="254"/>
        <v/>
      </c>
      <c r="V722" s="267" t="str">
        <f t="shared" si="253"/>
        <v/>
      </c>
      <c r="W722" s="530"/>
      <c r="X722" s="236"/>
      <c r="Y722" s="236" t="s">
        <v>688</v>
      </c>
      <c r="Z722" s="236"/>
    </row>
    <row r="723" spans="1:26" ht="12" hidden="1" customHeight="1">
      <c r="A723" s="548" t="s">
        <v>192</v>
      </c>
      <c r="B723" s="548" t="s">
        <v>195</v>
      </c>
      <c r="C723" s="458" t="s">
        <v>715</v>
      </c>
      <c r="D723" s="550" t="s">
        <v>715</v>
      </c>
      <c r="E723" s="447" t="s">
        <v>715</v>
      </c>
      <c r="F723" s="104">
        <f>'[3]CONAP - W INC'!F545</f>
        <v>0</v>
      </c>
      <c r="G723" s="104">
        <f>'[3]CONAP - W INC'!G545</f>
        <v>0</v>
      </c>
      <c r="H723" s="104">
        <f>'[3]CONAP - W INC'!H545</f>
        <v>0</v>
      </c>
      <c r="I723" s="103">
        <f t="shared" si="262"/>
        <v>0</v>
      </c>
      <c r="J723" s="104">
        <f>'[3]CONAP - W INC'!J545</f>
        <v>0</v>
      </c>
      <c r="K723" s="104">
        <f>'[3]CONAP - W INC'!K545</f>
        <v>0</v>
      </c>
      <c r="L723" s="104">
        <f>'[3]CONAP - W INC'!L545</f>
        <v>0</v>
      </c>
      <c r="M723" s="103">
        <f t="shared" si="263"/>
        <v>0</v>
      </c>
      <c r="N723" s="103">
        <f t="shared" si="258"/>
        <v>0</v>
      </c>
      <c r="O723" s="103">
        <f t="shared" si="258"/>
        <v>0</v>
      </c>
      <c r="P723" s="103">
        <f t="shared" si="258"/>
        <v>0</v>
      </c>
      <c r="Q723" s="103">
        <f t="shared" si="264"/>
        <v>0</v>
      </c>
      <c r="S723" s="267" t="str">
        <f t="shared" si="254"/>
        <v/>
      </c>
      <c r="T723" s="267" t="str">
        <f t="shared" si="254"/>
        <v/>
      </c>
      <c r="U723" s="267" t="str">
        <f t="shared" si="254"/>
        <v/>
      </c>
      <c r="V723" s="267" t="str">
        <f t="shared" si="253"/>
        <v/>
      </c>
      <c r="W723" s="530"/>
      <c r="X723" s="236"/>
      <c r="Y723" s="236"/>
      <c r="Z723" s="236"/>
    </row>
    <row r="724" spans="1:26" ht="12" hidden="1" customHeight="1">
      <c r="A724" s="548" t="s">
        <v>192</v>
      </c>
      <c r="B724" s="548" t="s">
        <v>195</v>
      </c>
      <c r="C724" s="458" t="s">
        <v>716</v>
      </c>
      <c r="D724" s="550" t="s">
        <v>716</v>
      </c>
      <c r="E724" s="459" t="s">
        <v>716</v>
      </c>
      <c r="F724" s="104">
        <f>'[3]CONAP - W INC'!F546</f>
        <v>0</v>
      </c>
      <c r="G724" s="104">
        <f>'[3]CONAP - W INC'!G546</f>
        <v>0</v>
      </c>
      <c r="H724" s="104">
        <f>'[3]CONAP - W INC'!H546</f>
        <v>0</v>
      </c>
      <c r="I724" s="103">
        <f t="shared" si="262"/>
        <v>0</v>
      </c>
      <c r="J724" s="104">
        <f>'[3]CONAP - W INC'!J546</f>
        <v>0</v>
      </c>
      <c r="K724" s="104">
        <f>'[3]CONAP - W INC'!K546</f>
        <v>0</v>
      </c>
      <c r="L724" s="104">
        <f>'[3]CONAP - W INC'!L546</f>
        <v>0</v>
      </c>
      <c r="M724" s="103">
        <f t="shared" si="263"/>
        <v>0</v>
      </c>
      <c r="N724" s="103">
        <f t="shared" si="258"/>
        <v>0</v>
      </c>
      <c r="O724" s="103">
        <f t="shared" si="258"/>
        <v>0</v>
      </c>
      <c r="P724" s="103">
        <f t="shared" si="258"/>
        <v>0</v>
      </c>
      <c r="Q724" s="103">
        <f t="shared" si="264"/>
        <v>0</v>
      </c>
      <c r="S724" s="267" t="str">
        <f t="shared" si="254"/>
        <v/>
      </c>
      <c r="T724" s="267" t="str">
        <f t="shared" si="254"/>
        <v/>
      </c>
      <c r="U724" s="267" t="str">
        <f t="shared" si="254"/>
        <v/>
      </c>
      <c r="V724" s="267" t="str">
        <f t="shared" si="253"/>
        <v/>
      </c>
      <c r="W724" s="530"/>
      <c r="X724" s="236"/>
      <c r="Y724" s="236"/>
      <c r="Z724" s="236"/>
    </row>
    <row r="725" spans="1:26" s="256" customFormat="1" ht="12" customHeight="1">
      <c r="A725" s="548"/>
      <c r="B725" s="548" t="s">
        <v>195</v>
      </c>
      <c r="C725" s="460"/>
      <c r="D725" s="551"/>
      <c r="E725" s="390" t="s">
        <v>767</v>
      </c>
      <c r="F725" s="391">
        <f>+F722+F721</f>
        <v>0</v>
      </c>
      <c r="G725" s="391">
        <f t="shared" ref="G725:Q725" si="276">+G722+G721</f>
        <v>0</v>
      </c>
      <c r="H725" s="391">
        <f t="shared" si="276"/>
        <v>0</v>
      </c>
      <c r="I725" s="391">
        <f t="shared" si="276"/>
        <v>0</v>
      </c>
      <c r="J725" s="391">
        <f t="shared" si="276"/>
        <v>0</v>
      </c>
      <c r="K725" s="391">
        <f t="shared" si="276"/>
        <v>0</v>
      </c>
      <c r="L725" s="391">
        <f t="shared" si="276"/>
        <v>0</v>
      </c>
      <c r="M725" s="391">
        <f t="shared" si="276"/>
        <v>0</v>
      </c>
      <c r="N725" s="391">
        <f t="shared" si="276"/>
        <v>0</v>
      </c>
      <c r="O725" s="391">
        <f t="shared" si="276"/>
        <v>0</v>
      </c>
      <c r="P725" s="391">
        <f t="shared" si="276"/>
        <v>0</v>
      </c>
      <c r="Q725" s="391">
        <f t="shared" si="276"/>
        <v>0</v>
      </c>
      <c r="R725" s="761"/>
      <c r="S725" s="267" t="str">
        <f t="shared" si="254"/>
        <v/>
      </c>
      <c r="T725" s="267" t="str">
        <f t="shared" si="254"/>
        <v/>
      </c>
      <c r="U725" s="267" t="str">
        <f t="shared" si="254"/>
        <v/>
      </c>
      <c r="V725" s="267" t="str">
        <f t="shared" si="253"/>
        <v/>
      </c>
      <c r="W725" s="532"/>
      <c r="Y725" s="236" t="s">
        <v>598</v>
      </c>
      <c r="Z725" s="240" t="s">
        <v>598</v>
      </c>
    </row>
    <row r="726" spans="1:26" ht="12" hidden="1" customHeight="1">
      <c r="A726" s="548"/>
      <c r="B726" s="548"/>
      <c r="C726" s="456"/>
      <c r="D726" s="549"/>
      <c r="E726" s="461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S726" s="267" t="str">
        <f t="shared" si="254"/>
        <v/>
      </c>
      <c r="T726" s="267" t="str">
        <f t="shared" si="254"/>
        <v/>
      </c>
      <c r="U726" s="267" t="str">
        <f t="shared" si="254"/>
        <v/>
      </c>
      <c r="V726" s="267" t="str">
        <f t="shared" si="253"/>
        <v/>
      </c>
      <c r="W726" s="530"/>
      <c r="X726" s="236"/>
      <c r="Y726" s="236"/>
      <c r="Z726" s="236"/>
    </row>
    <row r="727" spans="1:26" s="256" customFormat="1" ht="12" customHeight="1">
      <c r="A727" s="548" t="s">
        <v>192</v>
      </c>
      <c r="B727" s="548" t="s">
        <v>195</v>
      </c>
      <c r="C727" s="460"/>
      <c r="D727" s="551" t="s">
        <v>98</v>
      </c>
      <c r="E727" s="390" t="s">
        <v>100</v>
      </c>
      <c r="F727" s="391">
        <f>SUM(F728:F728)</f>
        <v>0</v>
      </c>
      <c r="G727" s="391">
        <f>SUM(G728:G728)</f>
        <v>0</v>
      </c>
      <c r="H727" s="391">
        <f>SUM(H728:H728)</f>
        <v>0</v>
      </c>
      <c r="I727" s="391">
        <f>+F727+G727+H727</f>
        <v>0</v>
      </c>
      <c r="J727" s="391"/>
      <c r="K727" s="391">
        <f>SUM(K728:K728)</f>
        <v>0</v>
      </c>
      <c r="L727" s="391">
        <f>SUM(L728:L728)</f>
        <v>0</v>
      </c>
      <c r="M727" s="391">
        <f>+J727+K727+L727</f>
        <v>0</v>
      </c>
      <c r="N727" s="391">
        <f t="shared" ref="N727:P728" si="277">+F727-J727</f>
        <v>0</v>
      </c>
      <c r="O727" s="391">
        <f t="shared" si="277"/>
        <v>0</v>
      </c>
      <c r="P727" s="391">
        <f t="shared" si="277"/>
        <v>0</v>
      </c>
      <c r="Q727" s="391">
        <f>+N727+O727+P727</f>
        <v>0</v>
      </c>
      <c r="R727" s="761"/>
      <c r="S727" s="267" t="str">
        <f t="shared" si="254"/>
        <v/>
      </c>
      <c r="T727" s="267" t="str">
        <f t="shared" si="254"/>
        <v/>
      </c>
      <c r="U727" s="267" t="str">
        <f t="shared" si="254"/>
        <v/>
      </c>
      <c r="V727" s="267" t="str">
        <f t="shared" si="254"/>
        <v/>
      </c>
      <c r="W727" s="532"/>
      <c r="Y727" s="236" t="s">
        <v>598</v>
      </c>
      <c r="Z727" s="240" t="s">
        <v>598</v>
      </c>
    </row>
    <row r="728" spans="1:26" ht="12" customHeight="1">
      <c r="A728" s="548" t="s">
        <v>192</v>
      </c>
      <c r="B728" s="548" t="s">
        <v>195</v>
      </c>
      <c r="C728" s="456"/>
      <c r="D728" s="549"/>
      <c r="E728" s="462" t="s">
        <v>290</v>
      </c>
      <c r="F728" s="103">
        <v>0</v>
      </c>
      <c r="G728" s="103">
        <f>SUM('[3]chd 8-SAOB'!AJ222)</f>
        <v>0</v>
      </c>
      <c r="H728" s="103">
        <f>SUM('[3]chd 8-SAOB'!AJ314)</f>
        <v>0</v>
      </c>
      <c r="I728" s="103">
        <f>+F728+G728+H728</f>
        <v>0</v>
      </c>
      <c r="J728" s="103"/>
      <c r="K728" s="103">
        <f>SUM('[3]chd 8-SAOB'!AJ223)</f>
        <v>0</v>
      </c>
      <c r="L728" s="103">
        <f>SUM('[3]chd 8-SAOB'!AJ315)</f>
        <v>0</v>
      </c>
      <c r="M728" s="103">
        <f>+J728+K728+L728</f>
        <v>0</v>
      </c>
      <c r="N728" s="103">
        <f t="shared" si="277"/>
        <v>0</v>
      </c>
      <c r="O728" s="103">
        <f t="shared" si="277"/>
        <v>0</v>
      </c>
      <c r="P728" s="103">
        <f t="shared" si="277"/>
        <v>0</v>
      </c>
      <c r="Q728" s="103">
        <f>+N728+O728+P728</f>
        <v>0</v>
      </c>
      <c r="S728" s="267" t="str">
        <f t="shared" ref="S728:V791" si="278">IF(F728=0,"",J728/F728)</f>
        <v/>
      </c>
      <c r="T728" s="267" t="str">
        <f t="shared" si="278"/>
        <v/>
      </c>
      <c r="U728" s="267" t="str">
        <f t="shared" si="278"/>
        <v/>
      </c>
      <c r="V728" s="267" t="str">
        <f t="shared" si="278"/>
        <v/>
      </c>
      <c r="W728" s="530"/>
      <c r="X728" s="236"/>
      <c r="Y728" s="236" t="s">
        <v>598</v>
      </c>
      <c r="Z728" s="236"/>
    </row>
    <row r="729" spans="1:26" s="259" customFormat="1" ht="12" customHeight="1">
      <c r="A729" s="315" t="s">
        <v>192</v>
      </c>
      <c r="B729" s="315" t="s">
        <v>195</v>
      </c>
      <c r="C729" s="1096"/>
      <c r="D729" s="466"/>
      <c r="E729" s="1097" t="s">
        <v>4</v>
      </c>
      <c r="F729" s="652">
        <f>+F727+F725</f>
        <v>0</v>
      </c>
      <c r="G729" s="652">
        <f t="shared" ref="G729:Q729" si="279">+G727+G725</f>
        <v>0</v>
      </c>
      <c r="H729" s="652">
        <f t="shared" si="279"/>
        <v>0</v>
      </c>
      <c r="I729" s="652">
        <f t="shared" si="279"/>
        <v>0</v>
      </c>
      <c r="J729" s="652">
        <f t="shared" si="279"/>
        <v>0</v>
      </c>
      <c r="K729" s="652">
        <f t="shared" si="279"/>
        <v>0</v>
      </c>
      <c r="L729" s="652">
        <f t="shared" si="279"/>
        <v>0</v>
      </c>
      <c r="M729" s="652">
        <f t="shared" si="279"/>
        <v>0</v>
      </c>
      <c r="N729" s="652">
        <f t="shared" si="279"/>
        <v>0</v>
      </c>
      <c r="O729" s="652">
        <f t="shared" si="279"/>
        <v>0</v>
      </c>
      <c r="P729" s="652">
        <f t="shared" si="279"/>
        <v>0</v>
      </c>
      <c r="Q729" s="652">
        <f t="shared" si="279"/>
        <v>0</v>
      </c>
      <c r="R729" s="1095">
        <f>+Q729-'[3]chd 8-SAOB'!BD351</f>
        <v>0</v>
      </c>
      <c r="S729" s="524" t="str">
        <f t="shared" si="278"/>
        <v/>
      </c>
      <c r="T729" s="524" t="str">
        <f t="shared" si="278"/>
        <v/>
      </c>
      <c r="U729" s="524" t="str">
        <f t="shared" si="278"/>
        <v/>
      </c>
      <c r="V729" s="524" t="str">
        <f t="shared" si="278"/>
        <v/>
      </c>
      <c r="W729" s="344"/>
      <c r="X729" s="520"/>
      <c r="Y729" s="837" t="s">
        <v>598</v>
      </c>
      <c r="Z729" s="241" t="s">
        <v>598</v>
      </c>
    </row>
    <row r="730" spans="1:26" s="660" customFormat="1" ht="12" hidden="1" customHeight="1">
      <c r="A730" s="315" t="s">
        <v>192</v>
      </c>
      <c r="B730" s="315" t="s">
        <v>313</v>
      </c>
      <c r="C730" s="1467" t="s">
        <v>635</v>
      </c>
      <c r="D730" s="1468"/>
      <c r="E730" s="1469"/>
      <c r="F730" s="659">
        <f>+F718+F729</f>
        <v>0</v>
      </c>
      <c r="G730" s="659">
        <f>+G718+G729</f>
        <v>18959573.59</v>
      </c>
      <c r="H730" s="659">
        <f>+H718+H729</f>
        <v>0</v>
      </c>
      <c r="I730" s="659">
        <f t="shared" ref="I730:I784" si="280">+F730+G730+H730</f>
        <v>18959573.59</v>
      </c>
      <c r="J730" s="659">
        <f>+J718+J729</f>
        <v>0</v>
      </c>
      <c r="K730" s="659">
        <f>+K718+K729</f>
        <v>17140973.450000003</v>
      </c>
      <c r="L730" s="659">
        <f>+L718+L729</f>
        <v>0</v>
      </c>
      <c r="M730" s="659">
        <f t="shared" ref="M730:M784" si="281">+J730+K730+L730</f>
        <v>17140973.450000003</v>
      </c>
      <c r="N730" s="659">
        <f t="shared" ref="N730:P784" si="282">+F730-J730</f>
        <v>0</v>
      </c>
      <c r="O730" s="659">
        <f t="shared" si="282"/>
        <v>1818600.1399999969</v>
      </c>
      <c r="P730" s="659">
        <f t="shared" si="282"/>
        <v>0</v>
      </c>
      <c r="Q730" s="659">
        <f t="shared" ref="Q730:Q784" si="283">+N730+O730+P730</f>
        <v>1818600.1399999969</v>
      </c>
      <c r="R730" s="1098"/>
      <c r="S730" s="661" t="str">
        <f t="shared" si="278"/>
        <v/>
      </c>
      <c r="T730" s="661">
        <f t="shared" si="278"/>
        <v>0.90408011386083098</v>
      </c>
      <c r="U730" s="661" t="str">
        <f t="shared" si="278"/>
        <v/>
      </c>
      <c r="V730" s="661">
        <f t="shared" si="278"/>
        <v>0.90408011386083098</v>
      </c>
      <c r="W730" s="295"/>
      <c r="X730" s="520"/>
      <c r="Y730" s="837"/>
      <c r="Z730" s="241"/>
    </row>
    <row r="731" spans="1:26" ht="12" hidden="1" customHeight="1">
      <c r="A731" s="315" t="s">
        <v>192</v>
      </c>
      <c r="B731" s="315" t="s">
        <v>313</v>
      </c>
      <c r="C731" s="469"/>
      <c r="D731" s="470"/>
      <c r="E731" s="471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S731" s="267" t="str">
        <f t="shared" si="278"/>
        <v/>
      </c>
      <c r="T731" s="267" t="str">
        <f t="shared" si="278"/>
        <v/>
      </c>
      <c r="U731" s="267" t="str">
        <f t="shared" si="278"/>
        <v/>
      </c>
      <c r="V731" s="267" t="str">
        <f t="shared" si="278"/>
        <v/>
      </c>
      <c r="W731" s="267"/>
      <c r="X731" s="237" t="s">
        <v>598</v>
      </c>
    </row>
    <row r="732" spans="1:26" s="275" customFormat="1" ht="12.75" hidden="1" customHeight="1">
      <c r="A732" s="315" t="s">
        <v>636</v>
      </c>
      <c r="B732" s="315" t="s">
        <v>313</v>
      </c>
      <c r="C732" s="464" t="s">
        <v>827</v>
      </c>
      <c r="D732" s="464"/>
      <c r="E732" s="472"/>
      <c r="F732" s="409"/>
      <c r="G732" s="409"/>
      <c r="H732" s="409"/>
      <c r="I732" s="409">
        <f t="shared" si="280"/>
        <v>0</v>
      </c>
      <c r="J732" s="409"/>
      <c r="K732" s="409"/>
      <c r="L732" s="409"/>
      <c r="M732" s="409">
        <f t="shared" si="281"/>
        <v>0</v>
      </c>
      <c r="N732" s="409">
        <f t="shared" si="282"/>
        <v>0</v>
      </c>
      <c r="O732" s="409">
        <f t="shared" si="282"/>
        <v>0</v>
      </c>
      <c r="P732" s="409">
        <f t="shared" si="282"/>
        <v>0</v>
      </c>
      <c r="Q732" s="409">
        <f t="shared" si="283"/>
        <v>0</v>
      </c>
      <c r="R732" s="761"/>
      <c r="S732" s="267" t="str">
        <f t="shared" si="278"/>
        <v/>
      </c>
      <c r="T732" s="267" t="str">
        <f t="shared" si="278"/>
        <v/>
      </c>
      <c r="U732" s="267" t="str">
        <f t="shared" si="278"/>
        <v/>
      </c>
      <c r="V732" s="267" t="str">
        <f t="shared" si="278"/>
        <v/>
      </c>
      <c r="W732" s="251"/>
      <c r="X732" s="237" t="s">
        <v>598</v>
      </c>
      <c r="Y732" s="839"/>
      <c r="Z732" s="253"/>
    </row>
    <row r="733" spans="1:26" ht="12" hidden="1" customHeight="1">
      <c r="A733" s="315" t="s">
        <v>636</v>
      </c>
      <c r="B733" s="315" t="s">
        <v>313</v>
      </c>
      <c r="C733" s="447" t="s">
        <v>766</v>
      </c>
      <c r="D733" s="456" t="s">
        <v>98</v>
      </c>
      <c r="E733" s="447" t="s">
        <v>766</v>
      </c>
      <c r="F733" s="103">
        <f>+F695+F710+F721</f>
        <v>0</v>
      </c>
      <c r="G733" s="103">
        <f>+G695+G710+G721</f>
        <v>556785.28</v>
      </c>
      <c r="H733" s="103">
        <f>+H695+H710+H721</f>
        <v>0</v>
      </c>
      <c r="I733" s="103">
        <f t="shared" si="280"/>
        <v>556785.28</v>
      </c>
      <c r="J733" s="103">
        <f>+J695+J710+J721</f>
        <v>0</v>
      </c>
      <c r="K733" s="103">
        <f>+K695+K710+K721</f>
        <v>555797.43999999994</v>
      </c>
      <c r="L733" s="103">
        <f>+L695+L710+L721</f>
        <v>0</v>
      </c>
      <c r="M733" s="103">
        <f t="shared" si="281"/>
        <v>555797.43999999994</v>
      </c>
      <c r="N733" s="103">
        <f t="shared" si="282"/>
        <v>0</v>
      </c>
      <c r="O733" s="103">
        <f t="shared" si="282"/>
        <v>987.84000000008382</v>
      </c>
      <c r="P733" s="103">
        <f t="shared" si="282"/>
        <v>0</v>
      </c>
      <c r="Q733" s="103">
        <f t="shared" si="283"/>
        <v>987.84000000008382</v>
      </c>
      <c r="S733" s="267" t="str">
        <f t="shared" si="278"/>
        <v/>
      </c>
      <c r="T733" s="267">
        <f t="shared" si="278"/>
        <v>0.99822581516522835</v>
      </c>
      <c r="U733" s="267" t="str">
        <f t="shared" si="278"/>
        <v/>
      </c>
      <c r="V733" s="267">
        <f t="shared" si="278"/>
        <v>0.99822581516522835</v>
      </c>
      <c r="W733" s="267"/>
      <c r="X733" s="237" t="s">
        <v>598</v>
      </c>
    </row>
    <row r="734" spans="1:26" ht="12" hidden="1" customHeight="1">
      <c r="A734" s="315" t="s">
        <v>636</v>
      </c>
      <c r="B734" s="315" t="s">
        <v>313</v>
      </c>
      <c r="C734" s="456"/>
      <c r="D734" s="456" t="s">
        <v>98</v>
      </c>
      <c r="E734" s="453" t="s">
        <v>50</v>
      </c>
      <c r="F734" s="103">
        <f>+F735+F736</f>
        <v>0</v>
      </c>
      <c r="G734" s="103">
        <f>+G735+G736</f>
        <v>42279044.130000003</v>
      </c>
      <c r="H734" s="103">
        <f>+H735+H736</f>
        <v>56633341.170000002</v>
      </c>
      <c r="I734" s="103">
        <f t="shared" si="280"/>
        <v>98912385.300000012</v>
      </c>
      <c r="J734" s="103">
        <f>+J735+J736</f>
        <v>0</v>
      </c>
      <c r="K734" s="103">
        <f>+K735+K736</f>
        <v>16464401.840000004</v>
      </c>
      <c r="L734" s="103">
        <f>+L735+L736</f>
        <v>7548272.8499999996</v>
      </c>
      <c r="M734" s="103">
        <f t="shared" si="281"/>
        <v>24012674.690000005</v>
      </c>
      <c r="N734" s="103">
        <f t="shared" si="282"/>
        <v>0</v>
      </c>
      <c r="O734" s="103">
        <f t="shared" si="282"/>
        <v>25814642.289999999</v>
      </c>
      <c r="P734" s="103">
        <f t="shared" si="282"/>
        <v>49085068.32</v>
      </c>
      <c r="Q734" s="103">
        <f t="shared" si="283"/>
        <v>74899710.609999999</v>
      </c>
      <c r="S734" s="267" t="str">
        <f t="shared" si="278"/>
        <v/>
      </c>
      <c r="T734" s="267">
        <f t="shared" si="278"/>
        <v>0.38942228186084593</v>
      </c>
      <c r="U734" s="267">
        <f t="shared" si="278"/>
        <v>0.13328319844915834</v>
      </c>
      <c r="V734" s="267">
        <f t="shared" si="278"/>
        <v>0.24276711775951887</v>
      </c>
      <c r="W734" s="267"/>
      <c r="X734" s="237" t="s">
        <v>598</v>
      </c>
    </row>
    <row r="735" spans="1:26" ht="12" hidden="1" customHeight="1">
      <c r="A735" s="315" t="s">
        <v>636</v>
      </c>
      <c r="B735" s="315" t="s">
        <v>313</v>
      </c>
      <c r="C735" s="458" t="s">
        <v>715</v>
      </c>
      <c r="D735" s="458" t="s">
        <v>715</v>
      </c>
      <c r="E735" s="447" t="s">
        <v>715</v>
      </c>
      <c r="F735" s="103">
        <v>0</v>
      </c>
      <c r="G735" s="103">
        <f>+G700+G712+G723</f>
        <v>3000000</v>
      </c>
      <c r="H735" s="103">
        <f>+H700+H712+H723</f>
        <v>40364000</v>
      </c>
      <c r="I735" s="103">
        <f t="shared" si="280"/>
        <v>43364000</v>
      </c>
      <c r="J735" s="103">
        <f t="shared" ref="J735:L736" si="284">+J700+J712+J723</f>
        <v>0</v>
      </c>
      <c r="K735" s="103">
        <f t="shared" si="284"/>
        <v>2996200</v>
      </c>
      <c r="L735" s="103">
        <f t="shared" si="284"/>
        <v>0</v>
      </c>
      <c r="M735" s="103">
        <f t="shared" si="281"/>
        <v>2996200</v>
      </c>
      <c r="N735" s="103">
        <f t="shared" si="282"/>
        <v>0</v>
      </c>
      <c r="O735" s="103">
        <f t="shared" si="282"/>
        <v>3800</v>
      </c>
      <c r="P735" s="103">
        <f t="shared" si="282"/>
        <v>40364000</v>
      </c>
      <c r="Q735" s="103">
        <f t="shared" si="283"/>
        <v>40367800</v>
      </c>
      <c r="S735" s="267" t="str">
        <f t="shared" si="278"/>
        <v/>
      </c>
      <c r="T735" s="267">
        <f t="shared" si="278"/>
        <v>0.99873333333333336</v>
      </c>
      <c r="U735" s="267">
        <f t="shared" si="278"/>
        <v>0</v>
      </c>
      <c r="V735" s="267">
        <f t="shared" si="278"/>
        <v>6.9094179503735823E-2</v>
      </c>
      <c r="W735" s="267"/>
      <c r="X735" s="237" t="s">
        <v>598</v>
      </c>
    </row>
    <row r="736" spans="1:26" ht="12" hidden="1" customHeight="1">
      <c r="A736" s="315" t="s">
        <v>636</v>
      </c>
      <c r="B736" s="315" t="s">
        <v>313</v>
      </c>
      <c r="C736" s="458" t="s">
        <v>716</v>
      </c>
      <c r="D736" s="458" t="s">
        <v>716</v>
      </c>
      <c r="E736" s="459" t="s">
        <v>716</v>
      </c>
      <c r="F736" s="103">
        <v>0</v>
      </c>
      <c r="G736" s="103">
        <f>+G701+G713+G724</f>
        <v>39279044.130000003</v>
      </c>
      <c r="H736" s="103">
        <f>+H701+H713+H724</f>
        <v>16269341.17</v>
      </c>
      <c r="I736" s="103">
        <f t="shared" si="280"/>
        <v>55548385.300000004</v>
      </c>
      <c r="J736" s="103">
        <f t="shared" si="284"/>
        <v>0</v>
      </c>
      <c r="K736" s="103">
        <f t="shared" si="284"/>
        <v>13468201.840000004</v>
      </c>
      <c r="L736" s="103">
        <f t="shared" si="284"/>
        <v>7548272.8499999996</v>
      </c>
      <c r="M736" s="103">
        <f t="shared" si="281"/>
        <v>21016474.690000005</v>
      </c>
      <c r="N736" s="103">
        <f t="shared" si="282"/>
        <v>0</v>
      </c>
      <c r="O736" s="103">
        <f t="shared" si="282"/>
        <v>25810842.289999999</v>
      </c>
      <c r="P736" s="103">
        <f t="shared" si="282"/>
        <v>8721068.3200000003</v>
      </c>
      <c r="Q736" s="103">
        <f t="shared" si="283"/>
        <v>34531910.609999999</v>
      </c>
      <c r="S736" s="267" t="str">
        <f t="shared" si="278"/>
        <v/>
      </c>
      <c r="T736" s="267">
        <f t="shared" si="278"/>
        <v>0.34288517295443671</v>
      </c>
      <c r="U736" s="267">
        <f t="shared" si="278"/>
        <v>0.46395688498552762</v>
      </c>
      <c r="V736" s="267">
        <f t="shared" si="278"/>
        <v>0.37834537541453978</v>
      </c>
      <c r="W736" s="267"/>
      <c r="X736" s="237" t="s">
        <v>598</v>
      </c>
    </row>
    <row r="737" spans="1:26" s="256" customFormat="1" ht="12" hidden="1" customHeight="1">
      <c r="A737" s="315"/>
      <c r="B737" s="315" t="s">
        <v>313</v>
      </c>
      <c r="C737" s="460"/>
      <c r="D737" s="460"/>
      <c r="E737" s="390" t="s">
        <v>767</v>
      </c>
      <c r="F737" s="391">
        <f>+F734+F733</f>
        <v>0</v>
      </c>
      <c r="G737" s="391">
        <f t="shared" ref="G737:Q737" si="285">+G734+G733</f>
        <v>42835829.410000004</v>
      </c>
      <c r="H737" s="391">
        <f t="shared" si="285"/>
        <v>56633341.170000002</v>
      </c>
      <c r="I737" s="391">
        <f t="shared" si="285"/>
        <v>99469170.580000013</v>
      </c>
      <c r="J737" s="391">
        <f t="shared" si="285"/>
        <v>0</v>
      </c>
      <c r="K737" s="391">
        <f t="shared" si="285"/>
        <v>17020199.280000005</v>
      </c>
      <c r="L737" s="391">
        <f t="shared" si="285"/>
        <v>7548272.8499999996</v>
      </c>
      <c r="M737" s="391">
        <f t="shared" si="285"/>
        <v>24568472.130000006</v>
      </c>
      <c r="N737" s="391">
        <f t="shared" si="285"/>
        <v>0</v>
      </c>
      <c r="O737" s="391">
        <f t="shared" si="285"/>
        <v>25815630.129999999</v>
      </c>
      <c r="P737" s="391">
        <f t="shared" si="285"/>
        <v>49085068.32</v>
      </c>
      <c r="Q737" s="391">
        <f t="shared" si="285"/>
        <v>74900698.450000003</v>
      </c>
      <c r="R737" s="761"/>
      <c r="S737" s="267" t="str">
        <f t="shared" si="278"/>
        <v/>
      </c>
      <c r="T737" s="267">
        <f t="shared" si="278"/>
        <v>0.39733558365573862</v>
      </c>
      <c r="U737" s="267">
        <f t="shared" si="278"/>
        <v>0.13328319844915834</v>
      </c>
      <c r="V737" s="267">
        <f t="shared" si="278"/>
        <v>0.24699584792697488</v>
      </c>
      <c r="W737" s="263"/>
      <c r="X737" s="237" t="s">
        <v>598</v>
      </c>
      <c r="Y737" s="840"/>
      <c r="Z737" s="241"/>
    </row>
    <row r="738" spans="1:26" ht="12" hidden="1" customHeight="1">
      <c r="A738" s="315"/>
      <c r="B738" s="315"/>
      <c r="C738" s="456"/>
      <c r="D738" s="456"/>
      <c r="E738" s="461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S738" s="267" t="str">
        <f t="shared" si="278"/>
        <v/>
      </c>
      <c r="T738" s="267" t="str">
        <f t="shared" si="278"/>
        <v/>
      </c>
      <c r="U738" s="267" t="str">
        <f t="shared" si="278"/>
        <v/>
      </c>
      <c r="V738" s="267" t="str">
        <f t="shared" si="278"/>
        <v/>
      </c>
      <c r="W738" s="267"/>
      <c r="X738" s="237" t="s">
        <v>598</v>
      </c>
    </row>
    <row r="739" spans="1:26" s="256" customFormat="1" ht="12" hidden="1" customHeight="1">
      <c r="A739" s="315" t="s">
        <v>636</v>
      </c>
      <c r="B739" s="315" t="s">
        <v>313</v>
      </c>
      <c r="C739" s="460"/>
      <c r="D739" s="460" t="s">
        <v>98</v>
      </c>
      <c r="E739" s="390" t="s">
        <v>100</v>
      </c>
      <c r="F739" s="391">
        <f>SUM(F740:F740)</f>
        <v>0</v>
      </c>
      <c r="G739" s="391">
        <f>SUM(G740:G740)</f>
        <v>18959573.59</v>
      </c>
      <c r="H739" s="391">
        <f>SUM(H740:H740)</f>
        <v>0</v>
      </c>
      <c r="I739" s="391">
        <f>+F739+G739+H739</f>
        <v>18959573.59</v>
      </c>
      <c r="J739" s="391">
        <f>SUM(J740:J740)</f>
        <v>0</v>
      </c>
      <c r="K739" s="391">
        <f>SUM(K740:K740)</f>
        <v>17140973.450000003</v>
      </c>
      <c r="L739" s="391">
        <f>SUM(L740:L740)</f>
        <v>0</v>
      </c>
      <c r="M739" s="391">
        <f>+J739+K739+L739</f>
        <v>17140973.450000003</v>
      </c>
      <c r="N739" s="391">
        <f t="shared" ref="N739:P740" si="286">+F739-J739</f>
        <v>0</v>
      </c>
      <c r="O739" s="391">
        <f t="shared" si="286"/>
        <v>1818600.1399999969</v>
      </c>
      <c r="P739" s="391">
        <f t="shared" si="286"/>
        <v>0</v>
      </c>
      <c r="Q739" s="391">
        <f>+N739+O739+P739</f>
        <v>1818600.1399999969</v>
      </c>
      <c r="R739" s="761"/>
      <c r="S739" s="267" t="str">
        <f t="shared" si="278"/>
        <v/>
      </c>
      <c r="T739" s="267">
        <f t="shared" si="278"/>
        <v>0.90408011386083098</v>
      </c>
      <c r="U739" s="267" t="str">
        <f t="shared" si="278"/>
        <v/>
      </c>
      <c r="V739" s="267">
        <f t="shared" si="278"/>
        <v>0.90408011386083098</v>
      </c>
      <c r="W739" s="263"/>
      <c r="X739" s="237" t="s">
        <v>598</v>
      </c>
      <c r="Y739" s="840"/>
      <c r="Z739" s="241"/>
    </row>
    <row r="740" spans="1:26" ht="12" hidden="1" customHeight="1">
      <c r="A740" s="315" t="s">
        <v>636</v>
      </c>
      <c r="B740" s="315" t="s">
        <v>313</v>
      </c>
      <c r="C740" s="456"/>
      <c r="D740" s="456"/>
      <c r="E740" s="462" t="s">
        <v>290</v>
      </c>
      <c r="F740" s="103">
        <v>0</v>
      </c>
      <c r="G740" s="103">
        <f>+G705+G717+G728</f>
        <v>18959573.59</v>
      </c>
      <c r="H740" s="103">
        <f>+H705+H717+H728</f>
        <v>0</v>
      </c>
      <c r="I740" s="103">
        <f>+F740+G740+H740</f>
        <v>18959573.59</v>
      </c>
      <c r="J740" s="103">
        <f>+J705+J717+J728</f>
        <v>0</v>
      </c>
      <c r="K740" s="103">
        <f>+K705+K717+K728</f>
        <v>17140973.450000003</v>
      </c>
      <c r="L740" s="103">
        <f>+L705+L717+L728</f>
        <v>0</v>
      </c>
      <c r="M740" s="103">
        <f>+J740+K740+L740</f>
        <v>17140973.450000003</v>
      </c>
      <c r="N740" s="103">
        <f t="shared" si="286"/>
        <v>0</v>
      </c>
      <c r="O740" s="103">
        <f t="shared" si="286"/>
        <v>1818600.1399999969</v>
      </c>
      <c r="P740" s="103">
        <f t="shared" si="286"/>
        <v>0</v>
      </c>
      <c r="Q740" s="103">
        <f>+N740+O740+P740</f>
        <v>1818600.1399999969</v>
      </c>
      <c r="S740" s="267" t="str">
        <f t="shared" si="278"/>
        <v/>
      </c>
      <c r="T740" s="267">
        <f t="shared" si="278"/>
        <v>0.90408011386083098</v>
      </c>
      <c r="U740" s="267" t="str">
        <f t="shared" si="278"/>
        <v/>
      </c>
      <c r="V740" s="267">
        <f t="shared" si="278"/>
        <v>0.90408011386083098</v>
      </c>
      <c r="W740" s="267"/>
      <c r="X740" s="237" t="s">
        <v>598</v>
      </c>
    </row>
    <row r="741" spans="1:26" s="266" customFormat="1" ht="24" customHeight="1">
      <c r="A741" s="315" t="s">
        <v>636</v>
      </c>
      <c r="B741" s="315" t="s">
        <v>313</v>
      </c>
      <c r="C741" s="1470" t="s">
        <v>638</v>
      </c>
      <c r="D741" s="1471"/>
      <c r="E741" s="1472"/>
      <c r="F741" s="666">
        <f>+F739+F737</f>
        <v>0</v>
      </c>
      <c r="G741" s="666">
        <f t="shared" ref="G741:Q741" si="287">+G739+G737</f>
        <v>61795403</v>
      </c>
      <c r="H741" s="666">
        <f t="shared" si="287"/>
        <v>56633341.170000002</v>
      </c>
      <c r="I741" s="666">
        <f t="shared" si="287"/>
        <v>118428744.17000002</v>
      </c>
      <c r="J741" s="666">
        <f t="shared" si="287"/>
        <v>0</v>
      </c>
      <c r="K741" s="666">
        <f t="shared" si="287"/>
        <v>34161172.730000004</v>
      </c>
      <c r="L741" s="666">
        <f t="shared" si="287"/>
        <v>7548272.8499999996</v>
      </c>
      <c r="M741" s="666">
        <f t="shared" si="287"/>
        <v>41709445.580000013</v>
      </c>
      <c r="N741" s="666">
        <f t="shared" si="287"/>
        <v>0</v>
      </c>
      <c r="O741" s="666">
        <f t="shared" si="287"/>
        <v>27634230.269999996</v>
      </c>
      <c r="P741" s="666">
        <f t="shared" si="287"/>
        <v>49085068.32</v>
      </c>
      <c r="Q741" s="666">
        <f t="shared" si="287"/>
        <v>76719298.590000004</v>
      </c>
      <c r="R741" s="1099">
        <f>+Q741-'[3]chd 8-SAOB'!BE351</f>
        <v>0</v>
      </c>
      <c r="S741" s="525" t="str">
        <f t="shared" si="278"/>
        <v/>
      </c>
      <c r="T741" s="525">
        <f t="shared" si="278"/>
        <v>0.55281090617695305</v>
      </c>
      <c r="U741" s="525">
        <f t="shared" si="278"/>
        <v>0.13328319844915834</v>
      </c>
      <c r="V741" s="525">
        <f t="shared" si="278"/>
        <v>0.35219022098324093</v>
      </c>
      <c r="W741" s="345"/>
      <c r="X741" s="237" t="s">
        <v>598</v>
      </c>
      <c r="Y741" s="837" t="s">
        <v>598</v>
      </c>
      <c r="Z741" s="241" t="s">
        <v>598</v>
      </c>
    </row>
    <row r="742" spans="1:26" ht="12" customHeight="1">
      <c r="A742" s="315" t="s">
        <v>636</v>
      </c>
      <c r="B742" s="315" t="s">
        <v>313</v>
      </c>
      <c r="C742" s="456"/>
      <c r="D742" s="456"/>
      <c r="E742" s="411"/>
      <c r="F742" s="104"/>
      <c r="G742" s="104"/>
      <c r="H742" s="104"/>
      <c r="I742" s="103"/>
      <c r="J742" s="104"/>
      <c r="K742" s="104"/>
      <c r="L742" s="104"/>
      <c r="M742" s="103"/>
      <c r="N742" s="103"/>
      <c r="O742" s="103"/>
      <c r="P742" s="103"/>
      <c r="Q742" s="103"/>
      <c r="S742" s="267" t="str">
        <f t="shared" si="278"/>
        <v/>
      </c>
      <c r="T742" s="267" t="str">
        <f t="shared" si="278"/>
        <v/>
      </c>
      <c r="U742" s="267" t="str">
        <f t="shared" si="278"/>
        <v/>
      </c>
      <c r="V742" s="267" t="str">
        <f t="shared" si="278"/>
        <v/>
      </c>
      <c r="W742" s="267"/>
      <c r="Y742" s="837" t="s">
        <v>598</v>
      </c>
      <c r="Z742" s="241" t="s">
        <v>598</v>
      </c>
    </row>
    <row r="743" spans="1:26" ht="11.25" customHeight="1">
      <c r="A743" s="528" t="s">
        <v>640</v>
      </c>
      <c r="B743" s="528" t="s">
        <v>197</v>
      </c>
      <c r="C743" s="408"/>
      <c r="D743" s="682"/>
      <c r="E743" s="408" t="s">
        <v>197</v>
      </c>
      <c r="F743" s="104"/>
      <c r="G743" s="104"/>
      <c r="H743" s="104"/>
      <c r="I743" s="103">
        <f>SUM(F743:H743)</f>
        <v>0</v>
      </c>
      <c r="J743" s="104"/>
      <c r="K743" s="104"/>
      <c r="L743" s="104"/>
      <c r="M743" s="103">
        <f>SUM(J743:L743)</f>
        <v>0</v>
      </c>
      <c r="N743" s="103">
        <f t="shared" si="282"/>
        <v>0</v>
      </c>
      <c r="O743" s="103">
        <f t="shared" si="282"/>
        <v>0</v>
      </c>
      <c r="P743" s="103">
        <f t="shared" si="282"/>
        <v>0</v>
      </c>
      <c r="Q743" s="103">
        <f>SUM(N743:P743)</f>
        <v>0</v>
      </c>
      <c r="S743" s="267" t="str">
        <f t="shared" si="278"/>
        <v/>
      </c>
      <c r="T743" s="267" t="str">
        <f t="shared" si="278"/>
        <v/>
      </c>
      <c r="U743" s="267" t="str">
        <f t="shared" si="278"/>
        <v/>
      </c>
      <c r="V743" s="267" t="str">
        <f t="shared" si="278"/>
        <v/>
      </c>
      <c r="W743" s="531"/>
      <c r="X743" s="236"/>
      <c r="Y743" s="236" t="s">
        <v>598</v>
      </c>
      <c r="Z743" s="240" t="s">
        <v>598</v>
      </c>
    </row>
    <row r="744" spans="1:26" ht="12" customHeight="1">
      <c r="A744" s="548" t="s">
        <v>196</v>
      </c>
      <c r="B744" s="548" t="s">
        <v>197</v>
      </c>
      <c r="C744" s="447" t="s">
        <v>766</v>
      </c>
      <c r="D744" s="775"/>
      <c r="E744" s="447" t="s">
        <v>766</v>
      </c>
      <c r="F744" s="104">
        <f>+'[3]chd9-SAOB'!C462</f>
        <v>0</v>
      </c>
      <c r="G744" s="104">
        <f>+'[3]chd9-SAOB'!D462</f>
        <v>1058572.8800000001</v>
      </c>
      <c r="H744" s="104">
        <f>+'[3]chd9-SAOB'!E462</f>
        <v>0</v>
      </c>
      <c r="I744" s="103">
        <f t="shared" si="280"/>
        <v>1058572.8800000001</v>
      </c>
      <c r="J744" s="104">
        <f>+'[3]chd9-SAOB'!G462</f>
        <v>0</v>
      </c>
      <c r="K744" s="104">
        <f>+'[3]chd9-SAOB'!H462</f>
        <v>1045384.83</v>
      </c>
      <c r="L744" s="104">
        <f>+'[3]chd9-SAOB'!I462</f>
        <v>0</v>
      </c>
      <c r="M744" s="103">
        <f t="shared" si="281"/>
        <v>1045384.83</v>
      </c>
      <c r="N744" s="103">
        <f t="shared" si="282"/>
        <v>0</v>
      </c>
      <c r="O744" s="103">
        <f t="shared" si="282"/>
        <v>13188.050000000163</v>
      </c>
      <c r="P744" s="103">
        <f t="shared" si="282"/>
        <v>0</v>
      </c>
      <c r="Q744" s="103">
        <f t="shared" si="283"/>
        <v>13188.050000000163</v>
      </c>
      <c r="S744" s="267" t="str">
        <f t="shared" si="278"/>
        <v/>
      </c>
      <c r="T744" s="267">
        <f t="shared" si="278"/>
        <v>0.98754167025325634</v>
      </c>
      <c r="U744" s="267" t="str">
        <f t="shared" si="278"/>
        <v/>
      </c>
      <c r="V744" s="267">
        <f t="shared" si="278"/>
        <v>0.98754167025325634</v>
      </c>
      <c r="W744" s="530"/>
      <c r="X744" s="236"/>
      <c r="Y744" s="236" t="s">
        <v>688</v>
      </c>
      <c r="Z744" s="236"/>
    </row>
    <row r="745" spans="1:26" ht="12" hidden="1" customHeight="1">
      <c r="A745" s="548" t="s">
        <v>196</v>
      </c>
      <c r="B745" s="548" t="s">
        <v>197</v>
      </c>
      <c r="C745" s="457" t="s">
        <v>775</v>
      </c>
      <c r="D745" s="549" t="s">
        <v>98</v>
      </c>
      <c r="E745" s="406" t="s">
        <v>775</v>
      </c>
      <c r="F745" s="104">
        <v>0</v>
      </c>
      <c r="G745" s="104">
        <f>+'[3]chd9-SAOB'!C222</f>
        <v>472673.95</v>
      </c>
      <c r="H745" s="104">
        <f>+'[3]chd9-SAOB'!C314</f>
        <v>0</v>
      </c>
      <c r="I745" s="103">
        <f t="shared" si="280"/>
        <v>472673.95</v>
      </c>
      <c r="J745" s="104">
        <v>0</v>
      </c>
      <c r="K745" s="104">
        <f>+'[3]chd9-SAOB'!C223</f>
        <v>472666.66999999993</v>
      </c>
      <c r="L745" s="104">
        <f>+'[3]chd9-SAOB'!C315</f>
        <v>0</v>
      </c>
      <c r="M745" s="103">
        <f t="shared" si="281"/>
        <v>472666.66999999993</v>
      </c>
      <c r="N745" s="103">
        <f t="shared" si="282"/>
        <v>0</v>
      </c>
      <c r="O745" s="103">
        <f t="shared" si="282"/>
        <v>7.2800000000861473</v>
      </c>
      <c r="P745" s="103">
        <f t="shared" si="282"/>
        <v>0</v>
      </c>
      <c r="Q745" s="103">
        <f t="shared" si="283"/>
        <v>7.2800000000861473</v>
      </c>
      <c r="S745" s="267" t="str">
        <f t="shared" si="278"/>
        <v/>
      </c>
      <c r="T745" s="267">
        <f t="shared" si="278"/>
        <v>0.99998459826271346</v>
      </c>
      <c r="U745" s="267" t="str">
        <f t="shared" si="278"/>
        <v/>
      </c>
      <c r="V745" s="267">
        <f t="shared" si="278"/>
        <v>0.99998459826271346</v>
      </c>
      <c r="W745" s="530"/>
      <c r="X745" s="236"/>
      <c r="Y745" s="236"/>
      <c r="Z745" s="236"/>
    </row>
    <row r="746" spans="1:26" ht="12" hidden="1" customHeight="1">
      <c r="A746" s="548" t="s">
        <v>196</v>
      </c>
      <c r="B746" s="548" t="s">
        <v>197</v>
      </c>
      <c r="C746" s="456"/>
      <c r="D746" s="549" t="s">
        <v>98</v>
      </c>
      <c r="E746" s="406" t="s">
        <v>776</v>
      </c>
      <c r="F746" s="104">
        <v>0</v>
      </c>
      <c r="G746" s="104">
        <f>+'[3]chd9-SAOB'!D222</f>
        <v>87922.99</v>
      </c>
      <c r="H746" s="104">
        <f>+'[3]chd9-SAOB'!D314</f>
        <v>0</v>
      </c>
      <c r="I746" s="103">
        <f t="shared" si="280"/>
        <v>87922.99</v>
      </c>
      <c r="J746" s="104">
        <v>0</v>
      </c>
      <c r="K746" s="104">
        <f>+'[3]chd9-SAOB'!D223</f>
        <v>87900</v>
      </c>
      <c r="L746" s="104">
        <f>+'[3]chd9-SAOB'!D315</f>
        <v>0</v>
      </c>
      <c r="M746" s="103">
        <f t="shared" si="281"/>
        <v>87900</v>
      </c>
      <c r="N746" s="103">
        <f t="shared" si="282"/>
        <v>0</v>
      </c>
      <c r="O746" s="103">
        <f t="shared" si="282"/>
        <v>22.990000000005239</v>
      </c>
      <c r="P746" s="103">
        <f t="shared" si="282"/>
        <v>0</v>
      </c>
      <c r="Q746" s="103">
        <f t="shared" si="283"/>
        <v>22.990000000005239</v>
      </c>
      <c r="S746" s="267" t="str">
        <f t="shared" si="278"/>
        <v/>
      </c>
      <c r="T746" s="267">
        <f t="shared" si="278"/>
        <v>0.99973852117631568</v>
      </c>
      <c r="U746" s="267" t="str">
        <f t="shared" si="278"/>
        <v/>
      </c>
      <c r="V746" s="267">
        <f t="shared" si="278"/>
        <v>0.99973852117631568</v>
      </c>
      <c r="W746" s="530"/>
      <c r="X746" s="236"/>
      <c r="Y746" s="236"/>
      <c r="Z746" s="236"/>
    </row>
    <row r="747" spans="1:26" ht="12" hidden="1" customHeight="1">
      <c r="A747" s="548" t="s">
        <v>196</v>
      </c>
      <c r="B747" s="548" t="s">
        <v>197</v>
      </c>
      <c r="C747" s="456"/>
      <c r="D747" s="549" t="s">
        <v>98</v>
      </c>
      <c r="E747" s="406" t="s">
        <v>777</v>
      </c>
      <c r="F747" s="104">
        <v>0</v>
      </c>
      <c r="G747" s="104">
        <f>+'[3]chd9-SAOB'!E222</f>
        <v>497975.94</v>
      </c>
      <c r="H747" s="104">
        <f>+'[3]chd9-SAOB'!E314</f>
        <v>0</v>
      </c>
      <c r="I747" s="103">
        <f t="shared" si="280"/>
        <v>497975.94</v>
      </c>
      <c r="J747" s="104">
        <v>0</v>
      </c>
      <c r="K747" s="104">
        <f>+'[3]chd9-SAOB'!E223</f>
        <v>484818.16000000003</v>
      </c>
      <c r="L747" s="104">
        <f>+'[3]chd9-SAOB'!E315</f>
        <v>0</v>
      </c>
      <c r="M747" s="103">
        <f t="shared" si="281"/>
        <v>484818.16000000003</v>
      </c>
      <c r="N747" s="103">
        <f t="shared" si="282"/>
        <v>0</v>
      </c>
      <c r="O747" s="103">
        <f t="shared" si="282"/>
        <v>13157.77999999997</v>
      </c>
      <c r="P747" s="103">
        <f t="shared" si="282"/>
        <v>0</v>
      </c>
      <c r="Q747" s="103">
        <f t="shared" si="283"/>
        <v>13157.77999999997</v>
      </c>
      <c r="S747" s="267" t="str">
        <f t="shared" si="278"/>
        <v/>
      </c>
      <c r="T747" s="267">
        <f t="shared" si="278"/>
        <v>0.97357747846211207</v>
      </c>
      <c r="U747" s="267" t="str">
        <f t="shared" si="278"/>
        <v/>
      </c>
      <c r="V747" s="267">
        <f t="shared" si="278"/>
        <v>0.97357747846211207</v>
      </c>
      <c r="W747" s="530"/>
      <c r="X747" s="236"/>
      <c r="Y747" s="236"/>
      <c r="Z747" s="236"/>
    </row>
    <row r="748" spans="1:26" ht="12" customHeight="1">
      <c r="A748" s="548" t="s">
        <v>196</v>
      </c>
      <c r="B748" s="548" t="s">
        <v>197</v>
      </c>
      <c r="C748" s="456"/>
      <c r="D748" s="775"/>
      <c r="E748" s="453" t="s">
        <v>50</v>
      </c>
      <c r="F748" s="103">
        <f>+F749+F750</f>
        <v>0</v>
      </c>
      <c r="G748" s="103">
        <f>+G749+G750</f>
        <v>33020253.929999996</v>
      </c>
      <c r="H748" s="103">
        <f>+H749+H750</f>
        <v>86219296.060000002</v>
      </c>
      <c r="I748" s="103">
        <f t="shared" si="280"/>
        <v>119239549.98999999</v>
      </c>
      <c r="J748" s="103">
        <f>+J749+J750</f>
        <v>0</v>
      </c>
      <c r="K748" s="103">
        <f>+K749+K750</f>
        <v>24782703.369999997</v>
      </c>
      <c r="L748" s="103">
        <f>+L749+L750</f>
        <v>38548009.080000006</v>
      </c>
      <c r="M748" s="103">
        <f t="shared" si="281"/>
        <v>63330712.450000003</v>
      </c>
      <c r="N748" s="103">
        <f t="shared" si="282"/>
        <v>0</v>
      </c>
      <c r="O748" s="103">
        <f t="shared" si="282"/>
        <v>8237550.5599999987</v>
      </c>
      <c r="P748" s="103">
        <f t="shared" si="282"/>
        <v>47671286.979999997</v>
      </c>
      <c r="Q748" s="103">
        <f t="shared" si="283"/>
        <v>55908837.539999992</v>
      </c>
      <c r="S748" s="267" t="str">
        <f t="shared" si="278"/>
        <v/>
      </c>
      <c r="T748" s="267">
        <f t="shared" si="278"/>
        <v>0.7505303691042815</v>
      </c>
      <c r="U748" s="267">
        <f t="shared" si="278"/>
        <v>0.44709259807890855</v>
      </c>
      <c r="V748" s="267">
        <f t="shared" si="278"/>
        <v>0.53112169959808819</v>
      </c>
      <c r="W748" s="530"/>
      <c r="X748" s="236"/>
      <c r="Y748" s="236" t="s">
        <v>688</v>
      </c>
      <c r="Z748" s="236"/>
    </row>
    <row r="749" spans="1:26" ht="12" hidden="1" customHeight="1">
      <c r="A749" s="548" t="s">
        <v>196</v>
      </c>
      <c r="B749" s="548" t="s">
        <v>197</v>
      </c>
      <c r="C749" s="458" t="s">
        <v>715</v>
      </c>
      <c r="D749" s="550" t="s">
        <v>715</v>
      </c>
      <c r="E749" s="447" t="s">
        <v>715</v>
      </c>
      <c r="F749" s="104">
        <f>'[3]CONAP - W INC'!F566</f>
        <v>0</v>
      </c>
      <c r="G749" s="104">
        <f>'[3]CONAP - W INC'!G566</f>
        <v>-2715517.2</v>
      </c>
      <c r="H749" s="104">
        <f>'[3]CONAP - W INC'!H566</f>
        <v>2630900</v>
      </c>
      <c r="I749" s="103">
        <f t="shared" si="280"/>
        <v>-84617.200000000186</v>
      </c>
      <c r="J749" s="104">
        <f>'[3]CONAP - W INC'!J566</f>
        <v>0</v>
      </c>
      <c r="K749" s="104">
        <f>'[3]CONAP - W INC'!K566</f>
        <v>0</v>
      </c>
      <c r="L749" s="104">
        <f>'[3]CONAP - W INC'!L566</f>
        <v>0</v>
      </c>
      <c r="M749" s="103">
        <f t="shared" si="281"/>
        <v>0</v>
      </c>
      <c r="N749" s="103">
        <f t="shared" si="282"/>
        <v>0</v>
      </c>
      <c r="O749" s="103">
        <f t="shared" si="282"/>
        <v>-2715517.2</v>
      </c>
      <c r="P749" s="103">
        <f t="shared" si="282"/>
        <v>2630900</v>
      </c>
      <c r="Q749" s="103">
        <f t="shared" si="283"/>
        <v>-84617.200000000186</v>
      </c>
      <c r="S749" s="267" t="str">
        <f t="shared" si="278"/>
        <v/>
      </c>
      <c r="T749" s="267">
        <f t="shared" si="278"/>
        <v>0</v>
      </c>
      <c r="U749" s="267">
        <f t="shared" si="278"/>
        <v>0</v>
      </c>
      <c r="V749" s="267">
        <f t="shared" si="278"/>
        <v>0</v>
      </c>
      <c r="W749" s="530"/>
      <c r="X749" s="236"/>
      <c r="Y749" s="236"/>
      <c r="Z749" s="236"/>
    </row>
    <row r="750" spans="1:26" ht="12" hidden="1" customHeight="1">
      <c r="A750" s="548" t="s">
        <v>196</v>
      </c>
      <c r="B750" s="548" t="s">
        <v>197</v>
      </c>
      <c r="C750" s="458" t="s">
        <v>716</v>
      </c>
      <c r="D750" s="550" t="s">
        <v>716</v>
      </c>
      <c r="E750" s="459" t="s">
        <v>716</v>
      </c>
      <c r="F750" s="104">
        <f>'[3]CONAP - W INC'!F567</f>
        <v>0</v>
      </c>
      <c r="G750" s="104">
        <f>'[3]CONAP - W INC'!G567</f>
        <v>35735771.129999995</v>
      </c>
      <c r="H750" s="104">
        <f>'[3]CONAP - W INC'!H567</f>
        <v>83588396.060000002</v>
      </c>
      <c r="I750" s="103">
        <f t="shared" si="280"/>
        <v>119324167.19</v>
      </c>
      <c r="J750" s="104">
        <f>'[3]CONAP - W INC'!J567</f>
        <v>0</v>
      </c>
      <c r="K750" s="104">
        <f>'[3]CONAP - W INC'!K567</f>
        <v>24782703.369999997</v>
      </c>
      <c r="L750" s="104">
        <f>'[3]CONAP - W INC'!L567</f>
        <v>38548009.080000006</v>
      </c>
      <c r="M750" s="103">
        <f t="shared" si="281"/>
        <v>63330712.450000003</v>
      </c>
      <c r="N750" s="103">
        <f t="shared" si="282"/>
        <v>0</v>
      </c>
      <c r="O750" s="103">
        <f t="shared" si="282"/>
        <v>10953067.759999998</v>
      </c>
      <c r="P750" s="103">
        <f t="shared" si="282"/>
        <v>45040386.979999997</v>
      </c>
      <c r="Q750" s="103">
        <f t="shared" si="283"/>
        <v>55993454.739999995</v>
      </c>
      <c r="S750" s="267" t="str">
        <f t="shared" si="278"/>
        <v/>
      </c>
      <c r="T750" s="267">
        <f t="shared" si="278"/>
        <v>0.69349849146518194</v>
      </c>
      <c r="U750" s="267">
        <f t="shared" si="278"/>
        <v>0.4611645981618086</v>
      </c>
      <c r="V750" s="267">
        <f t="shared" si="278"/>
        <v>0.53074506146905209</v>
      </c>
      <c r="W750" s="530"/>
      <c r="X750" s="236"/>
      <c r="Y750" s="236"/>
      <c r="Z750" s="236"/>
    </row>
    <row r="751" spans="1:26" s="256" customFormat="1" ht="12" hidden="1" customHeight="1">
      <c r="A751" s="548"/>
      <c r="B751" s="548" t="s">
        <v>197</v>
      </c>
      <c r="C751" s="460"/>
      <c r="D751" s="551"/>
      <c r="E751" s="390" t="s">
        <v>767</v>
      </c>
      <c r="F751" s="391">
        <f>+F748+F744</f>
        <v>0</v>
      </c>
      <c r="G751" s="391">
        <f t="shared" ref="G751:Q751" si="288">+G748+G744</f>
        <v>34078826.809999995</v>
      </c>
      <c r="H751" s="391">
        <f t="shared" si="288"/>
        <v>86219296.060000002</v>
      </c>
      <c r="I751" s="391">
        <f t="shared" si="288"/>
        <v>120298122.86999999</v>
      </c>
      <c r="J751" s="391">
        <f t="shared" si="288"/>
        <v>0</v>
      </c>
      <c r="K751" s="391">
        <f t="shared" si="288"/>
        <v>25828088.199999996</v>
      </c>
      <c r="L751" s="391">
        <f t="shared" si="288"/>
        <v>38548009.080000006</v>
      </c>
      <c r="M751" s="391">
        <f t="shared" si="288"/>
        <v>64376097.280000001</v>
      </c>
      <c r="N751" s="391">
        <f t="shared" si="288"/>
        <v>0</v>
      </c>
      <c r="O751" s="391">
        <f t="shared" si="288"/>
        <v>8250738.6099999985</v>
      </c>
      <c r="P751" s="391">
        <f t="shared" si="288"/>
        <v>47671286.979999997</v>
      </c>
      <c r="Q751" s="391">
        <f t="shared" si="288"/>
        <v>55922025.589999989</v>
      </c>
      <c r="R751" s="761"/>
      <c r="S751" s="267" t="str">
        <f t="shared" si="278"/>
        <v/>
      </c>
      <c r="T751" s="267">
        <f t="shared" si="278"/>
        <v>0.7578925279323605</v>
      </c>
      <c r="U751" s="267">
        <f t="shared" si="278"/>
        <v>0.44709259807890855</v>
      </c>
      <c r="V751" s="267">
        <f t="shared" si="278"/>
        <v>0.53513800335494799</v>
      </c>
      <c r="W751" s="532"/>
      <c r="Y751" s="236"/>
      <c r="Z751" s="240" t="s">
        <v>598</v>
      </c>
    </row>
    <row r="752" spans="1:26" ht="12" hidden="1" customHeight="1">
      <c r="A752" s="548"/>
      <c r="B752" s="548"/>
      <c r="C752" s="456"/>
      <c r="D752" s="549"/>
      <c r="E752" s="461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S752" s="267" t="str">
        <f t="shared" si="278"/>
        <v/>
      </c>
      <c r="T752" s="267" t="str">
        <f t="shared" si="278"/>
        <v/>
      </c>
      <c r="U752" s="267" t="str">
        <f t="shared" si="278"/>
        <v/>
      </c>
      <c r="V752" s="267" t="str">
        <f t="shared" si="278"/>
        <v/>
      </c>
      <c r="W752" s="530"/>
      <c r="X752" s="236"/>
      <c r="Y752" s="236"/>
      <c r="Z752" s="236"/>
    </row>
    <row r="753" spans="1:26" s="256" customFormat="1" ht="12" hidden="1" customHeight="1">
      <c r="A753" s="548" t="s">
        <v>196</v>
      </c>
      <c r="B753" s="548" t="s">
        <v>197</v>
      </c>
      <c r="C753" s="460"/>
      <c r="D753" s="551" t="s">
        <v>98</v>
      </c>
      <c r="E753" s="390" t="s">
        <v>100</v>
      </c>
      <c r="F753" s="391">
        <f>SUM(F754:F754)</f>
        <v>0</v>
      </c>
      <c r="G753" s="391">
        <f>SUM(G754:G754)</f>
        <v>0</v>
      </c>
      <c r="H753" s="391">
        <f>SUM(H754:H754)</f>
        <v>0</v>
      </c>
      <c r="I753" s="391">
        <f>+F753+G753+H753</f>
        <v>0</v>
      </c>
      <c r="J753" s="391">
        <f>SUM(J754:J754)</f>
        <v>0</v>
      </c>
      <c r="K753" s="391">
        <f>SUM(K754:K754)</f>
        <v>0</v>
      </c>
      <c r="L753" s="391">
        <f>SUM(L754:L754)</f>
        <v>0</v>
      </c>
      <c r="M753" s="391">
        <f>+J753+K753+L753</f>
        <v>0</v>
      </c>
      <c r="N753" s="391">
        <f t="shared" ref="N753:P754" si="289">+F753-J753</f>
        <v>0</v>
      </c>
      <c r="O753" s="391">
        <f t="shared" si="289"/>
        <v>0</v>
      </c>
      <c r="P753" s="391">
        <f t="shared" si="289"/>
        <v>0</v>
      </c>
      <c r="Q753" s="391">
        <f>+N753+O753+P753</f>
        <v>0</v>
      </c>
      <c r="R753" s="761"/>
      <c r="S753" s="267" t="str">
        <f t="shared" si="278"/>
        <v/>
      </c>
      <c r="T753" s="267" t="str">
        <f t="shared" si="278"/>
        <v/>
      </c>
      <c r="U753" s="267" t="str">
        <f t="shared" si="278"/>
        <v/>
      </c>
      <c r="V753" s="267" t="str">
        <f t="shared" si="278"/>
        <v/>
      </c>
      <c r="W753" s="532"/>
      <c r="Y753" s="236"/>
      <c r="Z753" s="240" t="s">
        <v>598</v>
      </c>
    </row>
    <row r="754" spans="1:26" ht="12" hidden="1" customHeight="1">
      <c r="A754" s="548" t="s">
        <v>196</v>
      </c>
      <c r="B754" s="548" t="s">
        <v>197</v>
      </c>
      <c r="C754" s="456"/>
      <c r="D754" s="549"/>
      <c r="E754" s="462" t="s">
        <v>290</v>
      </c>
      <c r="F754" s="103">
        <v>0</v>
      </c>
      <c r="G754" s="103">
        <f>SUM('[3]chd9-SAOB'!BX222)</f>
        <v>0</v>
      </c>
      <c r="H754" s="103">
        <f>SUM('[3]chd9-SAOB'!BX314)</f>
        <v>0</v>
      </c>
      <c r="I754" s="103">
        <f>+F754+G754+H754</f>
        <v>0</v>
      </c>
      <c r="J754" s="103">
        <v>0</v>
      </c>
      <c r="K754" s="103">
        <f>SUM('[3]chd9-SAOB'!BX223)</f>
        <v>0</v>
      </c>
      <c r="L754" s="103">
        <f>SUM('[3]chd9-SAOB'!BX315)</f>
        <v>0</v>
      </c>
      <c r="M754" s="103">
        <f>+J754+K754+L754</f>
        <v>0</v>
      </c>
      <c r="N754" s="103">
        <f t="shared" si="289"/>
        <v>0</v>
      </c>
      <c r="O754" s="103">
        <f t="shared" si="289"/>
        <v>0</v>
      </c>
      <c r="P754" s="103">
        <f t="shared" si="289"/>
        <v>0</v>
      </c>
      <c r="Q754" s="103">
        <f>+N754+O754+P754</f>
        <v>0</v>
      </c>
      <c r="S754" s="267" t="str">
        <f t="shared" si="278"/>
        <v/>
      </c>
      <c r="T754" s="267" t="str">
        <f t="shared" si="278"/>
        <v/>
      </c>
      <c r="U754" s="267" t="str">
        <f t="shared" si="278"/>
        <v/>
      </c>
      <c r="V754" s="267" t="str">
        <f t="shared" si="278"/>
        <v/>
      </c>
      <c r="W754" s="530"/>
      <c r="X754" s="236"/>
      <c r="Y754" s="236"/>
      <c r="Z754" s="236"/>
    </row>
    <row r="755" spans="1:26" s="259" customFormat="1" ht="12" customHeight="1">
      <c r="A755" s="315" t="s">
        <v>196</v>
      </c>
      <c r="B755" s="315" t="s">
        <v>197</v>
      </c>
      <c r="C755" s="1477" t="s">
        <v>314</v>
      </c>
      <c r="D755" s="1478"/>
      <c r="E755" s="1479"/>
      <c r="F755" s="652">
        <f>+F751+F753</f>
        <v>0</v>
      </c>
      <c r="G755" s="652">
        <f t="shared" ref="G755:Q755" si="290">+G751+G753</f>
        <v>34078826.809999995</v>
      </c>
      <c r="H755" s="652">
        <f t="shared" si="290"/>
        <v>86219296.060000002</v>
      </c>
      <c r="I755" s="652">
        <f t="shared" si="290"/>
        <v>120298122.86999999</v>
      </c>
      <c r="J755" s="652">
        <f t="shared" si="290"/>
        <v>0</v>
      </c>
      <c r="K755" s="652">
        <f t="shared" si="290"/>
        <v>25828088.199999996</v>
      </c>
      <c r="L755" s="652">
        <f t="shared" si="290"/>
        <v>38548009.080000006</v>
      </c>
      <c r="M755" s="652">
        <f t="shared" si="290"/>
        <v>64376097.280000001</v>
      </c>
      <c r="N755" s="652">
        <f t="shared" si="290"/>
        <v>0</v>
      </c>
      <c r="O755" s="652">
        <f t="shared" si="290"/>
        <v>8250738.6099999985</v>
      </c>
      <c r="P755" s="652">
        <f t="shared" si="290"/>
        <v>47671286.979999997</v>
      </c>
      <c r="Q755" s="652">
        <f t="shared" si="290"/>
        <v>55922025.589999989</v>
      </c>
      <c r="R755" s="1095">
        <f>+Q755-'[3]chd9-SAOB'!DP351</f>
        <v>0</v>
      </c>
      <c r="S755" s="524" t="str">
        <f t="shared" si="278"/>
        <v/>
      </c>
      <c r="T755" s="524">
        <f t="shared" si="278"/>
        <v>0.7578925279323605</v>
      </c>
      <c r="U755" s="524">
        <f t="shared" si="278"/>
        <v>0.44709259807890855</v>
      </c>
      <c r="V755" s="524">
        <f t="shared" si="278"/>
        <v>0.53513800335494799</v>
      </c>
      <c r="W755" s="344"/>
      <c r="X755" s="520"/>
      <c r="Y755" s="837" t="s">
        <v>598</v>
      </c>
      <c r="Z755" s="241" t="s">
        <v>598</v>
      </c>
    </row>
    <row r="756" spans="1:26" ht="12" customHeight="1">
      <c r="A756" s="315" t="s">
        <v>101</v>
      </c>
      <c r="B756" s="315" t="s">
        <v>197</v>
      </c>
      <c r="C756" s="456"/>
      <c r="D756" s="456"/>
      <c r="E756" s="46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S756" s="267" t="str">
        <f t="shared" si="278"/>
        <v/>
      </c>
      <c r="T756" s="267" t="str">
        <f t="shared" si="278"/>
        <v/>
      </c>
      <c r="U756" s="267" t="str">
        <f t="shared" si="278"/>
        <v/>
      </c>
      <c r="V756" s="267" t="str">
        <f t="shared" si="278"/>
        <v/>
      </c>
      <c r="W756" s="267"/>
      <c r="Y756" s="837" t="s">
        <v>598</v>
      </c>
      <c r="Z756" s="241" t="s">
        <v>598</v>
      </c>
    </row>
    <row r="757" spans="1:26" ht="12" customHeight="1">
      <c r="A757" s="315" t="s">
        <v>198</v>
      </c>
      <c r="B757" s="315" t="s">
        <v>199</v>
      </c>
      <c r="C757" s="1100" t="s">
        <v>200</v>
      </c>
      <c r="D757" s="456"/>
      <c r="E757" s="463"/>
      <c r="F757" s="103"/>
      <c r="G757" s="103"/>
      <c r="H757" s="103"/>
      <c r="I757" s="103">
        <f t="shared" si="280"/>
        <v>0</v>
      </c>
      <c r="J757" s="103"/>
      <c r="K757" s="103"/>
      <c r="L757" s="103"/>
      <c r="M757" s="103">
        <f t="shared" si="281"/>
        <v>0</v>
      </c>
      <c r="N757" s="103">
        <f t="shared" si="282"/>
        <v>0</v>
      </c>
      <c r="O757" s="103">
        <f t="shared" si="282"/>
        <v>0</v>
      </c>
      <c r="P757" s="103">
        <f t="shared" si="282"/>
        <v>0</v>
      </c>
      <c r="Q757" s="103">
        <f t="shared" si="283"/>
        <v>0</v>
      </c>
      <c r="S757" s="267" t="str">
        <f t="shared" si="278"/>
        <v/>
      </c>
      <c r="T757" s="267" t="str">
        <f t="shared" si="278"/>
        <v/>
      </c>
      <c r="U757" s="267" t="str">
        <f t="shared" si="278"/>
        <v/>
      </c>
      <c r="V757" s="267" t="str">
        <f t="shared" si="278"/>
        <v/>
      </c>
      <c r="W757" s="267"/>
      <c r="Y757" s="837" t="s">
        <v>598</v>
      </c>
      <c r="Z757" s="241" t="s">
        <v>598</v>
      </c>
    </row>
    <row r="758" spans="1:26" s="275" customFormat="1" ht="12" customHeight="1">
      <c r="A758" s="548" t="s">
        <v>198</v>
      </c>
      <c r="B758" s="548" t="s">
        <v>201</v>
      </c>
      <c r="C758" s="464" t="s">
        <v>98</v>
      </c>
      <c r="D758" s="552" t="s">
        <v>105</v>
      </c>
      <c r="E758" s="407" t="s">
        <v>828</v>
      </c>
      <c r="F758" s="468"/>
      <c r="G758" s="468"/>
      <c r="H758" s="468"/>
      <c r="I758" s="409">
        <f t="shared" si="280"/>
        <v>0</v>
      </c>
      <c r="J758" s="468"/>
      <c r="K758" s="468"/>
      <c r="L758" s="468"/>
      <c r="M758" s="409">
        <f t="shared" si="281"/>
        <v>0</v>
      </c>
      <c r="N758" s="409">
        <f t="shared" si="282"/>
        <v>0</v>
      </c>
      <c r="O758" s="409">
        <f t="shared" si="282"/>
        <v>0</v>
      </c>
      <c r="P758" s="409">
        <f t="shared" si="282"/>
        <v>0</v>
      </c>
      <c r="Q758" s="409">
        <f t="shared" si="283"/>
        <v>0</v>
      </c>
      <c r="R758" s="761"/>
      <c r="S758" s="267" t="str">
        <f t="shared" si="278"/>
        <v/>
      </c>
      <c r="T758" s="267" t="str">
        <f t="shared" si="278"/>
        <v/>
      </c>
      <c r="U758" s="267" t="str">
        <f t="shared" si="278"/>
        <v/>
      </c>
      <c r="V758" s="267" t="str">
        <f t="shared" si="278"/>
        <v/>
      </c>
      <c r="W758" s="553"/>
      <c r="Y758" s="236" t="s">
        <v>598</v>
      </c>
      <c r="Z758" s="240" t="s">
        <v>598</v>
      </c>
    </row>
    <row r="759" spans="1:26" ht="12" customHeight="1">
      <c r="A759" s="548" t="s">
        <v>198</v>
      </c>
      <c r="B759" s="548" t="s">
        <v>201</v>
      </c>
      <c r="C759" s="447" t="s">
        <v>766</v>
      </c>
      <c r="D759" s="775"/>
      <c r="E759" s="447" t="s">
        <v>766</v>
      </c>
      <c r="F759" s="104">
        <f>+'[3]chd9-SAOB'!C469</f>
        <v>0</v>
      </c>
      <c r="G759" s="104">
        <f>+'[3]chd9-SAOB'!D469</f>
        <v>340.51999999582767</v>
      </c>
      <c r="H759" s="104">
        <f>+'[3]chd9-SAOB'!E469</f>
        <v>0</v>
      </c>
      <c r="I759" s="103">
        <f t="shared" si="280"/>
        <v>340.51999999582767</v>
      </c>
      <c r="J759" s="104">
        <f>+'[3]chd9-SAOB'!G469</f>
        <v>0</v>
      </c>
      <c r="K759" s="104">
        <f>+'[3]chd9-SAOB'!H469</f>
        <v>340.52</v>
      </c>
      <c r="L759" s="104">
        <f>+'[3]chd9-SAOB'!I469</f>
        <v>0</v>
      </c>
      <c r="M759" s="103">
        <f t="shared" si="281"/>
        <v>340.52</v>
      </c>
      <c r="N759" s="103">
        <f t="shared" si="282"/>
        <v>0</v>
      </c>
      <c r="O759" s="103">
        <f t="shared" si="282"/>
        <v>-4.1723069443833083E-9</v>
      </c>
      <c r="P759" s="103">
        <f t="shared" si="282"/>
        <v>0</v>
      </c>
      <c r="Q759" s="103">
        <f t="shared" si="283"/>
        <v>-4.1723069443833083E-9</v>
      </c>
      <c r="S759" s="267" t="str">
        <f t="shared" si="278"/>
        <v/>
      </c>
      <c r="T759" s="267">
        <f t="shared" si="278"/>
        <v>1.0000000000122526</v>
      </c>
      <c r="U759" s="267" t="str">
        <f t="shared" si="278"/>
        <v/>
      </c>
      <c r="V759" s="267">
        <f t="shared" si="278"/>
        <v>1.0000000000122526</v>
      </c>
      <c r="W759" s="530"/>
      <c r="X759" s="236"/>
      <c r="Y759" s="236" t="s">
        <v>688</v>
      </c>
      <c r="Z759" s="236"/>
    </row>
    <row r="760" spans="1:26" ht="12" customHeight="1">
      <c r="A760" s="548" t="s">
        <v>198</v>
      </c>
      <c r="B760" s="548" t="s">
        <v>201</v>
      </c>
      <c r="C760" s="456"/>
      <c r="D760" s="775"/>
      <c r="E760" s="453" t="s">
        <v>50</v>
      </c>
      <c r="F760" s="103">
        <f>+F761+F762</f>
        <v>0</v>
      </c>
      <c r="G760" s="103">
        <f>+G761+G762</f>
        <v>544713.50000000047</v>
      </c>
      <c r="H760" s="103">
        <f>+H761+H762</f>
        <v>0</v>
      </c>
      <c r="I760" s="103">
        <f t="shared" si="280"/>
        <v>544713.50000000047</v>
      </c>
      <c r="J760" s="103">
        <f>+J761+J762</f>
        <v>0</v>
      </c>
      <c r="K760" s="103">
        <f>+K761+K762</f>
        <v>251542.26</v>
      </c>
      <c r="L760" s="103">
        <f>+L761+L762</f>
        <v>0</v>
      </c>
      <c r="M760" s="103">
        <f t="shared" si="281"/>
        <v>251542.26</v>
      </c>
      <c r="N760" s="103">
        <f t="shared" si="282"/>
        <v>0</v>
      </c>
      <c r="O760" s="103">
        <f t="shared" si="282"/>
        <v>293171.24000000046</v>
      </c>
      <c r="P760" s="103">
        <f t="shared" si="282"/>
        <v>0</v>
      </c>
      <c r="Q760" s="103">
        <f t="shared" si="283"/>
        <v>293171.24000000046</v>
      </c>
      <c r="S760" s="267" t="str">
        <f t="shared" si="278"/>
        <v/>
      </c>
      <c r="T760" s="267">
        <f t="shared" si="278"/>
        <v>0.4617881877353871</v>
      </c>
      <c r="U760" s="267" t="str">
        <f t="shared" si="278"/>
        <v/>
      </c>
      <c r="V760" s="267">
        <f t="shared" si="278"/>
        <v>0.4617881877353871</v>
      </c>
      <c r="W760" s="530"/>
      <c r="X760" s="236"/>
      <c r="Y760" s="236" t="s">
        <v>688</v>
      </c>
      <c r="Z760" s="236"/>
    </row>
    <row r="761" spans="1:26" ht="12" hidden="1" customHeight="1">
      <c r="A761" s="548" t="s">
        <v>198</v>
      </c>
      <c r="B761" s="548" t="s">
        <v>201</v>
      </c>
      <c r="C761" s="458" t="s">
        <v>715</v>
      </c>
      <c r="D761" s="550" t="s">
        <v>715</v>
      </c>
      <c r="E761" s="447" t="s">
        <v>715</v>
      </c>
      <c r="F761" s="104">
        <f>'[3]CONAP - W INC'!F575</f>
        <v>0</v>
      </c>
      <c r="G761" s="104">
        <f>'[3]CONAP - W INC'!G575</f>
        <v>-2163146.4</v>
      </c>
      <c r="H761" s="104">
        <f>'[3]CONAP - W INC'!H575</f>
        <v>0</v>
      </c>
      <c r="I761" s="103">
        <f t="shared" si="280"/>
        <v>-2163146.4</v>
      </c>
      <c r="J761" s="104">
        <f>'[3]CONAP - W INC'!J575</f>
        <v>0</v>
      </c>
      <c r="K761" s="104">
        <f>'[3]CONAP - W INC'!K575</f>
        <v>0</v>
      </c>
      <c r="L761" s="104">
        <f>'[3]CONAP - W INC'!L575</f>
        <v>0</v>
      </c>
      <c r="M761" s="103">
        <f t="shared" si="281"/>
        <v>0</v>
      </c>
      <c r="N761" s="103">
        <f t="shared" si="282"/>
        <v>0</v>
      </c>
      <c r="O761" s="103">
        <f t="shared" si="282"/>
        <v>-2163146.4</v>
      </c>
      <c r="P761" s="103">
        <f t="shared" si="282"/>
        <v>0</v>
      </c>
      <c r="Q761" s="103">
        <f t="shared" si="283"/>
        <v>-2163146.4</v>
      </c>
      <c r="S761" s="267" t="str">
        <f t="shared" si="278"/>
        <v/>
      </c>
      <c r="T761" s="267">
        <f t="shared" si="278"/>
        <v>0</v>
      </c>
      <c r="U761" s="267" t="str">
        <f t="shared" si="278"/>
        <v/>
      </c>
      <c r="V761" s="267">
        <f t="shared" si="278"/>
        <v>0</v>
      </c>
      <c r="W761" s="530"/>
      <c r="X761" s="236"/>
      <c r="Y761" s="236"/>
      <c r="Z761" s="236"/>
    </row>
    <row r="762" spans="1:26" ht="12" hidden="1" customHeight="1">
      <c r="A762" s="548" t="s">
        <v>198</v>
      </c>
      <c r="B762" s="548" t="s">
        <v>201</v>
      </c>
      <c r="C762" s="458" t="s">
        <v>716</v>
      </c>
      <c r="D762" s="550" t="s">
        <v>716</v>
      </c>
      <c r="E762" s="459" t="s">
        <v>716</v>
      </c>
      <c r="F762" s="104">
        <f>'[3]CONAP - W INC'!F576</f>
        <v>0</v>
      </c>
      <c r="G762" s="104">
        <f>'[3]CONAP - W INC'!G576</f>
        <v>2707859.9000000004</v>
      </c>
      <c r="H762" s="104">
        <f>'[3]CONAP - W INC'!H576</f>
        <v>0</v>
      </c>
      <c r="I762" s="103">
        <f t="shared" si="280"/>
        <v>2707859.9000000004</v>
      </c>
      <c r="J762" s="104">
        <f>'[3]CONAP - W INC'!J576</f>
        <v>0</v>
      </c>
      <c r="K762" s="104">
        <f>'[3]CONAP - W INC'!K576</f>
        <v>251542.26</v>
      </c>
      <c r="L762" s="104">
        <f>'[3]CONAP - W INC'!L576</f>
        <v>0</v>
      </c>
      <c r="M762" s="103">
        <f t="shared" si="281"/>
        <v>251542.26</v>
      </c>
      <c r="N762" s="103">
        <f t="shared" si="282"/>
        <v>0</v>
      </c>
      <c r="O762" s="103">
        <f t="shared" si="282"/>
        <v>2456317.6400000006</v>
      </c>
      <c r="P762" s="103">
        <f t="shared" si="282"/>
        <v>0</v>
      </c>
      <c r="Q762" s="103">
        <f t="shared" si="283"/>
        <v>2456317.6400000006</v>
      </c>
      <c r="S762" s="267" t="str">
        <f t="shared" si="278"/>
        <v/>
      </c>
      <c r="T762" s="267">
        <f t="shared" si="278"/>
        <v>9.289338048840709E-2</v>
      </c>
      <c r="U762" s="267" t="str">
        <f t="shared" si="278"/>
        <v/>
      </c>
      <c r="V762" s="267">
        <f t="shared" si="278"/>
        <v>9.289338048840709E-2</v>
      </c>
      <c r="W762" s="530"/>
      <c r="X762" s="236"/>
      <c r="Y762" s="236"/>
      <c r="Z762" s="236"/>
    </row>
    <row r="763" spans="1:26" s="256" customFormat="1" ht="12" customHeight="1">
      <c r="A763" s="548"/>
      <c r="B763" s="548" t="s">
        <v>201</v>
      </c>
      <c r="C763" s="460"/>
      <c r="D763" s="551"/>
      <c r="E763" s="390" t="s">
        <v>767</v>
      </c>
      <c r="F763" s="391">
        <f>+F760+F759</f>
        <v>0</v>
      </c>
      <c r="G763" s="391">
        <f t="shared" ref="G763:Q763" si="291">+G760+G759</f>
        <v>545054.01999999629</v>
      </c>
      <c r="H763" s="391">
        <f t="shared" si="291"/>
        <v>0</v>
      </c>
      <c r="I763" s="391">
        <f t="shared" si="291"/>
        <v>545054.01999999629</v>
      </c>
      <c r="J763" s="391">
        <f t="shared" si="291"/>
        <v>0</v>
      </c>
      <c r="K763" s="391">
        <f t="shared" si="291"/>
        <v>251882.78</v>
      </c>
      <c r="L763" s="391">
        <f t="shared" si="291"/>
        <v>0</v>
      </c>
      <c r="M763" s="391">
        <f t="shared" si="291"/>
        <v>251882.78</v>
      </c>
      <c r="N763" s="391">
        <f t="shared" si="291"/>
        <v>0</v>
      </c>
      <c r="O763" s="391">
        <f t="shared" si="291"/>
        <v>293171.23999999627</v>
      </c>
      <c r="P763" s="391">
        <f t="shared" si="291"/>
        <v>0</v>
      </c>
      <c r="Q763" s="391">
        <f t="shared" si="291"/>
        <v>293171.23999999627</v>
      </c>
      <c r="R763" s="761"/>
      <c r="S763" s="267" t="str">
        <f t="shared" si="278"/>
        <v/>
      </c>
      <c r="T763" s="267">
        <f t="shared" si="278"/>
        <v>0.46212443309747853</v>
      </c>
      <c r="U763" s="267" t="str">
        <f t="shared" si="278"/>
        <v/>
      </c>
      <c r="V763" s="267">
        <f t="shared" si="278"/>
        <v>0.46212443309747853</v>
      </c>
      <c r="W763" s="532"/>
      <c r="Y763" s="236" t="s">
        <v>598</v>
      </c>
      <c r="Z763" s="240" t="s">
        <v>598</v>
      </c>
    </row>
    <row r="764" spans="1:26" ht="12" hidden="1" customHeight="1">
      <c r="A764" s="548"/>
      <c r="B764" s="548"/>
      <c r="C764" s="456"/>
      <c r="D764" s="549"/>
      <c r="E764" s="461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S764" s="267" t="str">
        <f t="shared" si="278"/>
        <v/>
      </c>
      <c r="T764" s="267" t="str">
        <f t="shared" si="278"/>
        <v/>
      </c>
      <c r="U764" s="267" t="str">
        <f t="shared" si="278"/>
        <v/>
      </c>
      <c r="V764" s="267" t="str">
        <f t="shared" si="278"/>
        <v/>
      </c>
      <c r="W764" s="530"/>
      <c r="X764" s="236"/>
      <c r="Y764" s="236"/>
      <c r="Z764" s="236"/>
    </row>
    <row r="765" spans="1:26" s="256" customFormat="1" ht="12" customHeight="1">
      <c r="A765" s="548" t="s">
        <v>198</v>
      </c>
      <c r="B765" s="548" t="s">
        <v>201</v>
      </c>
      <c r="C765" s="460"/>
      <c r="D765" s="551" t="s">
        <v>98</v>
      </c>
      <c r="E765" s="390" t="s">
        <v>100</v>
      </c>
      <c r="F765" s="391">
        <f>SUM(F766:F766)</f>
        <v>0</v>
      </c>
      <c r="G765" s="391">
        <f>SUM(G766:G766)</f>
        <v>22645802.329999998</v>
      </c>
      <c r="H765" s="391">
        <f>SUM(H766:H766)</f>
        <v>2000000</v>
      </c>
      <c r="I765" s="391">
        <f>+F765+G765+H765</f>
        <v>24645802.329999998</v>
      </c>
      <c r="J765" s="391">
        <f>SUM(J766:J766)</f>
        <v>0</v>
      </c>
      <c r="K765" s="391">
        <f>SUM(K766:K766)</f>
        <v>19030149.310000002</v>
      </c>
      <c r="L765" s="391">
        <f>SUM(L766:L766)</f>
        <v>1594000</v>
      </c>
      <c r="M765" s="391">
        <f>+J765+K765+L765</f>
        <v>20624149.310000002</v>
      </c>
      <c r="N765" s="391">
        <f t="shared" ref="N765:P766" si="292">+F765-J765</f>
        <v>0</v>
      </c>
      <c r="O765" s="391">
        <f t="shared" si="292"/>
        <v>3615653.0199999958</v>
      </c>
      <c r="P765" s="391">
        <f t="shared" si="292"/>
        <v>406000</v>
      </c>
      <c r="Q765" s="391">
        <f>+N765+O765+P765</f>
        <v>4021653.0199999958</v>
      </c>
      <c r="R765" s="761"/>
      <c r="S765" s="267" t="str">
        <f t="shared" si="278"/>
        <v/>
      </c>
      <c r="T765" s="267">
        <f t="shared" si="278"/>
        <v>0.84033893048646091</v>
      </c>
      <c r="U765" s="267">
        <f t="shared" si="278"/>
        <v>0.79700000000000004</v>
      </c>
      <c r="V765" s="267">
        <f t="shared" si="278"/>
        <v>0.83682198833897747</v>
      </c>
      <c r="W765" s="532"/>
      <c r="Y765" s="236" t="s">
        <v>598</v>
      </c>
      <c r="Z765" s="240" t="s">
        <v>598</v>
      </c>
    </row>
    <row r="766" spans="1:26" ht="12" customHeight="1">
      <c r="A766" s="548" t="s">
        <v>198</v>
      </c>
      <c r="B766" s="548" t="s">
        <v>201</v>
      </c>
      <c r="C766" s="456"/>
      <c r="D766" s="549"/>
      <c r="E766" s="462" t="s">
        <v>290</v>
      </c>
      <c r="F766" s="103">
        <v>0</v>
      </c>
      <c r="G766" s="103">
        <f>SUM('[3]chd9-SAOB'!BY222)</f>
        <v>22645802.329999998</v>
      </c>
      <c r="H766" s="103">
        <f>SUM('[3]chd9-SAOB'!BY314)</f>
        <v>2000000</v>
      </c>
      <c r="I766" s="103">
        <f>+F766+G766+H766</f>
        <v>24645802.329999998</v>
      </c>
      <c r="J766" s="103">
        <v>0</v>
      </c>
      <c r="K766" s="103">
        <f>SUM('[3]chd9-SAOB'!BY223)</f>
        <v>19030149.310000002</v>
      </c>
      <c r="L766" s="103">
        <f>SUM('[3]chd9-SAOB'!BY315)</f>
        <v>1594000</v>
      </c>
      <c r="M766" s="103">
        <f>+J766+K766+L766</f>
        <v>20624149.310000002</v>
      </c>
      <c r="N766" s="103">
        <f t="shared" si="292"/>
        <v>0</v>
      </c>
      <c r="O766" s="103">
        <f t="shared" si="292"/>
        <v>3615653.0199999958</v>
      </c>
      <c r="P766" s="103">
        <f t="shared" si="292"/>
        <v>406000</v>
      </c>
      <c r="Q766" s="103">
        <f>+N766+O766+P766</f>
        <v>4021653.0199999958</v>
      </c>
      <c r="S766" s="267" t="str">
        <f t="shared" si="278"/>
        <v/>
      </c>
      <c r="T766" s="267">
        <f t="shared" si="278"/>
        <v>0.84033893048646091</v>
      </c>
      <c r="U766" s="267">
        <f t="shared" si="278"/>
        <v>0.79700000000000004</v>
      </c>
      <c r="V766" s="267">
        <f t="shared" si="278"/>
        <v>0.83682198833897747</v>
      </c>
      <c r="W766" s="530"/>
      <c r="X766" s="236"/>
      <c r="Y766" s="236" t="s">
        <v>598</v>
      </c>
      <c r="Z766" s="236"/>
    </row>
    <row r="767" spans="1:26" s="259" customFormat="1" ht="12" customHeight="1">
      <c r="A767" s="315" t="s">
        <v>198</v>
      </c>
      <c r="B767" s="315" t="s">
        <v>201</v>
      </c>
      <c r="C767" s="1096"/>
      <c r="D767" s="466"/>
      <c r="E767" s="1097" t="s">
        <v>4</v>
      </c>
      <c r="F767" s="652">
        <f>+F765+F763</f>
        <v>0</v>
      </c>
      <c r="G767" s="652">
        <f t="shared" ref="G767:Q767" si="293">+G765+G763</f>
        <v>23190856.349999994</v>
      </c>
      <c r="H767" s="652">
        <f t="shared" si="293"/>
        <v>2000000</v>
      </c>
      <c r="I767" s="652">
        <f t="shared" si="293"/>
        <v>25190856.349999994</v>
      </c>
      <c r="J767" s="652">
        <f t="shared" si="293"/>
        <v>0</v>
      </c>
      <c r="K767" s="652">
        <f t="shared" si="293"/>
        <v>19282032.090000004</v>
      </c>
      <c r="L767" s="652">
        <f t="shared" si="293"/>
        <v>1594000</v>
      </c>
      <c r="M767" s="652">
        <f t="shared" si="293"/>
        <v>20876032.090000004</v>
      </c>
      <c r="N767" s="652">
        <f t="shared" si="293"/>
        <v>0</v>
      </c>
      <c r="O767" s="652">
        <f t="shared" si="293"/>
        <v>3908824.2599999923</v>
      </c>
      <c r="P767" s="652">
        <f t="shared" si="293"/>
        <v>406000</v>
      </c>
      <c r="Q767" s="652">
        <f t="shared" si="293"/>
        <v>4314824.2599999923</v>
      </c>
      <c r="R767" s="1095">
        <f>+Q767-'[3]chd9-SAOB'!DQ351</f>
        <v>0</v>
      </c>
      <c r="S767" s="524" t="str">
        <f t="shared" si="278"/>
        <v/>
      </c>
      <c r="T767" s="524">
        <f t="shared" si="278"/>
        <v>0.83144976619201083</v>
      </c>
      <c r="U767" s="524">
        <f t="shared" si="278"/>
        <v>0.79700000000000004</v>
      </c>
      <c r="V767" s="524">
        <f t="shared" si="278"/>
        <v>0.82871466535118443</v>
      </c>
      <c r="W767" s="344"/>
      <c r="X767" s="520"/>
      <c r="Y767" s="837" t="s">
        <v>598</v>
      </c>
      <c r="Z767" s="241" t="s">
        <v>598</v>
      </c>
    </row>
    <row r="768" spans="1:26" ht="12" customHeight="1">
      <c r="A768" s="315" t="s">
        <v>198</v>
      </c>
      <c r="B768" s="315" t="s">
        <v>201</v>
      </c>
      <c r="C768" s="456"/>
      <c r="D768" s="456"/>
      <c r="E768" s="46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S768" s="267" t="str">
        <f t="shared" si="278"/>
        <v/>
      </c>
      <c r="T768" s="267" t="str">
        <f t="shared" si="278"/>
        <v/>
      </c>
      <c r="U768" s="267" t="str">
        <f t="shared" si="278"/>
        <v/>
      </c>
      <c r="V768" s="267" t="str">
        <f t="shared" si="278"/>
        <v/>
      </c>
      <c r="W768" s="267"/>
      <c r="Y768" s="837" t="s">
        <v>598</v>
      </c>
      <c r="Z768" s="241" t="s">
        <v>598</v>
      </c>
    </row>
    <row r="769" spans="1:26" s="275" customFormat="1" ht="12" customHeight="1">
      <c r="A769" s="548" t="s">
        <v>198</v>
      </c>
      <c r="B769" s="548" t="s">
        <v>203</v>
      </c>
      <c r="C769" s="464" t="s">
        <v>98</v>
      </c>
      <c r="D769" s="552" t="s">
        <v>107</v>
      </c>
      <c r="E769" s="407" t="s">
        <v>829</v>
      </c>
      <c r="F769" s="468"/>
      <c r="G769" s="468"/>
      <c r="H769" s="468"/>
      <c r="I769" s="409">
        <f t="shared" si="280"/>
        <v>0</v>
      </c>
      <c r="J769" s="468"/>
      <c r="K769" s="468"/>
      <c r="L769" s="468"/>
      <c r="M769" s="409">
        <f t="shared" si="281"/>
        <v>0</v>
      </c>
      <c r="N769" s="409">
        <f t="shared" si="282"/>
        <v>0</v>
      </c>
      <c r="O769" s="409">
        <f t="shared" si="282"/>
        <v>0</v>
      </c>
      <c r="P769" s="409">
        <f t="shared" si="282"/>
        <v>0</v>
      </c>
      <c r="Q769" s="409">
        <f t="shared" si="283"/>
        <v>0</v>
      </c>
      <c r="R769" s="761"/>
      <c r="S769" s="267" t="str">
        <f t="shared" si="278"/>
        <v/>
      </c>
      <c r="T769" s="267" t="str">
        <f t="shared" si="278"/>
        <v/>
      </c>
      <c r="U769" s="267" t="str">
        <f t="shared" si="278"/>
        <v/>
      </c>
      <c r="V769" s="267" t="str">
        <f t="shared" si="278"/>
        <v/>
      </c>
      <c r="W769" s="553"/>
      <c r="Y769" s="236" t="s">
        <v>598</v>
      </c>
      <c r="Z769" s="240" t="s">
        <v>598</v>
      </c>
    </row>
    <row r="770" spans="1:26" ht="12" customHeight="1">
      <c r="A770" s="548" t="s">
        <v>198</v>
      </c>
      <c r="B770" s="548" t="s">
        <v>203</v>
      </c>
      <c r="C770" s="447" t="s">
        <v>766</v>
      </c>
      <c r="D770" s="775"/>
      <c r="E770" s="447" t="s">
        <v>766</v>
      </c>
      <c r="F770" s="104">
        <f>+'[3]chd9-SAOB'!C476</f>
        <v>0</v>
      </c>
      <c r="G770" s="104">
        <f>+'[3]chd9-SAOB'!D476</f>
        <v>102.66000000201166</v>
      </c>
      <c r="H770" s="104">
        <f>+'[3]chd9-SAOB'!E476</f>
        <v>0</v>
      </c>
      <c r="I770" s="103">
        <f t="shared" si="280"/>
        <v>102.66000000201166</v>
      </c>
      <c r="J770" s="104">
        <f>+'[3]chd9-SAOB'!G476</f>
        <v>0</v>
      </c>
      <c r="K770" s="104">
        <f>+'[3]chd9-SAOB'!H476</f>
        <v>0</v>
      </c>
      <c r="L770" s="104">
        <f>+'[3]chd9-SAOB'!I476</f>
        <v>0</v>
      </c>
      <c r="M770" s="103">
        <f t="shared" si="281"/>
        <v>0</v>
      </c>
      <c r="N770" s="103">
        <f t="shared" si="282"/>
        <v>0</v>
      </c>
      <c r="O770" s="103">
        <f t="shared" si="282"/>
        <v>102.66000000201166</v>
      </c>
      <c r="P770" s="103">
        <f t="shared" si="282"/>
        <v>0</v>
      </c>
      <c r="Q770" s="103">
        <f t="shared" si="283"/>
        <v>102.66000000201166</v>
      </c>
      <c r="S770" s="267" t="str">
        <f t="shared" si="278"/>
        <v/>
      </c>
      <c r="T770" s="267">
        <f t="shared" si="278"/>
        <v>0</v>
      </c>
      <c r="U770" s="267" t="str">
        <f t="shared" si="278"/>
        <v/>
      </c>
      <c r="V770" s="267">
        <f t="shared" si="278"/>
        <v>0</v>
      </c>
      <c r="W770" s="530"/>
      <c r="X770" s="236"/>
      <c r="Y770" s="236" t="s">
        <v>688</v>
      </c>
      <c r="Z770" s="236"/>
    </row>
    <row r="771" spans="1:26" ht="12" customHeight="1">
      <c r="A771" s="548" t="s">
        <v>198</v>
      </c>
      <c r="B771" s="548" t="s">
        <v>203</v>
      </c>
      <c r="C771" s="456"/>
      <c r="D771" s="775"/>
      <c r="E771" s="453" t="s">
        <v>50</v>
      </c>
      <c r="F771" s="103">
        <f>+F772+F773</f>
        <v>0</v>
      </c>
      <c r="G771" s="103">
        <f>+G772+G773</f>
        <v>256408.2</v>
      </c>
      <c r="H771" s="103">
        <f>+H772+H773</f>
        <v>0</v>
      </c>
      <c r="I771" s="103">
        <f t="shared" si="280"/>
        <v>256408.2</v>
      </c>
      <c r="J771" s="103">
        <f>+J772+J773</f>
        <v>0</v>
      </c>
      <c r="K771" s="103">
        <f>+K772+K773</f>
        <v>180823.5</v>
      </c>
      <c r="L771" s="103">
        <f>+L772+L773</f>
        <v>0</v>
      </c>
      <c r="M771" s="103">
        <f t="shared" si="281"/>
        <v>180823.5</v>
      </c>
      <c r="N771" s="103">
        <f t="shared" si="282"/>
        <v>0</v>
      </c>
      <c r="O771" s="103">
        <f t="shared" si="282"/>
        <v>75584.700000000012</v>
      </c>
      <c r="P771" s="103">
        <f t="shared" si="282"/>
        <v>0</v>
      </c>
      <c r="Q771" s="103">
        <f t="shared" si="283"/>
        <v>75584.700000000012</v>
      </c>
      <c r="S771" s="267" t="str">
        <f t="shared" si="278"/>
        <v/>
      </c>
      <c r="T771" s="267">
        <f t="shared" si="278"/>
        <v>0.70521730584279285</v>
      </c>
      <c r="U771" s="267" t="str">
        <f t="shared" si="278"/>
        <v/>
      </c>
      <c r="V771" s="267">
        <f t="shared" si="278"/>
        <v>0.70521730584279285</v>
      </c>
      <c r="W771" s="530"/>
      <c r="X771" s="236"/>
      <c r="Y771" s="236" t="s">
        <v>688</v>
      </c>
      <c r="Z771" s="236"/>
    </row>
    <row r="772" spans="1:26" ht="12" hidden="1" customHeight="1">
      <c r="A772" s="548" t="s">
        <v>198</v>
      </c>
      <c r="B772" s="548" t="s">
        <v>203</v>
      </c>
      <c r="C772" s="458" t="s">
        <v>715</v>
      </c>
      <c r="D772" s="550" t="s">
        <v>715</v>
      </c>
      <c r="E772" s="447" t="s">
        <v>715</v>
      </c>
      <c r="F772" s="104">
        <f>'[3]CONAP - W INC'!F583</f>
        <v>0</v>
      </c>
      <c r="G772" s="104">
        <f>'[3]CONAP - W INC'!G583</f>
        <v>-158662.85999999999</v>
      </c>
      <c r="H772" s="104">
        <f>'[3]CONAP - W INC'!H583</f>
        <v>0</v>
      </c>
      <c r="I772" s="103">
        <f t="shared" si="280"/>
        <v>-158662.85999999999</v>
      </c>
      <c r="J772" s="104">
        <f>'[3]CONAP - W INC'!J583</f>
        <v>0</v>
      </c>
      <c r="K772" s="104">
        <f>'[3]CONAP - W INC'!K583</f>
        <v>0</v>
      </c>
      <c r="L772" s="104">
        <f>'[3]CONAP - W INC'!L583</f>
        <v>0</v>
      </c>
      <c r="M772" s="103">
        <f t="shared" si="281"/>
        <v>0</v>
      </c>
      <c r="N772" s="103">
        <f t="shared" si="282"/>
        <v>0</v>
      </c>
      <c r="O772" s="103">
        <f t="shared" si="282"/>
        <v>-158662.85999999999</v>
      </c>
      <c r="P772" s="103">
        <f t="shared" si="282"/>
        <v>0</v>
      </c>
      <c r="Q772" s="103">
        <f t="shared" si="283"/>
        <v>-158662.85999999999</v>
      </c>
      <c r="S772" s="267" t="str">
        <f t="shared" si="278"/>
        <v/>
      </c>
      <c r="T772" s="267">
        <f t="shared" si="278"/>
        <v>0</v>
      </c>
      <c r="U772" s="267" t="str">
        <f t="shared" si="278"/>
        <v/>
      </c>
      <c r="V772" s="267">
        <f t="shared" si="278"/>
        <v>0</v>
      </c>
      <c r="W772" s="530"/>
      <c r="X772" s="236"/>
      <c r="Y772" s="236"/>
      <c r="Z772" s="236"/>
    </row>
    <row r="773" spans="1:26" ht="12" hidden="1" customHeight="1">
      <c r="A773" s="548" t="s">
        <v>198</v>
      </c>
      <c r="B773" s="548" t="s">
        <v>203</v>
      </c>
      <c r="C773" s="458" t="s">
        <v>716</v>
      </c>
      <c r="D773" s="550" t="s">
        <v>716</v>
      </c>
      <c r="E773" s="459" t="s">
        <v>716</v>
      </c>
      <c r="F773" s="104">
        <f>'[3]CONAP - W INC'!F584</f>
        <v>0</v>
      </c>
      <c r="G773" s="104">
        <f>'[3]CONAP - W INC'!G584</f>
        <v>415071.06</v>
      </c>
      <c r="H773" s="104">
        <f>'[3]CONAP - W INC'!H584</f>
        <v>0</v>
      </c>
      <c r="I773" s="103">
        <f t="shared" si="280"/>
        <v>415071.06</v>
      </c>
      <c r="J773" s="104">
        <f>'[3]CONAP - W INC'!J584</f>
        <v>0</v>
      </c>
      <c r="K773" s="104">
        <f>'[3]CONAP - W INC'!K584</f>
        <v>180823.5</v>
      </c>
      <c r="L773" s="104">
        <f>'[3]CONAP - W INC'!L584</f>
        <v>0</v>
      </c>
      <c r="M773" s="103">
        <f t="shared" si="281"/>
        <v>180823.5</v>
      </c>
      <c r="N773" s="103">
        <f t="shared" si="282"/>
        <v>0</v>
      </c>
      <c r="O773" s="103">
        <f t="shared" si="282"/>
        <v>234247.56</v>
      </c>
      <c r="P773" s="103">
        <f t="shared" si="282"/>
        <v>0</v>
      </c>
      <c r="Q773" s="103">
        <f t="shared" si="283"/>
        <v>234247.56</v>
      </c>
      <c r="S773" s="267" t="str">
        <f t="shared" si="278"/>
        <v/>
      </c>
      <c r="T773" s="267">
        <f t="shared" si="278"/>
        <v>0.43564468214189639</v>
      </c>
      <c r="U773" s="267" t="str">
        <f t="shared" si="278"/>
        <v/>
      </c>
      <c r="V773" s="267">
        <f t="shared" si="278"/>
        <v>0.43564468214189639</v>
      </c>
      <c r="W773" s="530"/>
      <c r="X773" s="236"/>
      <c r="Y773" s="236"/>
      <c r="Z773" s="236"/>
    </row>
    <row r="774" spans="1:26" s="256" customFormat="1" ht="12" customHeight="1">
      <c r="A774" s="548"/>
      <c r="B774" s="548" t="s">
        <v>203</v>
      </c>
      <c r="C774" s="460"/>
      <c r="D774" s="551"/>
      <c r="E774" s="390" t="s">
        <v>767</v>
      </c>
      <c r="F774" s="391">
        <f>+F771+F770</f>
        <v>0</v>
      </c>
      <c r="G774" s="391">
        <f t="shared" ref="G774:Q774" si="294">+G771+G770</f>
        <v>256510.86000000202</v>
      </c>
      <c r="H774" s="391">
        <f t="shared" si="294"/>
        <v>0</v>
      </c>
      <c r="I774" s="391">
        <f t="shared" si="294"/>
        <v>256510.86000000202</v>
      </c>
      <c r="J774" s="391">
        <f t="shared" si="294"/>
        <v>0</v>
      </c>
      <c r="K774" s="391">
        <f t="shared" si="294"/>
        <v>180823.5</v>
      </c>
      <c r="L774" s="391">
        <f t="shared" si="294"/>
        <v>0</v>
      </c>
      <c r="M774" s="391">
        <f t="shared" si="294"/>
        <v>180823.5</v>
      </c>
      <c r="N774" s="391">
        <f t="shared" si="294"/>
        <v>0</v>
      </c>
      <c r="O774" s="391">
        <f t="shared" si="294"/>
        <v>75687.360000002023</v>
      </c>
      <c r="P774" s="391">
        <f t="shared" si="294"/>
        <v>0</v>
      </c>
      <c r="Q774" s="391">
        <f t="shared" si="294"/>
        <v>75687.360000002023</v>
      </c>
      <c r="R774" s="761"/>
      <c r="S774" s="267" t="str">
        <f t="shared" si="278"/>
        <v/>
      </c>
      <c r="T774" s="267">
        <f t="shared" si="278"/>
        <v>0.7049350659071455</v>
      </c>
      <c r="U774" s="267" t="str">
        <f t="shared" si="278"/>
        <v/>
      </c>
      <c r="V774" s="267">
        <f t="shared" si="278"/>
        <v>0.7049350659071455</v>
      </c>
      <c r="W774" s="532"/>
      <c r="Y774" s="236" t="s">
        <v>598</v>
      </c>
      <c r="Z774" s="240" t="s">
        <v>598</v>
      </c>
    </row>
    <row r="775" spans="1:26" ht="12" hidden="1" customHeight="1">
      <c r="A775" s="548"/>
      <c r="B775" s="548"/>
      <c r="C775" s="456"/>
      <c r="D775" s="549"/>
      <c r="E775" s="461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S775" s="267" t="str">
        <f t="shared" si="278"/>
        <v/>
      </c>
      <c r="T775" s="267" t="str">
        <f t="shared" si="278"/>
        <v/>
      </c>
      <c r="U775" s="267" t="str">
        <f t="shared" si="278"/>
        <v/>
      </c>
      <c r="V775" s="267" t="str">
        <f t="shared" si="278"/>
        <v/>
      </c>
      <c r="W775" s="530"/>
      <c r="X775" s="236"/>
      <c r="Y775" s="236"/>
      <c r="Z775" s="236"/>
    </row>
    <row r="776" spans="1:26" s="256" customFormat="1" ht="12" customHeight="1">
      <c r="A776" s="548" t="s">
        <v>198</v>
      </c>
      <c r="B776" s="548" t="s">
        <v>203</v>
      </c>
      <c r="C776" s="460"/>
      <c r="D776" s="551" t="s">
        <v>98</v>
      </c>
      <c r="E776" s="390" t="s">
        <v>100</v>
      </c>
      <c r="F776" s="391">
        <f>SUM(F777:F777)</f>
        <v>0</v>
      </c>
      <c r="G776" s="391">
        <f>SUM(G777:G777)</f>
        <v>0</v>
      </c>
      <c r="H776" s="391">
        <f>SUM(H777:H777)</f>
        <v>0</v>
      </c>
      <c r="I776" s="391">
        <f>+F776+G776+H776</f>
        <v>0</v>
      </c>
      <c r="J776" s="391">
        <f>SUM(J777:J777)</f>
        <v>0</v>
      </c>
      <c r="K776" s="391">
        <f>SUM(K777:K777)</f>
        <v>0</v>
      </c>
      <c r="L776" s="391">
        <f>SUM(L777:L777)</f>
        <v>0</v>
      </c>
      <c r="M776" s="391">
        <f>+J776+K776+L776</f>
        <v>0</v>
      </c>
      <c r="N776" s="391">
        <f t="shared" ref="N776:P777" si="295">+F776-J776</f>
        <v>0</v>
      </c>
      <c r="O776" s="391">
        <f t="shared" si="295"/>
        <v>0</v>
      </c>
      <c r="P776" s="391">
        <f t="shared" si="295"/>
        <v>0</v>
      </c>
      <c r="Q776" s="391">
        <f>+N776+O776+P776</f>
        <v>0</v>
      </c>
      <c r="R776" s="761"/>
      <c r="S776" s="267" t="str">
        <f t="shared" si="278"/>
        <v/>
      </c>
      <c r="T776" s="267" t="str">
        <f t="shared" si="278"/>
        <v/>
      </c>
      <c r="U776" s="267" t="str">
        <f t="shared" si="278"/>
        <v/>
      </c>
      <c r="V776" s="267" t="str">
        <f t="shared" si="278"/>
        <v/>
      </c>
      <c r="W776" s="532"/>
      <c r="Y776" s="236" t="s">
        <v>598</v>
      </c>
      <c r="Z776" s="240" t="s">
        <v>598</v>
      </c>
    </row>
    <row r="777" spans="1:26" ht="12" customHeight="1">
      <c r="A777" s="548" t="s">
        <v>198</v>
      </c>
      <c r="B777" s="548" t="s">
        <v>203</v>
      </c>
      <c r="C777" s="456"/>
      <c r="D777" s="549"/>
      <c r="E777" s="462" t="s">
        <v>290</v>
      </c>
      <c r="F777" s="103">
        <v>0</v>
      </c>
      <c r="G777" s="103">
        <f>SUM('[3]chd9-SAOB'!BZ222)</f>
        <v>0</v>
      </c>
      <c r="H777" s="103">
        <f>SUM('[3]chd9-SAOB'!BZ314)</f>
        <v>0</v>
      </c>
      <c r="I777" s="103">
        <f>+F777+G777+H777</f>
        <v>0</v>
      </c>
      <c r="J777" s="103">
        <v>0</v>
      </c>
      <c r="K777" s="103">
        <f>SUM('[3]chd9-SAOB'!BZ223)</f>
        <v>0</v>
      </c>
      <c r="L777" s="103">
        <f>SUM('[3]chd9-SAOB'!BZ315)</f>
        <v>0</v>
      </c>
      <c r="M777" s="103">
        <f>+J777+K777+L777</f>
        <v>0</v>
      </c>
      <c r="N777" s="103">
        <f t="shared" si="295"/>
        <v>0</v>
      </c>
      <c r="O777" s="103">
        <f t="shared" si="295"/>
        <v>0</v>
      </c>
      <c r="P777" s="103">
        <f t="shared" si="295"/>
        <v>0</v>
      </c>
      <c r="Q777" s="103">
        <f>+N777+O777+P777</f>
        <v>0</v>
      </c>
      <c r="S777" s="267" t="str">
        <f t="shared" si="278"/>
        <v/>
      </c>
      <c r="T777" s="267" t="str">
        <f t="shared" si="278"/>
        <v/>
      </c>
      <c r="U777" s="267" t="str">
        <f t="shared" si="278"/>
        <v/>
      </c>
      <c r="V777" s="267" t="str">
        <f t="shared" si="278"/>
        <v/>
      </c>
      <c r="W777" s="530"/>
      <c r="X777" s="236"/>
      <c r="Y777" s="236" t="s">
        <v>598</v>
      </c>
      <c r="Z777" s="236"/>
    </row>
    <row r="778" spans="1:26" s="259" customFormat="1" ht="12" customHeight="1">
      <c r="A778" s="315" t="s">
        <v>198</v>
      </c>
      <c r="B778" s="315" t="s">
        <v>203</v>
      </c>
      <c r="C778" s="1096"/>
      <c r="D778" s="466"/>
      <c r="E778" s="1097" t="s">
        <v>4</v>
      </c>
      <c r="F778" s="652">
        <f>+F776+F774</f>
        <v>0</v>
      </c>
      <c r="G778" s="652">
        <f t="shared" ref="G778:Q778" si="296">+G776+G774</f>
        <v>256510.86000000202</v>
      </c>
      <c r="H778" s="652">
        <f t="shared" si="296"/>
        <v>0</v>
      </c>
      <c r="I778" s="652">
        <f t="shared" si="296"/>
        <v>256510.86000000202</v>
      </c>
      <c r="J778" s="652">
        <f t="shared" si="296"/>
        <v>0</v>
      </c>
      <c r="K778" s="652">
        <f t="shared" si="296"/>
        <v>180823.5</v>
      </c>
      <c r="L778" s="652">
        <f t="shared" si="296"/>
        <v>0</v>
      </c>
      <c r="M778" s="652">
        <f t="shared" si="296"/>
        <v>180823.5</v>
      </c>
      <c r="N778" s="652">
        <f t="shared" si="296"/>
        <v>0</v>
      </c>
      <c r="O778" s="652">
        <f t="shared" si="296"/>
        <v>75687.360000002023</v>
      </c>
      <c r="P778" s="652">
        <f t="shared" si="296"/>
        <v>0</v>
      </c>
      <c r="Q778" s="652">
        <f t="shared" si="296"/>
        <v>75687.360000002023</v>
      </c>
      <c r="R778" s="1095">
        <f>+Q778-'[3]chd9-SAOB'!DR351</f>
        <v>0</v>
      </c>
      <c r="S778" s="524" t="str">
        <f t="shared" si="278"/>
        <v/>
      </c>
      <c r="T778" s="524">
        <f t="shared" si="278"/>
        <v>0.7049350659071455</v>
      </c>
      <c r="U778" s="524" t="str">
        <f t="shared" si="278"/>
        <v/>
      </c>
      <c r="V778" s="524">
        <f t="shared" si="278"/>
        <v>0.7049350659071455</v>
      </c>
      <c r="W778" s="344"/>
      <c r="X778" s="520"/>
      <c r="Y778" s="837" t="s">
        <v>598</v>
      </c>
      <c r="Z778" s="241" t="s">
        <v>598</v>
      </c>
    </row>
    <row r="779" spans="1:26" ht="12" customHeight="1">
      <c r="A779" s="315" t="s">
        <v>198</v>
      </c>
      <c r="B779" s="315" t="s">
        <v>203</v>
      </c>
      <c r="C779" s="456"/>
      <c r="D779" s="456"/>
      <c r="E779" s="46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S779" s="267" t="str">
        <f t="shared" si="278"/>
        <v/>
      </c>
      <c r="T779" s="267" t="str">
        <f t="shared" si="278"/>
        <v/>
      </c>
      <c r="U779" s="267" t="str">
        <f t="shared" si="278"/>
        <v/>
      </c>
      <c r="V779" s="267" t="str">
        <f t="shared" si="278"/>
        <v/>
      </c>
      <c r="W779" s="267"/>
      <c r="Y779" s="837" t="s">
        <v>598</v>
      </c>
      <c r="Z779" s="241" t="s">
        <v>598</v>
      </c>
    </row>
    <row r="780" spans="1:26" s="275" customFormat="1" ht="12" customHeight="1">
      <c r="A780" s="548" t="s">
        <v>198</v>
      </c>
      <c r="B780" s="548" t="s">
        <v>204</v>
      </c>
      <c r="C780" s="464" t="s">
        <v>98</v>
      </c>
      <c r="D780" s="552" t="s">
        <v>109</v>
      </c>
      <c r="E780" s="407" t="s">
        <v>830</v>
      </c>
      <c r="F780" s="468"/>
      <c r="G780" s="468"/>
      <c r="H780" s="468"/>
      <c r="I780" s="409">
        <f t="shared" si="280"/>
        <v>0</v>
      </c>
      <c r="J780" s="468"/>
      <c r="K780" s="468"/>
      <c r="L780" s="468"/>
      <c r="M780" s="409">
        <f t="shared" si="281"/>
        <v>0</v>
      </c>
      <c r="N780" s="409">
        <f t="shared" si="282"/>
        <v>0</v>
      </c>
      <c r="O780" s="409">
        <f t="shared" si="282"/>
        <v>0</v>
      </c>
      <c r="P780" s="409">
        <f t="shared" si="282"/>
        <v>0</v>
      </c>
      <c r="Q780" s="409">
        <f t="shared" si="283"/>
        <v>0</v>
      </c>
      <c r="R780" s="761"/>
      <c r="S780" s="267" t="str">
        <f t="shared" si="278"/>
        <v/>
      </c>
      <c r="T780" s="267" t="str">
        <f t="shared" si="278"/>
        <v/>
      </c>
      <c r="U780" s="267" t="str">
        <f t="shared" si="278"/>
        <v/>
      </c>
      <c r="V780" s="267" t="str">
        <f t="shared" si="278"/>
        <v/>
      </c>
      <c r="W780" s="553"/>
      <c r="Y780" s="236" t="s">
        <v>598</v>
      </c>
      <c r="Z780" s="240" t="s">
        <v>598</v>
      </c>
    </row>
    <row r="781" spans="1:26" ht="12" customHeight="1">
      <c r="A781" s="548" t="s">
        <v>198</v>
      </c>
      <c r="B781" s="548" t="s">
        <v>204</v>
      </c>
      <c r="C781" s="447" t="s">
        <v>766</v>
      </c>
      <c r="D781" s="775"/>
      <c r="E781" s="447" t="s">
        <v>766</v>
      </c>
      <c r="F781" s="104">
        <f>+'[3]chd9-SAOB'!C483</f>
        <v>0</v>
      </c>
      <c r="G781" s="104">
        <f>+'[3]chd9-SAOB'!D483</f>
        <v>0</v>
      </c>
      <c r="H781" s="104">
        <f>+'[3]chd9-SAOB'!E483</f>
        <v>0</v>
      </c>
      <c r="I781" s="103">
        <f t="shared" si="280"/>
        <v>0</v>
      </c>
      <c r="J781" s="104">
        <f>+'[3]chd9-SAOB'!G483</f>
        <v>0</v>
      </c>
      <c r="K781" s="104">
        <f>+'[3]chd9-SAOB'!H483</f>
        <v>0</v>
      </c>
      <c r="L781" s="104">
        <f>+'[3]chd9-SAOB'!I483</f>
        <v>0</v>
      </c>
      <c r="M781" s="103">
        <f t="shared" si="281"/>
        <v>0</v>
      </c>
      <c r="N781" s="103">
        <f t="shared" si="282"/>
        <v>0</v>
      </c>
      <c r="O781" s="103">
        <f t="shared" si="282"/>
        <v>0</v>
      </c>
      <c r="P781" s="103">
        <f t="shared" si="282"/>
        <v>0</v>
      </c>
      <c r="Q781" s="103">
        <f t="shared" si="283"/>
        <v>0</v>
      </c>
      <c r="S781" s="267" t="str">
        <f t="shared" si="278"/>
        <v/>
      </c>
      <c r="T781" s="267" t="str">
        <f t="shared" si="278"/>
        <v/>
      </c>
      <c r="U781" s="267" t="str">
        <f t="shared" si="278"/>
        <v/>
      </c>
      <c r="V781" s="267" t="str">
        <f t="shared" si="278"/>
        <v/>
      </c>
      <c r="W781" s="530"/>
      <c r="X781" s="236"/>
      <c r="Y781" s="236" t="s">
        <v>688</v>
      </c>
      <c r="Z781" s="236"/>
    </row>
    <row r="782" spans="1:26" ht="12" customHeight="1">
      <c r="A782" s="548" t="s">
        <v>198</v>
      </c>
      <c r="B782" s="548" t="s">
        <v>204</v>
      </c>
      <c r="C782" s="456"/>
      <c r="D782" s="549"/>
      <c r="E782" s="453" t="s">
        <v>50</v>
      </c>
      <c r="F782" s="103">
        <f>+F783+F784</f>
        <v>0</v>
      </c>
      <c r="G782" s="103">
        <f>+G783+G784</f>
        <v>23897.47</v>
      </c>
      <c r="H782" s="103">
        <f>+H783+H784</f>
        <v>0</v>
      </c>
      <c r="I782" s="103">
        <f t="shared" si="280"/>
        <v>23897.47</v>
      </c>
      <c r="J782" s="103">
        <f>+J783+J784</f>
        <v>0</v>
      </c>
      <c r="K782" s="103">
        <f>+K783+K784</f>
        <v>8450</v>
      </c>
      <c r="L782" s="103">
        <f>+L783+L784</f>
        <v>0</v>
      </c>
      <c r="M782" s="103">
        <f t="shared" si="281"/>
        <v>8450</v>
      </c>
      <c r="N782" s="103">
        <f t="shared" si="282"/>
        <v>0</v>
      </c>
      <c r="O782" s="103">
        <f t="shared" si="282"/>
        <v>15447.470000000001</v>
      </c>
      <c r="P782" s="103">
        <f t="shared" si="282"/>
        <v>0</v>
      </c>
      <c r="Q782" s="103">
        <f t="shared" si="283"/>
        <v>15447.470000000001</v>
      </c>
      <c r="S782" s="267" t="str">
        <f t="shared" si="278"/>
        <v/>
      </c>
      <c r="T782" s="267">
        <f t="shared" si="278"/>
        <v>0.35359391600868206</v>
      </c>
      <c r="U782" s="267" t="str">
        <f t="shared" si="278"/>
        <v/>
      </c>
      <c r="V782" s="267">
        <f t="shared" si="278"/>
        <v>0.35359391600868206</v>
      </c>
      <c r="W782" s="530"/>
      <c r="X782" s="236"/>
      <c r="Y782" s="236" t="s">
        <v>688</v>
      </c>
      <c r="Z782" s="236"/>
    </row>
    <row r="783" spans="1:26" ht="12" hidden="1" customHeight="1">
      <c r="A783" s="548" t="s">
        <v>198</v>
      </c>
      <c r="B783" s="548" t="s">
        <v>204</v>
      </c>
      <c r="C783" s="458" t="s">
        <v>715</v>
      </c>
      <c r="D783" s="550" t="s">
        <v>715</v>
      </c>
      <c r="E783" s="447" t="s">
        <v>715</v>
      </c>
      <c r="F783" s="104">
        <f>'[3]CONAP - W INC'!F591</f>
        <v>0</v>
      </c>
      <c r="G783" s="104">
        <f>'[3]CONAP - W INC'!G591</f>
        <v>0</v>
      </c>
      <c r="H783" s="104">
        <f>'[3]CONAP - W INC'!H591</f>
        <v>0</v>
      </c>
      <c r="I783" s="103">
        <f t="shared" si="280"/>
        <v>0</v>
      </c>
      <c r="J783" s="104">
        <f>'[3]CONAP - W INC'!J591</f>
        <v>0</v>
      </c>
      <c r="K783" s="104">
        <f>'[3]CONAP - W INC'!K591</f>
        <v>0</v>
      </c>
      <c r="L783" s="104">
        <f>'[3]CONAP - W INC'!L591</f>
        <v>0</v>
      </c>
      <c r="M783" s="103">
        <f t="shared" si="281"/>
        <v>0</v>
      </c>
      <c r="N783" s="103">
        <f t="shared" si="282"/>
        <v>0</v>
      </c>
      <c r="O783" s="103">
        <f t="shared" si="282"/>
        <v>0</v>
      </c>
      <c r="P783" s="103">
        <f t="shared" si="282"/>
        <v>0</v>
      </c>
      <c r="Q783" s="103">
        <f t="shared" si="283"/>
        <v>0</v>
      </c>
      <c r="S783" s="267" t="str">
        <f t="shared" si="278"/>
        <v/>
      </c>
      <c r="T783" s="267" t="str">
        <f t="shared" si="278"/>
        <v/>
      </c>
      <c r="U783" s="267" t="str">
        <f t="shared" si="278"/>
        <v/>
      </c>
      <c r="V783" s="267" t="str">
        <f t="shared" si="278"/>
        <v/>
      </c>
      <c r="W783" s="530"/>
      <c r="X783" s="236"/>
      <c r="Y783" s="236"/>
      <c r="Z783" s="236"/>
    </row>
    <row r="784" spans="1:26" ht="12" hidden="1" customHeight="1">
      <c r="A784" s="548" t="s">
        <v>198</v>
      </c>
      <c r="B784" s="548" t="s">
        <v>204</v>
      </c>
      <c r="C784" s="458" t="s">
        <v>716</v>
      </c>
      <c r="D784" s="550" t="s">
        <v>716</v>
      </c>
      <c r="E784" s="459" t="s">
        <v>716</v>
      </c>
      <c r="F784" s="104">
        <f>'[3]CONAP - W INC'!F592</f>
        <v>0</v>
      </c>
      <c r="G784" s="104">
        <f>'[3]CONAP - W INC'!G592</f>
        <v>23897.47</v>
      </c>
      <c r="H784" s="104">
        <f>'[3]CONAP - W INC'!H592</f>
        <v>0</v>
      </c>
      <c r="I784" s="103">
        <f t="shared" si="280"/>
        <v>23897.47</v>
      </c>
      <c r="J784" s="104">
        <f>'[3]CONAP - W INC'!J592</f>
        <v>0</v>
      </c>
      <c r="K784" s="104">
        <f>'[3]CONAP - W INC'!K592</f>
        <v>8450</v>
      </c>
      <c r="L784" s="104">
        <f>'[3]CONAP - W INC'!L592</f>
        <v>0</v>
      </c>
      <c r="M784" s="103">
        <f t="shared" si="281"/>
        <v>8450</v>
      </c>
      <c r="N784" s="103">
        <f t="shared" si="282"/>
        <v>0</v>
      </c>
      <c r="O784" s="103">
        <f t="shared" si="282"/>
        <v>15447.470000000001</v>
      </c>
      <c r="P784" s="103">
        <f t="shared" si="282"/>
        <v>0</v>
      </c>
      <c r="Q784" s="103">
        <f t="shared" si="283"/>
        <v>15447.470000000001</v>
      </c>
      <c r="S784" s="267" t="str">
        <f t="shared" si="278"/>
        <v/>
      </c>
      <c r="T784" s="267">
        <f t="shared" si="278"/>
        <v>0.35359391600868206</v>
      </c>
      <c r="U784" s="267" t="str">
        <f t="shared" si="278"/>
        <v/>
      </c>
      <c r="V784" s="267">
        <f t="shared" si="278"/>
        <v>0.35359391600868206</v>
      </c>
      <c r="W784" s="530"/>
      <c r="X784" s="236"/>
      <c r="Y784" s="236"/>
      <c r="Z784" s="236"/>
    </row>
    <row r="785" spans="1:26" s="256" customFormat="1" ht="12" customHeight="1">
      <c r="A785" s="548"/>
      <c r="B785" s="548" t="s">
        <v>204</v>
      </c>
      <c r="C785" s="460"/>
      <c r="D785" s="551"/>
      <c r="E785" s="390" t="s">
        <v>767</v>
      </c>
      <c r="F785" s="391">
        <f>+F782+F781</f>
        <v>0</v>
      </c>
      <c r="G785" s="391">
        <f t="shared" ref="G785:Q785" si="297">+G782+G781</f>
        <v>23897.47</v>
      </c>
      <c r="H785" s="391">
        <f t="shared" si="297"/>
        <v>0</v>
      </c>
      <c r="I785" s="391">
        <f t="shared" si="297"/>
        <v>23897.47</v>
      </c>
      <c r="J785" s="391">
        <f t="shared" si="297"/>
        <v>0</v>
      </c>
      <c r="K785" s="391">
        <f t="shared" si="297"/>
        <v>8450</v>
      </c>
      <c r="L785" s="391">
        <f t="shared" si="297"/>
        <v>0</v>
      </c>
      <c r="M785" s="391">
        <f t="shared" si="297"/>
        <v>8450</v>
      </c>
      <c r="N785" s="391">
        <f t="shared" si="297"/>
        <v>0</v>
      </c>
      <c r="O785" s="391">
        <f t="shared" si="297"/>
        <v>15447.470000000001</v>
      </c>
      <c r="P785" s="391">
        <f t="shared" si="297"/>
        <v>0</v>
      </c>
      <c r="Q785" s="391">
        <f t="shared" si="297"/>
        <v>15447.470000000001</v>
      </c>
      <c r="R785" s="761"/>
      <c r="S785" s="267" t="str">
        <f t="shared" si="278"/>
        <v/>
      </c>
      <c r="T785" s="267">
        <f t="shared" si="278"/>
        <v>0.35359391600868206</v>
      </c>
      <c r="U785" s="267" t="str">
        <f t="shared" si="278"/>
        <v/>
      </c>
      <c r="V785" s="267">
        <f t="shared" si="278"/>
        <v>0.35359391600868206</v>
      </c>
      <c r="W785" s="532"/>
      <c r="Y785" s="236" t="s">
        <v>598</v>
      </c>
      <c r="Z785" s="240" t="s">
        <v>598</v>
      </c>
    </row>
    <row r="786" spans="1:26" ht="12" hidden="1" customHeight="1">
      <c r="A786" s="548"/>
      <c r="B786" s="548"/>
      <c r="C786" s="456"/>
      <c r="D786" s="549"/>
      <c r="E786" s="461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S786" s="267" t="str">
        <f t="shared" si="278"/>
        <v/>
      </c>
      <c r="T786" s="267" t="str">
        <f t="shared" si="278"/>
        <v/>
      </c>
      <c r="U786" s="267" t="str">
        <f t="shared" si="278"/>
        <v/>
      </c>
      <c r="V786" s="267" t="str">
        <f t="shared" si="278"/>
        <v/>
      </c>
      <c r="W786" s="530"/>
      <c r="X786" s="236"/>
      <c r="Y786" s="236"/>
      <c r="Z786" s="236"/>
    </row>
    <row r="787" spans="1:26" s="256" customFormat="1" ht="12" customHeight="1">
      <c r="A787" s="548" t="s">
        <v>198</v>
      </c>
      <c r="B787" s="548" t="s">
        <v>204</v>
      </c>
      <c r="C787" s="460"/>
      <c r="D787" s="551" t="s">
        <v>98</v>
      </c>
      <c r="E787" s="390" t="s">
        <v>100</v>
      </c>
      <c r="F787" s="391">
        <f>SUM(F788:F788)</f>
        <v>0</v>
      </c>
      <c r="G787" s="391">
        <f>SUM(G788:G788)</f>
        <v>0</v>
      </c>
      <c r="H787" s="391">
        <f>SUM(H788:H788)</f>
        <v>0</v>
      </c>
      <c r="I787" s="391">
        <f>+F787+G787+H787</f>
        <v>0</v>
      </c>
      <c r="J787" s="391">
        <f>SUM(J788:J788)</f>
        <v>0</v>
      </c>
      <c r="K787" s="391">
        <f>SUM(K788:K788)</f>
        <v>0</v>
      </c>
      <c r="L787" s="391">
        <f>SUM(L788:L788)</f>
        <v>0</v>
      </c>
      <c r="M787" s="391">
        <f>+J787+K787+L787</f>
        <v>0</v>
      </c>
      <c r="N787" s="391">
        <f t="shared" ref="N787:P788" si="298">+F787-J787</f>
        <v>0</v>
      </c>
      <c r="O787" s="391">
        <f t="shared" si="298"/>
        <v>0</v>
      </c>
      <c r="P787" s="391">
        <f t="shared" si="298"/>
        <v>0</v>
      </c>
      <c r="Q787" s="391">
        <f>+N787+O787+P787</f>
        <v>0</v>
      </c>
      <c r="R787" s="761"/>
      <c r="S787" s="267" t="str">
        <f t="shared" si="278"/>
        <v/>
      </c>
      <c r="T787" s="267" t="str">
        <f t="shared" si="278"/>
        <v/>
      </c>
      <c r="U787" s="267" t="str">
        <f t="shared" si="278"/>
        <v/>
      </c>
      <c r="V787" s="267" t="str">
        <f t="shared" si="278"/>
        <v/>
      </c>
      <c r="W787" s="532"/>
      <c r="Y787" s="236" t="s">
        <v>598</v>
      </c>
      <c r="Z787" s="240" t="s">
        <v>598</v>
      </c>
    </row>
    <row r="788" spans="1:26" ht="12" customHeight="1">
      <c r="A788" s="548" t="s">
        <v>198</v>
      </c>
      <c r="B788" s="548" t="s">
        <v>204</v>
      </c>
      <c r="C788" s="456"/>
      <c r="D788" s="549"/>
      <c r="E788" s="462" t="s">
        <v>290</v>
      </c>
      <c r="F788" s="103">
        <v>0</v>
      </c>
      <c r="G788" s="103">
        <f>SUM('[3]chd9-SAOB'!CA222)</f>
        <v>0</v>
      </c>
      <c r="H788" s="103">
        <f>SUM('[3]chd9-SAOB'!CA314)</f>
        <v>0</v>
      </c>
      <c r="I788" s="103">
        <f>+F788+G788+H788</f>
        <v>0</v>
      </c>
      <c r="J788" s="103">
        <v>0</v>
      </c>
      <c r="K788" s="103">
        <f>SUM('[3]chd9-SAOB'!CA223)</f>
        <v>0</v>
      </c>
      <c r="L788" s="103">
        <f>SUM('[3]chd9-SAOB'!CA315)</f>
        <v>0</v>
      </c>
      <c r="M788" s="103">
        <f>+J788+K788+L788</f>
        <v>0</v>
      </c>
      <c r="N788" s="103">
        <f t="shared" si="298"/>
        <v>0</v>
      </c>
      <c r="O788" s="103">
        <f t="shared" si="298"/>
        <v>0</v>
      </c>
      <c r="P788" s="103">
        <f t="shared" si="298"/>
        <v>0</v>
      </c>
      <c r="Q788" s="103">
        <f>+N788+O788+P788</f>
        <v>0</v>
      </c>
      <c r="S788" s="267" t="str">
        <f t="shared" si="278"/>
        <v/>
      </c>
      <c r="T788" s="267" t="str">
        <f t="shared" si="278"/>
        <v/>
      </c>
      <c r="U788" s="267" t="str">
        <f t="shared" si="278"/>
        <v/>
      </c>
      <c r="V788" s="267" t="str">
        <f t="shared" si="278"/>
        <v/>
      </c>
      <c r="W788" s="530"/>
      <c r="X788" s="236"/>
      <c r="Y788" s="236" t="s">
        <v>598</v>
      </c>
      <c r="Z788" s="236"/>
    </row>
    <row r="789" spans="1:26" s="259" customFormat="1" ht="12" customHeight="1">
      <c r="A789" s="315" t="s">
        <v>198</v>
      </c>
      <c r="B789" s="315" t="s">
        <v>204</v>
      </c>
      <c r="C789" s="1096"/>
      <c r="D789" s="466"/>
      <c r="E789" s="1097" t="s">
        <v>4</v>
      </c>
      <c r="F789" s="652">
        <f>+F787+F785</f>
        <v>0</v>
      </c>
      <c r="G789" s="652">
        <f t="shared" ref="G789:Q789" si="299">+G787+G785</f>
        <v>23897.47</v>
      </c>
      <c r="H789" s="652">
        <f t="shared" si="299"/>
        <v>0</v>
      </c>
      <c r="I789" s="652">
        <f t="shared" si="299"/>
        <v>23897.47</v>
      </c>
      <c r="J789" s="652">
        <f t="shared" si="299"/>
        <v>0</v>
      </c>
      <c r="K789" s="652">
        <f t="shared" si="299"/>
        <v>8450</v>
      </c>
      <c r="L789" s="652">
        <f t="shared" si="299"/>
        <v>0</v>
      </c>
      <c r="M789" s="652">
        <f t="shared" si="299"/>
        <v>8450</v>
      </c>
      <c r="N789" s="652">
        <f t="shared" si="299"/>
        <v>0</v>
      </c>
      <c r="O789" s="652">
        <f t="shared" si="299"/>
        <v>15447.470000000001</v>
      </c>
      <c r="P789" s="652">
        <f t="shared" si="299"/>
        <v>0</v>
      </c>
      <c r="Q789" s="652">
        <f t="shared" si="299"/>
        <v>15447.470000000001</v>
      </c>
      <c r="R789" s="1095">
        <f>+Q789-'[3]chd9-SAOB'!DS351</f>
        <v>0</v>
      </c>
      <c r="S789" s="524" t="str">
        <f t="shared" si="278"/>
        <v/>
      </c>
      <c r="T789" s="524">
        <f t="shared" si="278"/>
        <v>0.35359391600868206</v>
      </c>
      <c r="U789" s="524" t="str">
        <f t="shared" si="278"/>
        <v/>
      </c>
      <c r="V789" s="524">
        <f t="shared" si="278"/>
        <v>0.35359391600868206</v>
      </c>
      <c r="W789" s="344"/>
      <c r="X789" s="520"/>
      <c r="Y789" s="837" t="s">
        <v>598</v>
      </c>
      <c r="Z789" s="241" t="s">
        <v>598</v>
      </c>
    </row>
    <row r="790" spans="1:26" ht="12" customHeight="1">
      <c r="A790" s="315" t="s">
        <v>198</v>
      </c>
      <c r="B790" s="315" t="s">
        <v>204</v>
      </c>
      <c r="C790" s="456"/>
      <c r="D790" s="456"/>
      <c r="E790" s="46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S790" s="267" t="str">
        <f t="shared" si="278"/>
        <v/>
      </c>
      <c r="T790" s="267" t="str">
        <f t="shared" si="278"/>
        <v/>
      </c>
      <c r="U790" s="267" t="str">
        <f t="shared" si="278"/>
        <v/>
      </c>
      <c r="V790" s="267" t="str">
        <f t="shared" si="278"/>
        <v/>
      </c>
      <c r="W790" s="267"/>
      <c r="Y790" s="837" t="s">
        <v>598</v>
      </c>
      <c r="Z790" s="241" t="s">
        <v>598</v>
      </c>
    </row>
    <row r="791" spans="1:26" s="275" customFormat="1" ht="12" customHeight="1">
      <c r="A791" s="548" t="s">
        <v>198</v>
      </c>
      <c r="B791" s="548" t="s">
        <v>205</v>
      </c>
      <c r="C791" s="464" t="s">
        <v>98</v>
      </c>
      <c r="D791" s="552" t="s">
        <v>111</v>
      </c>
      <c r="E791" s="407" t="s">
        <v>831</v>
      </c>
      <c r="F791" s="468"/>
      <c r="G791" s="468"/>
      <c r="H791" s="468"/>
      <c r="I791" s="409">
        <f t="shared" ref="I791:I845" si="300">+F791+G791+H791</f>
        <v>0</v>
      </c>
      <c r="J791" s="468"/>
      <c r="K791" s="468"/>
      <c r="L791" s="468"/>
      <c r="M791" s="409">
        <f t="shared" ref="M791:M845" si="301">+J791+K791+L791</f>
        <v>0</v>
      </c>
      <c r="N791" s="409">
        <f t="shared" ref="N791:P845" si="302">+F791-J791</f>
        <v>0</v>
      </c>
      <c r="O791" s="409">
        <f t="shared" si="302"/>
        <v>0</v>
      </c>
      <c r="P791" s="409">
        <f t="shared" si="302"/>
        <v>0</v>
      </c>
      <c r="Q791" s="409">
        <f t="shared" ref="Q791:Q845" si="303">+N791+O791+P791</f>
        <v>0</v>
      </c>
      <c r="R791" s="761"/>
      <c r="S791" s="267" t="str">
        <f t="shared" si="278"/>
        <v/>
      </c>
      <c r="T791" s="267" t="str">
        <f t="shared" si="278"/>
        <v/>
      </c>
      <c r="U791" s="267" t="str">
        <f t="shared" si="278"/>
        <v/>
      </c>
      <c r="V791" s="267" t="str">
        <f t="shared" ref="V791:V854" si="304">IF(I791=0,"",M791/I791)</f>
        <v/>
      </c>
      <c r="W791" s="553"/>
      <c r="Y791" s="236" t="s">
        <v>598</v>
      </c>
      <c r="Z791" s="240" t="s">
        <v>598</v>
      </c>
    </row>
    <row r="792" spans="1:26" ht="12" customHeight="1">
      <c r="A792" s="548" t="s">
        <v>198</v>
      </c>
      <c r="B792" s="548" t="s">
        <v>205</v>
      </c>
      <c r="C792" s="447" t="s">
        <v>766</v>
      </c>
      <c r="D792" s="549"/>
      <c r="E792" s="447" t="s">
        <v>766</v>
      </c>
      <c r="F792" s="104">
        <f>+'[3]chd9-SAOB'!C489</f>
        <v>0</v>
      </c>
      <c r="G792" s="104">
        <f>+'[3]chd9-SAOB'!D489</f>
        <v>0</v>
      </c>
      <c r="H792" s="104">
        <f>+'[3]chd9-SAOB'!E489</f>
        <v>0</v>
      </c>
      <c r="I792" s="103">
        <f t="shared" si="300"/>
        <v>0</v>
      </c>
      <c r="J792" s="104">
        <f>+'[3]chd9-SAOB'!G489</f>
        <v>0</v>
      </c>
      <c r="K792" s="104">
        <f>+'[3]chd9-SAOB'!H489</f>
        <v>0</v>
      </c>
      <c r="L792" s="104">
        <f>+'[3]chd9-SAOB'!I489</f>
        <v>0</v>
      </c>
      <c r="M792" s="103">
        <f t="shared" si="301"/>
        <v>0</v>
      </c>
      <c r="N792" s="103">
        <f t="shared" si="302"/>
        <v>0</v>
      </c>
      <c r="O792" s="103">
        <f t="shared" si="302"/>
        <v>0</v>
      </c>
      <c r="P792" s="103">
        <f t="shared" si="302"/>
        <v>0</v>
      </c>
      <c r="Q792" s="103">
        <f t="shared" si="303"/>
        <v>0</v>
      </c>
      <c r="S792" s="267" t="str">
        <f t="shared" ref="S792:V855" si="305">IF(F792=0,"",J792/F792)</f>
        <v/>
      </c>
      <c r="T792" s="267" t="str">
        <f t="shared" si="305"/>
        <v/>
      </c>
      <c r="U792" s="267" t="str">
        <f t="shared" si="305"/>
        <v/>
      </c>
      <c r="V792" s="267" t="str">
        <f t="shared" si="304"/>
        <v/>
      </c>
      <c r="W792" s="530"/>
      <c r="X792" s="236"/>
      <c r="Y792" s="236" t="s">
        <v>688</v>
      </c>
      <c r="Z792" s="236"/>
    </row>
    <row r="793" spans="1:26" ht="12" customHeight="1">
      <c r="A793" s="548" t="s">
        <v>198</v>
      </c>
      <c r="B793" s="548" t="s">
        <v>205</v>
      </c>
      <c r="C793" s="456"/>
      <c r="D793" s="549"/>
      <c r="E793" s="453" t="s">
        <v>50</v>
      </c>
      <c r="F793" s="103">
        <f>+F794+F795</f>
        <v>0</v>
      </c>
      <c r="G793" s="103">
        <f>+G794+G795</f>
        <v>60000.000000000015</v>
      </c>
      <c r="H793" s="103">
        <f>+H794+H795</f>
        <v>0</v>
      </c>
      <c r="I793" s="103">
        <f t="shared" si="300"/>
        <v>60000.000000000015</v>
      </c>
      <c r="J793" s="103">
        <f>+J794+J795</f>
        <v>0</v>
      </c>
      <c r="K793" s="103">
        <f>+K794+K795</f>
        <v>0</v>
      </c>
      <c r="L793" s="103">
        <f>+L794+L795</f>
        <v>0</v>
      </c>
      <c r="M793" s="103">
        <f t="shared" si="301"/>
        <v>0</v>
      </c>
      <c r="N793" s="103">
        <f t="shared" si="302"/>
        <v>0</v>
      </c>
      <c r="O793" s="103">
        <f t="shared" si="302"/>
        <v>60000.000000000015</v>
      </c>
      <c r="P793" s="103">
        <f t="shared" si="302"/>
        <v>0</v>
      </c>
      <c r="Q793" s="103">
        <f t="shared" si="303"/>
        <v>60000.000000000015</v>
      </c>
      <c r="S793" s="267" t="str">
        <f t="shared" si="305"/>
        <v/>
      </c>
      <c r="T793" s="267">
        <f t="shared" si="305"/>
        <v>0</v>
      </c>
      <c r="U793" s="267" t="str">
        <f t="shared" si="305"/>
        <v/>
      </c>
      <c r="V793" s="267">
        <f t="shared" si="304"/>
        <v>0</v>
      </c>
      <c r="W793" s="530"/>
      <c r="X793" s="236"/>
      <c r="Y793" s="236" t="s">
        <v>688</v>
      </c>
      <c r="Z793" s="236"/>
    </row>
    <row r="794" spans="1:26" ht="12" hidden="1" customHeight="1">
      <c r="A794" s="548" t="s">
        <v>198</v>
      </c>
      <c r="B794" s="548" t="s">
        <v>205</v>
      </c>
      <c r="C794" s="458" t="s">
        <v>715</v>
      </c>
      <c r="D794" s="550" t="s">
        <v>715</v>
      </c>
      <c r="E794" s="447" t="s">
        <v>715</v>
      </c>
      <c r="F794" s="104">
        <f>'[3]CONAP - W INC'!F599</f>
        <v>0</v>
      </c>
      <c r="G794" s="104">
        <f>'[3]CONAP - W INC'!G599</f>
        <v>-363.7</v>
      </c>
      <c r="H794" s="104">
        <f>'[3]CONAP - W INC'!H599</f>
        <v>0</v>
      </c>
      <c r="I794" s="103">
        <f t="shared" si="300"/>
        <v>-363.7</v>
      </c>
      <c r="J794" s="104">
        <f>'[3]CONAP - W INC'!J599</f>
        <v>0</v>
      </c>
      <c r="K794" s="104">
        <f>'[3]CONAP - W INC'!K599</f>
        <v>0</v>
      </c>
      <c r="L794" s="104">
        <f>'[3]CONAP - W INC'!L599</f>
        <v>0</v>
      </c>
      <c r="M794" s="103">
        <f t="shared" si="301"/>
        <v>0</v>
      </c>
      <c r="N794" s="103">
        <f t="shared" si="302"/>
        <v>0</v>
      </c>
      <c r="O794" s="103">
        <f t="shared" si="302"/>
        <v>-363.7</v>
      </c>
      <c r="P794" s="103">
        <f t="shared" si="302"/>
        <v>0</v>
      </c>
      <c r="Q794" s="103">
        <f t="shared" si="303"/>
        <v>-363.7</v>
      </c>
      <c r="S794" s="267" t="str">
        <f t="shared" si="305"/>
        <v/>
      </c>
      <c r="T794" s="267">
        <f t="shared" si="305"/>
        <v>0</v>
      </c>
      <c r="U794" s="267" t="str">
        <f t="shared" si="305"/>
        <v/>
      </c>
      <c r="V794" s="267">
        <f t="shared" si="304"/>
        <v>0</v>
      </c>
      <c r="W794" s="530"/>
      <c r="X794" s="236"/>
      <c r="Y794" s="236"/>
      <c r="Z794" s="236"/>
    </row>
    <row r="795" spans="1:26" ht="12" hidden="1" customHeight="1">
      <c r="A795" s="548" t="s">
        <v>198</v>
      </c>
      <c r="B795" s="548" t="s">
        <v>205</v>
      </c>
      <c r="C795" s="458" t="s">
        <v>716</v>
      </c>
      <c r="D795" s="550" t="s">
        <v>716</v>
      </c>
      <c r="E795" s="459" t="s">
        <v>716</v>
      </c>
      <c r="F795" s="104">
        <f>'[3]CONAP - W INC'!F600</f>
        <v>0</v>
      </c>
      <c r="G795" s="104">
        <f>'[3]CONAP - W INC'!G600</f>
        <v>60363.700000000012</v>
      </c>
      <c r="H795" s="104">
        <f>'[3]CONAP - W INC'!H600</f>
        <v>0</v>
      </c>
      <c r="I795" s="103">
        <f t="shared" si="300"/>
        <v>60363.700000000012</v>
      </c>
      <c r="J795" s="104">
        <f>'[3]CONAP - W INC'!J600</f>
        <v>0</v>
      </c>
      <c r="K795" s="104">
        <f>'[3]CONAP - W INC'!K600</f>
        <v>0</v>
      </c>
      <c r="L795" s="104">
        <f>'[3]CONAP - W INC'!L600</f>
        <v>0</v>
      </c>
      <c r="M795" s="103">
        <f t="shared" si="301"/>
        <v>0</v>
      </c>
      <c r="N795" s="103">
        <f t="shared" si="302"/>
        <v>0</v>
      </c>
      <c r="O795" s="103">
        <f t="shared" si="302"/>
        <v>60363.700000000012</v>
      </c>
      <c r="P795" s="103">
        <f t="shared" si="302"/>
        <v>0</v>
      </c>
      <c r="Q795" s="103">
        <f t="shared" si="303"/>
        <v>60363.700000000012</v>
      </c>
      <c r="S795" s="267" t="str">
        <f t="shared" si="305"/>
        <v/>
      </c>
      <c r="T795" s="267">
        <f t="shared" si="305"/>
        <v>0</v>
      </c>
      <c r="U795" s="267" t="str">
        <f t="shared" si="305"/>
        <v/>
      </c>
      <c r="V795" s="267">
        <f t="shared" si="304"/>
        <v>0</v>
      </c>
      <c r="W795" s="530"/>
      <c r="X795" s="236"/>
      <c r="Y795" s="236"/>
      <c r="Z795" s="236"/>
    </row>
    <row r="796" spans="1:26" s="256" customFormat="1" ht="12" customHeight="1">
      <c r="A796" s="548"/>
      <c r="B796" s="548" t="s">
        <v>205</v>
      </c>
      <c r="C796" s="460"/>
      <c r="D796" s="551"/>
      <c r="E796" s="390" t="s">
        <v>767</v>
      </c>
      <c r="F796" s="391">
        <f>+F793+F792</f>
        <v>0</v>
      </c>
      <c r="G796" s="391">
        <f t="shared" ref="G796:Q796" si="306">+G793+G792</f>
        <v>60000.000000000015</v>
      </c>
      <c r="H796" s="391">
        <f t="shared" si="306"/>
        <v>0</v>
      </c>
      <c r="I796" s="391">
        <f t="shared" si="306"/>
        <v>60000.000000000015</v>
      </c>
      <c r="J796" s="391">
        <f t="shared" si="306"/>
        <v>0</v>
      </c>
      <c r="K796" s="391">
        <f t="shared" si="306"/>
        <v>0</v>
      </c>
      <c r="L796" s="391">
        <f t="shared" si="306"/>
        <v>0</v>
      </c>
      <c r="M796" s="391">
        <f t="shared" si="306"/>
        <v>0</v>
      </c>
      <c r="N796" s="391">
        <f t="shared" si="306"/>
        <v>0</v>
      </c>
      <c r="O796" s="391">
        <f t="shared" si="306"/>
        <v>60000.000000000015</v>
      </c>
      <c r="P796" s="391">
        <f t="shared" si="306"/>
        <v>0</v>
      </c>
      <c r="Q796" s="391">
        <f t="shared" si="306"/>
        <v>60000.000000000015</v>
      </c>
      <c r="R796" s="761"/>
      <c r="S796" s="267" t="str">
        <f t="shared" si="305"/>
        <v/>
      </c>
      <c r="T796" s="267">
        <f t="shared" si="305"/>
        <v>0</v>
      </c>
      <c r="U796" s="267" t="str">
        <f t="shared" si="305"/>
        <v/>
      </c>
      <c r="V796" s="267">
        <f t="shared" si="304"/>
        <v>0</v>
      </c>
      <c r="W796" s="532"/>
      <c r="Y796" s="236" t="s">
        <v>598</v>
      </c>
      <c r="Z796" s="240" t="s">
        <v>598</v>
      </c>
    </row>
    <row r="797" spans="1:26" ht="12" hidden="1" customHeight="1">
      <c r="A797" s="548"/>
      <c r="B797" s="548"/>
      <c r="C797" s="456"/>
      <c r="D797" s="549"/>
      <c r="E797" s="461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S797" s="267" t="str">
        <f t="shared" si="305"/>
        <v/>
      </c>
      <c r="T797" s="267" t="str">
        <f t="shared" si="305"/>
        <v/>
      </c>
      <c r="U797" s="267" t="str">
        <f t="shared" si="305"/>
        <v/>
      </c>
      <c r="V797" s="267" t="str">
        <f t="shared" si="304"/>
        <v/>
      </c>
      <c r="W797" s="530"/>
      <c r="X797" s="236"/>
      <c r="Y797" s="236"/>
      <c r="Z797" s="236"/>
    </row>
    <row r="798" spans="1:26" s="256" customFormat="1" ht="12" customHeight="1">
      <c r="A798" s="548" t="s">
        <v>198</v>
      </c>
      <c r="B798" s="548" t="s">
        <v>205</v>
      </c>
      <c r="C798" s="460"/>
      <c r="D798" s="551" t="s">
        <v>98</v>
      </c>
      <c r="E798" s="390" t="s">
        <v>100</v>
      </c>
      <c r="F798" s="391">
        <f>SUM(F799:F799)</f>
        <v>0</v>
      </c>
      <c r="G798" s="391">
        <f>SUM(G799:G799)</f>
        <v>0</v>
      </c>
      <c r="H798" s="391">
        <f>SUM(H799:H799)</f>
        <v>0</v>
      </c>
      <c r="I798" s="391">
        <f>+F798+G798+H798</f>
        <v>0</v>
      </c>
      <c r="J798" s="391">
        <f>SUM(J799:J799)</f>
        <v>0</v>
      </c>
      <c r="K798" s="391">
        <f>SUM(K799:K799)</f>
        <v>0</v>
      </c>
      <c r="L798" s="391">
        <f>SUM(L799:L799)</f>
        <v>0</v>
      </c>
      <c r="M798" s="391">
        <f>+J798+K798+L798</f>
        <v>0</v>
      </c>
      <c r="N798" s="391">
        <f t="shared" ref="N798:P799" si="307">+F798-J798</f>
        <v>0</v>
      </c>
      <c r="O798" s="391">
        <f t="shared" si="307"/>
        <v>0</v>
      </c>
      <c r="P798" s="391">
        <f t="shared" si="307"/>
        <v>0</v>
      </c>
      <c r="Q798" s="391">
        <f>+N798+O798+P798</f>
        <v>0</v>
      </c>
      <c r="R798" s="761"/>
      <c r="S798" s="267" t="str">
        <f t="shared" si="305"/>
        <v/>
      </c>
      <c r="T798" s="267" t="str">
        <f t="shared" si="305"/>
        <v/>
      </c>
      <c r="U798" s="267" t="str">
        <f t="shared" si="305"/>
        <v/>
      </c>
      <c r="V798" s="267" t="str">
        <f t="shared" si="304"/>
        <v/>
      </c>
      <c r="W798" s="532"/>
      <c r="Y798" s="236" t="s">
        <v>598</v>
      </c>
      <c r="Z798" s="240" t="s">
        <v>598</v>
      </c>
    </row>
    <row r="799" spans="1:26" ht="12" customHeight="1">
      <c r="A799" s="548" t="s">
        <v>198</v>
      </c>
      <c r="B799" s="548" t="s">
        <v>205</v>
      </c>
      <c r="C799" s="456"/>
      <c r="D799" s="549"/>
      <c r="E799" s="462" t="s">
        <v>290</v>
      </c>
      <c r="F799" s="103">
        <v>0</v>
      </c>
      <c r="G799" s="103">
        <f>SUM('[3]chd9-SAOB'!CB222)</f>
        <v>0</v>
      </c>
      <c r="H799" s="103">
        <f>SUM('[3]chd9-SAOB'!CB314)</f>
        <v>0</v>
      </c>
      <c r="I799" s="103">
        <f>+F799+G799+H799</f>
        <v>0</v>
      </c>
      <c r="J799" s="103">
        <v>0</v>
      </c>
      <c r="K799" s="103">
        <f>SUM('[3]chd9-SAOB'!CB223)</f>
        <v>0</v>
      </c>
      <c r="L799" s="103">
        <f>SUM('[3]chd9-SAOB'!CB315)</f>
        <v>0</v>
      </c>
      <c r="M799" s="103">
        <f>+J799+K799+L799</f>
        <v>0</v>
      </c>
      <c r="N799" s="103">
        <f t="shared" si="307"/>
        <v>0</v>
      </c>
      <c r="O799" s="103">
        <f t="shared" si="307"/>
        <v>0</v>
      </c>
      <c r="P799" s="103">
        <f t="shared" si="307"/>
        <v>0</v>
      </c>
      <c r="Q799" s="103">
        <f>+N799+O799+P799</f>
        <v>0</v>
      </c>
      <c r="S799" s="267" t="str">
        <f t="shared" si="305"/>
        <v/>
      </c>
      <c r="T799" s="267" t="str">
        <f t="shared" si="305"/>
        <v/>
      </c>
      <c r="U799" s="267" t="str">
        <f t="shared" si="305"/>
        <v/>
      </c>
      <c r="V799" s="267" t="str">
        <f t="shared" si="304"/>
        <v/>
      </c>
      <c r="W799" s="530"/>
      <c r="X799" s="236"/>
      <c r="Y799" s="236" t="s">
        <v>598</v>
      </c>
      <c r="Z799" s="236"/>
    </row>
    <row r="800" spans="1:26" s="259" customFormat="1" ht="12" customHeight="1">
      <c r="A800" s="315" t="s">
        <v>198</v>
      </c>
      <c r="B800" s="315" t="s">
        <v>205</v>
      </c>
      <c r="C800" s="1096"/>
      <c r="D800" s="466"/>
      <c r="E800" s="1097" t="s">
        <v>4</v>
      </c>
      <c r="F800" s="652">
        <f>+F798+F796</f>
        <v>0</v>
      </c>
      <c r="G800" s="652">
        <f t="shared" ref="G800:Q800" si="308">+G798+G796</f>
        <v>60000.000000000015</v>
      </c>
      <c r="H800" s="652">
        <f t="shared" si="308"/>
        <v>0</v>
      </c>
      <c r="I800" s="652">
        <f t="shared" si="308"/>
        <v>60000.000000000015</v>
      </c>
      <c r="J800" s="652">
        <f t="shared" si="308"/>
        <v>0</v>
      </c>
      <c r="K800" s="652">
        <f t="shared" si="308"/>
        <v>0</v>
      </c>
      <c r="L800" s="652">
        <f t="shared" si="308"/>
        <v>0</v>
      </c>
      <c r="M800" s="652">
        <f t="shared" si="308"/>
        <v>0</v>
      </c>
      <c r="N800" s="652">
        <f t="shared" si="308"/>
        <v>0</v>
      </c>
      <c r="O800" s="652">
        <f t="shared" si="308"/>
        <v>60000.000000000015</v>
      </c>
      <c r="P800" s="652">
        <f t="shared" si="308"/>
        <v>0</v>
      </c>
      <c r="Q800" s="652">
        <f t="shared" si="308"/>
        <v>60000.000000000015</v>
      </c>
      <c r="R800" s="1095">
        <f>+Q800-'[3]chd9-SAOB'!DT351</f>
        <v>0</v>
      </c>
      <c r="S800" s="524" t="str">
        <f t="shared" si="305"/>
        <v/>
      </c>
      <c r="T800" s="524">
        <f t="shared" si="305"/>
        <v>0</v>
      </c>
      <c r="U800" s="524" t="str">
        <f t="shared" si="305"/>
        <v/>
      </c>
      <c r="V800" s="524">
        <f t="shared" si="304"/>
        <v>0</v>
      </c>
      <c r="W800" s="344"/>
      <c r="X800" s="520"/>
      <c r="Y800" s="837" t="s">
        <v>598</v>
      </c>
      <c r="Z800" s="241" t="s">
        <v>598</v>
      </c>
    </row>
    <row r="801" spans="1:26" ht="12" customHeight="1">
      <c r="A801" s="315"/>
      <c r="B801" s="315" t="s">
        <v>205</v>
      </c>
      <c r="C801" s="456"/>
      <c r="D801" s="456"/>
      <c r="E801" s="46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S801" s="267" t="str">
        <f t="shared" si="305"/>
        <v/>
      </c>
      <c r="T801" s="267" t="str">
        <f t="shared" si="305"/>
        <v/>
      </c>
      <c r="U801" s="267" t="str">
        <f t="shared" si="305"/>
        <v/>
      </c>
      <c r="V801" s="267" t="str">
        <f t="shared" si="304"/>
        <v/>
      </c>
      <c r="W801" s="267"/>
      <c r="Y801" s="837" t="s">
        <v>598</v>
      </c>
      <c r="Z801" s="241" t="s">
        <v>598</v>
      </c>
    </row>
    <row r="802" spans="1:26" s="275" customFormat="1" ht="12" customHeight="1">
      <c r="A802" s="548" t="s">
        <v>198</v>
      </c>
      <c r="B802" s="548" t="s">
        <v>206</v>
      </c>
      <c r="C802" s="464" t="s">
        <v>98</v>
      </c>
      <c r="D802" s="552" t="s">
        <v>148</v>
      </c>
      <c r="E802" s="407" t="s">
        <v>832</v>
      </c>
      <c r="F802" s="468"/>
      <c r="G802" s="468"/>
      <c r="H802" s="468"/>
      <c r="I802" s="409">
        <f t="shared" si="300"/>
        <v>0</v>
      </c>
      <c r="J802" s="468"/>
      <c r="K802" s="468"/>
      <c r="L802" s="468"/>
      <c r="M802" s="409">
        <f t="shared" si="301"/>
        <v>0</v>
      </c>
      <c r="N802" s="409">
        <f t="shared" si="302"/>
        <v>0</v>
      </c>
      <c r="O802" s="409">
        <f t="shared" si="302"/>
        <v>0</v>
      </c>
      <c r="P802" s="409">
        <f t="shared" si="302"/>
        <v>0</v>
      </c>
      <c r="Q802" s="409">
        <f t="shared" si="303"/>
        <v>0</v>
      </c>
      <c r="R802" s="761"/>
      <c r="S802" s="267" t="str">
        <f t="shared" si="305"/>
        <v/>
      </c>
      <c r="T802" s="267" t="str">
        <f t="shared" si="305"/>
        <v/>
      </c>
      <c r="U802" s="267" t="str">
        <f t="shared" si="305"/>
        <v/>
      </c>
      <c r="V802" s="267" t="str">
        <f t="shared" si="304"/>
        <v/>
      </c>
      <c r="W802" s="553"/>
      <c r="Y802" s="236" t="s">
        <v>598</v>
      </c>
      <c r="Z802" s="240" t="s">
        <v>598</v>
      </c>
    </row>
    <row r="803" spans="1:26" ht="12" customHeight="1">
      <c r="A803" s="548" t="s">
        <v>198</v>
      </c>
      <c r="B803" s="548" t="s">
        <v>206</v>
      </c>
      <c r="C803" s="447" t="s">
        <v>766</v>
      </c>
      <c r="D803" s="549"/>
      <c r="E803" s="447" t="s">
        <v>766</v>
      </c>
      <c r="F803" s="104">
        <f>+'[3]chd9-SAOB'!C495</f>
        <v>0</v>
      </c>
      <c r="G803" s="104">
        <f>+'[3]chd9-SAOB'!D495</f>
        <v>48677.38</v>
      </c>
      <c r="H803" s="104">
        <f>+'[3]chd9-SAOB'!E495</f>
        <v>0</v>
      </c>
      <c r="I803" s="103">
        <f t="shared" si="300"/>
        <v>48677.38</v>
      </c>
      <c r="J803" s="104">
        <f>+'[3]chd9-SAOB'!G495</f>
        <v>0</v>
      </c>
      <c r="K803" s="104">
        <f>+'[3]chd9-SAOB'!H495</f>
        <v>48677.38</v>
      </c>
      <c r="L803" s="104">
        <f>+'[3]chd9-SAOB'!I495</f>
        <v>0</v>
      </c>
      <c r="M803" s="103">
        <f t="shared" si="301"/>
        <v>48677.38</v>
      </c>
      <c r="N803" s="103">
        <f t="shared" si="302"/>
        <v>0</v>
      </c>
      <c r="O803" s="103">
        <f t="shared" si="302"/>
        <v>0</v>
      </c>
      <c r="P803" s="103">
        <f t="shared" si="302"/>
        <v>0</v>
      </c>
      <c r="Q803" s="103">
        <f t="shared" si="303"/>
        <v>0</v>
      </c>
      <c r="S803" s="267" t="str">
        <f t="shared" si="305"/>
        <v/>
      </c>
      <c r="T803" s="267">
        <f t="shared" si="305"/>
        <v>1</v>
      </c>
      <c r="U803" s="267" t="str">
        <f t="shared" si="305"/>
        <v/>
      </c>
      <c r="V803" s="267">
        <f t="shared" si="304"/>
        <v>1</v>
      </c>
      <c r="W803" s="530"/>
      <c r="X803" s="236"/>
      <c r="Y803" s="236" t="s">
        <v>688</v>
      </c>
      <c r="Z803" s="236"/>
    </row>
    <row r="804" spans="1:26" ht="12" customHeight="1">
      <c r="A804" s="548" t="s">
        <v>198</v>
      </c>
      <c r="B804" s="548" t="s">
        <v>206</v>
      </c>
      <c r="C804" s="456"/>
      <c r="D804" s="549"/>
      <c r="E804" s="453" t="s">
        <v>50</v>
      </c>
      <c r="F804" s="103">
        <f>+F805+F806</f>
        <v>0</v>
      </c>
      <c r="G804" s="103">
        <f>+G805+G806</f>
        <v>226206.31</v>
      </c>
      <c r="H804" s="103">
        <f>+H805+H806</f>
        <v>10808000</v>
      </c>
      <c r="I804" s="103">
        <f t="shared" si="300"/>
        <v>11034206.310000001</v>
      </c>
      <c r="J804" s="103">
        <f>+J805+J806</f>
        <v>0</v>
      </c>
      <c r="K804" s="103">
        <f>+K805+K806</f>
        <v>166206.30999999997</v>
      </c>
      <c r="L804" s="103">
        <f>+L805+L806</f>
        <v>0</v>
      </c>
      <c r="M804" s="103">
        <f t="shared" si="301"/>
        <v>166206.30999999997</v>
      </c>
      <c r="N804" s="103">
        <f t="shared" si="302"/>
        <v>0</v>
      </c>
      <c r="O804" s="103">
        <f t="shared" si="302"/>
        <v>60000.000000000029</v>
      </c>
      <c r="P804" s="103">
        <f t="shared" si="302"/>
        <v>10808000</v>
      </c>
      <c r="Q804" s="103">
        <f t="shared" si="303"/>
        <v>10868000</v>
      </c>
      <c r="S804" s="267" t="str">
        <f t="shared" si="305"/>
        <v/>
      </c>
      <c r="T804" s="267">
        <f t="shared" si="305"/>
        <v>0.73475540978498777</v>
      </c>
      <c r="U804" s="267">
        <f t="shared" si="305"/>
        <v>0</v>
      </c>
      <c r="V804" s="267">
        <f t="shared" si="304"/>
        <v>1.5062824215038621E-2</v>
      </c>
      <c r="W804" s="530"/>
      <c r="X804" s="236"/>
      <c r="Y804" s="236" t="s">
        <v>688</v>
      </c>
      <c r="Z804" s="236"/>
    </row>
    <row r="805" spans="1:26" ht="12" hidden="1" customHeight="1">
      <c r="A805" s="548" t="s">
        <v>198</v>
      </c>
      <c r="B805" s="548" t="s">
        <v>206</v>
      </c>
      <c r="C805" s="458" t="s">
        <v>715</v>
      </c>
      <c r="D805" s="550" t="s">
        <v>715</v>
      </c>
      <c r="E805" s="447" t="s">
        <v>715</v>
      </c>
      <c r="F805" s="104">
        <f>'[3]CONAP - W INC'!F607</f>
        <v>0</v>
      </c>
      <c r="G805" s="104">
        <f>'[3]CONAP - W INC'!G607</f>
        <v>0</v>
      </c>
      <c r="H805" s="104">
        <f>'[3]CONAP - W INC'!H607</f>
        <v>10808000</v>
      </c>
      <c r="I805" s="103">
        <f t="shared" si="300"/>
        <v>10808000</v>
      </c>
      <c r="J805" s="104">
        <f>'[3]CONAP - W INC'!J607</f>
        <v>0</v>
      </c>
      <c r="K805" s="104">
        <f>'[3]CONAP - W INC'!K607</f>
        <v>0</v>
      </c>
      <c r="L805" s="104">
        <f>'[3]CONAP - W INC'!L607</f>
        <v>0</v>
      </c>
      <c r="M805" s="103">
        <f t="shared" si="301"/>
        <v>0</v>
      </c>
      <c r="N805" s="103">
        <f t="shared" si="302"/>
        <v>0</v>
      </c>
      <c r="O805" s="103">
        <f t="shared" si="302"/>
        <v>0</v>
      </c>
      <c r="P805" s="103">
        <f t="shared" si="302"/>
        <v>10808000</v>
      </c>
      <c r="Q805" s="103">
        <f t="shared" si="303"/>
        <v>10808000</v>
      </c>
      <c r="S805" s="267" t="str">
        <f t="shared" si="305"/>
        <v/>
      </c>
      <c r="T805" s="267" t="str">
        <f t="shared" si="305"/>
        <v/>
      </c>
      <c r="U805" s="267">
        <f t="shared" si="305"/>
        <v>0</v>
      </c>
      <c r="V805" s="267">
        <f t="shared" si="304"/>
        <v>0</v>
      </c>
      <c r="W805" s="530"/>
      <c r="X805" s="236"/>
      <c r="Y805" s="236"/>
      <c r="Z805" s="236"/>
    </row>
    <row r="806" spans="1:26" ht="12" hidden="1" customHeight="1">
      <c r="A806" s="548" t="s">
        <v>198</v>
      </c>
      <c r="B806" s="548" t="s">
        <v>206</v>
      </c>
      <c r="C806" s="458" t="s">
        <v>716</v>
      </c>
      <c r="D806" s="550" t="s">
        <v>716</v>
      </c>
      <c r="E806" s="459" t="s">
        <v>716</v>
      </c>
      <c r="F806" s="104">
        <f>'[3]CONAP - W INC'!F608</f>
        <v>0</v>
      </c>
      <c r="G806" s="104">
        <f>'[3]CONAP - W INC'!G608</f>
        <v>226206.31</v>
      </c>
      <c r="H806" s="104">
        <f>'[3]CONAP - W INC'!H608</f>
        <v>0</v>
      </c>
      <c r="I806" s="103">
        <f t="shared" si="300"/>
        <v>226206.31</v>
      </c>
      <c r="J806" s="104">
        <f>'[3]CONAP - W INC'!J608</f>
        <v>0</v>
      </c>
      <c r="K806" s="104">
        <f>'[3]CONAP - W INC'!K608</f>
        <v>166206.30999999997</v>
      </c>
      <c r="L806" s="104">
        <f>'[3]CONAP - W INC'!L608</f>
        <v>0</v>
      </c>
      <c r="M806" s="103">
        <f t="shared" si="301"/>
        <v>166206.30999999997</v>
      </c>
      <c r="N806" s="103">
        <f t="shared" si="302"/>
        <v>0</v>
      </c>
      <c r="O806" s="103">
        <f t="shared" si="302"/>
        <v>60000.000000000029</v>
      </c>
      <c r="P806" s="103">
        <f t="shared" si="302"/>
        <v>0</v>
      </c>
      <c r="Q806" s="103">
        <f t="shared" si="303"/>
        <v>60000.000000000029</v>
      </c>
      <c r="S806" s="267" t="str">
        <f t="shared" si="305"/>
        <v/>
      </c>
      <c r="T806" s="267">
        <f t="shared" si="305"/>
        <v>0.73475540978498777</v>
      </c>
      <c r="U806" s="267" t="str">
        <f t="shared" si="305"/>
        <v/>
      </c>
      <c r="V806" s="267">
        <f t="shared" si="304"/>
        <v>0.73475540978498777</v>
      </c>
      <c r="W806" s="530"/>
      <c r="X806" s="236"/>
      <c r="Y806" s="236"/>
      <c r="Z806" s="236"/>
    </row>
    <row r="807" spans="1:26" s="256" customFormat="1" ht="12" customHeight="1">
      <c r="A807" s="548"/>
      <c r="B807" s="548" t="s">
        <v>206</v>
      </c>
      <c r="C807" s="460"/>
      <c r="D807" s="551"/>
      <c r="E807" s="390" t="s">
        <v>767</v>
      </c>
      <c r="F807" s="391">
        <f>+F804+F803</f>
        <v>0</v>
      </c>
      <c r="G807" s="391">
        <f t="shared" ref="G807:Q807" si="309">+G804+G803</f>
        <v>274883.69</v>
      </c>
      <c r="H807" s="391">
        <f t="shared" si="309"/>
        <v>10808000</v>
      </c>
      <c r="I807" s="391">
        <f t="shared" si="309"/>
        <v>11082883.690000001</v>
      </c>
      <c r="J807" s="391">
        <f t="shared" si="309"/>
        <v>0</v>
      </c>
      <c r="K807" s="391">
        <f t="shared" si="309"/>
        <v>214883.68999999997</v>
      </c>
      <c r="L807" s="391">
        <f t="shared" si="309"/>
        <v>0</v>
      </c>
      <c r="M807" s="391">
        <f t="shared" si="309"/>
        <v>214883.68999999997</v>
      </c>
      <c r="N807" s="391">
        <f t="shared" si="309"/>
        <v>0</v>
      </c>
      <c r="O807" s="391">
        <f t="shared" si="309"/>
        <v>60000.000000000029</v>
      </c>
      <c r="P807" s="391">
        <f t="shared" si="309"/>
        <v>10808000</v>
      </c>
      <c r="Q807" s="391">
        <f t="shared" si="309"/>
        <v>10868000</v>
      </c>
      <c r="R807" s="761"/>
      <c r="S807" s="267" t="str">
        <f t="shared" si="305"/>
        <v/>
      </c>
      <c r="T807" s="267">
        <f t="shared" si="305"/>
        <v>0.781725863764416</v>
      </c>
      <c r="U807" s="267">
        <f t="shared" si="305"/>
        <v>0</v>
      </c>
      <c r="V807" s="267">
        <f t="shared" si="304"/>
        <v>1.938878869530029E-2</v>
      </c>
      <c r="W807" s="532"/>
      <c r="Y807" s="236" t="s">
        <v>598</v>
      </c>
      <c r="Z807" s="240" t="s">
        <v>598</v>
      </c>
    </row>
    <row r="808" spans="1:26" ht="12" hidden="1" customHeight="1">
      <c r="A808" s="548"/>
      <c r="B808" s="548"/>
      <c r="C808" s="456"/>
      <c r="D808" s="549"/>
      <c r="E808" s="461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S808" s="267" t="str">
        <f t="shared" si="305"/>
        <v/>
      </c>
      <c r="T808" s="267" t="str">
        <f t="shared" si="305"/>
        <v/>
      </c>
      <c r="U808" s="267" t="str">
        <f t="shared" si="305"/>
        <v/>
      </c>
      <c r="V808" s="267" t="str">
        <f t="shared" si="304"/>
        <v/>
      </c>
      <c r="W808" s="530"/>
      <c r="X808" s="236"/>
      <c r="Y808" s="236"/>
      <c r="Z808" s="236"/>
    </row>
    <row r="809" spans="1:26" s="256" customFormat="1" ht="12" customHeight="1">
      <c r="A809" s="548" t="s">
        <v>198</v>
      </c>
      <c r="B809" s="548" t="s">
        <v>206</v>
      </c>
      <c r="C809" s="460"/>
      <c r="D809" s="551" t="s">
        <v>98</v>
      </c>
      <c r="E809" s="390" t="s">
        <v>100</v>
      </c>
      <c r="F809" s="391">
        <f>SUM(F810:F810)</f>
        <v>0</v>
      </c>
      <c r="G809" s="391">
        <f>SUM(G810:G810)</f>
        <v>736000</v>
      </c>
      <c r="H809" s="391">
        <f>SUM(H810:H810)</f>
        <v>0</v>
      </c>
      <c r="I809" s="391">
        <f>+F809+G809+H809</f>
        <v>736000</v>
      </c>
      <c r="J809" s="391">
        <f>SUM(J810:J810)</f>
        <v>0</v>
      </c>
      <c r="K809" s="391">
        <f>SUM(K810:K810)</f>
        <v>643287</v>
      </c>
      <c r="L809" s="391">
        <f>SUM(L810:L810)</f>
        <v>0</v>
      </c>
      <c r="M809" s="391">
        <f>+J809+K809+L809</f>
        <v>643287</v>
      </c>
      <c r="N809" s="391">
        <f t="shared" ref="N809:P810" si="310">+F809-J809</f>
        <v>0</v>
      </c>
      <c r="O809" s="391">
        <f t="shared" si="310"/>
        <v>92713</v>
      </c>
      <c r="P809" s="391">
        <f t="shared" si="310"/>
        <v>0</v>
      </c>
      <c r="Q809" s="391">
        <f>+N809+O809+P809</f>
        <v>92713</v>
      </c>
      <c r="R809" s="761"/>
      <c r="S809" s="267" t="str">
        <f t="shared" si="305"/>
        <v/>
      </c>
      <c r="T809" s="267">
        <f t="shared" si="305"/>
        <v>0.87403125000000004</v>
      </c>
      <c r="U809" s="267" t="str">
        <f t="shared" si="305"/>
        <v/>
      </c>
      <c r="V809" s="267">
        <f t="shared" si="304"/>
        <v>0.87403125000000004</v>
      </c>
      <c r="W809" s="532"/>
      <c r="Y809" s="236" t="s">
        <v>598</v>
      </c>
      <c r="Z809" s="240" t="s">
        <v>598</v>
      </c>
    </row>
    <row r="810" spans="1:26" ht="12" customHeight="1">
      <c r="A810" s="548" t="s">
        <v>198</v>
      </c>
      <c r="B810" s="548" t="s">
        <v>206</v>
      </c>
      <c r="C810" s="456"/>
      <c r="D810" s="549"/>
      <c r="E810" s="462" t="s">
        <v>290</v>
      </c>
      <c r="F810" s="103">
        <v>0</v>
      </c>
      <c r="G810" s="103">
        <f>SUM('[3]chd9-SAOB'!CC222)</f>
        <v>736000</v>
      </c>
      <c r="H810" s="103">
        <f>SUM('[3]chd9-SAOB'!CC314)</f>
        <v>0</v>
      </c>
      <c r="I810" s="103">
        <f>+F810+G810+H810</f>
        <v>736000</v>
      </c>
      <c r="J810" s="103">
        <v>0</v>
      </c>
      <c r="K810" s="103">
        <f>SUM('[3]chd9-SAOB'!CC223)</f>
        <v>643287</v>
      </c>
      <c r="L810" s="103">
        <f>SUM('[3]chd9-SAOB'!CC315)</f>
        <v>0</v>
      </c>
      <c r="M810" s="103">
        <f>+J810+K810+L810</f>
        <v>643287</v>
      </c>
      <c r="N810" s="103">
        <f t="shared" si="310"/>
        <v>0</v>
      </c>
      <c r="O810" s="103">
        <f t="shared" si="310"/>
        <v>92713</v>
      </c>
      <c r="P810" s="103">
        <f t="shared" si="310"/>
        <v>0</v>
      </c>
      <c r="Q810" s="103">
        <f>+N810+O810+P810</f>
        <v>92713</v>
      </c>
      <c r="S810" s="267" t="str">
        <f t="shared" si="305"/>
        <v/>
      </c>
      <c r="T810" s="267">
        <f t="shared" si="305"/>
        <v>0.87403125000000004</v>
      </c>
      <c r="U810" s="267" t="str">
        <f t="shared" si="305"/>
        <v/>
      </c>
      <c r="V810" s="267">
        <f t="shared" si="304"/>
        <v>0.87403125000000004</v>
      </c>
      <c r="W810" s="530"/>
      <c r="X810" s="236"/>
      <c r="Y810" s="236" t="s">
        <v>598</v>
      </c>
      <c r="Z810" s="236"/>
    </row>
    <row r="811" spans="1:26" s="259" customFormat="1" ht="12" customHeight="1">
      <c r="A811" s="315" t="s">
        <v>198</v>
      </c>
      <c r="B811" s="315" t="s">
        <v>206</v>
      </c>
      <c r="C811" s="1096"/>
      <c r="D811" s="466"/>
      <c r="E811" s="1097" t="s">
        <v>4</v>
      </c>
      <c r="F811" s="652">
        <f>+F809+F807</f>
        <v>0</v>
      </c>
      <c r="G811" s="652">
        <f t="shared" ref="G811:Q811" si="311">+G809+G807</f>
        <v>1010883.69</v>
      </c>
      <c r="H811" s="652">
        <f t="shared" si="311"/>
        <v>10808000</v>
      </c>
      <c r="I811" s="652">
        <f t="shared" si="311"/>
        <v>11818883.690000001</v>
      </c>
      <c r="J811" s="652">
        <f t="shared" si="311"/>
        <v>0</v>
      </c>
      <c r="K811" s="652">
        <f t="shared" si="311"/>
        <v>858170.69</v>
      </c>
      <c r="L811" s="652">
        <f t="shared" si="311"/>
        <v>0</v>
      </c>
      <c r="M811" s="652">
        <f t="shared" si="311"/>
        <v>858170.69</v>
      </c>
      <c r="N811" s="652">
        <f t="shared" si="311"/>
        <v>0</v>
      </c>
      <c r="O811" s="652">
        <f t="shared" si="311"/>
        <v>152713.00000000003</v>
      </c>
      <c r="P811" s="652">
        <f t="shared" si="311"/>
        <v>10808000</v>
      </c>
      <c r="Q811" s="652">
        <f t="shared" si="311"/>
        <v>10960713</v>
      </c>
      <c r="R811" s="1095">
        <f>+Q811-'[3]chd9-SAOB'!DU351</f>
        <v>0</v>
      </c>
      <c r="S811" s="524" t="str">
        <f t="shared" si="305"/>
        <v/>
      </c>
      <c r="T811" s="524">
        <f t="shared" si="305"/>
        <v>0.84893118613873375</v>
      </c>
      <c r="U811" s="524">
        <f t="shared" si="305"/>
        <v>0</v>
      </c>
      <c r="V811" s="524">
        <f t="shared" si="304"/>
        <v>7.261013074577434E-2</v>
      </c>
      <c r="W811" s="344"/>
      <c r="X811" s="520"/>
      <c r="Y811" s="837" t="s">
        <v>598</v>
      </c>
      <c r="Z811" s="241" t="s">
        <v>598</v>
      </c>
    </row>
    <row r="812" spans="1:26" ht="12" customHeight="1">
      <c r="A812" s="315" t="s">
        <v>198</v>
      </c>
      <c r="B812" s="315" t="s">
        <v>206</v>
      </c>
      <c r="C812" s="456"/>
      <c r="D812" s="456"/>
      <c r="E812" s="46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S812" s="267" t="str">
        <f t="shared" si="305"/>
        <v/>
      </c>
      <c r="T812" s="267" t="str">
        <f t="shared" si="305"/>
        <v/>
      </c>
      <c r="U812" s="267" t="str">
        <f t="shared" si="305"/>
        <v/>
      </c>
      <c r="V812" s="267" t="str">
        <f t="shared" si="304"/>
        <v/>
      </c>
      <c r="W812" s="267"/>
      <c r="Y812" s="837" t="s">
        <v>598</v>
      </c>
      <c r="Z812" s="241" t="s">
        <v>598</v>
      </c>
    </row>
    <row r="813" spans="1:26" s="275" customFormat="1" ht="12" customHeight="1">
      <c r="A813" s="548" t="s">
        <v>198</v>
      </c>
      <c r="B813" s="548" t="s">
        <v>207</v>
      </c>
      <c r="C813" s="464" t="s">
        <v>98</v>
      </c>
      <c r="D813" s="552" t="s">
        <v>189</v>
      </c>
      <c r="E813" s="407" t="s">
        <v>833</v>
      </c>
      <c r="F813" s="468"/>
      <c r="G813" s="468"/>
      <c r="H813" s="468"/>
      <c r="I813" s="409">
        <f t="shared" si="300"/>
        <v>0</v>
      </c>
      <c r="J813" s="468"/>
      <c r="K813" s="468"/>
      <c r="L813" s="468"/>
      <c r="M813" s="409">
        <f t="shared" si="301"/>
        <v>0</v>
      </c>
      <c r="N813" s="409">
        <f t="shared" si="302"/>
        <v>0</v>
      </c>
      <c r="O813" s="409">
        <f t="shared" si="302"/>
        <v>0</v>
      </c>
      <c r="P813" s="409">
        <f t="shared" si="302"/>
        <v>0</v>
      </c>
      <c r="Q813" s="409">
        <f t="shared" si="303"/>
        <v>0</v>
      </c>
      <c r="R813" s="761"/>
      <c r="S813" s="267" t="str">
        <f t="shared" si="305"/>
        <v/>
      </c>
      <c r="T813" s="267" t="str">
        <f t="shared" si="305"/>
        <v/>
      </c>
      <c r="U813" s="267" t="str">
        <f t="shared" si="305"/>
        <v/>
      </c>
      <c r="V813" s="267" t="str">
        <f t="shared" si="304"/>
        <v/>
      </c>
      <c r="W813" s="553"/>
      <c r="Y813" s="236" t="s">
        <v>598</v>
      </c>
      <c r="Z813" s="240" t="s">
        <v>598</v>
      </c>
    </row>
    <row r="814" spans="1:26" ht="12" customHeight="1">
      <c r="A814" s="548" t="s">
        <v>198</v>
      </c>
      <c r="B814" s="548" t="s">
        <v>207</v>
      </c>
      <c r="C814" s="447" t="s">
        <v>766</v>
      </c>
      <c r="D814" s="549"/>
      <c r="E814" s="447" t="s">
        <v>766</v>
      </c>
      <c r="F814" s="104">
        <f>+'[3]chd9-SAOB'!C501</f>
        <v>0</v>
      </c>
      <c r="G814" s="104">
        <f>+'[3]chd9-SAOB'!D501</f>
        <v>0</v>
      </c>
      <c r="H814" s="104">
        <f>+'[3]chd9-SAOB'!E501</f>
        <v>0</v>
      </c>
      <c r="I814" s="103">
        <f t="shared" si="300"/>
        <v>0</v>
      </c>
      <c r="J814" s="104">
        <f>+'[3]chd9-SAOB'!G501</f>
        <v>0</v>
      </c>
      <c r="K814" s="104">
        <f>+'[3]chd9-SAOB'!H501</f>
        <v>0</v>
      </c>
      <c r="L814" s="104">
        <f>+'[3]chd9-SAOB'!I501</f>
        <v>0</v>
      </c>
      <c r="M814" s="103">
        <f t="shared" si="301"/>
        <v>0</v>
      </c>
      <c r="N814" s="103">
        <f t="shared" si="302"/>
        <v>0</v>
      </c>
      <c r="O814" s="103">
        <f t="shared" si="302"/>
        <v>0</v>
      </c>
      <c r="P814" s="103">
        <f t="shared" si="302"/>
        <v>0</v>
      </c>
      <c r="Q814" s="103">
        <f t="shared" si="303"/>
        <v>0</v>
      </c>
      <c r="S814" s="267" t="str">
        <f t="shared" si="305"/>
        <v/>
      </c>
      <c r="T814" s="267" t="str">
        <f t="shared" si="305"/>
        <v/>
      </c>
      <c r="U814" s="267" t="str">
        <f t="shared" si="305"/>
        <v/>
      </c>
      <c r="V814" s="267" t="str">
        <f t="shared" si="304"/>
        <v/>
      </c>
      <c r="W814" s="530"/>
      <c r="X814" s="236"/>
      <c r="Y814" s="236" t="s">
        <v>688</v>
      </c>
      <c r="Z814" s="236"/>
    </row>
    <row r="815" spans="1:26" ht="12" customHeight="1">
      <c r="A815" s="548" t="s">
        <v>198</v>
      </c>
      <c r="B815" s="548" t="s">
        <v>207</v>
      </c>
      <c r="C815" s="456"/>
      <c r="D815" s="549"/>
      <c r="E815" s="453" t="s">
        <v>50</v>
      </c>
      <c r="F815" s="103">
        <f>+F816+F817</f>
        <v>0</v>
      </c>
      <c r="G815" s="103">
        <f>+G816+G817</f>
        <v>658710.06999999995</v>
      </c>
      <c r="H815" s="103">
        <f>+H816+H817</f>
        <v>0</v>
      </c>
      <c r="I815" s="103">
        <f t="shared" si="300"/>
        <v>658710.06999999995</v>
      </c>
      <c r="J815" s="103">
        <f>+J816+J817</f>
        <v>0</v>
      </c>
      <c r="K815" s="103">
        <f>+K816+K817</f>
        <v>162804.47</v>
      </c>
      <c r="L815" s="103">
        <f>+L816+L817</f>
        <v>0</v>
      </c>
      <c r="M815" s="103">
        <f t="shared" si="301"/>
        <v>162804.47</v>
      </c>
      <c r="N815" s="103">
        <f t="shared" si="302"/>
        <v>0</v>
      </c>
      <c r="O815" s="103">
        <f t="shared" si="302"/>
        <v>495905.6</v>
      </c>
      <c r="P815" s="103">
        <f t="shared" si="302"/>
        <v>0</v>
      </c>
      <c r="Q815" s="103">
        <f t="shared" si="303"/>
        <v>495905.6</v>
      </c>
      <c r="S815" s="267" t="str">
        <f t="shared" si="305"/>
        <v/>
      </c>
      <c r="T815" s="267">
        <f t="shared" si="305"/>
        <v>0.24715649177793808</v>
      </c>
      <c r="U815" s="267" t="str">
        <f t="shared" si="305"/>
        <v/>
      </c>
      <c r="V815" s="267">
        <f t="shared" si="304"/>
        <v>0.24715649177793808</v>
      </c>
      <c r="W815" s="530"/>
      <c r="X815" s="236"/>
      <c r="Y815" s="236" t="s">
        <v>688</v>
      </c>
      <c r="Z815" s="236"/>
    </row>
    <row r="816" spans="1:26" ht="12" hidden="1" customHeight="1">
      <c r="A816" s="548" t="s">
        <v>198</v>
      </c>
      <c r="B816" s="548" t="s">
        <v>207</v>
      </c>
      <c r="C816" s="458" t="s">
        <v>715</v>
      </c>
      <c r="D816" s="550" t="s">
        <v>715</v>
      </c>
      <c r="E816" s="447" t="s">
        <v>715</v>
      </c>
      <c r="F816" s="104">
        <f>'[3]CONAP - W INC'!F615</f>
        <v>0</v>
      </c>
      <c r="G816" s="104">
        <f>'[3]CONAP - W INC'!G615</f>
        <v>0</v>
      </c>
      <c r="H816" s="104">
        <f>'[3]CONAP - W INC'!H615</f>
        <v>0</v>
      </c>
      <c r="I816" s="103">
        <f t="shared" si="300"/>
        <v>0</v>
      </c>
      <c r="J816" s="104">
        <f>'[3]CONAP - W INC'!J615</f>
        <v>0</v>
      </c>
      <c r="K816" s="104">
        <f>'[3]CONAP - W INC'!K615</f>
        <v>0</v>
      </c>
      <c r="L816" s="104">
        <f>'[3]CONAP - W INC'!L615</f>
        <v>0</v>
      </c>
      <c r="M816" s="103">
        <f t="shared" si="301"/>
        <v>0</v>
      </c>
      <c r="N816" s="103">
        <f t="shared" si="302"/>
        <v>0</v>
      </c>
      <c r="O816" s="103">
        <f t="shared" si="302"/>
        <v>0</v>
      </c>
      <c r="P816" s="103">
        <f t="shared" si="302"/>
        <v>0</v>
      </c>
      <c r="Q816" s="103">
        <f t="shared" si="303"/>
        <v>0</v>
      </c>
      <c r="S816" s="267" t="str">
        <f t="shared" si="305"/>
        <v/>
      </c>
      <c r="T816" s="267" t="str">
        <f t="shared" si="305"/>
        <v/>
      </c>
      <c r="U816" s="267" t="str">
        <f t="shared" si="305"/>
        <v/>
      </c>
      <c r="V816" s="267" t="str">
        <f t="shared" si="304"/>
        <v/>
      </c>
      <c r="W816" s="530"/>
      <c r="X816" s="236"/>
      <c r="Y816" s="236"/>
      <c r="Z816" s="236"/>
    </row>
    <row r="817" spans="1:26" ht="12" hidden="1" customHeight="1">
      <c r="A817" s="548" t="s">
        <v>198</v>
      </c>
      <c r="B817" s="548" t="s">
        <v>207</v>
      </c>
      <c r="C817" s="458" t="s">
        <v>716</v>
      </c>
      <c r="D817" s="550" t="s">
        <v>716</v>
      </c>
      <c r="E817" s="459" t="s">
        <v>716</v>
      </c>
      <c r="F817" s="104">
        <f>'[3]CONAP - W INC'!F616</f>
        <v>0</v>
      </c>
      <c r="G817" s="104">
        <f>'[3]CONAP - W INC'!G616</f>
        <v>658710.06999999995</v>
      </c>
      <c r="H817" s="104">
        <f>'[3]CONAP - W INC'!H616</f>
        <v>0</v>
      </c>
      <c r="I817" s="103">
        <f t="shared" si="300"/>
        <v>658710.06999999995</v>
      </c>
      <c r="J817" s="104">
        <f>'[3]CONAP - W INC'!J616</f>
        <v>0</v>
      </c>
      <c r="K817" s="104">
        <f>'[3]CONAP - W INC'!K616</f>
        <v>162804.47</v>
      </c>
      <c r="L817" s="104">
        <f>'[3]CONAP - W INC'!L616</f>
        <v>0</v>
      </c>
      <c r="M817" s="103">
        <f t="shared" si="301"/>
        <v>162804.47</v>
      </c>
      <c r="N817" s="103">
        <f t="shared" si="302"/>
        <v>0</v>
      </c>
      <c r="O817" s="103">
        <f t="shared" si="302"/>
        <v>495905.6</v>
      </c>
      <c r="P817" s="103">
        <f t="shared" si="302"/>
        <v>0</v>
      </c>
      <c r="Q817" s="103">
        <f t="shared" si="303"/>
        <v>495905.6</v>
      </c>
      <c r="S817" s="267" t="str">
        <f t="shared" si="305"/>
        <v/>
      </c>
      <c r="T817" s="267">
        <f t="shared" si="305"/>
        <v>0.24715649177793808</v>
      </c>
      <c r="U817" s="267" t="str">
        <f t="shared" si="305"/>
        <v/>
      </c>
      <c r="V817" s="267">
        <f t="shared" si="304"/>
        <v>0.24715649177793808</v>
      </c>
      <c r="W817" s="530"/>
      <c r="X817" s="236"/>
      <c r="Y817" s="236"/>
      <c r="Z817" s="236"/>
    </row>
    <row r="818" spans="1:26" s="256" customFormat="1" ht="12" customHeight="1">
      <c r="A818" s="548"/>
      <c r="B818" s="548" t="s">
        <v>207</v>
      </c>
      <c r="C818" s="460"/>
      <c r="D818" s="551"/>
      <c r="E818" s="390" t="s">
        <v>767</v>
      </c>
      <c r="F818" s="391">
        <f>+F815+F814</f>
        <v>0</v>
      </c>
      <c r="G818" s="391">
        <f t="shared" ref="G818:Q818" si="312">+G815+G814</f>
        <v>658710.06999999995</v>
      </c>
      <c r="H818" s="391">
        <f t="shared" si="312"/>
        <v>0</v>
      </c>
      <c r="I818" s="391">
        <f t="shared" si="312"/>
        <v>658710.06999999995</v>
      </c>
      <c r="J818" s="391">
        <f t="shared" si="312"/>
        <v>0</v>
      </c>
      <c r="K818" s="391">
        <f t="shared" si="312"/>
        <v>162804.47</v>
      </c>
      <c r="L818" s="391">
        <f t="shared" si="312"/>
        <v>0</v>
      </c>
      <c r="M818" s="391">
        <f t="shared" si="312"/>
        <v>162804.47</v>
      </c>
      <c r="N818" s="391">
        <f t="shared" si="312"/>
        <v>0</v>
      </c>
      <c r="O818" s="391">
        <f t="shared" si="312"/>
        <v>495905.6</v>
      </c>
      <c r="P818" s="391">
        <f t="shared" si="312"/>
        <v>0</v>
      </c>
      <c r="Q818" s="391">
        <f t="shared" si="312"/>
        <v>495905.6</v>
      </c>
      <c r="R818" s="761"/>
      <c r="S818" s="267" t="str">
        <f t="shared" si="305"/>
        <v/>
      </c>
      <c r="T818" s="267">
        <f t="shared" si="305"/>
        <v>0.24715649177793808</v>
      </c>
      <c r="U818" s="267" t="str">
        <f t="shared" si="305"/>
        <v/>
      </c>
      <c r="V818" s="267">
        <f t="shared" si="304"/>
        <v>0.24715649177793808</v>
      </c>
      <c r="W818" s="532"/>
      <c r="Y818" s="236" t="s">
        <v>598</v>
      </c>
      <c r="Z818" s="240" t="s">
        <v>598</v>
      </c>
    </row>
    <row r="819" spans="1:26" ht="12" hidden="1" customHeight="1">
      <c r="A819" s="548"/>
      <c r="B819" s="548"/>
      <c r="C819" s="456"/>
      <c r="D819" s="549"/>
      <c r="E819" s="461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S819" s="267" t="str">
        <f t="shared" si="305"/>
        <v/>
      </c>
      <c r="T819" s="267" t="str">
        <f t="shared" si="305"/>
        <v/>
      </c>
      <c r="U819" s="267" t="str">
        <f t="shared" si="305"/>
        <v/>
      </c>
      <c r="V819" s="267" t="str">
        <f t="shared" si="304"/>
        <v/>
      </c>
      <c r="W819" s="530"/>
      <c r="X819" s="236"/>
      <c r="Y819" s="236"/>
      <c r="Z819" s="236"/>
    </row>
    <row r="820" spans="1:26" s="256" customFormat="1" ht="12" customHeight="1">
      <c r="A820" s="548" t="s">
        <v>198</v>
      </c>
      <c r="B820" s="548" t="s">
        <v>207</v>
      </c>
      <c r="C820" s="460"/>
      <c r="D820" s="551" t="s">
        <v>98</v>
      </c>
      <c r="E820" s="390" t="s">
        <v>100</v>
      </c>
      <c r="F820" s="391">
        <f>SUM(F821:F821)</f>
        <v>0</v>
      </c>
      <c r="G820" s="391">
        <f>SUM(G821:G821)</f>
        <v>3004579</v>
      </c>
      <c r="H820" s="391">
        <f>SUM(H821:H821)</f>
        <v>0</v>
      </c>
      <c r="I820" s="391">
        <f>+F820+G820+H820</f>
        <v>3004579</v>
      </c>
      <c r="J820" s="391">
        <f>SUM(J821:J821)</f>
        <v>0</v>
      </c>
      <c r="K820" s="391">
        <f>SUM(K821:K821)</f>
        <v>3004579</v>
      </c>
      <c r="L820" s="391">
        <f>SUM(L821:L821)</f>
        <v>0</v>
      </c>
      <c r="M820" s="391">
        <f>+J820+K820+L820</f>
        <v>3004579</v>
      </c>
      <c r="N820" s="391">
        <f t="shared" ref="N820:P821" si="313">+F820-J820</f>
        <v>0</v>
      </c>
      <c r="O820" s="391">
        <f t="shared" si="313"/>
        <v>0</v>
      </c>
      <c r="P820" s="391">
        <f t="shared" si="313"/>
        <v>0</v>
      </c>
      <c r="Q820" s="391">
        <f>+N820+O820+P820</f>
        <v>0</v>
      </c>
      <c r="R820" s="761"/>
      <c r="S820" s="267" t="str">
        <f t="shared" si="305"/>
        <v/>
      </c>
      <c r="T820" s="267">
        <f t="shared" si="305"/>
        <v>1</v>
      </c>
      <c r="U820" s="267" t="str">
        <f t="shared" si="305"/>
        <v/>
      </c>
      <c r="V820" s="267">
        <f t="shared" si="304"/>
        <v>1</v>
      </c>
      <c r="W820" s="532"/>
      <c r="Y820" s="236" t="s">
        <v>598</v>
      </c>
      <c r="Z820" s="240" t="s">
        <v>598</v>
      </c>
    </row>
    <row r="821" spans="1:26" ht="12" customHeight="1">
      <c r="A821" s="548" t="s">
        <v>198</v>
      </c>
      <c r="B821" s="548" t="s">
        <v>207</v>
      </c>
      <c r="C821" s="456"/>
      <c r="D821" s="549"/>
      <c r="E821" s="462" t="s">
        <v>290</v>
      </c>
      <c r="F821" s="103">
        <v>0</v>
      </c>
      <c r="G821" s="103">
        <f>SUM('[3]chd9-SAOB'!CD222)</f>
        <v>3004579</v>
      </c>
      <c r="H821" s="103">
        <f>SUM('[3]chd9-SAOB'!CD314)</f>
        <v>0</v>
      </c>
      <c r="I821" s="103">
        <f>+F821+G821+H821</f>
        <v>3004579</v>
      </c>
      <c r="J821" s="103">
        <v>0</v>
      </c>
      <c r="K821" s="103">
        <f>SUM('[3]chd9-SAOB'!CD223)</f>
        <v>3004579</v>
      </c>
      <c r="L821" s="103">
        <f>SUM('[3]chd9-SAOB'!CD315)</f>
        <v>0</v>
      </c>
      <c r="M821" s="103">
        <f>+J821+K821+L821</f>
        <v>3004579</v>
      </c>
      <c r="N821" s="103">
        <f t="shared" si="313"/>
        <v>0</v>
      </c>
      <c r="O821" s="103">
        <f t="shared" si="313"/>
        <v>0</v>
      </c>
      <c r="P821" s="103">
        <f t="shared" si="313"/>
        <v>0</v>
      </c>
      <c r="Q821" s="103">
        <f>+N821+O821+P821</f>
        <v>0</v>
      </c>
      <c r="S821" s="267" t="str">
        <f t="shared" si="305"/>
        <v/>
      </c>
      <c r="T821" s="267">
        <f t="shared" si="305"/>
        <v>1</v>
      </c>
      <c r="U821" s="267" t="str">
        <f t="shared" si="305"/>
        <v/>
      </c>
      <c r="V821" s="267">
        <f t="shared" si="304"/>
        <v>1</v>
      </c>
      <c r="W821" s="530"/>
      <c r="X821" s="236"/>
      <c r="Y821" s="236" t="s">
        <v>598</v>
      </c>
      <c r="Z821" s="236"/>
    </row>
    <row r="822" spans="1:26" s="259" customFormat="1" ht="12" customHeight="1">
      <c r="A822" s="315" t="s">
        <v>198</v>
      </c>
      <c r="B822" s="315" t="s">
        <v>207</v>
      </c>
      <c r="C822" s="1096"/>
      <c r="D822" s="466"/>
      <c r="E822" s="1097" t="s">
        <v>4</v>
      </c>
      <c r="F822" s="652">
        <f>+F820+F818</f>
        <v>0</v>
      </c>
      <c r="G822" s="652">
        <f t="shared" ref="G822:Q822" si="314">+G820+G818</f>
        <v>3663289.07</v>
      </c>
      <c r="H822" s="652">
        <f t="shared" si="314"/>
        <v>0</v>
      </c>
      <c r="I822" s="652">
        <f t="shared" si="314"/>
        <v>3663289.07</v>
      </c>
      <c r="J822" s="652">
        <f t="shared" si="314"/>
        <v>0</v>
      </c>
      <c r="K822" s="652">
        <f t="shared" si="314"/>
        <v>3167383.47</v>
      </c>
      <c r="L822" s="652">
        <f t="shared" si="314"/>
        <v>0</v>
      </c>
      <c r="M822" s="652">
        <f t="shared" si="314"/>
        <v>3167383.47</v>
      </c>
      <c r="N822" s="652">
        <f t="shared" si="314"/>
        <v>0</v>
      </c>
      <c r="O822" s="652">
        <f t="shared" si="314"/>
        <v>495905.6</v>
      </c>
      <c r="P822" s="652">
        <f t="shared" si="314"/>
        <v>0</v>
      </c>
      <c r="Q822" s="652">
        <f t="shared" si="314"/>
        <v>495905.6</v>
      </c>
      <c r="R822" s="1095">
        <f>+Q822-'[3]chd9-SAOB'!DV351</f>
        <v>0</v>
      </c>
      <c r="S822" s="524" t="str">
        <f t="shared" si="305"/>
        <v/>
      </c>
      <c r="T822" s="524">
        <f t="shared" si="305"/>
        <v>0.86462831883480062</v>
      </c>
      <c r="U822" s="524" t="str">
        <f t="shared" si="305"/>
        <v/>
      </c>
      <c r="V822" s="524">
        <f t="shared" si="304"/>
        <v>0.86462831883480062</v>
      </c>
      <c r="W822" s="344"/>
      <c r="X822" s="520"/>
      <c r="Y822" s="837" t="s">
        <v>598</v>
      </c>
      <c r="Z822" s="241" t="s">
        <v>598</v>
      </c>
    </row>
    <row r="823" spans="1:26" ht="12" customHeight="1">
      <c r="A823" s="315" t="s">
        <v>198</v>
      </c>
      <c r="B823" s="315" t="s">
        <v>207</v>
      </c>
      <c r="C823" s="456"/>
      <c r="D823" s="456"/>
      <c r="E823" s="46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S823" s="267" t="str">
        <f t="shared" si="305"/>
        <v/>
      </c>
      <c r="T823" s="267" t="str">
        <f t="shared" si="305"/>
        <v/>
      </c>
      <c r="U823" s="267" t="str">
        <f t="shared" si="305"/>
        <v/>
      </c>
      <c r="V823" s="267" t="str">
        <f t="shared" si="304"/>
        <v/>
      </c>
      <c r="W823" s="267"/>
      <c r="Y823" s="837" t="s">
        <v>598</v>
      </c>
      <c r="Z823" s="241" t="s">
        <v>598</v>
      </c>
    </row>
    <row r="824" spans="1:26" s="275" customFormat="1" ht="12" customHeight="1">
      <c r="A824" s="548" t="s">
        <v>198</v>
      </c>
      <c r="B824" s="548" t="s">
        <v>208</v>
      </c>
      <c r="C824" s="464" t="s">
        <v>98</v>
      </c>
      <c r="D824" s="552" t="s">
        <v>209</v>
      </c>
      <c r="E824" s="407" t="s">
        <v>834</v>
      </c>
      <c r="F824" s="468"/>
      <c r="G824" s="468"/>
      <c r="H824" s="468"/>
      <c r="I824" s="409">
        <f t="shared" si="300"/>
        <v>0</v>
      </c>
      <c r="J824" s="468"/>
      <c r="K824" s="468"/>
      <c r="L824" s="468"/>
      <c r="M824" s="409">
        <f t="shared" si="301"/>
        <v>0</v>
      </c>
      <c r="N824" s="409">
        <f t="shared" si="302"/>
        <v>0</v>
      </c>
      <c r="O824" s="409">
        <f t="shared" si="302"/>
        <v>0</v>
      </c>
      <c r="P824" s="409">
        <f t="shared" si="302"/>
        <v>0</v>
      </c>
      <c r="Q824" s="409">
        <f t="shared" si="303"/>
        <v>0</v>
      </c>
      <c r="R824" s="761"/>
      <c r="S824" s="267" t="str">
        <f t="shared" si="305"/>
        <v/>
      </c>
      <c r="T824" s="267" t="str">
        <f t="shared" si="305"/>
        <v/>
      </c>
      <c r="U824" s="267" t="str">
        <f t="shared" si="305"/>
        <v/>
      </c>
      <c r="V824" s="267" t="str">
        <f t="shared" si="304"/>
        <v/>
      </c>
      <c r="W824" s="553"/>
      <c r="Y824" s="236" t="s">
        <v>598</v>
      </c>
      <c r="Z824" s="240" t="s">
        <v>598</v>
      </c>
    </row>
    <row r="825" spans="1:26" ht="12" customHeight="1">
      <c r="A825" s="548" t="s">
        <v>198</v>
      </c>
      <c r="B825" s="548" t="s">
        <v>208</v>
      </c>
      <c r="C825" s="447" t="s">
        <v>766</v>
      </c>
      <c r="D825" s="549"/>
      <c r="E825" s="447" t="s">
        <v>766</v>
      </c>
      <c r="F825" s="104">
        <f>+'[3]chd9-SAOB'!C507</f>
        <v>0</v>
      </c>
      <c r="G825" s="104">
        <f>+'[3]chd9-SAOB'!D507</f>
        <v>654605.95999999903</v>
      </c>
      <c r="H825" s="104">
        <f>+'[3]chd9-SAOB'!E507</f>
        <v>0</v>
      </c>
      <c r="I825" s="103">
        <f t="shared" si="300"/>
        <v>654605.95999999903</v>
      </c>
      <c r="J825" s="104">
        <f>+'[3]chd9-SAOB'!G507</f>
        <v>0</v>
      </c>
      <c r="K825" s="104">
        <f>+'[3]chd9-SAOB'!H507</f>
        <v>652132.79</v>
      </c>
      <c r="L825" s="104">
        <f>+'[3]chd9-SAOB'!I507</f>
        <v>0</v>
      </c>
      <c r="M825" s="103">
        <f t="shared" si="301"/>
        <v>652132.79</v>
      </c>
      <c r="N825" s="103">
        <f t="shared" si="302"/>
        <v>0</v>
      </c>
      <c r="O825" s="103">
        <f t="shared" si="302"/>
        <v>2473.1699999989942</v>
      </c>
      <c r="P825" s="103">
        <f t="shared" si="302"/>
        <v>0</v>
      </c>
      <c r="Q825" s="103">
        <f t="shared" si="303"/>
        <v>2473.1699999989942</v>
      </c>
      <c r="S825" s="267" t="str">
        <f t="shared" si="305"/>
        <v/>
      </c>
      <c r="T825" s="267">
        <f t="shared" si="305"/>
        <v>0.99622189507715608</v>
      </c>
      <c r="U825" s="267" t="str">
        <f t="shared" si="305"/>
        <v/>
      </c>
      <c r="V825" s="267">
        <f t="shared" si="304"/>
        <v>0.99622189507715608</v>
      </c>
      <c r="W825" s="530"/>
      <c r="X825" s="236"/>
      <c r="Y825" s="236" t="s">
        <v>688</v>
      </c>
      <c r="Z825" s="236"/>
    </row>
    <row r="826" spans="1:26" ht="12" customHeight="1">
      <c r="A826" s="548" t="s">
        <v>198</v>
      </c>
      <c r="B826" s="548" t="s">
        <v>208</v>
      </c>
      <c r="C826" s="456"/>
      <c r="D826" s="549"/>
      <c r="E826" s="453" t="s">
        <v>50</v>
      </c>
      <c r="F826" s="103">
        <f>+F827+F828</f>
        <v>0</v>
      </c>
      <c r="G826" s="103">
        <f>+G827+G828</f>
        <v>116527.31000000006</v>
      </c>
      <c r="H826" s="103">
        <f>+H827+H828</f>
        <v>13184900</v>
      </c>
      <c r="I826" s="103">
        <f t="shared" si="300"/>
        <v>13301427.310000001</v>
      </c>
      <c r="J826" s="103">
        <f>+J827+J828</f>
        <v>0</v>
      </c>
      <c r="K826" s="103">
        <f>+K827+K828</f>
        <v>78059</v>
      </c>
      <c r="L826" s="103">
        <f>+L827+L828</f>
        <v>13000272</v>
      </c>
      <c r="M826" s="103">
        <f t="shared" si="301"/>
        <v>13078331</v>
      </c>
      <c r="N826" s="103">
        <f t="shared" si="302"/>
        <v>0</v>
      </c>
      <c r="O826" s="103">
        <f t="shared" si="302"/>
        <v>38468.310000000056</v>
      </c>
      <c r="P826" s="103">
        <f t="shared" si="302"/>
        <v>184628</v>
      </c>
      <c r="Q826" s="103">
        <f t="shared" si="303"/>
        <v>223096.31000000006</v>
      </c>
      <c r="S826" s="267" t="str">
        <f t="shared" si="305"/>
        <v/>
      </c>
      <c r="T826" s="267">
        <f t="shared" si="305"/>
        <v>0.66987730172437654</v>
      </c>
      <c r="U826" s="267">
        <f t="shared" si="305"/>
        <v>0.98599701173311893</v>
      </c>
      <c r="V826" s="267">
        <f t="shared" si="304"/>
        <v>0.98322764130490892</v>
      </c>
      <c r="W826" s="530"/>
      <c r="X826" s="236"/>
      <c r="Y826" s="236" t="s">
        <v>688</v>
      </c>
      <c r="Z826" s="236"/>
    </row>
    <row r="827" spans="1:26" ht="12" hidden="1" customHeight="1">
      <c r="A827" s="548" t="s">
        <v>198</v>
      </c>
      <c r="B827" s="548" t="s">
        <v>208</v>
      </c>
      <c r="C827" s="458" t="s">
        <v>715</v>
      </c>
      <c r="D827" s="550" t="s">
        <v>715</v>
      </c>
      <c r="E827" s="447" t="s">
        <v>715</v>
      </c>
      <c r="F827" s="104">
        <f>'[3]CONAP - W INC'!F623</f>
        <v>0</v>
      </c>
      <c r="G827" s="104">
        <f>'[3]CONAP - W INC'!G623</f>
        <v>-560987</v>
      </c>
      <c r="H827" s="104">
        <f>'[3]CONAP - W INC'!H623</f>
        <v>3184900</v>
      </c>
      <c r="I827" s="103">
        <f t="shared" si="300"/>
        <v>2623913</v>
      </c>
      <c r="J827" s="104">
        <f>'[3]CONAP - W INC'!J623</f>
        <v>0</v>
      </c>
      <c r="K827" s="104">
        <f>'[3]CONAP - W INC'!K623</f>
        <v>0</v>
      </c>
      <c r="L827" s="104">
        <f>'[3]CONAP - W INC'!L623</f>
        <v>3044200</v>
      </c>
      <c r="M827" s="103">
        <f t="shared" si="301"/>
        <v>3044200</v>
      </c>
      <c r="N827" s="103">
        <f t="shared" si="302"/>
        <v>0</v>
      </c>
      <c r="O827" s="103">
        <f t="shared" si="302"/>
        <v>-560987</v>
      </c>
      <c r="P827" s="103">
        <f t="shared" si="302"/>
        <v>140700</v>
      </c>
      <c r="Q827" s="103">
        <f t="shared" si="303"/>
        <v>-420287</v>
      </c>
      <c r="S827" s="267" t="str">
        <f t="shared" si="305"/>
        <v/>
      </c>
      <c r="T827" s="267">
        <f t="shared" si="305"/>
        <v>0</v>
      </c>
      <c r="U827" s="267">
        <f t="shared" si="305"/>
        <v>0.95582278878457727</v>
      </c>
      <c r="V827" s="267">
        <f t="shared" si="304"/>
        <v>1.1601756613119414</v>
      </c>
      <c r="W827" s="530"/>
      <c r="X827" s="236"/>
      <c r="Y827" s="236"/>
      <c r="Z827" s="236"/>
    </row>
    <row r="828" spans="1:26" ht="12" hidden="1" customHeight="1">
      <c r="A828" s="548" t="s">
        <v>198</v>
      </c>
      <c r="B828" s="548" t="s">
        <v>208</v>
      </c>
      <c r="C828" s="458" t="s">
        <v>716</v>
      </c>
      <c r="D828" s="550" t="s">
        <v>716</v>
      </c>
      <c r="E828" s="459" t="s">
        <v>716</v>
      </c>
      <c r="F828" s="104">
        <f>'[3]CONAP - W INC'!F624</f>
        <v>0</v>
      </c>
      <c r="G828" s="104">
        <f>'[3]CONAP - W INC'!G624</f>
        <v>677514.31</v>
      </c>
      <c r="H828" s="104">
        <f>'[3]CONAP - W INC'!H624</f>
        <v>10000000</v>
      </c>
      <c r="I828" s="103">
        <f t="shared" si="300"/>
        <v>10677514.310000001</v>
      </c>
      <c r="J828" s="104">
        <f>'[3]CONAP - W INC'!J624</f>
        <v>0</v>
      </c>
      <c r="K828" s="104">
        <f>'[3]CONAP - W INC'!K624</f>
        <v>78059</v>
      </c>
      <c r="L828" s="104">
        <f>'[3]CONAP - W INC'!L624</f>
        <v>9956072</v>
      </c>
      <c r="M828" s="103">
        <f t="shared" si="301"/>
        <v>10034131</v>
      </c>
      <c r="N828" s="103">
        <f t="shared" si="302"/>
        <v>0</v>
      </c>
      <c r="O828" s="103">
        <f t="shared" si="302"/>
        <v>599455.31000000006</v>
      </c>
      <c r="P828" s="103">
        <f t="shared" si="302"/>
        <v>43928</v>
      </c>
      <c r="Q828" s="103">
        <f t="shared" si="303"/>
        <v>643383.31000000006</v>
      </c>
      <c r="S828" s="267" t="str">
        <f t="shared" si="305"/>
        <v/>
      </c>
      <c r="T828" s="267">
        <f t="shared" si="305"/>
        <v>0.11521380264278107</v>
      </c>
      <c r="U828" s="267">
        <f t="shared" si="305"/>
        <v>0.99560720000000003</v>
      </c>
      <c r="V828" s="267">
        <f t="shared" si="304"/>
        <v>0.93974409293018302</v>
      </c>
      <c r="W828" s="530"/>
      <c r="X828" s="236"/>
      <c r="Y828" s="236"/>
      <c r="Z828" s="236"/>
    </row>
    <row r="829" spans="1:26" s="256" customFormat="1" ht="12" customHeight="1">
      <c r="A829" s="548"/>
      <c r="B829" s="548" t="s">
        <v>208</v>
      </c>
      <c r="C829" s="460"/>
      <c r="D829" s="551"/>
      <c r="E829" s="390" t="s">
        <v>767</v>
      </c>
      <c r="F829" s="391">
        <f>+F826+F825</f>
        <v>0</v>
      </c>
      <c r="G829" s="391">
        <f t="shared" ref="G829:Q829" si="315">+G826+G825</f>
        <v>771133.26999999909</v>
      </c>
      <c r="H829" s="391">
        <f t="shared" si="315"/>
        <v>13184900</v>
      </c>
      <c r="I829" s="391">
        <f t="shared" si="315"/>
        <v>13956033.27</v>
      </c>
      <c r="J829" s="391">
        <f t="shared" si="315"/>
        <v>0</v>
      </c>
      <c r="K829" s="391">
        <f t="shared" si="315"/>
        <v>730191.79</v>
      </c>
      <c r="L829" s="391">
        <f t="shared" si="315"/>
        <v>13000272</v>
      </c>
      <c r="M829" s="391">
        <f t="shared" si="315"/>
        <v>13730463.789999999</v>
      </c>
      <c r="N829" s="391">
        <f t="shared" si="315"/>
        <v>0</v>
      </c>
      <c r="O829" s="391">
        <f t="shared" si="315"/>
        <v>40941.47999999905</v>
      </c>
      <c r="P829" s="391">
        <f t="shared" si="315"/>
        <v>184628</v>
      </c>
      <c r="Q829" s="391">
        <f t="shared" si="315"/>
        <v>225569.47999999905</v>
      </c>
      <c r="R829" s="761"/>
      <c r="S829" s="267" t="str">
        <f t="shared" si="305"/>
        <v/>
      </c>
      <c r="T829" s="267">
        <f t="shared" si="305"/>
        <v>0.94690738735731228</v>
      </c>
      <c r="U829" s="267">
        <f t="shared" si="305"/>
        <v>0.98599701173311893</v>
      </c>
      <c r="V829" s="267">
        <f t="shared" si="304"/>
        <v>0.98383713512027182</v>
      </c>
      <c r="W829" s="532"/>
      <c r="Y829" s="236" t="s">
        <v>598</v>
      </c>
      <c r="Z829" s="240" t="s">
        <v>598</v>
      </c>
    </row>
    <row r="830" spans="1:26" ht="12" hidden="1" customHeight="1">
      <c r="A830" s="548"/>
      <c r="B830" s="548"/>
      <c r="C830" s="456"/>
      <c r="D830" s="549"/>
      <c r="E830" s="461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S830" s="267" t="str">
        <f t="shared" si="305"/>
        <v/>
      </c>
      <c r="T830" s="267" t="str">
        <f t="shared" si="305"/>
        <v/>
      </c>
      <c r="U830" s="267" t="str">
        <f t="shared" si="305"/>
        <v/>
      </c>
      <c r="V830" s="267" t="str">
        <f t="shared" si="304"/>
        <v/>
      </c>
      <c r="W830" s="530"/>
      <c r="X830" s="236"/>
      <c r="Y830" s="236"/>
      <c r="Z830" s="236"/>
    </row>
    <row r="831" spans="1:26" s="256" customFormat="1" ht="12" customHeight="1">
      <c r="A831" s="548" t="s">
        <v>198</v>
      </c>
      <c r="B831" s="548" t="s">
        <v>208</v>
      </c>
      <c r="C831" s="460"/>
      <c r="D831" s="551" t="s">
        <v>98</v>
      </c>
      <c r="E831" s="390" t="s">
        <v>100</v>
      </c>
      <c r="F831" s="391">
        <f>SUM(F832:F832)</f>
        <v>0</v>
      </c>
      <c r="G831" s="391">
        <f>SUM(G832:G832)</f>
        <v>0</v>
      </c>
      <c r="H831" s="391">
        <f>SUM(H832:H832)</f>
        <v>0</v>
      </c>
      <c r="I831" s="391">
        <f>+F831+G831+H831</f>
        <v>0</v>
      </c>
      <c r="J831" s="391">
        <f>SUM(J832:J832)</f>
        <v>0</v>
      </c>
      <c r="K831" s="391">
        <f>SUM(K832:K832)</f>
        <v>0</v>
      </c>
      <c r="L831" s="391">
        <f>SUM(L832:L832)</f>
        <v>0</v>
      </c>
      <c r="M831" s="391">
        <f>+J831+K831+L831</f>
        <v>0</v>
      </c>
      <c r="N831" s="391">
        <f t="shared" ref="N831:P832" si="316">+F831-J831</f>
        <v>0</v>
      </c>
      <c r="O831" s="391">
        <f t="shared" si="316"/>
        <v>0</v>
      </c>
      <c r="P831" s="391">
        <f t="shared" si="316"/>
        <v>0</v>
      </c>
      <c r="Q831" s="391">
        <f>+N831+O831+P831</f>
        <v>0</v>
      </c>
      <c r="R831" s="761"/>
      <c r="S831" s="267" t="str">
        <f t="shared" si="305"/>
        <v/>
      </c>
      <c r="T831" s="267" t="str">
        <f t="shared" si="305"/>
        <v/>
      </c>
      <c r="U831" s="267" t="str">
        <f t="shared" si="305"/>
        <v/>
      </c>
      <c r="V831" s="267" t="str">
        <f t="shared" si="304"/>
        <v/>
      </c>
      <c r="W831" s="532"/>
      <c r="Y831" s="236" t="s">
        <v>598</v>
      </c>
      <c r="Z831" s="240" t="s">
        <v>598</v>
      </c>
    </row>
    <row r="832" spans="1:26" ht="12" customHeight="1">
      <c r="A832" s="548" t="s">
        <v>198</v>
      </c>
      <c r="B832" s="548" t="s">
        <v>208</v>
      </c>
      <c r="C832" s="456"/>
      <c r="D832" s="549"/>
      <c r="E832" s="462" t="s">
        <v>290</v>
      </c>
      <c r="F832" s="103">
        <v>0</v>
      </c>
      <c r="G832" s="103">
        <f>SUM('[3]chd9-SAOB'!CE222)</f>
        <v>0</v>
      </c>
      <c r="H832" s="103">
        <f>SUM('[3]chd9-SAOB'!CE314)</f>
        <v>0</v>
      </c>
      <c r="I832" s="103">
        <f>+F832+G832+H832</f>
        <v>0</v>
      </c>
      <c r="J832" s="103">
        <v>0</v>
      </c>
      <c r="K832" s="103">
        <f>SUM('[3]chd9-SAOB'!CE223)</f>
        <v>0</v>
      </c>
      <c r="L832" s="103">
        <f>SUM('[3]chd9-SAOB'!CE315)</f>
        <v>0</v>
      </c>
      <c r="M832" s="103">
        <f>+J832+K832+L832</f>
        <v>0</v>
      </c>
      <c r="N832" s="103">
        <f t="shared" si="316"/>
        <v>0</v>
      </c>
      <c r="O832" s="103">
        <f t="shared" si="316"/>
        <v>0</v>
      </c>
      <c r="P832" s="103">
        <f t="shared" si="316"/>
        <v>0</v>
      </c>
      <c r="Q832" s="103">
        <f>+N832+O832+P832</f>
        <v>0</v>
      </c>
      <c r="S832" s="267" t="str">
        <f t="shared" si="305"/>
        <v/>
      </c>
      <c r="T832" s="267" t="str">
        <f t="shared" si="305"/>
        <v/>
      </c>
      <c r="U832" s="267" t="str">
        <f t="shared" si="305"/>
        <v/>
      </c>
      <c r="V832" s="267" t="str">
        <f t="shared" si="304"/>
        <v/>
      </c>
      <c r="W832" s="530"/>
      <c r="X832" s="236"/>
      <c r="Y832" s="236" t="s">
        <v>598</v>
      </c>
      <c r="Z832" s="236"/>
    </row>
    <row r="833" spans="1:26" s="259" customFormat="1" ht="12" customHeight="1">
      <c r="A833" s="315" t="s">
        <v>198</v>
      </c>
      <c r="B833" s="315" t="s">
        <v>208</v>
      </c>
      <c r="C833" s="1096"/>
      <c r="D833" s="466"/>
      <c r="E833" s="1097" t="s">
        <v>4</v>
      </c>
      <c r="F833" s="652">
        <f>+F831+F829</f>
        <v>0</v>
      </c>
      <c r="G833" s="652">
        <f t="shared" ref="G833:Q833" si="317">+G831+G829</f>
        <v>771133.26999999909</v>
      </c>
      <c r="H833" s="652">
        <f t="shared" si="317"/>
        <v>13184900</v>
      </c>
      <c r="I833" s="652">
        <f t="shared" si="317"/>
        <v>13956033.27</v>
      </c>
      <c r="J833" s="652">
        <f t="shared" si="317"/>
        <v>0</v>
      </c>
      <c r="K833" s="652">
        <f t="shared" si="317"/>
        <v>730191.79</v>
      </c>
      <c r="L833" s="652">
        <f t="shared" si="317"/>
        <v>13000272</v>
      </c>
      <c r="M833" s="652">
        <f t="shared" si="317"/>
        <v>13730463.789999999</v>
      </c>
      <c r="N833" s="652">
        <f t="shared" si="317"/>
        <v>0</v>
      </c>
      <c r="O833" s="652">
        <f t="shared" si="317"/>
        <v>40941.47999999905</v>
      </c>
      <c r="P833" s="652">
        <f t="shared" si="317"/>
        <v>184628</v>
      </c>
      <c r="Q833" s="652">
        <f t="shared" si="317"/>
        <v>225569.47999999905</v>
      </c>
      <c r="R833" s="1095">
        <f>+Q833-'[3]chd9-SAOB'!DW351</f>
        <v>-4.6566128730773926E-10</v>
      </c>
      <c r="S833" s="524" t="str">
        <f t="shared" si="305"/>
        <v/>
      </c>
      <c r="T833" s="524">
        <f t="shared" si="305"/>
        <v>0.94690738735731228</v>
      </c>
      <c r="U833" s="524">
        <f t="shared" si="305"/>
        <v>0.98599701173311893</v>
      </c>
      <c r="V833" s="524">
        <f t="shared" si="304"/>
        <v>0.98383713512027182</v>
      </c>
      <c r="W833" s="344"/>
      <c r="X833" s="520"/>
      <c r="Y833" s="837" t="s">
        <v>598</v>
      </c>
      <c r="Z833" s="241" t="s">
        <v>598</v>
      </c>
    </row>
    <row r="834" spans="1:26" ht="12" customHeight="1">
      <c r="A834" s="315"/>
      <c r="B834" s="315" t="s">
        <v>208</v>
      </c>
      <c r="C834" s="456"/>
      <c r="D834" s="456"/>
      <c r="E834" s="46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S834" s="267" t="str">
        <f t="shared" si="305"/>
        <v/>
      </c>
      <c r="T834" s="267" t="str">
        <f t="shared" si="305"/>
        <v/>
      </c>
      <c r="U834" s="267" t="str">
        <f t="shared" si="305"/>
        <v/>
      </c>
      <c r="V834" s="267" t="str">
        <f t="shared" si="304"/>
        <v/>
      </c>
      <c r="W834" s="267"/>
      <c r="Y834" s="837" t="s">
        <v>598</v>
      </c>
      <c r="Z834" s="241" t="s">
        <v>598</v>
      </c>
    </row>
    <row r="835" spans="1:26" s="275" customFormat="1" ht="14.25" customHeight="1">
      <c r="A835" s="548" t="s">
        <v>198</v>
      </c>
      <c r="B835" s="548" t="s">
        <v>210</v>
      </c>
      <c r="C835" s="464" t="s">
        <v>98</v>
      </c>
      <c r="D835" s="552" t="s">
        <v>211</v>
      </c>
      <c r="E835" s="407" t="s">
        <v>835</v>
      </c>
      <c r="F835" s="468"/>
      <c r="G835" s="468"/>
      <c r="H835" s="468"/>
      <c r="I835" s="409">
        <f t="shared" si="300"/>
        <v>0</v>
      </c>
      <c r="J835" s="468"/>
      <c r="K835" s="468"/>
      <c r="L835" s="468"/>
      <c r="M835" s="409">
        <f t="shared" si="301"/>
        <v>0</v>
      </c>
      <c r="N835" s="409">
        <f t="shared" si="302"/>
        <v>0</v>
      </c>
      <c r="O835" s="409">
        <f t="shared" si="302"/>
        <v>0</v>
      </c>
      <c r="P835" s="409">
        <f t="shared" si="302"/>
        <v>0</v>
      </c>
      <c r="Q835" s="409">
        <f t="shared" si="303"/>
        <v>0</v>
      </c>
      <c r="R835" s="761"/>
      <c r="S835" s="267" t="str">
        <f t="shared" si="305"/>
        <v/>
      </c>
      <c r="T835" s="267" t="str">
        <f t="shared" si="305"/>
        <v/>
      </c>
      <c r="U835" s="267" t="str">
        <f t="shared" si="305"/>
        <v/>
      </c>
      <c r="V835" s="267" t="str">
        <f t="shared" si="304"/>
        <v/>
      </c>
      <c r="W835" s="553"/>
      <c r="Y835" s="236" t="s">
        <v>598</v>
      </c>
      <c r="Z835" s="240" t="s">
        <v>598</v>
      </c>
    </row>
    <row r="836" spans="1:26" ht="12" customHeight="1">
      <c r="A836" s="548" t="s">
        <v>198</v>
      </c>
      <c r="B836" s="548" t="s">
        <v>210</v>
      </c>
      <c r="C836" s="447" t="s">
        <v>766</v>
      </c>
      <c r="D836" s="549"/>
      <c r="E836" s="447" t="s">
        <v>766</v>
      </c>
      <c r="F836" s="104">
        <f>+'[3]chd9-SAOB'!C513</f>
        <v>0</v>
      </c>
      <c r="G836" s="104">
        <f>+'[3]chd9-SAOB'!D513</f>
        <v>691000</v>
      </c>
      <c r="H836" s="104">
        <f>+'[3]chd9-SAOB'!E513</f>
        <v>0</v>
      </c>
      <c r="I836" s="103">
        <f t="shared" si="300"/>
        <v>691000</v>
      </c>
      <c r="J836" s="104">
        <f>+'[3]chd9-SAOB'!G513</f>
        <v>0</v>
      </c>
      <c r="K836" s="104">
        <f>+'[3]chd9-SAOB'!H513</f>
        <v>0</v>
      </c>
      <c r="L836" s="104">
        <f>+'[3]chd9-SAOB'!I513</f>
        <v>0</v>
      </c>
      <c r="M836" s="103">
        <f t="shared" si="301"/>
        <v>0</v>
      </c>
      <c r="N836" s="103">
        <f t="shared" si="302"/>
        <v>0</v>
      </c>
      <c r="O836" s="103">
        <f t="shared" si="302"/>
        <v>691000</v>
      </c>
      <c r="P836" s="103">
        <f t="shared" si="302"/>
        <v>0</v>
      </c>
      <c r="Q836" s="103">
        <f t="shared" si="303"/>
        <v>691000</v>
      </c>
      <c r="S836" s="267" t="str">
        <f t="shared" si="305"/>
        <v/>
      </c>
      <c r="T836" s="267">
        <f t="shared" si="305"/>
        <v>0</v>
      </c>
      <c r="U836" s="267" t="str">
        <f t="shared" si="305"/>
        <v/>
      </c>
      <c r="V836" s="267">
        <f t="shared" si="304"/>
        <v>0</v>
      </c>
      <c r="W836" s="530"/>
      <c r="X836" s="236"/>
      <c r="Y836" s="236" t="s">
        <v>688</v>
      </c>
      <c r="Z836" s="236"/>
    </row>
    <row r="837" spans="1:26" ht="12" customHeight="1">
      <c r="A837" s="548" t="s">
        <v>198</v>
      </c>
      <c r="B837" s="548" t="s">
        <v>210</v>
      </c>
      <c r="C837" s="456"/>
      <c r="D837" s="549"/>
      <c r="E837" s="453" t="s">
        <v>50</v>
      </c>
      <c r="F837" s="103">
        <f>+F838+F839</f>
        <v>0</v>
      </c>
      <c r="G837" s="103">
        <f>+G838+G839</f>
        <v>0</v>
      </c>
      <c r="H837" s="103">
        <f>+H838+H839</f>
        <v>0</v>
      </c>
      <c r="I837" s="103">
        <f t="shared" si="300"/>
        <v>0</v>
      </c>
      <c r="J837" s="103">
        <f>+J838+J839</f>
        <v>0</v>
      </c>
      <c r="K837" s="103">
        <f>+K838+K839</f>
        <v>0</v>
      </c>
      <c r="L837" s="103">
        <f>+L838+L839</f>
        <v>0</v>
      </c>
      <c r="M837" s="103">
        <f t="shared" si="301"/>
        <v>0</v>
      </c>
      <c r="N837" s="103">
        <f t="shared" si="302"/>
        <v>0</v>
      </c>
      <c r="O837" s="103">
        <f t="shared" si="302"/>
        <v>0</v>
      </c>
      <c r="P837" s="103">
        <f t="shared" si="302"/>
        <v>0</v>
      </c>
      <c r="Q837" s="103">
        <f t="shared" si="303"/>
        <v>0</v>
      </c>
      <c r="S837" s="267" t="str">
        <f t="shared" si="305"/>
        <v/>
      </c>
      <c r="T837" s="267" t="str">
        <f t="shared" si="305"/>
        <v/>
      </c>
      <c r="U837" s="267" t="str">
        <f t="shared" si="305"/>
        <v/>
      </c>
      <c r="V837" s="267" t="str">
        <f t="shared" si="304"/>
        <v/>
      </c>
      <c r="W837" s="530"/>
      <c r="X837" s="236"/>
      <c r="Y837" s="236" t="s">
        <v>688</v>
      </c>
      <c r="Z837" s="236"/>
    </row>
    <row r="838" spans="1:26" ht="12" hidden="1" customHeight="1">
      <c r="A838" s="548" t="s">
        <v>198</v>
      </c>
      <c r="B838" s="548" t="s">
        <v>210</v>
      </c>
      <c r="C838" s="458" t="s">
        <v>715</v>
      </c>
      <c r="D838" s="550" t="s">
        <v>715</v>
      </c>
      <c r="E838" s="447" t="s">
        <v>715</v>
      </c>
      <c r="F838" s="104">
        <f>'[3]CONAP - W INC'!F631</f>
        <v>0</v>
      </c>
      <c r="G838" s="104">
        <f>'[3]CONAP - W INC'!G631</f>
        <v>0</v>
      </c>
      <c r="H838" s="104">
        <f>'[3]CONAP - W INC'!H631</f>
        <v>0</v>
      </c>
      <c r="I838" s="103">
        <f t="shared" si="300"/>
        <v>0</v>
      </c>
      <c r="J838" s="104">
        <f>'[3]CONAP - W INC'!J631</f>
        <v>0</v>
      </c>
      <c r="K838" s="104">
        <f>'[3]CONAP - W INC'!K631</f>
        <v>0</v>
      </c>
      <c r="L838" s="104">
        <f>'[3]CONAP - W INC'!L631</f>
        <v>0</v>
      </c>
      <c r="M838" s="103">
        <f t="shared" si="301"/>
        <v>0</v>
      </c>
      <c r="N838" s="103">
        <f t="shared" si="302"/>
        <v>0</v>
      </c>
      <c r="O838" s="103">
        <f t="shared" si="302"/>
        <v>0</v>
      </c>
      <c r="P838" s="103">
        <f t="shared" si="302"/>
        <v>0</v>
      </c>
      <c r="Q838" s="103">
        <f t="shared" si="303"/>
        <v>0</v>
      </c>
      <c r="S838" s="267" t="str">
        <f t="shared" si="305"/>
        <v/>
      </c>
      <c r="T838" s="267" t="str">
        <f t="shared" si="305"/>
        <v/>
      </c>
      <c r="U838" s="267" t="str">
        <f t="shared" si="305"/>
        <v/>
      </c>
      <c r="V838" s="267" t="str">
        <f t="shared" si="304"/>
        <v/>
      </c>
      <c r="W838" s="530"/>
      <c r="X838" s="236"/>
      <c r="Y838" s="236"/>
      <c r="Z838" s="236"/>
    </row>
    <row r="839" spans="1:26" ht="12" hidden="1" customHeight="1">
      <c r="A839" s="548" t="s">
        <v>198</v>
      </c>
      <c r="B839" s="548" t="s">
        <v>210</v>
      </c>
      <c r="C839" s="458" t="s">
        <v>716</v>
      </c>
      <c r="D839" s="550" t="s">
        <v>716</v>
      </c>
      <c r="E839" s="459" t="s">
        <v>716</v>
      </c>
      <c r="F839" s="104">
        <f>'[3]CONAP - W INC'!F632</f>
        <v>0</v>
      </c>
      <c r="G839" s="104">
        <f>'[3]CONAP - W INC'!G632</f>
        <v>0</v>
      </c>
      <c r="H839" s="104">
        <f>'[3]CONAP - W INC'!H632</f>
        <v>0</v>
      </c>
      <c r="I839" s="103">
        <f t="shared" si="300"/>
        <v>0</v>
      </c>
      <c r="J839" s="104">
        <f>'[3]CONAP - W INC'!J632</f>
        <v>0</v>
      </c>
      <c r="K839" s="104">
        <f>'[3]CONAP - W INC'!K632</f>
        <v>0</v>
      </c>
      <c r="L839" s="104">
        <f>'[3]CONAP - W INC'!L632</f>
        <v>0</v>
      </c>
      <c r="M839" s="103">
        <f t="shared" si="301"/>
        <v>0</v>
      </c>
      <c r="N839" s="103">
        <f t="shared" si="302"/>
        <v>0</v>
      </c>
      <c r="O839" s="103">
        <f t="shared" si="302"/>
        <v>0</v>
      </c>
      <c r="P839" s="103">
        <f t="shared" si="302"/>
        <v>0</v>
      </c>
      <c r="Q839" s="103">
        <f t="shared" si="303"/>
        <v>0</v>
      </c>
      <c r="S839" s="267" t="str">
        <f t="shared" si="305"/>
        <v/>
      </c>
      <c r="T839" s="267" t="str">
        <f t="shared" si="305"/>
        <v/>
      </c>
      <c r="U839" s="267" t="str">
        <f t="shared" si="305"/>
        <v/>
      </c>
      <c r="V839" s="267" t="str">
        <f t="shared" si="304"/>
        <v/>
      </c>
      <c r="W839" s="530"/>
      <c r="X839" s="236"/>
      <c r="Y839" s="236"/>
      <c r="Z839" s="236"/>
    </row>
    <row r="840" spans="1:26" s="256" customFormat="1" ht="12" customHeight="1">
      <c r="A840" s="548"/>
      <c r="B840" s="548" t="s">
        <v>210</v>
      </c>
      <c r="C840" s="460"/>
      <c r="D840" s="551"/>
      <c r="E840" s="390" t="s">
        <v>767</v>
      </c>
      <c r="F840" s="391">
        <f>+F837+F836</f>
        <v>0</v>
      </c>
      <c r="G840" s="391">
        <f t="shared" ref="G840:Q840" si="318">+G837+G836</f>
        <v>691000</v>
      </c>
      <c r="H840" s="391">
        <f t="shared" si="318"/>
        <v>0</v>
      </c>
      <c r="I840" s="391">
        <f t="shared" si="318"/>
        <v>691000</v>
      </c>
      <c r="J840" s="391">
        <f t="shared" si="318"/>
        <v>0</v>
      </c>
      <c r="K840" s="391">
        <f t="shared" si="318"/>
        <v>0</v>
      </c>
      <c r="L840" s="391">
        <f t="shared" si="318"/>
        <v>0</v>
      </c>
      <c r="M840" s="391">
        <f t="shared" si="318"/>
        <v>0</v>
      </c>
      <c r="N840" s="391">
        <f t="shared" si="318"/>
        <v>0</v>
      </c>
      <c r="O840" s="391">
        <f t="shared" si="318"/>
        <v>691000</v>
      </c>
      <c r="P840" s="391">
        <f t="shared" si="318"/>
        <v>0</v>
      </c>
      <c r="Q840" s="391">
        <f t="shared" si="318"/>
        <v>691000</v>
      </c>
      <c r="R840" s="761"/>
      <c r="S840" s="267" t="str">
        <f t="shared" si="305"/>
        <v/>
      </c>
      <c r="T840" s="267">
        <f t="shared" si="305"/>
        <v>0</v>
      </c>
      <c r="U840" s="267" t="str">
        <f t="shared" si="305"/>
        <v/>
      </c>
      <c r="V840" s="267">
        <f t="shared" si="304"/>
        <v>0</v>
      </c>
      <c r="W840" s="532"/>
      <c r="Y840" s="236" t="s">
        <v>598</v>
      </c>
      <c r="Z840" s="240" t="s">
        <v>598</v>
      </c>
    </row>
    <row r="841" spans="1:26" ht="12" hidden="1" customHeight="1">
      <c r="A841" s="548"/>
      <c r="B841" s="548"/>
      <c r="C841" s="456"/>
      <c r="D841" s="549"/>
      <c r="E841" s="461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S841" s="267" t="str">
        <f t="shared" si="305"/>
        <v/>
      </c>
      <c r="T841" s="267" t="str">
        <f t="shared" si="305"/>
        <v/>
      </c>
      <c r="U841" s="267" t="str">
        <f t="shared" si="305"/>
        <v/>
      </c>
      <c r="V841" s="267" t="str">
        <f t="shared" si="304"/>
        <v/>
      </c>
      <c r="W841" s="530"/>
      <c r="X841" s="236"/>
      <c r="Y841" s="236"/>
      <c r="Z841" s="236"/>
    </row>
    <row r="842" spans="1:26" s="256" customFormat="1" ht="12" customHeight="1">
      <c r="A842" s="548" t="s">
        <v>198</v>
      </c>
      <c r="B842" s="548" t="s">
        <v>210</v>
      </c>
      <c r="C842" s="460"/>
      <c r="D842" s="551" t="s">
        <v>98</v>
      </c>
      <c r="E842" s="390" t="s">
        <v>100</v>
      </c>
      <c r="F842" s="391">
        <f>SUM(F843:F843)</f>
        <v>0</v>
      </c>
      <c r="G842" s="391">
        <f>SUM(G843:G843)</f>
        <v>0</v>
      </c>
      <c r="H842" s="391">
        <f>SUM(H843:H843)</f>
        <v>0</v>
      </c>
      <c r="I842" s="391">
        <f>+F842+G842+H842</f>
        <v>0</v>
      </c>
      <c r="J842" s="391">
        <f>SUM(J843:J843)</f>
        <v>0</v>
      </c>
      <c r="K842" s="391">
        <f>SUM(K843:K843)</f>
        <v>0</v>
      </c>
      <c r="L842" s="391">
        <f>SUM(L843:L843)</f>
        <v>0</v>
      </c>
      <c r="M842" s="391">
        <f>+J842+K842+L842</f>
        <v>0</v>
      </c>
      <c r="N842" s="391">
        <f t="shared" ref="N842:P843" si="319">+F842-J842</f>
        <v>0</v>
      </c>
      <c r="O842" s="391">
        <f t="shared" si="319"/>
        <v>0</v>
      </c>
      <c r="P842" s="391">
        <f t="shared" si="319"/>
        <v>0</v>
      </c>
      <c r="Q842" s="391">
        <f>+N842+O842+P842</f>
        <v>0</v>
      </c>
      <c r="R842" s="761"/>
      <c r="S842" s="267" t="str">
        <f t="shared" si="305"/>
        <v/>
      </c>
      <c r="T842" s="267" t="str">
        <f t="shared" si="305"/>
        <v/>
      </c>
      <c r="U842" s="267" t="str">
        <f t="shared" si="305"/>
        <v/>
      </c>
      <c r="V842" s="267" t="str">
        <f t="shared" si="304"/>
        <v/>
      </c>
      <c r="W842" s="532"/>
      <c r="Y842" s="236" t="s">
        <v>598</v>
      </c>
      <c r="Z842" s="240" t="s">
        <v>598</v>
      </c>
    </row>
    <row r="843" spans="1:26" ht="12" customHeight="1">
      <c r="A843" s="548" t="s">
        <v>198</v>
      </c>
      <c r="B843" s="548" t="s">
        <v>210</v>
      </c>
      <c r="C843" s="456"/>
      <c r="D843" s="549"/>
      <c r="E843" s="462" t="s">
        <v>290</v>
      </c>
      <c r="F843" s="103">
        <v>0</v>
      </c>
      <c r="G843" s="103">
        <f>SUM('[3]chd9-SAOB'!CF222)</f>
        <v>0</v>
      </c>
      <c r="H843" s="103">
        <f>SUM('[3]chd9-SAOB'!CF314)</f>
        <v>0</v>
      </c>
      <c r="I843" s="103">
        <f>+F843+G843+H843</f>
        <v>0</v>
      </c>
      <c r="J843" s="103">
        <v>0</v>
      </c>
      <c r="K843" s="103">
        <f>SUM('[3]chd9-SAOB'!CF223)</f>
        <v>0</v>
      </c>
      <c r="L843" s="103">
        <f>SUM('[3]chd9-SAOB'!CF315)</f>
        <v>0</v>
      </c>
      <c r="M843" s="103">
        <f>+J843+K843+L843</f>
        <v>0</v>
      </c>
      <c r="N843" s="103">
        <f t="shared" si="319"/>
        <v>0</v>
      </c>
      <c r="O843" s="103">
        <f t="shared" si="319"/>
        <v>0</v>
      </c>
      <c r="P843" s="103">
        <f t="shared" si="319"/>
        <v>0</v>
      </c>
      <c r="Q843" s="103">
        <f>+N843+O843+P843</f>
        <v>0</v>
      </c>
      <c r="S843" s="267" t="str">
        <f t="shared" si="305"/>
        <v/>
      </c>
      <c r="T843" s="267" t="str">
        <f t="shared" si="305"/>
        <v/>
      </c>
      <c r="U843" s="267" t="str">
        <f t="shared" si="305"/>
        <v/>
      </c>
      <c r="V843" s="267" t="str">
        <f t="shared" si="304"/>
        <v/>
      </c>
      <c r="W843" s="530"/>
      <c r="X843" s="236"/>
      <c r="Y843" s="236" t="s">
        <v>598</v>
      </c>
      <c r="Z843" s="236"/>
    </row>
    <row r="844" spans="1:26" s="259" customFormat="1" ht="12" customHeight="1">
      <c r="A844" s="315" t="s">
        <v>198</v>
      </c>
      <c r="B844" s="315" t="s">
        <v>210</v>
      </c>
      <c r="C844" s="1096"/>
      <c r="D844" s="466"/>
      <c r="E844" s="1097" t="s">
        <v>4</v>
      </c>
      <c r="F844" s="652">
        <f>+F842+F840</f>
        <v>0</v>
      </c>
      <c r="G844" s="652">
        <f t="shared" ref="G844:Q844" si="320">+G842+G840</f>
        <v>691000</v>
      </c>
      <c r="H844" s="652">
        <f t="shared" si="320"/>
        <v>0</v>
      </c>
      <c r="I844" s="652">
        <f t="shared" si="320"/>
        <v>691000</v>
      </c>
      <c r="J844" s="652">
        <f t="shared" si="320"/>
        <v>0</v>
      </c>
      <c r="K844" s="652">
        <f t="shared" si="320"/>
        <v>0</v>
      </c>
      <c r="L844" s="652">
        <f t="shared" si="320"/>
        <v>0</v>
      </c>
      <c r="M844" s="652">
        <f t="shared" si="320"/>
        <v>0</v>
      </c>
      <c r="N844" s="652">
        <f t="shared" si="320"/>
        <v>0</v>
      </c>
      <c r="O844" s="652">
        <f t="shared" si="320"/>
        <v>691000</v>
      </c>
      <c r="P844" s="652">
        <f t="shared" si="320"/>
        <v>0</v>
      </c>
      <c r="Q844" s="652">
        <f t="shared" si="320"/>
        <v>691000</v>
      </c>
      <c r="R844" s="1095">
        <f>+Q844-'[3]chd9-SAOB'!DX351</f>
        <v>0</v>
      </c>
      <c r="S844" s="524" t="str">
        <f t="shared" si="305"/>
        <v/>
      </c>
      <c r="T844" s="524">
        <f t="shared" si="305"/>
        <v>0</v>
      </c>
      <c r="U844" s="524" t="str">
        <f t="shared" si="305"/>
        <v/>
      </c>
      <c r="V844" s="524">
        <f t="shared" si="304"/>
        <v>0</v>
      </c>
      <c r="W844" s="344"/>
      <c r="X844" s="520"/>
      <c r="Y844" s="837" t="s">
        <v>598</v>
      </c>
      <c r="Z844" s="241" t="s">
        <v>598</v>
      </c>
    </row>
    <row r="845" spans="1:26" s="660" customFormat="1" ht="12" hidden="1" customHeight="1">
      <c r="A845" s="315" t="s">
        <v>198</v>
      </c>
      <c r="B845" s="315" t="s">
        <v>199</v>
      </c>
      <c r="C845" s="1467" t="s">
        <v>639</v>
      </c>
      <c r="D845" s="1468"/>
      <c r="E845" s="1469"/>
      <c r="F845" s="659">
        <f>+F767+F778+F789+F800+F811+F822+F833+F844</f>
        <v>0</v>
      </c>
      <c r="G845" s="659">
        <f>+G767+G778+G789+G800+G811+G822+G833+G844</f>
        <v>29667570.709999997</v>
      </c>
      <c r="H845" s="659">
        <f>+H767+H778+H789+H800+H811+H822+H833+H844</f>
        <v>25992900</v>
      </c>
      <c r="I845" s="659">
        <f t="shared" si="300"/>
        <v>55660470.709999993</v>
      </c>
      <c r="J845" s="659">
        <f>+J767+J778+J789+J800+J811+J822+J833+J844</f>
        <v>0</v>
      </c>
      <c r="K845" s="659">
        <f>+K767+K778+K789+K800+K811+K822+K833+K844</f>
        <v>24227051.540000003</v>
      </c>
      <c r="L845" s="659">
        <f>+L767+L778+L789+L800+L811+L822+L833+L844</f>
        <v>14594272</v>
      </c>
      <c r="M845" s="659">
        <f t="shared" si="301"/>
        <v>38821323.540000007</v>
      </c>
      <c r="N845" s="659">
        <f t="shared" si="302"/>
        <v>0</v>
      </c>
      <c r="O845" s="659">
        <f t="shared" si="302"/>
        <v>5440519.1699999943</v>
      </c>
      <c r="P845" s="659">
        <f t="shared" si="302"/>
        <v>11398628</v>
      </c>
      <c r="Q845" s="659">
        <f t="shared" si="303"/>
        <v>16839147.169999994</v>
      </c>
      <c r="R845" s="1098"/>
      <c r="S845" s="661" t="str">
        <f t="shared" si="305"/>
        <v/>
      </c>
      <c r="T845" s="661">
        <f t="shared" si="305"/>
        <v>0.816617301659749</v>
      </c>
      <c r="U845" s="661">
        <f t="shared" si="305"/>
        <v>0.56147147874996639</v>
      </c>
      <c r="V845" s="661">
        <f t="shared" si="304"/>
        <v>0.69746667688574437</v>
      </c>
      <c r="W845" s="295"/>
      <c r="X845" s="520"/>
      <c r="Y845" s="837"/>
      <c r="Z845" s="241"/>
    </row>
    <row r="846" spans="1:26" ht="12" hidden="1" customHeight="1">
      <c r="A846" s="315" t="s">
        <v>198</v>
      </c>
      <c r="B846" s="315" t="s">
        <v>199</v>
      </c>
      <c r="C846" s="469"/>
      <c r="D846" s="470"/>
      <c r="E846" s="471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S846" s="267" t="str">
        <f t="shared" si="305"/>
        <v/>
      </c>
      <c r="T846" s="267" t="str">
        <f t="shared" si="305"/>
        <v/>
      </c>
      <c r="U846" s="267" t="str">
        <f t="shared" si="305"/>
        <v/>
      </c>
      <c r="V846" s="267" t="str">
        <f t="shared" si="304"/>
        <v/>
      </c>
      <c r="W846" s="267"/>
      <c r="X846" s="237" t="s">
        <v>598</v>
      </c>
    </row>
    <row r="847" spans="1:26" s="275" customFormat="1" ht="12.75" hidden="1" customHeight="1">
      <c r="A847" s="315" t="s">
        <v>640</v>
      </c>
      <c r="B847" s="315" t="s">
        <v>199</v>
      </c>
      <c r="C847" s="464" t="s">
        <v>836</v>
      </c>
      <c r="D847" s="464"/>
      <c r="E847" s="472"/>
      <c r="F847" s="409"/>
      <c r="G847" s="409"/>
      <c r="H847" s="409"/>
      <c r="I847" s="409">
        <f t="shared" ref="I847:I899" si="321">+F847+G847+H847</f>
        <v>0</v>
      </c>
      <c r="J847" s="409"/>
      <c r="K847" s="409"/>
      <c r="L847" s="409"/>
      <c r="M847" s="409">
        <f t="shared" ref="M847:M899" si="322">+J847+K847+L847</f>
        <v>0</v>
      </c>
      <c r="N847" s="409">
        <f t="shared" ref="N847:P899" si="323">+F847-J847</f>
        <v>0</v>
      </c>
      <c r="O847" s="409">
        <f t="shared" si="323"/>
        <v>0</v>
      </c>
      <c r="P847" s="409">
        <f t="shared" si="323"/>
        <v>0</v>
      </c>
      <c r="Q847" s="409">
        <f t="shared" ref="Q847:Q899" si="324">+N847+O847+P847</f>
        <v>0</v>
      </c>
      <c r="R847" s="761"/>
      <c r="S847" s="267" t="str">
        <f t="shared" si="305"/>
        <v/>
      </c>
      <c r="T847" s="267" t="str">
        <f t="shared" si="305"/>
        <v/>
      </c>
      <c r="U847" s="267" t="str">
        <f t="shared" si="305"/>
        <v/>
      </c>
      <c r="V847" s="267" t="str">
        <f t="shared" si="304"/>
        <v/>
      </c>
      <c r="W847" s="251"/>
      <c r="X847" s="237" t="s">
        <v>598</v>
      </c>
      <c r="Y847" s="839"/>
      <c r="Z847" s="253"/>
    </row>
    <row r="848" spans="1:26" ht="12" hidden="1" customHeight="1">
      <c r="A848" s="315" t="s">
        <v>640</v>
      </c>
      <c r="B848" s="315" t="s">
        <v>199</v>
      </c>
      <c r="C848" s="447" t="s">
        <v>766</v>
      </c>
      <c r="D848" s="456" t="s">
        <v>98</v>
      </c>
      <c r="E848" s="447" t="s">
        <v>766</v>
      </c>
      <c r="F848" s="103">
        <f>+F744+F759+F770+F781+F792+F803+F814+F825+F836</f>
        <v>0</v>
      </c>
      <c r="G848" s="103">
        <f>+G744+G759+G770+G781+G792+G803+G814+G825+G836</f>
        <v>2453299.3999999966</v>
      </c>
      <c r="H848" s="103">
        <f>+H744+H759+H770+H781+H792+H803+H814+H825+H836</f>
        <v>0</v>
      </c>
      <c r="I848" s="103">
        <f t="shared" si="321"/>
        <v>2453299.3999999966</v>
      </c>
      <c r="J848" s="103">
        <f>+J744+J759+J770+J781+J792+J803+J814+J825+J836</f>
        <v>0</v>
      </c>
      <c r="K848" s="103">
        <f>+K744+K759+K770+K781+K792+K803+K814+K825+K836</f>
        <v>1746535.52</v>
      </c>
      <c r="L848" s="103">
        <f>+L744+L759+L770+L781+L792+L803+L814+L825+L836</f>
        <v>0</v>
      </c>
      <c r="M848" s="103">
        <f t="shared" si="322"/>
        <v>1746535.52</v>
      </c>
      <c r="N848" s="103">
        <f t="shared" si="323"/>
        <v>0</v>
      </c>
      <c r="O848" s="103">
        <f t="shared" si="323"/>
        <v>706763.87999999663</v>
      </c>
      <c r="P848" s="103">
        <f t="shared" si="323"/>
        <v>0</v>
      </c>
      <c r="Q848" s="103">
        <f t="shared" si="324"/>
        <v>706763.87999999663</v>
      </c>
      <c r="S848" s="267" t="str">
        <f t="shared" si="305"/>
        <v/>
      </c>
      <c r="T848" s="267">
        <f t="shared" si="305"/>
        <v>0.7119129120563118</v>
      </c>
      <c r="U848" s="267" t="str">
        <f t="shared" si="305"/>
        <v/>
      </c>
      <c r="V848" s="267">
        <f t="shared" si="304"/>
        <v>0.7119129120563118</v>
      </c>
      <c r="W848" s="267"/>
      <c r="X848" s="237" t="s">
        <v>598</v>
      </c>
    </row>
    <row r="849" spans="1:26" ht="12" hidden="1" customHeight="1">
      <c r="A849" s="315" t="s">
        <v>640</v>
      </c>
      <c r="B849" s="315" t="s">
        <v>199</v>
      </c>
      <c r="C849" s="456"/>
      <c r="D849" s="456" t="s">
        <v>98</v>
      </c>
      <c r="E849" s="453" t="s">
        <v>50</v>
      </c>
      <c r="F849" s="103">
        <f>+F850+F851</f>
        <v>0</v>
      </c>
      <c r="G849" s="103">
        <f>+G850+G851</f>
        <v>34906716.790000007</v>
      </c>
      <c r="H849" s="103">
        <f>+H850+H851</f>
        <v>110212196.06</v>
      </c>
      <c r="I849" s="103">
        <f t="shared" si="321"/>
        <v>145118912.85000002</v>
      </c>
      <c r="J849" s="103">
        <f>+J850+J851</f>
        <v>0</v>
      </c>
      <c r="K849" s="103">
        <f>+K850+K851</f>
        <v>25630588.909999996</v>
      </c>
      <c r="L849" s="103">
        <f>+L850+L851</f>
        <v>51548281.080000006</v>
      </c>
      <c r="M849" s="103">
        <f t="shared" si="322"/>
        <v>77178869.99000001</v>
      </c>
      <c r="N849" s="103">
        <f t="shared" si="323"/>
        <v>0</v>
      </c>
      <c r="O849" s="103">
        <f t="shared" si="323"/>
        <v>9276127.8800000101</v>
      </c>
      <c r="P849" s="103">
        <f t="shared" si="323"/>
        <v>58663914.979999997</v>
      </c>
      <c r="Q849" s="103">
        <f t="shared" si="324"/>
        <v>67940042.860000014</v>
      </c>
      <c r="S849" s="267" t="str">
        <f t="shared" si="305"/>
        <v/>
      </c>
      <c r="T849" s="267">
        <f t="shared" si="305"/>
        <v>0.73425951412716617</v>
      </c>
      <c r="U849" s="267">
        <f t="shared" si="305"/>
        <v>0.46771848237137836</v>
      </c>
      <c r="V849" s="267">
        <f t="shared" si="304"/>
        <v>0.53183191959117548</v>
      </c>
      <c r="W849" s="267"/>
      <c r="X849" s="237" t="s">
        <v>598</v>
      </c>
    </row>
    <row r="850" spans="1:26" ht="12" hidden="1" customHeight="1">
      <c r="A850" s="315" t="s">
        <v>640</v>
      </c>
      <c r="B850" s="315" t="s">
        <v>199</v>
      </c>
      <c r="C850" s="458" t="s">
        <v>715</v>
      </c>
      <c r="D850" s="458" t="s">
        <v>715</v>
      </c>
      <c r="E850" s="447" t="s">
        <v>715</v>
      </c>
      <c r="F850" s="103">
        <f t="shared" ref="F850:H851" si="325">+F749+F761+F772+F783+F794+F805+F816+F827+F838</f>
        <v>0</v>
      </c>
      <c r="G850" s="103">
        <f t="shared" si="325"/>
        <v>-5598677.1600000001</v>
      </c>
      <c r="H850" s="103">
        <f t="shared" si="325"/>
        <v>16623800</v>
      </c>
      <c r="I850" s="103">
        <f t="shared" si="321"/>
        <v>11025122.84</v>
      </c>
      <c r="J850" s="103">
        <f t="shared" ref="J850:L851" si="326">+J749+J761+J772+J783+J794+J805+J816+J827+J838</f>
        <v>0</v>
      </c>
      <c r="K850" s="103">
        <f t="shared" si="326"/>
        <v>0</v>
      </c>
      <c r="L850" s="103">
        <f t="shared" si="326"/>
        <v>3044200</v>
      </c>
      <c r="M850" s="103">
        <f t="shared" si="322"/>
        <v>3044200</v>
      </c>
      <c r="N850" s="103">
        <f t="shared" si="323"/>
        <v>0</v>
      </c>
      <c r="O850" s="103">
        <f t="shared" si="323"/>
        <v>-5598677.1600000001</v>
      </c>
      <c r="P850" s="103">
        <f t="shared" si="323"/>
        <v>13579600</v>
      </c>
      <c r="Q850" s="103">
        <f t="shared" si="324"/>
        <v>7980922.8399999999</v>
      </c>
      <c r="S850" s="267" t="str">
        <f t="shared" si="305"/>
        <v/>
      </c>
      <c r="T850" s="267">
        <f t="shared" si="305"/>
        <v>0</v>
      </c>
      <c r="U850" s="267">
        <f t="shared" si="305"/>
        <v>0.18312299233628893</v>
      </c>
      <c r="V850" s="267">
        <f t="shared" si="304"/>
        <v>0.27611483737445597</v>
      </c>
      <c r="W850" s="267"/>
      <c r="X850" s="237" t="s">
        <v>598</v>
      </c>
    </row>
    <row r="851" spans="1:26" ht="12" hidden="1" customHeight="1">
      <c r="A851" s="315" t="s">
        <v>640</v>
      </c>
      <c r="B851" s="315" t="s">
        <v>199</v>
      </c>
      <c r="C851" s="458" t="s">
        <v>716</v>
      </c>
      <c r="D851" s="458" t="s">
        <v>716</v>
      </c>
      <c r="E851" s="459" t="s">
        <v>716</v>
      </c>
      <c r="F851" s="103">
        <f t="shared" si="325"/>
        <v>0</v>
      </c>
      <c r="G851" s="103">
        <f t="shared" si="325"/>
        <v>40505393.950000003</v>
      </c>
      <c r="H851" s="103">
        <f t="shared" si="325"/>
        <v>93588396.060000002</v>
      </c>
      <c r="I851" s="103">
        <f t="shared" si="321"/>
        <v>134093790.01000001</v>
      </c>
      <c r="J851" s="103">
        <f t="shared" si="326"/>
        <v>0</v>
      </c>
      <c r="K851" s="103">
        <f t="shared" si="326"/>
        <v>25630588.909999996</v>
      </c>
      <c r="L851" s="103">
        <f t="shared" si="326"/>
        <v>48504081.080000006</v>
      </c>
      <c r="M851" s="103">
        <f t="shared" si="322"/>
        <v>74134669.99000001</v>
      </c>
      <c r="N851" s="103">
        <f t="shared" si="323"/>
        <v>0</v>
      </c>
      <c r="O851" s="103">
        <f t="shared" si="323"/>
        <v>14874805.040000007</v>
      </c>
      <c r="P851" s="103">
        <f t="shared" si="323"/>
        <v>45084314.979999997</v>
      </c>
      <c r="Q851" s="103">
        <f t="shared" si="324"/>
        <v>59959120.020000003</v>
      </c>
      <c r="S851" s="267" t="str">
        <f t="shared" si="305"/>
        <v/>
      </c>
      <c r="T851" s="267">
        <f t="shared" si="305"/>
        <v>0.63276977238237664</v>
      </c>
      <c r="U851" s="267">
        <f t="shared" si="305"/>
        <v>0.51827024633378471</v>
      </c>
      <c r="V851" s="267">
        <f t="shared" si="304"/>
        <v>0.55285684731911477</v>
      </c>
      <c r="W851" s="267"/>
      <c r="X851" s="237" t="s">
        <v>598</v>
      </c>
    </row>
    <row r="852" spans="1:26" s="256" customFormat="1" ht="12" hidden="1" customHeight="1">
      <c r="A852" s="315"/>
      <c r="B852" s="315" t="s">
        <v>199</v>
      </c>
      <c r="C852" s="460"/>
      <c r="D852" s="460"/>
      <c r="E852" s="390" t="s">
        <v>767</v>
      </c>
      <c r="F852" s="391">
        <f>+F849+F848</f>
        <v>0</v>
      </c>
      <c r="G852" s="391">
        <f t="shared" ref="G852:Q852" si="327">+G849+G848</f>
        <v>37360016.190000005</v>
      </c>
      <c r="H852" s="391">
        <f t="shared" si="327"/>
        <v>110212196.06</v>
      </c>
      <c r="I852" s="391">
        <f t="shared" si="327"/>
        <v>147572212.25000003</v>
      </c>
      <c r="J852" s="391">
        <f t="shared" si="327"/>
        <v>0</v>
      </c>
      <c r="K852" s="391">
        <f t="shared" si="327"/>
        <v>27377124.429999996</v>
      </c>
      <c r="L852" s="391">
        <f t="shared" si="327"/>
        <v>51548281.080000006</v>
      </c>
      <c r="M852" s="391">
        <f t="shared" si="327"/>
        <v>78925405.510000005</v>
      </c>
      <c r="N852" s="391">
        <f t="shared" si="327"/>
        <v>0</v>
      </c>
      <c r="O852" s="391">
        <f t="shared" si="327"/>
        <v>9982891.7600000072</v>
      </c>
      <c r="P852" s="391">
        <f t="shared" si="327"/>
        <v>58663914.979999997</v>
      </c>
      <c r="Q852" s="391">
        <f t="shared" si="327"/>
        <v>68646806.74000001</v>
      </c>
      <c r="R852" s="761"/>
      <c r="S852" s="267" t="str">
        <f t="shared" si="305"/>
        <v/>
      </c>
      <c r="T852" s="267">
        <f t="shared" si="305"/>
        <v>0.73279209224025743</v>
      </c>
      <c r="U852" s="267">
        <f t="shared" si="305"/>
        <v>0.46771848237137836</v>
      </c>
      <c r="V852" s="267">
        <f t="shared" si="304"/>
        <v>0.5348256579381867</v>
      </c>
      <c r="W852" s="263"/>
      <c r="X852" s="237" t="s">
        <v>598</v>
      </c>
      <c r="Y852" s="840"/>
      <c r="Z852" s="241"/>
    </row>
    <row r="853" spans="1:26" ht="12" hidden="1" customHeight="1">
      <c r="A853" s="315"/>
      <c r="B853" s="315"/>
      <c r="C853" s="456"/>
      <c r="D853" s="456"/>
      <c r="E853" s="461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S853" s="267" t="str">
        <f t="shared" si="305"/>
        <v/>
      </c>
      <c r="T853" s="267" t="str">
        <f t="shared" si="305"/>
        <v/>
      </c>
      <c r="U853" s="267" t="str">
        <f t="shared" si="305"/>
        <v/>
      </c>
      <c r="V853" s="267" t="str">
        <f t="shared" si="304"/>
        <v/>
      </c>
      <c r="W853" s="267"/>
      <c r="X853" s="237" t="s">
        <v>598</v>
      </c>
    </row>
    <row r="854" spans="1:26" s="256" customFormat="1" ht="12" hidden="1" customHeight="1">
      <c r="A854" s="315" t="s">
        <v>640</v>
      </c>
      <c r="B854" s="315" t="s">
        <v>199</v>
      </c>
      <c r="C854" s="460"/>
      <c r="D854" s="460" t="s">
        <v>98</v>
      </c>
      <c r="E854" s="390" t="s">
        <v>100</v>
      </c>
      <c r="F854" s="391">
        <f>SUM(F855:F855)</f>
        <v>0</v>
      </c>
      <c r="G854" s="391">
        <f>SUM(G855:G855)</f>
        <v>26386381.329999998</v>
      </c>
      <c r="H854" s="391">
        <f>SUM(H855:H855)</f>
        <v>2000000</v>
      </c>
      <c r="I854" s="391">
        <f>+F854+G854+H854</f>
        <v>28386381.329999998</v>
      </c>
      <c r="J854" s="391">
        <f>SUM(J855:J855)</f>
        <v>0</v>
      </c>
      <c r="K854" s="391">
        <f>SUM(K855:K855)</f>
        <v>22678015.310000002</v>
      </c>
      <c r="L854" s="391">
        <f>SUM(L855:L855)</f>
        <v>1594000</v>
      </c>
      <c r="M854" s="391">
        <f>+J854+K854+L854</f>
        <v>24272015.310000002</v>
      </c>
      <c r="N854" s="391">
        <f t="shared" ref="N854:P855" si="328">+F854-J854</f>
        <v>0</v>
      </c>
      <c r="O854" s="391">
        <f t="shared" si="328"/>
        <v>3708366.0199999958</v>
      </c>
      <c r="P854" s="391">
        <f t="shared" si="328"/>
        <v>406000</v>
      </c>
      <c r="Q854" s="391">
        <f>+N854+O854+P854</f>
        <v>4114366.0199999958</v>
      </c>
      <c r="R854" s="761"/>
      <c r="S854" s="267" t="str">
        <f t="shared" si="305"/>
        <v/>
      </c>
      <c r="T854" s="267">
        <f t="shared" si="305"/>
        <v>0.85945909089914618</v>
      </c>
      <c r="U854" s="267">
        <f t="shared" si="305"/>
        <v>0.79700000000000004</v>
      </c>
      <c r="V854" s="267">
        <f t="shared" si="304"/>
        <v>0.85505845313041895</v>
      </c>
      <c r="W854" s="263"/>
      <c r="X854" s="237" t="s">
        <v>598</v>
      </c>
      <c r="Y854" s="840"/>
      <c r="Z854" s="241"/>
    </row>
    <row r="855" spans="1:26" ht="12" hidden="1" customHeight="1">
      <c r="A855" s="315" t="s">
        <v>640</v>
      </c>
      <c r="B855" s="315" t="s">
        <v>199</v>
      </c>
      <c r="C855" s="456"/>
      <c r="D855" s="456"/>
      <c r="E855" s="462" t="s">
        <v>290</v>
      </c>
      <c r="F855" s="103">
        <f>+F754+F766+F777+F788+F799+F810+F821+F832+F843</f>
        <v>0</v>
      </c>
      <c r="G855" s="103">
        <f>+G754+G766+G777+G788+G799+G810+G821+G832+G843</f>
        <v>26386381.329999998</v>
      </c>
      <c r="H855" s="103">
        <f>+H754+H766+H777+H788+H799+H810+H821+H832+H843</f>
        <v>2000000</v>
      </c>
      <c r="I855" s="103">
        <f>+F855+G855+H855</f>
        <v>28386381.329999998</v>
      </c>
      <c r="J855" s="103">
        <f>+J754+J766+J777+J788+J799+J810+J821+J832+J843</f>
        <v>0</v>
      </c>
      <c r="K855" s="103">
        <f>+K754+K766+K777+K788+K799+K810+K821+K832+K843</f>
        <v>22678015.310000002</v>
      </c>
      <c r="L855" s="103">
        <f>+L754+L766+L777+L788+L799+L810+L821+L832+L843</f>
        <v>1594000</v>
      </c>
      <c r="M855" s="103">
        <f>+J855+K855+L855</f>
        <v>24272015.310000002</v>
      </c>
      <c r="N855" s="103">
        <f t="shared" si="328"/>
        <v>0</v>
      </c>
      <c r="O855" s="103">
        <f t="shared" si="328"/>
        <v>3708366.0199999958</v>
      </c>
      <c r="P855" s="103">
        <f t="shared" si="328"/>
        <v>406000</v>
      </c>
      <c r="Q855" s="103">
        <f>+N855+O855+P855</f>
        <v>4114366.0199999958</v>
      </c>
      <c r="S855" s="267" t="str">
        <f t="shared" si="305"/>
        <v/>
      </c>
      <c r="T855" s="267">
        <f t="shared" si="305"/>
        <v>0.85945909089914618</v>
      </c>
      <c r="U855" s="267">
        <f t="shared" si="305"/>
        <v>0.79700000000000004</v>
      </c>
      <c r="V855" s="267">
        <f t="shared" si="305"/>
        <v>0.85505845313041895</v>
      </c>
      <c r="W855" s="267"/>
      <c r="X855" s="237" t="s">
        <v>598</v>
      </c>
    </row>
    <row r="856" spans="1:26" s="266" customFormat="1" ht="24" customHeight="1">
      <c r="A856" s="315" t="s">
        <v>640</v>
      </c>
      <c r="B856" s="315" t="s">
        <v>199</v>
      </c>
      <c r="C856" s="1470" t="s">
        <v>642</v>
      </c>
      <c r="D856" s="1471"/>
      <c r="E856" s="1472"/>
      <c r="F856" s="666">
        <f>+F854+F852</f>
        <v>0</v>
      </c>
      <c r="G856" s="666">
        <f t="shared" ref="G856:Q856" si="329">+G854+G852</f>
        <v>63746397.520000003</v>
      </c>
      <c r="H856" s="666">
        <f t="shared" si="329"/>
        <v>112212196.06</v>
      </c>
      <c r="I856" s="666">
        <f t="shared" si="329"/>
        <v>175958593.58000004</v>
      </c>
      <c r="J856" s="666">
        <f t="shared" si="329"/>
        <v>0</v>
      </c>
      <c r="K856" s="666">
        <f t="shared" si="329"/>
        <v>50055139.739999995</v>
      </c>
      <c r="L856" s="666">
        <f t="shared" si="329"/>
        <v>53142281.080000006</v>
      </c>
      <c r="M856" s="666">
        <f t="shared" si="329"/>
        <v>103197420.82000001</v>
      </c>
      <c r="N856" s="666">
        <f t="shared" si="329"/>
        <v>0</v>
      </c>
      <c r="O856" s="666">
        <f t="shared" si="329"/>
        <v>13691257.780000003</v>
      </c>
      <c r="P856" s="666">
        <f t="shared" si="329"/>
        <v>59069914.979999997</v>
      </c>
      <c r="Q856" s="666">
        <f t="shared" si="329"/>
        <v>72761172.760000005</v>
      </c>
      <c r="R856" s="1099">
        <f>+Q856-'[3]chd9-SAOB'!DY351</f>
        <v>0</v>
      </c>
      <c r="S856" s="525" t="str">
        <f t="shared" ref="S856:V919" si="330">IF(F856=0,"",J856/F856)</f>
        <v/>
      </c>
      <c r="T856" s="525">
        <f t="shared" si="330"/>
        <v>0.78522303514164127</v>
      </c>
      <c r="U856" s="525">
        <f t="shared" si="330"/>
        <v>0.47358739019406376</v>
      </c>
      <c r="V856" s="525">
        <f t="shared" si="330"/>
        <v>0.58648696105360165</v>
      </c>
      <c r="W856" s="345"/>
      <c r="X856" s="237" t="s">
        <v>598</v>
      </c>
      <c r="Y856" s="837" t="s">
        <v>598</v>
      </c>
      <c r="Z856" s="241" t="s">
        <v>598</v>
      </c>
    </row>
    <row r="857" spans="1:26" ht="12" customHeight="1">
      <c r="A857" s="315" t="s">
        <v>640</v>
      </c>
      <c r="B857" s="315" t="s">
        <v>199</v>
      </c>
      <c r="C857" s="456"/>
      <c r="D857" s="456"/>
      <c r="E857" s="411"/>
      <c r="F857" s="104"/>
      <c r="G857" s="104"/>
      <c r="H857" s="104"/>
      <c r="I857" s="103"/>
      <c r="J857" s="104"/>
      <c r="K857" s="104"/>
      <c r="L857" s="104"/>
      <c r="M857" s="103"/>
      <c r="N857" s="103"/>
      <c r="O857" s="103"/>
      <c r="P857" s="103"/>
      <c r="Q857" s="103"/>
      <c r="S857" s="267" t="str">
        <f t="shared" si="330"/>
        <v/>
      </c>
      <c r="T857" s="267" t="str">
        <f t="shared" si="330"/>
        <v/>
      </c>
      <c r="U857" s="267" t="str">
        <f t="shared" si="330"/>
        <v/>
      </c>
      <c r="V857" s="267" t="str">
        <f t="shared" si="330"/>
        <v/>
      </c>
      <c r="W857" s="267"/>
      <c r="Y857" s="837" t="s">
        <v>598</v>
      </c>
      <c r="Z857" s="241" t="s">
        <v>598</v>
      </c>
    </row>
    <row r="858" spans="1:26" ht="11.25" customHeight="1">
      <c r="A858" s="528" t="s">
        <v>644</v>
      </c>
      <c r="B858" s="528" t="s">
        <v>213</v>
      </c>
      <c r="C858" s="408"/>
      <c r="D858" s="529"/>
      <c r="E858" s="408" t="s">
        <v>213</v>
      </c>
      <c r="F858" s="104"/>
      <c r="G858" s="104"/>
      <c r="H858" s="104"/>
      <c r="I858" s="103">
        <f>SUM(F858:H858)</f>
        <v>0</v>
      </c>
      <c r="J858" s="104"/>
      <c r="K858" s="104"/>
      <c r="L858" s="104"/>
      <c r="M858" s="103">
        <f>SUM(J858:L858)</f>
        <v>0</v>
      </c>
      <c r="N858" s="103">
        <f t="shared" si="323"/>
        <v>0</v>
      </c>
      <c r="O858" s="103">
        <f t="shared" si="323"/>
        <v>0</v>
      </c>
      <c r="P858" s="103">
        <f t="shared" si="323"/>
        <v>0</v>
      </c>
      <c r="Q858" s="103">
        <f>SUM(N858:P858)</f>
        <v>0</v>
      </c>
      <c r="S858" s="267" t="str">
        <f t="shared" si="330"/>
        <v/>
      </c>
      <c r="T858" s="267" t="str">
        <f t="shared" si="330"/>
        <v/>
      </c>
      <c r="U858" s="267" t="str">
        <f t="shared" si="330"/>
        <v/>
      </c>
      <c r="V858" s="267" t="str">
        <f t="shared" si="330"/>
        <v/>
      </c>
      <c r="W858" s="531"/>
      <c r="X858" s="236"/>
      <c r="Y858" s="236" t="s">
        <v>598</v>
      </c>
      <c r="Z858" s="240" t="s">
        <v>598</v>
      </c>
    </row>
    <row r="859" spans="1:26" ht="12" customHeight="1">
      <c r="A859" s="548" t="s">
        <v>212</v>
      </c>
      <c r="B859" s="548" t="s">
        <v>213</v>
      </c>
      <c r="C859" s="447" t="s">
        <v>766</v>
      </c>
      <c r="D859" s="549"/>
      <c r="E859" s="447" t="s">
        <v>766</v>
      </c>
      <c r="F859" s="104">
        <f>+'[3]chd 10-SAOB'!C431</f>
        <v>0</v>
      </c>
      <c r="G859" s="104">
        <f>+'[3]chd 10-SAOB'!D431</f>
        <v>275304.17999999318</v>
      </c>
      <c r="H859" s="104">
        <f>+'[3]chd 10-SAOB'!E431</f>
        <v>0</v>
      </c>
      <c r="I859" s="103">
        <f t="shared" si="321"/>
        <v>275304.17999999318</v>
      </c>
      <c r="J859" s="104">
        <f>+'[3]chd 10-SAOB'!G431</f>
        <v>0</v>
      </c>
      <c r="K859" s="104">
        <f>+'[3]chd 10-SAOB'!H431</f>
        <v>273519.86</v>
      </c>
      <c r="L859" s="104">
        <f>+'[3]chd 10-SAOB'!I431</f>
        <v>0</v>
      </c>
      <c r="M859" s="103">
        <f t="shared" si="322"/>
        <v>273519.86</v>
      </c>
      <c r="N859" s="103">
        <f t="shared" si="323"/>
        <v>0</v>
      </c>
      <c r="O859" s="103">
        <f t="shared" si="323"/>
        <v>1784.3199999931967</v>
      </c>
      <c r="P859" s="103">
        <f t="shared" si="323"/>
        <v>0</v>
      </c>
      <c r="Q859" s="103">
        <f t="shared" si="324"/>
        <v>1784.3199999931967</v>
      </c>
      <c r="S859" s="267" t="str">
        <f t="shared" si="330"/>
        <v/>
      </c>
      <c r="T859" s="267">
        <f t="shared" si="330"/>
        <v>0.99351873262515211</v>
      </c>
      <c r="U859" s="267" t="str">
        <f t="shared" si="330"/>
        <v/>
      </c>
      <c r="V859" s="267">
        <f t="shared" si="330"/>
        <v>0.99351873262515211</v>
      </c>
      <c r="W859" s="530"/>
      <c r="X859" s="236"/>
      <c r="Y859" s="236" t="s">
        <v>688</v>
      </c>
      <c r="Z859" s="236"/>
    </row>
    <row r="860" spans="1:26" ht="12" hidden="1" customHeight="1">
      <c r="A860" s="548" t="s">
        <v>212</v>
      </c>
      <c r="B860" s="548" t="s">
        <v>213</v>
      </c>
      <c r="C860" s="457" t="s">
        <v>775</v>
      </c>
      <c r="D860" s="549" t="s">
        <v>98</v>
      </c>
      <c r="E860" s="406" t="s">
        <v>775</v>
      </c>
      <c r="F860" s="104">
        <v>0</v>
      </c>
      <c r="G860" s="104">
        <f>+'[3]chd 10-SAOB'!C221</f>
        <v>144.52000000048429</v>
      </c>
      <c r="H860" s="104">
        <f>+'[3]chd 10-SAOB'!C313</f>
        <v>0</v>
      </c>
      <c r="I860" s="103">
        <f t="shared" si="321"/>
        <v>144.52000000048429</v>
      </c>
      <c r="J860" s="104">
        <v>0</v>
      </c>
      <c r="K860" s="104">
        <f>+'[3]chd 10-SAOB'!C222</f>
        <v>0</v>
      </c>
      <c r="L860" s="104">
        <f>+'[3]chd 10-SAOB'!C314</f>
        <v>0</v>
      </c>
      <c r="M860" s="103">
        <f t="shared" si="322"/>
        <v>0</v>
      </c>
      <c r="N860" s="103">
        <f t="shared" si="323"/>
        <v>0</v>
      </c>
      <c r="O860" s="103">
        <f t="shared" si="323"/>
        <v>144.52000000048429</v>
      </c>
      <c r="P860" s="103">
        <f t="shared" si="323"/>
        <v>0</v>
      </c>
      <c r="Q860" s="103">
        <f t="shared" si="324"/>
        <v>144.52000000048429</v>
      </c>
      <c r="S860" s="267" t="str">
        <f t="shared" si="330"/>
        <v/>
      </c>
      <c r="T860" s="267">
        <f t="shared" si="330"/>
        <v>0</v>
      </c>
      <c r="U860" s="267" t="str">
        <f t="shared" si="330"/>
        <v/>
      </c>
      <c r="V860" s="267">
        <f t="shared" si="330"/>
        <v>0</v>
      </c>
      <c r="W860" s="530"/>
      <c r="X860" s="236"/>
      <c r="Y860" s="236"/>
      <c r="Z860" s="236"/>
    </row>
    <row r="861" spans="1:26" ht="12" hidden="1" customHeight="1">
      <c r="A861" s="548" t="s">
        <v>212</v>
      </c>
      <c r="B861" s="548" t="s">
        <v>213</v>
      </c>
      <c r="C861" s="456"/>
      <c r="D861" s="549" t="s">
        <v>98</v>
      </c>
      <c r="E861" s="406" t="s">
        <v>776</v>
      </c>
      <c r="F861" s="104">
        <v>0</v>
      </c>
      <c r="G861" s="104">
        <f>+'[3]chd 10-SAOB'!D221</f>
        <v>20.269999995827675</v>
      </c>
      <c r="H861" s="104">
        <f>+'[3]chd 10-SAOB'!D313</f>
        <v>0</v>
      </c>
      <c r="I861" s="103">
        <f t="shared" si="321"/>
        <v>20.269999995827675</v>
      </c>
      <c r="J861" s="104">
        <v>0</v>
      </c>
      <c r="K861" s="104">
        <f>+'[3]chd 10-SAOB'!D222</f>
        <v>0</v>
      </c>
      <c r="L861" s="104">
        <f>+'[3]chd 10-SAOB'!D314</f>
        <v>0</v>
      </c>
      <c r="M861" s="103">
        <f t="shared" si="322"/>
        <v>0</v>
      </c>
      <c r="N861" s="103">
        <f t="shared" si="323"/>
        <v>0</v>
      </c>
      <c r="O861" s="103">
        <f t="shared" si="323"/>
        <v>20.269999995827675</v>
      </c>
      <c r="P861" s="103">
        <f t="shared" si="323"/>
        <v>0</v>
      </c>
      <c r="Q861" s="103">
        <f t="shared" si="324"/>
        <v>20.269999995827675</v>
      </c>
      <c r="S861" s="267" t="str">
        <f t="shared" si="330"/>
        <v/>
      </c>
      <c r="T861" s="267">
        <f t="shared" si="330"/>
        <v>0</v>
      </c>
      <c r="U861" s="267" t="str">
        <f t="shared" si="330"/>
        <v/>
      </c>
      <c r="V861" s="267">
        <f t="shared" si="330"/>
        <v>0</v>
      </c>
      <c r="W861" s="530"/>
      <c r="X861" s="236"/>
      <c r="Y861" s="236"/>
      <c r="Z861" s="236"/>
    </row>
    <row r="862" spans="1:26" ht="12" hidden="1" customHeight="1">
      <c r="A862" s="548" t="s">
        <v>212</v>
      </c>
      <c r="B862" s="548" t="s">
        <v>213</v>
      </c>
      <c r="C862" s="456"/>
      <c r="D862" s="549" t="s">
        <v>98</v>
      </c>
      <c r="E862" s="406" t="s">
        <v>777</v>
      </c>
      <c r="F862" s="104">
        <v>0</v>
      </c>
      <c r="G862" s="104">
        <f>+'[3]chd 10-SAOB'!E221</f>
        <v>275139.38999999687</v>
      </c>
      <c r="H862" s="104">
        <f>+'[3]chd 10-SAOB'!E313</f>
        <v>0</v>
      </c>
      <c r="I862" s="103">
        <f t="shared" si="321"/>
        <v>275139.38999999687</v>
      </c>
      <c r="J862" s="104">
        <v>0</v>
      </c>
      <c r="K862" s="104">
        <f>+'[3]chd 10-SAOB'!E222</f>
        <v>273519.86</v>
      </c>
      <c r="L862" s="104">
        <f>+'[3]chd 10-SAOB'!E314</f>
        <v>0</v>
      </c>
      <c r="M862" s="103">
        <f t="shared" si="322"/>
        <v>273519.86</v>
      </c>
      <c r="N862" s="103">
        <f t="shared" si="323"/>
        <v>0</v>
      </c>
      <c r="O862" s="103">
        <f t="shared" si="323"/>
        <v>1619.5299999968847</v>
      </c>
      <c r="P862" s="103">
        <f t="shared" si="323"/>
        <v>0</v>
      </c>
      <c r="Q862" s="103">
        <f t="shared" si="324"/>
        <v>1619.5299999968847</v>
      </c>
      <c r="S862" s="267" t="str">
        <f t="shared" si="330"/>
        <v/>
      </c>
      <c r="T862" s="267">
        <f t="shared" si="330"/>
        <v>0.99411378356259017</v>
      </c>
      <c r="U862" s="267" t="str">
        <f t="shared" si="330"/>
        <v/>
      </c>
      <c r="V862" s="267">
        <f t="shared" si="330"/>
        <v>0.99411378356259017</v>
      </c>
      <c r="W862" s="530"/>
      <c r="X862" s="236"/>
      <c r="Y862" s="236"/>
      <c r="Z862" s="236"/>
    </row>
    <row r="863" spans="1:26" ht="12" customHeight="1">
      <c r="A863" s="548" t="s">
        <v>212</v>
      </c>
      <c r="B863" s="548" t="s">
        <v>213</v>
      </c>
      <c r="C863" s="456"/>
      <c r="D863" s="549"/>
      <c r="E863" s="453" t="s">
        <v>50</v>
      </c>
      <c r="F863" s="103">
        <f>+F864+F865</f>
        <v>0</v>
      </c>
      <c r="G863" s="103">
        <f>+G864+G865</f>
        <v>33286608.139999993</v>
      </c>
      <c r="H863" s="103">
        <f>+H864+H865</f>
        <v>7456405.3000000119</v>
      </c>
      <c r="I863" s="103">
        <f t="shared" si="321"/>
        <v>40743013.440000005</v>
      </c>
      <c r="J863" s="103">
        <f>+J864+J865</f>
        <v>0</v>
      </c>
      <c r="K863" s="103">
        <f>+K864+K865</f>
        <v>33103455.420000002</v>
      </c>
      <c r="L863" s="103">
        <f>+L864+L865</f>
        <v>0</v>
      </c>
      <c r="M863" s="103">
        <f t="shared" si="322"/>
        <v>33103455.420000002</v>
      </c>
      <c r="N863" s="103">
        <f t="shared" si="323"/>
        <v>0</v>
      </c>
      <c r="O863" s="103">
        <f t="shared" si="323"/>
        <v>183152.71999999136</v>
      </c>
      <c r="P863" s="103">
        <f t="shared" si="323"/>
        <v>7456405.3000000119</v>
      </c>
      <c r="Q863" s="103">
        <f t="shared" si="324"/>
        <v>7639558.0200000033</v>
      </c>
      <c r="S863" s="267" t="str">
        <f t="shared" si="330"/>
        <v/>
      </c>
      <c r="T863" s="267">
        <f t="shared" si="330"/>
        <v>0.99449770552680916</v>
      </c>
      <c r="U863" s="267">
        <f t="shared" si="330"/>
        <v>0</v>
      </c>
      <c r="V863" s="267">
        <f t="shared" si="330"/>
        <v>0.81249403578725565</v>
      </c>
      <c r="W863" s="530"/>
      <c r="X863" s="236"/>
      <c r="Y863" s="236" t="s">
        <v>688</v>
      </c>
      <c r="Z863" s="236"/>
    </row>
    <row r="864" spans="1:26" ht="12" hidden="1" customHeight="1">
      <c r="A864" s="548" t="s">
        <v>212</v>
      </c>
      <c r="B864" s="548" t="s">
        <v>213</v>
      </c>
      <c r="C864" s="458" t="s">
        <v>715</v>
      </c>
      <c r="D864" s="550" t="s">
        <v>715</v>
      </c>
      <c r="E864" s="447" t="s">
        <v>715</v>
      </c>
      <c r="F864" s="104">
        <f>'[3]CONAP - W INC'!F652</f>
        <v>0</v>
      </c>
      <c r="G864" s="104">
        <f>'[3]CONAP - W INC'!G652</f>
        <v>-9630848.7899999991</v>
      </c>
      <c r="H864" s="104">
        <f>'[3]CONAP - W INC'!H652</f>
        <v>2386500</v>
      </c>
      <c r="I864" s="103">
        <f t="shared" si="321"/>
        <v>-7244348.7899999991</v>
      </c>
      <c r="J864" s="104">
        <f>'[3]CONAP - W INC'!J652</f>
        <v>0</v>
      </c>
      <c r="K864" s="104">
        <f>'[3]CONAP - W INC'!K652</f>
        <v>0</v>
      </c>
      <c r="L864" s="104">
        <f>'[3]CONAP - W INC'!L652</f>
        <v>0</v>
      </c>
      <c r="M864" s="103">
        <f t="shared" si="322"/>
        <v>0</v>
      </c>
      <c r="N864" s="103">
        <f t="shared" si="323"/>
        <v>0</v>
      </c>
      <c r="O864" s="103">
        <f t="shared" si="323"/>
        <v>-9630848.7899999991</v>
      </c>
      <c r="P864" s="103">
        <f t="shared" si="323"/>
        <v>2386500</v>
      </c>
      <c r="Q864" s="103">
        <f t="shared" si="324"/>
        <v>-7244348.7899999991</v>
      </c>
      <c r="S864" s="267" t="str">
        <f t="shared" si="330"/>
        <v/>
      </c>
      <c r="T864" s="267">
        <f t="shared" si="330"/>
        <v>0</v>
      </c>
      <c r="U864" s="267">
        <f t="shared" si="330"/>
        <v>0</v>
      </c>
      <c r="V864" s="267">
        <f t="shared" si="330"/>
        <v>0</v>
      </c>
      <c r="W864" s="530"/>
      <c r="X864" s="236"/>
      <c r="Y864" s="236"/>
      <c r="Z864" s="236"/>
    </row>
    <row r="865" spans="1:26" ht="12" hidden="1" customHeight="1">
      <c r="A865" s="548" t="s">
        <v>212</v>
      </c>
      <c r="B865" s="548" t="s">
        <v>213</v>
      </c>
      <c r="C865" s="458" t="s">
        <v>716</v>
      </c>
      <c r="D865" s="550" t="s">
        <v>716</v>
      </c>
      <c r="E865" s="459" t="s">
        <v>716</v>
      </c>
      <c r="F865" s="104">
        <f>'[3]CONAP - W INC'!F653</f>
        <v>0</v>
      </c>
      <c r="G865" s="104">
        <f>'[3]CONAP - W INC'!G653</f>
        <v>42917456.929999992</v>
      </c>
      <c r="H865" s="104">
        <f>'[3]CONAP - W INC'!H653</f>
        <v>5069905.3000000119</v>
      </c>
      <c r="I865" s="103">
        <f t="shared" si="321"/>
        <v>47987362.230000004</v>
      </c>
      <c r="J865" s="104">
        <f>'[3]CONAP - W INC'!J653</f>
        <v>0</v>
      </c>
      <c r="K865" s="104">
        <f>'[3]CONAP - W INC'!K653</f>
        <v>33103455.420000002</v>
      </c>
      <c r="L865" s="104">
        <f>'[3]CONAP - W INC'!L653</f>
        <v>0</v>
      </c>
      <c r="M865" s="103">
        <f t="shared" si="322"/>
        <v>33103455.420000002</v>
      </c>
      <c r="N865" s="103">
        <f t="shared" si="323"/>
        <v>0</v>
      </c>
      <c r="O865" s="103">
        <f t="shared" si="323"/>
        <v>9814001.5099999905</v>
      </c>
      <c r="P865" s="103">
        <f t="shared" si="323"/>
        <v>5069905.3000000119</v>
      </c>
      <c r="Q865" s="103">
        <f t="shared" si="324"/>
        <v>14883906.810000002</v>
      </c>
      <c r="S865" s="267" t="str">
        <f t="shared" si="330"/>
        <v/>
      </c>
      <c r="T865" s="267">
        <f t="shared" si="330"/>
        <v>0.77132844739596285</v>
      </c>
      <c r="U865" s="267">
        <f t="shared" si="330"/>
        <v>0</v>
      </c>
      <c r="V865" s="267">
        <f t="shared" si="330"/>
        <v>0.68983694626384129</v>
      </c>
      <c r="W865" s="530"/>
      <c r="X865" s="236"/>
      <c r="Y865" s="236"/>
      <c r="Z865" s="236"/>
    </row>
    <row r="866" spans="1:26" s="256" customFormat="1" ht="12" hidden="1" customHeight="1">
      <c r="A866" s="548"/>
      <c r="B866" s="548" t="s">
        <v>213</v>
      </c>
      <c r="C866" s="460"/>
      <c r="D866" s="551"/>
      <c r="E866" s="390" t="s">
        <v>767</v>
      </c>
      <c r="F866" s="391">
        <f>+F863+F859</f>
        <v>0</v>
      </c>
      <c r="G866" s="391">
        <f t="shared" ref="G866:Q866" si="331">+G863+G859</f>
        <v>33561912.319999985</v>
      </c>
      <c r="H866" s="391">
        <f t="shared" si="331"/>
        <v>7456405.3000000119</v>
      </c>
      <c r="I866" s="391">
        <f t="shared" si="331"/>
        <v>41018317.619999997</v>
      </c>
      <c r="J866" s="391">
        <f t="shared" si="331"/>
        <v>0</v>
      </c>
      <c r="K866" s="391">
        <f t="shared" si="331"/>
        <v>33376975.280000001</v>
      </c>
      <c r="L866" s="391">
        <f t="shared" si="331"/>
        <v>0</v>
      </c>
      <c r="M866" s="391">
        <f t="shared" si="331"/>
        <v>33376975.280000001</v>
      </c>
      <c r="N866" s="391">
        <f t="shared" si="331"/>
        <v>0</v>
      </c>
      <c r="O866" s="391">
        <f t="shared" si="331"/>
        <v>184937.03999998455</v>
      </c>
      <c r="P866" s="391">
        <f t="shared" si="331"/>
        <v>7456405.3000000119</v>
      </c>
      <c r="Q866" s="391">
        <f t="shared" si="331"/>
        <v>7641342.3399999961</v>
      </c>
      <c r="R866" s="761"/>
      <c r="S866" s="267" t="str">
        <f t="shared" si="330"/>
        <v/>
      </c>
      <c r="T866" s="267">
        <f t="shared" si="330"/>
        <v>0.99448967513422115</v>
      </c>
      <c r="U866" s="267">
        <f t="shared" si="330"/>
        <v>0</v>
      </c>
      <c r="V866" s="267">
        <f t="shared" si="330"/>
        <v>0.81370902603099016</v>
      </c>
      <c r="W866" s="532"/>
      <c r="Y866" s="236"/>
      <c r="Z866" s="240" t="s">
        <v>598</v>
      </c>
    </row>
    <row r="867" spans="1:26" ht="12" hidden="1" customHeight="1">
      <c r="A867" s="548"/>
      <c r="B867" s="548"/>
      <c r="C867" s="456"/>
      <c r="D867" s="549"/>
      <c r="E867" s="461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S867" s="267" t="str">
        <f t="shared" si="330"/>
        <v/>
      </c>
      <c r="T867" s="267" t="str">
        <f t="shared" si="330"/>
        <v/>
      </c>
      <c r="U867" s="267" t="str">
        <f t="shared" si="330"/>
        <v/>
      </c>
      <c r="V867" s="267" t="str">
        <f t="shared" si="330"/>
        <v/>
      </c>
      <c r="W867" s="530"/>
      <c r="X867" s="236"/>
      <c r="Y867" s="236"/>
      <c r="Z867" s="236"/>
    </row>
    <row r="868" spans="1:26" s="256" customFormat="1" ht="12" hidden="1" customHeight="1">
      <c r="A868" s="548" t="s">
        <v>212</v>
      </c>
      <c r="B868" s="548" t="s">
        <v>213</v>
      </c>
      <c r="C868" s="460"/>
      <c r="D868" s="551" t="s">
        <v>98</v>
      </c>
      <c r="E868" s="390" t="s">
        <v>100</v>
      </c>
      <c r="F868" s="391">
        <f>SUM(F869:F869)</f>
        <v>0</v>
      </c>
      <c r="G868" s="391">
        <f>SUM(G869:G869)</f>
        <v>0</v>
      </c>
      <c r="H868" s="391">
        <f>SUM(H869:H869)</f>
        <v>0</v>
      </c>
      <c r="I868" s="391">
        <f>+F868+G868+H868</f>
        <v>0</v>
      </c>
      <c r="J868" s="391">
        <f>SUM(J869:J869)</f>
        <v>0</v>
      </c>
      <c r="K868" s="391">
        <f>SUM(K869:K869)</f>
        <v>0</v>
      </c>
      <c r="L868" s="391">
        <f>SUM(L869:L869)</f>
        <v>0</v>
      </c>
      <c r="M868" s="391">
        <f>+J868+K868+L868</f>
        <v>0</v>
      </c>
      <c r="N868" s="391">
        <f t="shared" ref="N868:P869" si="332">+F868-J868</f>
        <v>0</v>
      </c>
      <c r="O868" s="391">
        <f t="shared" si="332"/>
        <v>0</v>
      </c>
      <c r="P868" s="391">
        <f t="shared" si="332"/>
        <v>0</v>
      </c>
      <c r="Q868" s="391">
        <f>+N868+O868+P868</f>
        <v>0</v>
      </c>
      <c r="R868" s="761"/>
      <c r="S868" s="267" t="str">
        <f t="shared" si="330"/>
        <v/>
      </c>
      <c r="T868" s="267" t="str">
        <f t="shared" si="330"/>
        <v/>
      </c>
      <c r="U868" s="267" t="str">
        <f t="shared" si="330"/>
        <v/>
      </c>
      <c r="V868" s="267" t="str">
        <f t="shared" si="330"/>
        <v/>
      </c>
      <c r="W868" s="532"/>
      <c r="Y868" s="236"/>
      <c r="Z868" s="240" t="s">
        <v>598</v>
      </c>
    </row>
    <row r="869" spans="1:26" ht="12" hidden="1" customHeight="1">
      <c r="A869" s="548" t="s">
        <v>212</v>
      </c>
      <c r="B869" s="548" t="s">
        <v>213</v>
      </c>
      <c r="C869" s="456"/>
      <c r="D869" s="549"/>
      <c r="E869" s="462" t="s">
        <v>290</v>
      </c>
      <c r="F869" s="103">
        <v>0</v>
      </c>
      <c r="G869" s="103">
        <f>SUM('[3]chd 10-SAOB'!AO221)</f>
        <v>0</v>
      </c>
      <c r="H869" s="103">
        <f>SUM('[3]chd 10-SAOB'!AO313)</f>
        <v>0</v>
      </c>
      <c r="I869" s="103">
        <f>+F869+G869+H869</f>
        <v>0</v>
      </c>
      <c r="J869" s="103">
        <v>0</v>
      </c>
      <c r="K869" s="103">
        <f>SUM('[3]chd 10-SAOB'!AO222)</f>
        <v>0</v>
      </c>
      <c r="L869" s="103">
        <f>SUM('[3]chd 10-SAOB'!AO314)</f>
        <v>0</v>
      </c>
      <c r="M869" s="103">
        <f>+J869+K869+L869</f>
        <v>0</v>
      </c>
      <c r="N869" s="103">
        <f t="shared" si="332"/>
        <v>0</v>
      </c>
      <c r="O869" s="103">
        <f t="shared" si="332"/>
        <v>0</v>
      </c>
      <c r="P869" s="103">
        <f t="shared" si="332"/>
        <v>0</v>
      </c>
      <c r="Q869" s="103">
        <f>+N869+O869+P869</f>
        <v>0</v>
      </c>
      <c r="S869" s="267" t="str">
        <f t="shared" si="330"/>
        <v/>
      </c>
      <c r="T869" s="267" t="str">
        <f t="shared" si="330"/>
        <v/>
      </c>
      <c r="U869" s="267" t="str">
        <f t="shared" si="330"/>
        <v/>
      </c>
      <c r="V869" s="267" t="str">
        <f t="shared" si="330"/>
        <v/>
      </c>
      <c r="W869" s="530"/>
      <c r="X869" s="236"/>
      <c r="Y869" s="236"/>
      <c r="Z869" s="236"/>
    </row>
    <row r="870" spans="1:26" s="259" customFormat="1" ht="12" customHeight="1">
      <c r="A870" s="315" t="s">
        <v>212</v>
      </c>
      <c r="B870" s="315" t="s">
        <v>213</v>
      </c>
      <c r="C870" s="1477" t="s">
        <v>315</v>
      </c>
      <c r="D870" s="1478"/>
      <c r="E870" s="1479"/>
      <c r="F870" s="652">
        <f>+F866+F868</f>
        <v>0</v>
      </c>
      <c r="G870" s="652">
        <f t="shared" ref="G870:Q870" si="333">+G866+G868</f>
        <v>33561912.319999985</v>
      </c>
      <c r="H870" s="652">
        <f t="shared" si="333"/>
        <v>7456405.3000000119</v>
      </c>
      <c r="I870" s="652">
        <f t="shared" si="333"/>
        <v>41018317.619999997</v>
      </c>
      <c r="J870" s="652">
        <f t="shared" si="333"/>
        <v>0</v>
      </c>
      <c r="K870" s="652">
        <f t="shared" si="333"/>
        <v>33376975.280000001</v>
      </c>
      <c r="L870" s="652">
        <f t="shared" si="333"/>
        <v>0</v>
      </c>
      <c r="M870" s="652">
        <f t="shared" si="333"/>
        <v>33376975.280000001</v>
      </c>
      <c r="N870" s="652">
        <f t="shared" si="333"/>
        <v>0</v>
      </c>
      <c r="O870" s="652">
        <f t="shared" si="333"/>
        <v>184937.03999998455</v>
      </c>
      <c r="P870" s="652">
        <f t="shared" si="333"/>
        <v>7456405.3000000119</v>
      </c>
      <c r="Q870" s="652">
        <f t="shared" si="333"/>
        <v>7641342.3399999961</v>
      </c>
      <c r="R870" s="1095">
        <f>+Q870-'[3]chd 10-SAOB'!BM350</f>
        <v>0</v>
      </c>
      <c r="S870" s="524" t="str">
        <f t="shared" si="330"/>
        <v/>
      </c>
      <c r="T870" s="524">
        <f t="shared" si="330"/>
        <v>0.99448967513422115</v>
      </c>
      <c r="U870" s="524">
        <f t="shared" si="330"/>
        <v>0</v>
      </c>
      <c r="V870" s="524">
        <f t="shared" si="330"/>
        <v>0.81370902603099016</v>
      </c>
      <c r="W870" s="344"/>
      <c r="X870" s="520"/>
      <c r="Y870" s="837" t="s">
        <v>598</v>
      </c>
      <c r="Z870" s="241" t="s">
        <v>598</v>
      </c>
    </row>
    <row r="871" spans="1:26" ht="12" customHeight="1">
      <c r="A871" s="315" t="s">
        <v>101</v>
      </c>
      <c r="B871" s="315" t="s">
        <v>213</v>
      </c>
      <c r="C871" s="456"/>
      <c r="D871" s="456"/>
      <c r="E871" s="46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S871" s="267" t="str">
        <f t="shared" si="330"/>
        <v/>
      </c>
      <c r="T871" s="267" t="str">
        <f t="shared" si="330"/>
        <v/>
      </c>
      <c r="U871" s="267" t="str">
        <f t="shared" si="330"/>
        <v/>
      </c>
      <c r="V871" s="267" t="str">
        <f t="shared" si="330"/>
        <v/>
      </c>
      <c r="W871" s="267"/>
      <c r="Y871" s="837" t="s">
        <v>598</v>
      </c>
      <c r="Z871" s="241" t="s">
        <v>598</v>
      </c>
    </row>
    <row r="872" spans="1:26" ht="12" customHeight="1">
      <c r="A872" s="315" t="s">
        <v>214</v>
      </c>
      <c r="B872" s="315" t="s">
        <v>316</v>
      </c>
      <c r="C872" s="1100" t="s">
        <v>215</v>
      </c>
      <c r="D872" s="456"/>
      <c r="E872" s="463"/>
      <c r="F872" s="104"/>
      <c r="G872" s="104"/>
      <c r="H872" s="104"/>
      <c r="I872" s="103">
        <f t="shared" si="321"/>
        <v>0</v>
      </c>
      <c r="J872" s="104"/>
      <c r="K872" s="104"/>
      <c r="L872" s="104"/>
      <c r="M872" s="103">
        <f t="shared" si="322"/>
        <v>0</v>
      </c>
      <c r="N872" s="103">
        <f t="shared" si="323"/>
        <v>0</v>
      </c>
      <c r="O872" s="103">
        <f t="shared" si="323"/>
        <v>0</v>
      </c>
      <c r="P872" s="103">
        <f t="shared" si="323"/>
        <v>0</v>
      </c>
      <c r="Q872" s="103">
        <f t="shared" si="324"/>
        <v>0</v>
      </c>
      <c r="S872" s="267" t="str">
        <f t="shared" si="330"/>
        <v/>
      </c>
      <c r="T872" s="267" t="str">
        <f t="shared" si="330"/>
        <v/>
      </c>
      <c r="U872" s="267" t="str">
        <f t="shared" si="330"/>
        <v/>
      </c>
      <c r="V872" s="267" t="str">
        <f t="shared" si="330"/>
        <v/>
      </c>
      <c r="W872" s="267"/>
      <c r="Y872" s="837" t="s">
        <v>598</v>
      </c>
      <c r="Z872" s="241" t="s">
        <v>598</v>
      </c>
    </row>
    <row r="873" spans="1:26" s="275" customFormat="1" ht="14.25" customHeight="1">
      <c r="A873" s="548" t="s">
        <v>214</v>
      </c>
      <c r="B873" s="548" t="s">
        <v>216</v>
      </c>
      <c r="C873" s="464" t="s">
        <v>98</v>
      </c>
      <c r="D873" s="552" t="s">
        <v>105</v>
      </c>
      <c r="E873" s="407" t="s">
        <v>837</v>
      </c>
      <c r="F873" s="468"/>
      <c r="G873" s="468"/>
      <c r="H873" s="468"/>
      <c r="I873" s="409">
        <f t="shared" si="321"/>
        <v>0</v>
      </c>
      <c r="J873" s="468"/>
      <c r="K873" s="468"/>
      <c r="L873" s="468"/>
      <c r="M873" s="409">
        <f t="shared" si="322"/>
        <v>0</v>
      </c>
      <c r="N873" s="409">
        <f t="shared" si="323"/>
        <v>0</v>
      </c>
      <c r="O873" s="409">
        <f t="shared" si="323"/>
        <v>0</v>
      </c>
      <c r="P873" s="409">
        <f t="shared" si="323"/>
        <v>0</v>
      </c>
      <c r="Q873" s="409">
        <f t="shared" si="324"/>
        <v>0</v>
      </c>
      <c r="R873" s="761"/>
      <c r="S873" s="267" t="str">
        <f t="shared" si="330"/>
        <v/>
      </c>
      <c r="T873" s="267" t="str">
        <f t="shared" si="330"/>
        <v/>
      </c>
      <c r="U873" s="267" t="str">
        <f t="shared" si="330"/>
        <v/>
      </c>
      <c r="V873" s="267" t="str">
        <f t="shared" si="330"/>
        <v/>
      </c>
      <c r="W873" s="553"/>
      <c r="Y873" s="236" t="s">
        <v>598</v>
      </c>
      <c r="Z873" s="240" t="s">
        <v>598</v>
      </c>
    </row>
    <row r="874" spans="1:26" ht="12" customHeight="1">
      <c r="A874" s="548" t="s">
        <v>214</v>
      </c>
      <c r="B874" s="548" t="s">
        <v>216</v>
      </c>
      <c r="C874" s="447" t="s">
        <v>766</v>
      </c>
      <c r="D874" s="775"/>
      <c r="E874" s="447" t="s">
        <v>766</v>
      </c>
      <c r="F874" s="104">
        <f>+'[3]chd 10-SAOB'!C445</f>
        <v>0</v>
      </c>
      <c r="G874" s="104">
        <f>+'[3]chd 10-SAOB'!D445</f>
        <v>0</v>
      </c>
      <c r="H874" s="104">
        <f>+'[3]chd 10-SAOB'!E445</f>
        <v>0</v>
      </c>
      <c r="I874" s="103">
        <f t="shared" si="321"/>
        <v>0</v>
      </c>
      <c r="J874" s="104">
        <f>+'[3]chd 10-SAOB'!G445</f>
        <v>0</v>
      </c>
      <c r="K874" s="104">
        <f>+'[3]chd 10-SAOB'!H445</f>
        <v>0</v>
      </c>
      <c r="L874" s="104">
        <f>+'[3]chd 10-SAOB'!I445</f>
        <v>0</v>
      </c>
      <c r="M874" s="103">
        <f t="shared" si="322"/>
        <v>0</v>
      </c>
      <c r="N874" s="103">
        <f t="shared" si="323"/>
        <v>0</v>
      </c>
      <c r="O874" s="103">
        <f t="shared" si="323"/>
        <v>0</v>
      </c>
      <c r="P874" s="103">
        <f t="shared" si="323"/>
        <v>0</v>
      </c>
      <c r="Q874" s="103">
        <f t="shared" si="324"/>
        <v>0</v>
      </c>
      <c r="S874" s="267" t="str">
        <f t="shared" si="330"/>
        <v/>
      </c>
      <c r="T874" s="267" t="str">
        <f t="shared" si="330"/>
        <v/>
      </c>
      <c r="U874" s="267" t="str">
        <f t="shared" si="330"/>
        <v/>
      </c>
      <c r="V874" s="267" t="str">
        <f t="shared" si="330"/>
        <v/>
      </c>
      <c r="W874" s="530"/>
      <c r="X874" s="236"/>
      <c r="Y874" s="236" t="s">
        <v>688</v>
      </c>
      <c r="Z874" s="236"/>
    </row>
    <row r="875" spans="1:26" ht="12" customHeight="1">
      <c r="A875" s="548" t="s">
        <v>214</v>
      </c>
      <c r="B875" s="548" t="s">
        <v>216</v>
      </c>
      <c r="C875" s="456"/>
      <c r="D875" s="775"/>
      <c r="E875" s="453" t="s">
        <v>50</v>
      </c>
      <c r="F875" s="103">
        <f>+F876+F877</f>
        <v>0</v>
      </c>
      <c r="G875" s="103">
        <f>+G876+G877</f>
        <v>13960685.779999999</v>
      </c>
      <c r="H875" s="103">
        <f>+H876+H877</f>
        <v>0</v>
      </c>
      <c r="I875" s="103">
        <f t="shared" si="321"/>
        <v>13960685.779999999</v>
      </c>
      <c r="J875" s="103">
        <f>+J876+J877</f>
        <v>0</v>
      </c>
      <c r="K875" s="103">
        <f>+K876+K877</f>
        <v>9739814.0899999999</v>
      </c>
      <c r="L875" s="103">
        <f>+L876+L877</f>
        <v>0</v>
      </c>
      <c r="M875" s="103">
        <f t="shared" si="322"/>
        <v>9739814.0899999999</v>
      </c>
      <c r="N875" s="103">
        <f t="shared" si="323"/>
        <v>0</v>
      </c>
      <c r="O875" s="103">
        <f t="shared" si="323"/>
        <v>4220871.6899999995</v>
      </c>
      <c r="P875" s="103">
        <f t="shared" si="323"/>
        <v>0</v>
      </c>
      <c r="Q875" s="103">
        <f t="shared" si="324"/>
        <v>4220871.6899999995</v>
      </c>
      <c r="S875" s="267" t="str">
        <f t="shared" si="330"/>
        <v/>
      </c>
      <c r="T875" s="267">
        <f t="shared" si="330"/>
        <v>0.69766014674961052</v>
      </c>
      <c r="U875" s="267" t="str">
        <f t="shared" si="330"/>
        <v/>
      </c>
      <c r="V875" s="267">
        <f t="shared" si="330"/>
        <v>0.69766014674961052</v>
      </c>
      <c r="W875" s="530"/>
      <c r="X875" s="236"/>
      <c r="Y875" s="236" t="s">
        <v>688</v>
      </c>
      <c r="Z875" s="236"/>
    </row>
    <row r="876" spans="1:26" ht="12" hidden="1" customHeight="1">
      <c r="A876" s="548" t="s">
        <v>214</v>
      </c>
      <c r="B876" s="548" t="s">
        <v>216</v>
      </c>
      <c r="C876" s="458" t="s">
        <v>715</v>
      </c>
      <c r="D876" s="550" t="s">
        <v>715</v>
      </c>
      <c r="E876" s="447" t="s">
        <v>715</v>
      </c>
      <c r="F876" s="104">
        <f>'[3]CONAP - W INC'!F661</f>
        <v>0</v>
      </c>
      <c r="G876" s="104">
        <f>'[3]CONAP - W INC'!G661</f>
        <v>10000000</v>
      </c>
      <c r="H876" s="104">
        <f>'[3]CONAP - W INC'!H661</f>
        <v>0</v>
      </c>
      <c r="I876" s="103">
        <f t="shared" si="321"/>
        <v>10000000</v>
      </c>
      <c r="J876" s="104">
        <f>'[3]CONAP - W INC'!J661</f>
        <v>0</v>
      </c>
      <c r="K876" s="104">
        <f>'[3]CONAP - W INC'!K661</f>
        <v>6140321.0099999998</v>
      </c>
      <c r="L876" s="104">
        <f>'[3]CONAP - W INC'!L661</f>
        <v>0</v>
      </c>
      <c r="M876" s="103">
        <f t="shared" si="322"/>
        <v>6140321.0099999998</v>
      </c>
      <c r="N876" s="103">
        <f t="shared" si="323"/>
        <v>0</v>
      </c>
      <c r="O876" s="103">
        <f t="shared" si="323"/>
        <v>3859678.99</v>
      </c>
      <c r="P876" s="103">
        <f t="shared" si="323"/>
        <v>0</v>
      </c>
      <c r="Q876" s="103">
        <f t="shared" si="324"/>
        <v>3859678.99</v>
      </c>
      <c r="S876" s="267" t="str">
        <f t="shared" si="330"/>
        <v/>
      </c>
      <c r="T876" s="267">
        <f t="shared" si="330"/>
        <v>0.61403210099999994</v>
      </c>
      <c r="U876" s="267" t="str">
        <f t="shared" si="330"/>
        <v/>
      </c>
      <c r="V876" s="267">
        <f t="shared" si="330"/>
        <v>0.61403210099999994</v>
      </c>
      <c r="W876" s="530"/>
      <c r="X876" s="236"/>
      <c r="Y876" s="236"/>
      <c r="Z876" s="236"/>
    </row>
    <row r="877" spans="1:26" ht="12" hidden="1" customHeight="1">
      <c r="A877" s="548" t="s">
        <v>214</v>
      </c>
      <c r="B877" s="548" t="s">
        <v>216</v>
      </c>
      <c r="C877" s="458" t="s">
        <v>716</v>
      </c>
      <c r="D877" s="550" t="s">
        <v>716</v>
      </c>
      <c r="E877" s="459" t="s">
        <v>716</v>
      </c>
      <c r="F877" s="104">
        <f>'[3]CONAP - W INC'!F662</f>
        <v>0</v>
      </c>
      <c r="G877" s="104">
        <f>'[3]CONAP - W INC'!G662</f>
        <v>3960685.78</v>
      </c>
      <c r="H877" s="104">
        <f>'[3]CONAP - W INC'!H662</f>
        <v>0</v>
      </c>
      <c r="I877" s="103">
        <f t="shared" si="321"/>
        <v>3960685.78</v>
      </c>
      <c r="J877" s="104">
        <f>'[3]CONAP - W INC'!J662</f>
        <v>0</v>
      </c>
      <c r="K877" s="104">
        <f>'[3]CONAP - W INC'!K662</f>
        <v>3599493.0799999996</v>
      </c>
      <c r="L877" s="104">
        <f>'[3]CONAP - W INC'!L662</f>
        <v>0</v>
      </c>
      <c r="M877" s="103">
        <f t="shared" si="322"/>
        <v>3599493.0799999996</v>
      </c>
      <c r="N877" s="103">
        <f t="shared" si="323"/>
        <v>0</v>
      </c>
      <c r="O877" s="103">
        <f t="shared" si="323"/>
        <v>361192.70000000019</v>
      </c>
      <c r="P877" s="103">
        <f t="shared" si="323"/>
        <v>0</v>
      </c>
      <c r="Q877" s="103">
        <f t="shared" si="324"/>
        <v>361192.70000000019</v>
      </c>
      <c r="S877" s="267" t="str">
        <f t="shared" si="330"/>
        <v/>
      </c>
      <c r="T877" s="267">
        <f t="shared" si="330"/>
        <v>0.90880551498836648</v>
      </c>
      <c r="U877" s="267" t="str">
        <f t="shared" si="330"/>
        <v/>
      </c>
      <c r="V877" s="267">
        <f t="shared" si="330"/>
        <v>0.90880551498836648</v>
      </c>
      <c r="W877" s="530"/>
      <c r="X877" s="236"/>
      <c r="Y877" s="236"/>
      <c r="Z877" s="236"/>
    </row>
    <row r="878" spans="1:26" s="256" customFormat="1" ht="12" customHeight="1">
      <c r="A878" s="548"/>
      <c r="B878" s="548" t="s">
        <v>216</v>
      </c>
      <c r="C878" s="460"/>
      <c r="D878" s="551"/>
      <c r="E878" s="390" t="s">
        <v>767</v>
      </c>
      <c r="F878" s="391">
        <f>+F875+F874</f>
        <v>0</v>
      </c>
      <c r="G878" s="391">
        <f t="shared" ref="G878:Q878" si="334">+G875+G874</f>
        <v>13960685.779999999</v>
      </c>
      <c r="H878" s="391">
        <f t="shared" si="334"/>
        <v>0</v>
      </c>
      <c r="I878" s="391">
        <f t="shared" si="334"/>
        <v>13960685.779999999</v>
      </c>
      <c r="J878" s="391">
        <f t="shared" si="334"/>
        <v>0</v>
      </c>
      <c r="K878" s="391">
        <f t="shared" si="334"/>
        <v>9739814.0899999999</v>
      </c>
      <c r="L878" s="391">
        <f t="shared" si="334"/>
        <v>0</v>
      </c>
      <c r="M878" s="391">
        <f t="shared" si="334"/>
        <v>9739814.0899999999</v>
      </c>
      <c r="N878" s="391">
        <f t="shared" si="334"/>
        <v>0</v>
      </c>
      <c r="O878" s="391">
        <f t="shared" si="334"/>
        <v>4220871.6899999995</v>
      </c>
      <c r="P878" s="391">
        <f t="shared" si="334"/>
        <v>0</v>
      </c>
      <c r="Q878" s="391">
        <f t="shared" si="334"/>
        <v>4220871.6899999995</v>
      </c>
      <c r="R878" s="761"/>
      <c r="S878" s="267" t="str">
        <f t="shared" si="330"/>
        <v/>
      </c>
      <c r="T878" s="267">
        <f t="shared" si="330"/>
        <v>0.69766014674961052</v>
      </c>
      <c r="U878" s="267" t="str">
        <f t="shared" si="330"/>
        <v/>
      </c>
      <c r="V878" s="267">
        <f t="shared" si="330"/>
        <v>0.69766014674961052</v>
      </c>
      <c r="W878" s="532"/>
      <c r="Y878" s="236" t="s">
        <v>598</v>
      </c>
      <c r="Z878" s="240" t="s">
        <v>598</v>
      </c>
    </row>
    <row r="879" spans="1:26" ht="12" hidden="1" customHeight="1">
      <c r="A879" s="548"/>
      <c r="B879" s="548"/>
      <c r="C879" s="456"/>
      <c r="D879" s="549"/>
      <c r="E879" s="461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S879" s="267" t="str">
        <f t="shared" si="330"/>
        <v/>
      </c>
      <c r="T879" s="267" t="str">
        <f t="shared" si="330"/>
        <v/>
      </c>
      <c r="U879" s="267" t="str">
        <f t="shared" si="330"/>
        <v/>
      </c>
      <c r="V879" s="267" t="str">
        <f t="shared" si="330"/>
        <v/>
      </c>
      <c r="W879" s="530"/>
      <c r="X879" s="236"/>
      <c r="Y879" s="236"/>
      <c r="Z879" s="236"/>
    </row>
    <row r="880" spans="1:26" s="256" customFormat="1" ht="12" customHeight="1">
      <c r="A880" s="548" t="s">
        <v>214</v>
      </c>
      <c r="B880" s="548" t="s">
        <v>216</v>
      </c>
      <c r="C880" s="460"/>
      <c r="D880" s="551" t="s">
        <v>98</v>
      </c>
      <c r="E880" s="390" t="s">
        <v>100</v>
      </c>
      <c r="F880" s="391">
        <f>SUM(F881:F881)</f>
        <v>0</v>
      </c>
      <c r="G880" s="391">
        <f>SUM(G881:G881)</f>
        <v>23457662.52</v>
      </c>
      <c r="H880" s="391">
        <f>SUM(H881:H881)</f>
        <v>0</v>
      </c>
      <c r="I880" s="391">
        <f>+F880+G880+H880</f>
        <v>23457662.52</v>
      </c>
      <c r="J880" s="391">
        <f>SUM(J881:J881)</f>
        <v>0</v>
      </c>
      <c r="K880" s="391">
        <f>SUM(K881:K881)</f>
        <v>17053368</v>
      </c>
      <c r="L880" s="391">
        <f>SUM(L881:L881)</f>
        <v>0</v>
      </c>
      <c r="M880" s="391">
        <f>+J880+K880+L880</f>
        <v>17053368</v>
      </c>
      <c r="N880" s="391">
        <f t="shared" ref="N880:P881" si="335">+F880-J880</f>
        <v>0</v>
      </c>
      <c r="O880" s="391">
        <f t="shared" si="335"/>
        <v>6404294.5199999996</v>
      </c>
      <c r="P880" s="391">
        <f t="shared" si="335"/>
        <v>0</v>
      </c>
      <c r="Q880" s="391">
        <f>+N880+O880+P880</f>
        <v>6404294.5199999996</v>
      </c>
      <c r="R880" s="761"/>
      <c r="S880" s="267" t="str">
        <f t="shared" si="330"/>
        <v/>
      </c>
      <c r="T880" s="267">
        <f t="shared" si="330"/>
        <v>0.72698496644583832</v>
      </c>
      <c r="U880" s="267" t="str">
        <f t="shared" si="330"/>
        <v/>
      </c>
      <c r="V880" s="267">
        <f t="shared" si="330"/>
        <v>0.72698496644583832</v>
      </c>
      <c r="W880" s="532"/>
      <c r="Y880" s="236" t="s">
        <v>598</v>
      </c>
      <c r="Z880" s="240" t="s">
        <v>598</v>
      </c>
    </row>
    <row r="881" spans="1:26" ht="12" customHeight="1">
      <c r="A881" s="548" t="s">
        <v>214</v>
      </c>
      <c r="B881" s="548" t="s">
        <v>216</v>
      </c>
      <c r="C881" s="456"/>
      <c r="D881" s="549"/>
      <c r="E881" s="462" t="s">
        <v>290</v>
      </c>
      <c r="F881" s="103">
        <v>0</v>
      </c>
      <c r="G881" s="103">
        <f>SUM('[3]chd 10-SAOB'!AQ221)</f>
        <v>23457662.52</v>
      </c>
      <c r="H881" s="103">
        <f>SUM('[3]chd 10-SAOB'!AQ313)</f>
        <v>0</v>
      </c>
      <c r="I881" s="103">
        <f>+F881+G881+H881</f>
        <v>23457662.52</v>
      </c>
      <c r="J881" s="103">
        <v>0</v>
      </c>
      <c r="K881" s="103">
        <f>SUM('[3]chd 10-SAOB'!AQ222)</f>
        <v>17053368</v>
      </c>
      <c r="L881" s="103">
        <f>SUM('[3]chd 10-SAOB'!AQ314)</f>
        <v>0</v>
      </c>
      <c r="M881" s="103">
        <f>+J881+K881+L881</f>
        <v>17053368</v>
      </c>
      <c r="N881" s="103">
        <f t="shared" si="335"/>
        <v>0</v>
      </c>
      <c r="O881" s="103">
        <f t="shared" si="335"/>
        <v>6404294.5199999996</v>
      </c>
      <c r="P881" s="103">
        <f t="shared" si="335"/>
        <v>0</v>
      </c>
      <c r="Q881" s="103">
        <f>+N881+O881+P881</f>
        <v>6404294.5199999996</v>
      </c>
      <c r="S881" s="267" t="str">
        <f t="shared" si="330"/>
        <v/>
      </c>
      <c r="T881" s="267">
        <f t="shared" si="330"/>
        <v>0.72698496644583832</v>
      </c>
      <c r="U881" s="267" t="str">
        <f t="shared" si="330"/>
        <v/>
      </c>
      <c r="V881" s="267">
        <f t="shared" si="330"/>
        <v>0.72698496644583832</v>
      </c>
      <c r="W881" s="530"/>
      <c r="X881" s="236"/>
      <c r="Y881" s="236" t="s">
        <v>598</v>
      </c>
      <c r="Z881" s="236"/>
    </row>
    <row r="882" spans="1:26" s="259" customFormat="1" ht="12" customHeight="1">
      <c r="A882" s="315" t="s">
        <v>214</v>
      </c>
      <c r="B882" s="315" t="s">
        <v>216</v>
      </c>
      <c r="C882" s="1096"/>
      <c r="D882" s="466"/>
      <c r="E882" s="1097" t="s">
        <v>4</v>
      </c>
      <c r="F882" s="652">
        <f>+F880+F878</f>
        <v>0</v>
      </c>
      <c r="G882" s="652">
        <f t="shared" ref="G882:Q882" si="336">+G880+G878</f>
        <v>37418348.299999997</v>
      </c>
      <c r="H882" s="652">
        <f t="shared" si="336"/>
        <v>0</v>
      </c>
      <c r="I882" s="652">
        <f t="shared" si="336"/>
        <v>37418348.299999997</v>
      </c>
      <c r="J882" s="652">
        <f t="shared" si="336"/>
        <v>0</v>
      </c>
      <c r="K882" s="652">
        <f t="shared" si="336"/>
        <v>26793182.09</v>
      </c>
      <c r="L882" s="652">
        <f t="shared" si="336"/>
        <v>0</v>
      </c>
      <c r="M882" s="652">
        <f t="shared" si="336"/>
        <v>26793182.09</v>
      </c>
      <c r="N882" s="652">
        <f t="shared" si="336"/>
        <v>0</v>
      </c>
      <c r="O882" s="652">
        <f t="shared" si="336"/>
        <v>10625166.209999999</v>
      </c>
      <c r="P882" s="652">
        <f t="shared" si="336"/>
        <v>0</v>
      </c>
      <c r="Q882" s="652">
        <f t="shared" si="336"/>
        <v>10625166.209999999</v>
      </c>
      <c r="R882" s="1095">
        <f>+Q882-'[3]chd 10-SAOB'!BO350</f>
        <v>0</v>
      </c>
      <c r="S882" s="524" t="str">
        <f t="shared" si="330"/>
        <v/>
      </c>
      <c r="T882" s="524">
        <f t="shared" si="330"/>
        <v>0.71604395456439751</v>
      </c>
      <c r="U882" s="524" t="str">
        <f t="shared" si="330"/>
        <v/>
      </c>
      <c r="V882" s="524">
        <f t="shared" si="330"/>
        <v>0.71604395456439751</v>
      </c>
      <c r="W882" s="344"/>
      <c r="X882" s="520"/>
      <c r="Y882" s="837" t="s">
        <v>598</v>
      </c>
      <c r="Z882" s="241" t="s">
        <v>598</v>
      </c>
    </row>
    <row r="883" spans="1:26" ht="12" customHeight="1">
      <c r="A883" s="315"/>
      <c r="B883" s="315" t="s">
        <v>216</v>
      </c>
      <c r="C883" s="456"/>
      <c r="D883" s="456"/>
      <c r="E883" s="46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S883" s="267" t="str">
        <f t="shared" si="330"/>
        <v/>
      </c>
      <c r="T883" s="267" t="str">
        <f t="shared" si="330"/>
        <v/>
      </c>
      <c r="U883" s="267" t="str">
        <f t="shared" si="330"/>
        <v/>
      </c>
      <c r="V883" s="267" t="str">
        <f t="shared" si="330"/>
        <v/>
      </c>
      <c r="W883" s="267"/>
      <c r="Y883" s="837" t="s">
        <v>598</v>
      </c>
      <c r="Z883" s="241" t="s">
        <v>598</v>
      </c>
    </row>
    <row r="884" spans="1:26" s="275" customFormat="1" ht="14.25" customHeight="1">
      <c r="A884" s="548" t="s">
        <v>214</v>
      </c>
      <c r="B884" s="548" t="s">
        <v>217</v>
      </c>
      <c r="C884" s="464" t="s">
        <v>98</v>
      </c>
      <c r="D884" s="552" t="s">
        <v>107</v>
      </c>
      <c r="E884" s="407" t="s">
        <v>838</v>
      </c>
      <c r="F884" s="468"/>
      <c r="G884" s="468"/>
      <c r="H884" s="468"/>
      <c r="I884" s="409">
        <f t="shared" si="321"/>
        <v>0</v>
      </c>
      <c r="J884" s="468"/>
      <c r="K884" s="468"/>
      <c r="L884" s="468"/>
      <c r="M884" s="409">
        <f t="shared" si="322"/>
        <v>0</v>
      </c>
      <c r="N884" s="409">
        <f t="shared" si="323"/>
        <v>0</v>
      </c>
      <c r="O884" s="409">
        <f t="shared" si="323"/>
        <v>0</v>
      </c>
      <c r="P884" s="409">
        <f t="shared" si="323"/>
        <v>0</v>
      </c>
      <c r="Q884" s="409">
        <f t="shared" si="324"/>
        <v>0</v>
      </c>
      <c r="R884" s="761"/>
      <c r="S884" s="267" t="str">
        <f t="shared" si="330"/>
        <v/>
      </c>
      <c r="T884" s="267" t="str">
        <f t="shared" si="330"/>
        <v/>
      </c>
      <c r="U884" s="267" t="str">
        <f t="shared" si="330"/>
        <v/>
      </c>
      <c r="V884" s="267" t="str">
        <f t="shared" si="330"/>
        <v/>
      </c>
      <c r="W884" s="553"/>
      <c r="Y884" s="236" t="s">
        <v>598</v>
      </c>
      <c r="Z884" s="240" t="s">
        <v>598</v>
      </c>
    </row>
    <row r="885" spans="1:26" ht="12" customHeight="1">
      <c r="A885" s="548" t="s">
        <v>214</v>
      </c>
      <c r="B885" s="548" t="s">
        <v>217</v>
      </c>
      <c r="C885" s="447" t="s">
        <v>766</v>
      </c>
      <c r="D885" s="775"/>
      <c r="E885" s="447" t="s">
        <v>766</v>
      </c>
      <c r="F885" s="104">
        <f>+'[3]chd 10-SAOB'!C438</f>
        <v>0</v>
      </c>
      <c r="G885" s="104">
        <f>+'[3]chd 10-SAOB'!D438</f>
        <v>0</v>
      </c>
      <c r="H885" s="104">
        <f>+'[3]chd 10-SAOB'!E438</f>
        <v>0</v>
      </c>
      <c r="I885" s="103">
        <f t="shared" si="321"/>
        <v>0</v>
      </c>
      <c r="J885" s="104">
        <f>+'[3]chd 10-SAOB'!G438</f>
        <v>0</v>
      </c>
      <c r="K885" s="104">
        <f>+'[3]chd 10-SAOB'!H438</f>
        <v>0</v>
      </c>
      <c r="L885" s="104">
        <f>+'[3]chd 10-SAOB'!I438</f>
        <v>0</v>
      </c>
      <c r="M885" s="103">
        <f t="shared" si="322"/>
        <v>0</v>
      </c>
      <c r="N885" s="103">
        <f t="shared" si="323"/>
        <v>0</v>
      </c>
      <c r="O885" s="103">
        <f t="shared" si="323"/>
        <v>0</v>
      </c>
      <c r="P885" s="103">
        <f t="shared" si="323"/>
        <v>0</v>
      </c>
      <c r="Q885" s="103">
        <f t="shared" si="324"/>
        <v>0</v>
      </c>
      <c r="S885" s="267" t="str">
        <f t="shared" si="330"/>
        <v/>
      </c>
      <c r="T885" s="267" t="str">
        <f t="shared" si="330"/>
        <v/>
      </c>
      <c r="U885" s="267" t="str">
        <f t="shared" si="330"/>
        <v/>
      </c>
      <c r="V885" s="267" t="str">
        <f t="shared" si="330"/>
        <v/>
      </c>
      <c r="W885" s="530"/>
      <c r="X885" s="236"/>
      <c r="Y885" s="236" t="s">
        <v>688</v>
      </c>
      <c r="Z885" s="236"/>
    </row>
    <row r="886" spans="1:26" ht="12" customHeight="1">
      <c r="A886" s="548" t="s">
        <v>214</v>
      </c>
      <c r="B886" s="548" t="s">
        <v>217</v>
      </c>
      <c r="C886" s="456"/>
      <c r="D886" s="775"/>
      <c r="E886" s="453" t="s">
        <v>50</v>
      </c>
      <c r="F886" s="103">
        <f>+F887+F888</f>
        <v>0</v>
      </c>
      <c r="G886" s="103">
        <f>+G887+G888</f>
        <v>5582.7600000000093</v>
      </c>
      <c r="H886" s="103">
        <f>+H887+H888</f>
        <v>80000</v>
      </c>
      <c r="I886" s="103">
        <f t="shared" si="321"/>
        <v>85582.760000000009</v>
      </c>
      <c r="J886" s="103">
        <f>+J887+J888</f>
        <v>0</v>
      </c>
      <c r="K886" s="103">
        <f>+K887+K888</f>
        <v>0</v>
      </c>
      <c r="L886" s="103">
        <f>+L887+L888</f>
        <v>0</v>
      </c>
      <c r="M886" s="103">
        <f t="shared" si="322"/>
        <v>0</v>
      </c>
      <c r="N886" s="103">
        <f t="shared" si="323"/>
        <v>0</v>
      </c>
      <c r="O886" s="103">
        <f t="shared" si="323"/>
        <v>5582.7600000000093</v>
      </c>
      <c r="P886" s="103">
        <f t="shared" si="323"/>
        <v>80000</v>
      </c>
      <c r="Q886" s="103">
        <f t="shared" si="324"/>
        <v>85582.760000000009</v>
      </c>
      <c r="S886" s="267" t="str">
        <f t="shared" si="330"/>
        <v/>
      </c>
      <c r="T886" s="267">
        <f t="shared" si="330"/>
        <v>0</v>
      </c>
      <c r="U886" s="267">
        <f t="shared" si="330"/>
        <v>0</v>
      </c>
      <c r="V886" s="267">
        <f t="shared" si="330"/>
        <v>0</v>
      </c>
      <c r="W886" s="530"/>
      <c r="X886" s="236"/>
      <c r="Y886" s="236" t="s">
        <v>688</v>
      </c>
      <c r="Z886" s="236"/>
    </row>
    <row r="887" spans="1:26" ht="12" hidden="1" customHeight="1">
      <c r="A887" s="548" t="s">
        <v>214</v>
      </c>
      <c r="B887" s="548" t="s">
        <v>217</v>
      </c>
      <c r="C887" s="458" t="s">
        <v>715</v>
      </c>
      <c r="D887" s="550" t="s">
        <v>715</v>
      </c>
      <c r="E887" s="447" t="s">
        <v>715</v>
      </c>
      <c r="F887" s="104">
        <f>'[3]CONAP - W INC'!F669</f>
        <v>0</v>
      </c>
      <c r="G887" s="104">
        <f>'[3]CONAP - W INC'!G669</f>
        <v>-1304814.1599999999</v>
      </c>
      <c r="H887" s="104">
        <f>'[3]CONAP - W INC'!H669</f>
        <v>80000</v>
      </c>
      <c r="I887" s="103">
        <f t="shared" si="321"/>
        <v>-1224814.1599999999</v>
      </c>
      <c r="J887" s="104">
        <f>'[3]CONAP - W INC'!J669</f>
        <v>0</v>
      </c>
      <c r="K887" s="104">
        <f>'[3]CONAP - W INC'!K669</f>
        <v>0</v>
      </c>
      <c r="L887" s="104">
        <f>'[3]CONAP - W INC'!L669</f>
        <v>0</v>
      </c>
      <c r="M887" s="103">
        <f t="shared" si="322"/>
        <v>0</v>
      </c>
      <c r="N887" s="103">
        <f t="shared" si="323"/>
        <v>0</v>
      </c>
      <c r="O887" s="103">
        <f t="shared" si="323"/>
        <v>-1304814.1599999999</v>
      </c>
      <c r="P887" s="103">
        <f t="shared" si="323"/>
        <v>80000</v>
      </c>
      <c r="Q887" s="103">
        <f t="shared" si="324"/>
        <v>-1224814.1599999999</v>
      </c>
      <c r="S887" s="267" t="str">
        <f t="shared" si="330"/>
        <v/>
      </c>
      <c r="T887" s="267">
        <f t="shared" si="330"/>
        <v>0</v>
      </c>
      <c r="U887" s="267">
        <f t="shared" si="330"/>
        <v>0</v>
      </c>
      <c r="V887" s="267">
        <f t="shared" si="330"/>
        <v>0</v>
      </c>
      <c r="W887" s="530"/>
      <c r="X887" s="236"/>
      <c r="Y887" s="236"/>
      <c r="Z887" s="236"/>
    </row>
    <row r="888" spans="1:26" ht="12" hidden="1" customHeight="1">
      <c r="A888" s="548" t="s">
        <v>214</v>
      </c>
      <c r="B888" s="548" t="s">
        <v>217</v>
      </c>
      <c r="C888" s="458" t="s">
        <v>716</v>
      </c>
      <c r="D888" s="550" t="s">
        <v>716</v>
      </c>
      <c r="E888" s="459" t="s">
        <v>716</v>
      </c>
      <c r="F888" s="104">
        <f>'[3]CONAP - W INC'!F670</f>
        <v>0</v>
      </c>
      <c r="G888" s="104">
        <f>'[3]CONAP - W INC'!G670</f>
        <v>1310396.92</v>
      </c>
      <c r="H888" s="104">
        <f>'[3]CONAP - W INC'!H670</f>
        <v>0</v>
      </c>
      <c r="I888" s="103">
        <f t="shared" si="321"/>
        <v>1310396.92</v>
      </c>
      <c r="J888" s="104">
        <f>'[3]CONAP - W INC'!J670</f>
        <v>0</v>
      </c>
      <c r="K888" s="104">
        <f>'[3]CONAP - W INC'!K670</f>
        <v>0</v>
      </c>
      <c r="L888" s="104">
        <f>'[3]CONAP - W INC'!L670</f>
        <v>0</v>
      </c>
      <c r="M888" s="103">
        <f t="shared" si="322"/>
        <v>0</v>
      </c>
      <c r="N888" s="103">
        <f t="shared" si="323"/>
        <v>0</v>
      </c>
      <c r="O888" s="103">
        <f t="shared" si="323"/>
        <v>1310396.92</v>
      </c>
      <c r="P888" s="103">
        <f t="shared" si="323"/>
        <v>0</v>
      </c>
      <c r="Q888" s="103">
        <f t="shared" si="324"/>
        <v>1310396.92</v>
      </c>
      <c r="S888" s="267" t="str">
        <f t="shared" si="330"/>
        <v/>
      </c>
      <c r="T888" s="267">
        <f t="shared" si="330"/>
        <v>0</v>
      </c>
      <c r="U888" s="267" t="str">
        <f t="shared" si="330"/>
        <v/>
      </c>
      <c r="V888" s="267">
        <f t="shared" si="330"/>
        <v>0</v>
      </c>
      <c r="W888" s="530"/>
      <c r="X888" s="236"/>
      <c r="Y888" s="236"/>
      <c r="Z888" s="236"/>
    </row>
    <row r="889" spans="1:26" s="256" customFormat="1" ht="12" customHeight="1">
      <c r="A889" s="548"/>
      <c r="B889" s="548" t="s">
        <v>217</v>
      </c>
      <c r="C889" s="460"/>
      <c r="D889" s="551"/>
      <c r="E889" s="390" t="s">
        <v>767</v>
      </c>
      <c r="F889" s="391">
        <f>+F886+F885</f>
        <v>0</v>
      </c>
      <c r="G889" s="391">
        <f t="shared" ref="G889:Q889" si="337">+G886+G885</f>
        <v>5582.7600000000093</v>
      </c>
      <c r="H889" s="391">
        <f t="shared" si="337"/>
        <v>80000</v>
      </c>
      <c r="I889" s="391">
        <f t="shared" si="337"/>
        <v>85582.760000000009</v>
      </c>
      <c r="J889" s="391">
        <f t="shared" si="337"/>
        <v>0</v>
      </c>
      <c r="K889" s="391">
        <f t="shared" si="337"/>
        <v>0</v>
      </c>
      <c r="L889" s="391">
        <f t="shared" si="337"/>
        <v>0</v>
      </c>
      <c r="M889" s="391">
        <f t="shared" si="337"/>
        <v>0</v>
      </c>
      <c r="N889" s="391">
        <f t="shared" si="337"/>
        <v>0</v>
      </c>
      <c r="O889" s="391">
        <f t="shared" si="337"/>
        <v>5582.7600000000093</v>
      </c>
      <c r="P889" s="391">
        <f t="shared" si="337"/>
        <v>80000</v>
      </c>
      <c r="Q889" s="391">
        <f t="shared" si="337"/>
        <v>85582.760000000009</v>
      </c>
      <c r="R889" s="761"/>
      <c r="S889" s="267" t="str">
        <f t="shared" si="330"/>
        <v/>
      </c>
      <c r="T889" s="267">
        <f t="shared" si="330"/>
        <v>0</v>
      </c>
      <c r="U889" s="267">
        <f t="shared" si="330"/>
        <v>0</v>
      </c>
      <c r="V889" s="267">
        <f t="shared" si="330"/>
        <v>0</v>
      </c>
      <c r="W889" s="532"/>
      <c r="Y889" s="236" t="s">
        <v>598</v>
      </c>
      <c r="Z889" s="240" t="s">
        <v>598</v>
      </c>
    </row>
    <row r="890" spans="1:26" ht="12" hidden="1" customHeight="1">
      <c r="A890" s="548"/>
      <c r="B890" s="548"/>
      <c r="C890" s="456"/>
      <c r="D890" s="549"/>
      <c r="E890" s="461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S890" s="267" t="str">
        <f t="shared" si="330"/>
        <v/>
      </c>
      <c r="T890" s="267" t="str">
        <f t="shared" si="330"/>
        <v/>
      </c>
      <c r="U890" s="267" t="str">
        <f t="shared" si="330"/>
        <v/>
      </c>
      <c r="V890" s="267" t="str">
        <f t="shared" si="330"/>
        <v/>
      </c>
      <c r="W890" s="530"/>
      <c r="X890" s="236"/>
      <c r="Y890" s="236"/>
      <c r="Z890" s="236"/>
    </row>
    <row r="891" spans="1:26" s="256" customFormat="1" ht="12" customHeight="1">
      <c r="A891" s="548" t="s">
        <v>214</v>
      </c>
      <c r="B891" s="548" t="s">
        <v>217</v>
      </c>
      <c r="C891" s="460"/>
      <c r="D891" s="551" t="s">
        <v>98</v>
      </c>
      <c r="E891" s="390" t="s">
        <v>100</v>
      </c>
      <c r="F891" s="391">
        <f>SUM(F892:F892)</f>
        <v>0</v>
      </c>
      <c r="G891" s="391">
        <f>SUM(G892:G892)</f>
        <v>733111.27</v>
      </c>
      <c r="H891" s="391">
        <f>SUM(H892:H892)</f>
        <v>0</v>
      </c>
      <c r="I891" s="391">
        <f>+F891+G891+H891</f>
        <v>733111.27</v>
      </c>
      <c r="J891" s="391">
        <f>SUM(J892:J892)</f>
        <v>0</v>
      </c>
      <c r="K891" s="391">
        <f>SUM(K892:K892)</f>
        <v>86042.84</v>
      </c>
      <c r="L891" s="391">
        <f>SUM(L892:L892)</f>
        <v>0</v>
      </c>
      <c r="M891" s="391">
        <f>+J891+K891+L891</f>
        <v>86042.84</v>
      </c>
      <c r="N891" s="391">
        <f t="shared" ref="N891:P892" si="338">+F891-J891</f>
        <v>0</v>
      </c>
      <c r="O891" s="391">
        <f t="shared" si="338"/>
        <v>647068.43000000005</v>
      </c>
      <c r="P891" s="391">
        <f t="shared" si="338"/>
        <v>0</v>
      </c>
      <c r="Q891" s="391">
        <f>+N891+O891+P891</f>
        <v>647068.43000000005</v>
      </c>
      <c r="R891" s="761"/>
      <c r="S891" s="267" t="str">
        <f t="shared" si="330"/>
        <v/>
      </c>
      <c r="T891" s="267">
        <f t="shared" si="330"/>
        <v>0.11736668568742641</v>
      </c>
      <c r="U891" s="267" t="str">
        <f t="shared" si="330"/>
        <v/>
      </c>
      <c r="V891" s="267">
        <f t="shared" si="330"/>
        <v>0.11736668568742641</v>
      </c>
      <c r="W891" s="532"/>
      <c r="Y891" s="236" t="s">
        <v>598</v>
      </c>
      <c r="Z891" s="240" t="s">
        <v>598</v>
      </c>
    </row>
    <row r="892" spans="1:26" ht="12" customHeight="1">
      <c r="A892" s="548" t="s">
        <v>214</v>
      </c>
      <c r="B892" s="548" t="s">
        <v>217</v>
      </c>
      <c r="C892" s="456"/>
      <c r="D892" s="549"/>
      <c r="E892" s="462" t="s">
        <v>290</v>
      </c>
      <c r="F892" s="103">
        <v>0</v>
      </c>
      <c r="G892" s="103">
        <f>SUM('[3]chd 10-SAOB'!AP221)</f>
        <v>733111.27</v>
      </c>
      <c r="H892" s="103">
        <f>SUM('[3]chd 10-SAOB'!AP313)</f>
        <v>0</v>
      </c>
      <c r="I892" s="103">
        <f>+F892+G892+H892</f>
        <v>733111.27</v>
      </c>
      <c r="J892" s="103">
        <v>0</v>
      </c>
      <c r="K892" s="103">
        <f>SUM('[3]chd 10-SAOB'!AP222)</f>
        <v>86042.84</v>
      </c>
      <c r="L892" s="103">
        <f>SUM('[3]chd 10-SAOB'!AP314)</f>
        <v>0</v>
      </c>
      <c r="M892" s="103">
        <f>+J892+K892+L892</f>
        <v>86042.84</v>
      </c>
      <c r="N892" s="103">
        <f t="shared" si="338"/>
        <v>0</v>
      </c>
      <c r="O892" s="103">
        <f t="shared" si="338"/>
        <v>647068.43000000005</v>
      </c>
      <c r="P892" s="103">
        <f t="shared" si="338"/>
        <v>0</v>
      </c>
      <c r="Q892" s="103">
        <f>+N892+O892+P892</f>
        <v>647068.43000000005</v>
      </c>
      <c r="S892" s="267" t="str">
        <f t="shared" si="330"/>
        <v/>
      </c>
      <c r="T892" s="267">
        <f t="shared" si="330"/>
        <v>0.11736668568742641</v>
      </c>
      <c r="U892" s="267" t="str">
        <f t="shared" si="330"/>
        <v/>
      </c>
      <c r="V892" s="267">
        <f t="shared" si="330"/>
        <v>0.11736668568742641</v>
      </c>
      <c r="W892" s="530"/>
      <c r="X892" s="236"/>
      <c r="Y892" s="236" t="s">
        <v>598</v>
      </c>
      <c r="Z892" s="236"/>
    </row>
    <row r="893" spans="1:26" s="259" customFormat="1" ht="12" customHeight="1">
      <c r="A893" s="315" t="s">
        <v>214</v>
      </c>
      <c r="B893" s="315" t="s">
        <v>217</v>
      </c>
      <c r="C893" s="1096"/>
      <c r="D893" s="466"/>
      <c r="E893" s="1097" t="s">
        <v>4</v>
      </c>
      <c r="F893" s="652">
        <f>+F891+F889</f>
        <v>0</v>
      </c>
      <c r="G893" s="652">
        <f t="shared" ref="G893:Q893" si="339">+G891+G889</f>
        <v>738694.03</v>
      </c>
      <c r="H893" s="652">
        <f t="shared" si="339"/>
        <v>80000</v>
      </c>
      <c r="I893" s="652">
        <f t="shared" si="339"/>
        <v>818694.03</v>
      </c>
      <c r="J893" s="652">
        <f t="shared" si="339"/>
        <v>0</v>
      </c>
      <c r="K893" s="652">
        <f t="shared" si="339"/>
        <v>86042.84</v>
      </c>
      <c r="L893" s="652">
        <f t="shared" si="339"/>
        <v>0</v>
      </c>
      <c r="M893" s="652">
        <f t="shared" si="339"/>
        <v>86042.84</v>
      </c>
      <c r="N893" s="652">
        <f t="shared" si="339"/>
        <v>0</v>
      </c>
      <c r="O893" s="652">
        <f t="shared" si="339"/>
        <v>652651.19000000006</v>
      </c>
      <c r="P893" s="652">
        <f t="shared" si="339"/>
        <v>80000</v>
      </c>
      <c r="Q893" s="652">
        <f t="shared" si="339"/>
        <v>732651.19000000006</v>
      </c>
      <c r="R893" s="1095">
        <f>+Q893-'[3]chd 10-SAOB'!BN350</f>
        <v>0</v>
      </c>
      <c r="S893" s="524" t="str">
        <f t="shared" si="330"/>
        <v/>
      </c>
      <c r="T893" s="524">
        <f t="shared" si="330"/>
        <v>0.11647967427055014</v>
      </c>
      <c r="U893" s="524">
        <f t="shared" si="330"/>
        <v>0</v>
      </c>
      <c r="V893" s="524">
        <f t="shared" si="330"/>
        <v>0.10509767611228335</v>
      </c>
      <c r="W893" s="344"/>
      <c r="X893" s="520"/>
      <c r="Y893" s="837" t="s">
        <v>598</v>
      </c>
      <c r="Z893" s="241" t="s">
        <v>598</v>
      </c>
    </row>
    <row r="894" spans="1:26" ht="12" customHeight="1">
      <c r="A894" s="315" t="s">
        <v>214</v>
      </c>
      <c r="B894" s="315" t="s">
        <v>217</v>
      </c>
      <c r="C894" s="456"/>
      <c r="D894" s="456"/>
      <c r="E894" s="46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S894" s="267" t="str">
        <f t="shared" si="330"/>
        <v/>
      </c>
      <c r="T894" s="267" t="str">
        <f t="shared" si="330"/>
        <v/>
      </c>
      <c r="U894" s="267" t="str">
        <f t="shared" si="330"/>
        <v/>
      </c>
      <c r="V894" s="267" t="str">
        <f t="shared" si="330"/>
        <v/>
      </c>
      <c r="W894" s="267"/>
      <c r="Y894" s="837" t="s">
        <v>598</v>
      </c>
      <c r="Z894" s="241" t="s">
        <v>598</v>
      </c>
    </row>
    <row r="895" spans="1:26" s="275" customFormat="1" ht="12" customHeight="1">
      <c r="A895" s="548" t="s">
        <v>214</v>
      </c>
      <c r="B895" s="548" t="s">
        <v>218</v>
      </c>
      <c r="C895" s="464" t="s">
        <v>98</v>
      </c>
      <c r="D895" s="552" t="s">
        <v>109</v>
      </c>
      <c r="E895" s="407" t="s">
        <v>839</v>
      </c>
      <c r="F895" s="468"/>
      <c r="G895" s="468"/>
      <c r="H895" s="468"/>
      <c r="I895" s="409">
        <f t="shared" si="321"/>
        <v>0</v>
      </c>
      <c r="J895" s="468"/>
      <c r="K895" s="468"/>
      <c r="L895" s="468"/>
      <c r="M895" s="409">
        <f t="shared" si="322"/>
        <v>0</v>
      </c>
      <c r="N895" s="409">
        <f t="shared" si="323"/>
        <v>0</v>
      </c>
      <c r="O895" s="409">
        <f t="shared" si="323"/>
        <v>0</v>
      </c>
      <c r="P895" s="409">
        <f t="shared" si="323"/>
        <v>0</v>
      </c>
      <c r="Q895" s="409">
        <f t="shared" si="324"/>
        <v>0</v>
      </c>
      <c r="R895" s="761"/>
      <c r="S895" s="267" t="str">
        <f t="shared" si="330"/>
        <v/>
      </c>
      <c r="T895" s="267" t="str">
        <f t="shared" si="330"/>
        <v/>
      </c>
      <c r="U895" s="267" t="str">
        <f t="shared" si="330"/>
        <v/>
      </c>
      <c r="V895" s="267" t="str">
        <f t="shared" si="330"/>
        <v/>
      </c>
      <c r="W895" s="553"/>
      <c r="Y895" s="236" t="s">
        <v>598</v>
      </c>
      <c r="Z895" s="240" t="s">
        <v>598</v>
      </c>
    </row>
    <row r="896" spans="1:26" ht="12" customHeight="1">
      <c r="A896" s="548" t="s">
        <v>214</v>
      </c>
      <c r="B896" s="548" t="s">
        <v>218</v>
      </c>
      <c r="C896" s="447" t="s">
        <v>766</v>
      </c>
      <c r="D896" s="775"/>
      <c r="E896" s="447" t="s">
        <v>766</v>
      </c>
      <c r="F896" s="104">
        <f>+'[3]chd 10-SAOB'!C452</f>
        <v>0</v>
      </c>
      <c r="G896" s="104">
        <f>+'[3]chd 10-SAOB'!D452</f>
        <v>0</v>
      </c>
      <c r="H896" s="104">
        <f>+'[3]chd 10-SAOB'!E452</f>
        <v>0</v>
      </c>
      <c r="I896" s="103">
        <f t="shared" si="321"/>
        <v>0</v>
      </c>
      <c r="J896" s="104">
        <f>+'[3]chd 10-SAOB'!G452</f>
        <v>0</v>
      </c>
      <c r="K896" s="104">
        <f>+'[3]chd 10-SAOB'!H452</f>
        <v>0</v>
      </c>
      <c r="L896" s="104">
        <f>+'[3]chd 10-SAOB'!I452</f>
        <v>0</v>
      </c>
      <c r="M896" s="103">
        <f t="shared" si="322"/>
        <v>0</v>
      </c>
      <c r="N896" s="103">
        <f t="shared" si="323"/>
        <v>0</v>
      </c>
      <c r="O896" s="103">
        <f t="shared" si="323"/>
        <v>0</v>
      </c>
      <c r="P896" s="103">
        <f t="shared" si="323"/>
        <v>0</v>
      </c>
      <c r="Q896" s="103">
        <f t="shared" si="324"/>
        <v>0</v>
      </c>
      <c r="S896" s="267" t="str">
        <f t="shared" si="330"/>
        <v/>
      </c>
      <c r="T896" s="267" t="str">
        <f t="shared" si="330"/>
        <v/>
      </c>
      <c r="U896" s="267" t="str">
        <f t="shared" si="330"/>
        <v/>
      </c>
      <c r="V896" s="267" t="str">
        <f t="shared" si="330"/>
        <v/>
      </c>
      <c r="W896" s="530"/>
      <c r="X896" s="236"/>
      <c r="Y896" s="236" t="s">
        <v>688</v>
      </c>
      <c r="Z896" s="236"/>
    </row>
    <row r="897" spans="1:26" ht="12" customHeight="1">
      <c r="A897" s="548" t="s">
        <v>214</v>
      </c>
      <c r="B897" s="548" t="s">
        <v>218</v>
      </c>
      <c r="C897" s="456"/>
      <c r="D897" s="775"/>
      <c r="E897" s="453" t="s">
        <v>50</v>
      </c>
      <c r="F897" s="103">
        <f>+F898+F899</f>
        <v>0</v>
      </c>
      <c r="G897" s="103">
        <f>+G898+G899</f>
        <v>536267.76000000013</v>
      </c>
      <c r="H897" s="103">
        <f>+H898+H899</f>
        <v>0</v>
      </c>
      <c r="I897" s="103">
        <f t="shared" si="321"/>
        <v>536267.76000000013</v>
      </c>
      <c r="J897" s="103">
        <f>+J898+J899</f>
        <v>0</v>
      </c>
      <c r="K897" s="103">
        <f>+K898+K899</f>
        <v>335560.47</v>
      </c>
      <c r="L897" s="103">
        <f>+L898+L899</f>
        <v>0</v>
      </c>
      <c r="M897" s="103">
        <f t="shared" si="322"/>
        <v>335560.47</v>
      </c>
      <c r="N897" s="103">
        <f t="shared" si="323"/>
        <v>0</v>
      </c>
      <c r="O897" s="103">
        <f t="shared" si="323"/>
        <v>200707.29000000015</v>
      </c>
      <c r="P897" s="103">
        <f t="shared" si="323"/>
        <v>0</v>
      </c>
      <c r="Q897" s="103">
        <f t="shared" si="324"/>
        <v>200707.29000000015</v>
      </c>
      <c r="S897" s="267" t="str">
        <f t="shared" si="330"/>
        <v/>
      </c>
      <c r="T897" s="267">
        <f t="shared" si="330"/>
        <v>0.62573306663074413</v>
      </c>
      <c r="U897" s="267" t="str">
        <f t="shared" si="330"/>
        <v/>
      </c>
      <c r="V897" s="267">
        <f t="shared" si="330"/>
        <v>0.62573306663074413</v>
      </c>
      <c r="W897" s="530"/>
      <c r="X897" s="236"/>
      <c r="Y897" s="236" t="s">
        <v>688</v>
      </c>
      <c r="Z897" s="236"/>
    </row>
    <row r="898" spans="1:26" ht="12" hidden="1" customHeight="1">
      <c r="A898" s="548" t="s">
        <v>214</v>
      </c>
      <c r="B898" s="548" t="s">
        <v>218</v>
      </c>
      <c r="C898" s="458" t="s">
        <v>715</v>
      </c>
      <c r="D898" s="550" t="s">
        <v>715</v>
      </c>
      <c r="E898" s="447" t="s">
        <v>715</v>
      </c>
      <c r="F898" s="104">
        <f>'[3]CONAP - W INC'!F677</f>
        <v>0</v>
      </c>
      <c r="G898" s="104">
        <f>'[3]CONAP - W INC'!G677</f>
        <v>-207760.08</v>
      </c>
      <c r="H898" s="104">
        <f>'[3]CONAP - W INC'!H677</f>
        <v>0</v>
      </c>
      <c r="I898" s="103">
        <f t="shared" si="321"/>
        <v>-207760.08</v>
      </c>
      <c r="J898" s="104">
        <f>'[3]CONAP - W INC'!J677</f>
        <v>0</v>
      </c>
      <c r="K898" s="104">
        <f>'[3]CONAP - W INC'!K677</f>
        <v>0</v>
      </c>
      <c r="L898" s="104">
        <f>'[3]CONAP - W INC'!L677</f>
        <v>0</v>
      </c>
      <c r="M898" s="103">
        <f t="shared" si="322"/>
        <v>0</v>
      </c>
      <c r="N898" s="103">
        <f t="shared" si="323"/>
        <v>0</v>
      </c>
      <c r="O898" s="103">
        <f t="shared" si="323"/>
        <v>-207760.08</v>
      </c>
      <c r="P898" s="103">
        <f t="shared" si="323"/>
        <v>0</v>
      </c>
      <c r="Q898" s="103">
        <f t="shared" si="324"/>
        <v>-207760.08</v>
      </c>
      <c r="S898" s="267" t="str">
        <f t="shared" si="330"/>
        <v/>
      </c>
      <c r="T898" s="267">
        <f t="shared" si="330"/>
        <v>0</v>
      </c>
      <c r="U898" s="267" t="str">
        <f t="shared" si="330"/>
        <v/>
      </c>
      <c r="V898" s="267">
        <f t="shared" si="330"/>
        <v>0</v>
      </c>
      <c r="W898" s="530"/>
      <c r="X898" s="236"/>
      <c r="Y898" s="236"/>
      <c r="Z898" s="236"/>
    </row>
    <row r="899" spans="1:26" ht="12" hidden="1" customHeight="1">
      <c r="A899" s="548" t="s">
        <v>214</v>
      </c>
      <c r="B899" s="548" t="s">
        <v>218</v>
      </c>
      <c r="C899" s="458" t="s">
        <v>716</v>
      </c>
      <c r="D899" s="550" t="s">
        <v>716</v>
      </c>
      <c r="E899" s="459" t="s">
        <v>716</v>
      </c>
      <c r="F899" s="104">
        <f>'[3]CONAP - W INC'!F678</f>
        <v>0</v>
      </c>
      <c r="G899" s="104">
        <f>'[3]CONAP - W INC'!G678</f>
        <v>744027.84000000008</v>
      </c>
      <c r="H899" s="104">
        <f>'[3]CONAP - W INC'!H678</f>
        <v>0</v>
      </c>
      <c r="I899" s="103">
        <f t="shared" si="321"/>
        <v>744027.84000000008</v>
      </c>
      <c r="J899" s="104">
        <f>'[3]CONAP - W INC'!J678</f>
        <v>0</v>
      </c>
      <c r="K899" s="104">
        <f>'[3]CONAP - W INC'!K678</f>
        <v>335560.47</v>
      </c>
      <c r="L899" s="104">
        <f>'[3]CONAP - W INC'!L678</f>
        <v>0</v>
      </c>
      <c r="M899" s="103">
        <f t="shared" si="322"/>
        <v>335560.47</v>
      </c>
      <c r="N899" s="103">
        <f t="shared" si="323"/>
        <v>0</v>
      </c>
      <c r="O899" s="103">
        <f t="shared" si="323"/>
        <v>408467.37000000011</v>
      </c>
      <c r="P899" s="103">
        <f t="shared" si="323"/>
        <v>0</v>
      </c>
      <c r="Q899" s="103">
        <f t="shared" si="324"/>
        <v>408467.37000000011</v>
      </c>
      <c r="S899" s="267" t="str">
        <f t="shared" si="330"/>
        <v/>
      </c>
      <c r="T899" s="267">
        <f t="shared" si="330"/>
        <v>0.45100526077088721</v>
      </c>
      <c r="U899" s="267" t="str">
        <f t="shared" si="330"/>
        <v/>
      </c>
      <c r="V899" s="267">
        <f t="shared" si="330"/>
        <v>0.45100526077088721</v>
      </c>
      <c r="W899" s="530"/>
      <c r="X899" s="236"/>
      <c r="Y899" s="236"/>
      <c r="Z899" s="236"/>
    </row>
    <row r="900" spans="1:26" s="256" customFormat="1" ht="12" customHeight="1">
      <c r="A900" s="548"/>
      <c r="B900" s="548" t="s">
        <v>218</v>
      </c>
      <c r="C900" s="460"/>
      <c r="D900" s="551"/>
      <c r="E900" s="390" t="s">
        <v>767</v>
      </c>
      <c r="F900" s="391">
        <f>+F897+F896</f>
        <v>0</v>
      </c>
      <c r="G900" s="391">
        <f t="shared" ref="G900:Q900" si="340">+G897+G896</f>
        <v>536267.76000000013</v>
      </c>
      <c r="H900" s="391">
        <f t="shared" si="340"/>
        <v>0</v>
      </c>
      <c r="I900" s="391">
        <f t="shared" si="340"/>
        <v>536267.76000000013</v>
      </c>
      <c r="J900" s="391">
        <f t="shared" si="340"/>
        <v>0</v>
      </c>
      <c r="K900" s="391">
        <f t="shared" si="340"/>
        <v>335560.47</v>
      </c>
      <c r="L900" s="391">
        <f t="shared" si="340"/>
        <v>0</v>
      </c>
      <c r="M900" s="391">
        <f t="shared" si="340"/>
        <v>335560.47</v>
      </c>
      <c r="N900" s="391">
        <f t="shared" si="340"/>
        <v>0</v>
      </c>
      <c r="O900" s="391">
        <f t="shared" si="340"/>
        <v>200707.29000000015</v>
      </c>
      <c r="P900" s="391">
        <f t="shared" si="340"/>
        <v>0</v>
      </c>
      <c r="Q900" s="391">
        <f t="shared" si="340"/>
        <v>200707.29000000015</v>
      </c>
      <c r="R900" s="761"/>
      <c r="S900" s="267" t="str">
        <f t="shared" si="330"/>
        <v/>
      </c>
      <c r="T900" s="267">
        <f t="shared" si="330"/>
        <v>0.62573306663074413</v>
      </c>
      <c r="U900" s="267" t="str">
        <f t="shared" si="330"/>
        <v/>
      </c>
      <c r="V900" s="267">
        <f t="shared" si="330"/>
        <v>0.62573306663074413</v>
      </c>
      <c r="W900" s="532"/>
      <c r="Y900" s="236" t="s">
        <v>598</v>
      </c>
      <c r="Z900" s="240" t="s">
        <v>598</v>
      </c>
    </row>
    <row r="901" spans="1:26" ht="12" hidden="1" customHeight="1">
      <c r="A901" s="548"/>
      <c r="B901" s="548"/>
      <c r="C901" s="456"/>
      <c r="D901" s="549"/>
      <c r="E901" s="461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S901" s="267" t="str">
        <f t="shared" si="330"/>
        <v/>
      </c>
      <c r="T901" s="267" t="str">
        <f t="shared" si="330"/>
        <v/>
      </c>
      <c r="U901" s="267" t="str">
        <f t="shared" si="330"/>
        <v/>
      </c>
      <c r="V901" s="267" t="str">
        <f t="shared" si="330"/>
        <v/>
      </c>
      <c r="W901" s="530"/>
      <c r="X901" s="236"/>
      <c r="Y901" s="236"/>
      <c r="Z901" s="236"/>
    </row>
    <row r="902" spans="1:26" s="256" customFormat="1" ht="12" customHeight="1">
      <c r="A902" s="548" t="s">
        <v>214</v>
      </c>
      <c r="B902" s="548" t="s">
        <v>218</v>
      </c>
      <c r="C902" s="460"/>
      <c r="D902" s="551" t="s">
        <v>98</v>
      </c>
      <c r="E902" s="390" t="s">
        <v>100</v>
      </c>
      <c r="F902" s="391">
        <f>SUM(F903:F903)</f>
        <v>0</v>
      </c>
      <c r="G902" s="391">
        <f>SUM(G903:G903)</f>
        <v>1822.5</v>
      </c>
      <c r="H902" s="391">
        <f>SUM(H903:H903)</f>
        <v>0</v>
      </c>
      <c r="I902" s="391">
        <f>+F902+G902+H902</f>
        <v>1822.5</v>
      </c>
      <c r="J902" s="391">
        <f>SUM(J903:J903)</f>
        <v>0</v>
      </c>
      <c r="K902" s="391">
        <f>SUM(K903:K903)</f>
        <v>0</v>
      </c>
      <c r="L902" s="391">
        <f>SUM(L903:L903)</f>
        <v>0</v>
      </c>
      <c r="M902" s="391">
        <f>+J902+K902+L902</f>
        <v>0</v>
      </c>
      <c r="N902" s="391">
        <f t="shared" ref="N902:P903" si="341">+F902-J902</f>
        <v>0</v>
      </c>
      <c r="O902" s="391">
        <f t="shared" si="341"/>
        <v>1822.5</v>
      </c>
      <c r="P902" s="391">
        <f t="shared" si="341"/>
        <v>0</v>
      </c>
      <c r="Q902" s="391">
        <f>+N902+O902+P902</f>
        <v>1822.5</v>
      </c>
      <c r="R902" s="761"/>
      <c r="S902" s="267" t="str">
        <f t="shared" si="330"/>
        <v/>
      </c>
      <c r="T902" s="267">
        <f t="shared" si="330"/>
        <v>0</v>
      </c>
      <c r="U902" s="267" t="str">
        <f t="shared" si="330"/>
        <v/>
      </c>
      <c r="V902" s="267">
        <f t="shared" si="330"/>
        <v>0</v>
      </c>
      <c r="W902" s="532"/>
      <c r="Y902" s="236" t="s">
        <v>598</v>
      </c>
      <c r="Z902" s="240" t="s">
        <v>598</v>
      </c>
    </row>
    <row r="903" spans="1:26" ht="12" customHeight="1">
      <c r="A903" s="548" t="s">
        <v>214</v>
      </c>
      <c r="B903" s="548" t="s">
        <v>218</v>
      </c>
      <c r="C903" s="456"/>
      <c r="D903" s="549"/>
      <c r="E903" s="462" t="s">
        <v>290</v>
      </c>
      <c r="F903" s="103">
        <v>0</v>
      </c>
      <c r="G903" s="103">
        <f>SUM('[3]chd 10-SAOB'!AR221)</f>
        <v>1822.5</v>
      </c>
      <c r="H903" s="103">
        <f>SUM('[3]chd 10-SAOB'!AR313)</f>
        <v>0</v>
      </c>
      <c r="I903" s="103">
        <f>+F903+G903+H903</f>
        <v>1822.5</v>
      </c>
      <c r="J903" s="103">
        <v>0</v>
      </c>
      <c r="K903" s="103">
        <f>SUM('[3]chd 10-SAOB'!AR222)</f>
        <v>0</v>
      </c>
      <c r="L903" s="103">
        <f>SUM('[3]chd 10-SAOB'!AR314)</f>
        <v>0</v>
      </c>
      <c r="M903" s="103">
        <f>+J903+K903+L903</f>
        <v>0</v>
      </c>
      <c r="N903" s="103">
        <f t="shared" si="341"/>
        <v>0</v>
      </c>
      <c r="O903" s="103">
        <f t="shared" si="341"/>
        <v>1822.5</v>
      </c>
      <c r="P903" s="103">
        <f t="shared" si="341"/>
        <v>0</v>
      </c>
      <c r="Q903" s="103">
        <f>+N903+O903+P903</f>
        <v>1822.5</v>
      </c>
      <c r="S903" s="267" t="str">
        <f t="shared" si="330"/>
        <v/>
      </c>
      <c r="T903" s="267">
        <f t="shared" si="330"/>
        <v>0</v>
      </c>
      <c r="U903" s="267" t="str">
        <f t="shared" si="330"/>
        <v/>
      </c>
      <c r="V903" s="267">
        <f t="shared" si="330"/>
        <v>0</v>
      </c>
      <c r="W903" s="530"/>
      <c r="X903" s="236"/>
      <c r="Y903" s="236" t="s">
        <v>598</v>
      </c>
      <c r="Z903" s="236"/>
    </row>
    <row r="904" spans="1:26" s="259" customFormat="1" ht="12" customHeight="1">
      <c r="A904" s="315" t="s">
        <v>214</v>
      </c>
      <c r="B904" s="315" t="s">
        <v>218</v>
      </c>
      <c r="C904" s="1096"/>
      <c r="D904" s="466"/>
      <c r="E904" s="1097" t="s">
        <v>4</v>
      </c>
      <c r="F904" s="652">
        <f>+F902+F900</f>
        <v>0</v>
      </c>
      <c r="G904" s="652">
        <f t="shared" ref="G904:Q904" si="342">+G902+G900</f>
        <v>538090.26000000013</v>
      </c>
      <c r="H904" s="652">
        <f t="shared" si="342"/>
        <v>0</v>
      </c>
      <c r="I904" s="652">
        <f t="shared" si="342"/>
        <v>538090.26000000013</v>
      </c>
      <c r="J904" s="652">
        <f t="shared" si="342"/>
        <v>0</v>
      </c>
      <c r="K904" s="652">
        <f t="shared" si="342"/>
        <v>335560.47</v>
      </c>
      <c r="L904" s="652">
        <f t="shared" si="342"/>
        <v>0</v>
      </c>
      <c r="M904" s="652">
        <f t="shared" si="342"/>
        <v>335560.47</v>
      </c>
      <c r="N904" s="652">
        <f t="shared" si="342"/>
        <v>0</v>
      </c>
      <c r="O904" s="652">
        <f t="shared" si="342"/>
        <v>202529.79000000015</v>
      </c>
      <c r="P904" s="652">
        <f t="shared" si="342"/>
        <v>0</v>
      </c>
      <c r="Q904" s="652">
        <f t="shared" si="342"/>
        <v>202529.79000000015</v>
      </c>
      <c r="R904" s="1095">
        <f>+Q904-'[3]chd 10-SAOB'!BP350</f>
        <v>0</v>
      </c>
      <c r="S904" s="524" t="str">
        <f t="shared" si="330"/>
        <v/>
      </c>
      <c r="T904" s="524">
        <f t="shared" si="330"/>
        <v>0.62361372235208257</v>
      </c>
      <c r="U904" s="524" t="str">
        <f t="shared" si="330"/>
        <v/>
      </c>
      <c r="V904" s="524">
        <f t="shared" si="330"/>
        <v>0.62361372235208257</v>
      </c>
      <c r="W904" s="344"/>
      <c r="X904" s="520"/>
      <c r="Y904" s="837" t="s">
        <v>598</v>
      </c>
      <c r="Z904" s="241" t="s">
        <v>598</v>
      </c>
    </row>
    <row r="905" spans="1:26" s="660" customFormat="1" ht="12" hidden="1" customHeight="1">
      <c r="A905" s="315" t="s">
        <v>214</v>
      </c>
      <c r="B905" s="315" t="s">
        <v>316</v>
      </c>
      <c r="C905" s="1467" t="s">
        <v>643</v>
      </c>
      <c r="D905" s="1468"/>
      <c r="E905" s="1469"/>
      <c r="F905" s="659">
        <f>+F882+F893+F904</f>
        <v>0</v>
      </c>
      <c r="G905" s="659">
        <f>+G882+G893+G904</f>
        <v>38695132.589999996</v>
      </c>
      <c r="H905" s="659">
        <f>+H882+H893+H904</f>
        <v>80000</v>
      </c>
      <c r="I905" s="659">
        <f t="shared" ref="I905:I960" si="343">+F905+G905+H905</f>
        <v>38775132.589999996</v>
      </c>
      <c r="J905" s="659">
        <f>+J882+J893+J904</f>
        <v>0</v>
      </c>
      <c r="K905" s="659">
        <f>+K882+K893+K904</f>
        <v>27214785.399999999</v>
      </c>
      <c r="L905" s="659">
        <f>+L882+L893+L904</f>
        <v>0</v>
      </c>
      <c r="M905" s="659">
        <f t="shared" ref="M905:M960" si="344">+J905+K905+L905</f>
        <v>27214785.399999999</v>
      </c>
      <c r="N905" s="659">
        <f t="shared" ref="N905:P958" si="345">+F905-J905</f>
        <v>0</v>
      </c>
      <c r="O905" s="659">
        <f t="shared" si="345"/>
        <v>11480347.189999998</v>
      </c>
      <c r="P905" s="659">
        <f t="shared" si="345"/>
        <v>80000</v>
      </c>
      <c r="Q905" s="659">
        <f t="shared" ref="Q905:Q960" si="346">+N905+O905+P905</f>
        <v>11560347.189999998</v>
      </c>
      <c r="R905" s="1098"/>
      <c r="S905" s="661" t="str">
        <f t="shared" si="330"/>
        <v/>
      </c>
      <c r="T905" s="661">
        <f t="shared" si="330"/>
        <v>0.7033128866195727</v>
      </c>
      <c r="U905" s="661">
        <f t="shared" si="330"/>
        <v>0</v>
      </c>
      <c r="V905" s="661">
        <f t="shared" si="330"/>
        <v>0.70186182695397459</v>
      </c>
      <c r="W905" s="295"/>
      <c r="X905" s="520"/>
      <c r="Y905" s="837"/>
      <c r="Z905" s="241"/>
    </row>
    <row r="906" spans="1:26" ht="12" hidden="1" customHeight="1">
      <c r="A906" s="315" t="s">
        <v>214</v>
      </c>
      <c r="B906" s="315" t="s">
        <v>316</v>
      </c>
      <c r="C906" s="469"/>
      <c r="D906" s="470"/>
      <c r="E906" s="471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S906" s="267" t="str">
        <f t="shared" si="330"/>
        <v/>
      </c>
      <c r="T906" s="267" t="str">
        <f t="shared" si="330"/>
        <v/>
      </c>
      <c r="U906" s="267" t="str">
        <f t="shared" si="330"/>
        <v/>
      </c>
      <c r="V906" s="267" t="str">
        <f t="shared" si="330"/>
        <v/>
      </c>
      <c r="W906" s="267"/>
      <c r="X906" s="237" t="s">
        <v>598</v>
      </c>
    </row>
    <row r="907" spans="1:26" s="275" customFormat="1" ht="12.75" hidden="1" customHeight="1">
      <c r="A907" s="315" t="s">
        <v>644</v>
      </c>
      <c r="B907" s="315" t="s">
        <v>316</v>
      </c>
      <c r="C907" s="464" t="s">
        <v>840</v>
      </c>
      <c r="D907" s="464"/>
      <c r="E907" s="472"/>
      <c r="F907" s="409"/>
      <c r="G907" s="409"/>
      <c r="H907" s="409"/>
      <c r="I907" s="409">
        <f t="shared" si="343"/>
        <v>0</v>
      </c>
      <c r="J907" s="409"/>
      <c r="K907" s="409"/>
      <c r="L907" s="409"/>
      <c r="M907" s="409">
        <f t="shared" si="344"/>
        <v>0</v>
      </c>
      <c r="N907" s="409">
        <f t="shared" si="345"/>
        <v>0</v>
      </c>
      <c r="O907" s="409">
        <f t="shared" si="345"/>
        <v>0</v>
      </c>
      <c r="P907" s="409">
        <f t="shared" si="345"/>
        <v>0</v>
      </c>
      <c r="Q907" s="409">
        <f t="shared" si="346"/>
        <v>0</v>
      </c>
      <c r="R907" s="761"/>
      <c r="S907" s="267" t="str">
        <f t="shared" si="330"/>
        <v/>
      </c>
      <c r="T907" s="267" t="str">
        <f t="shared" si="330"/>
        <v/>
      </c>
      <c r="U907" s="267" t="str">
        <f t="shared" si="330"/>
        <v/>
      </c>
      <c r="V907" s="267" t="str">
        <f t="shared" si="330"/>
        <v/>
      </c>
      <c r="W907" s="251"/>
      <c r="X907" s="237" t="s">
        <v>598</v>
      </c>
      <c r="Y907" s="839"/>
      <c r="Z907" s="253"/>
    </row>
    <row r="908" spans="1:26" ht="12" hidden="1" customHeight="1">
      <c r="A908" s="315" t="s">
        <v>644</v>
      </c>
      <c r="B908" s="315" t="s">
        <v>316</v>
      </c>
      <c r="C908" s="447" t="s">
        <v>766</v>
      </c>
      <c r="D908" s="456" t="s">
        <v>98</v>
      </c>
      <c r="E908" s="447" t="s">
        <v>766</v>
      </c>
      <c r="F908" s="103">
        <f>+F859+F874+F885+F896</f>
        <v>0</v>
      </c>
      <c r="G908" s="103">
        <f>+G859+G874+G885+G896</f>
        <v>275304.17999999318</v>
      </c>
      <c r="H908" s="103">
        <f>+H859+H874+H885+H896</f>
        <v>0</v>
      </c>
      <c r="I908" s="103">
        <f t="shared" si="343"/>
        <v>275304.17999999318</v>
      </c>
      <c r="J908" s="103">
        <f>+J859+J874+J885+J896</f>
        <v>0</v>
      </c>
      <c r="K908" s="103">
        <f>+K859+K874+K885+K896</f>
        <v>273519.86</v>
      </c>
      <c r="L908" s="103">
        <f>+L859+L874+L885+L896</f>
        <v>0</v>
      </c>
      <c r="M908" s="103">
        <f t="shared" si="344"/>
        <v>273519.86</v>
      </c>
      <c r="N908" s="103">
        <f t="shared" si="345"/>
        <v>0</v>
      </c>
      <c r="O908" s="103">
        <f t="shared" si="345"/>
        <v>1784.3199999931967</v>
      </c>
      <c r="P908" s="103">
        <f t="shared" si="345"/>
        <v>0</v>
      </c>
      <c r="Q908" s="103">
        <f t="shared" si="346"/>
        <v>1784.3199999931967</v>
      </c>
      <c r="S908" s="267" t="str">
        <f t="shared" si="330"/>
        <v/>
      </c>
      <c r="T908" s="267">
        <f t="shared" si="330"/>
        <v>0.99351873262515211</v>
      </c>
      <c r="U908" s="267" t="str">
        <f t="shared" si="330"/>
        <v/>
      </c>
      <c r="V908" s="267">
        <f t="shared" si="330"/>
        <v>0.99351873262515211</v>
      </c>
      <c r="W908" s="267"/>
      <c r="X908" s="237" t="s">
        <v>598</v>
      </c>
    </row>
    <row r="909" spans="1:26" ht="12" hidden="1" customHeight="1">
      <c r="A909" s="315" t="s">
        <v>644</v>
      </c>
      <c r="B909" s="315" t="s">
        <v>316</v>
      </c>
      <c r="C909" s="456"/>
      <c r="D909" s="456" t="s">
        <v>98</v>
      </c>
      <c r="E909" s="453" t="s">
        <v>50</v>
      </c>
      <c r="F909" s="103">
        <f>+F910+F911</f>
        <v>0</v>
      </c>
      <c r="G909" s="103">
        <f>+G910+G911</f>
        <v>47789144.439999998</v>
      </c>
      <c r="H909" s="103">
        <f>+H910+H911</f>
        <v>7536405.3000000119</v>
      </c>
      <c r="I909" s="103">
        <f t="shared" si="343"/>
        <v>55325549.74000001</v>
      </c>
      <c r="J909" s="103">
        <f>+J910+J911</f>
        <v>0</v>
      </c>
      <c r="K909" s="103">
        <f>+K910+K911</f>
        <v>43178829.979999997</v>
      </c>
      <c r="L909" s="103">
        <f>+L910+L911</f>
        <v>0</v>
      </c>
      <c r="M909" s="103">
        <f t="shared" si="344"/>
        <v>43178829.979999997</v>
      </c>
      <c r="N909" s="103">
        <f t="shared" si="345"/>
        <v>0</v>
      </c>
      <c r="O909" s="103">
        <f t="shared" si="345"/>
        <v>4610314.4600000009</v>
      </c>
      <c r="P909" s="103">
        <f t="shared" si="345"/>
        <v>7536405.3000000119</v>
      </c>
      <c r="Q909" s="103">
        <f t="shared" si="346"/>
        <v>12146719.760000013</v>
      </c>
      <c r="S909" s="267" t="str">
        <f t="shared" si="330"/>
        <v/>
      </c>
      <c r="T909" s="267">
        <f t="shared" si="330"/>
        <v>0.90352799753951818</v>
      </c>
      <c r="U909" s="267">
        <f t="shared" si="330"/>
        <v>0</v>
      </c>
      <c r="V909" s="267">
        <f t="shared" si="330"/>
        <v>0.78045008468812349</v>
      </c>
      <c r="W909" s="267"/>
      <c r="X909" s="237" t="s">
        <v>598</v>
      </c>
    </row>
    <row r="910" spans="1:26" ht="12" hidden="1" customHeight="1">
      <c r="A910" s="315" t="s">
        <v>644</v>
      </c>
      <c r="B910" s="315" t="s">
        <v>316</v>
      </c>
      <c r="C910" s="458" t="s">
        <v>715</v>
      </c>
      <c r="D910" s="458" t="s">
        <v>715</v>
      </c>
      <c r="E910" s="447" t="s">
        <v>715</v>
      </c>
      <c r="F910" s="103">
        <f t="shared" ref="F910:H911" si="347">+F864+F876+F887+F898</f>
        <v>0</v>
      </c>
      <c r="G910" s="103">
        <f t="shared" si="347"/>
        <v>-1143423.0299999991</v>
      </c>
      <c r="H910" s="103">
        <f t="shared" si="347"/>
        <v>2466500</v>
      </c>
      <c r="I910" s="103">
        <f t="shared" si="343"/>
        <v>1323076.9700000009</v>
      </c>
      <c r="J910" s="103">
        <f t="shared" ref="J910:L911" si="348">+J864+J876+J887+J898</f>
        <v>0</v>
      </c>
      <c r="K910" s="103">
        <f t="shared" si="348"/>
        <v>6140321.0099999998</v>
      </c>
      <c r="L910" s="103">
        <f t="shared" si="348"/>
        <v>0</v>
      </c>
      <c r="M910" s="103">
        <f t="shared" si="344"/>
        <v>6140321.0099999998</v>
      </c>
      <c r="N910" s="103">
        <f t="shared" si="345"/>
        <v>0</v>
      </c>
      <c r="O910" s="103">
        <f t="shared" si="345"/>
        <v>-7283744.0399999991</v>
      </c>
      <c r="P910" s="103">
        <f t="shared" si="345"/>
        <v>2466500</v>
      </c>
      <c r="Q910" s="103">
        <f t="shared" si="346"/>
        <v>-4817244.0399999991</v>
      </c>
      <c r="S910" s="267" t="str">
        <f t="shared" si="330"/>
        <v/>
      </c>
      <c r="T910" s="267">
        <f t="shared" si="330"/>
        <v>-5.3701218611977799</v>
      </c>
      <c r="U910" s="267">
        <f t="shared" si="330"/>
        <v>0</v>
      </c>
      <c r="V910" s="267">
        <f t="shared" si="330"/>
        <v>4.640940133664329</v>
      </c>
      <c r="W910" s="267"/>
      <c r="X910" s="237" t="s">
        <v>598</v>
      </c>
    </row>
    <row r="911" spans="1:26" ht="12" hidden="1" customHeight="1">
      <c r="A911" s="315" t="s">
        <v>664</v>
      </c>
      <c r="B911" s="315" t="s">
        <v>316</v>
      </c>
      <c r="C911" s="458" t="s">
        <v>716</v>
      </c>
      <c r="D911" s="458" t="s">
        <v>716</v>
      </c>
      <c r="E911" s="459" t="s">
        <v>716</v>
      </c>
      <c r="F911" s="103">
        <f t="shared" si="347"/>
        <v>0</v>
      </c>
      <c r="G911" s="103">
        <f t="shared" si="347"/>
        <v>48932567.469999999</v>
      </c>
      <c r="H911" s="103">
        <f t="shared" si="347"/>
        <v>5069905.3000000119</v>
      </c>
      <c r="I911" s="103">
        <f t="shared" si="343"/>
        <v>54002472.770000011</v>
      </c>
      <c r="J911" s="103">
        <f t="shared" si="348"/>
        <v>0</v>
      </c>
      <c r="K911" s="103">
        <f t="shared" si="348"/>
        <v>37038508.969999999</v>
      </c>
      <c r="L911" s="103">
        <f t="shared" si="348"/>
        <v>0</v>
      </c>
      <c r="M911" s="103">
        <f t="shared" si="344"/>
        <v>37038508.969999999</v>
      </c>
      <c r="N911" s="103">
        <f t="shared" si="345"/>
        <v>0</v>
      </c>
      <c r="O911" s="103">
        <f t="shared" si="345"/>
        <v>11894058.5</v>
      </c>
      <c r="P911" s="103">
        <f t="shared" si="345"/>
        <v>5069905.3000000119</v>
      </c>
      <c r="Q911" s="103">
        <f t="shared" si="346"/>
        <v>16963963.800000012</v>
      </c>
      <c r="S911" s="267" t="str">
        <f t="shared" si="330"/>
        <v/>
      </c>
      <c r="T911" s="267">
        <f t="shared" si="330"/>
        <v>0.7569296050673795</v>
      </c>
      <c r="U911" s="267">
        <f t="shared" si="330"/>
        <v>0</v>
      </c>
      <c r="V911" s="267">
        <f t="shared" si="330"/>
        <v>0.68586690701645048</v>
      </c>
      <c r="W911" s="267"/>
      <c r="X911" s="237" t="s">
        <v>598</v>
      </c>
    </row>
    <row r="912" spans="1:26" s="256" customFormat="1" ht="12" hidden="1" customHeight="1">
      <c r="A912" s="315"/>
      <c r="B912" s="315" t="s">
        <v>316</v>
      </c>
      <c r="C912" s="460"/>
      <c r="D912" s="460"/>
      <c r="E912" s="390" t="s">
        <v>767</v>
      </c>
      <c r="F912" s="391">
        <f>+F909+F908</f>
        <v>0</v>
      </c>
      <c r="G912" s="391">
        <f t="shared" ref="G912:Q912" si="349">+G909+G908</f>
        <v>48064448.61999999</v>
      </c>
      <c r="H912" s="391">
        <f t="shared" si="349"/>
        <v>7536405.3000000119</v>
      </c>
      <c r="I912" s="391">
        <f t="shared" si="349"/>
        <v>55600853.920000002</v>
      </c>
      <c r="J912" s="391">
        <f t="shared" si="349"/>
        <v>0</v>
      </c>
      <c r="K912" s="391">
        <f t="shared" si="349"/>
        <v>43452349.839999996</v>
      </c>
      <c r="L912" s="391">
        <f t="shared" si="349"/>
        <v>0</v>
      </c>
      <c r="M912" s="391">
        <f t="shared" si="349"/>
        <v>43452349.839999996</v>
      </c>
      <c r="N912" s="391">
        <f t="shared" si="349"/>
        <v>0</v>
      </c>
      <c r="O912" s="391">
        <f t="shared" si="349"/>
        <v>4612098.7799999937</v>
      </c>
      <c r="P912" s="391">
        <f t="shared" si="349"/>
        <v>7536405.3000000119</v>
      </c>
      <c r="Q912" s="391">
        <f t="shared" si="349"/>
        <v>12148504.080000006</v>
      </c>
      <c r="R912" s="761"/>
      <c r="S912" s="267" t="str">
        <f t="shared" si="330"/>
        <v/>
      </c>
      <c r="T912" s="267">
        <f t="shared" si="330"/>
        <v>0.90404344765372247</v>
      </c>
      <c r="U912" s="267">
        <f t="shared" si="330"/>
        <v>0</v>
      </c>
      <c r="V912" s="267">
        <f t="shared" si="330"/>
        <v>0.78150508088455617</v>
      </c>
      <c r="W912" s="263"/>
      <c r="X912" s="237" t="s">
        <v>598</v>
      </c>
      <c r="Y912" s="840"/>
      <c r="Z912" s="241"/>
    </row>
    <row r="913" spans="1:26" ht="12" hidden="1" customHeight="1">
      <c r="A913" s="315"/>
      <c r="B913" s="315"/>
      <c r="C913" s="456"/>
      <c r="D913" s="456"/>
      <c r="E913" s="461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S913" s="267" t="str">
        <f t="shared" si="330"/>
        <v/>
      </c>
      <c r="T913" s="267" t="str">
        <f t="shared" si="330"/>
        <v/>
      </c>
      <c r="U913" s="267" t="str">
        <f t="shared" si="330"/>
        <v/>
      </c>
      <c r="V913" s="267" t="str">
        <f t="shared" si="330"/>
        <v/>
      </c>
      <c r="W913" s="267"/>
      <c r="X913" s="237" t="s">
        <v>598</v>
      </c>
    </row>
    <row r="914" spans="1:26" s="256" customFormat="1" ht="12" hidden="1" customHeight="1">
      <c r="A914" s="315" t="s">
        <v>644</v>
      </c>
      <c r="B914" s="315" t="s">
        <v>316</v>
      </c>
      <c r="C914" s="460"/>
      <c r="D914" s="460" t="s">
        <v>98</v>
      </c>
      <c r="E914" s="390" t="s">
        <v>100</v>
      </c>
      <c r="F914" s="391">
        <f>SUM(F915:F915)</f>
        <v>0</v>
      </c>
      <c r="G914" s="391">
        <f>SUM(G915:G915)</f>
        <v>24192596.289999999</v>
      </c>
      <c r="H914" s="391">
        <f>SUM(H915:H915)</f>
        <v>0</v>
      </c>
      <c r="I914" s="391">
        <f>+F914+G914+H914</f>
        <v>24192596.289999999</v>
      </c>
      <c r="J914" s="391">
        <f>SUM(J915:J915)</f>
        <v>0</v>
      </c>
      <c r="K914" s="391">
        <f>SUM(K915:K915)</f>
        <v>17139410.84</v>
      </c>
      <c r="L914" s="391">
        <f>SUM(L915:L915)</f>
        <v>0</v>
      </c>
      <c r="M914" s="391">
        <f>+J914+K914+L914</f>
        <v>17139410.84</v>
      </c>
      <c r="N914" s="391">
        <f t="shared" ref="N914:P915" si="350">+F914-J914</f>
        <v>0</v>
      </c>
      <c r="O914" s="391">
        <f t="shared" si="350"/>
        <v>7053185.4499999993</v>
      </c>
      <c r="P914" s="391">
        <f t="shared" si="350"/>
        <v>0</v>
      </c>
      <c r="Q914" s="391">
        <f>+N914+O914+P914</f>
        <v>7053185.4499999993</v>
      </c>
      <c r="R914" s="761"/>
      <c r="S914" s="267" t="str">
        <f t="shared" si="330"/>
        <v/>
      </c>
      <c r="T914" s="267">
        <f t="shared" si="330"/>
        <v>0.70845686153513709</v>
      </c>
      <c r="U914" s="267" t="str">
        <f t="shared" si="330"/>
        <v/>
      </c>
      <c r="V914" s="267">
        <f t="shared" si="330"/>
        <v>0.70845686153513709</v>
      </c>
      <c r="W914" s="263"/>
      <c r="X914" s="237" t="s">
        <v>598</v>
      </c>
      <c r="Y914" s="840"/>
      <c r="Z914" s="241"/>
    </row>
    <row r="915" spans="1:26" ht="12" hidden="1" customHeight="1">
      <c r="A915" s="315" t="s">
        <v>644</v>
      </c>
      <c r="B915" s="315" t="s">
        <v>316</v>
      </c>
      <c r="C915" s="456"/>
      <c r="D915" s="456"/>
      <c r="E915" s="462" t="s">
        <v>290</v>
      </c>
      <c r="F915" s="103">
        <f>+F869+F881+F892+F903</f>
        <v>0</v>
      </c>
      <c r="G915" s="103">
        <f>+G869+G881+G892+G903</f>
        <v>24192596.289999999</v>
      </c>
      <c r="H915" s="103">
        <f>+H869+H881+H892+H903</f>
        <v>0</v>
      </c>
      <c r="I915" s="103">
        <f>+F915+G915+H915</f>
        <v>24192596.289999999</v>
      </c>
      <c r="J915" s="103">
        <f>+J869+J881+J892+J903</f>
        <v>0</v>
      </c>
      <c r="K915" s="103">
        <f>+K869+K881+K892+K903</f>
        <v>17139410.84</v>
      </c>
      <c r="L915" s="103">
        <f>+L869+L881+L892+L903</f>
        <v>0</v>
      </c>
      <c r="M915" s="103">
        <f>+J915+K915+L915</f>
        <v>17139410.84</v>
      </c>
      <c r="N915" s="103">
        <f t="shared" si="350"/>
        <v>0</v>
      </c>
      <c r="O915" s="103">
        <f t="shared" si="350"/>
        <v>7053185.4499999993</v>
      </c>
      <c r="P915" s="103">
        <f t="shared" si="350"/>
        <v>0</v>
      </c>
      <c r="Q915" s="103">
        <f>+N915+O915+P915</f>
        <v>7053185.4499999993</v>
      </c>
      <c r="S915" s="267" t="str">
        <f t="shared" si="330"/>
        <v/>
      </c>
      <c r="T915" s="267">
        <f t="shared" si="330"/>
        <v>0.70845686153513709</v>
      </c>
      <c r="U915" s="267" t="str">
        <f t="shared" si="330"/>
        <v/>
      </c>
      <c r="V915" s="267">
        <f t="shared" si="330"/>
        <v>0.70845686153513709</v>
      </c>
      <c r="W915" s="267"/>
      <c r="X915" s="237" t="s">
        <v>598</v>
      </c>
    </row>
    <row r="916" spans="1:26" s="266" customFormat="1" ht="24.75" customHeight="1">
      <c r="A916" s="315" t="s">
        <v>644</v>
      </c>
      <c r="B916" s="315" t="s">
        <v>316</v>
      </c>
      <c r="C916" s="1470" t="s">
        <v>646</v>
      </c>
      <c r="D916" s="1471"/>
      <c r="E916" s="1472"/>
      <c r="F916" s="666">
        <f>+F914+F912</f>
        <v>0</v>
      </c>
      <c r="G916" s="666">
        <f t="shared" ref="G916:Q916" si="351">+G914+G912</f>
        <v>72257044.909999996</v>
      </c>
      <c r="H916" s="666">
        <f t="shared" si="351"/>
        <v>7536405.3000000119</v>
      </c>
      <c r="I916" s="666">
        <f t="shared" si="351"/>
        <v>79793450.210000008</v>
      </c>
      <c r="J916" s="666">
        <f t="shared" si="351"/>
        <v>0</v>
      </c>
      <c r="K916" s="666">
        <f t="shared" si="351"/>
        <v>60591760.679999992</v>
      </c>
      <c r="L916" s="666">
        <f t="shared" si="351"/>
        <v>0</v>
      </c>
      <c r="M916" s="666">
        <f t="shared" si="351"/>
        <v>60591760.679999992</v>
      </c>
      <c r="N916" s="666">
        <f t="shared" si="351"/>
        <v>0</v>
      </c>
      <c r="O916" s="666">
        <f t="shared" si="351"/>
        <v>11665284.229999993</v>
      </c>
      <c r="P916" s="666">
        <f t="shared" si="351"/>
        <v>7536405.3000000119</v>
      </c>
      <c r="Q916" s="666">
        <f t="shared" si="351"/>
        <v>19201689.530000005</v>
      </c>
      <c r="R916" s="1099">
        <f>+Q916-'[3]chd 10-SAOB'!BQ350</f>
        <v>0</v>
      </c>
      <c r="S916" s="525" t="str">
        <f t="shared" si="330"/>
        <v/>
      </c>
      <c r="T916" s="525">
        <f t="shared" si="330"/>
        <v>0.83855852056322344</v>
      </c>
      <c r="U916" s="525">
        <f t="shared" si="330"/>
        <v>0</v>
      </c>
      <c r="V916" s="525">
        <f t="shared" si="330"/>
        <v>0.75935757284006267</v>
      </c>
      <c r="W916" s="345"/>
      <c r="X916" s="237" t="s">
        <v>598</v>
      </c>
      <c r="Y916" s="837" t="s">
        <v>598</v>
      </c>
      <c r="Z916" s="241" t="s">
        <v>598</v>
      </c>
    </row>
    <row r="917" spans="1:26" ht="12" customHeight="1">
      <c r="A917" s="315" t="s">
        <v>644</v>
      </c>
      <c r="B917" s="315" t="s">
        <v>316</v>
      </c>
      <c r="C917" s="456"/>
      <c r="D917" s="474"/>
      <c r="E917" s="411"/>
      <c r="F917" s="104"/>
      <c r="G917" s="104"/>
      <c r="H917" s="104"/>
      <c r="I917" s="103"/>
      <c r="J917" s="104"/>
      <c r="K917" s="104"/>
      <c r="L917" s="104"/>
      <c r="M917" s="103"/>
      <c r="N917" s="103"/>
      <c r="O917" s="103"/>
      <c r="P917" s="103"/>
      <c r="Q917" s="103"/>
      <c r="S917" s="267" t="str">
        <f t="shared" si="330"/>
        <v/>
      </c>
      <c r="T917" s="267" t="str">
        <f t="shared" si="330"/>
        <v/>
      </c>
      <c r="U917" s="267" t="str">
        <f t="shared" si="330"/>
        <v/>
      </c>
      <c r="V917" s="267" t="str">
        <f t="shared" si="330"/>
        <v/>
      </c>
      <c r="W917" s="267"/>
      <c r="Y917" s="837" t="s">
        <v>598</v>
      </c>
      <c r="Z917" s="241" t="s">
        <v>598</v>
      </c>
    </row>
    <row r="918" spans="1:26" ht="11.25" customHeight="1">
      <c r="A918" s="528" t="s">
        <v>221</v>
      </c>
      <c r="B918" s="528" t="s">
        <v>220</v>
      </c>
      <c r="C918" s="408"/>
      <c r="D918" s="682"/>
      <c r="E918" s="408" t="s">
        <v>220</v>
      </c>
      <c r="F918" s="104"/>
      <c r="G918" s="104"/>
      <c r="H918" s="104"/>
      <c r="I918" s="103">
        <f>SUM(F918:H918)</f>
        <v>0</v>
      </c>
      <c r="J918" s="104"/>
      <c r="K918" s="104"/>
      <c r="L918" s="104"/>
      <c r="M918" s="103">
        <f>SUM(J918:L918)</f>
        <v>0</v>
      </c>
      <c r="N918" s="103">
        <f t="shared" si="345"/>
        <v>0</v>
      </c>
      <c r="O918" s="103">
        <f t="shared" si="345"/>
        <v>0</v>
      </c>
      <c r="P918" s="103">
        <f t="shared" si="345"/>
        <v>0</v>
      </c>
      <c r="Q918" s="103">
        <f>SUM(N918:P918)</f>
        <v>0</v>
      </c>
      <c r="S918" s="267" t="str">
        <f t="shared" si="330"/>
        <v/>
      </c>
      <c r="T918" s="267" t="str">
        <f t="shared" si="330"/>
        <v/>
      </c>
      <c r="U918" s="267" t="str">
        <f t="shared" si="330"/>
        <v/>
      </c>
      <c r="V918" s="267" t="str">
        <f t="shared" si="330"/>
        <v/>
      </c>
      <c r="W918" s="531"/>
      <c r="X918" s="236"/>
      <c r="Y918" s="236" t="s">
        <v>598</v>
      </c>
      <c r="Z918" s="240" t="s">
        <v>598</v>
      </c>
    </row>
    <row r="919" spans="1:26" ht="12" customHeight="1">
      <c r="A919" s="548" t="s">
        <v>219</v>
      </c>
      <c r="B919" s="548" t="s">
        <v>220</v>
      </c>
      <c r="C919" s="447" t="s">
        <v>766</v>
      </c>
      <c r="D919" s="775"/>
      <c r="E919" s="447" t="s">
        <v>766</v>
      </c>
      <c r="F919" s="104">
        <f>SUM(F920:F922)</f>
        <v>0</v>
      </c>
      <c r="G919" s="104">
        <f t="shared" ref="G919:Q919" si="352">SUM(G920:G922)</f>
        <v>3724504.16</v>
      </c>
      <c r="H919" s="104">
        <f t="shared" si="352"/>
        <v>0</v>
      </c>
      <c r="I919" s="104">
        <f t="shared" si="352"/>
        <v>3724504.16</v>
      </c>
      <c r="J919" s="104">
        <f>SUM(J920:J922)</f>
        <v>0</v>
      </c>
      <c r="K919" s="104">
        <f t="shared" si="352"/>
        <v>1507804.72</v>
      </c>
      <c r="L919" s="104">
        <f t="shared" si="352"/>
        <v>0</v>
      </c>
      <c r="M919" s="104">
        <f t="shared" si="352"/>
        <v>1507804.72</v>
      </c>
      <c r="N919" s="104">
        <f t="shared" si="352"/>
        <v>0</v>
      </c>
      <c r="O919" s="104">
        <f t="shared" si="352"/>
        <v>2216699.4400000004</v>
      </c>
      <c r="P919" s="104">
        <f t="shared" si="352"/>
        <v>0</v>
      </c>
      <c r="Q919" s="104">
        <f t="shared" si="352"/>
        <v>2216699.4400000004</v>
      </c>
      <c r="S919" s="267" t="str">
        <f t="shared" si="330"/>
        <v/>
      </c>
      <c r="T919" s="267">
        <f t="shared" si="330"/>
        <v>0.4048336785855543</v>
      </c>
      <c r="U919" s="267" t="str">
        <f t="shared" si="330"/>
        <v/>
      </c>
      <c r="V919" s="267">
        <f t="shared" ref="V919:V982" si="353">IF(I919=0,"",M919/I919)</f>
        <v>0.4048336785855543</v>
      </c>
      <c r="W919" s="1484"/>
      <c r="X919" s="236"/>
      <c r="Y919" s="236" t="s">
        <v>688</v>
      </c>
      <c r="Z919" s="236"/>
    </row>
    <row r="920" spans="1:26" ht="12" hidden="1" customHeight="1">
      <c r="A920" s="548" t="s">
        <v>219</v>
      </c>
      <c r="B920" s="548" t="s">
        <v>220</v>
      </c>
      <c r="C920" s="457" t="s">
        <v>775</v>
      </c>
      <c r="D920" s="549" t="s">
        <v>98</v>
      </c>
      <c r="E920" s="406" t="s">
        <v>775</v>
      </c>
      <c r="F920" s="104">
        <f>+'[3]chd11-SAOB'!C186</f>
        <v>0</v>
      </c>
      <c r="G920" s="104">
        <f>+'[3]chd11-SAOB'!C222</f>
        <v>2103808.37</v>
      </c>
      <c r="H920" s="104">
        <f>+'[3]chd11-SAOB'!C314</f>
        <v>0</v>
      </c>
      <c r="I920" s="103">
        <f t="shared" si="343"/>
        <v>2103808.37</v>
      </c>
      <c r="J920" s="104">
        <f>+'[3]chd11-SAOB'!C187</f>
        <v>0</v>
      </c>
      <c r="K920" s="104">
        <f>+'[3]chd11-SAOB'!C223</f>
        <v>697804.72</v>
      </c>
      <c r="L920" s="104">
        <f>+'[3]chd11-SAOB'!C315</f>
        <v>0</v>
      </c>
      <c r="M920" s="103">
        <f t="shared" si="344"/>
        <v>697804.72</v>
      </c>
      <c r="N920" s="103">
        <f t="shared" si="345"/>
        <v>0</v>
      </c>
      <c r="O920" s="103">
        <f t="shared" si="345"/>
        <v>1406003.6500000001</v>
      </c>
      <c r="P920" s="103">
        <f t="shared" si="345"/>
        <v>0</v>
      </c>
      <c r="Q920" s="103">
        <f t="shared" si="346"/>
        <v>1406003.6500000001</v>
      </c>
      <c r="S920" s="267" t="str">
        <f t="shared" ref="S920:V983" si="354">IF(F920=0,"",J920/F920)</f>
        <v/>
      </c>
      <c r="T920" s="267">
        <f t="shared" si="354"/>
        <v>0.33168644537715186</v>
      </c>
      <c r="U920" s="267" t="str">
        <f t="shared" si="354"/>
        <v/>
      </c>
      <c r="V920" s="267">
        <f t="shared" si="353"/>
        <v>0.33168644537715186</v>
      </c>
      <c r="W920" s="1484"/>
      <c r="X920" s="236"/>
      <c r="Y920" s="236"/>
      <c r="Z920" s="236"/>
    </row>
    <row r="921" spans="1:26" ht="12" hidden="1" customHeight="1">
      <c r="A921" s="548" t="s">
        <v>219</v>
      </c>
      <c r="B921" s="548" t="s">
        <v>220</v>
      </c>
      <c r="C921" s="456"/>
      <c r="D921" s="549" t="s">
        <v>98</v>
      </c>
      <c r="E921" s="406" t="s">
        <v>776</v>
      </c>
      <c r="F921" s="104">
        <f>+'[3]chd11-SAOB'!D186</f>
        <v>0</v>
      </c>
      <c r="G921" s="104">
        <f>+'[3]chd11-SAOB'!D222</f>
        <v>613729.56000000006</v>
      </c>
      <c r="H921" s="104">
        <f>+'[3]chd11-SAOB'!D314</f>
        <v>0</v>
      </c>
      <c r="I921" s="103">
        <f t="shared" si="343"/>
        <v>613729.56000000006</v>
      </c>
      <c r="J921" s="104">
        <f>+'[3]chd11-SAOB'!D187</f>
        <v>0</v>
      </c>
      <c r="K921" s="104">
        <f>+'[3]chd11-SAOB'!D223</f>
        <v>0</v>
      </c>
      <c r="L921" s="104">
        <f>+'[3]chd11-SAOB'!D315</f>
        <v>0</v>
      </c>
      <c r="M921" s="103">
        <f t="shared" si="344"/>
        <v>0</v>
      </c>
      <c r="N921" s="103">
        <f t="shared" si="345"/>
        <v>0</v>
      </c>
      <c r="O921" s="103">
        <f t="shared" si="345"/>
        <v>613729.56000000006</v>
      </c>
      <c r="P921" s="103">
        <f t="shared" si="345"/>
        <v>0</v>
      </c>
      <c r="Q921" s="103">
        <f t="shared" si="346"/>
        <v>613729.56000000006</v>
      </c>
      <c r="S921" s="267" t="str">
        <f t="shared" si="354"/>
        <v/>
      </c>
      <c r="T921" s="267">
        <f t="shared" si="354"/>
        <v>0</v>
      </c>
      <c r="U921" s="267" t="str">
        <f t="shared" si="354"/>
        <v/>
      </c>
      <c r="V921" s="267">
        <f t="shared" si="353"/>
        <v>0</v>
      </c>
      <c r="W921" s="1484"/>
      <c r="X921" s="236"/>
      <c r="Y921" s="236"/>
      <c r="Z921" s="236"/>
    </row>
    <row r="922" spans="1:26" ht="17.25" hidden="1" customHeight="1">
      <c r="A922" s="548" t="s">
        <v>219</v>
      </c>
      <c r="B922" s="548" t="s">
        <v>220</v>
      </c>
      <c r="C922" s="456"/>
      <c r="D922" s="549" t="s">
        <v>98</v>
      </c>
      <c r="E922" s="406" t="s">
        <v>777</v>
      </c>
      <c r="F922" s="104">
        <f>+'[3]chd11-SAOB'!E186</f>
        <v>0</v>
      </c>
      <c r="G922" s="104">
        <f>+'[3]chd11-SAOB'!E222</f>
        <v>1006966.23</v>
      </c>
      <c r="H922" s="104">
        <f>+'[3]chd11-SAOB'!E314</f>
        <v>0</v>
      </c>
      <c r="I922" s="103">
        <f t="shared" si="343"/>
        <v>1006966.23</v>
      </c>
      <c r="J922" s="104">
        <f>+'[3]chd11-SAOB'!E187</f>
        <v>0</v>
      </c>
      <c r="K922" s="104">
        <f>+'[3]chd11-SAOB'!E223</f>
        <v>810000</v>
      </c>
      <c r="L922" s="104">
        <f>+'[3]chd11-SAOB'!E315</f>
        <v>0</v>
      </c>
      <c r="M922" s="103">
        <f t="shared" si="344"/>
        <v>810000</v>
      </c>
      <c r="N922" s="103">
        <f t="shared" si="345"/>
        <v>0</v>
      </c>
      <c r="O922" s="103">
        <f t="shared" si="345"/>
        <v>196966.22999999998</v>
      </c>
      <c r="P922" s="103">
        <f t="shared" si="345"/>
        <v>0</v>
      </c>
      <c r="Q922" s="103">
        <f t="shared" si="346"/>
        <v>196966.22999999998</v>
      </c>
      <c r="S922" s="267" t="str">
        <f t="shared" si="354"/>
        <v/>
      </c>
      <c r="T922" s="267">
        <f t="shared" si="354"/>
        <v>0.80439638973791605</v>
      </c>
      <c r="U922" s="267" t="str">
        <f t="shared" si="354"/>
        <v/>
      </c>
      <c r="V922" s="267">
        <f t="shared" si="353"/>
        <v>0.80439638973791605</v>
      </c>
      <c r="W922" s="1484"/>
      <c r="X922" s="236"/>
      <c r="Y922" s="236"/>
      <c r="Z922" s="236"/>
    </row>
    <row r="923" spans="1:26" ht="12" customHeight="1">
      <c r="A923" s="548" t="s">
        <v>219</v>
      </c>
      <c r="B923" s="548" t="s">
        <v>220</v>
      </c>
      <c r="C923" s="456"/>
      <c r="D923" s="775"/>
      <c r="E923" s="453" t="s">
        <v>50</v>
      </c>
      <c r="F923" s="103">
        <f>SUM(F924:F925)</f>
        <v>0</v>
      </c>
      <c r="G923" s="103">
        <f>+G924+G925</f>
        <v>37056630.319999993</v>
      </c>
      <c r="H923" s="103">
        <f>+H924+H925</f>
        <v>111305126.20999999</v>
      </c>
      <c r="I923" s="103">
        <f t="shared" si="343"/>
        <v>148361756.52999997</v>
      </c>
      <c r="J923" s="103">
        <f>SUM(J924:J925)</f>
        <v>0</v>
      </c>
      <c r="K923" s="103">
        <f>+K924+K925</f>
        <v>38664403.859999999</v>
      </c>
      <c r="L923" s="103">
        <f>+L924+L925</f>
        <v>101697422</v>
      </c>
      <c r="M923" s="103">
        <f t="shared" si="344"/>
        <v>140361825.86000001</v>
      </c>
      <c r="N923" s="103">
        <f t="shared" si="345"/>
        <v>0</v>
      </c>
      <c r="O923" s="103">
        <f t="shared" si="345"/>
        <v>-1607773.5400000066</v>
      </c>
      <c r="P923" s="103">
        <f t="shared" si="345"/>
        <v>9607704.2099999934</v>
      </c>
      <c r="Q923" s="103">
        <f t="shared" si="346"/>
        <v>7999930.6699999869</v>
      </c>
      <c r="S923" s="267" t="str">
        <f t="shared" si="354"/>
        <v/>
      </c>
      <c r="T923" s="267">
        <f t="shared" si="354"/>
        <v>1.0433869330836665</v>
      </c>
      <c r="U923" s="267">
        <f t="shared" si="354"/>
        <v>0.91368138613963668</v>
      </c>
      <c r="V923" s="267">
        <f t="shared" si="353"/>
        <v>0.94607821545721382</v>
      </c>
      <c r="W923" s="1484"/>
      <c r="X923" s="236"/>
      <c r="Y923" s="236" t="s">
        <v>688</v>
      </c>
      <c r="Z923" s="236"/>
    </row>
    <row r="924" spans="1:26" ht="12" hidden="1" customHeight="1">
      <c r="A924" s="548" t="s">
        <v>219</v>
      </c>
      <c r="B924" s="548" t="s">
        <v>220</v>
      </c>
      <c r="C924" s="458" t="s">
        <v>715</v>
      </c>
      <c r="D924" s="550" t="s">
        <v>715</v>
      </c>
      <c r="E924" s="447" t="s">
        <v>715</v>
      </c>
      <c r="F924" s="104">
        <f>'[3]CONAP - W INC'!F698</f>
        <v>0</v>
      </c>
      <c r="G924" s="104">
        <f>'[3]CONAP - W INC'!G698</f>
        <v>-3210433.82</v>
      </c>
      <c r="H924" s="104">
        <f>'[3]CONAP - W INC'!H698</f>
        <v>1701000</v>
      </c>
      <c r="I924" s="103">
        <f t="shared" si="343"/>
        <v>-1509433.8199999998</v>
      </c>
      <c r="J924" s="104">
        <f>'[3]CONAP - W INC'!J698</f>
        <v>0</v>
      </c>
      <c r="K924" s="104">
        <f>'[3]CONAP - W INC'!K698</f>
        <v>0</v>
      </c>
      <c r="L924" s="104">
        <f>'[3]CONAP - W INC'!L698</f>
        <v>1546196</v>
      </c>
      <c r="M924" s="103">
        <f t="shared" si="344"/>
        <v>1546196</v>
      </c>
      <c r="N924" s="103">
        <f t="shared" si="345"/>
        <v>0</v>
      </c>
      <c r="O924" s="103">
        <f t="shared" si="345"/>
        <v>-3210433.82</v>
      </c>
      <c r="P924" s="103">
        <f t="shared" si="345"/>
        <v>154804</v>
      </c>
      <c r="Q924" s="103" t="s">
        <v>202</v>
      </c>
      <c r="S924" s="267" t="str">
        <f t="shared" si="354"/>
        <v/>
      </c>
      <c r="T924" s="267">
        <f t="shared" si="354"/>
        <v>0</v>
      </c>
      <c r="U924" s="267">
        <f t="shared" si="354"/>
        <v>0.90899235743680185</v>
      </c>
      <c r="V924" s="267">
        <f t="shared" si="353"/>
        <v>-1.0243549465454538</v>
      </c>
      <c r="W924" s="1484"/>
      <c r="X924" s="236"/>
      <c r="Y924" s="236"/>
      <c r="Z924" s="236"/>
    </row>
    <row r="925" spans="1:26" ht="12" hidden="1" customHeight="1">
      <c r="A925" s="548" t="s">
        <v>219</v>
      </c>
      <c r="B925" s="548" t="s">
        <v>220</v>
      </c>
      <c r="C925" s="458" t="s">
        <v>716</v>
      </c>
      <c r="D925" s="550" t="s">
        <v>716</v>
      </c>
      <c r="E925" s="459" t="s">
        <v>716</v>
      </c>
      <c r="F925" s="104">
        <f>'[3]CONAP - W INC'!F699</f>
        <v>0</v>
      </c>
      <c r="G925" s="104">
        <f>'[3]CONAP - W INC'!G699</f>
        <v>40267064.139999993</v>
      </c>
      <c r="H925" s="104">
        <f>'[3]CONAP - W INC'!H699</f>
        <v>109604126.20999999</v>
      </c>
      <c r="I925" s="103">
        <f t="shared" si="343"/>
        <v>149871190.34999999</v>
      </c>
      <c r="J925" s="104">
        <f>'[3]CONAP - W INC'!J699</f>
        <v>0</v>
      </c>
      <c r="K925" s="104">
        <f>'[3]CONAP - W INC'!K699</f>
        <v>38664403.859999999</v>
      </c>
      <c r="L925" s="104">
        <f>'[3]CONAP - W INC'!L699</f>
        <v>100151226</v>
      </c>
      <c r="M925" s="103">
        <f t="shared" si="344"/>
        <v>138815629.86000001</v>
      </c>
      <c r="N925" s="103">
        <f t="shared" si="345"/>
        <v>0</v>
      </c>
      <c r="O925" s="103">
        <f t="shared" si="345"/>
        <v>1602660.2799999937</v>
      </c>
      <c r="P925" s="103">
        <f t="shared" si="345"/>
        <v>9452900.2099999934</v>
      </c>
      <c r="Q925" s="103">
        <f t="shared" si="346"/>
        <v>11055560.489999987</v>
      </c>
      <c r="S925" s="267" t="str">
        <f t="shared" si="354"/>
        <v/>
      </c>
      <c r="T925" s="267">
        <f t="shared" si="354"/>
        <v>0.96019922698044524</v>
      </c>
      <c r="U925" s="267">
        <f t="shared" si="354"/>
        <v>0.91375415746768174</v>
      </c>
      <c r="V925" s="267">
        <f t="shared" si="353"/>
        <v>0.92623291731932267</v>
      </c>
      <c r="W925" s="1484"/>
      <c r="X925" s="236"/>
      <c r="Y925" s="236"/>
      <c r="Z925" s="236"/>
    </row>
    <row r="926" spans="1:26" s="256" customFormat="1" ht="12" hidden="1" customHeight="1">
      <c r="A926" s="548"/>
      <c r="B926" s="548" t="s">
        <v>220</v>
      </c>
      <c r="C926" s="460"/>
      <c r="D926" s="551"/>
      <c r="E926" s="390" t="s">
        <v>767</v>
      </c>
      <c r="F926" s="391">
        <f>+F923+F919</f>
        <v>0</v>
      </c>
      <c r="G926" s="391">
        <f t="shared" ref="G926:Q926" si="355">+G923+G919</f>
        <v>40781134.479999989</v>
      </c>
      <c r="H926" s="391">
        <f t="shared" si="355"/>
        <v>111305126.20999999</v>
      </c>
      <c r="I926" s="391">
        <f t="shared" si="355"/>
        <v>152086260.68999997</v>
      </c>
      <c r="J926" s="391">
        <f t="shared" si="355"/>
        <v>0</v>
      </c>
      <c r="K926" s="391">
        <f t="shared" si="355"/>
        <v>40172208.579999998</v>
      </c>
      <c r="L926" s="391">
        <f t="shared" si="355"/>
        <v>101697422</v>
      </c>
      <c r="M926" s="391">
        <f t="shared" si="355"/>
        <v>141869630.58000001</v>
      </c>
      <c r="N926" s="391">
        <f t="shared" si="355"/>
        <v>0</v>
      </c>
      <c r="O926" s="391">
        <f t="shared" si="355"/>
        <v>608925.89999999385</v>
      </c>
      <c r="P926" s="391">
        <f t="shared" si="355"/>
        <v>9607704.2099999934</v>
      </c>
      <c r="Q926" s="391">
        <f t="shared" si="355"/>
        <v>10216630.109999988</v>
      </c>
      <c r="R926" s="761"/>
      <c r="S926" s="267" t="str">
        <f t="shared" si="354"/>
        <v/>
      </c>
      <c r="T926" s="267">
        <f t="shared" si="354"/>
        <v>0.98506844138191829</v>
      </c>
      <c r="U926" s="267">
        <f t="shared" si="354"/>
        <v>0.91368138613963668</v>
      </c>
      <c r="V926" s="267">
        <f t="shared" si="353"/>
        <v>0.93282345122006327</v>
      </c>
      <c r="W926" s="1484"/>
      <c r="Y926" s="236"/>
      <c r="Z926" s="240" t="s">
        <v>598</v>
      </c>
    </row>
    <row r="927" spans="1:26" ht="12" hidden="1" customHeight="1">
      <c r="A927" s="548"/>
      <c r="B927" s="548"/>
      <c r="C927" s="456"/>
      <c r="D927" s="549"/>
      <c r="E927" s="461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S927" s="267" t="str">
        <f t="shared" si="354"/>
        <v/>
      </c>
      <c r="T927" s="267" t="str">
        <f t="shared" si="354"/>
        <v/>
      </c>
      <c r="U927" s="267" t="str">
        <f t="shared" si="354"/>
        <v/>
      </c>
      <c r="V927" s="267" t="str">
        <f t="shared" si="353"/>
        <v/>
      </c>
      <c r="W927" s="777"/>
      <c r="X927" s="236"/>
      <c r="Y927" s="236"/>
      <c r="Z927" s="236"/>
    </row>
    <row r="928" spans="1:26" s="256" customFormat="1" ht="12" hidden="1" customHeight="1">
      <c r="A928" s="548" t="s">
        <v>219</v>
      </c>
      <c r="B928" s="548" t="s">
        <v>220</v>
      </c>
      <c r="C928" s="460"/>
      <c r="D928" s="551" t="s">
        <v>98</v>
      </c>
      <c r="E928" s="390" t="s">
        <v>100</v>
      </c>
      <c r="F928" s="391">
        <f>SUM(F929:F929)</f>
        <v>0</v>
      </c>
      <c r="G928" s="391">
        <f>SUM(G929:G929)</f>
        <v>0</v>
      </c>
      <c r="H928" s="391">
        <f>SUM(H929:H929)</f>
        <v>0</v>
      </c>
      <c r="I928" s="391">
        <f>+F928+G928+H928</f>
        <v>0</v>
      </c>
      <c r="J928" s="391">
        <f>SUM(J929:J929)</f>
        <v>0</v>
      </c>
      <c r="K928" s="391">
        <f>SUM(K929:K929)</f>
        <v>0</v>
      </c>
      <c r="L928" s="391">
        <f>SUM(L929:L929)</f>
        <v>0</v>
      </c>
      <c r="M928" s="391">
        <f>+J928+K928+L928</f>
        <v>0</v>
      </c>
      <c r="N928" s="391">
        <f t="shared" ref="N928:P929" si="356">+F928-J928</f>
        <v>0</v>
      </c>
      <c r="O928" s="391">
        <f t="shared" si="356"/>
        <v>0</v>
      </c>
      <c r="P928" s="391">
        <f t="shared" si="356"/>
        <v>0</v>
      </c>
      <c r="Q928" s="391">
        <f>+N928+O928+P928</f>
        <v>0</v>
      </c>
      <c r="R928" s="761"/>
      <c r="S928" s="267" t="str">
        <f t="shared" si="354"/>
        <v/>
      </c>
      <c r="T928" s="267" t="str">
        <f t="shared" si="354"/>
        <v/>
      </c>
      <c r="U928" s="267" t="str">
        <f t="shared" si="354"/>
        <v/>
      </c>
      <c r="V928" s="267" t="str">
        <f t="shared" si="353"/>
        <v/>
      </c>
      <c r="W928" s="777"/>
      <c r="Y928" s="236"/>
      <c r="Z928" s="240" t="s">
        <v>598</v>
      </c>
    </row>
    <row r="929" spans="1:26" ht="12" hidden="1" customHeight="1">
      <c r="A929" s="548" t="s">
        <v>219</v>
      </c>
      <c r="B929" s="548" t="s">
        <v>220</v>
      </c>
      <c r="C929" s="456"/>
      <c r="D929" s="549"/>
      <c r="E929" s="462" t="s">
        <v>290</v>
      </c>
      <c r="F929" s="103">
        <v>0</v>
      </c>
      <c r="G929" s="103">
        <f>SUM('[3]chd11-SAOB'!AH222)</f>
        <v>0</v>
      </c>
      <c r="H929" s="103">
        <f>SUM('[3]chd11-SAOB'!AH314)</f>
        <v>0</v>
      </c>
      <c r="I929" s="103">
        <f>+F929+G929+H929</f>
        <v>0</v>
      </c>
      <c r="J929" s="103">
        <v>0</v>
      </c>
      <c r="K929" s="103">
        <f>SUM('[3]chd11-SAOB'!AH223)</f>
        <v>0</v>
      </c>
      <c r="L929" s="103">
        <f>SUM('[3]chd11-SAOB'!AH315)</f>
        <v>0</v>
      </c>
      <c r="M929" s="103">
        <f>+J929+K929+L929</f>
        <v>0</v>
      </c>
      <c r="N929" s="103">
        <f t="shared" si="356"/>
        <v>0</v>
      </c>
      <c r="O929" s="103">
        <f t="shared" si="356"/>
        <v>0</v>
      </c>
      <c r="P929" s="103">
        <f t="shared" si="356"/>
        <v>0</v>
      </c>
      <c r="Q929" s="103">
        <f>+N929+O929+P929</f>
        <v>0</v>
      </c>
      <c r="S929" s="267" t="str">
        <f t="shared" si="354"/>
        <v/>
      </c>
      <c r="T929" s="267" t="str">
        <f t="shared" si="354"/>
        <v/>
      </c>
      <c r="U929" s="267" t="str">
        <f t="shared" si="354"/>
        <v/>
      </c>
      <c r="V929" s="267" t="str">
        <f t="shared" si="353"/>
        <v/>
      </c>
      <c r="W929" s="777"/>
      <c r="X929" s="236"/>
      <c r="Y929" s="236"/>
      <c r="Z929" s="236"/>
    </row>
    <row r="930" spans="1:26" s="259" customFormat="1" ht="12" customHeight="1">
      <c r="A930" s="315" t="s">
        <v>219</v>
      </c>
      <c r="B930" s="315" t="s">
        <v>220</v>
      </c>
      <c r="C930" s="1477" t="s">
        <v>317</v>
      </c>
      <c r="D930" s="1478"/>
      <c r="E930" s="1479"/>
      <c r="F930" s="652">
        <f>+F926+F928</f>
        <v>0</v>
      </c>
      <c r="G930" s="652">
        <f t="shared" ref="G930:Q930" si="357">+G926+G928</f>
        <v>40781134.479999989</v>
      </c>
      <c r="H930" s="652">
        <f t="shared" si="357"/>
        <v>111305126.20999999</v>
      </c>
      <c r="I930" s="652">
        <f t="shared" si="357"/>
        <v>152086260.68999997</v>
      </c>
      <c r="J930" s="652">
        <f t="shared" si="357"/>
        <v>0</v>
      </c>
      <c r="K930" s="652">
        <f t="shared" si="357"/>
        <v>40172208.579999998</v>
      </c>
      <c r="L930" s="652">
        <f t="shared" si="357"/>
        <v>101697422</v>
      </c>
      <c r="M930" s="652">
        <f t="shared" si="357"/>
        <v>141869630.58000001</v>
      </c>
      <c r="N930" s="652">
        <f t="shared" si="357"/>
        <v>0</v>
      </c>
      <c r="O930" s="652">
        <f t="shared" si="357"/>
        <v>608925.89999999385</v>
      </c>
      <c r="P930" s="652">
        <f t="shared" si="357"/>
        <v>9607704.2099999934</v>
      </c>
      <c r="Q930" s="652">
        <f t="shared" si="357"/>
        <v>10216630.109999988</v>
      </c>
      <c r="R930" s="1095">
        <f>+Q930-'[3]chd11-SAOB'!BB351</f>
        <v>0</v>
      </c>
      <c r="S930" s="524" t="str">
        <f t="shared" si="354"/>
        <v/>
      </c>
      <c r="T930" s="524">
        <f t="shared" si="354"/>
        <v>0.98506844138191829</v>
      </c>
      <c r="U930" s="524">
        <f t="shared" si="354"/>
        <v>0.91368138613963668</v>
      </c>
      <c r="V930" s="524">
        <f t="shared" si="353"/>
        <v>0.93282345122006327</v>
      </c>
      <c r="W930" s="344"/>
      <c r="X930" s="520"/>
      <c r="Y930" s="837" t="s">
        <v>598</v>
      </c>
      <c r="Z930" s="241" t="s">
        <v>598</v>
      </c>
    </row>
    <row r="931" spans="1:26" ht="12" customHeight="1">
      <c r="A931" s="315"/>
      <c r="B931" s="315" t="s">
        <v>220</v>
      </c>
      <c r="C931" s="456"/>
      <c r="D931" s="456"/>
      <c r="E931" s="46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S931" s="267" t="str">
        <f t="shared" si="354"/>
        <v/>
      </c>
      <c r="T931" s="267" t="str">
        <f t="shared" si="354"/>
        <v/>
      </c>
      <c r="U931" s="267" t="str">
        <f t="shared" si="354"/>
        <v/>
      </c>
      <c r="V931" s="267" t="str">
        <f t="shared" si="353"/>
        <v/>
      </c>
      <c r="W931" s="267"/>
      <c r="Y931" s="837" t="s">
        <v>598</v>
      </c>
      <c r="Z931" s="241" t="s">
        <v>598</v>
      </c>
    </row>
    <row r="932" spans="1:26" ht="12" customHeight="1">
      <c r="A932" s="315" t="s">
        <v>221</v>
      </c>
      <c r="B932" s="315" t="s">
        <v>318</v>
      </c>
      <c r="C932" s="1100" t="s">
        <v>222</v>
      </c>
      <c r="D932" s="456"/>
      <c r="E932" s="463"/>
      <c r="F932" s="104"/>
      <c r="G932" s="104"/>
      <c r="H932" s="104"/>
      <c r="I932" s="103">
        <f t="shared" si="343"/>
        <v>0</v>
      </c>
      <c r="J932" s="104"/>
      <c r="K932" s="104"/>
      <c r="L932" s="104"/>
      <c r="M932" s="103">
        <f t="shared" si="344"/>
        <v>0</v>
      </c>
      <c r="N932" s="103">
        <f t="shared" si="345"/>
        <v>0</v>
      </c>
      <c r="O932" s="103">
        <f t="shared" si="345"/>
        <v>0</v>
      </c>
      <c r="P932" s="103">
        <f t="shared" si="345"/>
        <v>0</v>
      </c>
      <c r="Q932" s="103">
        <f t="shared" si="346"/>
        <v>0</v>
      </c>
      <c r="S932" s="267" t="str">
        <f t="shared" si="354"/>
        <v/>
      </c>
      <c r="T932" s="267" t="str">
        <f t="shared" si="354"/>
        <v/>
      </c>
      <c r="U932" s="267" t="str">
        <f t="shared" si="354"/>
        <v/>
      </c>
      <c r="V932" s="267" t="str">
        <f t="shared" si="353"/>
        <v/>
      </c>
      <c r="W932" s="267"/>
      <c r="Y932" s="837" t="s">
        <v>598</v>
      </c>
      <c r="Z932" s="241" t="s">
        <v>598</v>
      </c>
    </row>
    <row r="933" spans="1:26" s="275" customFormat="1" ht="12" customHeight="1">
      <c r="A933" s="548" t="s">
        <v>221</v>
      </c>
      <c r="B933" s="548" t="s">
        <v>223</v>
      </c>
      <c r="C933" s="464" t="s">
        <v>98</v>
      </c>
      <c r="D933" s="552" t="s">
        <v>105</v>
      </c>
      <c r="E933" s="407" t="s">
        <v>841</v>
      </c>
      <c r="F933" s="468"/>
      <c r="G933" s="468"/>
      <c r="H933" s="468"/>
      <c r="I933" s="409">
        <f t="shared" si="343"/>
        <v>0</v>
      </c>
      <c r="J933" s="468"/>
      <c r="K933" s="468"/>
      <c r="L933" s="468"/>
      <c r="M933" s="409">
        <f t="shared" si="344"/>
        <v>0</v>
      </c>
      <c r="N933" s="409">
        <f t="shared" si="345"/>
        <v>0</v>
      </c>
      <c r="O933" s="409">
        <f t="shared" si="345"/>
        <v>0</v>
      </c>
      <c r="P933" s="409">
        <f t="shared" si="345"/>
        <v>0</v>
      </c>
      <c r="Q933" s="409">
        <f t="shared" si="346"/>
        <v>0</v>
      </c>
      <c r="R933" s="761"/>
      <c r="S933" s="267" t="str">
        <f t="shared" si="354"/>
        <v/>
      </c>
      <c r="T933" s="267" t="str">
        <f t="shared" si="354"/>
        <v/>
      </c>
      <c r="U933" s="267" t="str">
        <f t="shared" si="354"/>
        <v/>
      </c>
      <c r="V933" s="267" t="str">
        <f t="shared" si="353"/>
        <v/>
      </c>
      <c r="W933" s="553"/>
      <c r="Y933" s="236" t="s">
        <v>598</v>
      </c>
      <c r="Z933" s="240" t="s">
        <v>598</v>
      </c>
    </row>
    <row r="934" spans="1:26" ht="12" customHeight="1">
      <c r="A934" s="548" t="s">
        <v>221</v>
      </c>
      <c r="B934" s="548" t="s">
        <v>223</v>
      </c>
      <c r="C934" s="447" t="s">
        <v>766</v>
      </c>
      <c r="D934" s="775"/>
      <c r="E934" s="447" t="s">
        <v>766</v>
      </c>
      <c r="F934" s="104">
        <f>+'[3]chd11-SAOB'!C432</f>
        <v>0</v>
      </c>
      <c r="G934" s="104">
        <f>+'[3]chd11-SAOB'!D432</f>
        <v>965223.62</v>
      </c>
      <c r="H934" s="104">
        <f>+'[3]chd11-SAOB'!E432</f>
        <v>0</v>
      </c>
      <c r="I934" s="103">
        <f t="shared" si="343"/>
        <v>965223.62</v>
      </c>
      <c r="J934" s="104">
        <f>+'[3]chd11-SAOB'!G432</f>
        <v>0</v>
      </c>
      <c r="K934" s="104">
        <f>+'[3]chd11-SAOB'!H432</f>
        <v>0</v>
      </c>
      <c r="L934" s="104">
        <f>+'[3]chd11-SAOB'!I432</f>
        <v>0</v>
      </c>
      <c r="M934" s="103">
        <f t="shared" si="344"/>
        <v>0</v>
      </c>
      <c r="N934" s="103">
        <f t="shared" si="345"/>
        <v>0</v>
      </c>
      <c r="O934" s="103">
        <f t="shared" si="345"/>
        <v>965223.62</v>
      </c>
      <c r="P934" s="103">
        <f t="shared" si="345"/>
        <v>0</v>
      </c>
      <c r="Q934" s="103">
        <f t="shared" si="346"/>
        <v>965223.62</v>
      </c>
      <c r="S934" s="267" t="str">
        <f t="shared" si="354"/>
        <v/>
      </c>
      <c r="T934" s="267">
        <f t="shared" si="354"/>
        <v>0</v>
      </c>
      <c r="U934" s="267" t="str">
        <f t="shared" si="354"/>
        <v/>
      </c>
      <c r="V934" s="267">
        <f t="shared" si="353"/>
        <v>0</v>
      </c>
      <c r="W934" s="530"/>
      <c r="X934" s="236"/>
      <c r="Y934" s="236" t="s">
        <v>688</v>
      </c>
      <c r="Z934" s="236"/>
    </row>
    <row r="935" spans="1:26" ht="12" customHeight="1">
      <c r="A935" s="548" t="s">
        <v>221</v>
      </c>
      <c r="B935" s="548" t="s">
        <v>223</v>
      </c>
      <c r="C935" s="456"/>
      <c r="D935" s="775"/>
      <c r="E935" s="453" t="s">
        <v>50</v>
      </c>
      <c r="F935" s="103">
        <f>+F936+F937</f>
        <v>0</v>
      </c>
      <c r="G935" s="103">
        <f>+G936+G937</f>
        <v>1001351.02</v>
      </c>
      <c r="H935" s="103">
        <f>+H936+H937</f>
        <v>0</v>
      </c>
      <c r="I935" s="103">
        <f t="shared" si="343"/>
        <v>1001351.02</v>
      </c>
      <c r="J935" s="103">
        <f>+J936+J937</f>
        <v>0</v>
      </c>
      <c r="K935" s="103">
        <f>+K936+K937</f>
        <v>697535.52</v>
      </c>
      <c r="L935" s="103">
        <f>+L936+L937</f>
        <v>0</v>
      </c>
      <c r="M935" s="103">
        <f t="shared" si="344"/>
        <v>697535.52</v>
      </c>
      <c r="N935" s="103">
        <f t="shared" si="345"/>
        <v>0</v>
      </c>
      <c r="O935" s="103">
        <f t="shared" si="345"/>
        <v>303815.5</v>
      </c>
      <c r="P935" s="103">
        <f t="shared" si="345"/>
        <v>0</v>
      </c>
      <c r="Q935" s="103">
        <f t="shared" si="346"/>
        <v>303815.5</v>
      </c>
      <c r="S935" s="267" t="str">
        <f t="shared" si="354"/>
        <v/>
      </c>
      <c r="T935" s="267">
        <f t="shared" si="354"/>
        <v>0.69659440702422215</v>
      </c>
      <c r="U935" s="267" t="str">
        <f t="shared" si="354"/>
        <v/>
      </c>
      <c r="V935" s="267">
        <f t="shared" si="353"/>
        <v>0.69659440702422215</v>
      </c>
      <c r="W935" s="530"/>
      <c r="X935" s="236"/>
      <c r="Y935" s="236" t="s">
        <v>688</v>
      </c>
      <c r="Z935" s="236"/>
    </row>
    <row r="936" spans="1:26" ht="12" hidden="1" customHeight="1">
      <c r="A936" s="548" t="s">
        <v>221</v>
      </c>
      <c r="B936" s="548" t="s">
        <v>223</v>
      </c>
      <c r="C936" s="458" t="s">
        <v>715</v>
      </c>
      <c r="D936" s="550" t="s">
        <v>715</v>
      </c>
      <c r="E936" s="447" t="s">
        <v>715</v>
      </c>
      <c r="F936" s="104">
        <f>'[3]CONAP - W INC'!F707</f>
        <v>0</v>
      </c>
      <c r="G936" s="104">
        <f>'[3]CONAP - W INC'!G707</f>
        <v>0</v>
      </c>
      <c r="H936" s="104">
        <f>'[3]CONAP - W INC'!H707</f>
        <v>0</v>
      </c>
      <c r="I936" s="103">
        <f t="shared" si="343"/>
        <v>0</v>
      </c>
      <c r="J936" s="104">
        <f>'[3]CONAP - W INC'!J707</f>
        <v>0</v>
      </c>
      <c r="K936" s="104">
        <f>'[3]CONAP - W INC'!K707</f>
        <v>0</v>
      </c>
      <c r="L936" s="104">
        <f>'[3]CONAP - W INC'!L707</f>
        <v>0</v>
      </c>
      <c r="M936" s="103">
        <f t="shared" si="344"/>
        <v>0</v>
      </c>
      <c r="N936" s="103">
        <f t="shared" si="345"/>
        <v>0</v>
      </c>
      <c r="O936" s="103">
        <f t="shared" si="345"/>
        <v>0</v>
      </c>
      <c r="P936" s="103">
        <f t="shared" si="345"/>
        <v>0</v>
      </c>
      <c r="Q936" s="103">
        <f t="shared" si="346"/>
        <v>0</v>
      </c>
      <c r="S936" s="267" t="str">
        <f t="shared" si="354"/>
        <v/>
      </c>
      <c r="T936" s="267" t="str">
        <f t="shared" si="354"/>
        <v/>
      </c>
      <c r="U936" s="267" t="str">
        <f t="shared" si="354"/>
        <v/>
      </c>
      <c r="V936" s="267" t="str">
        <f t="shared" si="353"/>
        <v/>
      </c>
      <c r="W936" s="530"/>
      <c r="X936" s="236"/>
      <c r="Y936" s="236"/>
      <c r="Z936" s="236"/>
    </row>
    <row r="937" spans="1:26" ht="12" hidden="1" customHeight="1">
      <c r="A937" s="548" t="s">
        <v>221</v>
      </c>
      <c r="B937" s="548" t="s">
        <v>223</v>
      </c>
      <c r="C937" s="458" t="s">
        <v>716</v>
      </c>
      <c r="D937" s="550" t="s">
        <v>716</v>
      </c>
      <c r="E937" s="459" t="s">
        <v>716</v>
      </c>
      <c r="F937" s="104">
        <f>'[3]CONAP - W INC'!F708</f>
        <v>0</v>
      </c>
      <c r="G937" s="104">
        <f>'[3]CONAP - W INC'!G708</f>
        <v>1001351.02</v>
      </c>
      <c r="H937" s="104">
        <f>'[3]CONAP - W INC'!H708</f>
        <v>0</v>
      </c>
      <c r="I937" s="103">
        <f t="shared" si="343"/>
        <v>1001351.02</v>
      </c>
      <c r="J937" s="104">
        <f>'[3]CONAP - W INC'!J708</f>
        <v>0</v>
      </c>
      <c r="K937" s="104">
        <f>'[3]CONAP - W INC'!K708</f>
        <v>697535.52</v>
      </c>
      <c r="L937" s="104">
        <f>'[3]CONAP - W INC'!L708</f>
        <v>0</v>
      </c>
      <c r="M937" s="103">
        <f t="shared" si="344"/>
        <v>697535.52</v>
      </c>
      <c r="N937" s="103">
        <f t="shared" si="345"/>
        <v>0</v>
      </c>
      <c r="O937" s="103">
        <f t="shared" si="345"/>
        <v>303815.5</v>
      </c>
      <c r="P937" s="103">
        <f t="shared" si="345"/>
        <v>0</v>
      </c>
      <c r="Q937" s="103">
        <f t="shared" si="346"/>
        <v>303815.5</v>
      </c>
      <c r="S937" s="267" t="str">
        <f t="shared" si="354"/>
        <v/>
      </c>
      <c r="T937" s="267">
        <f t="shared" si="354"/>
        <v>0.69659440702422215</v>
      </c>
      <c r="U937" s="267" t="str">
        <f t="shared" si="354"/>
        <v/>
      </c>
      <c r="V937" s="267">
        <f t="shared" si="353"/>
        <v>0.69659440702422215</v>
      </c>
      <c r="W937" s="530"/>
      <c r="X937" s="236"/>
      <c r="Y937" s="236"/>
      <c r="Z937" s="236"/>
    </row>
    <row r="938" spans="1:26" s="256" customFormat="1" ht="12" customHeight="1">
      <c r="A938" s="548"/>
      <c r="B938" s="548" t="s">
        <v>223</v>
      </c>
      <c r="C938" s="460"/>
      <c r="D938" s="551"/>
      <c r="E938" s="390" t="s">
        <v>767</v>
      </c>
      <c r="F938" s="391">
        <f>+F935+F934</f>
        <v>0</v>
      </c>
      <c r="G938" s="391">
        <f t="shared" ref="G938:Q938" si="358">+G935+G934</f>
        <v>1966574.6400000001</v>
      </c>
      <c r="H938" s="391">
        <f t="shared" si="358"/>
        <v>0</v>
      </c>
      <c r="I938" s="391">
        <f t="shared" si="358"/>
        <v>1966574.6400000001</v>
      </c>
      <c r="J938" s="391">
        <f t="shared" si="358"/>
        <v>0</v>
      </c>
      <c r="K938" s="391">
        <f t="shared" si="358"/>
        <v>697535.52</v>
      </c>
      <c r="L938" s="391">
        <f t="shared" si="358"/>
        <v>0</v>
      </c>
      <c r="M938" s="391">
        <f t="shared" si="358"/>
        <v>697535.52</v>
      </c>
      <c r="N938" s="391">
        <f t="shared" si="358"/>
        <v>0</v>
      </c>
      <c r="O938" s="391">
        <f t="shared" si="358"/>
        <v>1269039.1200000001</v>
      </c>
      <c r="P938" s="391">
        <f t="shared" si="358"/>
        <v>0</v>
      </c>
      <c r="Q938" s="391">
        <f t="shared" si="358"/>
        <v>1269039.1200000001</v>
      </c>
      <c r="R938" s="761"/>
      <c r="S938" s="267" t="str">
        <f t="shared" si="354"/>
        <v/>
      </c>
      <c r="T938" s="267">
        <f t="shared" si="354"/>
        <v>0.35469567531899016</v>
      </c>
      <c r="U938" s="267" t="str">
        <f t="shared" si="354"/>
        <v/>
      </c>
      <c r="V938" s="267">
        <f t="shared" si="353"/>
        <v>0.35469567531899016</v>
      </c>
      <c r="W938" s="532"/>
      <c r="Y938" s="236" t="s">
        <v>598</v>
      </c>
      <c r="Z938" s="240" t="s">
        <v>598</v>
      </c>
    </row>
    <row r="939" spans="1:26" ht="12" hidden="1" customHeight="1">
      <c r="A939" s="548"/>
      <c r="B939" s="548"/>
      <c r="C939" s="456"/>
      <c r="D939" s="549"/>
      <c r="E939" s="461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S939" s="267" t="str">
        <f t="shared" si="354"/>
        <v/>
      </c>
      <c r="T939" s="267" t="str">
        <f t="shared" si="354"/>
        <v/>
      </c>
      <c r="U939" s="267" t="str">
        <f t="shared" si="354"/>
        <v/>
      </c>
      <c r="V939" s="267" t="str">
        <f t="shared" si="353"/>
        <v/>
      </c>
      <c r="W939" s="530"/>
      <c r="X939" s="236"/>
      <c r="Y939" s="236"/>
      <c r="Z939" s="236"/>
    </row>
    <row r="940" spans="1:26" s="256" customFormat="1" ht="12" customHeight="1">
      <c r="A940" s="548" t="s">
        <v>221</v>
      </c>
      <c r="B940" s="548" t="s">
        <v>223</v>
      </c>
      <c r="C940" s="460"/>
      <c r="D940" s="551" t="s">
        <v>98</v>
      </c>
      <c r="E940" s="390" t="s">
        <v>100</v>
      </c>
      <c r="F940" s="391">
        <f>SUM(F941:F941)</f>
        <v>0</v>
      </c>
      <c r="G940" s="391">
        <f>SUM(G941:G941)</f>
        <v>44486736.670000002</v>
      </c>
      <c r="H940" s="391">
        <f>SUM(H941:H941)</f>
        <v>0</v>
      </c>
      <c r="I940" s="391">
        <f>+F940+G940+H940</f>
        <v>44486736.670000002</v>
      </c>
      <c r="J940" s="391">
        <f>SUM(J941:J941)</f>
        <v>0</v>
      </c>
      <c r="K940" s="391">
        <f>SUM(K941:K941)</f>
        <v>34127628.469999999</v>
      </c>
      <c r="L940" s="391">
        <f>SUM(L941:L941)</f>
        <v>0</v>
      </c>
      <c r="M940" s="391">
        <f>+J940+K940+L940</f>
        <v>34127628.469999999</v>
      </c>
      <c r="N940" s="391">
        <f t="shared" ref="N940:P941" si="359">+F940-J940</f>
        <v>0</v>
      </c>
      <c r="O940" s="391">
        <f t="shared" si="359"/>
        <v>10359108.200000003</v>
      </c>
      <c r="P940" s="391">
        <f t="shared" si="359"/>
        <v>0</v>
      </c>
      <c r="Q940" s="391">
        <f>+N940+O940+P940</f>
        <v>10359108.200000003</v>
      </c>
      <c r="R940" s="761"/>
      <c r="S940" s="267" t="str">
        <f t="shared" si="354"/>
        <v/>
      </c>
      <c r="T940" s="267">
        <f t="shared" si="354"/>
        <v>0.76714164770405036</v>
      </c>
      <c r="U940" s="267" t="str">
        <f t="shared" si="354"/>
        <v/>
      </c>
      <c r="V940" s="267">
        <f t="shared" si="353"/>
        <v>0.76714164770405036</v>
      </c>
      <c r="W940" s="532"/>
      <c r="Y940" s="236" t="s">
        <v>598</v>
      </c>
      <c r="Z940" s="240" t="s">
        <v>598</v>
      </c>
    </row>
    <row r="941" spans="1:26" ht="12" customHeight="1">
      <c r="A941" s="548" t="s">
        <v>221</v>
      </c>
      <c r="B941" s="548" t="s">
        <v>223</v>
      </c>
      <c r="C941" s="456"/>
      <c r="D941" s="549"/>
      <c r="E941" s="462" t="s">
        <v>290</v>
      </c>
      <c r="F941" s="103">
        <v>0</v>
      </c>
      <c r="G941" s="103">
        <f>SUM('[3]chd11-SAOB'!AI222)</f>
        <v>44486736.670000002</v>
      </c>
      <c r="H941" s="103">
        <f>SUM('[3]chd11-SAOB'!AI314)</f>
        <v>0</v>
      </c>
      <c r="I941" s="103">
        <f>+F941+G941+H941</f>
        <v>44486736.670000002</v>
      </c>
      <c r="J941" s="103">
        <v>0</v>
      </c>
      <c r="K941" s="103">
        <f>SUM('[3]chd11-SAOB'!AI223)</f>
        <v>34127628.469999999</v>
      </c>
      <c r="L941" s="103">
        <f>SUM('[3]chd11-SAOB'!AI315)</f>
        <v>0</v>
      </c>
      <c r="M941" s="103">
        <f>+J941+K941+L941</f>
        <v>34127628.469999999</v>
      </c>
      <c r="N941" s="103">
        <f t="shared" si="359"/>
        <v>0</v>
      </c>
      <c r="O941" s="103">
        <f t="shared" si="359"/>
        <v>10359108.200000003</v>
      </c>
      <c r="P941" s="103">
        <f t="shared" si="359"/>
        <v>0</v>
      </c>
      <c r="Q941" s="103">
        <f>+N941+O941+P941</f>
        <v>10359108.200000003</v>
      </c>
      <c r="S941" s="267" t="str">
        <f t="shared" si="354"/>
        <v/>
      </c>
      <c r="T941" s="267">
        <f t="shared" si="354"/>
        <v>0.76714164770405036</v>
      </c>
      <c r="U941" s="267" t="str">
        <f t="shared" si="354"/>
        <v/>
      </c>
      <c r="V941" s="267">
        <f t="shared" si="353"/>
        <v>0.76714164770405036</v>
      </c>
      <c r="W941" s="530"/>
      <c r="X941" s="236"/>
      <c r="Y941" s="236" t="s">
        <v>598</v>
      </c>
      <c r="Z941" s="236"/>
    </row>
    <row r="942" spans="1:26" s="259" customFormat="1" ht="12" customHeight="1">
      <c r="A942" s="315" t="s">
        <v>221</v>
      </c>
      <c r="B942" s="315" t="s">
        <v>223</v>
      </c>
      <c r="C942" s="1096"/>
      <c r="D942" s="466"/>
      <c r="E942" s="1097" t="s">
        <v>4</v>
      </c>
      <c r="F942" s="652">
        <f>+F940+F938</f>
        <v>0</v>
      </c>
      <c r="G942" s="652">
        <f t="shared" ref="G942:Q942" si="360">+G940+G938</f>
        <v>46453311.310000002</v>
      </c>
      <c r="H942" s="652">
        <f t="shared" si="360"/>
        <v>0</v>
      </c>
      <c r="I942" s="652">
        <f t="shared" si="360"/>
        <v>46453311.310000002</v>
      </c>
      <c r="J942" s="652">
        <f t="shared" si="360"/>
        <v>0</v>
      </c>
      <c r="K942" s="652">
        <f t="shared" si="360"/>
        <v>34825163.990000002</v>
      </c>
      <c r="L942" s="652">
        <f t="shared" si="360"/>
        <v>0</v>
      </c>
      <c r="M942" s="652">
        <f t="shared" si="360"/>
        <v>34825163.990000002</v>
      </c>
      <c r="N942" s="652">
        <f t="shared" si="360"/>
        <v>0</v>
      </c>
      <c r="O942" s="652">
        <f t="shared" si="360"/>
        <v>11628147.320000004</v>
      </c>
      <c r="P942" s="652">
        <f t="shared" si="360"/>
        <v>0</v>
      </c>
      <c r="Q942" s="652">
        <f t="shared" si="360"/>
        <v>11628147.320000004</v>
      </c>
      <c r="R942" s="1095">
        <f>+Q942-'[3]chd11-SAOB'!BC351</f>
        <v>0</v>
      </c>
      <c r="S942" s="524" t="str">
        <f t="shared" si="354"/>
        <v/>
      </c>
      <c r="T942" s="524">
        <f t="shared" si="354"/>
        <v>0.74968098092295066</v>
      </c>
      <c r="U942" s="524" t="str">
        <f t="shared" si="354"/>
        <v/>
      </c>
      <c r="V942" s="524">
        <f t="shared" si="353"/>
        <v>0.74968098092295066</v>
      </c>
      <c r="W942" s="344"/>
      <c r="X942" s="520"/>
      <c r="Y942" s="837" t="s">
        <v>598</v>
      </c>
      <c r="Z942" s="241" t="s">
        <v>598</v>
      </c>
    </row>
    <row r="943" spans="1:26" ht="12" customHeight="1">
      <c r="A943" s="315"/>
      <c r="B943" s="315" t="s">
        <v>223</v>
      </c>
      <c r="C943" s="456"/>
      <c r="D943" s="456"/>
      <c r="E943" s="46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S943" s="267" t="str">
        <f t="shared" si="354"/>
        <v/>
      </c>
      <c r="T943" s="267" t="str">
        <f t="shared" si="354"/>
        <v/>
      </c>
      <c r="U943" s="267" t="str">
        <f t="shared" si="354"/>
        <v/>
      </c>
      <c r="V943" s="267" t="str">
        <f t="shared" si="353"/>
        <v/>
      </c>
      <c r="W943" s="267"/>
      <c r="Y943" s="837" t="s">
        <v>598</v>
      </c>
      <c r="Z943" s="241" t="s">
        <v>598</v>
      </c>
    </row>
    <row r="944" spans="1:26" s="275" customFormat="1" ht="12" customHeight="1">
      <c r="A944" s="548" t="s">
        <v>221</v>
      </c>
      <c r="B944" s="548" t="s">
        <v>224</v>
      </c>
      <c r="C944" s="464" t="s">
        <v>98</v>
      </c>
      <c r="D944" s="552" t="s">
        <v>107</v>
      </c>
      <c r="E944" s="407" t="s">
        <v>842</v>
      </c>
      <c r="F944" s="468"/>
      <c r="G944" s="468"/>
      <c r="H944" s="468"/>
      <c r="I944" s="409">
        <f t="shared" si="343"/>
        <v>0</v>
      </c>
      <c r="J944" s="468"/>
      <c r="K944" s="468"/>
      <c r="L944" s="468"/>
      <c r="M944" s="409">
        <f t="shared" si="344"/>
        <v>0</v>
      </c>
      <c r="N944" s="409">
        <f t="shared" si="345"/>
        <v>0</v>
      </c>
      <c r="O944" s="409">
        <f t="shared" si="345"/>
        <v>0</v>
      </c>
      <c r="P944" s="409">
        <f t="shared" si="345"/>
        <v>0</v>
      </c>
      <c r="Q944" s="409">
        <f t="shared" si="346"/>
        <v>0</v>
      </c>
      <c r="R944" s="761"/>
      <c r="S944" s="267" t="str">
        <f t="shared" si="354"/>
        <v/>
      </c>
      <c r="T944" s="267" t="str">
        <f t="shared" si="354"/>
        <v/>
      </c>
      <c r="U944" s="267" t="str">
        <f t="shared" si="354"/>
        <v/>
      </c>
      <c r="V944" s="267" t="str">
        <f t="shared" si="353"/>
        <v/>
      </c>
      <c r="W944" s="553"/>
      <c r="Y944" s="236" t="s">
        <v>598</v>
      </c>
      <c r="Z944" s="240" t="s">
        <v>598</v>
      </c>
    </row>
    <row r="945" spans="1:26" ht="12" customHeight="1">
      <c r="A945" s="548" t="s">
        <v>221</v>
      </c>
      <c r="B945" s="548" t="s">
        <v>224</v>
      </c>
      <c r="C945" s="447" t="s">
        <v>766</v>
      </c>
      <c r="D945" s="775"/>
      <c r="E945" s="447" t="s">
        <v>766</v>
      </c>
      <c r="F945" s="104">
        <f>+'[3]chd11-SAOB'!C439</f>
        <v>0</v>
      </c>
      <c r="G945" s="104">
        <f>+'[3]chd11-SAOB'!D439</f>
        <v>310239.78999999998</v>
      </c>
      <c r="H945" s="104">
        <f>+'[3]chd11-SAOB'!E439</f>
        <v>0</v>
      </c>
      <c r="I945" s="103">
        <f t="shared" si="343"/>
        <v>310239.78999999998</v>
      </c>
      <c r="J945" s="104">
        <f>+'[3]chd11-SAOB'!G439</f>
        <v>0</v>
      </c>
      <c r="K945" s="104">
        <f>+'[3]chd11-SAOB'!H439</f>
        <v>298373.5</v>
      </c>
      <c r="L945" s="104">
        <f>+'[3]chd11-SAOB'!I439</f>
        <v>0</v>
      </c>
      <c r="M945" s="103">
        <f t="shared" si="344"/>
        <v>298373.5</v>
      </c>
      <c r="N945" s="103">
        <f t="shared" si="345"/>
        <v>0</v>
      </c>
      <c r="O945" s="103">
        <f t="shared" si="345"/>
        <v>11866.289999999979</v>
      </c>
      <c r="P945" s="103">
        <f t="shared" si="345"/>
        <v>0</v>
      </c>
      <c r="Q945" s="103">
        <f t="shared" si="346"/>
        <v>11866.289999999979</v>
      </c>
      <c r="S945" s="267" t="str">
        <f t="shared" si="354"/>
        <v/>
      </c>
      <c r="T945" s="267">
        <f t="shared" si="354"/>
        <v>0.96175123120087214</v>
      </c>
      <c r="U945" s="267" t="str">
        <f t="shared" si="354"/>
        <v/>
      </c>
      <c r="V945" s="267">
        <f t="shared" si="353"/>
        <v>0.96175123120087214</v>
      </c>
      <c r="W945" s="530"/>
      <c r="X945" s="236"/>
      <c r="Y945" s="236" t="s">
        <v>688</v>
      </c>
      <c r="Z945" s="236"/>
    </row>
    <row r="946" spans="1:26" ht="12" customHeight="1">
      <c r="A946" s="548" t="s">
        <v>221</v>
      </c>
      <c r="B946" s="548" t="s">
        <v>224</v>
      </c>
      <c r="C946" s="456"/>
      <c r="D946" s="775"/>
      <c r="E946" s="453" t="s">
        <v>50</v>
      </c>
      <c r="F946" s="103">
        <f>+F947+F948</f>
        <v>0</v>
      </c>
      <c r="G946" s="103">
        <f>+G947+G948</f>
        <v>13351759.82</v>
      </c>
      <c r="H946" s="103">
        <f>+H947+H948</f>
        <v>0</v>
      </c>
      <c r="I946" s="103">
        <f t="shared" si="343"/>
        <v>13351759.82</v>
      </c>
      <c r="J946" s="103">
        <f>+J947+J948</f>
        <v>0</v>
      </c>
      <c r="K946" s="103">
        <f>+K947+K948</f>
        <v>12525822.210000001</v>
      </c>
      <c r="L946" s="103">
        <f>+L947+L948</f>
        <v>0</v>
      </c>
      <c r="M946" s="103">
        <f t="shared" si="344"/>
        <v>12525822.210000001</v>
      </c>
      <c r="N946" s="103">
        <f t="shared" si="345"/>
        <v>0</v>
      </c>
      <c r="O946" s="103">
        <f t="shared" si="345"/>
        <v>825937.6099999994</v>
      </c>
      <c r="P946" s="103">
        <f t="shared" si="345"/>
        <v>0</v>
      </c>
      <c r="Q946" s="103">
        <f t="shared" si="346"/>
        <v>825937.6099999994</v>
      </c>
      <c r="S946" s="267" t="str">
        <f t="shared" si="354"/>
        <v/>
      </c>
      <c r="T946" s="267">
        <f t="shared" si="354"/>
        <v>0.93814016870174655</v>
      </c>
      <c r="U946" s="267" t="str">
        <f t="shared" si="354"/>
        <v/>
      </c>
      <c r="V946" s="267">
        <f t="shared" si="353"/>
        <v>0.93814016870174655</v>
      </c>
      <c r="W946" s="530"/>
      <c r="X946" s="236"/>
      <c r="Y946" s="236" t="s">
        <v>688</v>
      </c>
      <c r="Z946" s="236"/>
    </row>
    <row r="947" spans="1:26" ht="12" hidden="1" customHeight="1">
      <c r="A947" s="548" t="s">
        <v>221</v>
      </c>
      <c r="B947" s="548" t="s">
        <v>224</v>
      </c>
      <c r="C947" s="458" t="s">
        <v>715</v>
      </c>
      <c r="D947" s="550" t="s">
        <v>715</v>
      </c>
      <c r="E947" s="447" t="s">
        <v>715</v>
      </c>
      <c r="F947" s="104">
        <f>'[3]CONAP - W INC'!F715</f>
        <v>0</v>
      </c>
      <c r="G947" s="104">
        <f>'[3]CONAP - W INC'!G715</f>
        <v>6213434.9900000002</v>
      </c>
      <c r="H947" s="104">
        <f>'[3]CONAP - W INC'!H715</f>
        <v>0</v>
      </c>
      <c r="I947" s="103">
        <f t="shared" si="343"/>
        <v>6213434.9900000002</v>
      </c>
      <c r="J947" s="104">
        <f>'[3]CONAP - W INC'!J715</f>
        <v>0</v>
      </c>
      <c r="K947" s="104">
        <f>'[3]CONAP - W INC'!K715</f>
        <v>5937305.8300000001</v>
      </c>
      <c r="L947" s="104">
        <f>'[3]CONAP - W INC'!L715</f>
        <v>0</v>
      </c>
      <c r="M947" s="103">
        <f t="shared" si="344"/>
        <v>5937305.8300000001</v>
      </c>
      <c r="N947" s="103">
        <f t="shared" si="345"/>
        <v>0</v>
      </c>
      <c r="O947" s="103">
        <f t="shared" si="345"/>
        <v>276129.16000000015</v>
      </c>
      <c r="P947" s="103">
        <f t="shared" si="345"/>
        <v>0</v>
      </c>
      <c r="Q947" s="103">
        <f t="shared" si="346"/>
        <v>276129.16000000015</v>
      </c>
      <c r="S947" s="267" t="str">
        <f t="shared" si="354"/>
        <v/>
      </c>
      <c r="T947" s="267">
        <f t="shared" si="354"/>
        <v>0.95555933868393139</v>
      </c>
      <c r="U947" s="267" t="str">
        <f t="shared" si="354"/>
        <v/>
      </c>
      <c r="V947" s="267">
        <f t="shared" si="353"/>
        <v>0.95555933868393139</v>
      </c>
      <c r="W947" s="530"/>
      <c r="X947" s="236"/>
      <c r="Y947" s="236"/>
      <c r="Z947" s="236"/>
    </row>
    <row r="948" spans="1:26" ht="12" hidden="1" customHeight="1">
      <c r="A948" s="548" t="s">
        <v>221</v>
      </c>
      <c r="B948" s="548" t="s">
        <v>224</v>
      </c>
      <c r="C948" s="458" t="s">
        <v>716</v>
      </c>
      <c r="D948" s="550" t="s">
        <v>716</v>
      </c>
      <c r="E948" s="459" t="s">
        <v>716</v>
      </c>
      <c r="F948" s="104">
        <f>'[3]CONAP - W INC'!F716</f>
        <v>0</v>
      </c>
      <c r="G948" s="104">
        <f>'[3]CONAP - W INC'!G716</f>
        <v>7138324.8300000001</v>
      </c>
      <c r="H948" s="104">
        <f>'[3]CONAP - W INC'!H716</f>
        <v>0</v>
      </c>
      <c r="I948" s="103">
        <f t="shared" si="343"/>
        <v>7138324.8300000001</v>
      </c>
      <c r="J948" s="104">
        <f>'[3]CONAP - W INC'!J716</f>
        <v>0</v>
      </c>
      <c r="K948" s="104">
        <f>'[3]CONAP - W INC'!K716</f>
        <v>6588516.3800000008</v>
      </c>
      <c r="L948" s="104">
        <f>'[3]CONAP - W INC'!L716</f>
        <v>0</v>
      </c>
      <c r="M948" s="103">
        <f t="shared" si="344"/>
        <v>6588516.3800000008</v>
      </c>
      <c r="N948" s="103">
        <f t="shared" si="345"/>
        <v>0</v>
      </c>
      <c r="O948" s="103">
        <f t="shared" si="345"/>
        <v>549808.44999999925</v>
      </c>
      <c r="P948" s="103">
        <f t="shared" si="345"/>
        <v>0</v>
      </c>
      <c r="Q948" s="103">
        <f t="shared" si="346"/>
        <v>549808.44999999925</v>
      </c>
      <c r="S948" s="267" t="str">
        <f t="shared" si="354"/>
        <v/>
      </c>
      <c r="T948" s="267">
        <f t="shared" si="354"/>
        <v>0.92297794467277006</v>
      </c>
      <c r="U948" s="267" t="str">
        <f t="shared" si="354"/>
        <v/>
      </c>
      <c r="V948" s="267">
        <f t="shared" si="353"/>
        <v>0.92297794467277006</v>
      </c>
      <c r="W948" s="530"/>
      <c r="X948" s="236"/>
      <c r="Y948" s="236"/>
      <c r="Z948" s="236"/>
    </row>
    <row r="949" spans="1:26" s="256" customFormat="1" ht="12" customHeight="1">
      <c r="A949" s="548"/>
      <c r="B949" s="548" t="s">
        <v>224</v>
      </c>
      <c r="C949" s="460"/>
      <c r="D949" s="551"/>
      <c r="E949" s="390" t="s">
        <v>767</v>
      </c>
      <c r="F949" s="391">
        <f>+F946+F945</f>
        <v>0</v>
      </c>
      <c r="G949" s="391">
        <f t="shared" ref="G949:Q949" si="361">+G946+G945</f>
        <v>13661999.609999999</v>
      </c>
      <c r="H949" s="391">
        <f t="shared" si="361"/>
        <v>0</v>
      </c>
      <c r="I949" s="391">
        <f t="shared" si="361"/>
        <v>13661999.609999999</v>
      </c>
      <c r="J949" s="391">
        <f t="shared" si="361"/>
        <v>0</v>
      </c>
      <c r="K949" s="391">
        <f t="shared" si="361"/>
        <v>12824195.710000001</v>
      </c>
      <c r="L949" s="391">
        <f t="shared" si="361"/>
        <v>0</v>
      </c>
      <c r="M949" s="391">
        <f t="shared" si="361"/>
        <v>12824195.710000001</v>
      </c>
      <c r="N949" s="391">
        <f t="shared" si="361"/>
        <v>0</v>
      </c>
      <c r="O949" s="391">
        <f t="shared" si="361"/>
        <v>837803.89999999944</v>
      </c>
      <c r="P949" s="391">
        <f t="shared" si="361"/>
        <v>0</v>
      </c>
      <c r="Q949" s="391">
        <f t="shared" si="361"/>
        <v>837803.89999999944</v>
      </c>
      <c r="R949" s="761"/>
      <c r="S949" s="267" t="str">
        <f t="shared" si="354"/>
        <v/>
      </c>
      <c r="T949" s="267">
        <f t="shared" si="354"/>
        <v>0.93867633407142237</v>
      </c>
      <c r="U949" s="267" t="str">
        <f t="shared" si="354"/>
        <v/>
      </c>
      <c r="V949" s="267">
        <f t="shared" si="353"/>
        <v>0.93867633407142237</v>
      </c>
      <c r="W949" s="532"/>
      <c r="Y949" s="236" t="s">
        <v>598</v>
      </c>
      <c r="Z949" s="240" t="s">
        <v>598</v>
      </c>
    </row>
    <row r="950" spans="1:26" ht="12" hidden="1" customHeight="1">
      <c r="A950" s="548"/>
      <c r="B950" s="548"/>
      <c r="C950" s="456"/>
      <c r="D950" s="549"/>
      <c r="E950" s="461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S950" s="267" t="str">
        <f t="shared" si="354"/>
        <v/>
      </c>
      <c r="T950" s="267" t="str">
        <f t="shared" si="354"/>
        <v/>
      </c>
      <c r="U950" s="267" t="str">
        <f t="shared" si="354"/>
        <v/>
      </c>
      <c r="V950" s="267" t="str">
        <f t="shared" si="353"/>
        <v/>
      </c>
      <c r="W950" s="530"/>
      <c r="X950" s="236"/>
      <c r="Y950" s="236"/>
      <c r="Z950" s="236"/>
    </row>
    <row r="951" spans="1:26" s="256" customFormat="1" ht="12" customHeight="1">
      <c r="A951" s="548" t="s">
        <v>665</v>
      </c>
      <c r="B951" s="548" t="s">
        <v>224</v>
      </c>
      <c r="C951" s="460"/>
      <c r="D951" s="551" t="s">
        <v>98</v>
      </c>
      <c r="E951" s="390" t="s">
        <v>100</v>
      </c>
      <c r="F951" s="391">
        <f>SUM(F952:F952)</f>
        <v>0</v>
      </c>
      <c r="G951" s="391">
        <f>SUM(G952:G952)</f>
        <v>3137443.79</v>
      </c>
      <c r="H951" s="391">
        <f>SUM(H952:H952)</f>
        <v>0</v>
      </c>
      <c r="I951" s="391">
        <f>+F951+G951+H951</f>
        <v>3137443.79</v>
      </c>
      <c r="J951" s="391">
        <f>SUM(J952:J952)</f>
        <v>0</v>
      </c>
      <c r="K951" s="391">
        <f>SUM(K952:K952)</f>
        <v>3018088</v>
      </c>
      <c r="L951" s="391">
        <f>SUM(L952:L952)</f>
        <v>0</v>
      </c>
      <c r="M951" s="391">
        <f>+J951+K951+L951</f>
        <v>3018088</v>
      </c>
      <c r="N951" s="391">
        <f t="shared" ref="N951:P952" si="362">+F951-J951</f>
        <v>0</v>
      </c>
      <c r="O951" s="391">
        <f t="shared" si="362"/>
        <v>119355.79000000004</v>
      </c>
      <c r="P951" s="391">
        <f t="shared" si="362"/>
        <v>0</v>
      </c>
      <c r="Q951" s="391">
        <f>+N951+O951+P951</f>
        <v>119355.79000000004</v>
      </c>
      <c r="R951" s="761"/>
      <c r="S951" s="267" t="str">
        <f t="shared" si="354"/>
        <v/>
      </c>
      <c r="T951" s="267">
        <f t="shared" si="354"/>
        <v>0.96195763239474641</v>
      </c>
      <c r="U951" s="267" t="str">
        <f t="shared" si="354"/>
        <v/>
      </c>
      <c r="V951" s="267">
        <f t="shared" si="353"/>
        <v>0.96195763239474641</v>
      </c>
      <c r="W951" s="532"/>
      <c r="Y951" s="236" t="s">
        <v>598</v>
      </c>
      <c r="Z951" s="240" t="s">
        <v>598</v>
      </c>
    </row>
    <row r="952" spans="1:26" ht="12" customHeight="1">
      <c r="A952" s="548" t="s">
        <v>221</v>
      </c>
      <c r="B952" s="548" t="s">
        <v>224</v>
      </c>
      <c r="C952" s="456"/>
      <c r="D952" s="549"/>
      <c r="E952" s="462" t="s">
        <v>290</v>
      </c>
      <c r="F952" s="103">
        <v>0</v>
      </c>
      <c r="G952" s="103">
        <f>SUM('[3]chd11-SAOB'!AJ222)</f>
        <v>3137443.79</v>
      </c>
      <c r="H952" s="103">
        <f>SUM('[3]chd11-SAOB'!AJ314)</f>
        <v>0</v>
      </c>
      <c r="I952" s="103">
        <f>+F952+G952+H952</f>
        <v>3137443.79</v>
      </c>
      <c r="J952" s="103">
        <v>0</v>
      </c>
      <c r="K952" s="103">
        <f>SUM('[3]chd11-SAOB'!AJ223)</f>
        <v>3018088</v>
      </c>
      <c r="L952" s="103">
        <f>SUM('[3]chd11-SAOB'!AJ315)</f>
        <v>0</v>
      </c>
      <c r="M952" s="103">
        <f>+J952+K952+L952</f>
        <v>3018088</v>
      </c>
      <c r="N952" s="103">
        <f t="shared" si="362"/>
        <v>0</v>
      </c>
      <c r="O952" s="103">
        <f t="shared" si="362"/>
        <v>119355.79000000004</v>
      </c>
      <c r="P952" s="103">
        <f t="shared" si="362"/>
        <v>0</v>
      </c>
      <c r="Q952" s="103">
        <f>+N952+O952+P952</f>
        <v>119355.79000000004</v>
      </c>
      <c r="S952" s="267" t="str">
        <f t="shared" si="354"/>
        <v/>
      </c>
      <c r="T952" s="267">
        <f t="shared" si="354"/>
        <v>0.96195763239474641</v>
      </c>
      <c r="U952" s="267" t="str">
        <f t="shared" si="354"/>
        <v/>
      </c>
      <c r="V952" s="267">
        <f t="shared" si="353"/>
        <v>0.96195763239474641</v>
      </c>
      <c r="W952" s="530"/>
      <c r="X952" s="236"/>
      <c r="Y952" s="236" t="s">
        <v>598</v>
      </c>
      <c r="Z952" s="236"/>
    </row>
    <row r="953" spans="1:26" s="259" customFormat="1" ht="12" customHeight="1">
      <c r="A953" s="315" t="s">
        <v>221</v>
      </c>
      <c r="B953" s="315" t="s">
        <v>224</v>
      </c>
      <c r="C953" s="1096"/>
      <c r="D953" s="466"/>
      <c r="E953" s="1097" t="s">
        <v>4</v>
      </c>
      <c r="F953" s="652">
        <f>+F951+F949</f>
        <v>0</v>
      </c>
      <c r="G953" s="652">
        <f t="shared" ref="G953:Q953" si="363">+G951+G949</f>
        <v>16799443.399999999</v>
      </c>
      <c r="H953" s="652">
        <f t="shared" si="363"/>
        <v>0</v>
      </c>
      <c r="I953" s="652">
        <f t="shared" si="363"/>
        <v>16799443.399999999</v>
      </c>
      <c r="J953" s="652">
        <f t="shared" si="363"/>
        <v>0</v>
      </c>
      <c r="K953" s="652">
        <f t="shared" si="363"/>
        <v>15842283.710000001</v>
      </c>
      <c r="L953" s="652">
        <f t="shared" si="363"/>
        <v>0</v>
      </c>
      <c r="M953" s="652">
        <f t="shared" si="363"/>
        <v>15842283.710000001</v>
      </c>
      <c r="N953" s="652">
        <f t="shared" si="363"/>
        <v>0</v>
      </c>
      <c r="O953" s="652">
        <f t="shared" si="363"/>
        <v>957159.68999999948</v>
      </c>
      <c r="P953" s="652">
        <f t="shared" si="363"/>
        <v>0</v>
      </c>
      <c r="Q953" s="652">
        <f t="shared" si="363"/>
        <v>957159.68999999948</v>
      </c>
      <c r="R953" s="1095">
        <f>+Q953-'[3]chd11-SAOB'!BD351</f>
        <v>0</v>
      </c>
      <c r="S953" s="524" t="str">
        <f t="shared" si="354"/>
        <v/>
      </c>
      <c r="T953" s="524">
        <f t="shared" si="354"/>
        <v>0.94302432127007274</v>
      </c>
      <c r="U953" s="524" t="str">
        <f t="shared" si="354"/>
        <v/>
      </c>
      <c r="V953" s="524">
        <f t="shared" si="353"/>
        <v>0.94302432127007274</v>
      </c>
      <c r="W953" s="344"/>
      <c r="X953" s="520"/>
      <c r="Y953" s="837" t="s">
        <v>598</v>
      </c>
      <c r="Z953" s="241" t="s">
        <v>598</v>
      </c>
    </row>
    <row r="954" spans="1:26" s="660" customFormat="1" ht="12" hidden="1" customHeight="1">
      <c r="A954" s="315" t="s">
        <v>221</v>
      </c>
      <c r="B954" s="315" t="s">
        <v>318</v>
      </c>
      <c r="C954" s="1467" t="s">
        <v>647</v>
      </c>
      <c r="D954" s="1468"/>
      <c r="E954" s="1469"/>
      <c r="F954" s="659">
        <f>+F942+F953</f>
        <v>0</v>
      </c>
      <c r="G954" s="659">
        <f>+G942+G953</f>
        <v>63252754.710000001</v>
      </c>
      <c r="H954" s="659">
        <f>+H942+H953</f>
        <v>0</v>
      </c>
      <c r="I954" s="659">
        <f t="shared" si="343"/>
        <v>63252754.710000001</v>
      </c>
      <c r="J954" s="659">
        <f>+J942+J953</f>
        <v>0</v>
      </c>
      <c r="K954" s="659">
        <f>+K942+K953</f>
        <v>50667447.700000003</v>
      </c>
      <c r="L954" s="659">
        <f>+L942+L953</f>
        <v>0</v>
      </c>
      <c r="M954" s="659">
        <f t="shared" si="344"/>
        <v>50667447.700000003</v>
      </c>
      <c r="N954" s="659">
        <f t="shared" si="345"/>
        <v>0</v>
      </c>
      <c r="O954" s="659">
        <f t="shared" si="345"/>
        <v>12585307.009999998</v>
      </c>
      <c r="P954" s="659">
        <f t="shared" si="345"/>
        <v>0</v>
      </c>
      <c r="Q954" s="659">
        <f t="shared" si="346"/>
        <v>12585307.009999998</v>
      </c>
      <c r="R954" s="1098"/>
      <c r="S954" s="661" t="str">
        <f t="shared" si="354"/>
        <v/>
      </c>
      <c r="T954" s="661">
        <f t="shared" si="354"/>
        <v>0.80103147969284705</v>
      </c>
      <c r="U954" s="661" t="str">
        <f t="shared" si="354"/>
        <v/>
      </c>
      <c r="V954" s="661">
        <f t="shared" si="353"/>
        <v>0.80103147969284705</v>
      </c>
      <c r="W954" s="295"/>
      <c r="X954" s="520"/>
      <c r="Y954" s="837"/>
      <c r="Z954" s="241"/>
    </row>
    <row r="955" spans="1:26" ht="12" hidden="1" customHeight="1">
      <c r="A955" s="315" t="s">
        <v>221</v>
      </c>
      <c r="B955" s="315" t="s">
        <v>318</v>
      </c>
      <c r="C955" s="469"/>
      <c r="D955" s="470"/>
      <c r="E955" s="471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S955" s="267" t="str">
        <f t="shared" si="354"/>
        <v/>
      </c>
      <c r="T955" s="267" t="str">
        <f t="shared" si="354"/>
        <v/>
      </c>
      <c r="U955" s="267" t="str">
        <f t="shared" si="354"/>
        <v/>
      </c>
      <c r="V955" s="267" t="str">
        <f t="shared" si="353"/>
        <v/>
      </c>
      <c r="W955" s="267"/>
      <c r="X955" s="237" t="s">
        <v>598</v>
      </c>
    </row>
    <row r="956" spans="1:26" s="275" customFormat="1" ht="12.75" hidden="1" customHeight="1">
      <c r="A956" s="315" t="s">
        <v>648</v>
      </c>
      <c r="B956" s="315" t="s">
        <v>318</v>
      </c>
      <c r="C956" s="464" t="s">
        <v>843</v>
      </c>
      <c r="D956" s="464"/>
      <c r="E956" s="472"/>
      <c r="F956" s="409"/>
      <c r="G956" s="409"/>
      <c r="H956" s="409"/>
      <c r="I956" s="409">
        <f t="shared" si="343"/>
        <v>0</v>
      </c>
      <c r="J956" s="409"/>
      <c r="K956" s="409"/>
      <c r="L956" s="409"/>
      <c r="M956" s="409">
        <f t="shared" si="344"/>
        <v>0</v>
      </c>
      <c r="N956" s="409">
        <f t="shared" si="345"/>
        <v>0</v>
      </c>
      <c r="O956" s="409">
        <f t="shared" si="345"/>
        <v>0</v>
      </c>
      <c r="P956" s="409">
        <f t="shared" si="345"/>
        <v>0</v>
      </c>
      <c r="Q956" s="409">
        <f t="shared" si="346"/>
        <v>0</v>
      </c>
      <c r="R956" s="761"/>
      <c r="S956" s="267" t="str">
        <f t="shared" si="354"/>
        <v/>
      </c>
      <c r="T956" s="267" t="str">
        <f t="shared" si="354"/>
        <v/>
      </c>
      <c r="U956" s="267" t="str">
        <f t="shared" si="354"/>
        <v/>
      </c>
      <c r="V956" s="267" t="str">
        <f t="shared" si="353"/>
        <v/>
      </c>
      <c r="W956" s="251"/>
      <c r="X956" s="237" t="s">
        <v>598</v>
      </c>
      <c r="Y956" s="839"/>
      <c r="Z956" s="253"/>
    </row>
    <row r="957" spans="1:26" ht="12" hidden="1" customHeight="1">
      <c r="A957" s="315" t="s">
        <v>648</v>
      </c>
      <c r="B957" s="315" t="s">
        <v>318</v>
      </c>
      <c r="C957" s="447" t="s">
        <v>766</v>
      </c>
      <c r="D957" s="456" t="s">
        <v>98</v>
      </c>
      <c r="E957" s="447" t="s">
        <v>766</v>
      </c>
      <c r="F957" s="103">
        <f>+F919+F934+F945</f>
        <v>0</v>
      </c>
      <c r="G957" s="103">
        <f>+G919+G934+G945</f>
        <v>4999967.57</v>
      </c>
      <c r="H957" s="103">
        <f>+H919+H934+H945</f>
        <v>0</v>
      </c>
      <c r="I957" s="103">
        <f t="shared" si="343"/>
        <v>4999967.57</v>
      </c>
      <c r="J957" s="103">
        <f>+J919+J934+J945</f>
        <v>0</v>
      </c>
      <c r="K957" s="103">
        <f>+K919+K934+K945</f>
        <v>1806178.22</v>
      </c>
      <c r="L957" s="103">
        <f>+L919+L934+L945</f>
        <v>0</v>
      </c>
      <c r="M957" s="103">
        <f t="shared" si="344"/>
        <v>1806178.22</v>
      </c>
      <c r="N957" s="103">
        <f t="shared" si="345"/>
        <v>0</v>
      </c>
      <c r="O957" s="103">
        <f t="shared" si="345"/>
        <v>3193789.3500000006</v>
      </c>
      <c r="P957" s="103">
        <f t="shared" si="345"/>
        <v>0</v>
      </c>
      <c r="Q957" s="103">
        <f t="shared" si="346"/>
        <v>3193789.3500000006</v>
      </c>
      <c r="S957" s="267" t="str">
        <f t="shared" si="354"/>
        <v/>
      </c>
      <c r="T957" s="267">
        <f t="shared" si="354"/>
        <v>0.36123798698958359</v>
      </c>
      <c r="U957" s="267" t="str">
        <f t="shared" si="354"/>
        <v/>
      </c>
      <c r="V957" s="267">
        <f t="shared" si="353"/>
        <v>0.36123798698958359</v>
      </c>
      <c r="W957" s="267"/>
      <c r="X957" s="237" t="s">
        <v>598</v>
      </c>
    </row>
    <row r="958" spans="1:26" ht="12" hidden="1" customHeight="1">
      <c r="A958" s="315" t="s">
        <v>648</v>
      </c>
      <c r="B958" s="315" t="s">
        <v>318</v>
      </c>
      <c r="C958" s="456"/>
      <c r="D958" s="456" t="s">
        <v>98</v>
      </c>
      <c r="E958" s="453" t="s">
        <v>50</v>
      </c>
      <c r="F958" s="103">
        <f>+F959+F960</f>
        <v>0</v>
      </c>
      <c r="G958" s="103">
        <f>+G959+G960</f>
        <v>51409741.159999996</v>
      </c>
      <c r="H958" s="103">
        <f>+H959+H960</f>
        <v>111305126.20999999</v>
      </c>
      <c r="I958" s="103">
        <f t="shared" si="343"/>
        <v>162714867.37</v>
      </c>
      <c r="J958" s="103">
        <f>+J959+J960</f>
        <v>0</v>
      </c>
      <c r="K958" s="103">
        <f>+K959+K960</f>
        <v>51887761.590000004</v>
      </c>
      <c r="L958" s="103">
        <f>+L959+L960</f>
        <v>101697422</v>
      </c>
      <c r="M958" s="103">
        <f t="shared" si="344"/>
        <v>153585183.59</v>
      </c>
      <c r="N958" s="103">
        <f t="shared" si="345"/>
        <v>0</v>
      </c>
      <c r="O958" s="103">
        <f t="shared" si="345"/>
        <v>-478020.43000000715</v>
      </c>
      <c r="P958" s="103">
        <f t="shared" si="345"/>
        <v>9607704.2099999934</v>
      </c>
      <c r="Q958" s="103">
        <f t="shared" si="346"/>
        <v>9129683.7799999863</v>
      </c>
      <c r="S958" s="267" t="str">
        <f t="shared" si="354"/>
        <v/>
      </c>
      <c r="T958" s="267">
        <f t="shared" si="354"/>
        <v>1.0092982461925317</v>
      </c>
      <c r="U958" s="267">
        <f t="shared" si="354"/>
        <v>0.91368138613963668</v>
      </c>
      <c r="V958" s="267">
        <f t="shared" si="353"/>
        <v>0.94389152062398907</v>
      </c>
      <c r="W958" s="267"/>
      <c r="X958" s="237" t="s">
        <v>598</v>
      </c>
    </row>
    <row r="959" spans="1:26" ht="12" hidden="1" customHeight="1">
      <c r="A959" s="315" t="s">
        <v>648</v>
      </c>
      <c r="B959" s="315" t="s">
        <v>318</v>
      </c>
      <c r="C959" s="458" t="s">
        <v>715</v>
      </c>
      <c r="D959" s="458" t="s">
        <v>715</v>
      </c>
      <c r="E959" s="447" t="s">
        <v>715</v>
      </c>
      <c r="F959" s="103">
        <f t="shared" ref="F959:H960" si="364">+F924+F936+F947</f>
        <v>0</v>
      </c>
      <c r="G959" s="103">
        <f t="shared" si="364"/>
        <v>3003001.1700000004</v>
      </c>
      <c r="H959" s="103">
        <f t="shared" si="364"/>
        <v>1701000</v>
      </c>
      <c r="I959" s="103">
        <f t="shared" si="343"/>
        <v>4704001.17</v>
      </c>
      <c r="J959" s="103">
        <f t="shared" ref="J959:L960" si="365">+J924+J936+J947</f>
        <v>0</v>
      </c>
      <c r="K959" s="103">
        <f t="shared" si="365"/>
        <v>5937305.8300000001</v>
      </c>
      <c r="L959" s="103">
        <f t="shared" si="365"/>
        <v>1546196</v>
      </c>
      <c r="M959" s="103">
        <f t="shared" si="344"/>
        <v>7483501.8300000001</v>
      </c>
      <c r="N959" s="103">
        <f t="shared" ref="N959:P1020" si="366">+F959-J959</f>
        <v>0</v>
      </c>
      <c r="O959" s="103">
        <f t="shared" si="366"/>
        <v>-2934304.6599999997</v>
      </c>
      <c r="P959" s="103">
        <f t="shared" si="366"/>
        <v>154804</v>
      </c>
      <c r="Q959" s="103">
        <f t="shared" si="346"/>
        <v>-2779500.6599999997</v>
      </c>
      <c r="S959" s="267" t="str">
        <f t="shared" si="354"/>
        <v/>
      </c>
      <c r="T959" s="267">
        <f t="shared" si="354"/>
        <v>1.9771240482067476</v>
      </c>
      <c r="U959" s="267">
        <f t="shared" si="354"/>
        <v>0.90899235743680185</v>
      </c>
      <c r="V959" s="267">
        <f t="shared" si="353"/>
        <v>1.5908800953805886</v>
      </c>
      <c r="W959" s="267"/>
      <c r="X959" s="237" t="s">
        <v>598</v>
      </c>
    </row>
    <row r="960" spans="1:26" ht="12" hidden="1" customHeight="1">
      <c r="A960" s="315" t="s">
        <v>648</v>
      </c>
      <c r="B960" s="315" t="s">
        <v>318</v>
      </c>
      <c r="C960" s="458" t="s">
        <v>716</v>
      </c>
      <c r="D960" s="458" t="s">
        <v>716</v>
      </c>
      <c r="E960" s="459" t="s">
        <v>716</v>
      </c>
      <c r="F960" s="103">
        <f t="shared" si="364"/>
        <v>0</v>
      </c>
      <c r="G960" s="103">
        <f t="shared" si="364"/>
        <v>48406739.989999995</v>
      </c>
      <c r="H960" s="103">
        <f t="shared" si="364"/>
        <v>109604126.20999999</v>
      </c>
      <c r="I960" s="103">
        <f t="shared" si="343"/>
        <v>158010866.19999999</v>
      </c>
      <c r="J960" s="103">
        <f t="shared" si="365"/>
        <v>0</v>
      </c>
      <c r="K960" s="103">
        <f t="shared" si="365"/>
        <v>45950455.760000005</v>
      </c>
      <c r="L960" s="103">
        <f t="shared" si="365"/>
        <v>100151226</v>
      </c>
      <c r="M960" s="103">
        <f t="shared" si="344"/>
        <v>146101681.75999999</v>
      </c>
      <c r="N960" s="103">
        <f t="shared" si="366"/>
        <v>0</v>
      </c>
      <c r="O960" s="103">
        <f t="shared" si="366"/>
        <v>2456284.2299999893</v>
      </c>
      <c r="P960" s="103">
        <f t="shared" si="366"/>
        <v>9452900.2099999934</v>
      </c>
      <c r="Q960" s="103">
        <f t="shared" si="346"/>
        <v>11909184.439999983</v>
      </c>
      <c r="S960" s="267" t="str">
        <f t="shared" si="354"/>
        <v/>
      </c>
      <c r="T960" s="267">
        <f t="shared" si="354"/>
        <v>0.94925739203864146</v>
      </c>
      <c r="U960" s="267">
        <f t="shared" si="354"/>
        <v>0.91375415746768174</v>
      </c>
      <c r="V960" s="267">
        <f t="shared" si="353"/>
        <v>0.92463059834805206</v>
      </c>
      <c r="W960" s="267"/>
      <c r="X960" s="237" t="s">
        <v>598</v>
      </c>
    </row>
    <row r="961" spans="1:26" s="256" customFormat="1" ht="12" hidden="1" customHeight="1">
      <c r="A961" s="315"/>
      <c r="B961" s="315" t="s">
        <v>318</v>
      </c>
      <c r="C961" s="460"/>
      <c r="D961" s="460"/>
      <c r="E961" s="390" t="s">
        <v>767</v>
      </c>
      <c r="F961" s="391">
        <f>+F958+F957</f>
        <v>0</v>
      </c>
      <c r="G961" s="391">
        <f t="shared" ref="G961:Q961" si="367">+G958+G957</f>
        <v>56409708.729999997</v>
      </c>
      <c r="H961" s="391">
        <f t="shared" si="367"/>
        <v>111305126.20999999</v>
      </c>
      <c r="I961" s="391">
        <f t="shared" si="367"/>
        <v>167714834.94</v>
      </c>
      <c r="J961" s="391">
        <f t="shared" si="367"/>
        <v>0</v>
      </c>
      <c r="K961" s="391">
        <f t="shared" si="367"/>
        <v>53693939.810000002</v>
      </c>
      <c r="L961" s="391">
        <f t="shared" si="367"/>
        <v>101697422</v>
      </c>
      <c r="M961" s="391">
        <f t="shared" si="367"/>
        <v>155391361.81</v>
      </c>
      <c r="N961" s="391">
        <f t="shared" si="367"/>
        <v>0</v>
      </c>
      <c r="O961" s="391">
        <f t="shared" si="367"/>
        <v>2715768.9199999934</v>
      </c>
      <c r="P961" s="391">
        <f t="shared" si="367"/>
        <v>9607704.2099999934</v>
      </c>
      <c r="Q961" s="391">
        <f t="shared" si="367"/>
        <v>12323473.129999988</v>
      </c>
      <c r="R961" s="761"/>
      <c r="S961" s="267" t="str">
        <f t="shared" si="354"/>
        <v/>
      </c>
      <c r="T961" s="267">
        <f t="shared" si="354"/>
        <v>0.95185635627018073</v>
      </c>
      <c r="U961" s="267">
        <f t="shared" si="354"/>
        <v>0.91368138613963668</v>
      </c>
      <c r="V961" s="267">
        <f t="shared" si="353"/>
        <v>0.92652126966342174</v>
      </c>
      <c r="W961" s="263"/>
      <c r="X961" s="237" t="s">
        <v>598</v>
      </c>
      <c r="Y961" s="840"/>
      <c r="Z961" s="241"/>
    </row>
    <row r="962" spans="1:26" ht="12" hidden="1" customHeight="1">
      <c r="A962" s="315"/>
      <c r="B962" s="315"/>
      <c r="C962" s="456"/>
      <c r="D962" s="456"/>
      <c r="E962" s="461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S962" s="267" t="str">
        <f t="shared" si="354"/>
        <v/>
      </c>
      <c r="T962" s="267" t="str">
        <f t="shared" si="354"/>
        <v/>
      </c>
      <c r="U962" s="267" t="str">
        <f t="shared" si="354"/>
        <v/>
      </c>
      <c r="V962" s="267" t="str">
        <f t="shared" si="353"/>
        <v/>
      </c>
      <c r="W962" s="267"/>
      <c r="X962" s="237" t="s">
        <v>598</v>
      </c>
    </row>
    <row r="963" spans="1:26" s="256" customFormat="1" ht="12" hidden="1" customHeight="1">
      <c r="A963" s="315" t="s">
        <v>648</v>
      </c>
      <c r="B963" s="315" t="s">
        <v>318</v>
      </c>
      <c r="C963" s="460"/>
      <c r="D963" s="460" t="s">
        <v>98</v>
      </c>
      <c r="E963" s="390" t="s">
        <v>100</v>
      </c>
      <c r="F963" s="391">
        <f>SUM(F964:F964)</f>
        <v>0</v>
      </c>
      <c r="G963" s="391">
        <f>SUM(G964:G964)</f>
        <v>47624180.460000001</v>
      </c>
      <c r="H963" s="391">
        <f>SUM(H964:H964)</f>
        <v>0</v>
      </c>
      <c r="I963" s="391">
        <f>+F963+G963+H963</f>
        <v>47624180.460000001</v>
      </c>
      <c r="J963" s="391">
        <f>SUM(J964:J964)</f>
        <v>0</v>
      </c>
      <c r="K963" s="391">
        <f>SUM(K964:K964)</f>
        <v>37145716.469999999</v>
      </c>
      <c r="L963" s="391">
        <f>SUM(L964:L964)</f>
        <v>0</v>
      </c>
      <c r="M963" s="391">
        <f>+J963+K963+L963</f>
        <v>37145716.469999999</v>
      </c>
      <c r="N963" s="391">
        <f t="shared" ref="N963:P964" si="368">+F963-J963</f>
        <v>0</v>
      </c>
      <c r="O963" s="391">
        <f t="shared" si="368"/>
        <v>10478463.990000002</v>
      </c>
      <c r="P963" s="391">
        <f t="shared" si="368"/>
        <v>0</v>
      </c>
      <c r="Q963" s="391">
        <f>+N963+O963+P963</f>
        <v>10478463.990000002</v>
      </c>
      <c r="R963" s="761"/>
      <c r="S963" s="267" t="str">
        <f t="shared" si="354"/>
        <v/>
      </c>
      <c r="T963" s="267">
        <f t="shared" si="354"/>
        <v>0.7799759725251133</v>
      </c>
      <c r="U963" s="267" t="str">
        <f t="shared" si="354"/>
        <v/>
      </c>
      <c r="V963" s="267">
        <f t="shared" si="353"/>
        <v>0.7799759725251133</v>
      </c>
      <c r="W963" s="263"/>
      <c r="X963" s="237" t="s">
        <v>598</v>
      </c>
      <c r="Y963" s="840"/>
      <c r="Z963" s="241"/>
    </row>
    <row r="964" spans="1:26" ht="12" hidden="1" customHeight="1">
      <c r="A964" s="315" t="s">
        <v>648</v>
      </c>
      <c r="B964" s="315" t="s">
        <v>318</v>
      </c>
      <c r="C964" s="456"/>
      <c r="D964" s="456"/>
      <c r="E964" s="462" t="s">
        <v>290</v>
      </c>
      <c r="F964" s="103">
        <f>+F929+F941+F952</f>
        <v>0</v>
      </c>
      <c r="G964" s="103">
        <f>+G929+G941+G952</f>
        <v>47624180.460000001</v>
      </c>
      <c r="H964" s="103">
        <f>+H929+H941+H952</f>
        <v>0</v>
      </c>
      <c r="I964" s="103">
        <f>+F964+G964+H964</f>
        <v>47624180.460000001</v>
      </c>
      <c r="J964" s="103">
        <f>+J929+J941+J952</f>
        <v>0</v>
      </c>
      <c r="K964" s="103">
        <f>+K929+K941+K952</f>
        <v>37145716.469999999</v>
      </c>
      <c r="L964" s="103">
        <f>+L929+L941+L952</f>
        <v>0</v>
      </c>
      <c r="M964" s="103">
        <f>+J964+K964+L964</f>
        <v>37145716.469999999</v>
      </c>
      <c r="N964" s="103">
        <f t="shared" si="368"/>
        <v>0</v>
      </c>
      <c r="O964" s="103">
        <f t="shared" si="368"/>
        <v>10478463.990000002</v>
      </c>
      <c r="P964" s="103">
        <f t="shared" si="368"/>
        <v>0</v>
      </c>
      <c r="Q964" s="103">
        <f>+N964+O964+P964</f>
        <v>10478463.990000002</v>
      </c>
      <c r="S964" s="267" t="str">
        <f t="shared" si="354"/>
        <v/>
      </c>
      <c r="T964" s="267">
        <f t="shared" si="354"/>
        <v>0.7799759725251133</v>
      </c>
      <c r="U964" s="267" t="str">
        <f t="shared" si="354"/>
        <v/>
      </c>
      <c r="V964" s="267">
        <f t="shared" si="353"/>
        <v>0.7799759725251133</v>
      </c>
      <c r="W964" s="267"/>
      <c r="X964" s="237" t="s">
        <v>598</v>
      </c>
    </row>
    <row r="965" spans="1:26" s="266" customFormat="1" ht="14.25" customHeight="1">
      <c r="A965" s="315" t="s">
        <v>648</v>
      </c>
      <c r="B965" s="315" t="s">
        <v>318</v>
      </c>
      <c r="C965" s="1470" t="s">
        <v>650</v>
      </c>
      <c r="D965" s="1471"/>
      <c r="E965" s="1472"/>
      <c r="F965" s="666">
        <f>+F963+F961</f>
        <v>0</v>
      </c>
      <c r="G965" s="666">
        <f t="shared" ref="G965:Q965" si="369">+G963+G961</f>
        <v>104033889.19</v>
      </c>
      <c r="H965" s="666">
        <f t="shared" si="369"/>
        <v>111305126.20999999</v>
      </c>
      <c r="I965" s="666">
        <f t="shared" si="369"/>
        <v>215339015.40000001</v>
      </c>
      <c r="J965" s="666">
        <f t="shared" si="369"/>
        <v>0</v>
      </c>
      <c r="K965" s="666">
        <f t="shared" si="369"/>
        <v>90839656.280000001</v>
      </c>
      <c r="L965" s="666">
        <f t="shared" si="369"/>
        <v>101697422</v>
      </c>
      <c r="M965" s="666">
        <f t="shared" si="369"/>
        <v>192537078.28</v>
      </c>
      <c r="N965" s="666">
        <f t="shared" si="369"/>
        <v>0</v>
      </c>
      <c r="O965" s="666">
        <f t="shared" si="369"/>
        <v>13194232.909999996</v>
      </c>
      <c r="P965" s="666">
        <f t="shared" si="369"/>
        <v>9607704.2099999934</v>
      </c>
      <c r="Q965" s="666">
        <f t="shared" si="369"/>
        <v>22801937.11999999</v>
      </c>
      <c r="R965" s="1099">
        <f>+Q965-'[3]chd11-SAOB'!BE351</f>
        <v>0</v>
      </c>
      <c r="S965" s="525" t="str">
        <f t="shared" si="354"/>
        <v/>
      </c>
      <c r="T965" s="525">
        <f t="shared" si="354"/>
        <v>0.87317370317759624</v>
      </c>
      <c r="U965" s="525">
        <f t="shared" si="354"/>
        <v>0.91368138613963668</v>
      </c>
      <c r="V965" s="525">
        <f t="shared" si="353"/>
        <v>0.89411144525925978</v>
      </c>
      <c r="W965" s="345"/>
      <c r="X965" s="237" t="s">
        <v>598</v>
      </c>
      <c r="Y965" s="837" t="s">
        <v>598</v>
      </c>
      <c r="Z965" s="241" t="s">
        <v>598</v>
      </c>
    </row>
    <row r="966" spans="1:26" ht="12" customHeight="1">
      <c r="A966" s="315" t="s">
        <v>648</v>
      </c>
      <c r="B966" s="315" t="s">
        <v>318</v>
      </c>
      <c r="C966" s="456"/>
      <c r="D966" s="474"/>
      <c r="E966" s="411"/>
      <c r="F966" s="104"/>
      <c r="G966" s="104"/>
      <c r="H966" s="104"/>
      <c r="I966" s="103"/>
      <c r="J966" s="104"/>
      <c r="K966" s="104"/>
      <c r="L966" s="104"/>
      <c r="M966" s="103"/>
      <c r="N966" s="103"/>
      <c r="O966" s="103"/>
      <c r="P966" s="103"/>
      <c r="Q966" s="103"/>
      <c r="S966" s="267" t="str">
        <f t="shared" si="354"/>
        <v/>
      </c>
      <c r="T966" s="267" t="str">
        <f t="shared" si="354"/>
        <v/>
      </c>
      <c r="U966" s="267" t="str">
        <f t="shared" si="354"/>
        <v/>
      </c>
      <c r="V966" s="267" t="str">
        <f t="shared" si="353"/>
        <v/>
      </c>
      <c r="W966" s="267"/>
      <c r="Y966" s="837" t="s">
        <v>598</v>
      </c>
      <c r="Z966" s="241" t="s">
        <v>598</v>
      </c>
    </row>
    <row r="967" spans="1:26" ht="11.25" customHeight="1">
      <c r="A967" s="528" t="s">
        <v>652</v>
      </c>
      <c r="B967" s="528" t="s">
        <v>226</v>
      </c>
      <c r="C967" s="408"/>
      <c r="D967" s="682"/>
      <c r="E967" s="408" t="s">
        <v>431</v>
      </c>
      <c r="F967" s="104"/>
      <c r="G967" s="104"/>
      <c r="H967" s="104"/>
      <c r="I967" s="103"/>
      <c r="J967" s="104"/>
      <c r="K967" s="104"/>
      <c r="L967" s="104"/>
      <c r="M967" s="103"/>
      <c r="N967" s="103"/>
      <c r="O967" s="103"/>
      <c r="P967" s="103"/>
      <c r="Q967" s="103"/>
      <c r="S967" s="267" t="str">
        <f t="shared" si="354"/>
        <v/>
      </c>
      <c r="T967" s="267" t="str">
        <f t="shared" si="354"/>
        <v/>
      </c>
      <c r="U967" s="267" t="str">
        <f t="shared" si="354"/>
        <v/>
      </c>
      <c r="V967" s="267" t="str">
        <f t="shared" si="353"/>
        <v/>
      </c>
      <c r="W967" s="531"/>
      <c r="X967" s="236"/>
      <c r="Y967" s="236" t="s">
        <v>598</v>
      </c>
      <c r="Z967" s="240" t="s">
        <v>598</v>
      </c>
    </row>
    <row r="968" spans="1:26" ht="12" customHeight="1">
      <c r="A968" s="548" t="s">
        <v>225</v>
      </c>
      <c r="B968" s="548" t="s">
        <v>226</v>
      </c>
      <c r="C968" s="447" t="s">
        <v>766</v>
      </c>
      <c r="D968" s="775"/>
      <c r="E968" s="447" t="s">
        <v>766</v>
      </c>
      <c r="F968" s="104">
        <f>SUM(F969:F971)</f>
        <v>0</v>
      </c>
      <c r="G968" s="104">
        <f t="shared" ref="G968:Q968" si="370">SUM(G969:G971)</f>
        <v>6648543.8699999992</v>
      </c>
      <c r="H968" s="104">
        <f t="shared" si="370"/>
        <v>0</v>
      </c>
      <c r="I968" s="104">
        <f t="shared" si="370"/>
        <v>6648543.8699999992</v>
      </c>
      <c r="J968" s="104">
        <f t="shared" si="370"/>
        <v>0</v>
      </c>
      <c r="K968" s="104">
        <f t="shared" si="370"/>
        <v>5860510.4199999999</v>
      </c>
      <c r="L968" s="104">
        <f t="shared" si="370"/>
        <v>0</v>
      </c>
      <c r="M968" s="104">
        <f t="shared" si="370"/>
        <v>5860510.4199999999</v>
      </c>
      <c r="N968" s="104">
        <f t="shared" si="370"/>
        <v>0</v>
      </c>
      <c r="O968" s="104">
        <f t="shared" si="370"/>
        <v>788033.44999999972</v>
      </c>
      <c r="P968" s="104">
        <f t="shared" si="370"/>
        <v>0</v>
      </c>
      <c r="Q968" s="104">
        <f t="shared" si="370"/>
        <v>788033.44999999972</v>
      </c>
      <c r="S968" s="267" t="str">
        <f t="shared" si="354"/>
        <v/>
      </c>
      <c r="T968" s="267">
        <f t="shared" si="354"/>
        <v>0.88147277578240613</v>
      </c>
      <c r="U968" s="267" t="str">
        <f t="shared" si="354"/>
        <v/>
      </c>
      <c r="V968" s="267">
        <f t="shared" si="353"/>
        <v>0.88147277578240613</v>
      </c>
      <c r="W968" s="530"/>
      <c r="X968" s="236"/>
      <c r="Y968" s="236" t="s">
        <v>688</v>
      </c>
      <c r="Z968" s="236"/>
    </row>
    <row r="969" spans="1:26" ht="12" hidden="1" customHeight="1">
      <c r="A969" s="548" t="s">
        <v>225</v>
      </c>
      <c r="B969" s="548" t="s">
        <v>226</v>
      </c>
      <c r="C969" s="457" t="s">
        <v>775</v>
      </c>
      <c r="D969" s="549" t="s">
        <v>98</v>
      </c>
      <c r="E969" s="406" t="s">
        <v>775</v>
      </c>
      <c r="F969" s="104">
        <f>+'[3]chd12-SAOB'!C184</f>
        <v>0</v>
      </c>
      <c r="G969" s="104">
        <f>+'[3]chd12-SAOB'!C222</f>
        <v>1080483.8</v>
      </c>
      <c r="H969" s="104">
        <f>+'[3]chd12-SAOB'!C314</f>
        <v>0</v>
      </c>
      <c r="I969" s="103">
        <f t="shared" ref="I969:I1032" si="371">+F969+G969+H969</f>
        <v>1080483.8</v>
      </c>
      <c r="J969" s="104">
        <f>+'[3]chd12-SAOB'!C187</f>
        <v>0</v>
      </c>
      <c r="K969" s="104">
        <f>+'[3]chd12-SAOB'!C223</f>
        <v>1076808.32</v>
      </c>
      <c r="L969" s="104">
        <f>+'[3]chd12-SAOB'!C315</f>
        <v>0</v>
      </c>
      <c r="M969" s="103">
        <f t="shared" ref="M969:M1032" si="372">+J969+K969+L969</f>
        <v>1076808.32</v>
      </c>
      <c r="N969" s="103">
        <f t="shared" si="366"/>
        <v>0</v>
      </c>
      <c r="O969" s="103">
        <f t="shared" si="366"/>
        <v>3675.4799999999814</v>
      </c>
      <c r="P969" s="103">
        <f t="shared" si="366"/>
        <v>0</v>
      </c>
      <c r="Q969" s="103">
        <f t="shared" ref="Q969:Q1032" si="373">+N969+O969+P969</f>
        <v>3675.4799999999814</v>
      </c>
      <c r="S969" s="267" t="str">
        <f t="shared" si="354"/>
        <v/>
      </c>
      <c r="T969" s="267">
        <f t="shared" si="354"/>
        <v>0.99659830161266649</v>
      </c>
      <c r="U969" s="267" t="str">
        <f t="shared" si="354"/>
        <v/>
      </c>
      <c r="V969" s="267">
        <f t="shared" si="353"/>
        <v>0.99659830161266649</v>
      </c>
      <c r="W969" s="530"/>
      <c r="X969" s="236"/>
      <c r="Y969" s="236"/>
      <c r="Z969" s="236"/>
    </row>
    <row r="970" spans="1:26" ht="12" hidden="1" customHeight="1">
      <c r="A970" s="548" t="s">
        <v>225</v>
      </c>
      <c r="B970" s="548" t="s">
        <v>226</v>
      </c>
      <c r="C970" s="456"/>
      <c r="D970" s="549" t="s">
        <v>98</v>
      </c>
      <c r="E970" s="406" t="s">
        <v>776</v>
      </c>
      <c r="F970" s="104">
        <f>+'[3]chd12-SAOB'!D184</f>
        <v>0</v>
      </c>
      <c r="G970" s="104">
        <f>+'[3]chd12-SAOB'!D222</f>
        <v>747016.26</v>
      </c>
      <c r="H970" s="104">
        <f>+'[3]chd12-SAOB'!D314</f>
        <v>0</v>
      </c>
      <c r="I970" s="103">
        <f t="shared" si="371"/>
        <v>747016.26</v>
      </c>
      <c r="J970" s="104">
        <f>+'[3]chd12-SAOB'!D187</f>
        <v>0</v>
      </c>
      <c r="K970" s="104">
        <f>+'[3]chd12-SAOB'!D223</f>
        <v>747016.26</v>
      </c>
      <c r="L970" s="104">
        <f>+'[3]chd12-SAOB'!D315</f>
        <v>0</v>
      </c>
      <c r="M970" s="103">
        <f t="shared" si="372"/>
        <v>747016.26</v>
      </c>
      <c r="N970" s="103">
        <f t="shared" si="366"/>
        <v>0</v>
      </c>
      <c r="O970" s="103">
        <f t="shared" si="366"/>
        <v>0</v>
      </c>
      <c r="P970" s="103">
        <f t="shared" si="366"/>
        <v>0</v>
      </c>
      <c r="Q970" s="103">
        <f t="shared" si="373"/>
        <v>0</v>
      </c>
      <c r="S970" s="267" t="str">
        <f t="shared" si="354"/>
        <v/>
      </c>
      <c r="T970" s="267">
        <f t="shared" si="354"/>
        <v>1</v>
      </c>
      <c r="U970" s="267" t="str">
        <f t="shared" si="354"/>
        <v/>
      </c>
      <c r="V970" s="267">
        <f t="shared" si="353"/>
        <v>1</v>
      </c>
      <c r="W970" s="530"/>
      <c r="X970" s="236"/>
      <c r="Y970" s="236"/>
      <c r="Z970" s="236"/>
    </row>
    <row r="971" spans="1:26" ht="12" hidden="1" customHeight="1">
      <c r="A971" s="548" t="s">
        <v>225</v>
      </c>
      <c r="B971" s="548" t="s">
        <v>226</v>
      </c>
      <c r="C971" s="456"/>
      <c r="D971" s="549" t="s">
        <v>98</v>
      </c>
      <c r="E971" s="406" t="s">
        <v>777</v>
      </c>
      <c r="F971" s="104">
        <f>+'[3]chd12-SAOB'!E184</f>
        <v>0</v>
      </c>
      <c r="G971" s="104">
        <f>+'[3]chd12-SAOB'!E222</f>
        <v>4821043.8099999996</v>
      </c>
      <c r="H971" s="104">
        <f>+'[3]chd12-SAOB'!E314</f>
        <v>0</v>
      </c>
      <c r="I971" s="103">
        <f t="shared" si="371"/>
        <v>4821043.8099999996</v>
      </c>
      <c r="J971" s="104">
        <f>+'[3]chd12-SAOB'!E187</f>
        <v>0</v>
      </c>
      <c r="K971" s="104">
        <f>+'[3]chd12-SAOB'!E223</f>
        <v>4036685.84</v>
      </c>
      <c r="L971" s="104">
        <f>+'[3]chd12-SAOB'!E315</f>
        <v>0</v>
      </c>
      <c r="M971" s="103">
        <f t="shared" si="372"/>
        <v>4036685.84</v>
      </c>
      <c r="N971" s="103">
        <f t="shared" si="366"/>
        <v>0</v>
      </c>
      <c r="O971" s="103">
        <f t="shared" si="366"/>
        <v>784357.96999999974</v>
      </c>
      <c r="P971" s="103">
        <f t="shared" si="366"/>
        <v>0</v>
      </c>
      <c r="Q971" s="103">
        <f t="shared" si="373"/>
        <v>784357.96999999974</v>
      </c>
      <c r="S971" s="267" t="str">
        <f t="shared" si="354"/>
        <v/>
      </c>
      <c r="T971" s="267">
        <f t="shared" si="354"/>
        <v>0.83730536354532736</v>
      </c>
      <c r="U971" s="267" t="str">
        <f t="shared" si="354"/>
        <v/>
      </c>
      <c r="V971" s="267">
        <f t="shared" si="353"/>
        <v>0.83730536354532736</v>
      </c>
      <c r="W971" s="530"/>
      <c r="X971" s="236"/>
      <c r="Y971" s="236"/>
      <c r="Z971" s="236"/>
    </row>
    <row r="972" spans="1:26" ht="12" customHeight="1">
      <c r="A972" s="548" t="s">
        <v>225</v>
      </c>
      <c r="B972" s="548" t="s">
        <v>226</v>
      </c>
      <c r="C972" s="456"/>
      <c r="D972" s="775"/>
      <c r="E972" s="453" t="s">
        <v>50</v>
      </c>
      <c r="F972" s="103">
        <f>+F973+F974</f>
        <v>0</v>
      </c>
      <c r="G972" s="103">
        <f>+G973+G974</f>
        <v>23610838.32</v>
      </c>
      <c r="H972" s="103">
        <f>+H973+H974</f>
        <v>188462</v>
      </c>
      <c r="I972" s="103">
        <f t="shared" si="371"/>
        <v>23799300.32</v>
      </c>
      <c r="J972" s="103">
        <f>+J973+J974</f>
        <v>0</v>
      </c>
      <c r="K972" s="103">
        <f>+K973+K974</f>
        <v>23002287.350000001</v>
      </c>
      <c r="L972" s="103">
        <f>+L973+L974</f>
        <v>187980</v>
      </c>
      <c r="M972" s="103">
        <f t="shared" si="372"/>
        <v>23190267.350000001</v>
      </c>
      <c r="N972" s="103">
        <f t="shared" si="366"/>
        <v>0</v>
      </c>
      <c r="O972" s="103">
        <f t="shared" si="366"/>
        <v>608550.96999999881</v>
      </c>
      <c r="P972" s="103">
        <f t="shared" si="366"/>
        <v>482</v>
      </c>
      <c r="Q972" s="103">
        <f t="shared" si="373"/>
        <v>609032.96999999881</v>
      </c>
      <c r="S972" s="267" t="str">
        <f t="shared" si="354"/>
        <v/>
      </c>
      <c r="T972" s="267">
        <f t="shared" si="354"/>
        <v>0.97422577878208949</v>
      </c>
      <c r="U972" s="267">
        <f t="shared" si="354"/>
        <v>0.99744245524296671</v>
      </c>
      <c r="V972" s="267">
        <f t="shared" si="353"/>
        <v>0.97440962709781043</v>
      </c>
      <c r="W972" s="530"/>
      <c r="X972" s="236"/>
      <c r="Y972" s="236" t="s">
        <v>688</v>
      </c>
      <c r="Z972" s="236"/>
    </row>
    <row r="973" spans="1:26" ht="12" hidden="1" customHeight="1">
      <c r="A973" s="548" t="s">
        <v>225</v>
      </c>
      <c r="B973" s="548" t="s">
        <v>226</v>
      </c>
      <c r="C973" s="458" t="s">
        <v>715</v>
      </c>
      <c r="D973" s="550" t="s">
        <v>715</v>
      </c>
      <c r="E973" s="447" t="s">
        <v>715</v>
      </c>
      <c r="F973" s="104">
        <f>'[3]CONAP - W INC'!F736</f>
        <v>0</v>
      </c>
      <c r="G973" s="104">
        <f>'[3]CONAP - W INC'!G736</f>
        <v>-4809202.29</v>
      </c>
      <c r="H973" s="104">
        <f>'[3]CONAP - W INC'!H736</f>
        <v>0</v>
      </c>
      <c r="I973" s="103">
        <f t="shared" si="371"/>
        <v>-4809202.29</v>
      </c>
      <c r="J973" s="104">
        <f>'[3]CONAP - W INC'!J736</f>
        <v>0</v>
      </c>
      <c r="K973" s="104">
        <f>'[3]CONAP - W INC'!K736</f>
        <v>415577.25</v>
      </c>
      <c r="L973" s="104">
        <f>'[3]CONAP - W INC'!L736</f>
        <v>0</v>
      </c>
      <c r="M973" s="103">
        <f t="shared" si="372"/>
        <v>415577.25</v>
      </c>
      <c r="N973" s="103">
        <f t="shared" si="366"/>
        <v>0</v>
      </c>
      <c r="O973" s="103">
        <f t="shared" si="366"/>
        <v>-5224779.54</v>
      </c>
      <c r="P973" s="103">
        <f t="shared" si="366"/>
        <v>0</v>
      </c>
      <c r="Q973" s="103">
        <f t="shared" si="373"/>
        <v>-5224779.54</v>
      </c>
      <c r="S973" s="267" t="str">
        <f t="shared" si="354"/>
        <v/>
      </c>
      <c r="T973" s="267">
        <f t="shared" si="354"/>
        <v>-8.641292774565322E-2</v>
      </c>
      <c r="U973" s="267" t="str">
        <f t="shared" si="354"/>
        <v/>
      </c>
      <c r="V973" s="267">
        <f t="shared" si="353"/>
        <v>-8.641292774565322E-2</v>
      </c>
      <c r="W973" s="530"/>
      <c r="X973" s="236"/>
      <c r="Y973" s="236"/>
      <c r="Z973" s="236"/>
    </row>
    <row r="974" spans="1:26" ht="12" hidden="1" customHeight="1">
      <c r="A974" s="548" t="s">
        <v>225</v>
      </c>
      <c r="B974" s="548" t="s">
        <v>226</v>
      </c>
      <c r="C974" s="458" t="s">
        <v>716</v>
      </c>
      <c r="D974" s="550" t="s">
        <v>716</v>
      </c>
      <c r="E974" s="459" t="s">
        <v>716</v>
      </c>
      <c r="F974" s="104">
        <f>'[3]CONAP - W INC'!F737</f>
        <v>0</v>
      </c>
      <c r="G974" s="104">
        <f>'[3]CONAP - W INC'!G737</f>
        <v>28420040.609999999</v>
      </c>
      <c r="H974" s="104">
        <f>'[3]CONAP - W INC'!H737</f>
        <v>188462</v>
      </c>
      <c r="I974" s="103">
        <f t="shared" si="371"/>
        <v>28608502.609999999</v>
      </c>
      <c r="J974" s="104">
        <f>'[3]CONAP - W INC'!J737</f>
        <v>0</v>
      </c>
      <c r="K974" s="104">
        <f>'[3]CONAP - W INC'!K737</f>
        <v>22586710.100000001</v>
      </c>
      <c r="L974" s="104">
        <f>'[3]CONAP - W INC'!L737</f>
        <v>187980</v>
      </c>
      <c r="M974" s="103">
        <f t="shared" si="372"/>
        <v>22774690.100000001</v>
      </c>
      <c r="N974" s="103">
        <f t="shared" si="366"/>
        <v>0</v>
      </c>
      <c r="O974" s="103">
        <f t="shared" si="366"/>
        <v>5833330.5099999979</v>
      </c>
      <c r="P974" s="103">
        <f t="shared" si="366"/>
        <v>482</v>
      </c>
      <c r="Q974" s="103">
        <f t="shared" si="373"/>
        <v>5833812.5099999979</v>
      </c>
      <c r="S974" s="267" t="str">
        <f t="shared" si="354"/>
        <v/>
      </c>
      <c r="T974" s="267">
        <f t="shared" si="354"/>
        <v>0.79474587703623978</v>
      </c>
      <c r="U974" s="267">
        <f t="shared" si="354"/>
        <v>0.99744245524296671</v>
      </c>
      <c r="V974" s="267">
        <f t="shared" si="353"/>
        <v>0.79608116546579377</v>
      </c>
      <c r="W974" s="530"/>
      <c r="X974" s="236"/>
      <c r="Y974" s="236"/>
      <c r="Z974" s="236"/>
    </row>
    <row r="975" spans="1:26" s="256" customFormat="1" ht="12" hidden="1" customHeight="1">
      <c r="A975" s="548"/>
      <c r="B975" s="548" t="s">
        <v>226</v>
      </c>
      <c r="C975" s="460"/>
      <c r="D975" s="551"/>
      <c r="E975" s="390" t="s">
        <v>767</v>
      </c>
      <c r="F975" s="391">
        <f>+F972+F968</f>
        <v>0</v>
      </c>
      <c r="G975" s="391">
        <f t="shared" ref="G975:Q975" si="374">+G972+G968</f>
        <v>30259382.189999998</v>
      </c>
      <c r="H975" s="391">
        <f t="shared" si="374"/>
        <v>188462</v>
      </c>
      <c r="I975" s="391">
        <f t="shared" si="374"/>
        <v>30447844.189999998</v>
      </c>
      <c r="J975" s="391">
        <f t="shared" si="374"/>
        <v>0</v>
      </c>
      <c r="K975" s="391">
        <f t="shared" si="374"/>
        <v>28862797.770000003</v>
      </c>
      <c r="L975" s="391">
        <f t="shared" si="374"/>
        <v>187980</v>
      </c>
      <c r="M975" s="391">
        <f t="shared" si="374"/>
        <v>29050777.770000003</v>
      </c>
      <c r="N975" s="391">
        <f t="shared" si="374"/>
        <v>0</v>
      </c>
      <c r="O975" s="391">
        <f t="shared" si="374"/>
        <v>1396584.4199999985</v>
      </c>
      <c r="P975" s="391">
        <f t="shared" si="374"/>
        <v>482</v>
      </c>
      <c r="Q975" s="391">
        <f t="shared" si="374"/>
        <v>1397066.4199999985</v>
      </c>
      <c r="R975" s="761"/>
      <c r="S975" s="267" t="str">
        <f t="shared" si="354"/>
        <v/>
      </c>
      <c r="T975" s="267">
        <f t="shared" si="354"/>
        <v>0.95384623482294584</v>
      </c>
      <c r="U975" s="267">
        <f t="shared" si="354"/>
        <v>0.99744245524296671</v>
      </c>
      <c r="V975" s="267">
        <f t="shared" si="353"/>
        <v>0.95411608088631661</v>
      </c>
      <c r="W975" s="532"/>
      <c r="Y975" s="236"/>
      <c r="Z975" s="240" t="s">
        <v>598</v>
      </c>
    </row>
    <row r="976" spans="1:26" ht="12" hidden="1" customHeight="1">
      <c r="A976" s="548"/>
      <c r="B976" s="548"/>
      <c r="C976" s="456"/>
      <c r="D976" s="549"/>
      <c r="E976" s="461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S976" s="267" t="str">
        <f t="shared" si="354"/>
        <v/>
      </c>
      <c r="T976" s="267" t="str">
        <f t="shared" si="354"/>
        <v/>
      </c>
      <c r="U976" s="267" t="str">
        <f t="shared" si="354"/>
        <v/>
      </c>
      <c r="V976" s="267" t="str">
        <f t="shared" si="353"/>
        <v/>
      </c>
      <c r="W976" s="530"/>
      <c r="X976" s="236"/>
      <c r="Y976" s="236"/>
      <c r="Z976" s="236"/>
    </row>
    <row r="977" spans="1:26" s="256" customFormat="1" ht="12" hidden="1" customHeight="1">
      <c r="A977" s="548" t="s">
        <v>225</v>
      </c>
      <c r="B977" s="548" t="s">
        <v>226</v>
      </c>
      <c r="C977" s="460"/>
      <c r="D977" s="551" t="s">
        <v>98</v>
      </c>
      <c r="E977" s="390" t="s">
        <v>100</v>
      </c>
      <c r="F977" s="391">
        <f>SUM(F978:F978)</f>
        <v>0</v>
      </c>
      <c r="G977" s="391">
        <f>SUM(G978:G978)</f>
        <v>0</v>
      </c>
      <c r="H977" s="391">
        <f>SUM(H978:H978)</f>
        <v>0</v>
      </c>
      <c r="I977" s="391">
        <f>+F977+G977+H977</f>
        <v>0</v>
      </c>
      <c r="J977" s="391">
        <f>SUM(J978:J978)</f>
        <v>0</v>
      </c>
      <c r="K977" s="391">
        <f>SUM(K978:K978)</f>
        <v>0</v>
      </c>
      <c r="L977" s="391">
        <f>SUM(L978:L978)</f>
        <v>0</v>
      </c>
      <c r="M977" s="391">
        <f>+J977+K977+L977</f>
        <v>0</v>
      </c>
      <c r="N977" s="391">
        <f t="shared" ref="N977:P978" si="375">+F977-J977</f>
        <v>0</v>
      </c>
      <c r="O977" s="391">
        <f t="shared" si="375"/>
        <v>0</v>
      </c>
      <c r="P977" s="391">
        <f t="shared" si="375"/>
        <v>0</v>
      </c>
      <c r="Q977" s="391">
        <f>+N977+O977+P977</f>
        <v>0</v>
      </c>
      <c r="R977" s="761"/>
      <c r="S977" s="267" t="str">
        <f t="shared" si="354"/>
        <v/>
      </c>
      <c r="T977" s="267" t="str">
        <f t="shared" si="354"/>
        <v/>
      </c>
      <c r="U977" s="267" t="str">
        <f t="shared" si="354"/>
        <v/>
      </c>
      <c r="V977" s="267" t="str">
        <f t="shared" si="353"/>
        <v/>
      </c>
      <c r="W977" s="532"/>
      <c r="Y977" s="236"/>
      <c r="Z977" s="240" t="s">
        <v>598</v>
      </c>
    </row>
    <row r="978" spans="1:26" ht="12" hidden="1" customHeight="1">
      <c r="A978" s="548" t="s">
        <v>225</v>
      </c>
      <c r="B978" s="548" t="s">
        <v>226</v>
      </c>
      <c r="C978" s="456"/>
      <c r="D978" s="549"/>
      <c r="E978" s="462" t="s">
        <v>290</v>
      </c>
      <c r="F978" s="103">
        <v>0</v>
      </c>
      <c r="G978" s="103">
        <f>SUM('[3]chd12-SAOB'!AH222)</f>
        <v>0</v>
      </c>
      <c r="H978" s="103">
        <f>SUM('[3]chd12-SAOB'!AH314)</f>
        <v>0</v>
      </c>
      <c r="I978" s="103">
        <f>+F978+G978+H978</f>
        <v>0</v>
      </c>
      <c r="J978" s="103">
        <v>0</v>
      </c>
      <c r="K978" s="103">
        <f>SUM('[3]chd12-SAOB'!AH223)</f>
        <v>0</v>
      </c>
      <c r="L978" s="103">
        <f>SUM('[3]chd12-SAOB'!AH315)</f>
        <v>0</v>
      </c>
      <c r="M978" s="103">
        <f>+J978+K978+L978</f>
        <v>0</v>
      </c>
      <c r="N978" s="103">
        <f t="shared" si="375"/>
        <v>0</v>
      </c>
      <c r="O978" s="103">
        <f t="shared" si="375"/>
        <v>0</v>
      </c>
      <c r="P978" s="103">
        <f t="shared" si="375"/>
        <v>0</v>
      </c>
      <c r="Q978" s="103">
        <f>+N978+O978+P978</f>
        <v>0</v>
      </c>
      <c r="S978" s="267" t="str">
        <f t="shared" si="354"/>
        <v/>
      </c>
      <c r="T978" s="267" t="str">
        <f t="shared" si="354"/>
        <v/>
      </c>
      <c r="U978" s="267" t="str">
        <f t="shared" si="354"/>
        <v/>
      </c>
      <c r="V978" s="267" t="str">
        <f t="shared" si="353"/>
        <v/>
      </c>
      <c r="W978" s="530"/>
      <c r="X978" s="236"/>
      <c r="Y978" s="236"/>
      <c r="Z978" s="236"/>
    </row>
    <row r="979" spans="1:26" s="259" customFormat="1" ht="12" customHeight="1">
      <c r="A979" s="315" t="s">
        <v>225</v>
      </c>
      <c r="B979" s="315" t="s">
        <v>226</v>
      </c>
      <c r="C979" s="1477" t="s">
        <v>433</v>
      </c>
      <c r="D979" s="1478"/>
      <c r="E979" s="1479"/>
      <c r="F979" s="652">
        <f>+F975+F977</f>
        <v>0</v>
      </c>
      <c r="G979" s="652">
        <f t="shared" ref="G979:Q979" si="376">+G975+G977</f>
        <v>30259382.189999998</v>
      </c>
      <c r="H979" s="652">
        <f t="shared" si="376"/>
        <v>188462</v>
      </c>
      <c r="I979" s="652">
        <f t="shared" si="376"/>
        <v>30447844.189999998</v>
      </c>
      <c r="J979" s="652">
        <f t="shared" si="376"/>
        <v>0</v>
      </c>
      <c r="K979" s="652">
        <f t="shared" si="376"/>
        <v>28862797.770000003</v>
      </c>
      <c r="L979" s="652">
        <f t="shared" si="376"/>
        <v>187980</v>
      </c>
      <c r="M979" s="652">
        <f t="shared" si="376"/>
        <v>29050777.770000003</v>
      </c>
      <c r="N979" s="652">
        <f t="shared" si="376"/>
        <v>0</v>
      </c>
      <c r="O979" s="652">
        <f t="shared" si="376"/>
        <v>1396584.4199999985</v>
      </c>
      <c r="P979" s="652">
        <f t="shared" si="376"/>
        <v>482</v>
      </c>
      <c r="Q979" s="652">
        <f t="shared" si="376"/>
        <v>1397066.4199999985</v>
      </c>
      <c r="R979" s="1095">
        <f>+Q979-'[3]chd12-SAOB'!BB351</f>
        <v>0</v>
      </c>
      <c r="S979" s="524" t="str">
        <f t="shared" si="354"/>
        <v/>
      </c>
      <c r="T979" s="524">
        <f t="shared" si="354"/>
        <v>0.95384623482294584</v>
      </c>
      <c r="U979" s="524">
        <f t="shared" si="354"/>
        <v>0.99744245524296671</v>
      </c>
      <c r="V979" s="524">
        <f t="shared" si="353"/>
        <v>0.95411608088631661</v>
      </c>
      <c r="W979" s="344"/>
      <c r="X979" s="520"/>
      <c r="Y979" s="837" t="s">
        <v>598</v>
      </c>
      <c r="Z979" s="241" t="s">
        <v>598</v>
      </c>
    </row>
    <row r="980" spans="1:26" ht="12" customHeight="1">
      <c r="A980" s="315" t="s">
        <v>101</v>
      </c>
      <c r="B980" s="315" t="s">
        <v>226</v>
      </c>
      <c r="C980" s="456"/>
      <c r="D980" s="456"/>
      <c r="E980" s="46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S980" s="267" t="str">
        <f t="shared" si="354"/>
        <v/>
      </c>
      <c r="T980" s="267" t="str">
        <f t="shared" si="354"/>
        <v/>
      </c>
      <c r="U980" s="267" t="str">
        <f t="shared" si="354"/>
        <v/>
      </c>
      <c r="V980" s="267" t="str">
        <f t="shared" si="353"/>
        <v/>
      </c>
      <c r="W980" s="267"/>
      <c r="Y980" s="837" t="s">
        <v>598</v>
      </c>
      <c r="Z980" s="241" t="s">
        <v>598</v>
      </c>
    </row>
    <row r="981" spans="1:26" ht="12" customHeight="1">
      <c r="A981" s="315" t="s">
        <v>227</v>
      </c>
      <c r="B981" s="315" t="s">
        <v>319</v>
      </c>
      <c r="C981" s="1100" t="s">
        <v>432</v>
      </c>
      <c r="D981" s="456"/>
      <c r="E981" s="463"/>
      <c r="F981" s="104"/>
      <c r="G981" s="104"/>
      <c r="H981" s="104"/>
      <c r="I981" s="103">
        <f t="shared" si="371"/>
        <v>0</v>
      </c>
      <c r="J981" s="104"/>
      <c r="K981" s="104"/>
      <c r="L981" s="104"/>
      <c r="M981" s="103">
        <f t="shared" si="372"/>
        <v>0</v>
      </c>
      <c r="N981" s="103">
        <f t="shared" si="366"/>
        <v>0</v>
      </c>
      <c r="O981" s="103">
        <f t="shared" si="366"/>
        <v>0</v>
      </c>
      <c r="P981" s="103">
        <f t="shared" si="366"/>
        <v>0</v>
      </c>
      <c r="Q981" s="103">
        <f t="shared" si="373"/>
        <v>0</v>
      </c>
      <c r="S981" s="267" t="str">
        <f t="shared" si="354"/>
        <v/>
      </c>
      <c r="T981" s="267" t="str">
        <f t="shared" si="354"/>
        <v/>
      </c>
      <c r="U981" s="267" t="str">
        <f t="shared" si="354"/>
        <v/>
      </c>
      <c r="V981" s="267" t="str">
        <f t="shared" si="353"/>
        <v/>
      </c>
      <c r="W981" s="267"/>
      <c r="Y981" s="837" t="s">
        <v>598</v>
      </c>
      <c r="Z981" s="241" t="s">
        <v>598</v>
      </c>
    </row>
    <row r="982" spans="1:26" s="275" customFormat="1" ht="11.25" customHeight="1">
      <c r="A982" s="548" t="s">
        <v>227</v>
      </c>
      <c r="B982" s="548" t="s">
        <v>228</v>
      </c>
      <c r="C982" s="464" t="s">
        <v>98</v>
      </c>
      <c r="D982" s="552" t="s">
        <v>105</v>
      </c>
      <c r="E982" s="407" t="s">
        <v>844</v>
      </c>
      <c r="F982" s="468"/>
      <c r="G982" s="468"/>
      <c r="H982" s="468"/>
      <c r="I982" s="409">
        <f t="shared" si="371"/>
        <v>0</v>
      </c>
      <c r="J982" s="468"/>
      <c r="K982" s="468"/>
      <c r="L982" s="468"/>
      <c r="M982" s="409">
        <f t="shared" si="372"/>
        <v>0</v>
      </c>
      <c r="N982" s="409">
        <f t="shared" si="366"/>
        <v>0</v>
      </c>
      <c r="O982" s="409">
        <f t="shared" si="366"/>
        <v>0</v>
      </c>
      <c r="P982" s="409">
        <f t="shared" si="366"/>
        <v>0</v>
      </c>
      <c r="Q982" s="409">
        <f t="shared" si="373"/>
        <v>0</v>
      </c>
      <c r="R982" s="761"/>
      <c r="S982" s="267" t="str">
        <f t="shared" si="354"/>
        <v/>
      </c>
      <c r="T982" s="267" t="str">
        <f t="shared" si="354"/>
        <v/>
      </c>
      <c r="U982" s="267" t="str">
        <f t="shared" si="354"/>
        <v/>
      </c>
      <c r="V982" s="267" t="str">
        <f t="shared" si="353"/>
        <v/>
      </c>
      <c r="W982" s="553"/>
      <c r="Y982" s="236" t="s">
        <v>598</v>
      </c>
      <c r="Z982" s="240" t="s">
        <v>598</v>
      </c>
    </row>
    <row r="983" spans="1:26" ht="12" customHeight="1">
      <c r="A983" s="548" t="s">
        <v>227</v>
      </c>
      <c r="B983" s="548" t="s">
        <v>228</v>
      </c>
      <c r="C983" s="447" t="s">
        <v>766</v>
      </c>
      <c r="D983" s="775"/>
      <c r="E983" s="447" t="s">
        <v>766</v>
      </c>
      <c r="F983" s="104">
        <f>+'[3]chd12-SAOB'!C432</f>
        <v>0</v>
      </c>
      <c r="G983" s="104">
        <f>+'[3]chd12-SAOB'!D432</f>
        <v>738534.55</v>
      </c>
      <c r="H983" s="104">
        <f>+'[3]chd12-SAOB'!E432</f>
        <v>0</v>
      </c>
      <c r="I983" s="103">
        <f t="shared" si="371"/>
        <v>738534.55</v>
      </c>
      <c r="J983" s="104">
        <f>+'[3]chd12-SAOB'!G432</f>
        <v>0</v>
      </c>
      <c r="K983" s="104">
        <f>+'[3]chd12-SAOB'!H432</f>
        <v>688405</v>
      </c>
      <c r="L983" s="104">
        <f>+'[3]chd12-SAOB'!I432</f>
        <v>0</v>
      </c>
      <c r="M983" s="103">
        <f t="shared" si="372"/>
        <v>688405</v>
      </c>
      <c r="N983" s="103">
        <f t="shared" si="366"/>
        <v>0</v>
      </c>
      <c r="O983" s="103">
        <f t="shared" si="366"/>
        <v>50129.550000000047</v>
      </c>
      <c r="P983" s="103">
        <f t="shared" si="366"/>
        <v>0</v>
      </c>
      <c r="Q983" s="103">
        <f t="shared" si="373"/>
        <v>50129.550000000047</v>
      </c>
      <c r="S983" s="267" t="str">
        <f t="shared" si="354"/>
        <v/>
      </c>
      <c r="T983" s="267">
        <f t="shared" si="354"/>
        <v>0.93212294536525064</v>
      </c>
      <c r="U983" s="267" t="str">
        <f t="shared" si="354"/>
        <v/>
      </c>
      <c r="V983" s="267">
        <f t="shared" si="354"/>
        <v>0.93212294536525064</v>
      </c>
      <c r="W983" s="530"/>
      <c r="X983" s="236"/>
      <c r="Y983" s="236" t="s">
        <v>688</v>
      </c>
      <c r="Z983" s="236"/>
    </row>
    <row r="984" spans="1:26" ht="12" customHeight="1">
      <c r="A984" s="548" t="s">
        <v>227</v>
      </c>
      <c r="B984" s="548" t="s">
        <v>228</v>
      </c>
      <c r="C984" s="456"/>
      <c r="D984" s="775"/>
      <c r="E984" s="453" t="s">
        <v>50</v>
      </c>
      <c r="F984" s="103">
        <f>+F985+F986</f>
        <v>0</v>
      </c>
      <c r="G984" s="103">
        <f>+G985+G986</f>
        <v>500000</v>
      </c>
      <c r="H984" s="103">
        <f>+H985+H986</f>
        <v>0</v>
      </c>
      <c r="I984" s="103">
        <f t="shared" si="371"/>
        <v>500000</v>
      </c>
      <c r="J984" s="103">
        <f>+J985+J986</f>
        <v>0</v>
      </c>
      <c r="K984" s="103">
        <f>+K985+K986</f>
        <v>500000</v>
      </c>
      <c r="L984" s="103">
        <f>+L985+L986</f>
        <v>0</v>
      </c>
      <c r="M984" s="103">
        <f t="shared" si="372"/>
        <v>500000</v>
      </c>
      <c r="N984" s="103">
        <f t="shared" si="366"/>
        <v>0</v>
      </c>
      <c r="O984" s="103">
        <f t="shared" si="366"/>
        <v>0</v>
      </c>
      <c r="P984" s="103">
        <f t="shared" si="366"/>
        <v>0</v>
      </c>
      <c r="Q984" s="103">
        <f t="shared" si="373"/>
        <v>0</v>
      </c>
      <c r="S984" s="267" t="str">
        <f t="shared" ref="S984:V1047" si="377">IF(F984=0,"",J984/F984)</f>
        <v/>
      </c>
      <c r="T984" s="267">
        <f t="shared" si="377"/>
        <v>1</v>
      </c>
      <c r="U984" s="267" t="str">
        <f t="shared" si="377"/>
        <v/>
      </c>
      <c r="V984" s="267">
        <f t="shared" si="377"/>
        <v>1</v>
      </c>
      <c r="W984" s="530"/>
      <c r="X984" s="236"/>
      <c r="Y984" s="236" t="s">
        <v>688</v>
      </c>
      <c r="Z984" s="236"/>
    </row>
    <row r="985" spans="1:26" ht="12" hidden="1" customHeight="1">
      <c r="A985" s="548" t="s">
        <v>227</v>
      </c>
      <c r="B985" s="548" t="s">
        <v>228</v>
      </c>
      <c r="C985" s="458" t="s">
        <v>715</v>
      </c>
      <c r="D985" s="550" t="s">
        <v>715</v>
      </c>
      <c r="E985" s="447" t="s">
        <v>715</v>
      </c>
      <c r="F985" s="104">
        <f>'[3]CONAP - W INC'!F745</f>
        <v>0</v>
      </c>
      <c r="G985" s="104">
        <f>'[3]CONAP - W INC'!G745</f>
        <v>481100</v>
      </c>
      <c r="H985" s="104">
        <f>'[3]CONAP - W INC'!H745</f>
        <v>0</v>
      </c>
      <c r="I985" s="103">
        <f t="shared" si="371"/>
        <v>481100</v>
      </c>
      <c r="J985" s="104">
        <f>'[3]CONAP - W INC'!J745</f>
        <v>0</v>
      </c>
      <c r="K985" s="104">
        <f>'[3]CONAP - W INC'!K745</f>
        <v>500000</v>
      </c>
      <c r="L985" s="104">
        <f>'[3]CONAP - W INC'!L745</f>
        <v>0</v>
      </c>
      <c r="M985" s="103">
        <f t="shared" si="372"/>
        <v>500000</v>
      </c>
      <c r="N985" s="103">
        <f t="shared" si="366"/>
        <v>0</v>
      </c>
      <c r="O985" s="103">
        <f t="shared" si="366"/>
        <v>-18900</v>
      </c>
      <c r="P985" s="103">
        <f t="shared" si="366"/>
        <v>0</v>
      </c>
      <c r="Q985" s="103">
        <f t="shared" si="373"/>
        <v>-18900</v>
      </c>
      <c r="S985" s="267" t="str">
        <f t="shared" si="377"/>
        <v/>
      </c>
      <c r="T985" s="267">
        <f t="shared" si="377"/>
        <v>1.0392849719393058</v>
      </c>
      <c r="U985" s="267" t="str">
        <f t="shared" si="377"/>
        <v/>
      </c>
      <c r="V985" s="267">
        <f t="shared" si="377"/>
        <v>1.0392849719393058</v>
      </c>
      <c r="W985" s="530"/>
      <c r="X985" s="236"/>
      <c r="Y985" s="236"/>
      <c r="Z985" s="236"/>
    </row>
    <row r="986" spans="1:26" ht="12" hidden="1" customHeight="1">
      <c r="A986" s="548" t="s">
        <v>227</v>
      </c>
      <c r="B986" s="548" t="s">
        <v>228</v>
      </c>
      <c r="C986" s="458" t="s">
        <v>716</v>
      </c>
      <c r="D986" s="550" t="s">
        <v>716</v>
      </c>
      <c r="E986" s="459" t="s">
        <v>716</v>
      </c>
      <c r="F986" s="104">
        <f>'[3]CONAP - W INC'!F746</f>
        <v>0</v>
      </c>
      <c r="G986" s="104">
        <f>'[3]CONAP - W INC'!G746</f>
        <v>18900</v>
      </c>
      <c r="H986" s="104">
        <f>'[3]CONAP - W INC'!H746</f>
        <v>0</v>
      </c>
      <c r="I986" s="103">
        <f t="shared" si="371"/>
        <v>18900</v>
      </c>
      <c r="J986" s="104">
        <f>'[3]CONAP - W INC'!J746</f>
        <v>0</v>
      </c>
      <c r="K986" s="104">
        <f>'[3]CONAP - W INC'!K746</f>
        <v>0</v>
      </c>
      <c r="L986" s="104">
        <f>'[3]CONAP - W INC'!L746</f>
        <v>0</v>
      </c>
      <c r="M986" s="103">
        <f t="shared" si="372"/>
        <v>0</v>
      </c>
      <c r="N986" s="103">
        <f t="shared" si="366"/>
        <v>0</v>
      </c>
      <c r="O986" s="103">
        <f t="shared" si="366"/>
        <v>18900</v>
      </c>
      <c r="P986" s="103">
        <f t="shared" si="366"/>
        <v>0</v>
      </c>
      <c r="Q986" s="103">
        <f t="shared" si="373"/>
        <v>18900</v>
      </c>
      <c r="S986" s="267" t="str">
        <f t="shared" si="377"/>
        <v/>
      </c>
      <c r="T986" s="267">
        <f t="shared" si="377"/>
        <v>0</v>
      </c>
      <c r="U986" s="267" t="str">
        <f t="shared" si="377"/>
        <v/>
      </c>
      <c r="V986" s="267">
        <f t="shared" si="377"/>
        <v>0</v>
      </c>
      <c r="W986" s="530"/>
      <c r="X986" s="236"/>
      <c r="Y986" s="236"/>
      <c r="Z986" s="236"/>
    </row>
    <row r="987" spans="1:26" s="256" customFormat="1" ht="12" customHeight="1">
      <c r="A987" s="548"/>
      <c r="B987" s="548" t="s">
        <v>228</v>
      </c>
      <c r="C987" s="460"/>
      <c r="D987" s="551"/>
      <c r="E987" s="390" t="s">
        <v>767</v>
      </c>
      <c r="F987" s="391">
        <f>+F984+F983</f>
        <v>0</v>
      </c>
      <c r="G987" s="391">
        <f t="shared" ref="G987:Q987" si="378">+G984+G983</f>
        <v>1238534.55</v>
      </c>
      <c r="H987" s="391">
        <f t="shared" si="378"/>
        <v>0</v>
      </c>
      <c r="I987" s="391">
        <f t="shared" si="378"/>
        <v>1238534.55</v>
      </c>
      <c r="J987" s="391">
        <f t="shared" si="378"/>
        <v>0</v>
      </c>
      <c r="K987" s="391">
        <f t="shared" si="378"/>
        <v>1188405</v>
      </c>
      <c r="L987" s="391">
        <f t="shared" si="378"/>
        <v>0</v>
      </c>
      <c r="M987" s="391">
        <f t="shared" si="378"/>
        <v>1188405</v>
      </c>
      <c r="N987" s="391">
        <f t="shared" si="378"/>
        <v>0</v>
      </c>
      <c r="O987" s="391">
        <f t="shared" si="378"/>
        <v>50129.550000000047</v>
      </c>
      <c r="P987" s="391">
        <f t="shared" si="378"/>
        <v>0</v>
      </c>
      <c r="Q987" s="391">
        <f t="shared" si="378"/>
        <v>50129.550000000047</v>
      </c>
      <c r="R987" s="761"/>
      <c r="S987" s="267" t="str">
        <f t="shared" si="377"/>
        <v/>
      </c>
      <c r="T987" s="267">
        <f t="shared" si="377"/>
        <v>0.95952510973553373</v>
      </c>
      <c r="U987" s="267" t="str">
        <f t="shared" si="377"/>
        <v/>
      </c>
      <c r="V987" s="267">
        <f t="shared" si="377"/>
        <v>0.95952510973553373</v>
      </c>
      <c r="W987" s="532"/>
      <c r="Y987" s="236" t="s">
        <v>598</v>
      </c>
      <c r="Z987" s="240" t="s">
        <v>598</v>
      </c>
    </row>
    <row r="988" spans="1:26" ht="12" hidden="1" customHeight="1">
      <c r="A988" s="548"/>
      <c r="B988" s="548"/>
      <c r="C988" s="456"/>
      <c r="D988" s="549"/>
      <c r="E988" s="461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S988" s="267" t="str">
        <f t="shared" si="377"/>
        <v/>
      </c>
      <c r="T988" s="267" t="str">
        <f t="shared" si="377"/>
        <v/>
      </c>
      <c r="U988" s="267" t="str">
        <f t="shared" si="377"/>
        <v/>
      </c>
      <c r="V988" s="267" t="str">
        <f t="shared" si="377"/>
        <v/>
      </c>
      <c r="W988" s="530"/>
      <c r="X988" s="236"/>
      <c r="Y988" s="236"/>
      <c r="Z988" s="236"/>
    </row>
    <row r="989" spans="1:26" s="256" customFormat="1" ht="12" customHeight="1">
      <c r="A989" s="548" t="s">
        <v>227</v>
      </c>
      <c r="B989" s="548" t="s">
        <v>228</v>
      </c>
      <c r="C989" s="460"/>
      <c r="D989" s="551" t="s">
        <v>98</v>
      </c>
      <c r="E989" s="390" t="s">
        <v>100</v>
      </c>
      <c r="F989" s="391">
        <f>SUM(F990:F990)</f>
        <v>0</v>
      </c>
      <c r="G989" s="391">
        <f>SUM(G990:G990)</f>
        <v>0</v>
      </c>
      <c r="H989" s="391">
        <f>SUM(H990:H990)</f>
        <v>0</v>
      </c>
      <c r="I989" s="391">
        <f>+F989+G989+H989</f>
        <v>0</v>
      </c>
      <c r="J989" s="391">
        <f>SUM(J990:J990)</f>
        <v>0</v>
      </c>
      <c r="K989" s="391">
        <f>SUM(K990:K990)</f>
        <v>0</v>
      </c>
      <c r="L989" s="391">
        <f>SUM(L990:L990)</f>
        <v>0</v>
      </c>
      <c r="M989" s="391">
        <f>+J989+K989+L989</f>
        <v>0</v>
      </c>
      <c r="N989" s="391">
        <f t="shared" ref="N989:P990" si="379">+F989-J989</f>
        <v>0</v>
      </c>
      <c r="O989" s="391">
        <f t="shared" si="379"/>
        <v>0</v>
      </c>
      <c r="P989" s="391">
        <f t="shared" si="379"/>
        <v>0</v>
      </c>
      <c r="Q989" s="391">
        <f>+N989+O989+P989</f>
        <v>0</v>
      </c>
      <c r="R989" s="761"/>
      <c r="S989" s="267" t="str">
        <f t="shared" si="377"/>
        <v/>
      </c>
      <c r="T989" s="267" t="str">
        <f t="shared" si="377"/>
        <v/>
      </c>
      <c r="U989" s="267" t="str">
        <f t="shared" si="377"/>
        <v/>
      </c>
      <c r="V989" s="267" t="str">
        <f t="shared" si="377"/>
        <v/>
      </c>
      <c r="W989" s="532"/>
      <c r="Y989" s="236" t="s">
        <v>598</v>
      </c>
      <c r="Z989" s="240" t="s">
        <v>598</v>
      </c>
    </row>
    <row r="990" spans="1:26" ht="12" customHeight="1">
      <c r="A990" s="548" t="s">
        <v>227</v>
      </c>
      <c r="B990" s="548" t="s">
        <v>228</v>
      </c>
      <c r="C990" s="456"/>
      <c r="D990" s="549"/>
      <c r="E990" s="462" t="s">
        <v>290</v>
      </c>
      <c r="F990" s="103">
        <v>0</v>
      </c>
      <c r="G990" s="103">
        <f>SUM('[3]chd12-SAOB'!AI222)</f>
        <v>0</v>
      </c>
      <c r="H990" s="103">
        <f>SUM('[3]chd12-SAOB'!AI314)</f>
        <v>0</v>
      </c>
      <c r="I990" s="103">
        <f>+F990+G990+H990</f>
        <v>0</v>
      </c>
      <c r="J990" s="103">
        <v>0</v>
      </c>
      <c r="K990" s="103">
        <f>SUM('[3]chd12-SAOB'!AI223)</f>
        <v>0</v>
      </c>
      <c r="L990" s="103">
        <f>SUM('[3]chd12-SAOB'!AI315)</f>
        <v>0</v>
      </c>
      <c r="M990" s="103">
        <f>+J990+K990+L990</f>
        <v>0</v>
      </c>
      <c r="N990" s="103">
        <f t="shared" si="379"/>
        <v>0</v>
      </c>
      <c r="O990" s="103">
        <f t="shared" si="379"/>
        <v>0</v>
      </c>
      <c r="P990" s="103">
        <f t="shared" si="379"/>
        <v>0</v>
      </c>
      <c r="Q990" s="103">
        <f>+N990+O990+P990</f>
        <v>0</v>
      </c>
      <c r="S990" s="267" t="str">
        <f t="shared" si="377"/>
        <v/>
      </c>
      <c r="T990" s="267" t="str">
        <f t="shared" si="377"/>
        <v/>
      </c>
      <c r="U990" s="267" t="str">
        <f t="shared" si="377"/>
        <v/>
      </c>
      <c r="V990" s="267" t="str">
        <f t="shared" si="377"/>
        <v/>
      </c>
      <c r="W990" s="530"/>
      <c r="X990" s="236"/>
      <c r="Y990" s="236" t="s">
        <v>598</v>
      </c>
      <c r="Z990" s="236"/>
    </row>
    <row r="991" spans="1:26" s="259" customFormat="1" ht="12" customHeight="1">
      <c r="A991" s="315" t="s">
        <v>227</v>
      </c>
      <c r="B991" s="315" t="s">
        <v>228</v>
      </c>
      <c r="C991" s="1096"/>
      <c r="D991" s="466"/>
      <c r="E991" s="1097" t="s">
        <v>4</v>
      </c>
      <c r="F991" s="652">
        <f>+F989+F987</f>
        <v>0</v>
      </c>
      <c r="G991" s="652">
        <f t="shared" ref="G991:Q991" si="380">+G989+G987</f>
        <v>1238534.55</v>
      </c>
      <c r="H991" s="652">
        <f t="shared" si="380"/>
        <v>0</v>
      </c>
      <c r="I991" s="652">
        <f t="shared" si="380"/>
        <v>1238534.55</v>
      </c>
      <c r="J991" s="652">
        <f t="shared" si="380"/>
        <v>0</v>
      </c>
      <c r="K991" s="652">
        <f t="shared" si="380"/>
        <v>1188405</v>
      </c>
      <c r="L991" s="652">
        <f t="shared" si="380"/>
        <v>0</v>
      </c>
      <c r="M991" s="652">
        <f t="shared" si="380"/>
        <v>1188405</v>
      </c>
      <c r="N991" s="652">
        <f t="shared" si="380"/>
        <v>0</v>
      </c>
      <c r="O991" s="652">
        <f t="shared" si="380"/>
        <v>50129.550000000047</v>
      </c>
      <c r="P991" s="652">
        <f t="shared" si="380"/>
        <v>0</v>
      </c>
      <c r="Q991" s="652">
        <f t="shared" si="380"/>
        <v>50129.550000000047</v>
      </c>
      <c r="R991" s="1095">
        <f>+Q991-'[3]chd12-SAOB'!BC351</f>
        <v>0</v>
      </c>
      <c r="S991" s="524" t="str">
        <f t="shared" si="377"/>
        <v/>
      </c>
      <c r="T991" s="524">
        <f t="shared" si="377"/>
        <v>0.95952510973553373</v>
      </c>
      <c r="U991" s="524" t="str">
        <f t="shared" si="377"/>
        <v/>
      </c>
      <c r="V991" s="524">
        <f t="shared" si="377"/>
        <v>0.95952510973553373</v>
      </c>
      <c r="W991" s="344"/>
      <c r="X991" s="520"/>
      <c r="Y991" s="837" t="s">
        <v>598</v>
      </c>
      <c r="Z991" s="241" t="s">
        <v>598</v>
      </c>
    </row>
    <row r="992" spans="1:26" ht="12" customHeight="1">
      <c r="A992" s="315" t="s">
        <v>227</v>
      </c>
      <c r="B992" s="315" t="s">
        <v>228</v>
      </c>
      <c r="C992" s="456"/>
      <c r="D992" s="456"/>
      <c r="E992" s="46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S992" s="267" t="str">
        <f t="shared" si="377"/>
        <v/>
      </c>
      <c r="T992" s="267" t="str">
        <f t="shared" si="377"/>
        <v/>
      </c>
      <c r="U992" s="267" t="str">
        <f t="shared" si="377"/>
        <v/>
      </c>
      <c r="V992" s="267" t="str">
        <f t="shared" si="377"/>
        <v/>
      </c>
      <c r="W992" s="267"/>
      <c r="Y992" s="837" t="s">
        <v>598</v>
      </c>
      <c r="Z992" s="241" t="s">
        <v>598</v>
      </c>
    </row>
    <row r="993" spans="1:26" s="275" customFormat="1" ht="12" customHeight="1">
      <c r="A993" s="548" t="s">
        <v>227</v>
      </c>
      <c r="B993" s="548" t="s">
        <v>229</v>
      </c>
      <c r="C993" s="464" t="s">
        <v>98</v>
      </c>
      <c r="D993" s="552" t="s">
        <v>107</v>
      </c>
      <c r="E993" s="407" t="s">
        <v>845</v>
      </c>
      <c r="F993" s="468"/>
      <c r="G993" s="468"/>
      <c r="H993" s="468"/>
      <c r="I993" s="409">
        <f t="shared" si="371"/>
        <v>0</v>
      </c>
      <c r="J993" s="468"/>
      <c r="K993" s="468"/>
      <c r="L993" s="468"/>
      <c r="M993" s="409">
        <f t="shared" si="372"/>
        <v>0</v>
      </c>
      <c r="N993" s="409">
        <f t="shared" si="366"/>
        <v>0</v>
      </c>
      <c r="O993" s="409">
        <f t="shared" si="366"/>
        <v>0</v>
      </c>
      <c r="P993" s="409">
        <f t="shared" si="366"/>
        <v>0</v>
      </c>
      <c r="Q993" s="409">
        <f t="shared" si="373"/>
        <v>0</v>
      </c>
      <c r="R993" s="761"/>
      <c r="S993" s="267" t="str">
        <f t="shared" si="377"/>
        <v/>
      </c>
      <c r="T993" s="267" t="str">
        <f t="shared" si="377"/>
        <v/>
      </c>
      <c r="U993" s="267" t="str">
        <f t="shared" si="377"/>
        <v/>
      </c>
      <c r="V993" s="267" t="str">
        <f t="shared" si="377"/>
        <v/>
      </c>
      <c r="W993" s="553"/>
      <c r="Y993" s="236" t="s">
        <v>598</v>
      </c>
      <c r="Z993" s="240" t="s">
        <v>598</v>
      </c>
    </row>
    <row r="994" spans="1:26" ht="12" customHeight="1">
      <c r="A994" s="548" t="s">
        <v>227</v>
      </c>
      <c r="B994" s="548" t="s">
        <v>229</v>
      </c>
      <c r="C994" s="447" t="s">
        <v>766</v>
      </c>
      <c r="D994" s="775"/>
      <c r="E994" s="447" t="s">
        <v>766</v>
      </c>
      <c r="F994" s="104">
        <f>+'[3]chd12-SAOB'!C439</f>
        <v>0</v>
      </c>
      <c r="G994" s="104">
        <f>+'[3]chd12-SAOB'!D439</f>
        <v>37515.24</v>
      </c>
      <c r="H994" s="104">
        <f>+'[3]chd12-SAOB'!E439</f>
        <v>0</v>
      </c>
      <c r="I994" s="103">
        <f t="shared" si="371"/>
        <v>37515.24</v>
      </c>
      <c r="J994" s="104">
        <f>+'[3]chd12-SAOB'!G439</f>
        <v>0</v>
      </c>
      <c r="K994" s="104">
        <f>+'[3]chd12-SAOB'!H439</f>
        <v>37515.24</v>
      </c>
      <c r="L994" s="104">
        <f>+'[3]chd12-SAOB'!I439</f>
        <v>0</v>
      </c>
      <c r="M994" s="103">
        <f t="shared" si="372"/>
        <v>37515.24</v>
      </c>
      <c r="N994" s="103">
        <f t="shared" si="366"/>
        <v>0</v>
      </c>
      <c r="O994" s="103">
        <f t="shared" si="366"/>
        <v>0</v>
      </c>
      <c r="P994" s="103">
        <f t="shared" si="366"/>
        <v>0</v>
      </c>
      <c r="Q994" s="103">
        <f t="shared" si="373"/>
        <v>0</v>
      </c>
      <c r="S994" s="267" t="str">
        <f t="shared" si="377"/>
        <v/>
      </c>
      <c r="T994" s="267">
        <f t="shared" si="377"/>
        <v>1</v>
      </c>
      <c r="U994" s="267" t="str">
        <f t="shared" si="377"/>
        <v/>
      </c>
      <c r="V994" s="267">
        <f t="shared" si="377"/>
        <v>1</v>
      </c>
      <c r="W994" s="530"/>
      <c r="X994" s="236"/>
      <c r="Y994" s="236" t="s">
        <v>688</v>
      </c>
      <c r="Z994" s="236"/>
    </row>
    <row r="995" spans="1:26" ht="12" customHeight="1">
      <c r="A995" s="548" t="s">
        <v>227</v>
      </c>
      <c r="B995" s="548" t="s">
        <v>229</v>
      </c>
      <c r="C995" s="456"/>
      <c r="D995" s="775"/>
      <c r="E995" s="453" t="s">
        <v>50</v>
      </c>
      <c r="F995" s="103">
        <f>+F996+F997</f>
        <v>0</v>
      </c>
      <c r="G995" s="103">
        <f>+G996+G997</f>
        <v>0</v>
      </c>
      <c r="H995" s="103">
        <f>+H996+H997</f>
        <v>0</v>
      </c>
      <c r="I995" s="103">
        <f t="shared" si="371"/>
        <v>0</v>
      </c>
      <c r="J995" s="103">
        <f>+J996+J997</f>
        <v>0</v>
      </c>
      <c r="K995" s="103">
        <f>+K996+K997</f>
        <v>0</v>
      </c>
      <c r="L995" s="103">
        <f>+L996+L997</f>
        <v>0</v>
      </c>
      <c r="M995" s="103">
        <f t="shared" si="372"/>
        <v>0</v>
      </c>
      <c r="N995" s="103">
        <f t="shared" si="366"/>
        <v>0</v>
      </c>
      <c r="O995" s="103">
        <f t="shared" si="366"/>
        <v>0</v>
      </c>
      <c r="P995" s="103">
        <f t="shared" si="366"/>
        <v>0</v>
      </c>
      <c r="Q995" s="103">
        <f t="shared" si="373"/>
        <v>0</v>
      </c>
      <c r="S995" s="267" t="str">
        <f t="shared" si="377"/>
        <v/>
      </c>
      <c r="T995" s="267" t="str">
        <f t="shared" si="377"/>
        <v/>
      </c>
      <c r="U995" s="267" t="str">
        <f t="shared" si="377"/>
        <v/>
      </c>
      <c r="V995" s="267" t="str">
        <f t="shared" si="377"/>
        <v/>
      </c>
      <c r="W995" s="530"/>
      <c r="X995" s="236"/>
      <c r="Y995" s="236" t="s">
        <v>688</v>
      </c>
      <c r="Z995" s="236"/>
    </row>
    <row r="996" spans="1:26" ht="12" hidden="1" customHeight="1">
      <c r="A996" s="548" t="s">
        <v>227</v>
      </c>
      <c r="B996" s="548" t="s">
        <v>229</v>
      </c>
      <c r="C996" s="458" t="s">
        <v>715</v>
      </c>
      <c r="D996" s="550" t="s">
        <v>715</v>
      </c>
      <c r="E996" s="447" t="s">
        <v>715</v>
      </c>
      <c r="F996" s="104">
        <f>'[3]CONAP - W INC'!F753</f>
        <v>0</v>
      </c>
      <c r="G996" s="104">
        <f>'[3]CONAP - W INC'!G753</f>
        <v>-24505.56</v>
      </c>
      <c r="H996" s="104">
        <f>'[3]CONAP - W INC'!H753</f>
        <v>0</v>
      </c>
      <c r="I996" s="103">
        <f t="shared" si="371"/>
        <v>-24505.56</v>
      </c>
      <c r="J996" s="104">
        <f>'[3]CONAP - W INC'!J753</f>
        <v>0</v>
      </c>
      <c r="K996" s="104">
        <f>'[3]CONAP - W INC'!K753</f>
        <v>0</v>
      </c>
      <c r="L996" s="104">
        <f>'[3]CONAP - W INC'!L753</f>
        <v>0</v>
      </c>
      <c r="M996" s="103">
        <f t="shared" si="372"/>
        <v>0</v>
      </c>
      <c r="N996" s="103">
        <f t="shared" si="366"/>
        <v>0</v>
      </c>
      <c r="O996" s="103">
        <f t="shared" si="366"/>
        <v>-24505.56</v>
      </c>
      <c r="P996" s="103">
        <f t="shared" si="366"/>
        <v>0</v>
      </c>
      <c r="Q996" s="103">
        <f t="shared" si="373"/>
        <v>-24505.56</v>
      </c>
      <c r="S996" s="267" t="str">
        <f t="shared" si="377"/>
        <v/>
      </c>
      <c r="T996" s="267">
        <f t="shared" si="377"/>
        <v>0</v>
      </c>
      <c r="U996" s="267" t="str">
        <f t="shared" si="377"/>
        <v/>
      </c>
      <c r="V996" s="267">
        <f t="shared" si="377"/>
        <v>0</v>
      </c>
      <c r="W996" s="530"/>
      <c r="X996" s="236"/>
      <c r="Y996" s="236"/>
      <c r="Z996" s="236"/>
    </row>
    <row r="997" spans="1:26" ht="12" hidden="1" customHeight="1">
      <c r="A997" s="548" t="s">
        <v>227</v>
      </c>
      <c r="B997" s="548" t="s">
        <v>229</v>
      </c>
      <c r="C997" s="458" t="s">
        <v>716</v>
      </c>
      <c r="D997" s="550" t="s">
        <v>716</v>
      </c>
      <c r="E997" s="459" t="s">
        <v>716</v>
      </c>
      <c r="F997" s="104">
        <f>'[3]CONAP - W INC'!F754</f>
        <v>0</v>
      </c>
      <c r="G997" s="104">
        <f>'[3]CONAP - W INC'!G754</f>
        <v>24505.56</v>
      </c>
      <c r="H997" s="104">
        <f>'[3]CONAP - W INC'!H754</f>
        <v>0</v>
      </c>
      <c r="I997" s="103">
        <f t="shared" si="371"/>
        <v>24505.56</v>
      </c>
      <c r="J997" s="104">
        <f>'[3]CONAP - W INC'!J754</f>
        <v>0</v>
      </c>
      <c r="K997" s="104">
        <f>'[3]CONAP - W INC'!K754</f>
        <v>0</v>
      </c>
      <c r="L997" s="104">
        <f>'[3]CONAP - W INC'!L754</f>
        <v>0</v>
      </c>
      <c r="M997" s="103">
        <f t="shared" si="372"/>
        <v>0</v>
      </c>
      <c r="N997" s="103">
        <f t="shared" si="366"/>
        <v>0</v>
      </c>
      <c r="O997" s="103">
        <f t="shared" si="366"/>
        <v>24505.56</v>
      </c>
      <c r="P997" s="103">
        <f t="shared" si="366"/>
        <v>0</v>
      </c>
      <c r="Q997" s="103">
        <f t="shared" si="373"/>
        <v>24505.56</v>
      </c>
      <c r="S997" s="267" t="str">
        <f t="shared" si="377"/>
        <v/>
      </c>
      <c r="T997" s="267">
        <f t="shared" si="377"/>
        <v>0</v>
      </c>
      <c r="U997" s="267" t="str">
        <f t="shared" si="377"/>
        <v/>
      </c>
      <c r="V997" s="267">
        <f t="shared" si="377"/>
        <v>0</v>
      </c>
      <c r="W997" s="530"/>
      <c r="X997" s="236"/>
      <c r="Y997" s="236"/>
      <c r="Z997" s="236"/>
    </row>
    <row r="998" spans="1:26" s="256" customFormat="1" ht="12" customHeight="1">
      <c r="A998" s="548"/>
      <c r="B998" s="548" t="s">
        <v>229</v>
      </c>
      <c r="C998" s="460"/>
      <c r="D998" s="551"/>
      <c r="E998" s="390" t="s">
        <v>767</v>
      </c>
      <c r="F998" s="391">
        <f>+F995+F994</f>
        <v>0</v>
      </c>
      <c r="G998" s="391">
        <f t="shared" ref="G998:Q998" si="381">+G995+G994</f>
        <v>37515.24</v>
      </c>
      <c r="H998" s="391">
        <f t="shared" si="381"/>
        <v>0</v>
      </c>
      <c r="I998" s="391">
        <f t="shared" si="381"/>
        <v>37515.24</v>
      </c>
      <c r="J998" s="391">
        <f t="shared" si="381"/>
        <v>0</v>
      </c>
      <c r="K998" s="391">
        <f t="shared" si="381"/>
        <v>37515.24</v>
      </c>
      <c r="L998" s="391">
        <f t="shared" si="381"/>
        <v>0</v>
      </c>
      <c r="M998" s="391">
        <f t="shared" si="381"/>
        <v>37515.24</v>
      </c>
      <c r="N998" s="391">
        <f t="shared" si="381"/>
        <v>0</v>
      </c>
      <c r="O998" s="391">
        <f t="shared" si="381"/>
        <v>0</v>
      </c>
      <c r="P998" s="391">
        <f t="shared" si="381"/>
        <v>0</v>
      </c>
      <c r="Q998" s="391">
        <f t="shared" si="381"/>
        <v>0</v>
      </c>
      <c r="R998" s="761"/>
      <c r="S998" s="267" t="str">
        <f t="shared" si="377"/>
        <v/>
      </c>
      <c r="T998" s="267">
        <f t="shared" si="377"/>
        <v>1</v>
      </c>
      <c r="U998" s="267" t="str">
        <f t="shared" si="377"/>
        <v/>
      </c>
      <c r="V998" s="267">
        <f t="shared" si="377"/>
        <v>1</v>
      </c>
      <c r="W998" s="532"/>
      <c r="Y998" s="236" t="s">
        <v>598</v>
      </c>
      <c r="Z998" s="240" t="s">
        <v>598</v>
      </c>
    </row>
    <row r="999" spans="1:26" ht="12" hidden="1" customHeight="1">
      <c r="A999" s="548"/>
      <c r="B999" s="548"/>
      <c r="C999" s="456"/>
      <c r="D999" s="549"/>
      <c r="E999" s="461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S999" s="267" t="str">
        <f t="shared" si="377"/>
        <v/>
      </c>
      <c r="T999" s="267" t="str">
        <f t="shared" si="377"/>
        <v/>
      </c>
      <c r="U999" s="267" t="str">
        <f t="shared" si="377"/>
        <v/>
      </c>
      <c r="V999" s="267" t="str">
        <f t="shared" si="377"/>
        <v/>
      </c>
      <c r="W999" s="530"/>
      <c r="X999" s="236"/>
      <c r="Y999" s="236"/>
      <c r="Z999" s="236"/>
    </row>
    <row r="1000" spans="1:26" s="256" customFormat="1" ht="12" customHeight="1">
      <c r="A1000" s="548" t="s">
        <v>227</v>
      </c>
      <c r="B1000" s="548" t="s">
        <v>229</v>
      </c>
      <c r="C1000" s="460"/>
      <c r="D1000" s="551" t="s">
        <v>98</v>
      </c>
      <c r="E1000" s="390" t="s">
        <v>100</v>
      </c>
      <c r="F1000" s="391">
        <f>SUM(F1001:F1001)</f>
        <v>0</v>
      </c>
      <c r="G1000" s="391">
        <f>SUM(G1001:G1001)</f>
        <v>0</v>
      </c>
      <c r="H1000" s="391">
        <f>SUM(H1001:H1001)</f>
        <v>0</v>
      </c>
      <c r="I1000" s="391">
        <f>+F1000+G1000+H1000</f>
        <v>0</v>
      </c>
      <c r="J1000" s="391">
        <f>SUM(J1001:J1001)</f>
        <v>0</v>
      </c>
      <c r="K1000" s="391">
        <f>SUM(K1001:K1001)</f>
        <v>0</v>
      </c>
      <c r="L1000" s="391">
        <f>SUM(L1001:L1001)</f>
        <v>0</v>
      </c>
      <c r="M1000" s="391">
        <f>+J1000+K1000+L1000</f>
        <v>0</v>
      </c>
      <c r="N1000" s="391">
        <f t="shared" ref="N1000:P1001" si="382">+F1000-J1000</f>
        <v>0</v>
      </c>
      <c r="O1000" s="391">
        <f t="shared" si="382"/>
        <v>0</v>
      </c>
      <c r="P1000" s="391">
        <f t="shared" si="382"/>
        <v>0</v>
      </c>
      <c r="Q1000" s="391">
        <f>+N1000+O1000+P1000</f>
        <v>0</v>
      </c>
      <c r="R1000" s="761"/>
      <c r="S1000" s="267" t="str">
        <f t="shared" si="377"/>
        <v/>
      </c>
      <c r="T1000" s="267" t="str">
        <f t="shared" si="377"/>
        <v/>
      </c>
      <c r="U1000" s="267" t="str">
        <f t="shared" si="377"/>
        <v/>
      </c>
      <c r="V1000" s="267" t="str">
        <f t="shared" si="377"/>
        <v/>
      </c>
      <c r="W1000" s="532"/>
      <c r="Y1000" s="236" t="s">
        <v>598</v>
      </c>
      <c r="Z1000" s="240" t="s">
        <v>598</v>
      </c>
    </row>
    <row r="1001" spans="1:26" ht="12" customHeight="1">
      <c r="A1001" s="548" t="s">
        <v>227</v>
      </c>
      <c r="B1001" s="548" t="s">
        <v>229</v>
      </c>
      <c r="C1001" s="456"/>
      <c r="D1001" s="549"/>
      <c r="E1001" s="462" t="s">
        <v>290</v>
      </c>
      <c r="F1001" s="103">
        <v>0</v>
      </c>
      <c r="G1001" s="103">
        <f>SUM('[3]chd12-SAOB'!AJ222)</f>
        <v>0</v>
      </c>
      <c r="H1001" s="103">
        <f>SUM('[3]chd12-SAOB'!AJ314)</f>
        <v>0</v>
      </c>
      <c r="I1001" s="103">
        <f>+F1001+G1001+H1001</f>
        <v>0</v>
      </c>
      <c r="J1001" s="103">
        <v>0</v>
      </c>
      <c r="K1001" s="103">
        <f>SUM('[3]chd12-SAOB'!AJ223)</f>
        <v>0</v>
      </c>
      <c r="L1001" s="103">
        <f>SUM('[3]chd12-SAOB'!AJ315)</f>
        <v>0</v>
      </c>
      <c r="M1001" s="103">
        <f>+J1001+K1001+L1001</f>
        <v>0</v>
      </c>
      <c r="N1001" s="103">
        <f t="shared" si="382"/>
        <v>0</v>
      </c>
      <c r="O1001" s="103">
        <f t="shared" si="382"/>
        <v>0</v>
      </c>
      <c r="P1001" s="103">
        <f t="shared" si="382"/>
        <v>0</v>
      </c>
      <c r="Q1001" s="103">
        <f>+N1001+O1001+P1001</f>
        <v>0</v>
      </c>
      <c r="S1001" s="267" t="str">
        <f t="shared" si="377"/>
        <v/>
      </c>
      <c r="T1001" s="267" t="str">
        <f t="shared" si="377"/>
        <v/>
      </c>
      <c r="U1001" s="267" t="str">
        <f t="shared" si="377"/>
        <v/>
      </c>
      <c r="V1001" s="267" t="str">
        <f t="shared" si="377"/>
        <v/>
      </c>
      <c r="W1001" s="530"/>
      <c r="X1001" s="236"/>
      <c r="Y1001" s="236" t="s">
        <v>598</v>
      </c>
      <c r="Z1001" s="236"/>
    </row>
    <row r="1002" spans="1:26" s="259" customFormat="1" ht="12" customHeight="1">
      <c r="A1002" s="315" t="s">
        <v>227</v>
      </c>
      <c r="B1002" s="315" t="s">
        <v>229</v>
      </c>
      <c r="C1002" s="1096"/>
      <c r="D1002" s="466"/>
      <c r="E1002" s="1097" t="s">
        <v>4</v>
      </c>
      <c r="F1002" s="652">
        <f>+F1000+F998</f>
        <v>0</v>
      </c>
      <c r="G1002" s="652">
        <f t="shared" ref="G1002:Q1002" si="383">+G1000+G998</f>
        <v>37515.24</v>
      </c>
      <c r="H1002" s="652">
        <f t="shared" si="383"/>
        <v>0</v>
      </c>
      <c r="I1002" s="652">
        <f t="shared" si="383"/>
        <v>37515.24</v>
      </c>
      <c r="J1002" s="652">
        <f t="shared" si="383"/>
        <v>0</v>
      </c>
      <c r="K1002" s="652">
        <f t="shared" si="383"/>
        <v>37515.24</v>
      </c>
      <c r="L1002" s="652">
        <f t="shared" si="383"/>
        <v>0</v>
      </c>
      <c r="M1002" s="652">
        <f t="shared" si="383"/>
        <v>37515.24</v>
      </c>
      <c r="N1002" s="652">
        <f t="shared" si="383"/>
        <v>0</v>
      </c>
      <c r="O1002" s="652">
        <f t="shared" si="383"/>
        <v>0</v>
      </c>
      <c r="P1002" s="652">
        <f t="shared" si="383"/>
        <v>0</v>
      </c>
      <c r="Q1002" s="652">
        <f t="shared" si="383"/>
        <v>0</v>
      </c>
      <c r="R1002" s="1095">
        <f>+Q1002-'[3]chd12-SAOB'!BD351</f>
        <v>0</v>
      </c>
      <c r="S1002" s="524" t="str">
        <f t="shared" si="377"/>
        <v/>
      </c>
      <c r="T1002" s="524">
        <f t="shared" si="377"/>
        <v>1</v>
      </c>
      <c r="U1002" s="524" t="str">
        <f t="shared" si="377"/>
        <v/>
      </c>
      <c r="V1002" s="524">
        <f t="shared" si="377"/>
        <v>1</v>
      </c>
      <c r="W1002" s="344"/>
      <c r="X1002" s="520"/>
      <c r="Y1002" s="837" t="s">
        <v>598</v>
      </c>
      <c r="Z1002" s="241" t="s">
        <v>598</v>
      </c>
    </row>
    <row r="1003" spans="1:26" s="660" customFormat="1" ht="12" hidden="1" customHeight="1">
      <c r="A1003" s="315" t="s">
        <v>227</v>
      </c>
      <c r="B1003" s="315" t="s">
        <v>319</v>
      </c>
      <c r="C1003" s="1467" t="s">
        <v>651</v>
      </c>
      <c r="D1003" s="1468"/>
      <c r="E1003" s="1469"/>
      <c r="F1003" s="659">
        <f>+F991+F1002</f>
        <v>0</v>
      </c>
      <c r="G1003" s="659">
        <f>+G991+G1002</f>
        <v>1276049.79</v>
      </c>
      <c r="H1003" s="659">
        <f>+H991+H1002</f>
        <v>0</v>
      </c>
      <c r="I1003" s="659">
        <f t="shared" si="371"/>
        <v>1276049.79</v>
      </c>
      <c r="J1003" s="659">
        <f>+J991+J1002</f>
        <v>0</v>
      </c>
      <c r="K1003" s="659">
        <f>+K991+K1002</f>
        <v>1225920.24</v>
      </c>
      <c r="L1003" s="659">
        <f>+L991+L1002</f>
        <v>0</v>
      </c>
      <c r="M1003" s="659">
        <f t="shared" si="372"/>
        <v>1225920.24</v>
      </c>
      <c r="N1003" s="659">
        <f t="shared" si="366"/>
        <v>0</v>
      </c>
      <c r="O1003" s="659">
        <f t="shared" si="366"/>
        <v>50129.550000000047</v>
      </c>
      <c r="P1003" s="659">
        <f t="shared" si="366"/>
        <v>0</v>
      </c>
      <c r="Q1003" s="659">
        <f t="shared" si="373"/>
        <v>50129.550000000047</v>
      </c>
      <c r="R1003" s="1098"/>
      <c r="S1003" s="661" t="str">
        <f t="shared" si="377"/>
        <v/>
      </c>
      <c r="T1003" s="661">
        <f t="shared" si="377"/>
        <v>0.96071505172223726</v>
      </c>
      <c r="U1003" s="661" t="str">
        <f t="shared" si="377"/>
        <v/>
      </c>
      <c r="V1003" s="661">
        <f t="shared" si="377"/>
        <v>0.96071505172223726</v>
      </c>
      <c r="W1003" s="295"/>
      <c r="X1003" s="520"/>
      <c r="Y1003" s="837"/>
      <c r="Z1003" s="241"/>
    </row>
    <row r="1004" spans="1:26" ht="12" hidden="1" customHeight="1">
      <c r="A1004" s="315" t="s">
        <v>227</v>
      </c>
      <c r="B1004" s="315" t="s">
        <v>319</v>
      </c>
      <c r="C1004" s="469"/>
      <c r="D1004" s="470"/>
      <c r="E1004" s="471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S1004" s="267" t="str">
        <f t="shared" si="377"/>
        <v/>
      </c>
      <c r="T1004" s="267" t="str">
        <f t="shared" si="377"/>
        <v/>
      </c>
      <c r="U1004" s="267" t="str">
        <f t="shared" si="377"/>
        <v/>
      </c>
      <c r="V1004" s="267" t="str">
        <f t="shared" si="377"/>
        <v/>
      </c>
      <c r="W1004" s="267"/>
      <c r="X1004" s="237" t="s">
        <v>598</v>
      </c>
      <c r="Z1004" s="241"/>
    </row>
    <row r="1005" spans="1:26" s="275" customFormat="1" ht="12.75" hidden="1" customHeight="1">
      <c r="A1005" s="315" t="s">
        <v>652</v>
      </c>
      <c r="B1005" s="315" t="s">
        <v>319</v>
      </c>
      <c r="C1005" s="464" t="s">
        <v>846</v>
      </c>
      <c r="D1005" s="464"/>
      <c r="E1005" s="472"/>
      <c r="F1005" s="409"/>
      <c r="G1005" s="409"/>
      <c r="H1005" s="409"/>
      <c r="I1005" s="409">
        <f t="shared" si="371"/>
        <v>0</v>
      </c>
      <c r="J1005" s="409"/>
      <c r="K1005" s="409"/>
      <c r="L1005" s="409"/>
      <c r="M1005" s="409">
        <f t="shared" si="372"/>
        <v>0</v>
      </c>
      <c r="N1005" s="409">
        <f t="shared" si="366"/>
        <v>0</v>
      </c>
      <c r="O1005" s="409">
        <f t="shared" si="366"/>
        <v>0</v>
      </c>
      <c r="P1005" s="409">
        <f t="shared" si="366"/>
        <v>0</v>
      </c>
      <c r="Q1005" s="409">
        <f t="shared" si="373"/>
        <v>0</v>
      </c>
      <c r="R1005" s="761"/>
      <c r="S1005" s="267" t="str">
        <f t="shared" si="377"/>
        <v/>
      </c>
      <c r="T1005" s="267" t="str">
        <f t="shared" si="377"/>
        <v/>
      </c>
      <c r="U1005" s="267" t="str">
        <f t="shared" si="377"/>
        <v/>
      </c>
      <c r="V1005" s="267" t="str">
        <f t="shared" si="377"/>
        <v/>
      </c>
      <c r="W1005" s="251"/>
      <c r="X1005" s="237" t="s">
        <v>598</v>
      </c>
      <c r="Y1005" s="839"/>
      <c r="Z1005" s="253"/>
    </row>
    <row r="1006" spans="1:26" ht="12" hidden="1" customHeight="1">
      <c r="A1006" s="315" t="s">
        <v>652</v>
      </c>
      <c r="B1006" s="315" t="s">
        <v>319</v>
      </c>
      <c r="C1006" s="447" t="s">
        <v>766</v>
      </c>
      <c r="D1006" s="456" t="s">
        <v>98</v>
      </c>
      <c r="E1006" s="447" t="s">
        <v>766</v>
      </c>
      <c r="F1006" s="103">
        <f>+F968+F983+F994</f>
        <v>0</v>
      </c>
      <c r="G1006" s="103">
        <f>+G968+G983+G994</f>
        <v>7424593.6599999992</v>
      </c>
      <c r="H1006" s="103">
        <f>+H968+H983+H994</f>
        <v>0</v>
      </c>
      <c r="I1006" s="103">
        <f t="shared" si="371"/>
        <v>7424593.6599999992</v>
      </c>
      <c r="J1006" s="103">
        <f>+J968+J983+J994</f>
        <v>0</v>
      </c>
      <c r="K1006" s="103">
        <f>+K968+K983+K994</f>
        <v>6586430.6600000001</v>
      </c>
      <c r="L1006" s="103">
        <f>+L968+L983+L994</f>
        <v>0</v>
      </c>
      <c r="M1006" s="103">
        <f t="shared" si="372"/>
        <v>6586430.6600000001</v>
      </c>
      <c r="N1006" s="103">
        <f t="shared" si="366"/>
        <v>0</v>
      </c>
      <c r="O1006" s="103">
        <f t="shared" si="366"/>
        <v>838162.99999999907</v>
      </c>
      <c r="P1006" s="103">
        <f t="shared" si="366"/>
        <v>0</v>
      </c>
      <c r="Q1006" s="103">
        <f t="shared" si="373"/>
        <v>838162.99999999907</v>
      </c>
      <c r="S1006" s="267" t="str">
        <f t="shared" si="377"/>
        <v/>
      </c>
      <c r="T1006" s="267">
        <f t="shared" si="377"/>
        <v>0.88710991626173397</v>
      </c>
      <c r="U1006" s="267" t="str">
        <f t="shared" si="377"/>
        <v/>
      </c>
      <c r="V1006" s="267">
        <f t="shared" si="377"/>
        <v>0.88710991626173397</v>
      </c>
      <c r="W1006" s="267"/>
      <c r="X1006" s="237" t="s">
        <v>598</v>
      </c>
    </row>
    <row r="1007" spans="1:26" ht="12" hidden="1" customHeight="1">
      <c r="A1007" s="315" t="s">
        <v>652</v>
      </c>
      <c r="B1007" s="315" t="s">
        <v>319</v>
      </c>
      <c r="C1007" s="456"/>
      <c r="D1007" s="456" t="s">
        <v>98</v>
      </c>
      <c r="E1007" s="453" t="s">
        <v>50</v>
      </c>
      <c r="F1007" s="103">
        <f>+F1008+F1009</f>
        <v>0</v>
      </c>
      <c r="G1007" s="103">
        <f>+G1008+G1009</f>
        <v>24110838.32</v>
      </c>
      <c r="H1007" s="103">
        <f>+H1008+H1009</f>
        <v>188462</v>
      </c>
      <c r="I1007" s="103">
        <f t="shared" si="371"/>
        <v>24299300.32</v>
      </c>
      <c r="J1007" s="103">
        <f>+J1008+J1009</f>
        <v>0</v>
      </c>
      <c r="K1007" s="103">
        <f>+K1008+K1009</f>
        <v>23502287.350000001</v>
      </c>
      <c r="L1007" s="103">
        <f>+L1008+L1009</f>
        <v>187980</v>
      </c>
      <c r="M1007" s="103">
        <f t="shared" si="372"/>
        <v>23690267.350000001</v>
      </c>
      <c r="N1007" s="103">
        <f t="shared" si="366"/>
        <v>0</v>
      </c>
      <c r="O1007" s="103">
        <f t="shared" si="366"/>
        <v>608550.96999999881</v>
      </c>
      <c r="P1007" s="103">
        <f t="shared" si="366"/>
        <v>482</v>
      </c>
      <c r="Q1007" s="103">
        <f t="shared" si="373"/>
        <v>609032.96999999881</v>
      </c>
      <c r="S1007" s="267" t="str">
        <f t="shared" si="377"/>
        <v/>
      </c>
      <c r="T1007" s="267">
        <f t="shared" si="377"/>
        <v>0.97476027328775194</v>
      </c>
      <c r="U1007" s="267">
        <f t="shared" si="377"/>
        <v>0.99744245524296671</v>
      </c>
      <c r="V1007" s="267">
        <f t="shared" si="377"/>
        <v>0.97493619314220659</v>
      </c>
      <c r="W1007" s="267"/>
      <c r="X1007" s="237" t="s">
        <v>598</v>
      </c>
    </row>
    <row r="1008" spans="1:26" ht="12" hidden="1" customHeight="1">
      <c r="A1008" s="315" t="s">
        <v>652</v>
      </c>
      <c r="B1008" s="315" t="s">
        <v>319</v>
      </c>
      <c r="C1008" s="458" t="s">
        <v>715</v>
      </c>
      <c r="D1008" s="458" t="s">
        <v>715</v>
      </c>
      <c r="E1008" s="447" t="s">
        <v>715</v>
      </c>
      <c r="F1008" s="103">
        <v>0</v>
      </c>
      <c r="G1008" s="103">
        <f>+G973+G985+G996</f>
        <v>-4352607.8499999996</v>
      </c>
      <c r="H1008" s="103">
        <f>+H973+H985+H996</f>
        <v>0</v>
      </c>
      <c r="I1008" s="103">
        <f t="shared" si="371"/>
        <v>-4352607.8499999996</v>
      </c>
      <c r="J1008" s="103">
        <f t="shared" ref="J1008:L1009" si="384">+J973+J985+J996</f>
        <v>0</v>
      </c>
      <c r="K1008" s="103">
        <f t="shared" si="384"/>
        <v>915577.25</v>
      </c>
      <c r="L1008" s="103">
        <f t="shared" si="384"/>
        <v>0</v>
      </c>
      <c r="M1008" s="103">
        <f t="shared" si="372"/>
        <v>915577.25</v>
      </c>
      <c r="N1008" s="103">
        <f t="shared" si="366"/>
        <v>0</v>
      </c>
      <c r="O1008" s="103">
        <f t="shared" si="366"/>
        <v>-5268185.0999999996</v>
      </c>
      <c r="P1008" s="103">
        <f t="shared" si="366"/>
        <v>0</v>
      </c>
      <c r="Q1008" s="103">
        <f t="shared" si="373"/>
        <v>-5268185.0999999996</v>
      </c>
      <c r="S1008" s="267" t="str">
        <f t="shared" si="377"/>
        <v/>
      </c>
      <c r="T1008" s="267">
        <f t="shared" si="377"/>
        <v>-0.21035142184931732</v>
      </c>
      <c r="U1008" s="267" t="str">
        <f t="shared" si="377"/>
        <v/>
      </c>
      <c r="V1008" s="267">
        <f t="shared" si="377"/>
        <v>-0.21035142184931732</v>
      </c>
      <c r="W1008" s="267"/>
      <c r="X1008" s="237" t="s">
        <v>598</v>
      </c>
    </row>
    <row r="1009" spans="1:26" ht="12" hidden="1" customHeight="1">
      <c r="A1009" s="315" t="s">
        <v>652</v>
      </c>
      <c r="B1009" s="315" t="s">
        <v>319</v>
      </c>
      <c r="C1009" s="458" t="s">
        <v>716</v>
      </c>
      <c r="D1009" s="458" t="s">
        <v>716</v>
      </c>
      <c r="E1009" s="459" t="s">
        <v>716</v>
      </c>
      <c r="F1009" s="103">
        <v>0</v>
      </c>
      <c r="G1009" s="103">
        <f>+G974+G986+G997</f>
        <v>28463446.169999998</v>
      </c>
      <c r="H1009" s="103">
        <f>+H974+H986+H997</f>
        <v>188462</v>
      </c>
      <c r="I1009" s="103">
        <f t="shared" si="371"/>
        <v>28651908.169999998</v>
      </c>
      <c r="J1009" s="103">
        <f t="shared" si="384"/>
        <v>0</v>
      </c>
      <c r="K1009" s="103">
        <f t="shared" si="384"/>
        <v>22586710.100000001</v>
      </c>
      <c r="L1009" s="103">
        <f t="shared" si="384"/>
        <v>187980</v>
      </c>
      <c r="M1009" s="103">
        <f t="shared" si="372"/>
        <v>22774690.100000001</v>
      </c>
      <c r="N1009" s="103">
        <f t="shared" si="366"/>
        <v>0</v>
      </c>
      <c r="O1009" s="103">
        <f t="shared" si="366"/>
        <v>5876736.0699999966</v>
      </c>
      <c r="P1009" s="103">
        <f t="shared" si="366"/>
        <v>482</v>
      </c>
      <c r="Q1009" s="103">
        <f t="shared" si="373"/>
        <v>5877218.0699999966</v>
      </c>
      <c r="S1009" s="267" t="str">
        <f t="shared" si="377"/>
        <v/>
      </c>
      <c r="T1009" s="267">
        <f t="shared" si="377"/>
        <v>0.79353392295153713</v>
      </c>
      <c r="U1009" s="267">
        <f t="shared" si="377"/>
        <v>0.99744245524296671</v>
      </c>
      <c r="V1009" s="267">
        <f t="shared" si="377"/>
        <v>0.79487516031641681</v>
      </c>
      <c r="W1009" s="267"/>
      <c r="X1009" s="237" t="s">
        <v>598</v>
      </c>
    </row>
    <row r="1010" spans="1:26" s="256" customFormat="1" ht="12" hidden="1" customHeight="1">
      <c r="A1010" s="315"/>
      <c r="B1010" s="315" t="s">
        <v>319</v>
      </c>
      <c r="C1010" s="460"/>
      <c r="D1010" s="460"/>
      <c r="E1010" s="390" t="s">
        <v>767</v>
      </c>
      <c r="F1010" s="391">
        <f>+F1007+F1006</f>
        <v>0</v>
      </c>
      <c r="G1010" s="391">
        <f t="shared" ref="G1010:Q1010" si="385">+G1007+G1006</f>
        <v>31535431.98</v>
      </c>
      <c r="H1010" s="391">
        <f t="shared" si="385"/>
        <v>188462</v>
      </c>
      <c r="I1010" s="391">
        <f t="shared" si="385"/>
        <v>31723893.98</v>
      </c>
      <c r="J1010" s="391">
        <f t="shared" si="385"/>
        <v>0</v>
      </c>
      <c r="K1010" s="391">
        <f t="shared" si="385"/>
        <v>30088718.010000002</v>
      </c>
      <c r="L1010" s="391">
        <f t="shared" si="385"/>
        <v>187980</v>
      </c>
      <c r="M1010" s="391">
        <f t="shared" si="385"/>
        <v>30276698.010000002</v>
      </c>
      <c r="N1010" s="391">
        <f t="shared" si="385"/>
        <v>0</v>
      </c>
      <c r="O1010" s="391">
        <f t="shared" si="385"/>
        <v>1446713.9699999979</v>
      </c>
      <c r="P1010" s="391">
        <f t="shared" si="385"/>
        <v>482</v>
      </c>
      <c r="Q1010" s="391">
        <f t="shared" si="385"/>
        <v>1447195.9699999979</v>
      </c>
      <c r="R1010" s="761"/>
      <c r="S1010" s="267" t="str">
        <f t="shared" si="377"/>
        <v/>
      </c>
      <c r="T1010" s="267">
        <f t="shared" si="377"/>
        <v>0.95412417464528421</v>
      </c>
      <c r="U1010" s="267">
        <f t="shared" si="377"/>
        <v>0.99744245524296671</v>
      </c>
      <c r="V1010" s="267">
        <f t="shared" si="377"/>
        <v>0.95438151536780547</v>
      </c>
      <c r="W1010" s="263"/>
      <c r="X1010" s="237" t="s">
        <v>598</v>
      </c>
      <c r="Y1010" s="840"/>
      <c r="Z1010" s="241"/>
    </row>
    <row r="1011" spans="1:26" ht="12" hidden="1" customHeight="1">
      <c r="A1011" s="315"/>
      <c r="B1011" s="315"/>
      <c r="C1011" s="456"/>
      <c r="D1011" s="456"/>
      <c r="E1011" s="461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S1011" s="267" t="str">
        <f t="shared" si="377"/>
        <v/>
      </c>
      <c r="T1011" s="267" t="str">
        <f t="shared" si="377"/>
        <v/>
      </c>
      <c r="U1011" s="267" t="str">
        <f t="shared" si="377"/>
        <v/>
      </c>
      <c r="V1011" s="267" t="str">
        <f t="shared" si="377"/>
        <v/>
      </c>
      <c r="W1011" s="267"/>
      <c r="X1011" s="237" t="s">
        <v>598</v>
      </c>
    </row>
    <row r="1012" spans="1:26" s="256" customFormat="1" ht="12" hidden="1" customHeight="1">
      <c r="A1012" s="315" t="s">
        <v>652</v>
      </c>
      <c r="B1012" s="315" t="s">
        <v>319</v>
      </c>
      <c r="C1012" s="460"/>
      <c r="D1012" s="460" t="s">
        <v>98</v>
      </c>
      <c r="E1012" s="390" t="s">
        <v>100</v>
      </c>
      <c r="F1012" s="391">
        <f>SUM(F1013:F1013)</f>
        <v>0</v>
      </c>
      <c r="G1012" s="391">
        <f>SUM(G1013:G1013)</f>
        <v>0</v>
      </c>
      <c r="H1012" s="391">
        <f>SUM(H1013:H1013)</f>
        <v>0</v>
      </c>
      <c r="I1012" s="391">
        <f>+F1012+G1012+H1012</f>
        <v>0</v>
      </c>
      <c r="J1012" s="391">
        <f>SUM(J1013:J1013)</f>
        <v>0</v>
      </c>
      <c r="K1012" s="391">
        <f>SUM(K1013:K1013)</f>
        <v>0</v>
      </c>
      <c r="L1012" s="391">
        <f>SUM(L1013:L1013)</f>
        <v>0</v>
      </c>
      <c r="M1012" s="391">
        <f>+J1012+K1012+L1012</f>
        <v>0</v>
      </c>
      <c r="N1012" s="391">
        <f t="shared" ref="N1012:P1013" si="386">+F1012-J1012</f>
        <v>0</v>
      </c>
      <c r="O1012" s="391">
        <f t="shared" si="386"/>
        <v>0</v>
      </c>
      <c r="P1012" s="391">
        <f t="shared" si="386"/>
        <v>0</v>
      </c>
      <c r="Q1012" s="391">
        <f>+N1012+O1012+P1012</f>
        <v>0</v>
      </c>
      <c r="R1012" s="761"/>
      <c r="S1012" s="267" t="str">
        <f t="shared" si="377"/>
        <v/>
      </c>
      <c r="T1012" s="267" t="str">
        <f t="shared" si="377"/>
        <v/>
      </c>
      <c r="U1012" s="267" t="str">
        <f t="shared" si="377"/>
        <v/>
      </c>
      <c r="V1012" s="267" t="str">
        <f t="shared" si="377"/>
        <v/>
      </c>
      <c r="W1012" s="263"/>
      <c r="X1012" s="237" t="s">
        <v>598</v>
      </c>
      <c r="Y1012" s="840"/>
      <c r="Z1012" s="241"/>
    </row>
    <row r="1013" spans="1:26" ht="12" hidden="1" customHeight="1">
      <c r="A1013" s="315" t="s">
        <v>652</v>
      </c>
      <c r="B1013" s="315" t="s">
        <v>319</v>
      </c>
      <c r="C1013" s="456"/>
      <c r="D1013" s="456"/>
      <c r="E1013" s="462" t="s">
        <v>290</v>
      </c>
      <c r="F1013" s="103">
        <v>0</v>
      </c>
      <c r="G1013" s="103">
        <f>+G978+G990+G1001</f>
        <v>0</v>
      </c>
      <c r="H1013" s="103">
        <f>+H978+H990+H1001</f>
        <v>0</v>
      </c>
      <c r="I1013" s="103">
        <f>+F1013+G1013+H1013</f>
        <v>0</v>
      </c>
      <c r="J1013" s="103">
        <f>+J978+J990+J1001</f>
        <v>0</v>
      </c>
      <c r="K1013" s="103">
        <f>+K978+K990+K1001</f>
        <v>0</v>
      </c>
      <c r="L1013" s="103">
        <f>+L978+L990+L1001</f>
        <v>0</v>
      </c>
      <c r="M1013" s="103">
        <f>+J1013+K1013+L1013</f>
        <v>0</v>
      </c>
      <c r="N1013" s="103">
        <f t="shared" si="386"/>
        <v>0</v>
      </c>
      <c r="O1013" s="103">
        <f t="shared" si="386"/>
        <v>0</v>
      </c>
      <c r="P1013" s="103">
        <f t="shared" si="386"/>
        <v>0</v>
      </c>
      <c r="Q1013" s="103">
        <f>+N1013+O1013+P1013</f>
        <v>0</v>
      </c>
      <c r="S1013" s="267" t="str">
        <f t="shared" si="377"/>
        <v/>
      </c>
      <c r="T1013" s="267" t="str">
        <f t="shared" si="377"/>
        <v/>
      </c>
      <c r="U1013" s="267" t="str">
        <f t="shared" si="377"/>
        <v/>
      </c>
      <c r="V1013" s="267" t="str">
        <f t="shared" si="377"/>
        <v/>
      </c>
      <c r="W1013" s="267"/>
      <c r="X1013" s="237" t="s">
        <v>598</v>
      </c>
    </row>
    <row r="1014" spans="1:26" s="266" customFormat="1" ht="12" customHeight="1">
      <c r="A1014" s="315" t="s">
        <v>652</v>
      </c>
      <c r="B1014" s="315" t="s">
        <v>319</v>
      </c>
      <c r="C1014" s="1470" t="s">
        <v>654</v>
      </c>
      <c r="D1014" s="1471"/>
      <c r="E1014" s="1472"/>
      <c r="F1014" s="666">
        <f>+F1012+F1010</f>
        <v>0</v>
      </c>
      <c r="G1014" s="666">
        <f t="shared" ref="G1014:Q1014" si="387">+G1012+G1010</f>
        <v>31535431.98</v>
      </c>
      <c r="H1014" s="666">
        <f t="shared" si="387"/>
        <v>188462</v>
      </c>
      <c r="I1014" s="666">
        <f t="shared" si="387"/>
        <v>31723893.98</v>
      </c>
      <c r="J1014" s="666">
        <f t="shared" si="387"/>
        <v>0</v>
      </c>
      <c r="K1014" s="666">
        <f t="shared" si="387"/>
        <v>30088718.010000002</v>
      </c>
      <c r="L1014" s="666">
        <f t="shared" si="387"/>
        <v>187980</v>
      </c>
      <c r="M1014" s="666">
        <f t="shared" si="387"/>
        <v>30276698.010000002</v>
      </c>
      <c r="N1014" s="666">
        <f t="shared" si="387"/>
        <v>0</v>
      </c>
      <c r="O1014" s="666">
        <f t="shared" si="387"/>
        <v>1446713.9699999979</v>
      </c>
      <c r="P1014" s="666">
        <f t="shared" si="387"/>
        <v>482</v>
      </c>
      <c r="Q1014" s="666">
        <f t="shared" si="387"/>
        <v>1447195.9699999979</v>
      </c>
      <c r="R1014" s="1099">
        <f>+Q1014-'[3]chd12-SAOB'!BE351</f>
        <v>0</v>
      </c>
      <c r="S1014" s="525" t="str">
        <f t="shared" si="377"/>
        <v/>
      </c>
      <c r="T1014" s="525">
        <f t="shared" si="377"/>
        <v>0.95412417464528421</v>
      </c>
      <c r="U1014" s="525">
        <f t="shared" si="377"/>
        <v>0.99744245524296671</v>
      </c>
      <c r="V1014" s="525">
        <f t="shared" si="377"/>
        <v>0.95438151536780547</v>
      </c>
      <c r="W1014" s="345"/>
      <c r="X1014" s="237" t="s">
        <v>598</v>
      </c>
      <c r="Y1014" s="837" t="s">
        <v>598</v>
      </c>
      <c r="Z1014" s="241" t="s">
        <v>598</v>
      </c>
    </row>
    <row r="1015" spans="1:26" ht="12" customHeight="1">
      <c r="A1015" s="315" t="s">
        <v>652</v>
      </c>
      <c r="B1015" s="315" t="s">
        <v>319</v>
      </c>
      <c r="C1015" s="456"/>
      <c r="D1015" s="456"/>
      <c r="E1015" s="46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S1015" s="267" t="str">
        <f t="shared" si="377"/>
        <v/>
      </c>
      <c r="T1015" s="267" t="str">
        <f t="shared" si="377"/>
        <v/>
      </c>
      <c r="U1015" s="267" t="str">
        <f t="shared" si="377"/>
        <v/>
      </c>
      <c r="V1015" s="267" t="str">
        <f t="shared" si="377"/>
        <v/>
      </c>
      <c r="W1015" s="267"/>
      <c r="Y1015" s="837" t="s">
        <v>598</v>
      </c>
      <c r="Z1015" s="241" t="s">
        <v>598</v>
      </c>
    </row>
    <row r="1016" spans="1:26" ht="11.25" customHeight="1">
      <c r="A1016" s="528" t="s">
        <v>656</v>
      </c>
      <c r="B1016" s="528" t="s">
        <v>231</v>
      </c>
      <c r="C1016" s="408"/>
      <c r="D1016" s="682"/>
      <c r="E1016" s="408" t="s">
        <v>231</v>
      </c>
      <c r="F1016" s="104"/>
      <c r="G1016" s="104"/>
      <c r="H1016" s="104"/>
      <c r="I1016" s="103">
        <f>SUM(F1016:H1016)</f>
        <v>0</v>
      </c>
      <c r="J1016" s="104"/>
      <c r="K1016" s="104"/>
      <c r="L1016" s="104"/>
      <c r="M1016" s="103">
        <f>SUM(J1016:L1016)</f>
        <v>0</v>
      </c>
      <c r="N1016" s="103">
        <f t="shared" si="366"/>
        <v>0</v>
      </c>
      <c r="O1016" s="103">
        <f t="shared" si="366"/>
        <v>0</v>
      </c>
      <c r="P1016" s="103">
        <f t="shared" si="366"/>
        <v>0</v>
      </c>
      <c r="Q1016" s="103">
        <f>SUM(N1016:P1016)</f>
        <v>0</v>
      </c>
      <c r="S1016" s="267" t="str">
        <f t="shared" si="377"/>
        <v/>
      </c>
      <c r="T1016" s="267" t="str">
        <f t="shared" si="377"/>
        <v/>
      </c>
      <c r="U1016" s="267" t="str">
        <f t="shared" si="377"/>
        <v/>
      </c>
      <c r="V1016" s="267" t="str">
        <f t="shared" si="377"/>
        <v/>
      </c>
      <c r="W1016" s="531"/>
      <c r="X1016" s="236"/>
      <c r="Y1016" s="236" t="s">
        <v>598</v>
      </c>
      <c r="Z1016" s="240" t="s">
        <v>598</v>
      </c>
    </row>
    <row r="1017" spans="1:26" ht="12" customHeight="1">
      <c r="A1017" s="548" t="s">
        <v>230</v>
      </c>
      <c r="B1017" s="548" t="s">
        <v>231</v>
      </c>
      <c r="C1017" s="447" t="s">
        <v>766</v>
      </c>
      <c r="D1017" s="775"/>
      <c r="E1017" s="447" t="s">
        <v>766</v>
      </c>
      <c r="F1017" s="104">
        <f>SUM(F1018:F1020)</f>
        <v>0</v>
      </c>
      <c r="G1017" s="104">
        <f t="shared" ref="G1017:Q1017" si="388">SUM(G1018:G1020)</f>
        <v>9904040.8400000054</v>
      </c>
      <c r="H1017" s="104">
        <f t="shared" si="388"/>
        <v>0</v>
      </c>
      <c r="I1017" s="104">
        <f t="shared" si="388"/>
        <v>9904040.8400000054</v>
      </c>
      <c r="J1017" s="104">
        <f>SUM(J1018:J1020)</f>
        <v>0</v>
      </c>
      <c r="K1017" s="104">
        <f t="shared" si="388"/>
        <v>9904009.0399999991</v>
      </c>
      <c r="L1017" s="104">
        <f t="shared" si="388"/>
        <v>0</v>
      </c>
      <c r="M1017" s="104">
        <f t="shared" si="388"/>
        <v>9904009.0399999991</v>
      </c>
      <c r="N1017" s="104">
        <f t="shared" si="388"/>
        <v>0</v>
      </c>
      <c r="O1017" s="104">
        <f t="shared" si="388"/>
        <v>31.800000004470348</v>
      </c>
      <c r="P1017" s="104">
        <f t="shared" si="388"/>
        <v>0</v>
      </c>
      <c r="Q1017" s="104">
        <f t="shared" si="388"/>
        <v>31.800000004470348</v>
      </c>
      <c r="S1017" s="267" t="str">
        <f t="shared" si="377"/>
        <v/>
      </c>
      <c r="T1017" s="267">
        <f t="shared" si="377"/>
        <v>0.99999678918932988</v>
      </c>
      <c r="U1017" s="267" t="str">
        <f t="shared" si="377"/>
        <v/>
      </c>
      <c r="V1017" s="267">
        <f t="shared" si="377"/>
        <v>0.99999678918932988</v>
      </c>
      <c r="W1017" s="1484"/>
      <c r="X1017" s="236"/>
      <c r="Y1017" s="236" t="s">
        <v>688</v>
      </c>
      <c r="Z1017" s="236"/>
    </row>
    <row r="1018" spans="1:26" ht="12" hidden="1" customHeight="1">
      <c r="A1018" s="548" t="s">
        <v>230</v>
      </c>
      <c r="B1018" s="548" t="s">
        <v>231</v>
      </c>
      <c r="C1018" s="457" t="s">
        <v>775</v>
      </c>
      <c r="D1018" s="549" t="s">
        <v>98</v>
      </c>
      <c r="E1018" s="406" t="s">
        <v>775</v>
      </c>
      <c r="F1018" s="104">
        <f>+'[3]caraga-SAOB'!C186</f>
        <v>0</v>
      </c>
      <c r="G1018" s="104">
        <f>+'[3]caraga-SAOB'!C221</f>
        <v>729496.35000000056</v>
      </c>
      <c r="H1018" s="104">
        <f>+'[3]caraga-SAOB'!C313</f>
        <v>0</v>
      </c>
      <c r="I1018" s="103">
        <f t="shared" si="371"/>
        <v>729496.35000000056</v>
      </c>
      <c r="J1018" s="104">
        <f>+'[3]caraga-SAOB'!C187</f>
        <v>0</v>
      </c>
      <c r="K1018" s="104">
        <f>+'[3]caraga-SAOB'!C222</f>
        <v>729496.35</v>
      </c>
      <c r="L1018" s="104">
        <f>+'[3]caraga-SAOB'!C314</f>
        <v>0</v>
      </c>
      <c r="M1018" s="103">
        <f t="shared" si="372"/>
        <v>729496.35</v>
      </c>
      <c r="N1018" s="103">
        <f t="shared" si="366"/>
        <v>0</v>
      </c>
      <c r="O1018" s="103">
        <f t="shared" si="366"/>
        <v>0</v>
      </c>
      <c r="P1018" s="103">
        <f t="shared" si="366"/>
        <v>0</v>
      </c>
      <c r="Q1018" s="103">
        <f t="shared" si="373"/>
        <v>0</v>
      </c>
      <c r="S1018" s="267" t="str">
        <f t="shared" si="377"/>
        <v/>
      </c>
      <c r="T1018" s="267">
        <f t="shared" si="377"/>
        <v>0.99999999999999922</v>
      </c>
      <c r="U1018" s="267" t="str">
        <f t="shared" si="377"/>
        <v/>
      </c>
      <c r="V1018" s="267">
        <f t="shared" si="377"/>
        <v>0.99999999999999922</v>
      </c>
      <c r="W1018" s="1484"/>
      <c r="X1018" s="236"/>
      <c r="Y1018" s="236"/>
      <c r="Z1018" s="236"/>
    </row>
    <row r="1019" spans="1:26" ht="12" hidden="1" customHeight="1">
      <c r="A1019" s="548" t="s">
        <v>230</v>
      </c>
      <c r="B1019" s="548" t="s">
        <v>231</v>
      </c>
      <c r="C1019" s="456"/>
      <c r="D1019" s="549" t="s">
        <v>98</v>
      </c>
      <c r="E1019" s="406" t="s">
        <v>776</v>
      </c>
      <c r="F1019" s="104">
        <f>+'[3]caraga-SAOB'!D186</f>
        <v>0</v>
      </c>
      <c r="G1019" s="104">
        <f>+'[3]caraga-SAOB'!D221</f>
        <v>671973.26000000071</v>
      </c>
      <c r="H1019" s="104">
        <f>+'[3]caraga-SAOB'!D313</f>
        <v>0</v>
      </c>
      <c r="I1019" s="103">
        <f t="shared" si="371"/>
        <v>671973.26000000071</v>
      </c>
      <c r="J1019" s="104">
        <f>+'[3]caraga-SAOB'!D187</f>
        <v>0</v>
      </c>
      <c r="K1019" s="104">
        <f>+'[3]caraga-SAOB'!D222</f>
        <v>671973.26</v>
      </c>
      <c r="L1019" s="104">
        <f>+'[3]caraga-SAOB'!D314</f>
        <v>0</v>
      </c>
      <c r="M1019" s="103">
        <f t="shared" si="372"/>
        <v>671973.26</v>
      </c>
      <c r="N1019" s="103">
        <f t="shared" si="366"/>
        <v>0</v>
      </c>
      <c r="O1019" s="103">
        <f t="shared" si="366"/>
        <v>0</v>
      </c>
      <c r="P1019" s="103">
        <f t="shared" si="366"/>
        <v>0</v>
      </c>
      <c r="Q1019" s="103">
        <f t="shared" si="373"/>
        <v>0</v>
      </c>
      <c r="S1019" s="267" t="str">
        <f t="shared" si="377"/>
        <v/>
      </c>
      <c r="T1019" s="267">
        <f t="shared" si="377"/>
        <v>0.999999999999999</v>
      </c>
      <c r="U1019" s="267" t="str">
        <f t="shared" si="377"/>
        <v/>
      </c>
      <c r="V1019" s="267">
        <f t="shared" si="377"/>
        <v>0.999999999999999</v>
      </c>
      <c r="W1019" s="1484"/>
      <c r="X1019" s="236"/>
      <c r="Y1019" s="236"/>
      <c r="Z1019" s="236"/>
    </row>
    <row r="1020" spans="1:26" ht="12" hidden="1" customHeight="1">
      <c r="A1020" s="548" t="s">
        <v>230</v>
      </c>
      <c r="B1020" s="548" t="s">
        <v>231</v>
      </c>
      <c r="C1020" s="456"/>
      <c r="D1020" s="549" t="s">
        <v>98</v>
      </c>
      <c r="E1020" s="406" t="s">
        <v>777</v>
      </c>
      <c r="F1020" s="104">
        <f>+'[3]caraga-SAOB'!E186</f>
        <v>0</v>
      </c>
      <c r="G1020" s="104">
        <f>+'[3]caraga-SAOB'!E221</f>
        <v>8502571.2300000042</v>
      </c>
      <c r="H1020" s="104">
        <f>+'[3]caraga-SAOB'!E313</f>
        <v>0</v>
      </c>
      <c r="I1020" s="103">
        <f t="shared" si="371"/>
        <v>8502571.2300000042</v>
      </c>
      <c r="J1020" s="104">
        <f>+'[3]caraga-SAOB'!E187</f>
        <v>0</v>
      </c>
      <c r="K1020" s="104">
        <f>+'[3]caraga-SAOB'!E222</f>
        <v>8502539.4299999997</v>
      </c>
      <c r="L1020" s="104">
        <f>+'[3]caraga-SAOB'!E314</f>
        <v>0</v>
      </c>
      <c r="M1020" s="103">
        <f t="shared" si="372"/>
        <v>8502539.4299999997</v>
      </c>
      <c r="N1020" s="103">
        <f t="shared" si="366"/>
        <v>0</v>
      </c>
      <c r="O1020" s="103">
        <f t="shared" si="366"/>
        <v>31.800000004470348</v>
      </c>
      <c r="P1020" s="103">
        <f t="shared" si="366"/>
        <v>0</v>
      </c>
      <c r="Q1020" s="103">
        <f t="shared" si="373"/>
        <v>31.800000004470348</v>
      </c>
      <c r="S1020" s="267" t="str">
        <f t="shared" si="377"/>
        <v/>
      </c>
      <c r="T1020" s="267">
        <f t="shared" si="377"/>
        <v>0.99999625995488373</v>
      </c>
      <c r="U1020" s="267" t="str">
        <f t="shared" si="377"/>
        <v/>
      </c>
      <c r="V1020" s="267">
        <f t="shared" si="377"/>
        <v>0.99999625995488373</v>
      </c>
      <c r="W1020" s="1484"/>
      <c r="X1020" s="236"/>
      <c r="Y1020" s="236"/>
      <c r="Z1020" s="236"/>
    </row>
    <row r="1021" spans="1:26" ht="12" customHeight="1">
      <c r="A1021" s="548" t="s">
        <v>230</v>
      </c>
      <c r="B1021" s="548" t="s">
        <v>231</v>
      </c>
      <c r="C1021" s="456"/>
      <c r="D1021" s="775"/>
      <c r="E1021" s="453" t="s">
        <v>50</v>
      </c>
      <c r="F1021" s="103">
        <f>+F1022+F1023</f>
        <v>0</v>
      </c>
      <c r="G1021" s="103">
        <f>+G1022+G1023</f>
        <v>33494795.960000001</v>
      </c>
      <c r="H1021" s="103">
        <f>+H1022+H1023</f>
        <v>76407214.150000006</v>
      </c>
      <c r="I1021" s="103">
        <f t="shared" si="371"/>
        <v>109902010.11000001</v>
      </c>
      <c r="J1021" s="103">
        <f>+J1022+J1023</f>
        <v>0</v>
      </c>
      <c r="K1021" s="103">
        <f>+K1022+K1023</f>
        <v>32302925.059999999</v>
      </c>
      <c r="L1021" s="103">
        <f>+L1022+L1023</f>
        <v>37465258.5</v>
      </c>
      <c r="M1021" s="103">
        <f t="shared" si="372"/>
        <v>69768183.560000002</v>
      </c>
      <c r="N1021" s="103">
        <f t="shared" ref="N1021:P1079" si="389">+F1021-J1021</f>
        <v>0</v>
      </c>
      <c r="O1021" s="103">
        <f t="shared" si="389"/>
        <v>1191870.9000000022</v>
      </c>
      <c r="P1021" s="103">
        <f t="shared" si="389"/>
        <v>38941955.650000006</v>
      </c>
      <c r="Q1021" s="103">
        <f t="shared" si="373"/>
        <v>40133826.550000012</v>
      </c>
      <c r="S1021" s="267" t="str">
        <f t="shared" si="377"/>
        <v/>
      </c>
      <c r="T1021" s="267">
        <f t="shared" si="377"/>
        <v>0.96441623643794239</v>
      </c>
      <c r="U1021" s="267">
        <f t="shared" si="377"/>
        <v>0.49033666410673599</v>
      </c>
      <c r="V1021" s="267">
        <f t="shared" si="377"/>
        <v>0.63482172428119921</v>
      </c>
      <c r="W1021" s="1484"/>
      <c r="X1021" s="236"/>
      <c r="Y1021" s="236" t="s">
        <v>688</v>
      </c>
      <c r="Z1021" s="236"/>
    </row>
    <row r="1022" spans="1:26" ht="12" hidden="1" customHeight="1">
      <c r="A1022" s="548" t="s">
        <v>230</v>
      </c>
      <c r="B1022" s="548" t="s">
        <v>231</v>
      </c>
      <c r="C1022" s="458" t="s">
        <v>715</v>
      </c>
      <c r="D1022" s="550" t="s">
        <v>715</v>
      </c>
      <c r="E1022" s="447" t="s">
        <v>715</v>
      </c>
      <c r="F1022" s="104">
        <f>'[3]CONAP - W INC'!F774</f>
        <v>0</v>
      </c>
      <c r="G1022" s="104">
        <f>'[3]CONAP - W INC'!G774</f>
        <v>-6085707.5099999998</v>
      </c>
      <c r="H1022" s="104">
        <f>'[3]CONAP - W INC'!H774</f>
        <v>12600100</v>
      </c>
      <c r="I1022" s="103">
        <f t="shared" si="371"/>
        <v>6514392.4900000002</v>
      </c>
      <c r="J1022" s="104">
        <f>'[3]CONAP - W INC'!J774</f>
        <v>0</v>
      </c>
      <c r="K1022" s="104">
        <f>'[3]CONAP - W INC'!K774</f>
        <v>0</v>
      </c>
      <c r="L1022" s="104">
        <f>'[3]CONAP - W INC'!L774</f>
        <v>12600100</v>
      </c>
      <c r="M1022" s="103">
        <f t="shared" si="372"/>
        <v>12600100</v>
      </c>
      <c r="N1022" s="103">
        <f t="shared" si="389"/>
        <v>0</v>
      </c>
      <c r="O1022" s="103">
        <f t="shared" si="389"/>
        <v>-6085707.5099999998</v>
      </c>
      <c r="P1022" s="103">
        <f t="shared" si="389"/>
        <v>0</v>
      </c>
      <c r="Q1022" s="103">
        <f t="shared" si="373"/>
        <v>-6085707.5099999998</v>
      </c>
      <c r="S1022" s="267" t="str">
        <f t="shared" si="377"/>
        <v/>
      </c>
      <c r="T1022" s="267">
        <f t="shared" si="377"/>
        <v>0</v>
      </c>
      <c r="U1022" s="267">
        <f t="shared" si="377"/>
        <v>1</v>
      </c>
      <c r="V1022" s="267">
        <f t="shared" si="377"/>
        <v>1.9341941737993131</v>
      </c>
      <c r="W1022" s="1484"/>
      <c r="X1022" s="236"/>
      <c r="Y1022" s="236"/>
      <c r="Z1022" s="236"/>
    </row>
    <row r="1023" spans="1:26" ht="12" hidden="1" customHeight="1">
      <c r="A1023" s="548" t="s">
        <v>230</v>
      </c>
      <c r="B1023" s="548" t="s">
        <v>231</v>
      </c>
      <c r="C1023" s="458" t="s">
        <v>716</v>
      </c>
      <c r="D1023" s="550" t="s">
        <v>716</v>
      </c>
      <c r="E1023" s="459" t="s">
        <v>716</v>
      </c>
      <c r="F1023" s="104">
        <f>'[3]CONAP - W INC'!F775</f>
        <v>0</v>
      </c>
      <c r="G1023" s="104">
        <f>'[3]CONAP - W INC'!G775</f>
        <v>39580503.469999999</v>
      </c>
      <c r="H1023" s="104">
        <f>'[3]CONAP - W INC'!H775</f>
        <v>63807114.149999999</v>
      </c>
      <c r="I1023" s="103">
        <f t="shared" si="371"/>
        <v>103387617.62</v>
      </c>
      <c r="J1023" s="104">
        <f>'[3]CONAP - W INC'!J775</f>
        <v>0</v>
      </c>
      <c r="K1023" s="104">
        <f>'[3]CONAP - W INC'!K775</f>
        <v>32302925.059999999</v>
      </c>
      <c r="L1023" s="104">
        <f>'[3]CONAP - W INC'!L775</f>
        <v>24865158.5</v>
      </c>
      <c r="M1023" s="103">
        <f t="shared" si="372"/>
        <v>57168083.560000002</v>
      </c>
      <c r="N1023" s="103">
        <f t="shared" si="389"/>
        <v>0</v>
      </c>
      <c r="O1023" s="103">
        <f t="shared" si="389"/>
        <v>7277578.4100000001</v>
      </c>
      <c r="P1023" s="103">
        <f t="shared" si="389"/>
        <v>38941955.649999999</v>
      </c>
      <c r="Q1023" s="103">
        <f t="shared" si="373"/>
        <v>46219534.060000002</v>
      </c>
      <c r="S1023" s="267" t="str">
        <f t="shared" si="377"/>
        <v/>
      </c>
      <c r="T1023" s="267">
        <f t="shared" si="377"/>
        <v>0.81613224259474026</v>
      </c>
      <c r="U1023" s="267">
        <f t="shared" si="377"/>
        <v>0.38969257317524364</v>
      </c>
      <c r="V1023" s="267">
        <f t="shared" si="377"/>
        <v>0.55294903660630457</v>
      </c>
      <c r="W1023" s="1484"/>
      <c r="X1023" s="236"/>
      <c r="Y1023" s="236"/>
      <c r="Z1023" s="236"/>
    </row>
    <row r="1024" spans="1:26" s="256" customFormat="1" ht="12" customHeight="1">
      <c r="A1024" s="548"/>
      <c r="B1024" s="548" t="s">
        <v>231</v>
      </c>
      <c r="C1024" s="460"/>
      <c r="D1024" s="551"/>
      <c r="E1024" s="390" t="s">
        <v>767</v>
      </c>
      <c r="F1024" s="391">
        <f>+F1021+F1017</f>
        <v>0</v>
      </c>
      <c r="G1024" s="391">
        <f t="shared" ref="G1024:Q1024" si="390">+G1021+G1017</f>
        <v>43398836.800000004</v>
      </c>
      <c r="H1024" s="391">
        <f t="shared" si="390"/>
        <v>76407214.150000006</v>
      </c>
      <c r="I1024" s="391">
        <f t="shared" si="390"/>
        <v>119806050.95000002</v>
      </c>
      <c r="J1024" s="391">
        <f t="shared" si="390"/>
        <v>0</v>
      </c>
      <c r="K1024" s="391">
        <f t="shared" si="390"/>
        <v>42206934.099999994</v>
      </c>
      <c r="L1024" s="391">
        <f t="shared" si="390"/>
        <v>37465258.5</v>
      </c>
      <c r="M1024" s="391">
        <f t="shared" si="390"/>
        <v>79672192.599999994</v>
      </c>
      <c r="N1024" s="391">
        <f t="shared" si="390"/>
        <v>0</v>
      </c>
      <c r="O1024" s="391">
        <f t="shared" si="390"/>
        <v>1191902.7000000067</v>
      </c>
      <c r="P1024" s="391">
        <f t="shared" si="390"/>
        <v>38941955.650000006</v>
      </c>
      <c r="Q1024" s="391">
        <f t="shared" si="390"/>
        <v>40133858.350000016</v>
      </c>
      <c r="R1024" s="761"/>
      <c r="S1024" s="267" t="str">
        <f t="shared" si="377"/>
        <v/>
      </c>
      <c r="T1024" s="267">
        <f t="shared" si="377"/>
        <v>0.97253606806346449</v>
      </c>
      <c r="U1024" s="267">
        <f t="shared" si="377"/>
        <v>0.49033666410673599</v>
      </c>
      <c r="V1024" s="267">
        <f t="shared" si="377"/>
        <v>0.66500975508532933</v>
      </c>
      <c r="W1024" s="1484"/>
      <c r="Y1024" s="236" t="s">
        <v>598</v>
      </c>
      <c r="Z1024" s="240" t="s">
        <v>598</v>
      </c>
    </row>
    <row r="1025" spans="1:26" ht="12" hidden="1" customHeight="1">
      <c r="A1025" s="548"/>
      <c r="B1025" s="548"/>
      <c r="C1025" s="456"/>
      <c r="D1025" s="549"/>
      <c r="E1025" s="461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S1025" s="267" t="str">
        <f t="shared" si="377"/>
        <v/>
      </c>
      <c r="T1025" s="267" t="str">
        <f t="shared" si="377"/>
        <v/>
      </c>
      <c r="U1025" s="267" t="str">
        <f t="shared" si="377"/>
        <v/>
      </c>
      <c r="V1025" s="267" t="str">
        <f t="shared" si="377"/>
        <v/>
      </c>
      <c r="W1025" s="530"/>
      <c r="X1025" s="236"/>
      <c r="Y1025" s="236"/>
      <c r="Z1025" s="236"/>
    </row>
    <row r="1026" spans="1:26" s="256" customFormat="1" ht="12" customHeight="1">
      <c r="A1026" s="548" t="s">
        <v>230</v>
      </c>
      <c r="B1026" s="548" t="s">
        <v>231</v>
      </c>
      <c r="C1026" s="460"/>
      <c r="D1026" s="551" t="s">
        <v>98</v>
      </c>
      <c r="E1026" s="390" t="s">
        <v>100</v>
      </c>
      <c r="F1026" s="391">
        <f>SUM(F1027:F1027)</f>
        <v>0</v>
      </c>
      <c r="G1026" s="391">
        <f>SUM(G1027:G1027)</f>
        <v>0</v>
      </c>
      <c r="H1026" s="391">
        <f>SUM(H1027:H1027)</f>
        <v>0</v>
      </c>
      <c r="I1026" s="391">
        <f>+F1026+G1026+H1026</f>
        <v>0</v>
      </c>
      <c r="J1026" s="391">
        <f>SUM(J1027:J1027)</f>
        <v>0</v>
      </c>
      <c r="K1026" s="391">
        <f>SUM(K1027:K1027)</f>
        <v>0</v>
      </c>
      <c r="L1026" s="391">
        <f>SUM(L1027:L1027)</f>
        <v>0</v>
      </c>
      <c r="M1026" s="391">
        <f>+J1026+K1026+L1026</f>
        <v>0</v>
      </c>
      <c r="N1026" s="391">
        <f t="shared" ref="N1026:P1027" si="391">+F1026-J1026</f>
        <v>0</v>
      </c>
      <c r="O1026" s="391">
        <f t="shared" si="391"/>
        <v>0</v>
      </c>
      <c r="P1026" s="391">
        <f t="shared" si="391"/>
        <v>0</v>
      </c>
      <c r="Q1026" s="391">
        <f>+N1026+O1026+P1026</f>
        <v>0</v>
      </c>
      <c r="R1026" s="761"/>
      <c r="S1026" s="267" t="str">
        <f t="shared" si="377"/>
        <v/>
      </c>
      <c r="T1026" s="267" t="str">
        <f t="shared" si="377"/>
        <v/>
      </c>
      <c r="U1026" s="267" t="str">
        <f t="shared" si="377"/>
        <v/>
      </c>
      <c r="V1026" s="267" t="str">
        <f t="shared" si="377"/>
        <v/>
      </c>
      <c r="W1026" s="532"/>
      <c r="Y1026" s="236" t="s">
        <v>598</v>
      </c>
      <c r="Z1026" s="240" t="s">
        <v>598</v>
      </c>
    </row>
    <row r="1027" spans="1:26" ht="12" customHeight="1">
      <c r="A1027" s="548" t="s">
        <v>230</v>
      </c>
      <c r="B1027" s="548" t="s">
        <v>231</v>
      </c>
      <c r="C1027" s="456"/>
      <c r="D1027" s="549"/>
      <c r="E1027" s="462" t="s">
        <v>290</v>
      </c>
      <c r="F1027" s="103">
        <v>0</v>
      </c>
      <c r="G1027" s="103">
        <f>SUM('[3]caraga-SAOB'!AH221)</f>
        <v>0</v>
      </c>
      <c r="H1027" s="103">
        <f>SUM('[3]caraga-SAOB'!AH313)</f>
        <v>0</v>
      </c>
      <c r="I1027" s="103">
        <f>+F1027+G1027+H1027</f>
        <v>0</v>
      </c>
      <c r="J1027" s="103">
        <v>0</v>
      </c>
      <c r="K1027" s="103">
        <f>SUM('[3]caraga-SAOB'!AH222)</f>
        <v>0</v>
      </c>
      <c r="L1027" s="103">
        <f>SUM('[3]caraga-SAOB'!AH314)</f>
        <v>0</v>
      </c>
      <c r="M1027" s="103">
        <f>+J1027+K1027+L1027</f>
        <v>0</v>
      </c>
      <c r="N1027" s="103">
        <f t="shared" si="391"/>
        <v>0</v>
      </c>
      <c r="O1027" s="103">
        <f t="shared" si="391"/>
        <v>0</v>
      </c>
      <c r="P1027" s="103">
        <f t="shared" si="391"/>
        <v>0</v>
      </c>
      <c r="Q1027" s="103">
        <f>+N1027+O1027+P1027</f>
        <v>0</v>
      </c>
      <c r="S1027" s="267" t="str">
        <f t="shared" si="377"/>
        <v/>
      </c>
      <c r="T1027" s="267" t="str">
        <f t="shared" si="377"/>
        <v/>
      </c>
      <c r="U1027" s="267" t="str">
        <f t="shared" si="377"/>
        <v/>
      </c>
      <c r="V1027" s="267" t="str">
        <f t="shared" si="377"/>
        <v/>
      </c>
      <c r="W1027" s="530"/>
      <c r="X1027" s="236"/>
      <c r="Y1027" s="236" t="s">
        <v>598</v>
      </c>
      <c r="Z1027" s="236"/>
    </row>
    <row r="1028" spans="1:26" s="259" customFormat="1" ht="12" customHeight="1">
      <c r="A1028" s="315" t="s">
        <v>230</v>
      </c>
      <c r="B1028" s="315" t="s">
        <v>231</v>
      </c>
      <c r="C1028" s="1477" t="s">
        <v>320</v>
      </c>
      <c r="D1028" s="1478"/>
      <c r="E1028" s="1479"/>
      <c r="F1028" s="652">
        <f>+F1024+F1026</f>
        <v>0</v>
      </c>
      <c r="G1028" s="652">
        <f t="shared" ref="G1028:Q1028" si="392">+G1024+G1026</f>
        <v>43398836.800000004</v>
      </c>
      <c r="H1028" s="652">
        <f t="shared" si="392"/>
        <v>76407214.150000006</v>
      </c>
      <c r="I1028" s="652">
        <f t="shared" si="392"/>
        <v>119806050.95000002</v>
      </c>
      <c r="J1028" s="652">
        <f t="shared" si="392"/>
        <v>0</v>
      </c>
      <c r="K1028" s="652">
        <f t="shared" si="392"/>
        <v>42206934.099999994</v>
      </c>
      <c r="L1028" s="652">
        <f t="shared" si="392"/>
        <v>37465258.5</v>
      </c>
      <c r="M1028" s="652">
        <f t="shared" si="392"/>
        <v>79672192.599999994</v>
      </c>
      <c r="N1028" s="652">
        <f t="shared" si="392"/>
        <v>0</v>
      </c>
      <c r="O1028" s="652">
        <f t="shared" si="392"/>
        <v>1191902.7000000067</v>
      </c>
      <c r="P1028" s="652">
        <f t="shared" si="392"/>
        <v>38941955.650000006</v>
      </c>
      <c r="Q1028" s="652">
        <f t="shared" si="392"/>
        <v>40133858.350000016</v>
      </c>
      <c r="R1028" s="1095">
        <f>+Q1028-'[3]caraga-SAOB'!BB350</f>
        <v>0</v>
      </c>
      <c r="S1028" s="524" t="str">
        <f t="shared" si="377"/>
        <v/>
      </c>
      <c r="T1028" s="524">
        <f t="shared" si="377"/>
        <v>0.97253606806346449</v>
      </c>
      <c r="U1028" s="524">
        <f t="shared" si="377"/>
        <v>0.49033666410673599</v>
      </c>
      <c r="V1028" s="524">
        <f t="shared" si="377"/>
        <v>0.66500975508532933</v>
      </c>
      <c r="W1028" s="344"/>
      <c r="X1028" s="520"/>
      <c r="Y1028" s="837" t="s">
        <v>598</v>
      </c>
      <c r="Z1028" s="241" t="s">
        <v>598</v>
      </c>
    </row>
    <row r="1029" spans="1:26" ht="12" customHeight="1">
      <c r="A1029" s="315" t="s">
        <v>101</v>
      </c>
      <c r="B1029" s="315" t="s">
        <v>231</v>
      </c>
      <c r="C1029" s="456"/>
      <c r="D1029" s="456"/>
      <c r="E1029" s="46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S1029" s="267" t="str">
        <f t="shared" si="377"/>
        <v/>
      </c>
      <c r="T1029" s="267" t="str">
        <f t="shared" si="377"/>
        <v/>
      </c>
      <c r="U1029" s="267" t="str">
        <f t="shared" si="377"/>
        <v/>
      </c>
      <c r="V1029" s="267" t="str">
        <f t="shared" si="377"/>
        <v/>
      </c>
      <c r="W1029" s="267"/>
      <c r="Y1029" s="837" t="s">
        <v>598</v>
      </c>
      <c r="Z1029" s="241" t="s">
        <v>598</v>
      </c>
    </row>
    <row r="1030" spans="1:26" ht="12" customHeight="1">
      <c r="A1030" s="315" t="s">
        <v>232</v>
      </c>
      <c r="B1030" s="315" t="s">
        <v>57</v>
      </c>
      <c r="C1030" s="1100" t="s">
        <v>233</v>
      </c>
      <c r="D1030" s="456"/>
      <c r="E1030" s="463"/>
      <c r="F1030" s="104"/>
      <c r="G1030" s="104"/>
      <c r="H1030" s="104"/>
      <c r="I1030" s="103">
        <f t="shared" si="371"/>
        <v>0</v>
      </c>
      <c r="J1030" s="104"/>
      <c r="K1030" s="104"/>
      <c r="L1030" s="104"/>
      <c r="M1030" s="103">
        <f t="shared" si="372"/>
        <v>0</v>
      </c>
      <c r="N1030" s="103">
        <f t="shared" si="389"/>
        <v>0</v>
      </c>
      <c r="O1030" s="103">
        <f t="shared" si="389"/>
        <v>0</v>
      </c>
      <c r="P1030" s="103">
        <f t="shared" si="389"/>
        <v>0</v>
      </c>
      <c r="Q1030" s="103">
        <f t="shared" si="373"/>
        <v>0</v>
      </c>
      <c r="S1030" s="267" t="str">
        <f t="shared" si="377"/>
        <v/>
      </c>
      <c r="T1030" s="267" t="str">
        <f t="shared" si="377"/>
        <v/>
      </c>
      <c r="U1030" s="267" t="str">
        <f t="shared" si="377"/>
        <v/>
      </c>
      <c r="V1030" s="267" t="str">
        <f t="shared" si="377"/>
        <v/>
      </c>
      <c r="W1030" s="267"/>
      <c r="Y1030" s="837" t="s">
        <v>598</v>
      </c>
      <c r="Z1030" s="241" t="s">
        <v>598</v>
      </c>
    </row>
    <row r="1031" spans="1:26" s="275" customFormat="1" ht="12" customHeight="1">
      <c r="A1031" s="548" t="s">
        <v>232</v>
      </c>
      <c r="B1031" s="548" t="s">
        <v>234</v>
      </c>
      <c r="C1031" s="464" t="s">
        <v>98</v>
      </c>
      <c r="D1031" s="552" t="s">
        <v>105</v>
      </c>
      <c r="E1031" s="407" t="s">
        <v>847</v>
      </c>
      <c r="F1031" s="468"/>
      <c r="G1031" s="468"/>
      <c r="H1031" s="468"/>
      <c r="I1031" s="409">
        <f t="shared" si="371"/>
        <v>0</v>
      </c>
      <c r="J1031" s="468"/>
      <c r="K1031" s="468"/>
      <c r="L1031" s="468"/>
      <c r="M1031" s="409">
        <f t="shared" si="372"/>
        <v>0</v>
      </c>
      <c r="N1031" s="409">
        <f t="shared" si="389"/>
        <v>0</v>
      </c>
      <c r="O1031" s="409">
        <f t="shared" si="389"/>
        <v>0</v>
      </c>
      <c r="P1031" s="409">
        <f t="shared" si="389"/>
        <v>0</v>
      </c>
      <c r="Q1031" s="409">
        <f t="shared" si="373"/>
        <v>0</v>
      </c>
      <c r="R1031" s="761"/>
      <c r="S1031" s="267" t="str">
        <f t="shared" si="377"/>
        <v/>
      </c>
      <c r="T1031" s="267" t="str">
        <f t="shared" si="377"/>
        <v/>
      </c>
      <c r="U1031" s="267" t="str">
        <f t="shared" si="377"/>
        <v/>
      </c>
      <c r="V1031" s="267" t="str">
        <f t="shared" si="377"/>
        <v/>
      </c>
      <c r="W1031" s="553"/>
      <c r="Y1031" s="236" t="s">
        <v>598</v>
      </c>
      <c r="Z1031" s="240" t="s">
        <v>598</v>
      </c>
    </row>
    <row r="1032" spans="1:26" ht="12" customHeight="1">
      <c r="A1032" s="548" t="s">
        <v>232</v>
      </c>
      <c r="B1032" s="548" t="s">
        <v>234</v>
      </c>
      <c r="C1032" s="447" t="s">
        <v>766</v>
      </c>
      <c r="D1032" s="775"/>
      <c r="E1032" s="447" t="s">
        <v>766</v>
      </c>
      <c r="F1032" s="104">
        <f>+'[3]caraga-SAOB'!C438</f>
        <v>0</v>
      </c>
      <c r="G1032" s="104">
        <f>+'[3]caraga-SAOB'!D438</f>
        <v>0</v>
      </c>
      <c r="H1032" s="104">
        <f>+'[3]caraga-SAOB'!E438</f>
        <v>0</v>
      </c>
      <c r="I1032" s="103">
        <f t="shared" si="371"/>
        <v>0</v>
      </c>
      <c r="J1032" s="104">
        <f>+'[3]caraga-SAOB'!G438</f>
        <v>0</v>
      </c>
      <c r="K1032" s="104">
        <f>+'[3]caraga-SAOB'!H438</f>
        <v>0</v>
      </c>
      <c r="L1032" s="104">
        <f>+'[3]caraga-SAOB'!I438</f>
        <v>0</v>
      </c>
      <c r="M1032" s="103">
        <f t="shared" si="372"/>
        <v>0</v>
      </c>
      <c r="N1032" s="103">
        <f t="shared" si="389"/>
        <v>0</v>
      </c>
      <c r="O1032" s="103">
        <f t="shared" si="389"/>
        <v>0</v>
      </c>
      <c r="P1032" s="103">
        <f t="shared" si="389"/>
        <v>0</v>
      </c>
      <c r="Q1032" s="103">
        <f t="shared" si="373"/>
        <v>0</v>
      </c>
      <c r="S1032" s="267" t="str">
        <f t="shared" si="377"/>
        <v/>
      </c>
      <c r="T1032" s="267" t="str">
        <f t="shared" si="377"/>
        <v/>
      </c>
      <c r="U1032" s="267" t="str">
        <f t="shared" si="377"/>
        <v/>
      </c>
      <c r="V1032" s="267" t="str">
        <f t="shared" si="377"/>
        <v/>
      </c>
      <c r="W1032" s="530"/>
      <c r="X1032" s="236"/>
      <c r="Y1032" s="236" t="s">
        <v>688</v>
      </c>
      <c r="Z1032" s="236"/>
    </row>
    <row r="1033" spans="1:26" ht="12" customHeight="1">
      <c r="A1033" s="548" t="s">
        <v>232</v>
      </c>
      <c r="B1033" s="548" t="s">
        <v>234</v>
      </c>
      <c r="C1033" s="456"/>
      <c r="D1033" s="775"/>
      <c r="E1033" s="453" t="s">
        <v>50</v>
      </c>
      <c r="F1033" s="103">
        <f>+F1034+F1035</f>
        <v>0</v>
      </c>
      <c r="G1033" s="103">
        <f>+G1034+G1035</f>
        <v>3277393.39</v>
      </c>
      <c r="H1033" s="103">
        <f>+H1034+H1035</f>
        <v>0</v>
      </c>
      <c r="I1033" s="103">
        <f t="shared" ref="I1033:I1093" si="393">+F1033+G1033+H1033</f>
        <v>3277393.39</v>
      </c>
      <c r="J1033" s="103">
        <f>+J1034+J1035</f>
        <v>0</v>
      </c>
      <c r="K1033" s="103">
        <f>+K1034+K1035</f>
        <v>3277393.39</v>
      </c>
      <c r="L1033" s="103">
        <f>+L1034+L1035</f>
        <v>0</v>
      </c>
      <c r="M1033" s="103">
        <f t="shared" ref="M1033:M1093" si="394">+J1033+K1033+L1033</f>
        <v>3277393.39</v>
      </c>
      <c r="N1033" s="103">
        <f t="shared" si="389"/>
        <v>0</v>
      </c>
      <c r="O1033" s="103">
        <f t="shared" si="389"/>
        <v>0</v>
      </c>
      <c r="P1033" s="103">
        <f t="shared" si="389"/>
        <v>0</v>
      </c>
      <c r="Q1033" s="103">
        <f t="shared" ref="Q1033:Q1093" si="395">+N1033+O1033+P1033</f>
        <v>0</v>
      </c>
      <c r="S1033" s="267" t="str">
        <f t="shared" si="377"/>
        <v/>
      </c>
      <c r="T1033" s="267">
        <f t="shared" si="377"/>
        <v>1</v>
      </c>
      <c r="U1033" s="267" t="str">
        <f t="shared" si="377"/>
        <v/>
      </c>
      <c r="V1033" s="267">
        <f t="shared" si="377"/>
        <v>1</v>
      </c>
      <c r="W1033" s="530"/>
      <c r="X1033" s="236"/>
      <c r="Y1033" s="236" t="s">
        <v>688</v>
      </c>
      <c r="Z1033" s="236"/>
    </row>
    <row r="1034" spans="1:26" ht="12" hidden="1" customHeight="1">
      <c r="A1034" s="548" t="s">
        <v>232</v>
      </c>
      <c r="B1034" s="548" t="s">
        <v>234</v>
      </c>
      <c r="C1034" s="458" t="s">
        <v>715</v>
      </c>
      <c r="D1034" s="550" t="s">
        <v>715</v>
      </c>
      <c r="E1034" s="447" t="s">
        <v>715</v>
      </c>
      <c r="F1034" s="104">
        <f>'[3]CONAP - W INC'!F783</f>
        <v>0</v>
      </c>
      <c r="G1034" s="104">
        <f>'[3]CONAP - W INC'!G783</f>
        <v>80000</v>
      </c>
      <c r="H1034" s="104">
        <f>'[3]CONAP - W INC'!H783</f>
        <v>0</v>
      </c>
      <c r="I1034" s="103">
        <f t="shared" si="393"/>
        <v>80000</v>
      </c>
      <c r="J1034" s="104">
        <f>'[3]CONAP - W INC'!J783</f>
        <v>0</v>
      </c>
      <c r="K1034" s="104">
        <f>'[3]CONAP - W INC'!K783</f>
        <v>80000</v>
      </c>
      <c r="L1034" s="104">
        <f>'[3]CONAP - W INC'!L783</f>
        <v>0</v>
      </c>
      <c r="M1034" s="103">
        <f t="shared" si="394"/>
        <v>80000</v>
      </c>
      <c r="N1034" s="103">
        <f t="shared" si="389"/>
        <v>0</v>
      </c>
      <c r="O1034" s="103">
        <f t="shared" si="389"/>
        <v>0</v>
      </c>
      <c r="P1034" s="103">
        <f t="shared" si="389"/>
        <v>0</v>
      </c>
      <c r="Q1034" s="103">
        <f t="shared" si="395"/>
        <v>0</v>
      </c>
      <c r="S1034" s="267" t="str">
        <f t="shared" si="377"/>
        <v/>
      </c>
      <c r="T1034" s="267">
        <f t="shared" si="377"/>
        <v>1</v>
      </c>
      <c r="U1034" s="267" t="str">
        <f t="shared" si="377"/>
        <v/>
      </c>
      <c r="V1034" s="267">
        <f t="shared" si="377"/>
        <v>1</v>
      </c>
      <c r="W1034" s="530"/>
      <c r="X1034" s="236"/>
      <c r="Y1034" s="236"/>
      <c r="Z1034" s="236"/>
    </row>
    <row r="1035" spans="1:26" ht="12" hidden="1" customHeight="1">
      <c r="A1035" s="548" t="s">
        <v>232</v>
      </c>
      <c r="B1035" s="548" t="s">
        <v>234</v>
      </c>
      <c r="C1035" s="458" t="s">
        <v>716</v>
      </c>
      <c r="D1035" s="550" t="s">
        <v>716</v>
      </c>
      <c r="E1035" s="459" t="s">
        <v>716</v>
      </c>
      <c r="F1035" s="104">
        <f>+'[3]caraga-SAOB'!AN186</f>
        <v>0</v>
      </c>
      <c r="G1035" s="104">
        <f>'[3]CONAP - W INC'!G784</f>
        <v>3197393.39</v>
      </c>
      <c r="H1035" s="104">
        <f>'[3]CONAP - W INC'!H784</f>
        <v>0</v>
      </c>
      <c r="I1035" s="103">
        <f t="shared" si="393"/>
        <v>3197393.39</v>
      </c>
      <c r="J1035" s="104">
        <f>+'[3]caraga-SAOB'!AN187</f>
        <v>0</v>
      </c>
      <c r="K1035" s="104">
        <f>'[3]CONAP - W INC'!K784</f>
        <v>3197393.39</v>
      </c>
      <c r="L1035" s="104">
        <f>'[3]CONAP - W INC'!L784</f>
        <v>0</v>
      </c>
      <c r="M1035" s="103">
        <f t="shared" si="394"/>
        <v>3197393.39</v>
      </c>
      <c r="N1035" s="103">
        <f t="shared" si="389"/>
        <v>0</v>
      </c>
      <c r="O1035" s="103">
        <f t="shared" si="389"/>
        <v>0</v>
      </c>
      <c r="P1035" s="103">
        <f t="shared" si="389"/>
        <v>0</v>
      </c>
      <c r="Q1035" s="103">
        <f t="shared" si="395"/>
        <v>0</v>
      </c>
      <c r="S1035" s="267" t="str">
        <f t="shared" si="377"/>
        <v/>
      </c>
      <c r="T1035" s="267">
        <f t="shared" si="377"/>
        <v>1</v>
      </c>
      <c r="U1035" s="267" t="str">
        <f t="shared" si="377"/>
        <v/>
      </c>
      <c r="V1035" s="267">
        <f t="shared" si="377"/>
        <v>1</v>
      </c>
      <c r="W1035" s="530"/>
      <c r="X1035" s="236"/>
      <c r="Y1035" s="236"/>
      <c r="Z1035" s="236"/>
    </row>
    <row r="1036" spans="1:26" s="256" customFormat="1" ht="12" customHeight="1">
      <c r="A1036" s="548"/>
      <c r="B1036" s="548" t="s">
        <v>234</v>
      </c>
      <c r="C1036" s="460"/>
      <c r="D1036" s="551"/>
      <c r="E1036" s="390" t="s">
        <v>767</v>
      </c>
      <c r="F1036" s="391">
        <f>+F1033+F1032</f>
        <v>0</v>
      </c>
      <c r="G1036" s="391">
        <f t="shared" ref="G1036:Q1036" si="396">+G1033+G1032</f>
        <v>3277393.39</v>
      </c>
      <c r="H1036" s="391">
        <f t="shared" si="396"/>
        <v>0</v>
      </c>
      <c r="I1036" s="391">
        <f t="shared" si="396"/>
        <v>3277393.39</v>
      </c>
      <c r="J1036" s="391">
        <f t="shared" si="396"/>
        <v>0</v>
      </c>
      <c r="K1036" s="391">
        <f t="shared" si="396"/>
        <v>3277393.39</v>
      </c>
      <c r="L1036" s="391">
        <f t="shared" si="396"/>
        <v>0</v>
      </c>
      <c r="M1036" s="391">
        <f t="shared" si="396"/>
        <v>3277393.39</v>
      </c>
      <c r="N1036" s="391">
        <f t="shared" si="396"/>
        <v>0</v>
      </c>
      <c r="O1036" s="391">
        <f t="shared" si="396"/>
        <v>0</v>
      </c>
      <c r="P1036" s="391">
        <f t="shared" si="396"/>
        <v>0</v>
      </c>
      <c r="Q1036" s="391">
        <f t="shared" si="396"/>
        <v>0</v>
      </c>
      <c r="R1036" s="761"/>
      <c r="S1036" s="267" t="str">
        <f t="shared" si="377"/>
        <v/>
      </c>
      <c r="T1036" s="267">
        <f t="shared" si="377"/>
        <v>1</v>
      </c>
      <c r="U1036" s="267" t="str">
        <f t="shared" si="377"/>
        <v/>
      </c>
      <c r="V1036" s="267">
        <f t="shared" si="377"/>
        <v>1</v>
      </c>
      <c r="W1036" s="532"/>
      <c r="Y1036" s="236" t="s">
        <v>598</v>
      </c>
      <c r="Z1036" s="240" t="s">
        <v>598</v>
      </c>
    </row>
    <row r="1037" spans="1:26" ht="12" hidden="1" customHeight="1">
      <c r="A1037" s="548"/>
      <c r="B1037" s="548"/>
      <c r="C1037" s="456"/>
      <c r="D1037" s="549"/>
      <c r="E1037" s="461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S1037" s="267" t="str">
        <f t="shared" si="377"/>
        <v/>
      </c>
      <c r="T1037" s="267" t="str">
        <f t="shared" si="377"/>
        <v/>
      </c>
      <c r="U1037" s="267" t="str">
        <f t="shared" si="377"/>
        <v/>
      </c>
      <c r="V1037" s="267" t="str">
        <f t="shared" si="377"/>
        <v/>
      </c>
      <c r="W1037" s="530"/>
      <c r="X1037" s="236"/>
      <c r="Y1037" s="236"/>
      <c r="Z1037" s="236"/>
    </row>
    <row r="1038" spans="1:26" s="256" customFormat="1" ht="12" customHeight="1">
      <c r="A1038" s="548" t="s">
        <v>232</v>
      </c>
      <c r="B1038" s="548" t="s">
        <v>234</v>
      </c>
      <c r="C1038" s="460"/>
      <c r="D1038" s="551" t="s">
        <v>98</v>
      </c>
      <c r="E1038" s="390" t="s">
        <v>100</v>
      </c>
      <c r="F1038" s="391">
        <f>SUM(F1039:F1039)</f>
        <v>0</v>
      </c>
      <c r="G1038" s="391">
        <f>SUM(G1039:G1039)</f>
        <v>0</v>
      </c>
      <c r="H1038" s="391">
        <f>SUM(H1039:H1039)</f>
        <v>0</v>
      </c>
      <c r="I1038" s="391">
        <f>+F1038+G1038+H1038</f>
        <v>0</v>
      </c>
      <c r="J1038" s="391">
        <f>SUM(J1039:J1039)</f>
        <v>0</v>
      </c>
      <c r="K1038" s="391">
        <f>SUM(K1039:K1039)</f>
        <v>0</v>
      </c>
      <c r="L1038" s="391">
        <f>SUM(L1039:L1039)</f>
        <v>0</v>
      </c>
      <c r="M1038" s="391">
        <f>+J1038+K1038+L1038</f>
        <v>0</v>
      </c>
      <c r="N1038" s="391">
        <f t="shared" ref="N1038:P1039" si="397">+F1038-J1038</f>
        <v>0</v>
      </c>
      <c r="O1038" s="391">
        <f t="shared" si="397"/>
        <v>0</v>
      </c>
      <c r="P1038" s="391">
        <f t="shared" si="397"/>
        <v>0</v>
      </c>
      <c r="Q1038" s="391">
        <f>+N1038+O1038+P1038</f>
        <v>0</v>
      </c>
      <c r="R1038" s="761"/>
      <c r="S1038" s="267" t="str">
        <f t="shared" si="377"/>
        <v/>
      </c>
      <c r="T1038" s="267" t="str">
        <f t="shared" si="377"/>
        <v/>
      </c>
      <c r="U1038" s="267" t="str">
        <f t="shared" si="377"/>
        <v/>
      </c>
      <c r="V1038" s="267" t="str">
        <f t="shared" si="377"/>
        <v/>
      </c>
      <c r="W1038" s="532"/>
      <c r="Y1038" s="236" t="s">
        <v>598</v>
      </c>
      <c r="Z1038" s="240" t="s">
        <v>598</v>
      </c>
    </row>
    <row r="1039" spans="1:26" ht="12" customHeight="1">
      <c r="A1039" s="548" t="s">
        <v>232</v>
      </c>
      <c r="B1039" s="548" t="s">
        <v>234</v>
      </c>
      <c r="C1039" s="456"/>
      <c r="D1039" s="549"/>
      <c r="E1039" s="462" t="s">
        <v>290</v>
      </c>
      <c r="F1039" s="103">
        <v>0</v>
      </c>
      <c r="G1039" s="103">
        <f>SUM('[3]caraga-SAOB'!AJ221)</f>
        <v>0</v>
      </c>
      <c r="H1039" s="103">
        <f>SUM('[3]caraga-SAOB'!AJ313)</f>
        <v>0</v>
      </c>
      <c r="I1039" s="103">
        <f>+F1039+G1039+H1039</f>
        <v>0</v>
      </c>
      <c r="J1039" s="103">
        <v>0</v>
      </c>
      <c r="K1039" s="103">
        <f>SUM('[3]caraga-SAOB'!AJ222)</f>
        <v>0</v>
      </c>
      <c r="L1039" s="103">
        <f>SUM('[3]caraga-SAOB'!AJ314)</f>
        <v>0</v>
      </c>
      <c r="M1039" s="103">
        <f>+J1039+K1039+L1039</f>
        <v>0</v>
      </c>
      <c r="N1039" s="103">
        <f t="shared" si="397"/>
        <v>0</v>
      </c>
      <c r="O1039" s="103">
        <f t="shared" si="397"/>
        <v>0</v>
      </c>
      <c r="P1039" s="103">
        <f t="shared" si="397"/>
        <v>0</v>
      </c>
      <c r="Q1039" s="103">
        <f>+N1039+O1039+P1039</f>
        <v>0</v>
      </c>
      <c r="S1039" s="267" t="str">
        <f t="shared" si="377"/>
        <v/>
      </c>
      <c r="T1039" s="267" t="str">
        <f t="shared" si="377"/>
        <v/>
      </c>
      <c r="U1039" s="267" t="str">
        <f t="shared" si="377"/>
        <v/>
      </c>
      <c r="V1039" s="267" t="str">
        <f t="shared" si="377"/>
        <v/>
      </c>
      <c r="W1039" s="530"/>
      <c r="X1039" s="236"/>
      <c r="Y1039" s="236" t="s">
        <v>598</v>
      </c>
      <c r="Z1039" s="236"/>
    </row>
    <row r="1040" spans="1:26" s="259" customFormat="1" ht="12" customHeight="1">
      <c r="A1040" s="315" t="s">
        <v>232</v>
      </c>
      <c r="B1040" s="315" t="s">
        <v>234</v>
      </c>
      <c r="C1040" s="1096"/>
      <c r="D1040" s="466"/>
      <c r="E1040" s="1097" t="s">
        <v>4</v>
      </c>
      <c r="F1040" s="652">
        <f>+F1038+F1036</f>
        <v>0</v>
      </c>
      <c r="G1040" s="652">
        <f t="shared" ref="G1040:Q1040" si="398">+G1038+G1036</f>
        <v>3277393.39</v>
      </c>
      <c r="H1040" s="652">
        <f t="shared" si="398"/>
        <v>0</v>
      </c>
      <c r="I1040" s="652">
        <f t="shared" si="398"/>
        <v>3277393.39</v>
      </c>
      <c r="J1040" s="652">
        <f t="shared" si="398"/>
        <v>0</v>
      </c>
      <c r="K1040" s="652">
        <f t="shared" si="398"/>
        <v>3277393.39</v>
      </c>
      <c r="L1040" s="652">
        <f t="shared" si="398"/>
        <v>0</v>
      </c>
      <c r="M1040" s="652">
        <f t="shared" si="398"/>
        <v>3277393.39</v>
      </c>
      <c r="N1040" s="652">
        <f t="shared" si="398"/>
        <v>0</v>
      </c>
      <c r="O1040" s="652">
        <f t="shared" si="398"/>
        <v>0</v>
      </c>
      <c r="P1040" s="652">
        <f t="shared" si="398"/>
        <v>0</v>
      </c>
      <c r="Q1040" s="652">
        <f t="shared" si="398"/>
        <v>0</v>
      </c>
      <c r="R1040" s="1095">
        <f>+Q1040-'[3]caraga-SAOB'!BD350</f>
        <v>0</v>
      </c>
      <c r="S1040" s="524" t="str">
        <f t="shared" si="377"/>
        <v/>
      </c>
      <c r="T1040" s="524">
        <f t="shared" si="377"/>
        <v>1</v>
      </c>
      <c r="U1040" s="524" t="str">
        <f t="shared" si="377"/>
        <v/>
      </c>
      <c r="V1040" s="524">
        <f t="shared" si="377"/>
        <v>1</v>
      </c>
      <c r="W1040" s="344"/>
      <c r="X1040" s="520"/>
      <c r="Y1040" s="837" t="s">
        <v>598</v>
      </c>
      <c r="Z1040" s="241" t="s">
        <v>598</v>
      </c>
    </row>
    <row r="1041" spans="1:26" ht="12" customHeight="1">
      <c r="A1041" s="315" t="s">
        <v>232</v>
      </c>
      <c r="B1041" s="315" t="s">
        <v>234</v>
      </c>
      <c r="C1041" s="456"/>
      <c r="D1041" s="456"/>
      <c r="E1041" s="46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S1041" s="267" t="str">
        <f t="shared" si="377"/>
        <v/>
      </c>
      <c r="T1041" s="267" t="str">
        <f t="shared" si="377"/>
        <v/>
      </c>
      <c r="U1041" s="267" t="str">
        <f t="shared" si="377"/>
        <v/>
      </c>
      <c r="V1041" s="267" t="str">
        <f t="shared" si="377"/>
        <v/>
      </c>
      <c r="W1041" s="267"/>
      <c r="Y1041" s="837" t="s">
        <v>598</v>
      </c>
      <c r="Z1041" s="241" t="s">
        <v>598</v>
      </c>
    </row>
    <row r="1042" spans="1:26" s="275" customFormat="1" ht="12" customHeight="1">
      <c r="A1042" s="548" t="s">
        <v>232</v>
      </c>
      <c r="B1042" s="548" t="s">
        <v>235</v>
      </c>
      <c r="C1042" s="464" t="s">
        <v>98</v>
      </c>
      <c r="D1042" s="552" t="s">
        <v>107</v>
      </c>
      <c r="E1042" s="407" t="s">
        <v>848</v>
      </c>
      <c r="F1042" s="468"/>
      <c r="G1042" s="468"/>
      <c r="H1042" s="468"/>
      <c r="I1042" s="409">
        <f t="shared" si="393"/>
        <v>0</v>
      </c>
      <c r="J1042" s="468"/>
      <c r="K1042" s="468"/>
      <c r="L1042" s="468"/>
      <c r="M1042" s="409">
        <f t="shared" si="394"/>
        <v>0</v>
      </c>
      <c r="N1042" s="409">
        <f t="shared" si="389"/>
        <v>0</v>
      </c>
      <c r="O1042" s="409">
        <f t="shared" si="389"/>
        <v>0</v>
      </c>
      <c r="P1042" s="409">
        <f t="shared" si="389"/>
        <v>0</v>
      </c>
      <c r="Q1042" s="409">
        <f t="shared" si="395"/>
        <v>0</v>
      </c>
      <c r="R1042" s="761"/>
      <c r="S1042" s="267" t="str">
        <f t="shared" si="377"/>
        <v/>
      </c>
      <c r="T1042" s="267" t="str">
        <f t="shared" si="377"/>
        <v/>
      </c>
      <c r="U1042" s="267" t="str">
        <f t="shared" si="377"/>
        <v/>
      </c>
      <c r="V1042" s="267" t="str">
        <f t="shared" si="377"/>
        <v/>
      </c>
      <c r="W1042" s="553"/>
      <c r="Y1042" s="236" t="s">
        <v>598</v>
      </c>
      <c r="Z1042" s="240" t="s">
        <v>598</v>
      </c>
    </row>
    <row r="1043" spans="1:26" ht="12" customHeight="1">
      <c r="A1043" s="548" t="s">
        <v>232</v>
      </c>
      <c r="B1043" s="548" t="s">
        <v>235</v>
      </c>
      <c r="C1043" s="447" t="s">
        <v>766</v>
      </c>
      <c r="D1043" s="775"/>
      <c r="E1043" s="447" t="s">
        <v>766</v>
      </c>
      <c r="F1043" s="104">
        <f>+'[3]caraga-SAOB'!C431</f>
        <v>0</v>
      </c>
      <c r="G1043" s="104">
        <f>+'[3]caraga-SAOB'!D431</f>
        <v>578118.77</v>
      </c>
      <c r="H1043" s="104">
        <f>+'[3]caraga-SAOB'!E431</f>
        <v>0</v>
      </c>
      <c r="I1043" s="103">
        <f t="shared" si="393"/>
        <v>578118.77</v>
      </c>
      <c r="J1043" s="104">
        <f>+'[3]caraga-SAOB'!G431</f>
        <v>0</v>
      </c>
      <c r="K1043" s="104">
        <f>+'[3]caraga-SAOB'!H431</f>
        <v>0</v>
      </c>
      <c r="L1043" s="104">
        <f>+'[3]caraga-SAOB'!I431</f>
        <v>0</v>
      </c>
      <c r="M1043" s="103">
        <f t="shared" si="394"/>
        <v>0</v>
      </c>
      <c r="N1043" s="103">
        <f t="shared" si="389"/>
        <v>0</v>
      </c>
      <c r="O1043" s="103">
        <f t="shared" si="389"/>
        <v>578118.77</v>
      </c>
      <c r="P1043" s="103">
        <f t="shared" si="389"/>
        <v>0</v>
      </c>
      <c r="Q1043" s="103">
        <f t="shared" si="395"/>
        <v>578118.77</v>
      </c>
      <c r="S1043" s="267" t="str">
        <f t="shared" si="377"/>
        <v/>
      </c>
      <c r="T1043" s="267">
        <f t="shared" si="377"/>
        <v>0</v>
      </c>
      <c r="U1043" s="267" t="str">
        <f t="shared" si="377"/>
        <v/>
      </c>
      <c r="V1043" s="267">
        <f t="shared" si="377"/>
        <v>0</v>
      </c>
      <c r="W1043" s="530"/>
      <c r="X1043" s="236"/>
      <c r="Y1043" s="236" t="s">
        <v>688</v>
      </c>
      <c r="Z1043" s="236"/>
    </row>
    <row r="1044" spans="1:26" ht="12" customHeight="1">
      <c r="A1044" s="548" t="s">
        <v>232</v>
      </c>
      <c r="B1044" s="548" t="s">
        <v>235</v>
      </c>
      <c r="C1044" s="456"/>
      <c r="D1044" s="775"/>
      <c r="E1044" s="453" t="s">
        <v>50</v>
      </c>
      <c r="F1044" s="103">
        <f>+F1045+F1046</f>
        <v>0</v>
      </c>
      <c r="G1044" s="103">
        <f>+G1045+G1046</f>
        <v>1565550.81</v>
      </c>
      <c r="H1044" s="103">
        <f>+H1045+H1046</f>
        <v>0</v>
      </c>
      <c r="I1044" s="103">
        <f t="shared" si="393"/>
        <v>1565550.81</v>
      </c>
      <c r="J1044" s="103">
        <f>+J1045+J1046</f>
        <v>0</v>
      </c>
      <c r="K1044" s="103">
        <f>+K1045+K1046</f>
        <v>959200.42</v>
      </c>
      <c r="L1044" s="103">
        <f>+L1045+L1046</f>
        <v>0</v>
      </c>
      <c r="M1044" s="103">
        <f t="shared" si="394"/>
        <v>959200.42</v>
      </c>
      <c r="N1044" s="103">
        <f t="shared" si="389"/>
        <v>0</v>
      </c>
      <c r="O1044" s="103">
        <f t="shared" si="389"/>
        <v>606350.39</v>
      </c>
      <c r="P1044" s="103">
        <f t="shared" si="389"/>
        <v>0</v>
      </c>
      <c r="Q1044" s="103">
        <f t="shared" si="395"/>
        <v>606350.39</v>
      </c>
      <c r="S1044" s="267" t="str">
        <f t="shared" si="377"/>
        <v/>
      </c>
      <c r="T1044" s="267">
        <f t="shared" si="377"/>
        <v>0.61269197644246376</v>
      </c>
      <c r="U1044" s="267" t="str">
        <f t="shared" si="377"/>
        <v/>
      </c>
      <c r="V1044" s="267">
        <f t="shared" si="377"/>
        <v>0.61269197644246376</v>
      </c>
      <c r="W1044" s="530"/>
      <c r="X1044" s="236"/>
      <c r="Y1044" s="236" t="s">
        <v>688</v>
      </c>
      <c r="Z1044" s="236"/>
    </row>
    <row r="1045" spans="1:26" ht="12" hidden="1" customHeight="1">
      <c r="A1045" s="548" t="s">
        <v>232</v>
      </c>
      <c r="B1045" s="548" t="s">
        <v>235</v>
      </c>
      <c r="C1045" s="458" t="s">
        <v>715</v>
      </c>
      <c r="D1045" s="550" t="s">
        <v>715</v>
      </c>
      <c r="E1045" s="447" t="s">
        <v>715</v>
      </c>
      <c r="F1045" s="104">
        <f>'[3]CONAP - W INC'!F791</f>
        <v>0</v>
      </c>
      <c r="G1045" s="104">
        <f>'[3]CONAP - W INC'!G791</f>
        <v>-461263.77</v>
      </c>
      <c r="H1045" s="104">
        <f>'[3]CONAP - W INC'!H791</f>
        <v>0</v>
      </c>
      <c r="I1045" s="103">
        <f t="shared" si="393"/>
        <v>-461263.77</v>
      </c>
      <c r="J1045" s="104">
        <f>'[3]CONAP - W INC'!J791</f>
        <v>0</v>
      </c>
      <c r="K1045" s="104">
        <f>'[3]CONAP - W INC'!K791</f>
        <v>0</v>
      </c>
      <c r="L1045" s="104">
        <f>'[3]CONAP - W INC'!L791</f>
        <v>0</v>
      </c>
      <c r="M1045" s="103">
        <f t="shared" si="394"/>
        <v>0</v>
      </c>
      <c r="N1045" s="103">
        <f t="shared" si="389"/>
        <v>0</v>
      </c>
      <c r="O1045" s="103">
        <f t="shared" si="389"/>
        <v>-461263.77</v>
      </c>
      <c r="P1045" s="103">
        <f t="shared" si="389"/>
        <v>0</v>
      </c>
      <c r="Q1045" s="103">
        <f t="shared" si="395"/>
        <v>-461263.77</v>
      </c>
      <c r="S1045" s="267" t="str">
        <f t="shared" si="377"/>
        <v/>
      </c>
      <c r="T1045" s="267">
        <f t="shared" si="377"/>
        <v>0</v>
      </c>
      <c r="U1045" s="267" t="str">
        <f t="shared" si="377"/>
        <v/>
      </c>
      <c r="V1045" s="267">
        <f t="shared" si="377"/>
        <v>0</v>
      </c>
      <c r="W1045" s="530"/>
      <c r="X1045" s="236"/>
      <c r="Y1045" s="236"/>
      <c r="Z1045" s="236"/>
    </row>
    <row r="1046" spans="1:26" ht="12" hidden="1" customHeight="1">
      <c r="A1046" s="548" t="s">
        <v>232</v>
      </c>
      <c r="B1046" s="548" t="s">
        <v>235</v>
      </c>
      <c r="C1046" s="458" t="s">
        <v>716</v>
      </c>
      <c r="D1046" s="550" t="s">
        <v>716</v>
      </c>
      <c r="E1046" s="459" t="s">
        <v>716</v>
      </c>
      <c r="F1046" s="104">
        <f>'[3]CONAP - W INC'!F792</f>
        <v>0</v>
      </c>
      <c r="G1046" s="104">
        <f>'[3]CONAP - W INC'!G792</f>
        <v>2026814.58</v>
      </c>
      <c r="H1046" s="104">
        <f>'[3]CONAP - W INC'!H792</f>
        <v>0</v>
      </c>
      <c r="I1046" s="103">
        <f t="shared" si="393"/>
        <v>2026814.58</v>
      </c>
      <c r="J1046" s="104">
        <f>'[3]CONAP - W INC'!J792</f>
        <v>0</v>
      </c>
      <c r="K1046" s="104">
        <f>'[3]CONAP - W INC'!K792</f>
        <v>959200.42</v>
      </c>
      <c r="L1046" s="104">
        <f>'[3]CONAP - W INC'!L792</f>
        <v>0</v>
      </c>
      <c r="M1046" s="103">
        <f t="shared" si="394"/>
        <v>959200.42</v>
      </c>
      <c r="N1046" s="103">
        <f t="shared" si="389"/>
        <v>0</v>
      </c>
      <c r="O1046" s="103">
        <f t="shared" si="389"/>
        <v>1067614.1600000001</v>
      </c>
      <c r="P1046" s="103">
        <f t="shared" si="389"/>
        <v>0</v>
      </c>
      <c r="Q1046" s="103">
        <f t="shared" si="395"/>
        <v>1067614.1600000001</v>
      </c>
      <c r="S1046" s="267" t="str">
        <f t="shared" si="377"/>
        <v/>
      </c>
      <c r="T1046" s="267">
        <f t="shared" si="377"/>
        <v>0.47325514107955546</v>
      </c>
      <c r="U1046" s="267" t="str">
        <f t="shared" si="377"/>
        <v/>
      </c>
      <c r="V1046" s="267">
        <f t="shared" si="377"/>
        <v>0.47325514107955546</v>
      </c>
      <c r="W1046" s="530"/>
      <c r="X1046" s="236"/>
      <c r="Y1046" s="236"/>
      <c r="Z1046" s="236"/>
    </row>
    <row r="1047" spans="1:26" s="256" customFormat="1" ht="12" customHeight="1">
      <c r="A1047" s="548"/>
      <c r="B1047" s="548" t="s">
        <v>235</v>
      </c>
      <c r="C1047" s="460"/>
      <c r="D1047" s="551"/>
      <c r="E1047" s="390" t="s">
        <v>767</v>
      </c>
      <c r="F1047" s="391">
        <f>+F1044+F1043</f>
        <v>0</v>
      </c>
      <c r="G1047" s="391">
        <f t="shared" ref="G1047:Q1047" si="399">+G1044+G1043</f>
        <v>2143669.58</v>
      </c>
      <c r="H1047" s="391">
        <f t="shared" si="399"/>
        <v>0</v>
      </c>
      <c r="I1047" s="391">
        <f t="shared" si="399"/>
        <v>2143669.58</v>
      </c>
      <c r="J1047" s="391">
        <f t="shared" si="399"/>
        <v>0</v>
      </c>
      <c r="K1047" s="391">
        <f t="shared" si="399"/>
        <v>959200.42</v>
      </c>
      <c r="L1047" s="391">
        <f t="shared" si="399"/>
        <v>0</v>
      </c>
      <c r="M1047" s="391">
        <f t="shared" si="399"/>
        <v>959200.42</v>
      </c>
      <c r="N1047" s="391">
        <f t="shared" si="399"/>
        <v>0</v>
      </c>
      <c r="O1047" s="391">
        <f t="shared" si="399"/>
        <v>1184469.1600000001</v>
      </c>
      <c r="P1047" s="391">
        <f t="shared" si="399"/>
        <v>0</v>
      </c>
      <c r="Q1047" s="391">
        <f t="shared" si="399"/>
        <v>1184469.1600000001</v>
      </c>
      <c r="R1047" s="761"/>
      <c r="S1047" s="267" t="str">
        <f t="shared" si="377"/>
        <v/>
      </c>
      <c r="T1047" s="267">
        <f t="shared" si="377"/>
        <v>0.44745721493141682</v>
      </c>
      <c r="U1047" s="267" t="str">
        <f t="shared" si="377"/>
        <v/>
      </c>
      <c r="V1047" s="267">
        <f t="shared" ref="V1047:V1110" si="400">IF(I1047=0,"",M1047/I1047)</f>
        <v>0.44745721493141682</v>
      </c>
      <c r="W1047" s="532"/>
      <c r="Y1047" s="236" t="s">
        <v>598</v>
      </c>
      <c r="Z1047" s="240" t="s">
        <v>598</v>
      </c>
    </row>
    <row r="1048" spans="1:26" ht="12" hidden="1" customHeight="1">
      <c r="A1048" s="548"/>
      <c r="B1048" s="548"/>
      <c r="C1048" s="456"/>
      <c r="D1048" s="549"/>
      <c r="E1048" s="461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S1048" s="267" t="str">
        <f t="shared" ref="S1048:V1111" si="401">IF(F1048=0,"",J1048/F1048)</f>
        <v/>
      </c>
      <c r="T1048" s="267" t="str">
        <f t="shared" si="401"/>
        <v/>
      </c>
      <c r="U1048" s="267" t="str">
        <f t="shared" si="401"/>
        <v/>
      </c>
      <c r="V1048" s="267" t="str">
        <f t="shared" si="400"/>
        <v/>
      </c>
      <c r="W1048" s="530"/>
      <c r="X1048" s="236"/>
      <c r="Y1048" s="236"/>
      <c r="Z1048" s="236"/>
    </row>
    <row r="1049" spans="1:26" s="256" customFormat="1" ht="12" customHeight="1">
      <c r="A1049" s="548" t="s">
        <v>232</v>
      </c>
      <c r="B1049" s="548" t="s">
        <v>235</v>
      </c>
      <c r="C1049" s="460"/>
      <c r="D1049" s="551" t="s">
        <v>98</v>
      </c>
      <c r="E1049" s="390" t="s">
        <v>100</v>
      </c>
      <c r="F1049" s="391">
        <f>SUM(F1050:F1050)</f>
        <v>0</v>
      </c>
      <c r="G1049" s="391">
        <f>SUM(G1050:G1050)</f>
        <v>3300000</v>
      </c>
      <c r="H1049" s="391">
        <f>SUM(H1050:H1050)</f>
        <v>0</v>
      </c>
      <c r="I1049" s="391">
        <f>+F1049+G1049+H1049</f>
        <v>3300000</v>
      </c>
      <c r="J1049" s="391">
        <f>SUM(J1050:J1050)</f>
        <v>0</v>
      </c>
      <c r="K1049" s="391">
        <f>SUM(K1050:K1050)</f>
        <v>2200473.7000000002</v>
      </c>
      <c r="L1049" s="391">
        <f>SUM(L1050:L1050)</f>
        <v>0</v>
      </c>
      <c r="M1049" s="391">
        <f>+J1049+K1049+L1049</f>
        <v>2200473.7000000002</v>
      </c>
      <c r="N1049" s="391">
        <f t="shared" ref="N1049:P1050" si="402">+F1049-J1049</f>
        <v>0</v>
      </c>
      <c r="O1049" s="391">
        <f t="shared" si="402"/>
        <v>1099526.2999999998</v>
      </c>
      <c r="P1049" s="391">
        <f t="shared" si="402"/>
        <v>0</v>
      </c>
      <c r="Q1049" s="391">
        <f>+N1049+O1049+P1049</f>
        <v>1099526.2999999998</v>
      </c>
      <c r="R1049" s="761"/>
      <c r="S1049" s="267" t="str">
        <f t="shared" si="401"/>
        <v/>
      </c>
      <c r="T1049" s="267">
        <f t="shared" si="401"/>
        <v>0.66681021212121216</v>
      </c>
      <c r="U1049" s="267" t="str">
        <f t="shared" si="401"/>
        <v/>
      </c>
      <c r="V1049" s="267">
        <f t="shared" si="400"/>
        <v>0.66681021212121216</v>
      </c>
      <c r="W1049" s="532"/>
      <c r="Y1049" s="236" t="s">
        <v>598</v>
      </c>
      <c r="Z1049" s="240" t="s">
        <v>598</v>
      </c>
    </row>
    <row r="1050" spans="1:26" ht="12" customHeight="1">
      <c r="A1050" s="548" t="s">
        <v>232</v>
      </c>
      <c r="B1050" s="548" t="s">
        <v>235</v>
      </c>
      <c r="C1050" s="456"/>
      <c r="D1050" s="549"/>
      <c r="E1050" s="462" t="s">
        <v>290</v>
      </c>
      <c r="F1050" s="103">
        <v>0</v>
      </c>
      <c r="G1050" s="103">
        <f>SUM('[3]caraga-SAOB'!AI221)</f>
        <v>3300000</v>
      </c>
      <c r="H1050" s="103">
        <f>SUM('[3]caraga-SAOB'!AI313)</f>
        <v>0</v>
      </c>
      <c r="I1050" s="103">
        <f>+F1050+G1050+H1050</f>
        <v>3300000</v>
      </c>
      <c r="J1050" s="103">
        <v>0</v>
      </c>
      <c r="K1050" s="103">
        <f>SUM('[3]caraga-SAOB'!AI222)</f>
        <v>2200473.7000000002</v>
      </c>
      <c r="L1050" s="103">
        <f>SUM('[3]caraga-SAOB'!AI314)</f>
        <v>0</v>
      </c>
      <c r="M1050" s="103">
        <f>+J1050+K1050+L1050</f>
        <v>2200473.7000000002</v>
      </c>
      <c r="N1050" s="103">
        <f t="shared" si="402"/>
        <v>0</v>
      </c>
      <c r="O1050" s="103">
        <f t="shared" si="402"/>
        <v>1099526.2999999998</v>
      </c>
      <c r="P1050" s="103">
        <f t="shared" si="402"/>
        <v>0</v>
      </c>
      <c r="Q1050" s="103">
        <f>+N1050+O1050+P1050</f>
        <v>1099526.2999999998</v>
      </c>
      <c r="S1050" s="267" t="str">
        <f t="shared" si="401"/>
        <v/>
      </c>
      <c r="T1050" s="267">
        <f t="shared" si="401"/>
        <v>0.66681021212121216</v>
      </c>
      <c r="U1050" s="267" t="str">
        <f t="shared" si="401"/>
        <v/>
      </c>
      <c r="V1050" s="267">
        <f t="shared" si="400"/>
        <v>0.66681021212121216</v>
      </c>
      <c r="W1050" s="530"/>
      <c r="X1050" s="236"/>
      <c r="Y1050" s="236" t="s">
        <v>598</v>
      </c>
      <c r="Z1050" s="236"/>
    </row>
    <row r="1051" spans="1:26" s="259" customFormat="1" ht="12" customHeight="1">
      <c r="A1051" s="315" t="s">
        <v>232</v>
      </c>
      <c r="B1051" s="315" t="s">
        <v>235</v>
      </c>
      <c r="C1051" s="1096"/>
      <c r="D1051" s="466"/>
      <c r="E1051" s="1097" t="s">
        <v>4</v>
      </c>
      <c r="F1051" s="652">
        <f>+F1049+F1047</f>
        <v>0</v>
      </c>
      <c r="G1051" s="652">
        <f t="shared" ref="G1051:Q1051" si="403">+G1049+G1047</f>
        <v>5443669.5800000001</v>
      </c>
      <c r="H1051" s="652">
        <f t="shared" si="403"/>
        <v>0</v>
      </c>
      <c r="I1051" s="652">
        <f t="shared" si="403"/>
        <v>5443669.5800000001</v>
      </c>
      <c r="J1051" s="652">
        <f t="shared" si="403"/>
        <v>0</v>
      </c>
      <c r="K1051" s="652">
        <f t="shared" si="403"/>
        <v>3159674.12</v>
      </c>
      <c r="L1051" s="652">
        <f t="shared" si="403"/>
        <v>0</v>
      </c>
      <c r="M1051" s="652">
        <f t="shared" si="403"/>
        <v>3159674.12</v>
      </c>
      <c r="N1051" s="652">
        <f t="shared" si="403"/>
        <v>0</v>
      </c>
      <c r="O1051" s="652">
        <f t="shared" si="403"/>
        <v>2283995.46</v>
      </c>
      <c r="P1051" s="652">
        <f t="shared" si="403"/>
        <v>0</v>
      </c>
      <c r="Q1051" s="652">
        <f t="shared" si="403"/>
        <v>2283995.46</v>
      </c>
      <c r="R1051" s="1095">
        <f>+Q1051-'[3]caraga-SAOB'!BC350</f>
        <v>0</v>
      </c>
      <c r="S1051" s="524" t="str">
        <f t="shared" si="401"/>
        <v/>
      </c>
      <c r="T1051" s="524">
        <f t="shared" si="401"/>
        <v>0.5804309158676012</v>
      </c>
      <c r="U1051" s="524" t="str">
        <f t="shared" si="401"/>
        <v/>
      </c>
      <c r="V1051" s="524">
        <f t="shared" si="400"/>
        <v>0.5804309158676012</v>
      </c>
      <c r="W1051" s="344"/>
      <c r="X1051" s="520"/>
      <c r="Y1051" s="837" t="s">
        <v>598</v>
      </c>
      <c r="Z1051" s="241" t="s">
        <v>598</v>
      </c>
    </row>
    <row r="1052" spans="1:26" s="660" customFormat="1" ht="12" hidden="1" customHeight="1">
      <c r="A1052" s="315" t="s">
        <v>232</v>
      </c>
      <c r="B1052" s="315" t="s">
        <v>57</v>
      </c>
      <c r="C1052" s="1467" t="s">
        <v>655</v>
      </c>
      <c r="D1052" s="1468"/>
      <c r="E1052" s="1469"/>
      <c r="F1052" s="659">
        <f>+F1040+F1051</f>
        <v>0</v>
      </c>
      <c r="G1052" s="659">
        <f>+G1040+G1051</f>
        <v>8721062.9700000007</v>
      </c>
      <c r="H1052" s="659">
        <f>+H1040+H1051</f>
        <v>0</v>
      </c>
      <c r="I1052" s="659">
        <f t="shared" si="393"/>
        <v>8721062.9700000007</v>
      </c>
      <c r="J1052" s="659">
        <f>+J1040+J1051</f>
        <v>0</v>
      </c>
      <c r="K1052" s="659">
        <f>+K1040+K1051</f>
        <v>6437067.5099999998</v>
      </c>
      <c r="L1052" s="659">
        <f>+L1040+L1051</f>
        <v>0</v>
      </c>
      <c r="M1052" s="659">
        <f t="shared" si="394"/>
        <v>6437067.5099999998</v>
      </c>
      <c r="N1052" s="659">
        <f t="shared" si="389"/>
        <v>0</v>
      </c>
      <c r="O1052" s="659">
        <f t="shared" si="389"/>
        <v>2283995.4600000009</v>
      </c>
      <c r="P1052" s="659">
        <f t="shared" si="389"/>
        <v>0</v>
      </c>
      <c r="Q1052" s="659">
        <f t="shared" si="395"/>
        <v>2283995.4600000009</v>
      </c>
      <c r="R1052" s="1098"/>
      <c r="S1052" s="661" t="str">
        <f t="shared" si="401"/>
        <v/>
      </c>
      <c r="T1052" s="661">
        <f t="shared" si="401"/>
        <v>0.7381058400957744</v>
      </c>
      <c r="U1052" s="661" t="str">
        <f t="shared" si="401"/>
        <v/>
      </c>
      <c r="V1052" s="661">
        <f t="shared" si="400"/>
        <v>0.7381058400957744</v>
      </c>
      <c r="W1052" s="295"/>
      <c r="X1052" s="520"/>
      <c r="Y1052" s="837"/>
      <c r="Z1052" s="241"/>
    </row>
    <row r="1053" spans="1:26" ht="12" hidden="1" customHeight="1">
      <c r="A1053" s="315" t="s">
        <v>232</v>
      </c>
      <c r="B1053" s="315" t="s">
        <v>57</v>
      </c>
      <c r="C1053" s="469"/>
      <c r="D1053" s="470"/>
      <c r="E1053" s="471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S1053" s="267" t="str">
        <f t="shared" si="401"/>
        <v/>
      </c>
      <c r="T1053" s="267" t="str">
        <f t="shared" si="401"/>
        <v/>
      </c>
      <c r="U1053" s="267" t="str">
        <f t="shared" si="401"/>
        <v/>
      </c>
      <c r="V1053" s="267" t="str">
        <f t="shared" si="400"/>
        <v/>
      </c>
      <c r="W1053" s="267"/>
      <c r="X1053" s="237" t="s">
        <v>598</v>
      </c>
      <c r="Z1053" s="241"/>
    </row>
    <row r="1054" spans="1:26" s="275" customFormat="1" ht="12.75" hidden="1" customHeight="1">
      <c r="A1054" s="315" t="s">
        <v>656</v>
      </c>
      <c r="B1054" s="315" t="s">
        <v>57</v>
      </c>
      <c r="C1054" s="464" t="s">
        <v>849</v>
      </c>
      <c r="D1054" s="464"/>
      <c r="E1054" s="472"/>
      <c r="F1054" s="409"/>
      <c r="G1054" s="409"/>
      <c r="H1054" s="409"/>
      <c r="I1054" s="409">
        <f t="shared" si="393"/>
        <v>0</v>
      </c>
      <c r="J1054" s="409"/>
      <c r="K1054" s="409"/>
      <c r="L1054" s="409"/>
      <c r="M1054" s="409">
        <f t="shared" si="394"/>
        <v>0</v>
      </c>
      <c r="N1054" s="409">
        <f t="shared" si="389"/>
        <v>0</v>
      </c>
      <c r="O1054" s="409">
        <f t="shared" si="389"/>
        <v>0</v>
      </c>
      <c r="P1054" s="409">
        <f t="shared" si="389"/>
        <v>0</v>
      </c>
      <c r="Q1054" s="409">
        <f t="shared" si="395"/>
        <v>0</v>
      </c>
      <c r="R1054" s="761"/>
      <c r="S1054" s="267" t="str">
        <f t="shared" si="401"/>
        <v/>
      </c>
      <c r="T1054" s="267" t="str">
        <f t="shared" si="401"/>
        <v/>
      </c>
      <c r="U1054" s="267" t="str">
        <f t="shared" si="401"/>
        <v/>
      </c>
      <c r="V1054" s="267" t="str">
        <f t="shared" si="400"/>
        <v/>
      </c>
      <c r="W1054" s="251"/>
      <c r="X1054" s="237" t="s">
        <v>598</v>
      </c>
      <c r="Y1054" s="839"/>
      <c r="Z1054" s="253"/>
    </row>
    <row r="1055" spans="1:26" ht="12" hidden="1" customHeight="1">
      <c r="A1055" s="315" t="s">
        <v>656</v>
      </c>
      <c r="B1055" s="315" t="s">
        <v>57</v>
      </c>
      <c r="C1055" s="447" t="s">
        <v>766</v>
      </c>
      <c r="D1055" s="456" t="s">
        <v>98</v>
      </c>
      <c r="E1055" s="447" t="s">
        <v>766</v>
      </c>
      <c r="F1055" s="103">
        <f>+F1017+F1032+F1043</f>
        <v>0</v>
      </c>
      <c r="G1055" s="103">
        <f>+G1017+G1032+G1043</f>
        <v>10482159.610000005</v>
      </c>
      <c r="H1055" s="103">
        <f>+H1017+H1032+H1043</f>
        <v>0</v>
      </c>
      <c r="I1055" s="103">
        <f t="shared" si="393"/>
        <v>10482159.610000005</v>
      </c>
      <c r="J1055" s="103">
        <f>+J1017+J1032+J1043</f>
        <v>0</v>
      </c>
      <c r="K1055" s="103">
        <f>+K1017+K1032+K1043</f>
        <v>9904009.0399999991</v>
      </c>
      <c r="L1055" s="103">
        <f>+L1017+L1032+L1043</f>
        <v>0</v>
      </c>
      <c r="M1055" s="103">
        <f t="shared" si="394"/>
        <v>9904009.0399999991</v>
      </c>
      <c r="N1055" s="103">
        <f t="shared" si="389"/>
        <v>0</v>
      </c>
      <c r="O1055" s="103">
        <f t="shared" si="389"/>
        <v>578150.57000000589</v>
      </c>
      <c r="P1055" s="103">
        <f t="shared" si="389"/>
        <v>0</v>
      </c>
      <c r="Q1055" s="103">
        <f t="shared" si="395"/>
        <v>578150.57000000589</v>
      </c>
      <c r="S1055" s="267" t="str">
        <f t="shared" si="401"/>
        <v/>
      </c>
      <c r="T1055" s="267">
        <f t="shared" si="401"/>
        <v>0.94484432678849417</v>
      </c>
      <c r="U1055" s="267" t="str">
        <f t="shared" si="401"/>
        <v/>
      </c>
      <c r="V1055" s="267">
        <f t="shared" si="400"/>
        <v>0.94484432678849417</v>
      </c>
      <c r="W1055" s="267"/>
      <c r="X1055" s="237" t="s">
        <v>598</v>
      </c>
    </row>
    <row r="1056" spans="1:26" ht="12" hidden="1" customHeight="1">
      <c r="A1056" s="315" t="s">
        <v>656</v>
      </c>
      <c r="B1056" s="315" t="s">
        <v>57</v>
      </c>
      <c r="C1056" s="456"/>
      <c r="D1056" s="456" t="s">
        <v>98</v>
      </c>
      <c r="E1056" s="453" t="s">
        <v>50</v>
      </c>
      <c r="F1056" s="103">
        <f>+F1057+F1058</f>
        <v>0</v>
      </c>
      <c r="G1056" s="103">
        <f>+G1057+G1058</f>
        <v>38337740.159999996</v>
      </c>
      <c r="H1056" s="103">
        <f>+H1057+H1058</f>
        <v>76407214.150000006</v>
      </c>
      <c r="I1056" s="103">
        <f t="shared" si="393"/>
        <v>114744954.31</v>
      </c>
      <c r="J1056" s="103">
        <f>+J1057+J1058</f>
        <v>0</v>
      </c>
      <c r="K1056" s="103">
        <f>+K1057+K1058</f>
        <v>36539518.869999997</v>
      </c>
      <c r="L1056" s="103">
        <f>+L1057+L1058</f>
        <v>37465258.5</v>
      </c>
      <c r="M1056" s="103">
        <f t="shared" si="394"/>
        <v>74004777.370000005</v>
      </c>
      <c r="N1056" s="103">
        <f t="shared" si="389"/>
        <v>0</v>
      </c>
      <c r="O1056" s="103">
        <f t="shared" si="389"/>
        <v>1798221.2899999991</v>
      </c>
      <c r="P1056" s="103">
        <f t="shared" si="389"/>
        <v>38941955.650000006</v>
      </c>
      <c r="Q1056" s="103">
        <f t="shared" si="395"/>
        <v>40740176.940000005</v>
      </c>
      <c r="S1056" s="267" t="str">
        <f t="shared" si="401"/>
        <v/>
      </c>
      <c r="T1056" s="267">
        <f t="shared" si="401"/>
        <v>0.95309527159151153</v>
      </c>
      <c r="U1056" s="267">
        <f t="shared" si="401"/>
        <v>0.49033666410673599</v>
      </c>
      <c r="V1056" s="267">
        <f t="shared" si="400"/>
        <v>0.64495016634949764</v>
      </c>
      <c r="W1056" s="267"/>
      <c r="X1056" s="237" t="s">
        <v>598</v>
      </c>
    </row>
    <row r="1057" spans="1:26" ht="12" hidden="1" customHeight="1">
      <c r="A1057" s="315" t="s">
        <v>656</v>
      </c>
      <c r="B1057" s="315" t="s">
        <v>57</v>
      </c>
      <c r="C1057" s="458" t="s">
        <v>715</v>
      </c>
      <c r="D1057" s="458" t="s">
        <v>715</v>
      </c>
      <c r="E1057" s="459" t="s">
        <v>715</v>
      </c>
      <c r="F1057" s="103">
        <f t="shared" ref="F1057:H1058" si="404">+F1034+F1045+F1022</f>
        <v>0</v>
      </c>
      <c r="G1057" s="103">
        <f t="shared" si="404"/>
        <v>-6466971.2799999993</v>
      </c>
      <c r="H1057" s="103">
        <f t="shared" si="404"/>
        <v>12600100</v>
      </c>
      <c r="I1057" s="103">
        <f t="shared" si="393"/>
        <v>6133128.7200000007</v>
      </c>
      <c r="J1057" s="103">
        <f t="shared" ref="J1057:L1058" si="405">+J1034+J1045+J1022</f>
        <v>0</v>
      </c>
      <c r="K1057" s="103">
        <f t="shared" si="405"/>
        <v>80000</v>
      </c>
      <c r="L1057" s="103">
        <f t="shared" si="405"/>
        <v>12600100</v>
      </c>
      <c r="M1057" s="103">
        <f t="shared" si="394"/>
        <v>12680100</v>
      </c>
      <c r="N1057" s="103">
        <f t="shared" si="389"/>
        <v>0</v>
      </c>
      <c r="O1057" s="103">
        <f t="shared" si="389"/>
        <v>-6546971.2799999993</v>
      </c>
      <c r="P1057" s="103">
        <f t="shared" si="389"/>
        <v>0</v>
      </c>
      <c r="Q1057" s="103">
        <f t="shared" si="395"/>
        <v>-6546971.2799999993</v>
      </c>
      <c r="S1057" s="267" t="str">
        <f t="shared" si="401"/>
        <v/>
      </c>
      <c r="T1057" s="267">
        <f t="shared" si="401"/>
        <v>-1.2370551303886416E-2</v>
      </c>
      <c r="U1057" s="267">
        <f t="shared" si="401"/>
        <v>1</v>
      </c>
      <c r="V1057" s="267">
        <f t="shared" si="400"/>
        <v>2.0674765815122171</v>
      </c>
      <c r="W1057" s="267"/>
      <c r="X1057" s="237" t="s">
        <v>598</v>
      </c>
    </row>
    <row r="1058" spans="1:26" ht="12" hidden="1" customHeight="1">
      <c r="A1058" s="315" t="s">
        <v>656</v>
      </c>
      <c r="B1058" s="315" t="s">
        <v>57</v>
      </c>
      <c r="C1058" s="458" t="s">
        <v>716</v>
      </c>
      <c r="D1058" s="458" t="s">
        <v>716</v>
      </c>
      <c r="E1058" s="459" t="s">
        <v>716</v>
      </c>
      <c r="F1058" s="103">
        <f t="shared" si="404"/>
        <v>0</v>
      </c>
      <c r="G1058" s="103">
        <f t="shared" si="404"/>
        <v>44804711.439999998</v>
      </c>
      <c r="H1058" s="103">
        <f t="shared" si="404"/>
        <v>63807114.149999999</v>
      </c>
      <c r="I1058" s="103">
        <f t="shared" si="393"/>
        <v>108611825.59</v>
      </c>
      <c r="J1058" s="103">
        <f t="shared" si="405"/>
        <v>0</v>
      </c>
      <c r="K1058" s="103">
        <f t="shared" si="405"/>
        <v>36459518.869999997</v>
      </c>
      <c r="L1058" s="103">
        <f t="shared" si="405"/>
        <v>24865158.5</v>
      </c>
      <c r="M1058" s="103">
        <f t="shared" si="394"/>
        <v>61324677.369999997</v>
      </c>
      <c r="N1058" s="103">
        <f t="shared" si="389"/>
        <v>0</v>
      </c>
      <c r="O1058" s="103">
        <f t="shared" si="389"/>
        <v>8345192.5700000003</v>
      </c>
      <c r="P1058" s="103">
        <f t="shared" si="389"/>
        <v>38941955.649999999</v>
      </c>
      <c r="Q1058" s="103">
        <f t="shared" si="395"/>
        <v>47287148.219999999</v>
      </c>
      <c r="S1058" s="267" t="str">
        <f t="shared" si="401"/>
        <v/>
      </c>
      <c r="T1058" s="267">
        <f t="shared" si="401"/>
        <v>0.81374296805425428</v>
      </c>
      <c r="U1058" s="267">
        <f t="shared" si="401"/>
        <v>0.38969257317524364</v>
      </c>
      <c r="V1058" s="267">
        <f t="shared" si="400"/>
        <v>0.56462247123527054</v>
      </c>
      <c r="W1058" s="267"/>
      <c r="X1058" s="237" t="s">
        <v>598</v>
      </c>
    </row>
    <row r="1059" spans="1:26" s="256" customFormat="1" ht="12" hidden="1" customHeight="1">
      <c r="A1059" s="315"/>
      <c r="B1059" s="315" t="s">
        <v>57</v>
      </c>
      <c r="C1059" s="460"/>
      <c r="D1059" s="460"/>
      <c r="E1059" s="390" t="s">
        <v>767</v>
      </c>
      <c r="F1059" s="391">
        <f>+F1056+F1055</f>
        <v>0</v>
      </c>
      <c r="G1059" s="391">
        <f t="shared" ref="G1059:Q1059" si="406">+G1056+G1055</f>
        <v>48819899.770000003</v>
      </c>
      <c r="H1059" s="391">
        <f t="shared" si="406"/>
        <v>76407214.150000006</v>
      </c>
      <c r="I1059" s="391">
        <f t="shared" si="406"/>
        <v>125227113.92</v>
      </c>
      <c r="J1059" s="391">
        <f t="shared" si="406"/>
        <v>0</v>
      </c>
      <c r="K1059" s="391">
        <f t="shared" si="406"/>
        <v>46443527.909999996</v>
      </c>
      <c r="L1059" s="391">
        <f t="shared" si="406"/>
        <v>37465258.5</v>
      </c>
      <c r="M1059" s="391">
        <f t="shared" si="406"/>
        <v>83908786.409999996</v>
      </c>
      <c r="N1059" s="391">
        <f t="shared" si="406"/>
        <v>0</v>
      </c>
      <c r="O1059" s="391">
        <f t="shared" si="406"/>
        <v>2376371.860000005</v>
      </c>
      <c r="P1059" s="391">
        <f t="shared" si="406"/>
        <v>38941955.650000006</v>
      </c>
      <c r="Q1059" s="391">
        <f t="shared" si="406"/>
        <v>41318327.510000013</v>
      </c>
      <c r="R1059" s="761"/>
      <c r="S1059" s="267" t="str">
        <f t="shared" si="401"/>
        <v/>
      </c>
      <c r="T1059" s="267">
        <f t="shared" si="401"/>
        <v>0.9513237046533165</v>
      </c>
      <c r="U1059" s="267">
        <f t="shared" si="401"/>
        <v>0.49033666410673599</v>
      </c>
      <c r="V1059" s="267">
        <f t="shared" si="400"/>
        <v>0.67005286461847413</v>
      </c>
      <c r="W1059" s="263"/>
      <c r="X1059" s="237" t="s">
        <v>598</v>
      </c>
      <c r="Y1059" s="840"/>
      <c r="Z1059" s="241"/>
    </row>
    <row r="1060" spans="1:26" ht="12" hidden="1" customHeight="1">
      <c r="A1060" s="315"/>
      <c r="B1060" s="315"/>
      <c r="C1060" s="456"/>
      <c r="D1060" s="456"/>
      <c r="E1060" s="461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S1060" s="267" t="str">
        <f t="shared" si="401"/>
        <v/>
      </c>
      <c r="T1060" s="267" t="str">
        <f t="shared" si="401"/>
        <v/>
      </c>
      <c r="U1060" s="267" t="str">
        <f t="shared" si="401"/>
        <v/>
      </c>
      <c r="V1060" s="267" t="str">
        <f t="shared" si="400"/>
        <v/>
      </c>
      <c r="W1060" s="267"/>
      <c r="X1060" s="237" t="s">
        <v>598</v>
      </c>
    </row>
    <row r="1061" spans="1:26" s="256" customFormat="1" ht="12" hidden="1" customHeight="1">
      <c r="A1061" s="315" t="s">
        <v>656</v>
      </c>
      <c r="B1061" s="315" t="s">
        <v>57</v>
      </c>
      <c r="C1061" s="460"/>
      <c r="D1061" s="460" t="s">
        <v>98</v>
      </c>
      <c r="E1061" s="390" t="s">
        <v>100</v>
      </c>
      <c r="F1061" s="391">
        <f>SUM(F1062:F1062)</f>
        <v>0</v>
      </c>
      <c r="G1061" s="391">
        <f>SUM(G1062:G1062)</f>
        <v>3300000</v>
      </c>
      <c r="H1061" s="391">
        <f>SUM(H1062:H1062)</f>
        <v>0</v>
      </c>
      <c r="I1061" s="391">
        <f>+F1061+G1061+H1061</f>
        <v>3300000</v>
      </c>
      <c r="J1061" s="391">
        <f>SUM(J1062:J1062)</f>
        <v>0</v>
      </c>
      <c r="K1061" s="391">
        <f>SUM(K1062:K1062)</f>
        <v>2200473.7000000002</v>
      </c>
      <c r="L1061" s="391">
        <f>SUM(L1062:L1062)</f>
        <v>0</v>
      </c>
      <c r="M1061" s="391">
        <f>+J1061+K1061+L1061</f>
        <v>2200473.7000000002</v>
      </c>
      <c r="N1061" s="391">
        <f t="shared" ref="N1061:P1062" si="407">+F1061-J1061</f>
        <v>0</v>
      </c>
      <c r="O1061" s="391">
        <f t="shared" si="407"/>
        <v>1099526.2999999998</v>
      </c>
      <c r="P1061" s="391">
        <f t="shared" si="407"/>
        <v>0</v>
      </c>
      <c r="Q1061" s="391">
        <f>+N1061+O1061+P1061</f>
        <v>1099526.2999999998</v>
      </c>
      <c r="R1061" s="761"/>
      <c r="S1061" s="267" t="str">
        <f t="shared" si="401"/>
        <v/>
      </c>
      <c r="T1061" s="267">
        <f t="shared" si="401"/>
        <v>0.66681021212121216</v>
      </c>
      <c r="U1061" s="267" t="str">
        <f t="shared" si="401"/>
        <v/>
      </c>
      <c r="V1061" s="267">
        <f t="shared" si="400"/>
        <v>0.66681021212121216</v>
      </c>
      <c r="W1061" s="263"/>
      <c r="X1061" s="237" t="s">
        <v>598</v>
      </c>
      <c r="Y1061" s="840"/>
      <c r="Z1061" s="241"/>
    </row>
    <row r="1062" spans="1:26" ht="12" hidden="1" customHeight="1">
      <c r="A1062" s="315" t="s">
        <v>656</v>
      </c>
      <c r="B1062" s="315" t="s">
        <v>57</v>
      </c>
      <c r="C1062" s="456"/>
      <c r="D1062" s="456"/>
      <c r="E1062" s="462" t="s">
        <v>290</v>
      </c>
      <c r="F1062" s="103">
        <f>+F1039+F1050+F1027</f>
        <v>0</v>
      </c>
      <c r="G1062" s="103">
        <f>+G1039+G1050+G1027</f>
        <v>3300000</v>
      </c>
      <c r="H1062" s="103">
        <f>+H1039+H1050+H1027</f>
        <v>0</v>
      </c>
      <c r="I1062" s="103">
        <f>+F1062+G1062+H1062</f>
        <v>3300000</v>
      </c>
      <c r="J1062" s="103">
        <f>+J1039+J1050+J1027</f>
        <v>0</v>
      </c>
      <c r="K1062" s="103">
        <f>+K1039+K1050+K1027</f>
        <v>2200473.7000000002</v>
      </c>
      <c r="L1062" s="103">
        <f>+L1039+L1050+L1027</f>
        <v>0</v>
      </c>
      <c r="M1062" s="103">
        <f>+J1062+K1062+L1062</f>
        <v>2200473.7000000002</v>
      </c>
      <c r="N1062" s="103">
        <f t="shared" si="407"/>
        <v>0</v>
      </c>
      <c r="O1062" s="103">
        <f t="shared" si="407"/>
        <v>1099526.2999999998</v>
      </c>
      <c r="P1062" s="103">
        <f t="shared" si="407"/>
        <v>0</v>
      </c>
      <c r="Q1062" s="103">
        <f>+N1062+O1062+P1062</f>
        <v>1099526.2999999998</v>
      </c>
      <c r="S1062" s="267" t="str">
        <f t="shared" si="401"/>
        <v/>
      </c>
      <c r="T1062" s="267">
        <f t="shared" si="401"/>
        <v>0.66681021212121216</v>
      </c>
      <c r="U1062" s="267" t="str">
        <f t="shared" si="401"/>
        <v/>
      </c>
      <c r="V1062" s="267">
        <f t="shared" si="400"/>
        <v>0.66681021212121216</v>
      </c>
      <c r="W1062" s="267"/>
      <c r="X1062" s="237" t="s">
        <v>598</v>
      </c>
    </row>
    <row r="1063" spans="1:26" s="266" customFormat="1" ht="12" customHeight="1">
      <c r="A1063" s="315" t="s">
        <v>656</v>
      </c>
      <c r="B1063" s="315" t="s">
        <v>57</v>
      </c>
      <c r="C1063" s="1470" t="s">
        <v>658</v>
      </c>
      <c r="D1063" s="1471"/>
      <c r="E1063" s="1472"/>
      <c r="F1063" s="666">
        <f>+F1061+F1059</f>
        <v>0</v>
      </c>
      <c r="G1063" s="666">
        <f t="shared" ref="G1063:Q1063" si="408">+G1061+G1059</f>
        <v>52119899.770000003</v>
      </c>
      <c r="H1063" s="666">
        <f t="shared" si="408"/>
        <v>76407214.150000006</v>
      </c>
      <c r="I1063" s="666">
        <f t="shared" si="408"/>
        <v>128527113.92</v>
      </c>
      <c r="J1063" s="666">
        <f t="shared" si="408"/>
        <v>0</v>
      </c>
      <c r="K1063" s="666">
        <f t="shared" si="408"/>
        <v>48644001.609999999</v>
      </c>
      <c r="L1063" s="666">
        <f t="shared" si="408"/>
        <v>37465258.5</v>
      </c>
      <c r="M1063" s="666">
        <f t="shared" si="408"/>
        <v>86109260.109999999</v>
      </c>
      <c r="N1063" s="666">
        <f t="shared" si="408"/>
        <v>0</v>
      </c>
      <c r="O1063" s="666">
        <f t="shared" si="408"/>
        <v>3475898.1600000048</v>
      </c>
      <c r="P1063" s="666">
        <f t="shared" si="408"/>
        <v>38941955.650000006</v>
      </c>
      <c r="Q1063" s="666">
        <f t="shared" si="408"/>
        <v>42417853.81000001</v>
      </c>
      <c r="R1063" s="1099">
        <f>+Q1063-'[3]caraga-SAOB'!BE350</f>
        <v>0</v>
      </c>
      <c r="S1063" s="525" t="str">
        <f t="shared" si="401"/>
        <v/>
      </c>
      <c r="T1063" s="525">
        <f t="shared" si="401"/>
        <v>0.93330957704564277</v>
      </c>
      <c r="U1063" s="525">
        <f t="shared" si="401"/>
        <v>0.49033666410673599</v>
      </c>
      <c r="V1063" s="525">
        <f t="shared" si="400"/>
        <v>0.6699696078416385</v>
      </c>
      <c r="W1063" s="345"/>
      <c r="X1063" s="237" t="s">
        <v>598</v>
      </c>
      <c r="Y1063" s="837" t="s">
        <v>598</v>
      </c>
      <c r="Z1063" s="241" t="s">
        <v>598</v>
      </c>
    </row>
    <row r="1064" spans="1:26" ht="12" customHeight="1">
      <c r="A1064" s="315" t="s">
        <v>656</v>
      </c>
      <c r="B1064" s="315" t="s">
        <v>57</v>
      </c>
      <c r="C1064" s="469"/>
      <c r="D1064" s="470"/>
      <c r="E1064" s="471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S1064" s="267" t="str">
        <f t="shared" si="401"/>
        <v/>
      </c>
      <c r="T1064" s="267" t="str">
        <f t="shared" si="401"/>
        <v/>
      </c>
      <c r="U1064" s="267" t="str">
        <f t="shared" si="401"/>
        <v/>
      </c>
      <c r="V1064" s="267" t="str">
        <f t="shared" si="400"/>
        <v/>
      </c>
      <c r="W1064" s="267"/>
      <c r="Y1064" s="837" t="s">
        <v>598</v>
      </c>
      <c r="Z1064" s="241" t="s">
        <v>598</v>
      </c>
    </row>
    <row r="1065" spans="1:26" s="331" customFormat="1" ht="12" customHeight="1">
      <c r="A1065" s="315" t="s">
        <v>69</v>
      </c>
      <c r="B1065" s="315" t="s">
        <v>69</v>
      </c>
      <c r="C1065" s="475" t="s">
        <v>69</v>
      </c>
      <c r="D1065" s="467"/>
      <c r="E1065" s="476"/>
      <c r="F1065" s="477"/>
      <c r="G1065" s="477"/>
      <c r="H1065" s="477"/>
      <c r="I1065" s="477">
        <f t="shared" si="393"/>
        <v>0</v>
      </c>
      <c r="J1065" s="477"/>
      <c r="K1065" s="477"/>
      <c r="L1065" s="477"/>
      <c r="M1065" s="477">
        <f t="shared" si="394"/>
        <v>0</v>
      </c>
      <c r="N1065" s="477">
        <f t="shared" si="389"/>
        <v>0</v>
      </c>
      <c r="O1065" s="477">
        <f t="shared" si="389"/>
        <v>0</v>
      </c>
      <c r="P1065" s="477">
        <f t="shared" si="389"/>
        <v>0</v>
      </c>
      <c r="Q1065" s="477">
        <f t="shared" si="395"/>
        <v>0</v>
      </c>
      <c r="R1065" s="761"/>
      <c r="S1065" s="267" t="str">
        <f t="shared" si="401"/>
        <v/>
      </c>
      <c r="T1065" s="267" t="str">
        <f t="shared" si="401"/>
        <v/>
      </c>
      <c r="U1065" s="267" t="str">
        <f t="shared" si="401"/>
        <v/>
      </c>
      <c r="V1065" s="267" t="str">
        <f t="shared" si="400"/>
        <v/>
      </c>
      <c r="W1065" s="347"/>
      <c r="X1065" s="1404"/>
      <c r="Y1065" s="837" t="s">
        <v>598</v>
      </c>
      <c r="Z1065" s="261" t="s">
        <v>598</v>
      </c>
    </row>
    <row r="1066" spans="1:26" s="275" customFormat="1" ht="15.75" customHeight="1">
      <c r="A1066" s="548" t="s">
        <v>69</v>
      </c>
      <c r="B1066" s="548" t="s">
        <v>236</v>
      </c>
      <c r="C1066" s="464" t="s">
        <v>98</v>
      </c>
      <c r="D1066" s="552" t="s">
        <v>105</v>
      </c>
      <c r="E1066" s="407" t="s">
        <v>850</v>
      </c>
      <c r="F1066" s="468"/>
      <c r="G1066" s="468"/>
      <c r="H1066" s="468"/>
      <c r="I1066" s="409">
        <f t="shared" si="393"/>
        <v>0</v>
      </c>
      <c r="J1066" s="468"/>
      <c r="K1066" s="468"/>
      <c r="L1066" s="468"/>
      <c r="M1066" s="409">
        <f t="shared" si="394"/>
        <v>0</v>
      </c>
      <c r="N1066" s="409">
        <f t="shared" si="389"/>
        <v>0</v>
      </c>
      <c r="O1066" s="409">
        <f t="shared" si="389"/>
        <v>0</v>
      </c>
      <c r="P1066" s="409">
        <f t="shared" si="389"/>
        <v>0</v>
      </c>
      <c r="Q1066" s="409">
        <f t="shared" si="395"/>
        <v>0</v>
      </c>
      <c r="R1066" s="761"/>
      <c r="S1066" s="267" t="str">
        <f t="shared" si="401"/>
        <v/>
      </c>
      <c r="T1066" s="267" t="str">
        <f t="shared" si="401"/>
        <v/>
      </c>
      <c r="U1066" s="267" t="str">
        <f t="shared" si="401"/>
        <v/>
      </c>
      <c r="V1066" s="267" t="str">
        <f t="shared" si="400"/>
        <v/>
      </c>
      <c r="W1066" s="553"/>
      <c r="Y1066" s="236" t="s">
        <v>598</v>
      </c>
      <c r="Z1066" s="240" t="s">
        <v>598</v>
      </c>
    </row>
    <row r="1067" spans="1:26" ht="12" customHeight="1">
      <c r="A1067" s="548" t="s">
        <v>69</v>
      </c>
      <c r="B1067" s="548" t="s">
        <v>236</v>
      </c>
      <c r="C1067" s="447" t="s">
        <v>766</v>
      </c>
      <c r="D1067" s="775"/>
      <c r="E1067" s="447" t="s">
        <v>766</v>
      </c>
      <c r="F1067" s="104">
        <f>+'[3]special hospitals1'!B451</f>
        <v>0</v>
      </c>
      <c r="G1067" s="104">
        <f>+'[3]special hospitals1'!C451</f>
        <v>0</v>
      </c>
      <c r="H1067" s="104">
        <f>+'[3]special hospitals1'!D451</f>
        <v>0</v>
      </c>
      <c r="I1067" s="103">
        <f t="shared" si="393"/>
        <v>0</v>
      </c>
      <c r="J1067" s="104">
        <f>+'[3]special hospitals1'!F451</f>
        <v>0</v>
      </c>
      <c r="K1067" s="104">
        <f>+'[3]special hospitals1'!G451</f>
        <v>0</v>
      </c>
      <c r="L1067" s="104">
        <f>+'[3]special hospitals1'!H451</f>
        <v>0</v>
      </c>
      <c r="M1067" s="103">
        <f t="shared" si="394"/>
        <v>0</v>
      </c>
      <c r="N1067" s="103">
        <f t="shared" si="389"/>
        <v>0</v>
      </c>
      <c r="O1067" s="103">
        <f t="shared" si="389"/>
        <v>0</v>
      </c>
      <c r="P1067" s="103">
        <f t="shared" si="389"/>
        <v>0</v>
      </c>
      <c r="Q1067" s="103">
        <f t="shared" si="395"/>
        <v>0</v>
      </c>
      <c r="S1067" s="267" t="str">
        <f t="shared" si="401"/>
        <v/>
      </c>
      <c r="T1067" s="267" t="str">
        <f t="shared" si="401"/>
        <v/>
      </c>
      <c r="U1067" s="267" t="str">
        <f t="shared" si="401"/>
        <v/>
      </c>
      <c r="V1067" s="267" t="str">
        <f t="shared" si="400"/>
        <v/>
      </c>
      <c r="W1067" s="530"/>
      <c r="X1067" s="236"/>
      <c r="Y1067" s="236" t="s">
        <v>688</v>
      </c>
      <c r="Z1067" s="236"/>
    </row>
    <row r="1068" spans="1:26" ht="12" customHeight="1">
      <c r="A1068" s="548" t="s">
        <v>69</v>
      </c>
      <c r="B1068" s="548" t="s">
        <v>236</v>
      </c>
      <c r="C1068" s="456"/>
      <c r="D1068" s="775"/>
      <c r="E1068" s="453" t="s">
        <v>50</v>
      </c>
      <c r="F1068" s="103">
        <f>+F1069+F1070</f>
        <v>0</v>
      </c>
      <c r="G1068" s="103">
        <f>+G1069+G1070</f>
        <v>14164776.120000001</v>
      </c>
      <c r="H1068" s="103">
        <f>+H1069+H1070</f>
        <v>0</v>
      </c>
      <c r="I1068" s="103">
        <f t="shared" si="393"/>
        <v>14164776.120000001</v>
      </c>
      <c r="J1068" s="103">
        <f>+J1069+J1070</f>
        <v>0</v>
      </c>
      <c r="K1068" s="103">
        <f>+K1069+K1070</f>
        <v>12781006.48</v>
      </c>
      <c r="L1068" s="103">
        <f>+L1069+L1070</f>
        <v>0</v>
      </c>
      <c r="M1068" s="103">
        <f t="shared" si="394"/>
        <v>12781006.48</v>
      </c>
      <c r="N1068" s="103">
        <f t="shared" si="389"/>
        <v>0</v>
      </c>
      <c r="O1068" s="103">
        <f t="shared" si="389"/>
        <v>1383769.6400000006</v>
      </c>
      <c r="P1068" s="103">
        <f t="shared" si="389"/>
        <v>0</v>
      </c>
      <c r="Q1068" s="103">
        <f t="shared" si="395"/>
        <v>1383769.6400000006</v>
      </c>
      <c r="S1068" s="267" t="str">
        <f t="shared" si="401"/>
        <v/>
      </c>
      <c r="T1068" s="267">
        <f t="shared" si="401"/>
        <v>0.90230910617456339</v>
      </c>
      <c r="U1068" s="267" t="str">
        <f t="shared" si="401"/>
        <v/>
      </c>
      <c r="V1068" s="267">
        <f t="shared" si="400"/>
        <v>0.90230910617456339</v>
      </c>
      <c r="W1068" s="530"/>
      <c r="X1068" s="236"/>
      <c r="Y1068" s="236" t="s">
        <v>688</v>
      </c>
      <c r="Z1068" s="236"/>
    </row>
    <row r="1069" spans="1:26" ht="12" hidden="1" customHeight="1">
      <c r="A1069" s="548" t="s">
        <v>69</v>
      </c>
      <c r="B1069" s="548" t="s">
        <v>236</v>
      </c>
      <c r="C1069" s="458" t="s">
        <v>715</v>
      </c>
      <c r="D1069" s="550" t="s">
        <v>715</v>
      </c>
      <c r="E1069" s="459" t="s">
        <v>715</v>
      </c>
      <c r="F1069" s="104">
        <f>'[3]CONAP - W INC'!F810</f>
        <v>0</v>
      </c>
      <c r="G1069" s="104">
        <f>'[3]CONAP - W INC'!G810</f>
        <v>1744908.9500000002</v>
      </c>
      <c r="H1069" s="104">
        <f>'[3]CONAP - W INC'!H810</f>
        <v>0</v>
      </c>
      <c r="I1069" s="103">
        <f t="shared" si="393"/>
        <v>1744908.9500000002</v>
      </c>
      <c r="J1069" s="104">
        <f>'[3]CONAP - W INC'!J810</f>
        <v>0</v>
      </c>
      <c r="K1069" s="104">
        <f>'[3]CONAP - W INC'!K810</f>
        <v>3899877.77</v>
      </c>
      <c r="L1069" s="104">
        <f>'[3]CONAP - W INC'!L810</f>
        <v>0</v>
      </c>
      <c r="M1069" s="103">
        <f t="shared" si="394"/>
        <v>3899877.77</v>
      </c>
      <c r="N1069" s="103">
        <f t="shared" si="389"/>
        <v>0</v>
      </c>
      <c r="O1069" s="103">
        <f t="shared" si="389"/>
        <v>-2154968.8199999998</v>
      </c>
      <c r="P1069" s="103">
        <f t="shared" si="389"/>
        <v>0</v>
      </c>
      <c r="Q1069" s="103">
        <f t="shared" si="395"/>
        <v>-2154968.8199999998</v>
      </c>
      <c r="S1069" s="267" t="str">
        <f t="shared" si="401"/>
        <v/>
      </c>
      <c r="T1069" s="267">
        <f t="shared" si="401"/>
        <v>2.2350035914481379</v>
      </c>
      <c r="U1069" s="267" t="str">
        <f t="shared" si="401"/>
        <v/>
      </c>
      <c r="V1069" s="267">
        <f t="shared" si="400"/>
        <v>2.2350035914481379</v>
      </c>
      <c r="W1069" s="530"/>
      <c r="X1069" s="236"/>
      <c r="Y1069" s="236"/>
      <c r="Z1069" s="236"/>
    </row>
    <row r="1070" spans="1:26" ht="12" hidden="1" customHeight="1">
      <c r="A1070" s="548" t="s">
        <v>69</v>
      </c>
      <c r="B1070" s="548" t="s">
        <v>236</v>
      </c>
      <c r="C1070" s="458" t="s">
        <v>716</v>
      </c>
      <c r="D1070" s="550" t="s">
        <v>716</v>
      </c>
      <c r="E1070" s="459" t="s">
        <v>716</v>
      </c>
      <c r="F1070" s="104">
        <f>'[3]CONAP - W INC'!F811</f>
        <v>0</v>
      </c>
      <c r="G1070" s="104">
        <f>'[3]CONAP - W INC'!G811</f>
        <v>12419867.17</v>
      </c>
      <c r="H1070" s="104">
        <f>'[3]CONAP - W INC'!H811</f>
        <v>0</v>
      </c>
      <c r="I1070" s="103">
        <f t="shared" si="393"/>
        <v>12419867.17</v>
      </c>
      <c r="J1070" s="104">
        <f>'[3]CONAP - W INC'!J811</f>
        <v>0</v>
      </c>
      <c r="K1070" s="104">
        <f>'[3]CONAP - W INC'!K811</f>
        <v>8881128.7100000009</v>
      </c>
      <c r="L1070" s="104">
        <f>'[3]CONAP - W INC'!L811</f>
        <v>0</v>
      </c>
      <c r="M1070" s="103">
        <f t="shared" si="394"/>
        <v>8881128.7100000009</v>
      </c>
      <c r="N1070" s="103">
        <f t="shared" si="389"/>
        <v>0</v>
      </c>
      <c r="O1070" s="103">
        <f t="shared" si="389"/>
        <v>3538738.459999999</v>
      </c>
      <c r="P1070" s="103">
        <f t="shared" si="389"/>
        <v>0</v>
      </c>
      <c r="Q1070" s="103">
        <f t="shared" si="395"/>
        <v>3538738.459999999</v>
      </c>
      <c r="S1070" s="267" t="str">
        <f t="shared" si="401"/>
        <v/>
      </c>
      <c r="T1070" s="267">
        <f t="shared" si="401"/>
        <v>0.71507437144353947</v>
      </c>
      <c r="U1070" s="267" t="str">
        <f t="shared" si="401"/>
        <v/>
      </c>
      <c r="V1070" s="267">
        <f t="shared" si="400"/>
        <v>0.71507437144353947</v>
      </c>
      <c r="W1070" s="530"/>
      <c r="X1070" s="236"/>
      <c r="Y1070" s="236"/>
      <c r="Z1070" s="236"/>
    </row>
    <row r="1071" spans="1:26" s="256" customFormat="1" ht="12" customHeight="1">
      <c r="A1071" s="548"/>
      <c r="B1071" s="548" t="s">
        <v>236</v>
      </c>
      <c r="C1071" s="460"/>
      <c r="D1071" s="551"/>
      <c r="E1071" s="390" t="s">
        <v>767</v>
      </c>
      <c r="F1071" s="391">
        <f>+F1068+F1067</f>
        <v>0</v>
      </c>
      <c r="G1071" s="391">
        <f t="shared" ref="G1071:Q1071" si="409">+G1068+G1067</f>
        <v>14164776.120000001</v>
      </c>
      <c r="H1071" s="391">
        <f t="shared" si="409"/>
        <v>0</v>
      </c>
      <c r="I1071" s="391">
        <f t="shared" si="409"/>
        <v>14164776.120000001</v>
      </c>
      <c r="J1071" s="391">
        <f t="shared" si="409"/>
        <v>0</v>
      </c>
      <c r="K1071" s="391">
        <f t="shared" si="409"/>
        <v>12781006.48</v>
      </c>
      <c r="L1071" s="391">
        <f t="shared" si="409"/>
        <v>0</v>
      </c>
      <c r="M1071" s="391">
        <f t="shared" si="409"/>
        <v>12781006.48</v>
      </c>
      <c r="N1071" s="391">
        <f t="shared" si="409"/>
        <v>0</v>
      </c>
      <c r="O1071" s="391">
        <f t="shared" si="409"/>
        <v>1383769.6400000006</v>
      </c>
      <c r="P1071" s="391">
        <f t="shared" si="409"/>
        <v>0</v>
      </c>
      <c r="Q1071" s="391">
        <f t="shared" si="409"/>
        <v>1383769.6400000006</v>
      </c>
      <c r="R1071" s="761"/>
      <c r="S1071" s="267" t="str">
        <f t="shared" si="401"/>
        <v/>
      </c>
      <c r="T1071" s="267">
        <f t="shared" si="401"/>
        <v>0.90230910617456339</v>
      </c>
      <c r="U1071" s="267" t="str">
        <f t="shared" si="401"/>
        <v/>
      </c>
      <c r="V1071" s="267">
        <f t="shared" si="400"/>
        <v>0.90230910617456339</v>
      </c>
      <c r="W1071" s="532"/>
      <c r="Y1071" s="236" t="s">
        <v>598</v>
      </c>
      <c r="Z1071" s="240" t="s">
        <v>598</v>
      </c>
    </row>
    <row r="1072" spans="1:26" ht="12" hidden="1" customHeight="1">
      <c r="A1072" s="548"/>
      <c r="B1072" s="548"/>
      <c r="C1072" s="456"/>
      <c r="D1072" s="549"/>
      <c r="E1072" s="461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S1072" s="267" t="str">
        <f t="shared" si="401"/>
        <v/>
      </c>
      <c r="T1072" s="267" t="str">
        <f t="shared" si="401"/>
        <v/>
      </c>
      <c r="U1072" s="267" t="str">
        <f t="shared" si="401"/>
        <v/>
      </c>
      <c r="V1072" s="267" t="str">
        <f t="shared" si="400"/>
        <v/>
      </c>
      <c r="W1072" s="530"/>
      <c r="X1072" s="236"/>
      <c r="Y1072" s="236"/>
      <c r="Z1072" s="236"/>
    </row>
    <row r="1073" spans="1:26" s="256" customFormat="1" ht="12" customHeight="1">
      <c r="A1073" s="548" t="s">
        <v>69</v>
      </c>
      <c r="B1073" s="548" t="s">
        <v>236</v>
      </c>
      <c r="C1073" s="460"/>
      <c r="D1073" s="551" t="s">
        <v>98</v>
      </c>
      <c r="E1073" s="390" t="s">
        <v>100</v>
      </c>
      <c r="F1073" s="391">
        <f>SUM(F1074:F1075)</f>
        <v>0</v>
      </c>
      <c r="G1073" s="391">
        <f t="shared" ref="G1073:Q1073" si="410">SUM(G1074:G1075)</f>
        <v>16104634.68</v>
      </c>
      <c r="H1073" s="391">
        <f t="shared" si="410"/>
        <v>0</v>
      </c>
      <c r="I1073" s="391">
        <f t="shared" si="410"/>
        <v>16104634.68</v>
      </c>
      <c r="J1073" s="391">
        <f t="shared" si="410"/>
        <v>0</v>
      </c>
      <c r="K1073" s="391">
        <f t="shared" si="410"/>
        <v>14908267.960000001</v>
      </c>
      <c r="L1073" s="391">
        <f t="shared" si="410"/>
        <v>0</v>
      </c>
      <c r="M1073" s="391">
        <f t="shared" si="410"/>
        <v>14908267.960000001</v>
      </c>
      <c r="N1073" s="391">
        <f t="shared" si="410"/>
        <v>0</v>
      </c>
      <c r="O1073" s="391">
        <f t="shared" si="410"/>
        <v>1196366.7199999997</v>
      </c>
      <c r="P1073" s="391">
        <f t="shared" si="410"/>
        <v>0</v>
      </c>
      <c r="Q1073" s="391">
        <f t="shared" si="410"/>
        <v>1196366.7199999997</v>
      </c>
      <c r="R1073" s="761"/>
      <c r="S1073" s="267" t="str">
        <f t="shared" si="401"/>
        <v/>
      </c>
      <c r="T1073" s="267">
        <f t="shared" si="401"/>
        <v>0.92571289297945136</v>
      </c>
      <c r="U1073" s="267" t="str">
        <f t="shared" si="401"/>
        <v/>
      </c>
      <c r="V1073" s="267">
        <f t="shared" si="400"/>
        <v>0.92571289297945136</v>
      </c>
      <c r="W1073" s="532"/>
      <c r="Y1073" s="236" t="s">
        <v>598</v>
      </c>
      <c r="Z1073" s="240" t="s">
        <v>598</v>
      </c>
    </row>
    <row r="1074" spans="1:26" ht="12" customHeight="1">
      <c r="A1074" s="548" t="s">
        <v>69</v>
      </c>
      <c r="B1074" s="548" t="s">
        <v>236</v>
      </c>
      <c r="C1074" s="456"/>
      <c r="D1074" s="549"/>
      <c r="E1074" s="462" t="s">
        <v>290</v>
      </c>
      <c r="F1074" s="103">
        <v>0</v>
      </c>
      <c r="G1074" s="103">
        <f>+'[3]special hospitals1'!AM220</f>
        <v>3203485.6799999997</v>
      </c>
      <c r="H1074" s="103">
        <f>SUM('[3]special hospitals1'!AM313)</f>
        <v>0</v>
      </c>
      <c r="I1074" s="103">
        <f>+F1074+G1074+H1074</f>
        <v>3203485.6799999997</v>
      </c>
      <c r="J1074" s="103">
        <v>0</v>
      </c>
      <c r="K1074" s="103">
        <f>+'[3]special hospitals1'!AM223</f>
        <v>3203261.3899999997</v>
      </c>
      <c r="L1074" s="103">
        <f>SUM('[3]special hospitals1'!AM314)</f>
        <v>0</v>
      </c>
      <c r="M1074" s="103">
        <f>+J1074+K1074+L1074</f>
        <v>3203261.3899999997</v>
      </c>
      <c r="N1074" s="103">
        <f t="shared" ref="N1074:P1075" si="411">+F1074-J1074</f>
        <v>0</v>
      </c>
      <c r="O1074" s="103">
        <f t="shared" si="411"/>
        <v>224.29000000003725</v>
      </c>
      <c r="P1074" s="103">
        <f t="shared" si="411"/>
        <v>0</v>
      </c>
      <c r="Q1074" s="103">
        <f>+N1074+O1074+P1074</f>
        <v>224.29000000003725</v>
      </c>
      <c r="S1074" s="267" t="str">
        <f t="shared" si="401"/>
        <v/>
      </c>
      <c r="T1074" s="267">
        <f t="shared" si="401"/>
        <v>0.9999299856398921</v>
      </c>
      <c r="U1074" s="267" t="str">
        <f t="shared" si="401"/>
        <v/>
      </c>
      <c r="V1074" s="267">
        <f t="shared" si="400"/>
        <v>0.9999299856398921</v>
      </c>
      <c r="W1074" s="530"/>
      <c r="X1074" s="236"/>
      <c r="Y1074" s="236" t="s">
        <v>598</v>
      </c>
      <c r="Z1074" s="236"/>
    </row>
    <row r="1075" spans="1:26" ht="12" customHeight="1">
      <c r="A1075" s="548" t="s">
        <v>69</v>
      </c>
      <c r="B1075" s="548" t="s">
        <v>236</v>
      </c>
      <c r="C1075" s="456"/>
      <c r="D1075" s="549"/>
      <c r="E1075" s="729" t="s">
        <v>851</v>
      </c>
      <c r="F1075" s="103">
        <v>0</v>
      </c>
      <c r="G1075" s="103">
        <f>+'[3]special hospitals1'!R220</f>
        <v>12901149</v>
      </c>
      <c r="H1075" s="103">
        <f>SUM('[3]special hospitals1'!AM314)</f>
        <v>0</v>
      </c>
      <c r="I1075" s="103">
        <f>+F1075+G1075+H1075</f>
        <v>12901149</v>
      </c>
      <c r="J1075" s="103">
        <v>0</v>
      </c>
      <c r="K1075" s="103">
        <f>+'[3]special hospitals1'!R223</f>
        <v>11705006.57</v>
      </c>
      <c r="L1075" s="103">
        <f>SUM('[3]special hospitals1'!AM315)</f>
        <v>0</v>
      </c>
      <c r="M1075" s="103">
        <f>+J1075+K1075+L1075</f>
        <v>11705006.57</v>
      </c>
      <c r="N1075" s="103">
        <f t="shared" si="411"/>
        <v>0</v>
      </c>
      <c r="O1075" s="103">
        <f t="shared" si="411"/>
        <v>1196142.4299999997</v>
      </c>
      <c r="P1075" s="103">
        <f t="shared" si="411"/>
        <v>0</v>
      </c>
      <c r="Q1075" s="103">
        <f>+N1075+O1075+P1075</f>
        <v>1196142.4299999997</v>
      </c>
      <c r="S1075" s="267" t="str">
        <f t="shared" si="401"/>
        <v/>
      </c>
      <c r="T1075" s="267">
        <f t="shared" si="401"/>
        <v>0.90728403880925645</v>
      </c>
      <c r="U1075" s="267" t="str">
        <f t="shared" si="401"/>
        <v/>
      </c>
      <c r="V1075" s="267">
        <f t="shared" si="400"/>
        <v>0.90728403880925645</v>
      </c>
      <c r="W1075" s="530"/>
      <c r="X1075" s="236"/>
      <c r="Y1075" s="236" t="s">
        <v>598</v>
      </c>
      <c r="Z1075" s="236"/>
    </row>
    <row r="1076" spans="1:26" s="259" customFormat="1" ht="12" customHeight="1">
      <c r="A1076" s="315" t="s">
        <v>69</v>
      </c>
      <c r="B1076" s="315" t="s">
        <v>236</v>
      </c>
      <c r="C1076" s="1096"/>
      <c r="D1076" s="466"/>
      <c r="E1076" s="1097" t="s">
        <v>4</v>
      </c>
      <c r="F1076" s="652">
        <f>+F1071+F1073</f>
        <v>0</v>
      </c>
      <c r="G1076" s="652">
        <f t="shared" ref="G1076:Q1076" si="412">+G1071+G1073</f>
        <v>30269410.800000001</v>
      </c>
      <c r="H1076" s="652">
        <f t="shared" si="412"/>
        <v>0</v>
      </c>
      <c r="I1076" s="652">
        <f t="shared" si="412"/>
        <v>30269410.800000001</v>
      </c>
      <c r="J1076" s="652">
        <f t="shared" si="412"/>
        <v>0</v>
      </c>
      <c r="K1076" s="652">
        <f t="shared" si="412"/>
        <v>27689274.440000001</v>
      </c>
      <c r="L1076" s="652">
        <f t="shared" si="412"/>
        <v>0</v>
      </c>
      <c r="M1076" s="652">
        <f t="shared" si="412"/>
        <v>27689274.440000001</v>
      </c>
      <c r="N1076" s="652">
        <f t="shared" si="412"/>
        <v>0</v>
      </c>
      <c r="O1076" s="652">
        <f t="shared" si="412"/>
        <v>2580136.3600000003</v>
      </c>
      <c r="P1076" s="652">
        <f t="shared" si="412"/>
        <v>0</v>
      </c>
      <c r="Q1076" s="652">
        <f t="shared" si="412"/>
        <v>2580136.3600000003</v>
      </c>
      <c r="R1076" s="1095">
        <f>+Q1076-'[3]special hospitals1'!CO351</f>
        <v>0</v>
      </c>
      <c r="S1076" s="524" t="str">
        <f t="shared" si="401"/>
        <v/>
      </c>
      <c r="T1076" s="524">
        <f t="shared" si="401"/>
        <v>0.91476093218173904</v>
      </c>
      <c r="U1076" s="524" t="str">
        <f t="shared" si="401"/>
        <v/>
      </c>
      <c r="V1076" s="524">
        <f t="shared" si="400"/>
        <v>0.91476093218173904</v>
      </c>
      <c r="W1076" s="344"/>
      <c r="X1076" s="520"/>
      <c r="Y1076" s="837" t="s">
        <v>598</v>
      </c>
      <c r="Z1076" s="241" t="s">
        <v>598</v>
      </c>
    </row>
    <row r="1077" spans="1:26" ht="12" customHeight="1">
      <c r="A1077" s="315" t="s">
        <v>69</v>
      </c>
      <c r="B1077" s="315" t="s">
        <v>236</v>
      </c>
      <c r="C1077" s="456"/>
      <c r="D1077" s="456"/>
      <c r="E1077" s="46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S1077" s="267" t="str">
        <f t="shared" si="401"/>
        <v/>
      </c>
      <c r="T1077" s="267" t="str">
        <f t="shared" si="401"/>
        <v/>
      </c>
      <c r="U1077" s="267" t="str">
        <f t="shared" si="401"/>
        <v/>
      </c>
      <c r="V1077" s="267" t="str">
        <f t="shared" si="400"/>
        <v/>
      </c>
      <c r="W1077" s="267"/>
      <c r="Y1077" s="837" t="s">
        <v>598</v>
      </c>
      <c r="Z1077" s="241" t="s">
        <v>598</v>
      </c>
    </row>
    <row r="1078" spans="1:26" s="351" customFormat="1" ht="12.75" customHeight="1">
      <c r="A1078" s="778" t="s">
        <v>69</v>
      </c>
      <c r="B1078" s="778" t="s">
        <v>237</v>
      </c>
      <c r="C1078" s="478" t="s">
        <v>98</v>
      </c>
      <c r="D1078" s="779" t="s">
        <v>107</v>
      </c>
      <c r="E1078" s="407" t="s">
        <v>237</v>
      </c>
      <c r="F1078" s="480"/>
      <c r="G1078" s="480"/>
      <c r="H1078" s="480"/>
      <c r="I1078" s="481">
        <f t="shared" si="393"/>
        <v>0</v>
      </c>
      <c r="J1078" s="480"/>
      <c r="K1078" s="480"/>
      <c r="L1078" s="480"/>
      <c r="M1078" s="481">
        <f t="shared" si="394"/>
        <v>0</v>
      </c>
      <c r="N1078" s="481">
        <f t="shared" si="389"/>
        <v>0</v>
      </c>
      <c r="O1078" s="481">
        <f t="shared" si="389"/>
        <v>0</v>
      </c>
      <c r="P1078" s="481">
        <f t="shared" si="389"/>
        <v>0</v>
      </c>
      <c r="Q1078" s="481">
        <f t="shared" si="395"/>
        <v>0</v>
      </c>
      <c r="R1078" s="761"/>
      <c r="S1078" s="349" t="str">
        <f t="shared" si="401"/>
        <v/>
      </c>
      <c r="T1078" s="349" t="str">
        <f t="shared" si="401"/>
        <v/>
      </c>
      <c r="U1078" s="349" t="str">
        <f t="shared" si="401"/>
        <v/>
      </c>
      <c r="V1078" s="349" t="str">
        <f t="shared" si="400"/>
        <v/>
      </c>
      <c r="W1078" s="781"/>
      <c r="Y1078" s="352" t="s">
        <v>598</v>
      </c>
      <c r="Z1078" s="240" t="s">
        <v>598</v>
      </c>
    </row>
    <row r="1079" spans="1:26" s="352" customFormat="1" ht="12.75" customHeight="1">
      <c r="A1079" s="778" t="s">
        <v>69</v>
      </c>
      <c r="B1079" s="778" t="s">
        <v>237</v>
      </c>
      <c r="C1079" s="447" t="s">
        <v>766</v>
      </c>
      <c r="D1079" s="782"/>
      <c r="E1079" s="447" t="s">
        <v>766</v>
      </c>
      <c r="F1079" s="483">
        <f>+'[3]special hospitals2'!B451</f>
        <v>0</v>
      </c>
      <c r="G1079" s="483">
        <f>+'[3]special hospitals2'!C451</f>
        <v>156497.71</v>
      </c>
      <c r="H1079" s="483">
        <f>+'[3]special hospitals2'!D451</f>
        <v>0</v>
      </c>
      <c r="I1079" s="484">
        <f t="shared" si="393"/>
        <v>156497.71</v>
      </c>
      <c r="J1079" s="483">
        <f>+'[3]special hospitals2'!F451</f>
        <v>0</v>
      </c>
      <c r="K1079" s="483">
        <f>+'[3]special hospitals2'!G451</f>
        <v>155692.15</v>
      </c>
      <c r="L1079" s="483">
        <f>+'[3]special hospitals2'!H451</f>
        <v>0</v>
      </c>
      <c r="M1079" s="484">
        <f t="shared" si="394"/>
        <v>155692.15</v>
      </c>
      <c r="N1079" s="484">
        <f t="shared" si="389"/>
        <v>0</v>
      </c>
      <c r="O1079" s="484">
        <f t="shared" si="389"/>
        <v>805.55999999999767</v>
      </c>
      <c r="P1079" s="484">
        <f t="shared" si="389"/>
        <v>0</v>
      </c>
      <c r="Q1079" s="484">
        <f t="shared" si="395"/>
        <v>805.55999999999767</v>
      </c>
      <c r="R1079" s="760"/>
      <c r="S1079" s="349" t="str">
        <f t="shared" si="401"/>
        <v/>
      </c>
      <c r="T1079" s="349">
        <f t="shared" si="401"/>
        <v>0.99485257643706093</v>
      </c>
      <c r="U1079" s="349" t="str">
        <f t="shared" si="401"/>
        <v/>
      </c>
      <c r="V1079" s="349">
        <f t="shared" si="400"/>
        <v>0.99485257643706093</v>
      </c>
      <c r="W1079" s="780"/>
      <c r="Y1079" s="352" t="s">
        <v>688</v>
      </c>
    </row>
    <row r="1080" spans="1:26" s="352" customFormat="1" ht="12.75" customHeight="1">
      <c r="A1080" s="778" t="s">
        <v>69</v>
      </c>
      <c r="B1080" s="778" t="s">
        <v>237</v>
      </c>
      <c r="C1080" s="485"/>
      <c r="D1080" s="782"/>
      <c r="E1080" s="453" t="s">
        <v>50</v>
      </c>
      <c r="F1080" s="484">
        <f>+F1081+F1082</f>
        <v>0</v>
      </c>
      <c r="G1080" s="484">
        <f>+G1081+G1082</f>
        <v>2488380.7200000002</v>
      </c>
      <c r="H1080" s="484">
        <f>+H1081+H1082</f>
        <v>0</v>
      </c>
      <c r="I1080" s="484">
        <f t="shared" si="393"/>
        <v>2488380.7200000002</v>
      </c>
      <c r="J1080" s="484">
        <f>+J1081+J1082</f>
        <v>0</v>
      </c>
      <c r="K1080" s="484">
        <f>+K1081+K1082</f>
        <v>2115708.52</v>
      </c>
      <c r="L1080" s="484">
        <f>+L1081+L1082</f>
        <v>0</v>
      </c>
      <c r="M1080" s="484">
        <f t="shared" si="394"/>
        <v>2115708.52</v>
      </c>
      <c r="N1080" s="484">
        <f t="shared" ref="N1080:P1134" si="413">+F1080-J1080</f>
        <v>0</v>
      </c>
      <c r="O1080" s="484">
        <f t="shared" si="413"/>
        <v>372672.20000000019</v>
      </c>
      <c r="P1080" s="484">
        <f t="shared" si="413"/>
        <v>0</v>
      </c>
      <c r="Q1080" s="484">
        <f t="shared" si="395"/>
        <v>372672.20000000019</v>
      </c>
      <c r="R1080" s="760"/>
      <c r="S1080" s="349" t="str">
        <f t="shared" si="401"/>
        <v/>
      </c>
      <c r="T1080" s="349">
        <f t="shared" si="401"/>
        <v>0.85023505567106306</v>
      </c>
      <c r="U1080" s="349" t="str">
        <f t="shared" si="401"/>
        <v/>
      </c>
      <c r="V1080" s="349">
        <f t="shared" si="400"/>
        <v>0.85023505567106306</v>
      </c>
      <c r="W1080" s="780"/>
      <c r="Y1080" s="352" t="s">
        <v>688</v>
      </c>
    </row>
    <row r="1081" spans="1:26" s="352" customFormat="1" ht="12.75" hidden="1" customHeight="1">
      <c r="A1081" s="778" t="s">
        <v>69</v>
      </c>
      <c r="B1081" s="778" t="s">
        <v>237</v>
      </c>
      <c r="C1081" s="458" t="s">
        <v>715</v>
      </c>
      <c r="D1081" s="550" t="s">
        <v>715</v>
      </c>
      <c r="E1081" s="459" t="s">
        <v>715</v>
      </c>
      <c r="F1081" s="483">
        <f>'[3]CONAP - W INC'!F818</f>
        <v>0</v>
      </c>
      <c r="G1081" s="483">
        <f>'[3]CONAP - W INC'!G818</f>
        <v>-284281.81</v>
      </c>
      <c r="H1081" s="483">
        <f>'[3]CONAP - W INC'!H818</f>
        <v>0</v>
      </c>
      <c r="I1081" s="484">
        <f t="shared" si="393"/>
        <v>-284281.81</v>
      </c>
      <c r="J1081" s="483">
        <f>'[3]CONAP - W INC'!J818</f>
        <v>0</v>
      </c>
      <c r="K1081" s="483">
        <f>'[3]CONAP - W INC'!K818</f>
        <v>0</v>
      </c>
      <c r="L1081" s="483">
        <f>'[3]CONAP - W INC'!L818</f>
        <v>0</v>
      </c>
      <c r="M1081" s="484">
        <f t="shared" si="394"/>
        <v>0</v>
      </c>
      <c r="N1081" s="484">
        <f t="shared" si="413"/>
        <v>0</v>
      </c>
      <c r="O1081" s="484">
        <f t="shared" si="413"/>
        <v>-284281.81</v>
      </c>
      <c r="P1081" s="484">
        <f t="shared" si="413"/>
        <v>0</v>
      </c>
      <c r="Q1081" s="484">
        <f t="shared" si="395"/>
        <v>-284281.81</v>
      </c>
      <c r="R1081" s="760"/>
      <c r="S1081" s="349" t="str">
        <f t="shared" si="401"/>
        <v/>
      </c>
      <c r="T1081" s="349">
        <f t="shared" si="401"/>
        <v>0</v>
      </c>
      <c r="U1081" s="349" t="str">
        <f t="shared" si="401"/>
        <v/>
      </c>
      <c r="V1081" s="349">
        <f t="shared" si="400"/>
        <v>0</v>
      </c>
      <c r="W1081" s="780"/>
    </row>
    <row r="1082" spans="1:26" s="352" customFormat="1" ht="12.75" hidden="1" customHeight="1">
      <c r="A1082" s="778" t="s">
        <v>69</v>
      </c>
      <c r="B1082" s="778" t="s">
        <v>237</v>
      </c>
      <c r="C1082" s="458" t="s">
        <v>716</v>
      </c>
      <c r="D1082" s="550" t="s">
        <v>716</v>
      </c>
      <c r="E1082" s="459" t="s">
        <v>716</v>
      </c>
      <c r="F1082" s="483">
        <f>'[3]CONAP - W INC'!F819</f>
        <v>0</v>
      </c>
      <c r="G1082" s="483">
        <f>'[3]CONAP - W INC'!G819</f>
        <v>2772662.5300000003</v>
      </c>
      <c r="H1082" s="483">
        <f>'[3]CONAP - W INC'!H819</f>
        <v>0</v>
      </c>
      <c r="I1082" s="484">
        <f t="shared" si="393"/>
        <v>2772662.5300000003</v>
      </c>
      <c r="J1082" s="483">
        <f>'[3]CONAP - W INC'!J819</f>
        <v>0</v>
      </c>
      <c r="K1082" s="483">
        <f>'[3]CONAP - W INC'!K819</f>
        <v>2115708.52</v>
      </c>
      <c r="L1082" s="483">
        <f>'[3]CONAP - W INC'!L819</f>
        <v>0</v>
      </c>
      <c r="M1082" s="484">
        <f t="shared" si="394"/>
        <v>2115708.52</v>
      </c>
      <c r="N1082" s="484">
        <f t="shared" si="413"/>
        <v>0</v>
      </c>
      <c r="O1082" s="484">
        <f t="shared" si="413"/>
        <v>656954.01000000024</v>
      </c>
      <c r="P1082" s="484">
        <f t="shared" si="413"/>
        <v>0</v>
      </c>
      <c r="Q1082" s="484">
        <f t="shared" si="395"/>
        <v>656954.01000000024</v>
      </c>
      <c r="R1082" s="760"/>
      <c r="S1082" s="349" t="str">
        <f t="shared" si="401"/>
        <v/>
      </c>
      <c r="T1082" s="349">
        <f t="shared" si="401"/>
        <v>0.76306023438056125</v>
      </c>
      <c r="U1082" s="349" t="str">
        <f t="shared" si="401"/>
        <v/>
      </c>
      <c r="V1082" s="349">
        <f t="shared" si="400"/>
        <v>0.76306023438056125</v>
      </c>
      <c r="W1082" s="780"/>
    </row>
    <row r="1083" spans="1:26" s="354" customFormat="1" ht="12.75" customHeight="1">
      <c r="A1083" s="778"/>
      <c r="B1083" s="778" t="s">
        <v>237</v>
      </c>
      <c r="C1083" s="486"/>
      <c r="D1083" s="784"/>
      <c r="E1083" s="390" t="s">
        <v>767</v>
      </c>
      <c r="F1083" s="487">
        <f>+F1080+F1079</f>
        <v>0</v>
      </c>
      <c r="G1083" s="487">
        <f t="shared" ref="G1083:Q1083" si="414">+G1080+G1079</f>
        <v>2644878.4300000002</v>
      </c>
      <c r="H1083" s="487">
        <f t="shared" si="414"/>
        <v>0</v>
      </c>
      <c r="I1083" s="487">
        <f t="shared" si="414"/>
        <v>2644878.4300000002</v>
      </c>
      <c r="J1083" s="487">
        <f t="shared" si="414"/>
        <v>0</v>
      </c>
      <c r="K1083" s="487">
        <f t="shared" si="414"/>
        <v>2271400.67</v>
      </c>
      <c r="L1083" s="487">
        <f t="shared" si="414"/>
        <v>0</v>
      </c>
      <c r="M1083" s="487">
        <f t="shared" si="414"/>
        <v>2271400.67</v>
      </c>
      <c r="N1083" s="487">
        <f t="shared" si="414"/>
        <v>0</v>
      </c>
      <c r="O1083" s="487">
        <f t="shared" si="414"/>
        <v>373477.76000000018</v>
      </c>
      <c r="P1083" s="487">
        <f t="shared" si="414"/>
        <v>0</v>
      </c>
      <c r="Q1083" s="487">
        <f t="shared" si="414"/>
        <v>373477.76000000018</v>
      </c>
      <c r="R1083" s="761"/>
      <c r="S1083" s="349" t="str">
        <f t="shared" si="401"/>
        <v/>
      </c>
      <c r="T1083" s="349">
        <f t="shared" si="401"/>
        <v>0.85879208822463715</v>
      </c>
      <c r="U1083" s="349" t="str">
        <f t="shared" si="401"/>
        <v/>
      </c>
      <c r="V1083" s="349">
        <f t="shared" si="400"/>
        <v>0.85879208822463715</v>
      </c>
      <c r="W1083" s="785"/>
      <c r="Y1083" s="352" t="s">
        <v>598</v>
      </c>
      <c r="Z1083" s="240" t="s">
        <v>598</v>
      </c>
    </row>
    <row r="1084" spans="1:26" s="352" customFormat="1" ht="12.75" hidden="1" customHeight="1">
      <c r="A1084" s="778"/>
      <c r="B1084" s="778"/>
      <c r="C1084" s="485"/>
      <c r="D1084" s="783"/>
      <c r="E1084" s="488"/>
      <c r="F1084" s="484"/>
      <c r="G1084" s="484"/>
      <c r="H1084" s="484"/>
      <c r="I1084" s="484"/>
      <c r="J1084" s="484"/>
      <c r="K1084" s="484"/>
      <c r="L1084" s="484"/>
      <c r="M1084" s="484"/>
      <c r="N1084" s="484"/>
      <c r="O1084" s="484"/>
      <c r="P1084" s="484"/>
      <c r="Q1084" s="484"/>
      <c r="R1084" s="760"/>
      <c r="S1084" s="349" t="str">
        <f t="shared" si="401"/>
        <v/>
      </c>
      <c r="T1084" s="349" t="str">
        <f t="shared" si="401"/>
        <v/>
      </c>
      <c r="U1084" s="349" t="str">
        <f t="shared" si="401"/>
        <v/>
      </c>
      <c r="V1084" s="349" t="str">
        <f t="shared" si="400"/>
        <v/>
      </c>
      <c r="W1084" s="780"/>
    </row>
    <row r="1085" spans="1:26" s="354" customFormat="1" ht="12.75" customHeight="1">
      <c r="A1085" s="778" t="s">
        <v>69</v>
      </c>
      <c r="B1085" s="778" t="s">
        <v>237</v>
      </c>
      <c r="C1085" s="486"/>
      <c r="D1085" s="784" t="s">
        <v>98</v>
      </c>
      <c r="E1085" s="489" t="s">
        <v>100</v>
      </c>
      <c r="F1085" s="487">
        <f>SUM(F1086:F1086)</f>
        <v>0</v>
      </c>
      <c r="G1085" s="487">
        <f>SUM(G1086:G1086)</f>
        <v>4510048</v>
      </c>
      <c r="H1085" s="487">
        <f>SUM(H1086:H1086)</f>
        <v>0</v>
      </c>
      <c r="I1085" s="487">
        <f>+F1085+G1085+H1085</f>
        <v>4510048</v>
      </c>
      <c r="J1085" s="487">
        <f>SUM(J1086:J1086)</f>
        <v>0</v>
      </c>
      <c r="K1085" s="487">
        <f>SUM(K1086:K1086)</f>
        <v>4413647.5</v>
      </c>
      <c r="L1085" s="487">
        <f>SUM(L1086:L1086)</f>
        <v>0</v>
      </c>
      <c r="M1085" s="487">
        <f>+J1085+K1085+L1085</f>
        <v>4413647.5</v>
      </c>
      <c r="N1085" s="487">
        <f t="shared" ref="N1085:P1086" si="415">+F1085-J1085</f>
        <v>0</v>
      </c>
      <c r="O1085" s="487">
        <f t="shared" si="415"/>
        <v>96400.5</v>
      </c>
      <c r="P1085" s="487">
        <f t="shared" si="415"/>
        <v>0</v>
      </c>
      <c r="Q1085" s="487">
        <f>+N1085+O1085+P1085</f>
        <v>96400.5</v>
      </c>
      <c r="R1085" s="761"/>
      <c r="S1085" s="349" t="str">
        <f t="shared" si="401"/>
        <v/>
      </c>
      <c r="T1085" s="349">
        <f t="shared" si="401"/>
        <v>0.97862539378738322</v>
      </c>
      <c r="U1085" s="349" t="str">
        <f t="shared" si="401"/>
        <v/>
      </c>
      <c r="V1085" s="349">
        <f t="shared" si="400"/>
        <v>0.97862539378738322</v>
      </c>
      <c r="W1085" s="785"/>
      <c r="Y1085" s="352" t="s">
        <v>598</v>
      </c>
      <c r="Z1085" s="240" t="s">
        <v>598</v>
      </c>
    </row>
    <row r="1086" spans="1:26" s="352" customFormat="1" ht="12.75" customHeight="1">
      <c r="A1086" s="778" t="s">
        <v>69</v>
      </c>
      <c r="B1086" s="778" t="s">
        <v>237</v>
      </c>
      <c r="C1086" s="485"/>
      <c r="D1086" s="783"/>
      <c r="E1086" s="462" t="s">
        <v>290</v>
      </c>
      <c r="F1086" s="484">
        <v>0</v>
      </c>
      <c r="G1086" s="484">
        <f>SUM('[3]special hospitals2'!AM222)</f>
        <v>4510048</v>
      </c>
      <c r="H1086" s="484">
        <f>SUM('[3]special hospitals2'!AM314)</f>
        <v>0</v>
      </c>
      <c r="I1086" s="484">
        <f>+F1086+G1086+H1086</f>
        <v>4510048</v>
      </c>
      <c r="J1086" s="484">
        <v>0</v>
      </c>
      <c r="K1086" s="484">
        <f>SUM('[3]special hospitals2'!AM223)</f>
        <v>4413647.5</v>
      </c>
      <c r="L1086" s="484">
        <f>SUM('[3]special hospitals2'!AM315)</f>
        <v>0</v>
      </c>
      <c r="M1086" s="484">
        <f>+J1086+K1086+L1086</f>
        <v>4413647.5</v>
      </c>
      <c r="N1086" s="484">
        <f t="shared" si="415"/>
        <v>0</v>
      </c>
      <c r="O1086" s="484">
        <f t="shared" si="415"/>
        <v>96400.5</v>
      </c>
      <c r="P1086" s="484">
        <f t="shared" si="415"/>
        <v>0</v>
      </c>
      <c r="Q1086" s="484">
        <f>+N1086+O1086+P1086</f>
        <v>96400.5</v>
      </c>
      <c r="R1086" s="760"/>
      <c r="S1086" s="349" t="str">
        <f t="shared" si="401"/>
        <v/>
      </c>
      <c r="T1086" s="349">
        <f t="shared" si="401"/>
        <v>0.97862539378738322</v>
      </c>
      <c r="U1086" s="349" t="str">
        <f t="shared" si="401"/>
        <v/>
      </c>
      <c r="V1086" s="349">
        <f t="shared" si="400"/>
        <v>0.97862539378738322</v>
      </c>
      <c r="W1086" s="780"/>
      <c r="Y1086" s="352" t="s">
        <v>598</v>
      </c>
    </row>
    <row r="1087" spans="1:26" s="1183" customFormat="1" ht="12.75" customHeight="1">
      <c r="A1087" s="348" t="s">
        <v>69</v>
      </c>
      <c r="B1087" s="348" t="s">
        <v>237</v>
      </c>
      <c r="C1087" s="1101"/>
      <c r="D1087" s="490"/>
      <c r="E1087" s="1102" t="s">
        <v>4</v>
      </c>
      <c r="F1087" s="1103">
        <f>+F1085+F1083</f>
        <v>0</v>
      </c>
      <c r="G1087" s="1103">
        <f t="shared" ref="G1087:Q1087" si="416">+G1085+G1083</f>
        <v>7154926.4299999997</v>
      </c>
      <c r="H1087" s="1103">
        <f t="shared" si="416"/>
        <v>0</v>
      </c>
      <c r="I1087" s="1103">
        <f t="shared" si="416"/>
        <v>7154926.4299999997</v>
      </c>
      <c r="J1087" s="1103">
        <f t="shared" si="416"/>
        <v>0</v>
      </c>
      <c r="K1087" s="1103">
        <f t="shared" si="416"/>
        <v>6685048.1699999999</v>
      </c>
      <c r="L1087" s="1103">
        <f t="shared" si="416"/>
        <v>0</v>
      </c>
      <c r="M1087" s="1103">
        <f t="shared" si="416"/>
        <v>6685048.1699999999</v>
      </c>
      <c r="N1087" s="1103">
        <f t="shared" si="416"/>
        <v>0</v>
      </c>
      <c r="O1087" s="1103">
        <f t="shared" si="416"/>
        <v>469878.26000000018</v>
      </c>
      <c r="P1087" s="1103">
        <f t="shared" si="416"/>
        <v>0</v>
      </c>
      <c r="Q1087" s="1103">
        <f t="shared" si="416"/>
        <v>469878.26000000018</v>
      </c>
      <c r="R1087" s="1095">
        <f>+Q1087-'[3]special hospitals2'!BS351</f>
        <v>0</v>
      </c>
      <c r="S1087" s="1104" t="str">
        <f t="shared" si="401"/>
        <v/>
      </c>
      <c r="T1087" s="1104">
        <f t="shared" si="401"/>
        <v>0.934328009575355</v>
      </c>
      <c r="U1087" s="1104" t="str">
        <f t="shared" si="401"/>
        <v/>
      </c>
      <c r="V1087" s="1104">
        <f t="shared" si="400"/>
        <v>0.934328009575355</v>
      </c>
      <c r="W1087" s="355"/>
      <c r="X1087" s="925"/>
      <c r="Y1087" s="842" t="s">
        <v>598</v>
      </c>
      <c r="Z1087" s="241" t="s">
        <v>598</v>
      </c>
    </row>
    <row r="1088" spans="1:26" s="352" customFormat="1" ht="12.75" customHeight="1">
      <c r="A1088" s="348" t="s">
        <v>69</v>
      </c>
      <c r="B1088" s="348" t="s">
        <v>237</v>
      </c>
      <c r="C1088" s="485"/>
      <c r="D1088" s="485"/>
      <c r="E1088" s="491"/>
      <c r="F1088" s="484"/>
      <c r="G1088" s="484"/>
      <c r="H1088" s="484"/>
      <c r="I1088" s="484"/>
      <c r="J1088" s="484"/>
      <c r="K1088" s="484"/>
      <c r="L1088" s="484"/>
      <c r="M1088" s="484"/>
      <c r="N1088" s="484"/>
      <c r="O1088" s="484"/>
      <c r="P1088" s="484"/>
      <c r="Q1088" s="484"/>
      <c r="R1088" s="760"/>
      <c r="S1088" s="349" t="str">
        <f t="shared" si="401"/>
        <v/>
      </c>
      <c r="T1088" s="349" t="str">
        <f t="shared" si="401"/>
        <v/>
      </c>
      <c r="U1088" s="349" t="str">
        <f t="shared" si="401"/>
        <v/>
      </c>
      <c r="V1088" s="349" t="str">
        <f t="shared" si="400"/>
        <v/>
      </c>
      <c r="W1088" s="349"/>
      <c r="X1088" s="841"/>
      <c r="Y1088" s="842" t="s">
        <v>598</v>
      </c>
      <c r="Z1088" s="241" t="s">
        <v>598</v>
      </c>
    </row>
    <row r="1089" spans="1:26" s="351" customFormat="1" ht="12.75" customHeight="1">
      <c r="A1089" s="778" t="s">
        <v>69</v>
      </c>
      <c r="B1089" s="778" t="s">
        <v>238</v>
      </c>
      <c r="C1089" s="478" t="s">
        <v>98</v>
      </c>
      <c r="D1089" s="779" t="s">
        <v>239</v>
      </c>
      <c r="E1089" s="407" t="s">
        <v>238</v>
      </c>
      <c r="F1089" s="480"/>
      <c r="G1089" s="480"/>
      <c r="H1089" s="480"/>
      <c r="I1089" s="481">
        <f t="shared" si="393"/>
        <v>0</v>
      </c>
      <c r="J1089" s="480"/>
      <c r="K1089" s="480"/>
      <c r="L1089" s="480"/>
      <c r="M1089" s="481">
        <f t="shared" si="394"/>
        <v>0</v>
      </c>
      <c r="N1089" s="481">
        <f t="shared" si="413"/>
        <v>0</v>
      </c>
      <c r="O1089" s="481">
        <f t="shared" si="413"/>
        <v>0</v>
      </c>
      <c r="P1089" s="481">
        <f t="shared" si="413"/>
        <v>0</v>
      </c>
      <c r="Q1089" s="481">
        <f t="shared" si="395"/>
        <v>0</v>
      </c>
      <c r="R1089" s="761"/>
      <c r="S1089" s="349" t="str">
        <f t="shared" si="401"/>
        <v/>
      </c>
      <c r="T1089" s="349" t="str">
        <f t="shared" si="401"/>
        <v/>
      </c>
      <c r="U1089" s="349" t="str">
        <f t="shared" si="401"/>
        <v/>
      </c>
      <c r="V1089" s="349" t="str">
        <f t="shared" si="400"/>
        <v/>
      </c>
      <c r="W1089" s="781"/>
      <c r="Y1089" s="352" t="s">
        <v>598</v>
      </c>
      <c r="Z1089" s="240" t="s">
        <v>598</v>
      </c>
    </row>
    <row r="1090" spans="1:26" s="352" customFormat="1" ht="12.75" customHeight="1">
      <c r="A1090" s="778" t="s">
        <v>69</v>
      </c>
      <c r="B1090" s="778" t="s">
        <v>238</v>
      </c>
      <c r="C1090" s="447" t="s">
        <v>766</v>
      </c>
      <c r="D1090" s="782"/>
      <c r="E1090" s="447" t="s">
        <v>766</v>
      </c>
      <c r="F1090" s="483">
        <f>+'[3]special hospitals2'!B477</f>
        <v>0</v>
      </c>
      <c r="G1090" s="483">
        <f>+'[3]special hospitals2'!C477</f>
        <v>117921.94</v>
      </c>
      <c r="H1090" s="483">
        <f>+'[3]special hospitals2'!D477</f>
        <v>0</v>
      </c>
      <c r="I1090" s="484">
        <f t="shared" si="393"/>
        <v>117921.94</v>
      </c>
      <c r="J1090" s="483">
        <f>+'[3]special hospitals2'!F477</f>
        <v>0</v>
      </c>
      <c r="K1090" s="483">
        <f>+'[3]special hospitals2'!G477</f>
        <v>116360.38999999998</v>
      </c>
      <c r="L1090" s="483">
        <f>+'[3]special hospitals2'!H477</f>
        <v>0</v>
      </c>
      <c r="M1090" s="484">
        <f t="shared" si="394"/>
        <v>116360.38999999998</v>
      </c>
      <c r="N1090" s="484">
        <f t="shared" si="413"/>
        <v>0</v>
      </c>
      <c r="O1090" s="484">
        <f t="shared" si="413"/>
        <v>1561.5500000000175</v>
      </c>
      <c r="P1090" s="484">
        <f t="shared" si="413"/>
        <v>0</v>
      </c>
      <c r="Q1090" s="484">
        <f t="shared" si="395"/>
        <v>1561.5500000000175</v>
      </c>
      <c r="R1090" s="760"/>
      <c r="S1090" s="349" t="str">
        <f t="shared" si="401"/>
        <v/>
      </c>
      <c r="T1090" s="349">
        <f t="shared" si="401"/>
        <v>0.98675776534883997</v>
      </c>
      <c r="U1090" s="349" t="str">
        <f t="shared" si="401"/>
        <v/>
      </c>
      <c r="V1090" s="349">
        <f t="shared" si="400"/>
        <v>0.98675776534883997</v>
      </c>
      <c r="W1090" s="780"/>
      <c r="Y1090" s="352" t="s">
        <v>688</v>
      </c>
    </row>
    <row r="1091" spans="1:26" s="352" customFormat="1" ht="12.75" customHeight="1">
      <c r="A1091" s="778" t="s">
        <v>69</v>
      </c>
      <c r="B1091" s="778" t="s">
        <v>238</v>
      </c>
      <c r="C1091" s="485"/>
      <c r="D1091" s="782"/>
      <c r="E1091" s="453" t="s">
        <v>50</v>
      </c>
      <c r="F1091" s="484">
        <f>+F1092+F1093</f>
        <v>0</v>
      </c>
      <c r="G1091" s="484">
        <f>+G1092+G1093</f>
        <v>28043995.640000001</v>
      </c>
      <c r="H1091" s="484">
        <f>+H1092+H1093</f>
        <v>656000</v>
      </c>
      <c r="I1091" s="484">
        <f t="shared" si="393"/>
        <v>28699995.640000001</v>
      </c>
      <c r="J1091" s="484">
        <f>+J1092+J1093</f>
        <v>0</v>
      </c>
      <c r="K1091" s="484">
        <f>+K1092+K1093</f>
        <v>27150244.589999996</v>
      </c>
      <c r="L1091" s="484">
        <f>+L1092+L1093</f>
        <v>645400</v>
      </c>
      <c r="M1091" s="484">
        <f t="shared" si="394"/>
        <v>27795644.589999996</v>
      </c>
      <c r="N1091" s="484">
        <f t="shared" si="413"/>
        <v>0</v>
      </c>
      <c r="O1091" s="484">
        <f t="shared" si="413"/>
        <v>893751.05000000447</v>
      </c>
      <c r="P1091" s="484">
        <f t="shared" si="413"/>
        <v>10600</v>
      </c>
      <c r="Q1091" s="484">
        <f t="shared" si="395"/>
        <v>904351.05000000447</v>
      </c>
      <c r="R1091" s="760"/>
      <c r="S1091" s="349" t="str">
        <f t="shared" si="401"/>
        <v/>
      </c>
      <c r="T1091" s="349">
        <f t="shared" si="401"/>
        <v>0.96813039548739555</v>
      </c>
      <c r="U1091" s="349">
        <f t="shared" si="401"/>
        <v>0.98384146341463419</v>
      </c>
      <c r="V1091" s="349">
        <f t="shared" si="400"/>
        <v>0.96848950566600145</v>
      </c>
      <c r="W1091" s="780"/>
      <c r="Y1091" s="352" t="s">
        <v>688</v>
      </c>
    </row>
    <row r="1092" spans="1:26" s="352" customFormat="1" ht="12.75" hidden="1" customHeight="1">
      <c r="A1092" s="778" t="s">
        <v>69</v>
      </c>
      <c r="B1092" s="778" t="s">
        <v>238</v>
      </c>
      <c r="C1092" s="458" t="s">
        <v>715</v>
      </c>
      <c r="D1092" s="550" t="s">
        <v>715</v>
      </c>
      <c r="E1092" s="459" t="s">
        <v>715</v>
      </c>
      <c r="F1092" s="483">
        <f>'[3]CONAP - W INC'!F826</f>
        <v>0</v>
      </c>
      <c r="G1092" s="483">
        <f>'[3]CONAP - W INC'!G826</f>
        <v>10000000</v>
      </c>
      <c r="H1092" s="483">
        <f>'[3]CONAP - W INC'!H826</f>
        <v>656000</v>
      </c>
      <c r="I1092" s="484">
        <f t="shared" si="393"/>
        <v>10656000</v>
      </c>
      <c r="J1092" s="483">
        <f>'[3]CONAP - W INC'!J826</f>
        <v>0</v>
      </c>
      <c r="K1092" s="483">
        <f>'[3]CONAP - W INC'!K826</f>
        <v>9999148.4000000004</v>
      </c>
      <c r="L1092" s="483">
        <f>'[3]CONAP - W INC'!L826</f>
        <v>645400</v>
      </c>
      <c r="M1092" s="484">
        <f t="shared" si="394"/>
        <v>10644548.4</v>
      </c>
      <c r="N1092" s="484">
        <f t="shared" si="413"/>
        <v>0</v>
      </c>
      <c r="O1092" s="484">
        <f t="shared" si="413"/>
        <v>851.59999999962747</v>
      </c>
      <c r="P1092" s="484">
        <f t="shared" si="413"/>
        <v>10600</v>
      </c>
      <c r="Q1092" s="484">
        <f t="shared" si="395"/>
        <v>11451.599999999627</v>
      </c>
      <c r="R1092" s="760"/>
      <c r="S1092" s="349" t="str">
        <f t="shared" si="401"/>
        <v/>
      </c>
      <c r="T1092" s="349">
        <f t="shared" si="401"/>
        <v>0.99991484000000008</v>
      </c>
      <c r="U1092" s="349">
        <f t="shared" si="401"/>
        <v>0.98384146341463419</v>
      </c>
      <c r="V1092" s="349">
        <f t="shared" si="400"/>
        <v>0.99892533783783788</v>
      </c>
      <c r="W1092" s="780"/>
    </row>
    <row r="1093" spans="1:26" s="352" customFormat="1" ht="12.75" hidden="1" customHeight="1">
      <c r="A1093" s="778" t="s">
        <v>69</v>
      </c>
      <c r="B1093" s="778" t="s">
        <v>238</v>
      </c>
      <c r="C1093" s="458" t="s">
        <v>716</v>
      </c>
      <c r="D1093" s="550" t="s">
        <v>716</v>
      </c>
      <c r="E1093" s="459" t="s">
        <v>716</v>
      </c>
      <c r="F1093" s="483">
        <f>'[3]CONAP - W INC'!F827</f>
        <v>0</v>
      </c>
      <c r="G1093" s="483">
        <f>'[3]CONAP - W INC'!G827</f>
        <v>18043995.640000001</v>
      </c>
      <c r="H1093" s="483">
        <f>'[3]CONAP - W INC'!H827</f>
        <v>0</v>
      </c>
      <c r="I1093" s="484">
        <f t="shared" si="393"/>
        <v>18043995.640000001</v>
      </c>
      <c r="J1093" s="483">
        <f>'[3]CONAP - W INC'!J827</f>
        <v>0</v>
      </c>
      <c r="K1093" s="483">
        <f>'[3]CONAP - W INC'!K827</f>
        <v>17151096.189999998</v>
      </c>
      <c r="L1093" s="483">
        <f>'[3]CONAP - W INC'!L827</f>
        <v>0</v>
      </c>
      <c r="M1093" s="484">
        <f t="shared" si="394"/>
        <v>17151096.189999998</v>
      </c>
      <c r="N1093" s="484">
        <f t="shared" si="413"/>
        <v>0</v>
      </c>
      <c r="O1093" s="484">
        <f t="shared" si="413"/>
        <v>892899.45000000298</v>
      </c>
      <c r="P1093" s="484">
        <f t="shared" si="413"/>
        <v>0</v>
      </c>
      <c r="Q1093" s="484">
        <f t="shared" si="395"/>
        <v>892899.45000000298</v>
      </c>
      <c r="R1093" s="760"/>
      <c r="S1093" s="349" t="str">
        <f t="shared" si="401"/>
        <v/>
      </c>
      <c r="T1093" s="349">
        <f t="shared" si="401"/>
        <v>0.95051542530742916</v>
      </c>
      <c r="U1093" s="349" t="str">
        <f t="shared" si="401"/>
        <v/>
      </c>
      <c r="V1093" s="349">
        <f t="shared" si="400"/>
        <v>0.95051542530742916</v>
      </c>
      <c r="W1093" s="780"/>
    </row>
    <row r="1094" spans="1:26" s="354" customFormat="1" ht="12.75" customHeight="1">
      <c r="A1094" s="778"/>
      <c r="B1094" s="778" t="s">
        <v>238</v>
      </c>
      <c r="C1094" s="486"/>
      <c r="D1094" s="784"/>
      <c r="E1094" s="390" t="s">
        <v>767</v>
      </c>
      <c r="F1094" s="487">
        <f>+F1091+F1090</f>
        <v>0</v>
      </c>
      <c r="G1094" s="487">
        <f t="shared" ref="G1094:Q1094" si="417">+G1091+G1090</f>
        <v>28161917.580000002</v>
      </c>
      <c r="H1094" s="487">
        <f t="shared" si="417"/>
        <v>656000</v>
      </c>
      <c r="I1094" s="487">
        <f t="shared" si="417"/>
        <v>28817917.580000002</v>
      </c>
      <c r="J1094" s="487">
        <f t="shared" si="417"/>
        <v>0</v>
      </c>
      <c r="K1094" s="487">
        <f t="shared" si="417"/>
        <v>27266604.979999997</v>
      </c>
      <c r="L1094" s="487">
        <f t="shared" si="417"/>
        <v>645400</v>
      </c>
      <c r="M1094" s="487">
        <f t="shared" si="417"/>
        <v>27912004.979999997</v>
      </c>
      <c r="N1094" s="487">
        <f t="shared" si="417"/>
        <v>0</v>
      </c>
      <c r="O1094" s="487">
        <f t="shared" si="417"/>
        <v>895312.60000000452</v>
      </c>
      <c r="P1094" s="487">
        <f t="shared" si="417"/>
        <v>10600</v>
      </c>
      <c r="Q1094" s="487">
        <f t="shared" si="417"/>
        <v>905912.60000000452</v>
      </c>
      <c r="R1094" s="761"/>
      <c r="S1094" s="349" t="str">
        <f t="shared" si="401"/>
        <v/>
      </c>
      <c r="T1094" s="349">
        <f t="shared" si="401"/>
        <v>0.96820839357061972</v>
      </c>
      <c r="U1094" s="349">
        <f t="shared" si="401"/>
        <v>0.98384146341463419</v>
      </c>
      <c r="V1094" s="349">
        <f t="shared" si="400"/>
        <v>0.96856425876418217</v>
      </c>
      <c r="W1094" s="785"/>
      <c r="Y1094" s="352" t="s">
        <v>598</v>
      </c>
      <c r="Z1094" s="240" t="s">
        <v>598</v>
      </c>
    </row>
    <row r="1095" spans="1:26" s="352" customFormat="1" ht="12.75" hidden="1" customHeight="1">
      <c r="A1095" s="778"/>
      <c r="B1095" s="778"/>
      <c r="C1095" s="485"/>
      <c r="D1095" s="783"/>
      <c r="E1095" s="488"/>
      <c r="F1095" s="484"/>
      <c r="G1095" s="484"/>
      <c r="H1095" s="484"/>
      <c r="I1095" s="484"/>
      <c r="J1095" s="484"/>
      <c r="K1095" s="484"/>
      <c r="L1095" s="484"/>
      <c r="M1095" s="484"/>
      <c r="N1095" s="484"/>
      <c r="O1095" s="484"/>
      <c r="P1095" s="484"/>
      <c r="Q1095" s="484"/>
      <c r="R1095" s="760"/>
      <c r="S1095" s="349" t="str">
        <f t="shared" si="401"/>
        <v/>
      </c>
      <c r="T1095" s="349" t="str">
        <f t="shared" si="401"/>
        <v/>
      </c>
      <c r="U1095" s="349" t="str">
        <f t="shared" si="401"/>
        <v/>
      </c>
      <c r="V1095" s="349" t="str">
        <f t="shared" si="400"/>
        <v/>
      </c>
      <c r="W1095" s="780"/>
    </row>
    <row r="1096" spans="1:26" s="354" customFormat="1" ht="12.75" customHeight="1">
      <c r="A1096" s="778" t="s">
        <v>69</v>
      </c>
      <c r="B1096" s="778" t="s">
        <v>238</v>
      </c>
      <c r="C1096" s="486"/>
      <c r="D1096" s="784" t="s">
        <v>98</v>
      </c>
      <c r="E1096" s="489" t="s">
        <v>100</v>
      </c>
      <c r="F1096" s="487">
        <f>SUM(F1097:F1097)</f>
        <v>0</v>
      </c>
      <c r="G1096" s="487">
        <f>SUM(G1097:G1097)</f>
        <v>7351037.7199999997</v>
      </c>
      <c r="H1096" s="487">
        <f>SUM(H1097:H1097)</f>
        <v>0</v>
      </c>
      <c r="I1096" s="487">
        <f>+F1096+G1096+H1096</f>
        <v>7351037.7199999997</v>
      </c>
      <c r="J1096" s="487">
        <f>SUM(J1097:J1097)</f>
        <v>0</v>
      </c>
      <c r="K1096" s="487">
        <f>SUM(K1097:K1097)</f>
        <v>7334218.9499999993</v>
      </c>
      <c r="L1096" s="487">
        <f>SUM(L1097:L1097)</f>
        <v>0</v>
      </c>
      <c r="M1096" s="487">
        <f>+J1096+K1096+L1096</f>
        <v>7334218.9499999993</v>
      </c>
      <c r="N1096" s="487">
        <f t="shared" ref="N1096:P1097" si="418">+F1096-J1096</f>
        <v>0</v>
      </c>
      <c r="O1096" s="487">
        <f t="shared" si="418"/>
        <v>16818.770000000484</v>
      </c>
      <c r="P1096" s="487">
        <f t="shared" si="418"/>
        <v>0</v>
      </c>
      <c r="Q1096" s="487">
        <f>+N1096+O1096+P1096</f>
        <v>16818.770000000484</v>
      </c>
      <c r="R1096" s="761"/>
      <c r="S1096" s="349" t="str">
        <f t="shared" si="401"/>
        <v/>
      </c>
      <c r="T1096" s="349">
        <f t="shared" si="401"/>
        <v>0.99771205499949467</v>
      </c>
      <c r="U1096" s="349" t="str">
        <f t="shared" si="401"/>
        <v/>
      </c>
      <c r="V1096" s="349">
        <f t="shared" si="400"/>
        <v>0.99771205499949467</v>
      </c>
      <c r="W1096" s="785"/>
      <c r="Y1096" s="352" t="s">
        <v>598</v>
      </c>
      <c r="Z1096" s="240" t="s">
        <v>598</v>
      </c>
    </row>
    <row r="1097" spans="1:26" s="352" customFormat="1" ht="12.75" customHeight="1">
      <c r="A1097" s="778" t="s">
        <v>69</v>
      </c>
      <c r="B1097" s="778" t="s">
        <v>238</v>
      </c>
      <c r="C1097" s="485"/>
      <c r="D1097" s="783"/>
      <c r="E1097" s="462" t="s">
        <v>290</v>
      </c>
      <c r="F1097" s="484">
        <v>0</v>
      </c>
      <c r="G1097" s="484">
        <f>SUM('[3]special hospitals2'!AQ222)</f>
        <v>7351037.7199999997</v>
      </c>
      <c r="H1097" s="484">
        <f>SUM('[3]special hospitals2'!AQ314)</f>
        <v>0</v>
      </c>
      <c r="I1097" s="484">
        <f>+F1097+G1097+H1097</f>
        <v>7351037.7199999997</v>
      </c>
      <c r="J1097" s="484">
        <v>0</v>
      </c>
      <c r="K1097" s="484">
        <f>SUM('[3]special hospitals2'!AQ223)</f>
        <v>7334218.9499999993</v>
      </c>
      <c r="L1097" s="484">
        <f>SUM('[3]special hospitals2'!AQ315)</f>
        <v>0</v>
      </c>
      <c r="M1097" s="484">
        <f>+J1097+K1097+L1097</f>
        <v>7334218.9499999993</v>
      </c>
      <c r="N1097" s="484">
        <f t="shared" si="418"/>
        <v>0</v>
      </c>
      <c r="O1097" s="484">
        <f t="shared" si="418"/>
        <v>16818.770000000484</v>
      </c>
      <c r="P1097" s="484">
        <f t="shared" si="418"/>
        <v>0</v>
      </c>
      <c r="Q1097" s="484">
        <f>+N1097+O1097+P1097</f>
        <v>16818.770000000484</v>
      </c>
      <c r="R1097" s="760"/>
      <c r="S1097" s="349" t="str">
        <f t="shared" si="401"/>
        <v/>
      </c>
      <c r="T1097" s="349">
        <f t="shared" si="401"/>
        <v>0.99771205499949467</v>
      </c>
      <c r="U1097" s="349" t="str">
        <f t="shared" si="401"/>
        <v/>
      </c>
      <c r="V1097" s="349">
        <f t="shared" si="400"/>
        <v>0.99771205499949467</v>
      </c>
      <c r="W1097" s="780"/>
      <c r="Y1097" s="352" t="s">
        <v>598</v>
      </c>
    </row>
    <row r="1098" spans="1:26" s="1183" customFormat="1" ht="12.75" customHeight="1">
      <c r="A1098" s="348" t="s">
        <v>69</v>
      </c>
      <c r="B1098" s="348" t="s">
        <v>238</v>
      </c>
      <c r="C1098" s="1101"/>
      <c r="D1098" s="490"/>
      <c r="E1098" s="1102" t="s">
        <v>4</v>
      </c>
      <c r="F1098" s="1103">
        <f>+F1096+F1094</f>
        <v>0</v>
      </c>
      <c r="G1098" s="1103">
        <f t="shared" ref="G1098:Q1098" si="419">+G1096+G1094</f>
        <v>35512955.300000004</v>
      </c>
      <c r="H1098" s="1103">
        <f t="shared" si="419"/>
        <v>656000</v>
      </c>
      <c r="I1098" s="1103">
        <f t="shared" si="419"/>
        <v>36168955.300000004</v>
      </c>
      <c r="J1098" s="1103">
        <f t="shared" si="419"/>
        <v>0</v>
      </c>
      <c r="K1098" s="1103">
        <f t="shared" si="419"/>
        <v>34600823.929999992</v>
      </c>
      <c r="L1098" s="1103">
        <f t="shared" si="419"/>
        <v>645400</v>
      </c>
      <c r="M1098" s="1103">
        <f t="shared" si="419"/>
        <v>35246223.929999992</v>
      </c>
      <c r="N1098" s="1103">
        <f t="shared" si="419"/>
        <v>0</v>
      </c>
      <c r="O1098" s="1103">
        <f t="shared" si="419"/>
        <v>912131.370000005</v>
      </c>
      <c r="P1098" s="1103">
        <f t="shared" si="419"/>
        <v>10600</v>
      </c>
      <c r="Q1098" s="1103">
        <f t="shared" si="419"/>
        <v>922731.370000005</v>
      </c>
      <c r="R1098" s="1095">
        <f>+Q1098-'[3]special hospitals2'!BW351</f>
        <v>1.862645149230957E-9</v>
      </c>
      <c r="S1098" s="1104" t="str">
        <f t="shared" si="401"/>
        <v/>
      </c>
      <c r="T1098" s="1104">
        <f t="shared" si="401"/>
        <v>0.97431553183071717</v>
      </c>
      <c r="U1098" s="1104">
        <f t="shared" si="401"/>
        <v>0.98384146341463419</v>
      </c>
      <c r="V1098" s="1104">
        <f t="shared" si="400"/>
        <v>0.97448830461520097</v>
      </c>
      <c r="W1098" s="355"/>
      <c r="X1098" s="925"/>
      <c r="Y1098" s="842" t="s">
        <v>598</v>
      </c>
      <c r="Z1098" s="241" t="s">
        <v>598</v>
      </c>
    </row>
    <row r="1099" spans="1:26" s="352" customFormat="1" ht="12.75" customHeight="1">
      <c r="A1099" s="348" t="s">
        <v>69</v>
      </c>
      <c r="B1099" s="348" t="s">
        <v>238</v>
      </c>
      <c r="C1099" s="485"/>
      <c r="D1099" s="485"/>
      <c r="E1099" s="491"/>
      <c r="F1099" s="484"/>
      <c r="G1099" s="484"/>
      <c r="H1099" s="484"/>
      <c r="I1099" s="484"/>
      <c r="J1099" s="484"/>
      <c r="K1099" s="484"/>
      <c r="L1099" s="484"/>
      <c r="M1099" s="484"/>
      <c r="N1099" s="484"/>
      <c r="O1099" s="484"/>
      <c r="P1099" s="484"/>
      <c r="Q1099" s="484"/>
      <c r="R1099" s="760"/>
      <c r="S1099" s="349" t="str">
        <f t="shared" si="401"/>
        <v/>
      </c>
      <c r="T1099" s="349" t="str">
        <f t="shared" si="401"/>
        <v/>
      </c>
      <c r="U1099" s="349" t="str">
        <f t="shared" si="401"/>
        <v/>
      </c>
      <c r="V1099" s="349" t="str">
        <f t="shared" si="400"/>
        <v/>
      </c>
      <c r="W1099" s="349"/>
      <c r="X1099" s="841"/>
      <c r="Y1099" s="842" t="s">
        <v>598</v>
      </c>
      <c r="Z1099" s="241" t="s">
        <v>598</v>
      </c>
    </row>
    <row r="1100" spans="1:26" s="351" customFormat="1" ht="14.25" customHeight="1">
      <c r="A1100" s="778" t="s">
        <v>69</v>
      </c>
      <c r="B1100" s="778" t="s">
        <v>240</v>
      </c>
      <c r="C1100" s="478" t="s">
        <v>98</v>
      </c>
      <c r="D1100" s="779" t="s">
        <v>241</v>
      </c>
      <c r="E1100" s="407" t="s">
        <v>240</v>
      </c>
      <c r="F1100" s="480"/>
      <c r="G1100" s="480"/>
      <c r="H1100" s="480"/>
      <c r="I1100" s="481">
        <f t="shared" ref="I1100:I1159" si="420">+F1100+G1100+H1100</f>
        <v>0</v>
      </c>
      <c r="J1100" s="480"/>
      <c r="K1100" s="480"/>
      <c r="L1100" s="480"/>
      <c r="M1100" s="481">
        <f t="shared" ref="M1100:M1159" si="421">+J1100+K1100+L1100</f>
        <v>0</v>
      </c>
      <c r="N1100" s="481">
        <f t="shared" si="413"/>
        <v>0</v>
      </c>
      <c r="O1100" s="481">
        <f t="shared" si="413"/>
        <v>0</v>
      </c>
      <c r="P1100" s="481">
        <f t="shared" si="413"/>
        <v>0</v>
      </c>
      <c r="Q1100" s="481">
        <f t="shared" ref="Q1100:Q1159" si="422">+N1100+O1100+P1100</f>
        <v>0</v>
      </c>
      <c r="R1100" s="761"/>
      <c r="S1100" s="349" t="str">
        <f t="shared" si="401"/>
        <v/>
      </c>
      <c r="T1100" s="349" t="str">
        <f t="shared" si="401"/>
        <v/>
      </c>
      <c r="U1100" s="349" t="str">
        <f t="shared" si="401"/>
        <v/>
      </c>
      <c r="V1100" s="349" t="str">
        <f t="shared" si="400"/>
        <v/>
      </c>
      <c r="W1100" s="781"/>
      <c r="Y1100" s="352" t="s">
        <v>598</v>
      </c>
      <c r="Z1100" s="240" t="s">
        <v>598</v>
      </c>
    </row>
    <row r="1101" spans="1:26" s="352" customFormat="1" ht="12.75" customHeight="1">
      <c r="A1101" s="778" t="s">
        <v>69</v>
      </c>
      <c r="B1101" s="778" t="s">
        <v>240</v>
      </c>
      <c r="C1101" s="447" t="s">
        <v>766</v>
      </c>
      <c r="D1101" s="782"/>
      <c r="E1101" s="447" t="s">
        <v>766</v>
      </c>
      <c r="F1101" s="483">
        <f>+'[3]special hospitals1'!B458</f>
        <v>0</v>
      </c>
      <c r="G1101" s="483">
        <f>+'[3]special hospitals1'!C458</f>
        <v>0</v>
      </c>
      <c r="H1101" s="483">
        <f>+'[3]special hospitals1'!D458</f>
        <v>0</v>
      </c>
      <c r="I1101" s="484">
        <f t="shared" si="420"/>
        <v>0</v>
      </c>
      <c r="J1101" s="483">
        <f>+'[3]special hospitals1'!F458</f>
        <v>0</v>
      </c>
      <c r="K1101" s="483">
        <f>+'[3]special hospitals1'!G458</f>
        <v>0</v>
      </c>
      <c r="L1101" s="483">
        <f>+'[3]special hospitals1'!H458</f>
        <v>0</v>
      </c>
      <c r="M1101" s="484">
        <f t="shared" si="421"/>
        <v>0</v>
      </c>
      <c r="N1101" s="484">
        <f t="shared" si="413"/>
        <v>0</v>
      </c>
      <c r="O1101" s="484">
        <f t="shared" si="413"/>
        <v>0</v>
      </c>
      <c r="P1101" s="484">
        <f t="shared" si="413"/>
        <v>0</v>
      </c>
      <c r="Q1101" s="484">
        <f t="shared" si="422"/>
        <v>0</v>
      </c>
      <c r="R1101" s="760"/>
      <c r="S1101" s="349" t="str">
        <f t="shared" si="401"/>
        <v/>
      </c>
      <c r="T1101" s="349" t="str">
        <f t="shared" si="401"/>
        <v/>
      </c>
      <c r="U1101" s="349" t="str">
        <f t="shared" si="401"/>
        <v/>
      </c>
      <c r="V1101" s="349" t="str">
        <f t="shared" si="400"/>
        <v/>
      </c>
      <c r="W1101" s="780"/>
      <c r="Y1101" s="352" t="s">
        <v>688</v>
      </c>
    </row>
    <row r="1102" spans="1:26" s="352" customFormat="1" ht="12.75" customHeight="1">
      <c r="A1102" s="778" t="s">
        <v>69</v>
      </c>
      <c r="B1102" s="778" t="s">
        <v>240</v>
      </c>
      <c r="C1102" s="485"/>
      <c r="D1102" s="782"/>
      <c r="E1102" s="453" t="s">
        <v>50</v>
      </c>
      <c r="F1102" s="484">
        <f>+F1103+F1104</f>
        <v>0</v>
      </c>
      <c r="G1102" s="484">
        <f>+G1103+G1104</f>
        <v>0</v>
      </c>
      <c r="H1102" s="484">
        <f>+H1103+H1104</f>
        <v>0</v>
      </c>
      <c r="I1102" s="484">
        <f t="shared" si="420"/>
        <v>0</v>
      </c>
      <c r="J1102" s="484">
        <f>+J1103+J1104</f>
        <v>0</v>
      </c>
      <c r="K1102" s="484">
        <f>+K1103+K1104</f>
        <v>0</v>
      </c>
      <c r="L1102" s="484">
        <f>+L1103+L1104</f>
        <v>0</v>
      </c>
      <c r="M1102" s="484">
        <f t="shared" si="421"/>
        <v>0</v>
      </c>
      <c r="N1102" s="484">
        <f t="shared" si="413"/>
        <v>0</v>
      </c>
      <c r="O1102" s="484">
        <f t="shared" si="413"/>
        <v>0</v>
      </c>
      <c r="P1102" s="484">
        <f t="shared" si="413"/>
        <v>0</v>
      </c>
      <c r="Q1102" s="484">
        <f t="shared" si="422"/>
        <v>0</v>
      </c>
      <c r="R1102" s="760"/>
      <c r="S1102" s="349" t="str">
        <f t="shared" si="401"/>
        <v/>
      </c>
      <c r="T1102" s="349" t="str">
        <f t="shared" si="401"/>
        <v/>
      </c>
      <c r="U1102" s="349" t="str">
        <f t="shared" si="401"/>
        <v/>
      </c>
      <c r="V1102" s="349" t="str">
        <f t="shared" si="400"/>
        <v/>
      </c>
      <c r="W1102" s="780"/>
      <c r="Y1102" s="352" t="s">
        <v>688</v>
      </c>
    </row>
    <row r="1103" spans="1:26" s="352" customFormat="1" ht="12.75" hidden="1" customHeight="1">
      <c r="A1103" s="778" t="s">
        <v>69</v>
      </c>
      <c r="B1103" s="778" t="s">
        <v>240</v>
      </c>
      <c r="C1103" s="458" t="s">
        <v>715</v>
      </c>
      <c r="D1103" s="550" t="s">
        <v>715</v>
      </c>
      <c r="E1103" s="459" t="s">
        <v>715</v>
      </c>
      <c r="F1103" s="483">
        <f>'[3]CONAP - W INC'!F834</f>
        <v>0</v>
      </c>
      <c r="G1103" s="483">
        <f>'[3]CONAP - W INC'!G834</f>
        <v>-283181.32</v>
      </c>
      <c r="H1103" s="483">
        <f>'[3]CONAP - W INC'!H834</f>
        <v>0</v>
      </c>
      <c r="I1103" s="484">
        <f t="shared" si="420"/>
        <v>-283181.32</v>
      </c>
      <c r="J1103" s="483">
        <f>'[3]CONAP - W INC'!J834</f>
        <v>0</v>
      </c>
      <c r="K1103" s="483">
        <f>'[3]CONAP - W INC'!K834</f>
        <v>0</v>
      </c>
      <c r="L1103" s="483">
        <f>'[3]CONAP - W INC'!L834</f>
        <v>0</v>
      </c>
      <c r="M1103" s="484">
        <f t="shared" si="421"/>
        <v>0</v>
      </c>
      <c r="N1103" s="484">
        <f t="shared" si="413"/>
        <v>0</v>
      </c>
      <c r="O1103" s="484">
        <f t="shared" si="413"/>
        <v>-283181.32</v>
      </c>
      <c r="P1103" s="484">
        <f t="shared" si="413"/>
        <v>0</v>
      </c>
      <c r="Q1103" s="484">
        <f t="shared" si="422"/>
        <v>-283181.32</v>
      </c>
      <c r="R1103" s="760"/>
      <c r="S1103" s="349" t="str">
        <f t="shared" si="401"/>
        <v/>
      </c>
      <c r="T1103" s="349">
        <f t="shared" si="401"/>
        <v>0</v>
      </c>
      <c r="U1103" s="349" t="str">
        <f t="shared" si="401"/>
        <v/>
      </c>
      <c r="V1103" s="349">
        <f t="shared" si="400"/>
        <v>0</v>
      </c>
      <c r="W1103" s="780"/>
    </row>
    <row r="1104" spans="1:26" s="352" customFormat="1" ht="12.75" hidden="1" customHeight="1">
      <c r="A1104" s="778" t="s">
        <v>69</v>
      </c>
      <c r="B1104" s="778" t="s">
        <v>240</v>
      </c>
      <c r="C1104" s="458" t="s">
        <v>716</v>
      </c>
      <c r="D1104" s="550" t="s">
        <v>716</v>
      </c>
      <c r="E1104" s="459" t="s">
        <v>716</v>
      </c>
      <c r="F1104" s="483">
        <f>'[3]CONAP - W INC'!F835</f>
        <v>0</v>
      </c>
      <c r="G1104" s="483">
        <f>'[3]CONAP - W INC'!G835</f>
        <v>283181.32</v>
      </c>
      <c r="H1104" s="483">
        <f>'[3]CONAP - W INC'!H835</f>
        <v>0</v>
      </c>
      <c r="I1104" s="484">
        <f t="shared" si="420"/>
        <v>283181.32</v>
      </c>
      <c r="J1104" s="483">
        <f>'[3]CONAP - W INC'!J835</f>
        <v>0</v>
      </c>
      <c r="K1104" s="483">
        <f>'[3]CONAP - W INC'!K835</f>
        <v>0</v>
      </c>
      <c r="L1104" s="483">
        <f>'[3]CONAP - W INC'!L835</f>
        <v>0</v>
      </c>
      <c r="M1104" s="484">
        <f t="shared" si="421"/>
        <v>0</v>
      </c>
      <c r="N1104" s="484">
        <f t="shared" si="413"/>
        <v>0</v>
      </c>
      <c r="O1104" s="484">
        <f t="shared" si="413"/>
        <v>283181.32</v>
      </c>
      <c r="P1104" s="484">
        <f t="shared" si="413"/>
        <v>0</v>
      </c>
      <c r="Q1104" s="484">
        <f t="shared" si="422"/>
        <v>283181.32</v>
      </c>
      <c r="R1104" s="760"/>
      <c r="S1104" s="349" t="str">
        <f t="shared" si="401"/>
        <v/>
      </c>
      <c r="T1104" s="349">
        <f t="shared" si="401"/>
        <v>0</v>
      </c>
      <c r="U1104" s="349" t="str">
        <f t="shared" si="401"/>
        <v/>
      </c>
      <c r="V1104" s="349">
        <f t="shared" si="400"/>
        <v>0</v>
      </c>
      <c r="W1104" s="780"/>
    </row>
    <row r="1105" spans="1:26" s="354" customFormat="1" ht="12.75" customHeight="1">
      <c r="A1105" s="778"/>
      <c r="B1105" s="778" t="s">
        <v>240</v>
      </c>
      <c r="C1105" s="486"/>
      <c r="D1105" s="784"/>
      <c r="E1105" s="390" t="s">
        <v>767</v>
      </c>
      <c r="F1105" s="487">
        <f>+F1102+F1101</f>
        <v>0</v>
      </c>
      <c r="G1105" s="487">
        <f t="shared" ref="G1105:Q1105" si="423">+G1102+G1101</f>
        <v>0</v>
      </c>
      <c r="H1105" s="487">
        <f t="shared" si="423"/>
        <v>0</v>
      </c>
      <c r="I1105" s="487">
        <f t="shared" si="423"/>
        <v>0</v>
      </c>
      <c r="J1105" s="487">
        <f t="shared" si="423"/>
        <v>0</v>
      </c>
      <c r="K1105" s="487">
        <f t="shared" si="423"/>
        <v>0</v>
      </c>
      <c r="L1105" s="487">
        <f t="shared" si="423"/>
        <v>0</v>
      </c>
      <c r="M1105" s="487">
        <f t="shared" si="423"/>
        <v>0</v>
      </c>
      <c r="N1105" s="487">
        <f t="shared" si="423"/>
        <v>0</v>
      </c>
      <c r="O1105" s="487">
        <f t="shared" si="423"/>
        <v>0</v>
      </c>
      <c r="P1105" s="487">
        <f t="shared" si="423"/>
        <v>0</v>
      </c>
      <c r="Q1105" s="487">
        <f t="shared" si="423"/>
        <v>0</v>
      </c>
      <c r="R1105" s="761"/>
      <c r="S1105" s="349" t="str">
        <f t="shared" si="401"/>
        <v/>
      </c>
      <c r="T1105" s="349" t="str">
        <f t="shared" si="401"/>
        <v/>
      </c>
      <c r="U1105" s="349" t="str">
        <f t="shared" si="401"/>
        <v/>
      </c>
      <c r="V1105" s="349" t="str">
        <f t="shared" si="400"/>
        <v/>
      </c>
      <c r="W1105" s="785"/>
      <c r="Y1105" s="352" t="s">
        <v>598</v>
      </c>
      <c r="Z1105" s="240" t="s">
        <v>598</v>
      </c>
    </row>
    <row r="1106" spans="1:26" s="352" customFormat="1" ht="12.75" hidden="1" customHeight="1">
      <c r="A1106" s="778"/>
      <c r="B1106" s="778"/>
      <c r="C1106" s="485"/>
      <c r="D1106" s="783"/>
      <c r="E1106" s="488"/>
      <c r="F1106" s="484"/>
      <c r="G1106" s="484"/>
      <c r="H1106" s="484"/>
      <c r="I1106" s="484"/>
      <c r="J1106" s="484"/>
      <c r="K1106" s="484"/>
      <c r="L1106" s="484"/>
      <c r="M1106" s="484"/>
      <c r="N1106" s="484"/>
      <c r="O1106" s="484"/>
      <c r="P1106" s="484"/>
      <c r="Q1106" s="484"/>
      <c r="R1106" s="760"/>
      <c r="S1106" s="349" t="str">
        <f t="shared" si="401"/>
        <v/>
      </c>
      <c r="T1106" s="349" t="str">
        <f t="shared" si="401"/>
        <v/>
      </c>
      <c r="U1106" s="349" t="str">
        <f t="shared" si="401"/>
        <v/>
      </c>
      <c r="V1106" s="349" t="str">
        <f t="shared" si="400"/>
        <v/>
      </c>
      <c r="W1106" s="780"/>
    </row>
    <row r="1107" spans="1:26" s="354" customFormat="1" ht="12.75" customHeight="1">
      <c r="A1107" s="778" t="s">
        <v>69</v>
      </c>
      <c r="B1107" s="778" t="s">
        <v>240</v>
      </c>
      <c r="C1107" s="486"/>
      <c r="D1107" s="784" t="s">
        <v>98</v>
      </c>
      <c r="E1107" s="489" t="s">
        <v>100</v>
      </c>
      <c r="F1107" s="487">
        <f>SUM(F1108:F1108)</f>
        <v>0</v>
      </c>
      <c r="G1107" s="487">
        <f>SUM(G1108:G1108)</f>
        <v>3050000</v>
      </c>
      <c r="H1107" s="487">
        <f>SUM(H1108:H1108)</f>
        <v>24500000</v>
      </c>
      <c r="I1107" s="487">
        <f>+F1107+G1107+H1107</f>
        <v>27550000</v>
      </c>
      <c r="J1107" s="487">
        <f>SUM(J1108:J1108)</f>
        <v>0</v>
      </c>
      <c r="K1107" s="487">
        <f>SUM(K1108:K1108)</f>
        <v>3050000</v>
      </c>
      <c r="L1107" s="487">
        <f>SUM(L1108:L1108)</f>
        <v>0</v>
      </c>
      <c r="M1107" s="487">
        <f>+J1107+K1107+L1107</f>
        <v>3050000</v>
      </c>
      <c r="N1107" s="487">
        <f t="shared" ref="N1107:P1108" si="424">+F1107-J1107</f>
        <v>0</v>
      </c>
      <c r="O1107" s="487">
        <f t="shared" si="424"/>
        <v>0</v>
      </c>
      <c r="P1107" s="487">
        <f t="shared" si="424"/>
        <v>24500000</v>
      </c>
      <c r="Q1107" s="487">
        <f>+N1107+O1107+P1107</f>
        <v>24500000</v>
      </c>
      <c r="R1107" s="761"/>
      <c r="S1107" s="349" t="str">
        <f t="shared" si="401"/>
        <v/>
      </c>
      <c r="T1107" s="349">
        <f t="shared" si="401"/>
        <v>1</v>
      </c>
      <c r="U1107" s="349">
        <f t="shared" si="401"/>
        <v>0</v>
      </c>
      <c r="V1107" s="349">
        <f t="shared" si="400"/>
        <v>0.11070780399274047</v>
      </c>
      <c r="W1107" s="785"/>
      <c r="Y1107" s="352" t="s">
        <v>598</v>
      </c>
      <c r="Z1107" s="240" t="s">
        <v>598</v>
      </c>
    </row>
    <row r="1108" spans="1:26" s="352" customFormat="1" ht="12.75" customHeight="1">
      <c r="A1108" s="778" t="s">
        <v>69</v>
      </c>
      <c r="B1108" s="778" t="s">
        <v>240</v>
      </c>
      <c r="C1108" s="485"/>
      <c r="D1108" s="783"/>
      <c r="E1108" s="462" t="s">
        <v>290</v>
      </c>
      <c r="F1108" s="484">
        <v>0</v>
      </c>
      <c r="G1108" s="484">
        <f>SUM('[3]special hospitals1'!AN222)</f>
        <v>3050000</v>
      </c>
      <c r="H1108" s="484">
        <f>SUM('[3]special hospitals1'!AN314)</f>
        <v>24500000</v>
      </c>
      <c r="I1108" s="484">
        <f>+F1108+G1108+H1108</f>
        <v>27550000</v>
      </c>
      <c r="J1108" s="484">
        <v>0</v>
      </c>
      <c r="K1108" s="484">
        <f>SUM('[3]special hospitals1'!AN223)</f>
        <v>3050000</v>
      </c>
      <c r="L1108" s="484">
        <f>SUM('[3]special hospitals1'!AN315)</f>
        <v>0</v>
      </c>
      <c r="M1108" s="484">
        <f>+J1108+K1108+L1108</f>
        <v>3050000</v>
      </c>
      <c r="N1108" s="484">
        <f t="shared" si="424"/>
        <v>0</v>
      </c>
      <c r="O1108" s="484">
        <f t="shared" si="424"/>
        <v>0</v>
      </c>
      <c r="P1108" s="484">
        <f t="shared" si="424"/>
        <v>24500000</v>
      </c>
      <c r="Q1108" s="484">
        <f>+N1108+O1108+P1108</f>
        <v>24500000</v>
      </c>
      <c r="R1108" s="760"/>
      <c r="S1108" s="349" t="str">
        <f t="shared" si="401"/>
        <v/>
      </c>
      <c r="T1108" s="349">
        <f t="shared" si="401"/>
        <v>1</v>
      </c>
      <c r="U1108" s="349">
        <f t="shared" si="401"/>
        <v>0</v>
      </c>
      <c r="V1108" s="349">
        <f t="shared" si="400"/>
        <v>0.11070780399274047</v>
      </c>
      <c r="W1108" s="780"/>
      <c r="Y1108" s="352" t="s">
        <v>598</v>
      </c>
    </row>
    <row r="1109" spans="1:26" s="1183" customFormat="1" ht="12.75" customHeight="1">
      <c r="A1109" s="348" t="s">
        <v>69</v>
      </c>
      <c r="B1109" s="348" t="s">
        <v>240</v>
      </c>
      <c r="C1109" s="1101"/>
      <c r="D1109" s="490"/>
      <c r="E1109" s="1102" t="s">
        <v>4</v>
      </c>
      <c r="F1109" s="1103">
        <f>+F1107+F1105</f>
        <v>0</v>
      </c>
      <c r="G1109" s="1103">
        <f t="shared" ref="G1109:Q1109" si="425">+G1107+G1105</f>
        <v>3050000</v>
      </c>
      <c r="H1109" s="1103">
        <f t="shared" si="425"/>
        <v>24500000</v>
      </c>
      <c r="I1109" s="1103">
        <f t="shared" si="425"/>
        <v>27550000</v>
      </c>
      <c r="J1109" s="1103">
        <f t="shared" si="425"/>
        <v>0</v>
      </c>
      <c r="K1109" s="1103">
        <f t="shared" si="425"/>
        <v>3050000</v>
      </c>
      <c r="L1109" s="1103">
        <f t="shared" si="425"/>
        <v>0</v>
      </c>
      <c r="M1109" s="1103">
        <f t="shared" si="425"/>
        <v>3050000</v>
      </c>
      <c r="N1109" s="1103">
        <f t="shared" si="425"/>
        <v>0</v>
      </c>
      <c r="O1109" s="1103">
        <f t="shared" si="425"/>
        <v>0</v>
      </c>
      <c r="P1109" s="1103">
        <f t="shared" si="425"/>
        <v>24500000</v>
      </c>
      <c r="Q1109" s="1103">
        <f t="shared" si="425"/>
        <v>24500000</v>
      </c>
      <c r="R1109" s="1095">
        <f>+Q1109-'[3]special hospitals1'!CP351</f>
        <v>0</v>
      </c>
      <c r="S1109" s="1104" t="str">
        <f t="shared" si="401"/>
        <v/>
      </c>
      <c r="T1109" s="1104">
        <f t="shared" si="401"/>
        <v>1</v>
      </c>
      <c r="U1109" s="1104">
        <f t="shared" si="401"/>
        <v>0</v>
      </c>
      <c r="V1109" s="1104">
        <f t="shared" si="400"/>
        <v>0.11070780399274047</v>
      </c>
      <c r="W1109" s="355"/>
      <c r="X1109" s="925"/>
      <c r="Y1109" s="842" t="s">
        <v>598</v>
      </c>
      <c r="Z1109" s="241" t="s">
        <v>598</v>
      </c>
    </row>
    <row r="1110" spans="1:26" s="352" customFormat="1" ht="12.75" customHeight="1">
      <c r="A1110" s="348" t="s">
        <v>69</v>
      </c>
      <c r="B1110" s="348" t="s">
        <v>240</v>
      </c>
      <c r="C1110" s="485"/>
      <c r="D1110" s="485"/>
      <c r="E1110" s="491"/>
      <c r="F1110" s="484"/>
      <c r="G1110" s="484"/>
      <c r="H1110" s="484"/>
      <c r="I1110" s="484"/>
      <c r="J1110" s="484"/>
      <c r="K1110" s="484"/>
      <c r="L1110" s="484"/>
      <c r="M1110" s="484"/>
      <c r="N1110" s="484"/>
      <c r="O1110" s="484"/>
      <c r="P1110" s="484"/>
      <c r="Q1110" s="484"/>
      <c r="R1110" s="760"/>
      <c r="S1110" s="349" t="str">
        <f t="shared" si="401"/>
        <v/>
      </c>
      <c r="T1110" s="349" t="str">
        <f t="shared" si="401"/>
        <v/>
      </c>
      <c r="U1110" s="349" t="str">
        <f t="shared" si="401"/>
        <v/>
      </c>
      <c r="V1110" s="349" t="str">
        <f t="shared" si="400"/>
        <v/>
      </c>
      <c r="W1110" s="349"/>
      <c r="X1110" s="841"/>
      <c r="Y1110" s="842" t="s">
        <v>598</v>
      </c>
      <c r="Z1110" s="241" t="s">
        <v>598</v>
      </c>
    </row>
    <row r="1111" spans="1:26" s="351" customFormat="1" ht="12.75" customHeight="1">
      <c r="A1111" s="778" t="s">
        <v>69</v>
      </c>
      <c r="B1111" s="778" t="s">
        <v>242</v>
      </c>
      <c r="C1111" s="478" t="s">
        <v>98</v>
      </c>
      <c r="D1111" s="779" t="s">
        <v>243</v>
      </c>
      <c r="E1111" s="407" t="s">
        <v>242</v>
      </c>
      <c r="F1111" s="480"/>
      <c r="G1111" s="480"/>
      <c r="H1111" s="480"/>
      <c r="I1111" s="481">
        <f t="shared" si="420"/>
        <v>0</v>
      </c>
      <c r="J1111" s="480"/>
      <c r="K1111" s="480"/>
      <c r="L1111" s="480"/>
      <c r="M1111" s="481">
        <f t="shared" si="421"/>
        <v>0</v>
      </c>
      <c r="N1111" s="481">
        <f t="shared" si="413"/>
        <v>0</v>
      </c>
      <c r="O1111" s="481">
        <f t="shared" si="413"/>
        <v>0</v>
      </c>
      <c r="P1111" s="481">
        <f t="shared" si="413"/>
        <v>0</v>
      </c>
      <c r="Q1111" s="481">
        <f t="shared" si="422"/>
        <v>0</v>
      </c>
      <c r="R1111" s="761"/>
      <c r="S1111" s="349" t="str">
        <f t="shared" si="401"/>
        <v/>
      </c>
      <c r="T1111" s="349" t="str">
        <f t="shared" si="401"/>
        <v/>
      </c>
      <c r="U1111" s="349" t="str">
        <f t="shared" si="401"/>
        <v/>
      </c>
      <c r="V1111" s="349" t="str">
        <f t="shared" si="401"/>
        <v/>
      </c>
      <c r="W1111" s="781"/>
      <c r="Y1111" s="352" t="s">
        <v>598</v>
      </c>
      <c r="Z1111" s="240" t="s">
        <v>598</v>
      </c>
    </row>
    <row r="1112" spans="1:26" s="352" customFormat="1" ht="12.75" customHeight="1">
      <c r="A1112" s="778" t="s">
        <v>69</v>
      </c>
      <c r="B1112" s="778" t="s">
        <v>242</v>
      </c>
      <c r="C1112" s="447" t="s">
        <v>766</v>
      </c>
      <c r="D1112" s="782"/>
      <c r="E1112" s="447" t="s">
        <v>766</v>
      </c>
      <c r="F1112" s="483">
        <f>+'[3]special hospitals1'!B465</f>
        <v>0</v>
      </c>
      <c r="G1112" s="483">
        <f>+'[3]special hospitals1'!C465</f>
        <v>395859.21</v>
      </c>
      <c r="H1112" s="483">
        <f>+'[3]special hospitals1'!D465</f>
        <v>0</v>
      </c>
      <c r="I1112" s="484">
        <f t="shared" si="420"/>
        <v>395859.21</v>
      </c>
      <c r="J1112" s="483">
        <f>+'[3]special hospitals1'!F465</f>
        <v>0</v>
      </c>
      <c r="K1112" s="483">
        <f>+'[3]special hospitals1'!G465</f>
        <v>395859.21</v>
      </c>
      <c r="L1112" s="483">
        <f>+'[3]special hospitals1'!H465</f>
        <v>0</v>
      </c>
      <c r="M1112" s="484">
        <f t="shared" si="421"/>
        <v>395859.21</v>
      </c>
      <c r="N1112" s="484">
        <f t="shared" si="413"/>
        <v>0</v>
      </c>
      <c r="O1112" s="484">
        <f t="shared" si="413"/>
        <v>0</v>
      </c>
      <c r="P1112" s="484">
        <f t="shared" si="413"/>
        <v>0</v>
      </c>
      <c r="Q1112" s="484">
        <f t="shared" si="422"/>
        <v>0</v>
      </c>
      <c r="R1112" s="760"/>
      <c r="S1112" s="349" t="str">
        <f t="shared" ref="S1112:V1175" si="426">IF(F1112=0,"",J1112/F1112)</f>
        <v/>
      </c>
      <c r="T1112" s="349">
        <f t="shared" si="426"/>
        <v>1</v>
      </c>
      <c r="U1112" s="349" t="str">
        <f t="shared" si="426"/>
        <v/>
      </c>
      <c r="V1112" s="349">
        <f t="shared" si="426"/>
        <v>1</v>
      </c>
      <c r="W1112" s="780"/>
      <c r="Y1112" s="352" t="s">
        <v>688</v>
      </c>
    </row>
    <row r="1113" spans="1:26" s="352" customFormat="1" ht="12.75" customHeight="1">
      <c r="A1113" s="778" t="s">
        <v>69</v>
      </c>
      <c r="B1113" s="778" t="s">
        <v>242</v>
      </c>
      <c r="C1113" s="485"/>
      <c r="D1113" s="782"/>
      <c r="E1113" s="453" t="s">
        <v>50</v>
      </c>
      <c r="F1113" s="484"/>
      <c r="G1113" s="484">
        <f>+G1114+G1115</f>
        <v>792527.03999999957</v>
      </c>
      <c r="H1113" s="484">
        <f>+H1114+H1115</f>
        <v>0</v>
      </c>
      <c r="I1113" s="484">
        <f t="shared" si="420"/>
        <v>792527.03999999957</v>
      </c>
      <c r="J1113" s="484">
        <f>+J1114+J1115</f>
        <v>0</v>
      </c>
      <c r="K1113" s="484">
        <f>+K1114+K1115</f>
        <v>640618.14</v>
      </c>
      <c r="L1113" s="484">
        <f>+L1114+L1115</f>
        <v>0</v>
      </c>
      <c r="M1113" s="484">
        <f t="shared" si="421"/>
        <v>640618.14</v>
      </c>
      <c r="N1113" s="484">
        <f t="shared" si="413"/>
        <v>0</v>
      </c>
      <c r="O1113" s="484">
        <f t="shared" si="413"/>
        <v>151908.89999999956</v>
      </c>
      <c r="P1113" s="484">
        <f t="shared" si="413"/>
        <v>0</v>
      </c>
      <c r="Q1113" s="484">
        <f t="shared" si="422"/>
        <v>151908.89999999956</v>
      </c>
      <c r="R1113" s="760"/>
      <c r="S1113" s="349" t="str">
        <f t="shared" si="426"/>
        <v/>
      </c>
      <c r="T1113" s="349">
        <f t="shared" si="426"/>
        <v>0.80832338540777149</v>
      </c>
      <c r="U1113" s="349" t="str">
        <f t="shared" si="426"/>
        <v/>
      </c>
      <c r="V1113" s="349">
        <f t="shared" si="426"/>
        <v>0.80832338540777149</v>
      </c>
      <c r="W1113" s="780"/>
      <c r="Y1113" s="352" t="s">
        <v>688</v>
      </c>
    </row>
    <row r="1114" spans="1:26" s="352" customFormat="1" ht="12.75" hidden="1" customHeight="1">
      <c r="A1114" s="778" t="s">
        <v>69</v>
      </c>
      <c r="B1114" s="778" t="s">
        <v>242</v>
      </c>
      <c r="C1114" s="458" t="s">
        <v>715</v>
      </c>
      <c r="D1114" s="550" t="s">
        <v>715</v>
      </c>
      <c r="E1114" s="459" t="s">
        <v>715</v>
      </c>
      <c r="F1114" s="483">
        <f>'[3]CONAP - W INC'!F842</f>
        <v>0</v>
      </c>
      <c r="G1114" s="483">
        <f>'[3]CONAP - W INC'!G842</f>
        <v>-3742287.98</v>
      </c>
      <c r="H1114" s="483">
        <f>'[3]CONAP - W INC'!H842</f>
        <v>0</v>
      </c>
      <c r="I1114" s="484">
        <f t="shared" si="420"/>
        <v>-3742287.98</v>
      </c>
      <c r="J1114" s="483">
        <f>'[3]CONAP - W INC'!J842</f>
        <v>0</v>
      </c>
      <c r="K1114" s="483">
        <f>'[3]CONAP - W INC'!K842</f>
        <v>0</v>
      </c>
      <c r="L1114" s="483">
        <f>'[3]CONAP - W INC'!L842</f>
        <v>0</v>
      </c>
      <c r="M1114" s="484">
        <f t="shared" si="421"/>
        <v>0</v>
      </c>
      <c r="N1114" s="484">
        <f t="shared" si="413"/>
        <v>0</v>
      </c>
      <c r="O1114" s="484">
        <f t="shared" si="413"/>
        <v>-3742287.98</v>
      </c>
      <c r="P1114" s="484">
        <f t="shared" si="413"/>
        <v>0</v>
      </c>
      <c r="Q1114" s="484">
        <f t="shared" si="422"/>
        <v>-3742287.98</v>
      </c>
      <c r="R1114" s="760"/>
      <c r="S1114" s="349" t="str">
        <f t="shared" si="426"/>
        <v/>
      </c>
      <c r="T1114" s="349">
        <f t="shared" si="426"/>
        <v>0</v>
      </c>
      <c r="U1114" s="349" t="str">
        <f t="shared" si="426"/>
        <v/>
      </c>
      <c r="V1114" s="349">
        <f t="shared" si="426"/>
        <v>0</v>
      </c>
      <c r="W1114" s="780"/>
    </row>
    <row r="1115" spans="1:26" s="352" customFormat="1" ht="12.75" hidden="1" customHeight="1">
      <c r="A1115" s="778" t="s">
        <v>69</v>
      </c>
      <c r="B1115" s="778" t="s">
        <v>242</v>
      </c>
      <c r="C1115" s="458" t="s">
        <v>716</v>
      </c>
      <c r="D1115" s="550" t="s">
        <v>716</v>
      </c>
      <c r="E1115" s="459" t="s">
        <v>716</v>
      </c>
      <c r="F1115" s="483">
        <f>'[3]CONAP - W INC'!F843</f>
        <v>0</v>
      </c>
      <c r="G1115" s="483">
        <f>'[3]CONAP - W INC'!G843</f>
        <v>4534815.0199999996</v>
      </c>
      <c r="H1115" s="483">
        <f>'[3]CONAP - W INC'!H843</f>
        <v>0</v>
      </c>
      <c r="I1115" s="484">
        <f t="shared" si="420"/>
        <v>4534815.0199999996</v>
      </c>
      <c r="J1115" s="483">
        <f>'[3]CONAP - W INC'!J843</f>
        <v>0</v>
      </c>
      <c r="K1115" s="483">
        <f>'[3]CONAP - W INC'!K843</f>
        <v>640618.14</v>
      </c>
      <c r="L1115" s="483">
        <f>'[3]CONAP - W INC'!L843</f>
        <v>0</v>
      </c>
      <c r="M1115" s="484">
        <f t="shared" si="421"/>
        <v>640618.14</v>
      </c>
      <c r="N1115" s="484">
        <f t="shared" si="413"/>
        <v>0</v>
      </c>
      <c r="O1115" s="484">
        <f t="shared" si="413"/>
        <v>3894196.8799999994</v>
      </c>
      <c r="P1115" s="484">
        <f t="shared" si="413"/>
        <v>0</v>
      </c>
      <c r="Q1115" s="484">
        <f t="shared" si="422"/>
        <v>3894196.8799999994</v>
      </c>
      <c r="R1115" s="760"/>
      <c r="S1115" s="349" t="str">
        <f t="shared" si="426"/>
        <v/>
      </c>
      <c r="T1115" s="349">
        <f t="shared" si="426"/>
        <v>0.14126665303318151</v>
      </c>
      <c r="U1115" s="349" t="str">
        <f t="shared" si="426"/>
        <v/>
      </c>
      <c r="V1115" s="349">
        <f t="shared" si="426"/>
        <v>0.14126665303318151</v>
      </c>
      <c r="W1115" s="780"/>
    </row>
    <row r="1116" spans="1:26" s="354" customFormat="1" ht="12.75" customHeight="1">
      <c r="A1116" s="778"/>
      <c r="B1116" s="778" t="s">
        <v>242</v>
      </c>
      <c r="C1116" s="486"/>
      <c r="D1116" s="784"/>
      <c r="E1116" s="390" t="s">
        <v>767</v>
      </c>
      <c r="F1116" s="487">
        <f>+F1113+F1112</f>
        <v>0</v>
      </c>
      <c r="G1116" s="487">
        <f t="shared" ref="G1116:Q1116" si="427">+G1113+G1112</f>
        <v>1188386.2499999995</v>
      </c>
      <c r="H1116" s="487">
        <f t="shared" si="427"/>
        <v>0</v>
      </c>
      <c r="I1116" s="487">
        <f t="shared" si="427"/>
        <v>1188386.2499999995</v>
      </c>
      <c r="J1116" s="487">
        <f t="shared" si="427"/>
        <v>0</v>
      </c>
      <c r="K1116" s="487">
        <f t="shared" si="427"/>
        <v>1036477.3500000001</v>
      </c>
      <c r="L1116" s="487">
        <f t="shared" si="427"/>
        <v>0</v>
      </c>
      <c r="M1116" s="487">
        <f t="shared" si="427"/>
        <v>1036477.3500000001</v>
      </c>
      <c r="N1116" s="487">
        <f t="shared" si="427"/>
        <v>0</v>
      </c>
      <c r="O1116" s="487">
        <f t="shared" si="427"/>
        <v>151908.89999999956</v>
      </c>
      <c r="P1116" s="487">
        <f t="shared" si="427"/>
        <v>0</v>
      </c>
      <c r="Q1116" s="487">
        <f t="shared" si="427"/>
        <v>151908.89999999956</v>
      </c>
      <c r="R1116" s="761"/>
      <c r="S1116" s="349" t="str">
        <f t="shared" si="426"/>
        <v/>
      </c>
      <c r="T1116" s="349">
        <f t="shared" si="426"/>
        <v>0.87217211575781906</v>
      </c>
      <c r="U1116" s="349" t="str">
        <f t="shared" si="426"/>
        <v/>
      </c>
      <c r="V1116" s="349">
        <f t="shared" si="426"/>
        <v>0.87217211575781906</v>
      </c>
      <c r="W1116" s="785"/>
      <c r="Y1116" s="352" t="s">
        <v>598</v>
      </c>
      <c r="Z1116" s="240" t="s">
        <v>598</v>
      </c>
    </row>
    <row r="1117" spans="1:26" s="352" customFormat="1" ht="12.75" hidden="1" customHeight="1">
      <c r="A1117" s="778"/>
      <c r="B1117" s="778"/>
      <c r="C1117" s="485"/>
      <c r="D1117" s="783"/>
      <c r="E1117" s="488"/>
      <c r="F1117" s="484"/>
      <c r="G1117" s="484"/>
      <c r="H1117" s="484"/>
      <c r="I1117" s="484"/>
      <c r="J1117" s="484"/>
      <c r="K1117" s="484"/>
      <c r="L1117" s="484"/>
      <c r="M1117" s="484"/>
      <c r="N1117" s="484"/>
      <c r="O1117" s="484"/>
      <c r="P1117" s="484"/>
      <c r="Q1117" s="484"/>
      <c r="R1117" s="760"/>
      <c r="S1117" s="349" t="str">
        <f t="shared" si="426"/>
        <v/>
      </c>
      <c r="T1117" s="349" t="str">
        <f t="shared" si="426"/>
        <v/>
      </c>
      <c r="U1117" s="349" t="str">
        <f t="shared" si="426"/>
        <v/>
      </c>
      <c r="V1117" s="349" t="str">
        <f t="shared" si="426"/>
        <v/>
      </c>
      <c r="W1117" s="780"/>
    </row>
    <row r="1118" spans="1:26" s="354" customFormat="1" ht="12.75" customHeight="1">
      <c r="A1118" s="778" t="s">
        <v>69</v>
      </c>
      <c r="B1118" s="778" t="s">
        <v>242</v>
      </c>
      <c r="C1118" s="486"/>
      <c r="D1118" s="784" t="s">
        <v>98</v>
      </c>
      <c r="E1118" s="489" t="s">
        <v>100</v>
      </c>
      <c r="F1118" s="487">
        <f>SUM(F1119:F1119)</f>
        <v>0</v>
      </c>
      <c r="G1118" s="487">
        <f>SUM(G1119:G1119)</f>
        <v>3264988.48</v>
      </c>
      <c r="H1118" s="487">
        <f>SUM(H1119:H1119)</f>
        <v>0</v>
      </c>
      <c r="I1118" s="487">
        <f>+F1118+G1118+H1118</f>
        <v>3264988.48</v>
      </c>
      <c r="J1118" s="487">
        <f>SUM(J1119:J1119)</f>
        <v>0</v>
      </c>
      <c r="K1118" s="487">
        <f>SUM(K1119:K1119)</f>
        <v>2246120.5</v>
      </c>
      <c r="L1118" s="487">
        <f>SUM(L1119:L1119)</f>
        <v>0</v>
      </c>
      <c r="M1118" s="487">
        <f>+J1118+K1118+L1118</f>
        <v>2246120.5</v>
      </c>
      <c r="N1118" s="487">
        <f t="shared" ref="N1118:P1119" si="428">+F1118-J1118</f>
        <v>0</v>
      </c>
      <c r="O1118" s="487">
        <f t="shared" si="428"/>
        <v>1018867.98</v>
      </c>
      <c r="P1118" s="487">
        <f t="shared" si="428"/>
        <v>0</v>
      </c>
      <c r="Q1118" s="487">
        <f>+N1118+O1118+P1118</f>
        <v>1018867.98</v>
      </c>
      <c r="R1118" s="761"/>
      <c r="S1118" s="349" t="str">
        <f t="shared" si="426"/>
        <v/>
      </c>
      <c r="T1118" s="349">
        <f t="shared" si="426"/>
        <v>0.6879413246811823</v>
      </c>
      <c r="U1118" s="349" t="str">
        <f t="shared" si="426"/>
        <v/>
      </c>
      <c r="V1118" s="349">
        <f t="shared" si="426"/>
        <v>0.6879413246811823</v>
      </c>
      <c r="W1118" s="785"/>
      <c r="Y1118" s="352" t="s">
        <v>598</v>
      </c>
      <c r="Z1118" s="240" t="s">
        <v>598</v>
      </c>
    </row>
    <row r="1119" spans="1:26" s="352" customFormat="1" ht="12.75" customHeight="1">
      <c r="A1119" s="778" t="s">
        <v>69</v>
      </c>
      <c r="B1119" s="778" t="s">
        <v>242</v>
      </c>
      <c r="C1119" s="485"/>
      <c r="D1119" s="783"/>
      <c r="E1119" s="462" t="s">
        <v>290</v>
      </c>
      <c r="F1119" s="484">
        <v>0</v>
      </c>
      <c r="G1119" s="484">
        <f>SUM('[3]special hospitals1'!AO222)</f>
        <v>3264988.48</v>
      </c>
      <c r="H1119" s="484">
        <f>SUM('[3]special hospitals1'!AO314)</f>
        <v>0</v>
      </c>
      <c r="I1119" s="484">
        <f>+F1119+G1119+H1119</f>
        <v>3264988.48</v>
      </c>
      <c r="J1119" s="484">
        <v>0</v>
      </c>
      <c r="K1119" s="484">
        <f>SUM('[3]special hospitals1'!AO223)</f>
        <v>2246120.5</v>
      </c>
      <c r="L1119" s="484">
        <f>SUM('[3]special hospitals1'!AO315)</f>
        <v>0</v>
      </c>
      <c r="M1119" s="484">
        <f>+J1119+K1119+L1119</f>
        <v>2246120.5</v>
      </c>
      <c r="N1119" s="484">
        <f t="shared" si="428"/>
        <v>0</v>
      </c>
      <c r="O1119" s="484">
        <f t="shared" si="428"/>
        <v>1018867.98</v>
      </c>
      <c r="P1119" s="484">
        <f t="shared" si="428"/>
        <v>0</v>
      </c>
      <c r="Q1119" s="484">
        <f>+N1119+O1119+P1119</f>
        <v>1018867.98</v>
      </c>
      <c r="R1119" s="760"/>
      <c r="S1119" s="349" t="str">
        <f t="shared" si="426"/>
        <v/>
      </c>
      <c r="T1119" s="349">
        <f t="shared" si="426"/>
        <v>0.6879413246811823</v>
      </c>
      <c r="U1119" s="349" t="str">
        <f t="shared" si="426"/>
        <v/>
      </c>
      <c r="V1119" s="349">
        <f t="shared" si="426"/>
        <v>0.6879413246811823</v>
      </c>
      <c r="W1119" s="780"/>
      <c r="Y1119" s="352" t="s">
        <v>598</v>
      </c>
    </row>
    <row r="1120" spans="1:26" s="1183" customFormat="1" ht="12.75" customHeight="1">
      <c r="A1120" s="348" t="s">
        <v>69</v>
      </c>
      <c r="B1120" s="348" t="s">
        <v>242</v>
      </c>
      <c r="C1120" s="1101"/>
      <c r="D1120" s="490"/>
      <c r="E1120" s="1102" t="s">
        <v>4</v>
      </c>
      <c r="F1120" s="1103">
        <f>+F1118+F1116</f>
        <v>0</v>
      </c>
      <c r="G1120" s="1103">
        <f t="shared" ref="G1120:Q1120" si="429">+G1118+G1116</f>
        <v>4453374.7299999995</v>
      </c>
      <c r="H1120" s="1103">
        <f t="shared" si="429"/>
        <v>0</v>
      </c>
      <c r="I1120" s="1103">
        <f t="shared" si="429"/>
        <v>4453374.7299999995</v>
      </c>
      <c r="J1120" s="1103">
        <f t="shared" si="429"/>
        <v>0</v>
      </c>
      <c r="K1120" s="1103">
        <f t="shared" si="429"/>
        <v>3282597.85</v>
      </c>
      <c r="L1120" s="1103">
        <f t="shared" si="429"/>
        <v>0</v>
      </c>
      <c r="M1120" s="1103">
        <f t="shared" si="429"/>
        <v>3282597.85</v>
      </c>
      <c r="N1120" s="1103">
        <f t="shared" si="429"/>
        <v>0</v>
      </c>
      <c r="O1120" s="1103">
        <f t="shared" si="429"/>
        <v>1170776.8799999994</v>
      </c>
      <c r="P1120" s="1103">
        <f t="shared" si="429"/>
        <v>0</v>
      </c>
      <c r="Q1120" s="1103">
        <f t="shared" si="429"/>
        <v>1170776.8799999994</v>
      </c>
      <c r="R1120" s="1095">
        <f>+Q1120-'[3]special hospitals1'!CQ351</f>
        <v>0</v>
      </c>
      <c r="S1120" s="1104" t="str">
        <f t="shared" si="426"/>
        <v/>
      </c>
      <c r="T1120" s="1104">
        <f t="shared" si="426"/>
        <v>0.73710344379665538</v>
      </c>
      <c r="U1120" s="1104" t="str">
        <f t="shared" si="426"/>
        <v/>
      </c>
      <c r="V1120" s="1104">
        <f t="shared" si="426"/>
        <v>0.73710344379665538</v>
      </c>
      <c r="W1120" s="355"/>
      <c r="X1120" s="925"/>
      <c r="Y1120" s="842" t="s">
        <v>598</v>
      </c>
      <c r="Z1120" s="241" t="s">
        <v>598</v>
      </c>
    </row>
    <row r="1121" spans="1:26" s="352" customFormat="1" ht="12.75" customHeight="1">
      <c r="A1121" s="348" t="s">
        <v>69</v>
      </c>
      <c r="B1121" s="348" t="s">
        <v>242</v>
      </c>
      <c r="C1121" s="485"/>
      <c r="D1121" s="485"/>
      <c r="E1121" s="491"/>
      <c r="F1121" s="484"/>
      <c r="G1121" s="484"/>
      <c r="H1121" s="484"/>
      <c r="I1121" s="484"/>
      <c r="J1121" s="484"/>
      <c r="K1121" s="484"/>
      <c r="L1121" s="484"/>
      <c r="M1121" s="484"/>
      <c r="N1121" s="484"/>
      <c r="O1121" s="484"/>
      <c r="P1121" s="484"/>
      <c r="Q1121" s="484"/>
      <c r="R1121" s="760"/>
      <c r="S1121" s="349" t="str">
        <f t="shared" si="426"/>
        <v/>
      </c>
      <c r="T1121" s="349" t="str">
        <f t="shared" si="426"/>
        <v/>
      </c>
      <c r="U1121" s="349" t="str">
        <f t="shared" si="426"/>
        <v/>
      </c>
      <c r="V1121" s="349" t="str">
        <f t="shared" si="426"/>
        <v/>
      </c>
      <c r="W1121" s="349"/>
      <c r="X1121" s="841"/>
      <c r="Y1121" s="842" t="s">
        <v>598</v>
      </c>
      <c r="Z1121" s="241" t="s">
        <v>598</v>
      </c>
    </row>
    <row r="1122" spans="1:26" s="351" customFormat="1" ht="12.75" customHeight="1">
      <c r="A1122" s="778" t="s">
        <v>69</v>
      </c>
      <c r="B1122" s="778" t="s">
        <v>244</v>
      </c>
      <c r="C1122" s="478" t="s">
        <v>98</v>
      </c>
      <c r="D1122" s="779" t="s">
        <v>245</v>
      </c>
      <c r="E1122" s="407" t="s">
        <v>852</v>
      </c>
      <c r="F1122" s="480"/>
      <c r="G1122" s="480"/>
      <c r="H1122" s="480"/>
      <c r="I1122" s="481">
        <f t="shared" si="420"/>
        <v>0</v>
      </c>
      <c r="J1122" s="480"/>
      <c r="K1122" s="480"/>
      <c r="L1122" s="480"/>
      <c r="M1122" s="481">
        <f t="shared" si="421"/>
        <v>0</v>
      </c>
      <c r="N1122" s="481">
        <f t="shared" si="413"/>
        <v>0</v>
      </c>
      <c r="O1122" s="481">
        <f t="shared" si="413"/>
        <v>0</v>
      </c>
      <c r="P1122" s="481">
        <f t="shared" si="413"/>
        <v>0</v>
      </c>
      <c r="Q1122" s="481">
        <f t="shared" si="422"/>
        <v>0</v>
      </c>
      <c r="R1122" s="761"/>
      <c r="S1122" s="349" t="str">
        <f t="shared" si="426"/>
        <v/>
      </c>
      <c r="T1122" s="349" t="str">
        <f t="shared" si="426"/>
        <v/>
      </c>
      <c r="U1122" s="349" t="str">
        <f t="shared" si="426"/>
        <v/>
      </c>
      <c r="V1122" s="349" t="str">
        <f t="shared" si="426"/>
        <v/>
      </c>
      <c r="W1122" s="781"/>
      <c r="Y1122" s="352" t="s">
        <v>598</v>
      </c>
      <c r="Z1122" s="240" t="s">
        <v>598</v>
      </c>
    </row>
    <row r="1123" spans="1:26" s="352" customFormat="1" ht="12.75" customHeight="1">
      <c r="A1123" s="778" t="s">
        <v>69</v>
      </c>
      <c r="B1123" s="778" t="s">
        <v>244</v>
      </c>
      <c r="C1123" s="447" t="s">
        <v>766</v>
      </c>
      <c r="D1123" s="782"/>
      <c r="E1123" s="447" t="s">
        <v>766</v>
      </c>
      <c r="F1123" s="483">
        <f>+'[3]special hospitals1'!B477</f>
        <v>0</v>
      </c>
      <c r="G1123" s="483">
        <f>+'[3]special hospitals1'!C477</f>
        <v>0</v>
      </c>
      <c r="H1123" s="483">
        <f>+'[3]special hospitals1'!D477</f>
        <v>50000000</v>
      </c>
      <c r="I1123" s="484">
        <f t="shared" si="420"/>
        <v>50000000</v>
      </c>
      <c r="J1123" s="483">
        <f>+'[3]special hospitals1'!F477</f>
        <v>0</v>
      </c>
      <c r="K1123" s="483">
        <f>+'[3]special hospitals1'!G477</f>
        <v>0</v>
      </c>
      <c r="L1123" s="483">
        <f>+'[3]special hospitals1'!H477</f>
        <v>5474510</v>
      </c>
      <c r="M1123" s="484">
        <f t="shared" si="421"/>
        <v>5474510</v>
      </c>
      <c r="N1123" s="484">
        <f t="shared" si="413"/>
        <v>0</v>
      </c>
      <c r="O1123" s="484">
        <f t="shared" si="413"/>
        <v>0</v>
      </c>
      <c r="P1123" s="484">
        <f t="shared" si="413"/>
        <v>44525490</v>
      </c>
      <c r="Q1123" s="484">
        <f t="shared" si="422"/>
        <v>44525490</v>
      </c>
      <c r="R1123" s="760"/>
      <c r="S1123" s="349" t="str">
        <f t="shared" si="426"/>
        <v/>
      </c>
      <c r="T1123" s="349" t="str">
        <f t="shared" si="426"/>
        <v/>
      </c>
      <c r="U1123" s="349">
        <f t="shared" si="426"/>
        <v>0.1094902</v>
      </c>
      <c r="V1123" s="349">
        <f t="shared" si="426"/>
        <v>0.1094902</v>
      </c>
      <c r="W1123" s="780"/>
      <c r="Y1123" s="352" t="s">
        <v>688</v>
      </c>
    </row>
    <row r="1124" spans="1:26" s="352" customFormat="1" ht="12.75" customHeight="1">
      <c r="A1124" s="778" t="s">
        <v>69</v>
      </c>
      <c r="B1124" s="778" t="s">
        <v>244</v>
      </c>
      <c r="C1124" s="485"/>
      <c r="D1124" s="782"/>
      <c r="E1124" s="453" t="s">
        <v>50</v>
      </c>
      <c r="F1124" s="484">
        <f>+F1125+F1126</f>
        <v>0</v>
      </c>
      <c r="G1124" s="484">
        <f>+G1125+G1126</f>
        <v>40497.530000000261</v>
      </c>
      <c r="H1124" s="484">
        <f>+H1125+H1126</f>
        <v>0</v>
      </c>
      <c r="I1124" s="484">
        <f t="shared" si="420"/>
        <v>40497.530000000261</v>
      </c>
      <c r="J1124" s="484">
        <f>+J1125+J1126</f>
        <v>0</v>
      </c>
      <c r="K1124" s="484">
        <f>+K1125+K1126</f>
        <v>0</v>
      </c>
      <c r="L1124" s="484">
        <f>+L1125+L1126</f>
        <v>0</v>
      </c>
      <c r="M1124" s="484">
        <f t="shared" si="421"/>
        <v>0</v>
      </c>
      <c r="N1124" s="484">
        <f t="shared" si="413"/>
        <v>0</v>
      </c>
      <c r="O1124" s="484">
        <f t="shared" si="413"/>
        <v>40497.530000000261</v>
      </c>
      <c r="P1124" s="484">
        <f t="shared" si="413"/>
        <v>0</v>
      </c>
      <c r="Q1124" s="484">
        <f t="shared" si="422"/>
        <v>40497.530000000261</v>
      </c>
      <c r="R1124" s="760"/>
      <c r="S1124" s="349" t="str">
        <f t="shared" si="426"/>
        <v/>
      </c>
      <c r="T1124" s="349">
        <f t="shared" si="426"/>
        <v>0</v>
      </c>
      <c r="U1124" s="349" t="str">
        <f t="shared" si="426"/>
        <v/>
      </c>
      <c r="V1124" s="349">
        <f t="shared" si="426"/>
        <v>0</v>
      </c>
      <c r="W1124" s="780"/>
      <c r="Y1124" s="352" t="s">
        <v>688</v>
      </c>
    </row>
    <row r="1125" spans="1:26" s="352" customFormat="1" ht="12.75" hidden="1" customHeight="1">
      <c r="A1125" s="778" t="s">
        <v>69</v>
      </c>
      <c r="B1125" s="778" t="s">
        <v>244</v>
      </c>
      <c r="C1125" s="458" t="s">
        <v>715</v>
      </c>
      <c r="D1125" s="550" t="s">
        <v>715</v>
      </c>
      <c r="E1125" s="459" t="s">
        <v>715</v>
      </c>
      <c r="F1125" s="483">
        <f>'[3]CONAP - W INC'!F850</f>
        <v>0</v>
      </c>
      <c r="G1125" s="483">
        <f>'[3]CONAP - W INC'!G850</f>
        <v>-4265891.51</v>
      </c>
      <c r="H1125" s="483">
        <f>'[3]CONAP - W INC'!H850</f>
        <v>0</v>
      </c>
      <c r="I1125" s="484">
        <f t="shared" si="420"/>
        <v>-4265891.51</v>
      </c>
      <c r="J1125" s="483">
        <f>'[3]CONAP - W INC'!J850</f>
        <v>0</v>
      </c>
      <c r="K1125" s="483">
        <f>'[3]CONAP - W INC'!K850</f>
        <v>0</v>
      </c>
      <c r="L1125" s="483">
        <f>'[3]CONAP - W INC'!L850</f>
        <v>0</v>
      </c>
      <c r="M1125" s="484">
        <f t="shared" si="421"/>
        <v>0</v>
      </c>
      <c r="N1125" s="484">
        <f t="shared" si="413"/>
        <v>0</v>
      </c>
      <c r="O1125" s="484">
        <f t="shared" si="413"/>
        <v>-4265891.51</v>
      </c>
      <c r="P1125" s="484">
        <f t="shared" si="413"/>
        <v>0</v>
      </c>
      <c r="Q1125" s="484">
        <f t="shared" si="422"/>
        <v>-4265891.51</v>
      </c>
      <c r="R1125" s="760"/>
      <c r="S1125" s="349" t="str">
        <f t="shared" si="426"/>
        <v/>
      </c>
      <c r="T1125" s="349">
        <f t="shared" si="426"/>
        <v>0</v>
      </c>
      <c r="U1125" s="349" t="str">
        <f t="shared" si="426"/>
        <v/>
      </c>
      <c r="V1125" s="349">
        <f t="shared" si="426"/>
        <v>0</v>
      </c>
      <c r="W1125" s="780"/>
    </row>
    <row r="1126" spans="1:26" s="352" customFormat="1" ht="12.75" hidden="1" customHeight="1">
      <c r="A1126" s="778" t="s">
        <v>69</v>
      </c>
      <c r="B1126" s="778" t="s">
        <v>244</v>
      </c>
      <c r="C1126" s="458" t="s">
        <v>716</v>
      </c>
      <c r="D1126" s="550" t="s">
        <v>716</v>
      </c>
      <c r="E1126" s="459" t="s">
        <v>716</v>
      </c>
      <c r="F1126" s="483">
        <f>'[3]CONAP - W INC'!F851</f>
        <v>0</v>
      </c>
      <c r="G1126" s="483">
        <f>'[3]CONAP - W INC'!G851</f>
        <v>4306389.04</v>
      </c>
      <c r="H1126" s="483">
        <f>'[3]CONAP - W INC'!H851</f>
        <v>0</v>
      </c>
      <c r="I1126" s="484">
        <f t="shared" si="420"/>
        <v>4306389.04</v>
      </c>
      <c r="J1126" s="483">
        <f>'[3]CONAP - W INC'!J851</f>
        <v>0</v>
      </c>
      <c r="K1126" s="483">
        <f>'[3]CONAP - W INC'!K851</f>
        <v>0</v>
      </c>
      <c r="L1126" s="483">
        <f>'[3]CONAP - W INC'!L851</f>
        <v>0</v>
      </c>
      <c r="M1126" s="484">
        <f t="shared" si="421"/>
        <v>0</v>
      </c>
      <c r="N1126" s="484">
        <f t="shared" si="413"/>
        <v>0</v>
      </c>
      <c r="O1126" s="484">
        <f t="shared" si="413"/>
        <v>4306389.04</v>
      </c>
      <c r="P1126" s="484">
        <f t="shared" si="413"/>
        <v>0</v>
      </c>
      <c r="Q1126" s="484">
        <f t="shared" si="422"/>
        <v>4306389.04</v>
      </c>
      <c r="R1126" s="760"/>
      <c r="S1126" s="349" t="str">
        <f t="shared" si="426"/>
        <v/>
      </c>
      <c r="T1126" s="349">
        <f t="shared" si="426"/>
        <v>0</v>
      </c>
      <c r="U1126" s="349" t="str">
        <f t="shared" si="426"/>
        <v/>
      </c>
      <c r="V1126" s="349">
        <f t="shared" si="426"/>
        <v>0</v>
      </c>
      <c r="W1126" s="780"/>
    </row>
    <row r="1127" spans="1:26" s="354" customFormat="1" ht="12.75" customHeight="1">
      <c r="A1127" s="778"/>
      <c r="B1127" s="778" t="s">
        <v>244</v>
      </c>
      <c r="C1127" s="486"/>
      <c r="D1127" s="784"/>
      <c r="E1127" s="390" t="s">
        <v>767</v>
      </c>
      <c r="F1127" s="487">
        <f>+F1124+F1123</f>
        <v>0</v>
      </c>
      <c r="G1127" s="487">
        <f t="shared" ref="G1127:Q1127" si="430">+G1124+G1123</f>
        <v>40497.530000000261</v>
      </c>
      <c r="H1127" s="487">
        <f t="shared" si="430"/>
        <v>50000000</v>
      </c>
      <c r="I1127" s="487">
        <f t="shared" si="430"/>
        <v>50040497.530000001</v>
      </c>
      <c r="J1127" s="487">
        <f t="shared" si="430"/>
        <v>0</v>
      </c>
      <c r="K1127" s="487">
        <f t="shared" si="430"/>
        <v>0</v>
      </c>
      <c r="L1127" s="487">
        <f t="shared" si="430"/>
        <v>5474510</v>
      </c>
      <c r="M1127" s="487">
        <f t="shared" si="430"/>
        <v>5474510</v>
      </c>
      <c r="N1127" s="487">
        <f t="shared" si="430"/>
        <v>0</v>
      </c>
      <c r="O1127" s="487">
        <f t="shared" si="430"/>
        <v>40497.530000000261</v>
      </c>
      <c r="P1127" s="487">
        <f t="shared" si="430"/>
        <v>44525490</v>
      </c>
      <c r="Q1127" s="487">
        <f t="shared" si="430"/>
        <v>44565987.530000001</v>
      </c>
      <c r="R1127" s="761"/>
      <c r="S1127" s="349" t="str">
        <f t="shared" si="426"/>
        <v/>
      </c>
      <c r="T1127" s="349">
        <f t="shared" si="426"/>
        <v>0</v>
      </c>
      <c r="U1127" s="349">
        <f t="shared" si="426"/>
        <v>0.1094902</v>
      </c>
      <c r="V1127" s="349">
        <f t="shared" si="426"/>
        <v>0.10940159011644424</v>
      </c>
      <c r="W1127" s="785"/>
      <c r="Y1127" s="352" t="s">
        <v>598</v>
      </c>
      <c r="Z1127" s="240" t="s">
        <v>598</v>
      </c>
    </row>
    <row r="1128" spans="1:26" s="352" customFormat="1" ht="12.75" hidden="1" customHeight="1">
      <c r="A1128" s="778"/>
      <c r="B1128" s="778"/>
      <c r="C1128" s="485"/>
      <c r="D1128" s="783"/>
      <c r="E1128" s="488"/>
      <c r="F1128" s="484"/>
      <c r="G1128" s="484"/>
      <c r="H1128" s="484"/>
      <c r="I1128" s="484"/>
      <c r="J1128" s="484"/>
      <c r="K1128" s="484"/>
      <c r="L1128" s="484"/>
      <c r="M1128" s="484"/>
      <c r="N1128" s="484"/>
      <c r="O1128" s="484"/>
      <c r="P1128" s="484"/>
      <c r="Q1128" s="484"/>
      <c r="R1128" s="760"/>
      <c r="S1128" s="349" t="str">
        <f t="shared" si="426"/>
        <v/>
      </c>
      <c r="T1128" s="349" t="str">
        <f t="shared" si="426"/>
        <v/>
      </c>
      <c r="U1128" s="349" t="str">
        <f t="shared" si="426"/>
        <v/>
      </c>
      <c r="V1128" s="349" t="str">
        <f t="shared" si="426"/>
        <v/>
      </c>
      <c r="W1128" s="780"/>
    </row>
    <row r="1129" spans="1:26" s="354" customFormat="1" ht="12.75" customHeight="1">
      <c r="A1129" s="778" t="s">
        <v>69</v>
      </c>
      <c r="B1129" s="778" t="s">
        <v>244</v>
      </c>
      <c r="C1129" s="486"/>
      <c r="D1129" s="784" t="s">
        <v>98</v>
      </c>
      <c r="E1129" s="489" t="s">
        <v>100</v>
      </c>
      <c r="F1129" s="487">
        <f>SUM(F1130:F1130)</f>
        <v>0</v>
      </c>
      <c r="G1129" s="487">
        <f>SUM(G1130:G1130)</f>
        <v>3318081.18</v>
      </c>
      <c r="H1129" s="487">
        <f>SUM(H1130:H1130)</f>
        <v>0</v>
      </c>
      <c r="I1129" s="487">
        <f>+F1129+G1129+H1129</f>
        <v>3318081.18</v>
      </c>
      <c r="J1129" s="487">
        <f>SUM(J1130:J1130)</f>
        <v>0</v>
      </c>
      <c r="K1129" s="487">
        <f>SUM(K1130:K1130)</f>
        <v>3317993.18</v>
      </c>
      <c r="L1129" s="487">
        <f>SUM(L1130:L1130)</f>
        <v>0</v>
      </c>
      <c r="M1129" s="487">
        <f>+J1129+K1129+L1129</f>
        <v>3317993.18</v>
      </c>
      <c r="N1129" s="487">
        <f t="shared" ref="N1129:P1130" si="431">+F1129-J1129</f>
        <v>0</v>
      </c>
      <c r="O1129" s="487">
        <f t="shared" si="431"/>
        <v>88</v>
      </c>
      <c r="P1129" s="487">
        <f t="shared" si="431"/>
        <v>0</v>
      </c>
      <c r="Q1129" s="487">
        <f>+N1129+O1129+P1129</f>
        <v>88</v>
      </c>
      <c r="R1129" s="761"/>
      <c r="S1129" s="349" t="str">
        <f t="shared" si="426"/>
        <v/>
      </c>
      <c r="T1129" s="349">
        <f t="shared" si="426"/>
        <v>0.99997347864768038</v>
      </c>
      <c r="U1129" s="349" t="str">
        <f t="shared" si="426"/>
        <v/>
      </c>
      <c r="V1129" s="349">
        <f t="shared" si="426"/>
        <v>0.99997347864768038</v>
      </c>
      <c r="W1129" s="785"/>
      <c r="Y1129" s="352" t="s">
        <v>598</v>
      </c>
      <c r="Z1129" s="240" t="s">
        <v>598</v>
      </c>
    </row>
    <row r="1130" spans="1:26" s="352" customFormat="1" ht="12.75" customHeight="1">
      <c r="A1130" s="778" t="s">
        <v>69</v>
      </c>
      <c r="B1130" s="778" t="s">
        <v>244</v>
      </c>
      <c r="C1130" s="485"/>
      <c r="D1130" s="783"/>
      <c r="E1130" s="462" t="s">
        <v>290</v>
      </c>
      <c r="F1130" s="484">
        <v>0</v>
      </c>
      <c r="G1130" s="484">
        <f>SUM('[3]special hospitals1'!AQ222)</f>
        <v>3318081.18</v>
      </c>
      <c r="H1130" s="484">
        <f>SUM('[3]special hospitals1'!AQ314)</f>
        <v>0</v>
      </c>
      <c r="I1130" s="484">
        <f>+F1130+G1130+H1130</f>
        <v>3318081.18</v>
      </c>
      <c r="J1130" s="484">
        <v>0</v>
      </c>
      <c r="K1130" s="484">
        <f>SUM('[3]special hospitals1'!AQ223)</f>
        <v>3317993.18</v>
      </c>
      <c r="L1130" s="484">
        <f>SUM('[3]special hospitals1'!AQ315)</f>
        <v>0</v>
      </c>
      <c r="M1130" s="484">
        <f>+J1130+K1130+L1130</f>
        <v>3317993.18</v>
      </c>
      <c r="N1130" s="484">
        <f t="shared" si="431"/>
        <v>0</v>
      </c>
      <c r="O1130" s="484">
        <f t="shared" si="431"/>
        <v>88</v>
      </c>
      <c r="P1130" s="484">
        <f t="shared" si="431"/>
        <v>0</v>
      </c>
      <c r="Q1130" s="484">
        <f>+N1130+O1130+P1130</f>
        <v>88</v>
      </c>
      <c r="R1130" s="760"/>
      <c r="S1130" s="349" t="str">
        <f t="shared" si="426"/>
        <v/>
      </c>
      <c r="T1130" s="349">
        <f t="shared" si="426"/>
        <v>0.99997347864768038</v>
      </c>
      <c r="U1130" s="349" t="str">
        <f t="shared" si="426"/>
        <v/>
      </c>
      <c r="V1130" s="349">
        <f t="shared" si="426"/>
        <v>0.99997347864768038</v>
      </c>
      <c r="W1130" s="780"/>
      <c r="Y1130" s="352" t="s">
        <v>598</v>
      </c>
    </row>
    <row r="1131" spans="1:26" s="1183" customFormat="1" ht="12.75" customHeight="1">
      <c r="A1131" s="348" t="s">
        <v>69</v>
      </c>
      <c r="B1131" s="348" t="s">
        <v>244</v>
      </c>
      <c r="C1131" s="1101"/>
      <c r="D1131" s="490"/>
      <c r="E1131" s="1102" t="s">
        <v>4</v>
      </c>
      <c r="F1131" s="1103">
        <f>+F1129+F1127</f>
        <v>0</v>
      </c>
      <c r="G1131" s="1103">
        <f t="shared" ref="G1131:Q1131" si="432">+G1129+G1127</f>
        <v>3358578.7100000004</v>
      </c>
      <c r="H1131" s="1103">
        <f t="shared" si="432"/>
        <v>50000000</v>
      </c>
      <c r="I1131" s="1103">
        <f t="shared" si="432"/>
        <v>53358578.710000001</v>
      </c>
      <c r="J1131" s="1103">
        <f t="shared" si="432"/>
        <v>0</v>
      </c>
      <c r="K1131" s="1103">
        <f t="shared" si="432"/>
        <v>3317993.18</v>
      </c>
      <c r="L1131" s="1103">
        <f t="shared" si="432"/>
        <v>5474510</v>
      </c>
      <c r="M1131" s="1103">
        <f t="shared" si="432"/>
        <v>8792503.1799999997</v>
      </c>
      <c r="N1131" s="1103">
        <f t="shared" si="432"/>
        <v>0</v>
      </c>
      <c r="O1131" s="1103">
        <f t="shared" si="432"/>
        <v>40585.530000000261</v>
      </c>
      <c r="P1131" s="1103">
        <f t="shared" si="432"/>
        <v>44525490</v>
      </c>
      <c r="Q1131" s="1103">
        <f t="shared" si="432"/>
        <v>44566075.530000001</v>
      </c>
      <c r="R1131" s="1095">
        <f>+Q1131-'[3]special hospitals1'!CS351</f>
        <v>0</v>
      </c>
      <c r="S1131" s="1104" t="str">
        <f t="shared" si="426"/>
        <v/>
      </c>
      <c r="T1131" s="1104">
        <f t="shared" si="426"/>
        <v>0.98791586158777256</v>
      </c>
      <c r="U1131" s="1104">
        <f t="shared" si="426"/>
        <v>0.1094902</v>
      </c>
      <c r="V1131" s="1104">
        <f t="shared" si="426"/>
        <v>0.16478143519876373</v>
      </c>
      <c r="W1131" s="355"/>
      <c r="X1131" s="925"/>
      <c r="Y1131" s="842" t="s">
        <v>598</v>
      </c>
      <c r="Z1131" s="241" t="s">
        <v>598</v>
      </c>
    </row>
    <row r="1132" spans="1:26" s="352" customFormat="1" ht="12.75" customHeight="1">
      <c r="A1132" s="348" t="s">
        <v>69</v>
      </c>
      <c r="B1132" s="348" t="s">
        <v>244</v>
      </c>
      <c r="C1132" s="485"/>
      <c r="D1132" s="485"/>
      <c r="E1132" s="491"/>
      <c r="F1132" s="484"/>
      <c r="G1132" s="484"/>
      <c r="H1132" s="484"/>
      <c r="I1132" s="484"/>
      <c r="J1132" s="484"/>
      <c r="K1132" s="484"/>
      <c r="L1132" s="484"/>
      <c r="M1132" s="484"/>
      <c r="N1132" s="484"/>
      <c r="O1132" s="484"/>
      <c r="P1132" s="484"/>
      <c r="Q1132" s="484"/>
      <c r="R1132" s="760"/>
      <c r="S1132" s="349" t="str">
        <f t="shared" si="426"/>
        <v/>
      </c>
      <c r="T1132" s="349" t="str">
        <f t="shared" si="426"/>
        <v/>
      </c>
      <c r="U1132" s="349" t="str">
        <f t="shared" si="426"/>
        <v/>
      </c>
      <c r="V1132" s="349" t="str">
        <f t="shared" si="426"/>
        <v/>
      </c>
      <c r="W1132" s="349"/>
      <c r="X1132" s="841"/>
      <c r="Y1132" s="842" t="s">
        <v>598</v>
      </c>
      <c r="Z1132" s="241" t="s">
        <v>598</v>
      </c>
    </row>
    <row r="1133" spans="1:26" s="351" customFormat="1" ht="12.75" customHeight="1">
      <c r="A1133" s="778" t="s">
        <v>69</v>
      </c>
      <c r="B1133" s="778" t="s">
        <v>246</v>
      </c>
      <c r="C1133" s="478" t="s">
        <v>98</v>
      </c>
      <c r="D1133" s="779" t="s">
        <v>247</v>
      </c>
      <c r="E1133" s="407" t="s">
        <v>853</v>
      </c>
      <c r="F1133" s="480"/>
      <c r="G1133" s="480"/>
      <c r="H1133" s="480"/>
      <c r="I1133" s="481">
        <f t="shared" si="420"/>
        <v>0</v>
      </c>
      <c r="J1133" s="480"/>
      <c r="K1133" s="480"/>
      <c r="L1133" s="480"/>
      <c r="M1133" s="481">
        <f t="shared" si="421"/>
        <v>0</v>
      </c>
      <c r="N1133" s="481">
        <f t="shared" si="413"/>
        <v>0</v>
      </c>
      <c r="O1133" s="481">
        <f t="shared" si="413"/>
        <v>0</v>
      </c>
      <c r="P1133" s="481">
        <f t="shared" si="413"/>
        <v>0</v>
      </c>
      <c r="Q1133" s="481">
        <f t="shared" si="422"/>
        <v>0</v>
      </c>
      <c r="R1133" s="761"/>
      <c r="S1133" s="349" t="str">
        <f t="shared" si="426"/>
        <v/>
      </c>
      <c r="T1133" s="349" t="str">
        <f t="shared" si="426"/>
        <v/>
      </c>
      <c r="U1133" s="349" t="str">
        <f t="shared" si="426"/>
        <v/>
      </c>
      <c r="V1133" s="349" t="str">
        <f t="shared" si="426"/>
        <v/>
      </c>
      <c r="W1133" s="781"/>
      <c r="Y1133" s="352" t="s">
        <v>598</v>
      </c>
      <c r="Z1133" s="240" t="s">
        <v>598</v>
      </c>
    </row>
    <row r="1134" spans="1:26" s="352" customFormat="1" ht="12.75" customHeight="1">
      <c r="A1134" s="778" t="s">
        <v>69</v>
      </c>
      <c r="B1134" s="778" t="s">
        <v>246</v>
      </c>
      <c r="C1134" s="447" t="s">
        <v>766</v>
      </c>
      <c r="D1134" s="782"/>
      <c r="E1134" s="447" t="s">
        <v>766</v>
      </c>
      <c r="F1134" s="483">
        <f>+'[3]special hospitals1'!B471</f>
        <v>0</v>
      </c>
      <c r="G1134" s="483">
        <f>+'[3]special hospitals1'!C471</f>
        <v>0</v>
      </c>
      <c r="H1134" s="483">
        <f>+'[3]special hospitals1'!D471</f>
        <v>0</v>
      </c>
      <c r="I1134" s="484">
        <f t="shared" si="420"/>
        <v>0</v>
      </c>
      <c r="J1134" s="483">
        <f>+'[3]special hospitals1'!F471</f>
        <v>0</v>
      </c>
      <c r="K1134" s="483">
        <f>+'[3]special hospitals1'!G471</f>
        <v>0</v>
      </c>
      <c r="L1134" s="483">
        <f>+'[3]special hospitals1'!H471</f>
        <v>0</v>
      </c>
      <c r="M1134" s="484">
        <f t="shared" si="421"/>
        <v>0</v>
      </c>
      <c r="N1134" s="484">
        <f t="shared" si="413"/>
        <v>0</v>
      </c>
      <c r="O1134" s="484">
        <f t="shared" si="413"/>
        <v>0</v>
      </c>
      <c r="P1134" s="484">
        <f t="shared" si="413"/>
        <v>0</v>
      </c>
      <c r="Q1134" s="484">
        <f t="shared" si="422"/>
        <v>0</v>
      </c>
      <c r="R1134" s="760"/>
      <c r="S1134" s="349" t="str">
        <f t="shared" si="426"/>
        <v/>
      </c>
      <c r="T1134" s="349" t="str">
        <f t="shared" si="426"/>
        <v/>
      </c>
      <c r="U1134" s="349" t="str">
        <f t="shared" si="426"/>
        <v/>
      </c>
      <c r="V1134" s="349" t="str">
        <f t="shared" si="426"/>
        <v/>
      </c>
      <c r="W1134" s="780"/>
      <c r="Y1134" s="352" t="s">
        <v>688</v>
      </c>
    </row>
    <row r="1135" spans="1:26" s="352" customFormat="1" ht="12.75" customHeight="1">
      <c r="A1135" s="778" t="s">
        <v>69</v>
      </c>
      <c r="B1135" s="778" t="s">
        <v>246</v>
      </c>
      <c r="C1135" s="485"/>
      <c r="D1135" s="782"/>
      <c r="E1135" s="453" t="s">
        <v>50</v>
      </c>
      <c r="F1135" s="484">
        <f>+F1136+F1137</f>
        <v>0</v>
      </c>
      <c r="G1135" s="484">
        <f>+G1136+G1137</f>
        <v>0</v>
      </c>
      <c r="H1135" s="484">
        <f>+H1136+H1137</f>
        <v>0</v>
      </c>
      <c r="I1135" s="484">
        <f t="shared" si="420"/>
        <v>0</v>
      </c>
      <c r="J1135" s="484">
        <f>+J1136+J1137</f>
        <v>0</v>
      </c>
      <c r="K1135" s="484">
        <f>+K1136+K1137</f>
        <v>-7665</v>
      </c>
      <c r="L1135" s="484">
        <f>+L1136+L1137</f>
        <v>0</v>
      </c>
      <c r="M1135" s="484">
        <f t="shared" si="421"/>
        <v>-7665</v>
      </c>
      <c r="N1135" s="484">
        <f t="shared" ref="N1135:P1192" si="433">+F1135-J1135</f>
        <v>0</v>
      </c>
      <c r="O1135" s="484">
        <f t="shared" si="433"/>
        <v>7665</v>
      </c>
      <c r="P1135" s="484">
        <f t="shared" si="433"/>
        <v>0</v>
      </c>
      <c r="Q1135" s="484">
        <f t="shared" si="422"/>
        <v>7665</v>
      </c>
      <c r="R1135" s="760"/>
      <c r="S1135" s="349" t="str">
        <f t="shared" si="426"/>
        <v/>
      </c>
      <c r="T1135" s="349" t="str">
        <f t="shared" si="426"/>
        <v/>
      </c>
      <c r="U1135" s="349" t="str">
        <f t="shared" si="426"/>
        <v/>
      </c>
      <c r="V1135" s="349" t="str">
        <f t="shared" si="426"/>
        <v/>
      </c>
      <c r="W1135" s="780"/>
      <c r="Y1135" s="352" t="s">
        <v>688</v>
      </c>
    </row>
    <row r="1136" spans="1:26" s="352" customFormat="1" ht="12.75" hidden="1" customHeight="1">
      <c r="A1136" s="778" t="s">
        <v>69</v>
      </c>
      <c r="B1136" s="778" t="s">
        <v>246</v>
      </c>
      <c r="C1136" s="458" t="s">
        <v>715</v>
      </c>
      <c r="D1136" s="550" t="s">
        <v>715</v>
      </c>
      <c r="E1136" s="459" t="s">
        <v>715</v>
      </c>
      <c r="F1136" s="483">
        <f>'[3]CONAP - W INC'!F858</f>
        <v>0</v>
      </c>
      <c r="G1136" s="483">
        <f>'[3]CONAP - W INC'!G858</f>
        <v>0</v>
      </c>
      <c r="H1136" s="483">
        <f>'[3]CONAP - W INC'!H858</f>
        <v>0</v>
      </c>
      <c r="I1136" s="484">
        <f t="shared" si="420"/>
        <v>0</v>
      </c>
      <c r="J1136" s="483">
        <f>'[3]CONAP - W INC'!J858</f>
        <v>0</v>
      </c>
      <c r="K1136" s="483">
        <f>'[3]CONAP - W INC'!K858</f>
        <v>0</v>
      </c>
      <c r="L1136" s="483">
        <f>'[3]CONAP - W INC'!L858</f>
        <v>0</v>
      </c>
      <c r="M1136" s="484">
        <f t="shared" si="421"/>
        <v>0</v>
      </c>
      <c r="N1136" s="484">
        <f t="shared" si="433"/>
        <v>0</v>
      </c>
      <c r="O1136" s="484">
        <f t="shared" si="433"/>
        <v>0</v>
      </c>
      <c r="P1136" s="484">
        <f t="shared" si="433"/>
        <v>0</v>
      </c>
      <c r="Q1136" s="484">
        <f t="shared" si="422"/>
        <v>0</v>
      </c>
      <c r="R1136" s="760"/>
      <c r="S1136" s="349" t="str">
        <f t="shared" si="426"/>
        <v/>
      </c>
      <c r="T1136" s="349" t="str">
        <f t="shared" si="426"/>
        <v/>
      </c>
      <c r="U1136" s="349" t="str">
        <f t="shared" si="426"/>
        <v/>
      </c>
      <c r="V1136" s="349" t="str">
        <f t="shared" si="426"/>
        <v/>
      </c>
      <c r="W1136" s="780"/>
    </row>
    <row r="1137" spans="1:26" s="352" customFormat="1" ht="12.75" hidden="1" customHeight="1">
      <c r="A1137" s="778" t="s">
        <v>69</v>
      </c>
      <c r="B1137" s="778" t="s">
        <v>246</v>
      </c>
      <c r="C1137" s="458" t="s">
        <v>716</v>
      </c>
      <c r="D1137" s="550" t="s">
        <v>716</v>
      </c>
      <c r="E1137" s="459" t="s">
        <v>716</v>
      </c>
      <c r="F1137" s="483">
        <f>'[3]CONAP - W INC'!F859</f>
        <v>0</v>
      </c>
      <c r="G1137" s="483">
        <f>'[3]CONAP - W INC'!G859</f>
        <v>0</v>
      </c>
      <c r="H1137" s="483">
        <f>'[3]CONAP - W INC'!H859</f>
        <v>0</v>
      </c>
      <c r="I1137" s="484">
        <f t="shared" si="420"/>
        <v>0</v>
      </c>
      <c r="J1137" s="483">
        <f>'[3]CONAP - W INC'!J859</f>
        <v>0</v>
      </c>
      <c r="K1137" s="483">
        <f>'[3]CONAP - W INC'!K859</f>
        <v>-7665</v>
      </c>
      <c r="L1137" s="483">
        <f>'[3]CONAP - W INC'!L859</f>
        <v>0</v>
      </c>
      <c r="M1137" s="484">
        <f t="shared" si="421"/>
        <v>-7665</v>
      </c>
      <c r="N1137" s="484">
        <f t="shared" si="433"/>
        <v>0</v>
      </c>
      <c r="O1137" s="484">
        <f t="shared" si="433"/>
        <v>7665</v>
      </c>
      <c r="P1137" s="484">
        <f t="shared" si="433"/>
        <v>0</v>
      </c>
      <c r="Q1137" s="484">
        <f t="shared" si="422"/>
        <v>7665</v>
      </c>
      <c r="R1137" s="760"/>
      <c r="S1137" s="349" t="str">
        <f t="shared" si="426"/>
        <v/>
      </c>
      <c r="T1137" s="349" t="str">
        <f t="shared" si="426"/>
        <v/>
      </c>
      <c r="U1137" s="349" t="str">
        <f t="shared" si="426"/>
        <v/>
      </c>
      <c r="V1137" s="349" t="str">
        <f t="shared" si="426"/>
        <v/>
      </c>
      <c r="W1137" s="780"/>
    </row>
    <row r="1138" spans="1:26" s="354" customFormat="1" ht="12.75" customHeight="1">
      <c r="A1138" s="778"/>
      <c r="B1138" s="778" t="s">
        <v>246</v>
      </c>
      <c r="C1138" s="486"/>
      <c r="D1138" s="784"/>
      <c r="E1138" s="390" t="s">
        <v>767</v>
      </c>
      <c r="F1138" s="487">
        <f>+F1135+F1134</f>
        <v>0</v>
      </c>
      <c r="G1138" s="487">
        <f t="shared" ref="G1138:Q1138" si="434">+G1135+G1134</f>
        <v>0</v>
      </c>
      <c r="H1138" s="487">
        <f t="shared" si="434"/>
        <v>0</v>
      </c>
      <c r="I1138" s="487">
        <f t="shared" si="434"/>
        <v>0</v>
      </c>
      <c r="J1138" s="487">
        <f t="shared" si="434"/>
        <v>0</v>
      </c>
      <c r="K1138" s="487">
        <f t="shared" si="434"/>
        <v>-7665</v>
      </c>
      <c r="L1138" s="487">
        <f t="shared" si="434"/>
        <v>0</v>
      </c>
      <c r="M1138" s="487">
        <f t="shared" si="434"/>
        <v>-7665</v>
      </c>
      <c r="N1138" s="487">
        <f t="shared" si="434"/>
        <v>0</v>
      </c>
      <c r="O1138" s="487">
        <f t="shared" si="434"/>
        <v>7665</v>
      </c>
      <c r="P1138" s="487">
        <f t="shared" si="434"/>
        <v>0</v>
      </c>
      <c r="Q1138" s="487">
        <f t="shared" si="434"/>
        <v>7665</v>
      </c>
      <c r="R1138" s="761"/>
      <c r="S1138" s="349" t="str">
        <f t="shared" si="426"/>
        <v/>
      </c>
      <c r="T1138" s="349" t="str">
        <f t="shared" si="426"/>
        <v/>
      </c>
      <c r="U1138" s="349" t="str">
        <f t="shared" si="426"/>
        <v/>
      </c>
      <c r="V1138" s="349" t="str">
        <f t="shared" si="426"/>
        <v/>
      </c>
      <c r="W1138" s="785"/>
      <c r="Y1138" s="352" t="s">
        <v>598</v>
      </c>
      <c r="Z1138" s="240" t="s">
        <v>598</v>
      </c>
    </row>
    <row r="1139" spans="1:26" s="352" customFormat="1" ht="12.75" hidden="1" customHeight="1">
      <c r="A1139" s="778"/>
      <c r="B1139" s="778"/>
      <c r="C1139" s="485"/>
      <c r="D1139" s="783"/>
      <c r="E1139" s="488"/>
      <c r="F1139" s="484"/>
      <c r="G1139" s="484"/>
      <c r="H1139" s="484"/>
      <c r="I1139" s="484"/>
      <c r="J1139" s="484"/>
      <c r="K1139" s="484"/>
      <c r="L1139" s="484"/>
      <c r="M1139" s="484"/>
      <c r="N1139" s="484"/>
      <c r="O1139" s="484"/>
      <c r="P1139" s="484"/>
      <c r="Q1139" s="484"/>
      <c r="R1139" s="760"/>
      <c r="S1139" s="349" t="str">
        <f t="shared" si="426"/>
        <v/>
      </c>
      <c r="T1139" s="349" t="str">
        <f t="shared" si="426"/>
        <v/>
      </c>
      <c r="U1139" s="349" t="str">
        <f t="shared" si="426"/>
        <v/>
      </c>
      <c r="V1139" s="349" t="str">
        <f t="shared" si="426"/>
        <v/>
      </c>
      <c r="W1139" s="780"/>
    </row>
    <row r="1140" spans="1:26" s="354" customFormat="1" ht="12.75" customHeight="1">
      <c r="A1140" s="778" t="s">
        <v>69</v>
      </c>
      <c r="B1140" s="778" t="s">
        <v>246</v>
      </c>
      <c r="C1140" s="486"/>
      <c r="D1140" s="784" t="s">
        <v>98</v>
      </c>
      <c r="E1140" s="489" t="s">
        <v>100</v>
      </c>
      <c r="F1140" s="487">
        <f>SUM(F1141:F1141)</f>
        <v>0</v>
      </c>
      <c r="G1140" s="487">
        <f>SUM(G1141:G1141)</f>
        <v>1389526.06</v>
      </c>
      <c r="H1140" s="487">
        <f>SUM(H1141:H1141)</f>
        <v>0</v>
      </c>
      <c r="I1140" s="487">
        <f>+F1140+G1140+H1140</f>
        <v>1389526.06</v>
      </c>
      <c r="J1140" s="487">
        <f>SUM(J1141:J1141)</f>
        <v>0</v>
      </c>
      <c r="K1140" s="487">
        <f>SUM(K1141:K1141)</f>
        <v>1389526.06</v>
      </c>
      <c r="L1140" s="487">
        <f>SUM(L1141:L1141)</f>
        <v>0</v>
      </c>
      <c r="M1140" s="487">
        <f>+J1140+K1140+L1140</f>
        <v>1389526.06</v>
      </c>
      <c r="N1140" s="487">
        <f t="shared" ref="N1140:P1141" si="435">+F1140-J1140</f>
        <v>0</v>
      </c>
      <c r="O1140" s="487">
        <f t="shared" si="435"/>
        <v>0</v>
      </c>
      <c r="P1140" s="487">
        <f t="shared" si="435"/>
        <v>0</v>
      </c>
      <c r="Q1140" s="487">
        <f>+N1140+O1140+P1140</f>
        <v>0</v>
      </c>
      <c r="R1140" s="761"/>
      <c r="S1140" s="349" t="str">
        <f t="shared" si="426"/>
        <v/>
      </c>
      <c r="T1140" s="349">
        <f t="shared" si="426"/>
        <v>1</v>
      </c>
      <c r="U1140" s="349" t="str">
        <f t="shared" si="426"/>
        <v/>
      </c>
      <c r="V1140" s="349">
        <f t="shared" si="426"/>
        <v>1</v>
      </c>
      <c r="W1140" s="785"/>
      <c r="Y1140" s="352" t="s">
        <v>598</v>
      </c>
      <c r="Z1140" s="240" t="s">
        <v>598</v>
      </c>
    </row>
    <row r="1141" spans="1:26" s="352" customFormat="1" ht="12.75" customHeight="1">
      <c r="A1141" s="778" t="s">
        <v>69</v>
      </c>
      <c r="B1141" s="778" t="s">
        <v>246</v>
      </c>
      <c r="C1141" s="485"/>
      <c r="D1141" s="783"/>
      <c r="E1141" s="462" t="s">
        <v>290</v>
      </c>
      <c r="F1141" s="484">
        <v>0</v>
      </c>
      <c r="G1141" s="484">
        <f>SUM('[3]special hospitals1'!AP222)</f>
        <v>1389526.06</v>
      </c>
      <c r="H1141" s="484">
        <f>SUM('[3]special hospitals1'!AP314)</f>
        <v>0</v>
      </c>
      <c r="I1141" s="484">
        <f>+F1141+G1141+H1141</f>
        <v>1389526.06</v>
      </c>
      <c r="J1141" s="484">
        <v>0</v>
      </c>
      <c r="K1141" s="484">
        <f>SUM('[3]special hospitals1'!AP223)</f>
        <v>1389526.06</v>
      </c>
      <c r="L1141" s="484">
        <f>SUM('[3]special hospitals1'!AP315)</f>
        <v>0</v>
      </c>
      <c r="M1141" s="484">
        <f>+J1141+K1141+L1141</f>
        <v>1389526.06</v>
      </c>
      <c r="N1141" s="484">
        <f t="shared" si="435"/>
        <v>0</v>
      </c>
      <c r="O1141" s="484">
        <f t="shared" si="435"/>
        <v>0</v>
      </c>
      <c r="P1141" s="484">
        <f t="shared" si="435"/>
        <v>0</v>
      </c>
      <c r="Q1141" s="484">
        <f>+N1141+O1141+P1141</f>
        <v>0</v>
      </c>
      <c r="R1141" s="760"/>
      <c r="S1141" s="349" t="str">
        <f t="shared" si="426"/>
        <v/>
      </c>
      <c r="T1141" s="349">
        <f t="shared" si="426"/>
        <v>1</v>
      </c>
      <c r="U1141" s="349" t="str">
        <f t="shared" si="426"/>
        <v/>
      </c>
      <c r="V1141" s="349">
        <f t="shared" si="426"/>
        <v>1</v>
      </c>
      <c r="W1141" s="780"/>
      <c r="Y1141" s="352" t="s">
        <v>598</v>
      </c>
    </row>
    <row r="1142" spans="1:26" s="1183" customFormat="1" ht="12.75" customHeight="1">
      <c r="A1142" s="348" t="s">
        <v>69</v>
      </c>
      <c r="B1142" s="348" t="s">
        <v>246</v>
      </c>
      <c r="C1142" s="1101"/>
      <c r="D1142" s="490"/>
      <c r="E1142" s="1102" t="s">
        <v>4</v>
      </c>
      <c r="F1142" s="1103">
        <f>+F1140+F1138</f>
        <v>0</v>
      </c>
      <c r="G1142" s="1103">
        <f t="shared" ref="G1142:Q1142" si="436">+G1140+G1138</f>
        <v>1389526.06</v>
      </c>
      <c r="H1142" s="1103">
        <f t="shared" si="436"/>
        <v>0</v>
      </c>
      <c r="I1142" s="1103">
        <f t="shared" si="436"/>
        <v>1389526.06</v>
      </c>
      <c r="J1142" s="1103">
        <f t="shared" si="436"/>
        <v>0</v>
      </c>
      <c r="K1142" s="1103">
        <f t="shared" si="436"/>
        <v>1381861.06</v>
      </c>
      <c r="L1142" s="1103">
        <f t="shared" si="436"/>
        <v>0</v>
      </c>
      <c r="M1142" s="1103">
        <f t="shared" si="436"/>
        <v>1381861.06</v>
      </c>
      <c r="N1142" s="1103">
        <f t="shared" si="436"/>
        <v>0</v>
      </c>
      <c r="O1142" s="1103">
        <f t="shared" si="436"/>
        <v>7665</v>
      </c>
      <c r="P1142" s="1103">
        <f t="shared" si="436"/>
        <v>0</v>
      </c>
      <c r="Q1142" s="1103">
        <f t="shared" si="436"/>
        <v>7665</v>
      </c>
      <c r="R1142" s="1095">
        <f>+Q1142-'[3]special hospitals1'!CR351</f>
        <v>0</v>
      </c>
      <c r="S1142" s="1104" t="str">
        <f t="shared" si="426"/>
        <v/>
      </c>
      <c r="T1142" s="1104">
        <f t="shared" si="426"/>
        <v>0.99448373066137385</v>
      </c>
      <c r="U1142" s="1104" t="str">
        <f t="shared" si="426"/>
        <v/>
      </c>
      <c r="V1142" s="1104">
        <f t="shared" si="426"/>
        <v>0.99448373066137385</v>
      </c>
      <c r="W1142" s="355"/>
      <c r="X1142" s="925"/>
      <c r="Y1142" s="842" t="s">
        <v>598</v>
      </c>
      <c r="Z1142" s="241" t="s">
        <v>598</v>
      </c>
    </row>
    <row r="1143" spans="1:26" s="352" customFormat="1" ht="12.75" customHeight="1">
      <c r="A1143" s="348" t="s">
        <v>69</v>
      </c>
      <c r="B1143" s="348" t="s">
        <v>246</v>
      </c>
      <c r="C1143" s="485"/>
      <c r="D1143" s="485"/>
      <c r="E1143" s="491"/>
      <c r="F1143" s="484"/>
      <c r="G1143" s="484"/>
      <c r="H1143" s="484"/>
      <c r="I1143" s="484"/>
      <c r="J1143" s="484"/>
      <c r="K1143" s="484"/>
      <c r="L1143" s="484"/>
      <c r="M1143" s="484"/>
      <c r="N1143" s="484"/>
      <c r="O1143" s="484"/>
      <c r="P1143" s="484"/>
      <c r="Q1143" s="484"/>
      <c r="R1143" s="760"/>
      <c r="S1143" s="349" t="str">
        <f t="shared" si="426"/>
        <v/>
      </c>
      <c r="T1143" s="349" t="str">
        <f t="shared" si="426"/>
        <v/>
      </c>
      <c r="U1143" s="349" t="str">
        <f t="shared" si="426"/>
        <v/>
      </c>
      <c r="V1143" s="349" t="str">
        <f t="shared" si="426"/>
        <v/>
      </c>
      <c r="W1143" s="349"/>
      <c r="X1143" s="841"/>
      <c r="Y1143" s="842" t="s">
        <v>598</v>
      </c>
      <c r="Z1143" s="241" t="s">
        <v>598</v>
      </c>
    </row>
    <row r="1144" spans="1:26" s="817" customFormat="1" ht="15" customHeight="1">
      <c r="A1144" s="778" t="s">
        <v>69</v>
      </c>
      <c r="B1144" s="778" t="s">
        <v>248</v>
      </c>
      <c r="C1144" s="478" t="s">
        <v>98</v>
      </c>
      <c r="D1144" s="779" t="s">
        <v>249</v>
      </c>
      <c r="E1144" s="407" t="s">
        <v>854</v>
      </c>
      <c r="F1144" s="814"/>
      <c r="G1144" s="814"/>
      <c r="H1144" s="814"/>
      <c r="I1144" s="815">
        <f t="shared" si="420"/>
        <v>0</v>
      </c>
      <c r="J1144" s="814"/>
      <c r="K1144" s="814"/>
      <c r="L1144" s="814"/>
      <c r="M1144" s="815">
        <f t="shared" si="421"/>
        <v>0</v>
      </c>
      <c r="N1144" s="815">
        <f t="shared" si="433"/>
        <v>0</v>
      </c>
      <c r="O1144" s="815">
        <f t="shared" si="433"/>
        <v>0</v>
      </c>
      <c r="P1144" s="815">
        <f t="shared" si="433"/>
        <v>0</v>
      </c>
      <c r="Q1144" s="815">
        <f t="shared" si="422"/>
        <v>0</v>
      </c>
      <c r="R1144" s="811"/>
      <c r="S1144" s="816" t="str">
        <f t="shared" si="426"/>
        <v/>
      </c>
      <c r="T1144" s="816" t="str">
        <f t="shared" si="426"/>
        <v/>
      </c>
      <c r="U1144" s="816" t="str">
        <f t="shared" si="426"/>
        <v/>
      </c>
      <c r="V1144" s="816" t="str">
        <f t="shared" si="426"/>
        <v/>
      </c>
      <c r="W1144" s="786"/>
      <c r="Y1144" s="1405" t="s">
        <v>598</v>
      </c>
      <c r="Z1144" s="240" t="s">
        <v>598</v>
      </c>
    </row>
    <row r="1145" spans="1:26" s="352" customFormat="1" ht="12.75" customHeight="1">
      <c r="A1145" s="778" t="s">
        <v>69</v>
      </c>
      <c r="B1145" s="778" t="s">
        <v>248</v>
      </c>
      <c r="C1145" s="447" t="s">
        <v>766</v>
      </c>
      <c r="D1145" s="782"/>
      <c r="E1145" s="447" t="s">
        <v>766</v>
      </c>
      <c r="F1145" s="483">
        <f>+'[3]special hospitals2'!B444</f>
        <v>0</v>
      </c>
      <c r="G1145" s="483">
        <f>+'[3]special hospitals2'!C444</f>
        <v>0</v>
      </c>
      <c r="H1145" s="483">
        <f>+'[3]special hospitals2'!D444</f>
        <v>0</v>
      </c>
      <c r="I1145" s="484">
        <f t="shared" si="420"/>
        <v>0</v>
      </c>
      <c r="J1145" s="483">
        <f>+'[3]special hospitals2'!F444</f>
        <v>0</v>
      </c>
      <c r="K1145" s="483">
        <f>+'[3]special hospitals2'!G444</f>
        <v>0</v>
      </c>
      <c r="L1145" s="483">
        <f>+'[3]special hospitals2'!H444</f>
        <v>0</v>
      </c>
      <c r="M1145" s="484">
        <f t="shared" si="421"/>
        <v>0</v>
      </c>
      <c r="N1145" s="484">
        <f t="shared" si="433"/>
        <v>0</v>
      </c>
      <c r="O1145" s="484">
        <f t="shared" si="433"/>
        <v>0</v>
      </c>
      <c r="P1145" s="484">
        <f t="shared" si="433"/>
        <v>0</v>
      </c>
      <c r="Q1145" s="484">
        <f t="shared" si="422"/>
        <v>0</v>
      </c>
      <c r="R1145" s="760"/>
      <c r="S1145" s="349" t="str">
        <f t="shared" si="426"/>
        <v/>
      </c>
      <c r="T1145" s="349" t="str">
        <f t="shared" si="426"/>
        <v/>
      </c>
      <c r="U1145" s="349" t="str">
        <f t="shared" si="426"/>
        <v/>
      </c>
      <c r="V1145" s="349" t="str">
        <f t="shared" si="426"/>
        <v/>
      </c>
      <c r="W1145" s="780"/>
      <c r="Y1145" s="352" t="s">
        <v>688</v>
      </c>
    </row>
    <row r="1146" spans="1:26" s="352" customFormat="1" ht="12.75" customHeight="1">
      <c r="A1146" s="778" t="s">
        <v>69</v>
      </c>
      <c r="B1146" s="778" t="s">
        <v>248</v>
      </c>
      <c r="C1146" s="485"/>
      <c r="D1146" s="782"/>
      <c r="E1146" s="453" t="s">
        <v>50</v>
      </c>
      <c r="F1146" s="484">
        <f>+F1147+F1148</f>
        <v>0</v>
      </c>
      <c r="G1146" s="484">
        <f>+G1147+G1148</f>
        <v>2263524.19</v>
      </c>
      <c r="H1146" s="484">
        <f>+H1147+H1148</f>
        <v>0</v>
      </c>
      <c r="I1146" s="484">
        <f t="shared" si="420"/>
        <v>2263524.19</v>
      </c>
      <c r="J1146" s="484">
        <f>+J1147+J1148</f>
        <v>0</v>
      </c>
      <c r="K1146" s="484">
        <f>+K1147+K1148</f>
        <v>1887604.07</v>
      </c>
      <c r="L1146" s="484">
        <f>+L1147+L1148</f>
        <v>0</v>
      </c>
      <c r="M1146" s="484">
        <f t="shared" si="421"/>
        <v>1887604.07</v>
      </c>
      <c r="N1146" s="484">
        <f t="shared" si="433"/>
        <v>0</v>
      </c>
      <c r="O1146" s="484">
        <f t="shared" si="433"/>
        <v>375920.11999999988</v>
      </c>
      <c r="P1146" s="484">
        <f t="shared" si="433"/>
        <v>0</v>
      </c>
      <c r="Q1146" s="484">
        <f t="shared" si="422"/>
        <v>375920.11999999988</v>
      </c>
      <c r="R1146" s="760"/>
      <c r="S1146" s="349" t="str">
        <f t="shared" si="426"/>
        <v/>
      </c>
      <c r="T1146" s="349">
        <f t="shared" si="426"/>
        <v>0.83392264078255784</v>
      </c>
      <c r="U1146" s="349" t="str">
        <f t="shared" si="426"/>
        <v/>
      </c>
      <c r="V1146" s="349">
        <f t="shared" si="426"/>
        <v>0.83392264078255784</v>
      </c>
      <c r="W1146" s="780"/>
      <c r="Y1146" s="352" t="s">
        <v>688</v>
      </c>
    </row>
    <row r="1147" spans="1:26" s="352" customFormat="1" ht="12.75" hidden="1" customHeight="1">
      <c r="A1147" s="778" t="s">
        <v>69</v>
      </c>
      <c r="B1147" s="778" t="s">
        <v>248</v>
      </c>
      <c r="C1147" s="458" t="s">
        <v>715</v>
      </c>
      <c r="D1147" s="550" t="s">
        <v>715</v>
      </c>
      <c r="E1147" s="459" t="s">
        <v>715</v>
      </c>
      <c r="F1147" s="483">
        <f>'[3]CONAP - W INC'!F866</f>
        <v>0</v>
      </c>
      <c r="G1147" s="483">
        <f>'[3]CONAP - W INC'!G866</f>
        <v>0</v>
      </c>
      <c r="H1147" s="483">
        <f>'[3]CONAP - W INC'!H866</f>
        <v>0</v>
      </c>
      <c r="I1147" s="484">
        <f t="shared" si="420"/>
        <v>0</v>
      </c>
      <c r="J1147" s="483">
        <f>'[3]CONAP - W INC'!J866</f>
        <v>0</v>
      </c>
      <c r="K1147" s="483">
        <f>'[3]CONAP - W INC'!K866</f>
        <v>0</v>
      </c>
      <c r="L1147" s="483">
        <f>'[3]CONAP - W INC'!L866</f>
        <v>0</v>
      </c>
      <c r="M1147" s="484">
        <f t="shared" si="421"/>
        <v>0</v>
      </c>
      <c r="N1147" s="484">
        <f t="shared" si="433"/>
        <v>0</v>
      </c>
      <c r="O1147" s="484">
        <f t="shared" si="433"/>
        <v>0</v>
      </c>
      <c r="P1147" s="484">
        <f t="shared" si="433"/>
        <v>0</v>
      </c>
      <c r="Q1147" s="484">
        <f t="shared" si="422"/>
        <v>0</v>
      </c>
      <c r="R1147" s="760"/>
      <c r="S1147" s="349" t="str">
        <f t="shared" si="426"/>
        <v/>
      </c>
      <c r="T1147" s="349" t="str">
        <f t="shared" si="426"/>
        <v/>
      </c>
      <c r="U1147" s="349" t="str">
        <f t="shared" si="426"/>
        <v/>
      </c>
      <c r="V1147" s="349" t="str">
        <f t="shared" si="426"/>
        <v/>
      </c>
      <c r="W1147" s="780"/>
    </row>
    <row r="1148" spans="1:26" s="352" customFormat="1" ht="12.75" hidden="1" customHeight="1">
      <c r="A1148" s="778" t="s">
        <v>69</v>
      </c>
      <c r="B1148" s="778" t="s">
        <v>248</v>
      </c>
      <c r="C1148" s="458" t="s">
        <v>716</v>
      </c>
      <c r="D1148" s="550" t="s">
        <v>716</v>
      </c>
      <c r="E1148" s="459" t="s">
        <v>716</v>
      </c>
      <c r="F1148" s="483">
        <f>'[3]CONAP - W INC'!F867</f>
        <v>0</v>
      </c>
      <c r="G1148" s="483">
        <f>'[3]CONAP - W INC'!G867</f>
        <v>2263524.19</v>
      </c>
      <c r="H1148" s="483">
        <f>'[3]CONAP - W INC'!H867</f>
        <v>0</v>
      </c>
      <c r="I1148" s="484">
        <f t="shared" si="420"/>
        <v>2263524.19</v>
      </c>
      <c r="J1148" s="483">
        <f>'[3]CONAP - W INC'!J867</f>
        <v>0</v>
      </c>
      <c r="K1148" s="483">
        <f>'[3]CONAP - W INC'!K867</f>
        <v>1887604.07</v>
      </c>
      <c r="L1148" s="483">
        <f>'[3]CONAP - W INC'!L867</f>
        <v>0</v>
      </c>
      <c r="M1148" s="484">
        <f t="shared" si="421"/>
        <v>1887604.07</v>
      </c>
      <c r="N1148" s="484">
        <f t="shared" si="433"/>
        <v>0</v>
      </c>
      <c r="O1148" s="484">
        <f t="shared" si="433"/>
        <v>375920.11999999988</v>
      </c>
      <c r="P1148" s="484">
        <f t="shared" si="433"/>
        <v>0</v>
      </c>
      <c r="Q1148" s="484">
        <f t="shared" si="422"/>
        <v>375920.11999999988</v>
      </c>
      <c r="R1148" s="760"/>
      <c r="S1148" s="349" t="str">
        <f t="shared" si="426"/>
        <v/>
      </c>
      <c r="T1148" s="349">
        <f t="shared" si="426"/>
        <v>0.83392264078255784</v>
      </c>
      <c r="U1148" s="349" t="str">
        <f t="shared" si="426"/>
        <v/>
      </c>
      <c r="V1148" s="349">
        <f t="shared" si="426"/>
        <v>0.83392264078255784</v>
      </c>
      <c r="W1148" s="780"/>
    </row>
    <row r="1149" spans="1:26" s="354" customFormat="1" ht="12.75" customHeight="1">
      <c r="A1149" s="778"/>
      <c r="B1149" s="778" t="s">
        <v>248</v>
      </c>
      <c r="C1149" s="486"/>
      <c r="D1149" s="784"/>
      <c r="E1149" s="390" t="s">
        <v>767</v>
      </c>
      <c r="F1149" s="487">
        <f>+F1146+F1145</f>
        <v>0</v>
      </c>
      <c r="G1149" s="487">
        <f t="shared" ref="G1149:Q1149" si="437">+G1146+G1145</f>
        <v>2263524.19</v>
      </c>
      <c r="H1149" s="487">
        <f t="shared" si="437"/>
        <v>0</v>
      </c>
      <c r="I1149" s="487">
        <f t="shared" si="437"/>
        <v>2263524.19</v>
      </c>
      <c r="J1149" s="487">
        <f t="shared" si="437"/>
        <v>0</v>
      </c>
      <c r="K1149" s="487">
        <f t="shared" si="437"/>
        <v>1887604.07</v>
      </c>
      <c r="L1149" s="487">
        <f t="shared" si="437"/>
        <v>0</v>
      </c>
      <c r="M1149" s="487">
        <f t="shared" si="437"/>
        <v>1887604.07</v>
      </c>
      <c r="N1149" s="487">
        <f t="shared" si="437"/>
        <v>0</v>
      </c>
      <c r="O1149" s="487">
        <f t="shared" si="437"/>
        <v>375920.11999999988</v>
      </c>
      <c r="P1149" s="487">
        <f t="shared" si="437"/>
        <v>0</v>
      </c>
      <c r="Q1149" s="487">
        <f t="shared" si="437"/>
        <v>375920.11999999988</v>
      </c>
      <c r="R1149" s="761"/>
      <c r="S1149" s="349" t="str">
        <f t="shared" si="426"/>
        <v/>
      </c>
      <c r="T1149" s="349">
        <f t="shared" si="426"/>
        <v>0.83392264078255784</v>
      </c>
      <c r="U1149" s="349" t="str">
        <f t="shared" si="426"/>
        <v/>
      </c>
      <c r="V1149" s="349">
        <f t="shared" si="426"/>
        <v>0.83392264078255784</v>
      </c>
      <c r="W1149" s="785"/>
      <c r="Y1149" s="352" t="s">
        <v>598</v>
      </c>
      <c r="Z1149" s="240" t="s">
        <v>598</v>
      </c>
    </row>
    <row r="1150" spans="1:26" s="352" customFormat="1" ht="12.75" hidden="1" customHeight="1">
      <c r="A1150" s="778"/>
      <c r="B1150" s="778"/>
      <c r="C1150" s="485"/>
      <c r="D1150" s="783"/>
      <c r="E1150" s="488"/>
      <c r="F1150" s="484"/>
      <c r="G1150" s="484"/>
      <c r="H1150" s="484"/>
      <c r="I1150" s="484"/>
      <c r="J1150" s="484"/>
      <c r="K1150" s="484"/>
      <c r="L1150" s="484"/>
      <c r="M1150" s="484"/>
      <c r="N1150" s="484"/>
      <c r="O1150" s="484"/>
      <c r="P1150" s="484"/>
      <c r="Q1150" s="484"/>
      <c r="R1150" s="760"/>
      <c r="S1150" s="349" t="str">
        <f t="shared" si="426"/>
        <v/>
      </c>
      <c r="T1150" s="349" t="str">
        <f t="shared" si="426"/>
        <v/>
      </c>
      <c r="U1150" s="349" t="str">
        <f t="shared" si="426"/>
        <v/>
      </c>
      <c r="V1150" s="349" t="str">
        <f t="shared" si="426"/>
        <v/>
      </c>
      <c r="W1150" s="780"/>
    </row>
    <row r="1151" spans="1:26" s="354" customFormat="1" ht="12.75" customHeight="1">
      <c r="A1151" s="778" t="s">
        <v>69</v>
      </c>
      <c r="B1151" s="778" t="s">
        <v>248</v>
      </c>
      <c r="C1151" s="486"/>
      <c r="D1151" s="784" t="s">
        <v>98</v>
      </c>
      <c r="E1151" s="489" t="s">
        <v>100</v>
      </c>
      <c r="F1151" s="487">
        <f>SUM(F1152:F1152)</f>
        <v>0</v>
      </c>
      <c r="G1151" s="487">
        <f>SUM(G1152:G1152)</f>
        <v>200000</v>
      </c>
      <c r="H1151" s="487">
        <f>SUM(H1152:H1152)</f>
        <v>0</v>
      </c>
      <c r="I1151" s="487">
        <f>+F1151+G1151+H1151</f>
        <v>200000</v>
      </c>
      <c r="J1151" s="487">
        <f>SUM(J1152:J1152)</f>
        <v>0</v>
      </c>
      <c r="K1151" s="487">
        <f>SUM(K1152:K1152)</f>
        <v>0</v>
      </c>
      <c r="L1151" s="487">
        <f>SUM(L1152:L1152)</f>
        <v>0</v>
      </c>
      <c r="M1151" s="487">
        <f>+J1151+K1151+L1151</f>
        <v>0</v>
      </c>
      <c r="N1151" s="487">
        <f t="shared" ref="N1151:P1152" si="438">+F1151-J1151</f>
        <v>0</v>
      </c>
      <c r="O1151" s="487">
        <f t="shared" si="438"/>
        <v>200000</v>
      </c>
      <c r="P1151" s="487">
        <f t="shared" si="438"/>
        <v>0</v>
      </c>
      <c r="Q1151" s="487">
        <f>+N1151+O1151+P1151</f>
        <v>200000</v>
      </c>
      <c r="R1151" s="761"/>
      <c r="S1151" s="349" t="str">
        <f t="shared" si="426"/>
        <v/>
      </c>
      <c r="T1151" s="349">
        <f t="shared" si="426"/>
        <v>0</v>
      </c>
      <c r="U1151" s="349" t="str">
        <f t="shared" si="426"/>
        <v/>
      </c>
      <c r="V1151" s="349">
        <f t="shared" si="426"/>
        <v>0</v>
      </c>
      <c r="W1151" s="785"/>
      <c r="Y1151" s="352" t="s">
        <v>598</v>
      </c>
      <c r="Z1151" s="240" t="s">
        <v>598</v>
      </c>
    </row>
    <row r="1152" spans="1:26" s="352" customFormat="1" ht="12.75" customHeight="1">
      <c r="A1152" s="778" t="s">
        <v>69</v>
      </c>
      <c r="B1152" s="778" t="s">
        <v>248</v>
      </c>
      <c r="C1152" s="485"/>
      <c r="D1152" s="783"/>
      <c r="E1152" s="462" t="s">
        <v>290</v>
      </c>
      <c r="F1152" s="484">
        <v>0</v>
      </c>
      <c r="G1152" s="484">
        <f>SUM('[3]special hospitals2'!AL222)</f>
        <v>200000</v>
      </c>
      <c r="H1152" s="484">
        <f>SUM('[3]special hospitals2'!AL314)</f>
        <v>0</v>
      </c>
      <c r="I1152" s="484">
        <f>+F1152+G1152+H1152</f>
        <v>200000</v>
      </c>
      <c r="J1152" s="484">
        <v>0</v>
      </c>
      <c r="K1152" s="484">
        <f>SUM('[3]special hospitals2'!AL223)</f>
        <v>0</v>
      </c>
      <c r="L1152" s="484">
        <f>SUM('[3]special hospitals2'!AL315)</f>
        <v>0</v>
      </c>
      <c r="M1152" s="484">
        <f>+J1152+K1152+L1152</f>
        <v>0</v>
      </c>
      <c r="N1152" s="484">
        <f t="shared" si="438"/>
        <v>0</v>
      </c>
      <c r="O1152" s="484">
        <f t="shared" si="438"/>
        <v>200000</v>
      </c>
      <c r="P1152" s="484">
        <f t="shared" si="438"/>
        <v>0</v>
      </c>
      <c r="Q1152" s="484">
        <f>+N1152+O1152+P1152</f>
        <v>200000</v>
      </c>
      <c r="R1152" s="760"/>
      <c r="S1152" s="349" t="str">
        <f t="shared" si="426"/>
        <v/>
      </c>
      <c r="T1152" s="349">
        <f t="shared" si="426"/>
        <v>0</v>
      </c>
      <c r="U1152" s="349" t="str">
        <f t="shared" si="426"/>
        <v/>
      </c>
      <c r="V1152" s="349">
        <f t="shared" si="426"/>
        <v>0</v>
      </c>
      <c r="W1152" s="780"/>
      <c r="Y1152" s="352" t="s">
        <v>598</v>
      </c>
    </row>
    <row r="1153" spans="1:26" s="1183" customFormat="1" ht="12.75" customHeight="1">
      <c r="A1153" s="348" t="s">
        <v>69</v>
      </c>
      <c r="B1153" s="348" t="s">
        <v>248</v>
      </c>
      <c r="C1153" s="1101"/>
      <c r="D1153" s="490"/>
      <c r="E1153" s="1102" t="s">
        <v>4</v>
      </c>
      <c r="F1153" s="1103">
        <f>+F1151+F1149</f>
        <v>0</v>
      </c>
      <c r="G1153" s="1103">
        <f t="shared" ref="G1153:Q1153" si="439">+G1151+G1149</f>
        <v>2463524.19</v>
      </c>
      <c r="H1153" s="1103">
        <f t="shared" si="439"/>
        <v>0</v>
      </c>
      <c r="I1153" s="1103">
        <f t="shared" si="439"/>
        <v>2463524.19</v>
      </c>
      <c r="J1153" s="1103">
        <f t="shared" si="439"/>
        <v>0</v>
      </c>
      <c r="K1153" s="1103">
        <f t="shared" si="439"/>
        <v>1887604.07</v>
      </c>
      <c r="L1153" s="1103">
        <f t="shared" si="439"/>
        <v>0</v>
      </c>
      <c r="M1153" s="1103">
        <f t="shared" si="439"/>
        <v>1887604.07</v>
      </c>
      <c r="N1153" s="1103">
        <f t="shared" si="439"/>
        <v>0</v>
      </c>
      <c r="O1153" s="1103">
        <f t="shared" si="439"/>
        <v>575920.11999999988</v>
      </c>
      <c r="P1153" s="1103">
        <f t="shared" si="439"/>
        <v>0</v>
      </c>
      <c r="Q1153" s="1103">
        <f t="shared" si="439"/>
        <v>575920.11999999988</v>
      </c>
      <c r="R1153" s="1095">
        <f>+Q1153-'[3]special hospitals2'!BR351</f>
        <v>0</v>
      </c>
      <c r="S1153" s="1104" t="str">
        <f t="shared" si="426"/>
        <v/>
      </c>
      <c r="T1153" s="1104">
        <f t="shared" si="426"/>
        <v>0.76622104124741719</v>
      </c>
      <c r="U1153" s="1104" t="str">
        <f t="shared" si="426"/>
        <v/>
      </c>
      <c r="V1153" s="1104">
        <f t="shared" si="426"/>
        <v>0.76622104124741719</v>
      </c>
      <c r="W1153" s="355"/>
      <c r="X1153" s="925"/>
      <c r="Y1153" s="842" t="s">
        <v>598</v>
      </c>
      <c r="Z1153" s="241" t="s">
        <v>598</v>
      </c>
    </row>
    <row r="1154" spans="1:26" s="352" customFormat="1" ht="12.75" customHeight="1">
      <c r="A1154" s="348" t="s">
        <v>69</v>
      </c>
      <c r="B1154" s="348" t="s">
        <v>248</v>
      </c>
      <c r="C1154" s="485"/>
      <c r="D1154" s="485"/>
      <c r="E1154" s="491"/>
      <c r="F1154" s="484"/>
      <c r="G1154" s="484"/>
      <c r="H1154" s="484"/>
      <c r="I1154" s="484"/>
      <c r="J1154" s="484"/>
      <c r="K1154" s="484"/>
      <c r="L1154" s="484"/>
      <c r="M1154" s="484"/>
      <c r="N1154" s="484"/>
      <c r="O1154" s="484"/>
      <c r="P1154" s="484"/>
      <c r="Q1154" s="484"/>
      <c r="R1154" s="760"/>
      <c r="S1154" s="349" t="str">
        <f t="shared" si="426"/>
        <v/>
      </c>
      <c r="T1154" s="349" t="str">
        <f t="shared" si="426"/>
        <v/>
      </c>
      <c r="U1154" s="349" t="str">
        <f t="shared" si="426"/>
        <v/>
      </c>
      <c r="V1154" s="349" t="str">
        <f t="shared" si="426"/>
        <v/>
      </c>
      <c r="W1154" s="349"/>
      <c r="X1154" s="841"/>
      <c r="Y1154" s="842" t="s">
        <v>598</v>
      </c>
      <c r="Z1154" s="241" t="s">
        <v>598</v>
      </c>
    </row>
    <row r="1155" spans="1:26" s="351" customFormat="1" ht="12.75" customHeight="1">
      <c r="A1155" s="778" t="s">
        <v>69</v>
      </c>
      <c r="B1155" s="778" t="s">
        <v>250</v>
      </c>
      <c r="C1155" s="478" t="s">
        <v>98</v>
      </c>
      <c r="D1155" s="779" t="s">
        <v>251</v>
      </c>
      <c r="E1155" s="407" t="s">
        <v>855</v>
      </c>
      <c r="F1155" s="480"/>
      <c r="G1155" s="480"/>
      <c r="H1155" s="480"/>
      <c r="I1155" s="481">
        <f t="shared" si="420"/>
        <v>0</v>
      </c>
      <c r="J1155" s="480"/>
      <c r="K1155" s="480"/>
      <c r="L1155" s="480"/>
      <c r="M1155" s="481">
        <f t="shared" si="421"/>
        <v>0</v>
      </c>
      <c r="N1155" s="481">
        <f t="shared" si="433"/>
        <v>0</v>
      </c>
      <c r="O1155" s="481">
        <f t="shared" si="433"/>
        <v>0</v>
      </c>
      <c r="P1155" s="481">
        <f t="shared" si="433"/>
        <v>0</v>
      </c>
      <c r="Q1155" s="481">
        <f t="shared" si="422"/>
        <v>0</v>
      </c>
      <c r="R1155" s="761"/>
      <c r="S1155" s="349" t="str">
        <f t="shared" si="426"/>
        <v/>
      </c>
      <c r="T1155" s="349" t="str">
        <f t="shared" si="426"/>
        <v/>
      </c>
      <c r="U1155" s="349" t="str">
        <f t="shared" si="426"/>
        <v/>
      </c>
      <c r="V1155" s="349" t="str">
        <f t="shared" si="426"/>
        <v/>
      </c>
      <c r="W1155" s="781"/>
      <c r="Y1155" s="352" t="s">
        <v>598</v>
      </c>
      <c r="Z1155" s="240" t="s">
        <v>598</v>
      </c>
    </row>
    <row r="1156" spans="1:26" s="352" customFormat="1" ht="12.75" customHeight="1">
      <c r="A1156" s="778" t="s">
        <v>69</v>
      </c>
      <c r="B1156" s="778" t="s">
        <v>250</v>
      </c>
      <c r="C1156" s="447" t="s">
        <v>766</v>
      </c>
      <c r="D1156" s="782"/>
      <c r="E1156" s="447" t="s">
        <v>766</v>
      </c>
      <c r="F1156" s="483">
        <f>+'[3]special hospitals1'!B444</f>
        <v>0</v>
      </c>
      <c r="G1156" s="483">
        <f>+'[3]special hospitals1'!C444</f>
        <v>0</v>
      </c>
      <c r="H1156" s="483">
        <f>+'[3]special hospitals1'!D444</f>
        <v>0</v>
      </c>
      <c r="I1156" s="484">
        <f t="shared" si="420"/>
        <v>0</v>
      </c>
      <c r="J1156" s="483">
        <f>+'[3]special hospitals1'!F444</f>
        <v>0</v>
      </c>
      <c r="K1156" s="483">
        <f>+'[3]special hospitals1'!G444</f>
        <v>0</v>
      </c>
      <c r="L1156" s="483">
        <f>+'[3]special hospitals1'!H444</f>
        <v>0</v>
      </c>
      <c r="M1156" s="484">
        <f t="shared" si="421"/>
        <v>0</v>
      </c>
      <c r="N1156" s="484">
        <f t="shared" si="433"/>
        <v>0</v>
      </c>
      <c r="O1156" s="484">
        <f t="shared" si="433"/>
        <v>0</v>
      </c>
      <c r="P1156" s="484">
        <f t="shared" si="433"/>
        <v>0</v>
      </c>
      <c r="Q1156" s="484">
        <f t="shared" si="422"/>
        <v>0</v>
      </c>
      <c r="R1156" s="760"/>
      <c r="S1156" s="349" t="str">
        <f t="shared" si="426"/>
        <v/>
      </c>
      <c r="T1156" s="349" t="str">
        <f t="shared" si="426"/>
        <v/>
      </c>
      <c r="U1156" s="349" t="str">
        <f t="shared" si="426"/>
        <v/>
      </c>
      <c r="V1156" s="349" t="str">
        <f t="shared" si="426"/>
        <v/>
      </c>
      <c r="W1156" s="780"/>
      <c r="Y1156" s="352" t="s">
        <v>688</v>
      </c>
    </row>
    <row r="1157" spans="1:26" s="352" customFormat="1" ht="12.75" customHeight="1">
      <c r="A1157" s="778" t="s">
        <v>69</v>
      </c>
      <c r="B1157" s="778" t="s">
        <v>250</v>
      </c>
      <c r="C1157" s="485"/>
      <c r="D1157" s="782"/>
      <c r="E1157" s="453" t="s">
        <v>50</v>
      </c>
      <c r="F1157" s="484">
        <f>+F1158+F1159</f>
        <v>0</v>
      </c>
      <c r="G1157" s="484">
        <f>+G1158+G1159</f>
        <v>8504508.1300000008</v>
      </c>
      <c r="H1157" s="484">
        <f>+H1158+H1159</f>
        <v>0</v>
      </c>
      <c r="I1157" s="484">
        <f t="shared" si="420"/>
        <v>8504508.1300000008</v>
      </c>
      <c r="J1157" s="484">
        <f>+J1158+J1159</f>
        <v>0</v>
      </c>
      <c r="K1157" s="484">
        <f>+K1158+K1159</f>
        <v>8410425.9000000004</v>
      </c>
      <c r="L1157" s="484">
        <f>+L1158+L1159</f>
        <v>0</v>
      </c>
      <c r="M1157" s="484">
        <f t="shared" si="421"/>
        <v>8410425.9000000004</v>
      </c>
      <c r="N1157" s="484">
        <f t="shared" si="433"/>
        <v>0</v>
      </c>
      <c r="O1157" s="484">
        <f t="shared" si="433"/>
        <v>94082.230000000447</v>
      </c>
      <c r="P1157" s="484">
        <f t="shared" si="433"/>
        <v>0</v>
      </c>
      <c r="Q1157" s="484">
        <f t="shared" si="422"/>
        <v>94082.230000000447</v>
      </c>
      <c r="R1157" s="760"/>
      <c r="S1157" s="349" t="str">
        <f t="shared" si="426"/>
        <v/>
      </c>
      <c r="T1157" s="349">
        <f t="shared" si="426"/>
        <v>0.98893736962069312</v>
      </c>
      <c r="U1157" s="349" t="str">
        <f t="shared" si="426"/>
        <v/>
      </c>
      <c r="V1157" s="349">
        <f t="shared" si="426"/>
        <v>0.98893736962069312</v>
      </c>
      <c r="W1157" s="780"/>
      <c r="Y1157" s="352" t="s">
        <v>688</v>
      </c>
    </row>
    <row r="1158" spans="1:26" s="352" customFormat="1" ht="12.75" hidden="1" customHeight="1">
      <c r="A1158" s="778" t="s">
        <v>69</v>
      </c>
      <c r="B1158" s="778" t="s">
        <v>250</v>
      </c>
      <c r="C1158" s="458" t="s">
        <v>715</v>
      </c>
      <c r="D1158" s="550" t="s">
        <v>715</v>
      </c>
      <c r="E1158" s="459" t="s">
        <v>715</v>
      </c>
      <c r="F1158" s="483">
        <f>'[3]CONAP - W INC'!F874</f>
        <v>0</v>
      </c>
      <c r="G1158" s="483">
        <f>'[3]CONAP - W INC'!G874</f>
        <v>0</v>
      </c>
      <c r="H1158" s="483">
        <f>'[3]CONAP - W INC'!H874</f>
        <v>0</v>
      </c>
      <c r="I1158" s="484">
        <f t="shared" si="420"/>
        <v>0</v>
      </c>
      <c r="J1158" s="483">
        <f>'[3]CONAP - W INC'!J874</f>
        <v>0</v>
      </c>
      <c r="K1158" s="483">
        <f>'[3]CONAP - W INC'!K874</f>
        <v>0</v>
      </c>
      <c r="L1158" s="483">
        <f>'[3]CONAP - W INC'!L874</f>
        <v>0</v>
      </c>
      <c r="M1158" s="484">
        <f t="shared" si="421"/>
        <v>0</v>
      </c>
      <c r="N1158" s="484">
        <f t="shared" si="433"/>
        <v>0</v>
      </c>
      <c r="O1158" s="484">
        <f t="shared" si="433"/>
        <v>0</v>
      </c>
      <c r="P1158" s="484">
        <f t="shared" si="433"/>
        <v>0</v>
      </c>
      <c r="Q1158" s="484">
        <f t="shared" si="422"/>
        <v>0</v>
      </c>
      <c r="R1158" s="760"/>
      <c r="S1158" s="349" t="str">
        <f t="shared" si="426"/>
        <v/>
      </c>
      <c r="T1158" s="349" t="str">
        <f t="shared" si="426"/>
        <v/>
      </c>
      <c r="U1158" s="349" t="str">
        <f t="shared" si="426"/>
        <v/>
      </c>
      <c r="V1158" s="349" t="str">
        <f t="shared" si="426"/>
        <v/>
      </c>
      <c r="W1158" s="780"/>
    </row>
    <row r="1159" spans="1:26" s="352" customFormat="1" ht="12.75" hidden="1" customHeight="1">
      <c r="A1159" s="778" t="s">
        <v>69</v>
      </c>
      <c r="B1159" s="778" t="s">
        <v>250</v>
      </c>
      <c r="C1159" s="458" t="s">
        <v>716</v>
      </c>
      <c r="D1159" s="550" t="s">
        <v>716</v>
      </c>
      <c r="E1159" s="459" t="s">
        <v>716</v>
      </c>
      <c r="F1159" s="483">
        <f>'[3]CONAP - W INC'!F875</f>
        <v>0</v>
      </c>
      <c r="G1159" s="483">
        <f>'[3]CONAP - W INC'!G875</f>
        <v>8504508.1300000008</v>
      </c>
      <c r="H1159" s="483">
        <f>'[3]CONAP - W INC'!H875</f>
        <v>0</v>
      </c>
      <c r="I1159" s="484">
        <f t="shared" si="420"/>
        <v>8504508.1300000008</v>
      </c>
      <c r="J1159" s="483">
        <f>'[3]CONAP - W INC'!J875</f>
        <v>0</v>
      </c>
      <c r="K1159" s="483">
        <f>'[3]CONAP - W INC'!K875</f>
        <v>8410425.9000000004</v>
      </c>
      <c r="L1159" s="483">
        <f>'[3]CONAP - W INC'!L875</f>
        <v>0</v>
      </c>
      <c r="M1159" s="484">
        <f t="shared" si="421"/>
        <v>8410425.9000000004</v>
      </c>
      <c r="N1159" s="484">
        <f t="shared" si="433"/>
        <v>0</v>
      </c>
      <c r="O1159" s="484">
        <f t="shared" si="433"/>
        <v>94082.230000000447</v>
      </c>
      <c r="P1159" s="484">
        <f t="shared" si="433"/>
        <v>0</v>
      </c>
      <c r="Q1159" s="484">
        <f t="shared" si="422"/>
        <v>94082.230000000447</v>
      </c>
      <c r="R1159" s="760"/>
      <c r="S1159" s="349" t="str">
        <f t="shared" si="426"/>
        <v/>
      </c>
      <c r="T1159" s="349">
        <f t="shared" si="426"/>
        <v>0.98893736962069312</v>
      </c>
      <c r="U1159" s="349" t="str">
        <f t="shared" si="426"/>
        <v/>
      </c>
      <c r="V1159" s="349">
        <f t="shared" si="426"/>
        <v>0.98893736962069312</v>
      </c>
      <c r="W1159" s="780"/>
    </row>
    <row r="1160" spans="1:26" s="354" customFormat="1" ht="12.75" customHeight="1">
      <c r="A1160" s="778"/>
      <c r="B1160" s="778" t="s">
        <v>250</v>
      </c>
      <c r="C1160" s="486"/>
      <c r="D1160" s="784"/>
      <c r="E1160" s="390" t="s">
        <v>767</v>
      </c>
      <c r="F1160" s="487">
        <f>+F1157+F1156</f>
        <v>0</v>
      </c>
      <c r="G1160" s="487">
        <f t="shared" ref="G1160:Q1160" si="440">+G1157+G1156</f>
        <v>8504508.1300000008</v>
      </c>
      <c r="H1160" s="487">
        <f t="shared" si="440"/>
        <v>0</v>
      </c>
      <c r="I1160" s="487">
        <f t="shared" si="440"/>
        <v>8504508.1300000008</v>
      </c>
      <c r="J1160" s="487">
        <f t="shared" si="440"/>
        <v>0</v>
      </c>
      <c r="K1160" s="487">
        <f t="shared" si="440"/>
        <v>8410425.9000000004</v>
      </c>
      <c r="L1160" s="487">
        <f t="shared" si="440"/>
        <v>0</v>
      </c>
      <c r="M1160" s="487">
        <f t="shared" si="440"/>
        <v>8410425.9000000004</v>
      </c>
      <c r="N1160" s="487">
        <f t="shared" si="440"/>
        <v>0</v>
      </c>
      <c r="O1160" s="487">
        <f t="shared" si="440"/>
        <v>94082.230000000447</v>
      </c>
      <c r="P1160" s="487">
        <f t="shared" si="440"/>
        <v>0</v>
      </c>
      <c r="Q1160" s="487">
        <f t="shared" si="440"/>
        <v>94082.230000000447</v>
      </c>
      <c r="R1160" s="761"/>
      <c r="S1160" s="349" t="str">
        <f t="shared" si="426"/>
        <v/>
      </c>
      <c r="T1160" s="349">
        <f t="shared" si="426"/>
        <v>0.98893736962069312</v>
      </c>
      <c r="U1160" s="349" t="str">
        <f t="shared" si="426"/>
        <v/>
      </c>
      <c r="V1160" s="349">
        <f t="shared" si="426"/>
        <v>0.98893736962069312</v>
      </c>
      <c r="W1160" s="785"/>
      <c r="Y1160" s="352" t="s">
        <v>598</v>
      </c>
      <c r="Z1160" s="240" t="s">
        <v>598</v>
      </c>
    </row>
    <row r="1161" spans="1:26" s="352" customFormat="1" ht="12.75" hidden="1" customHeight="1">
      <c r="A1161" s="778"/>
      <c r="B1161" s="778"/>
      <c r="C1161" s="485"/>
      <c r="D1161" s="783"/>
      <c r="E1161" s="488"/>
      <c r="F1161" s="484"/>
      <c r="G1161" s="484"/>
      <c r="H1161" s="484"/>
      <c r="I1161" s="484"/>
      <c r="J1161" s="484"/>
      <c r="K1161" s="484"/>
      <c r="L1161" s="484"/>
      <c r="M1161" s="484"/>
      <c r="N1161" s="484"/>
      <c r="O1161" s="484"/>
      <c r="P1161" s="484"/>
      <c r="Q1161" s="484"/>
      <c r="R1161" s="760"/>
      <c r="S1161" s="349" t="str">
        <f t="shared" si="426"/>
        <v/>
      </c>
      <c r="T1161" s="349" t="str">
        <f t="shared" si="426"/>
        <v/>
      </c>
      <c r="U1161" s="349" t="str">
        <f t="shared" si="426"/>
        <v/>
      </c>
      <c r="V1161" s="349" t="str">
        <f t="shared" si="426"/>
        <v/>
      </c>
      <c r="W1161" s="780"/>
    </row>
    <row r="1162" spans="1:26" s="354" customFormat="1" ht="12.75" customHeight="1">
      <c r="A1162" s="778" t="s">
        <v>69</v>
      </c>
      <c r="B1162" s="778" t="s">
        <v>250</v>
      </c>
      <c r="C1162" s="486"/>
      <c r="D1162" s="784" t="s">
        <v>98</v>
      </c>
      <c r="E1162" s="489" t="s">
        <v>100</v>
      </c>
      <c r="F1162" s="487">
        <f>SUM(F1163:F1163)</f>
        <v>0</v>
      </c>
      <c r="G1162" s="487">
        <f>SUM(G1163:G1163)</f>
        <v>19514947.16</v>
      </c>
      <c r="H1162" s="487">
        <f>SUM(H1163:H1163)</f>
        <v>0</v>
      </c>
      <c r="I1162" s="487">
        <f>+F1162+G1162+H1162</f>
        <v>19514947.16</v>
      </c>
      <c r="J1162" s="487">
        <f>SUM(J1163:J1163)</f>
        <v>0</v>
      </c>
      <c r="K1162" s="487">
        <f>SUM(K1163:K1163)</f>
        <v>19514947.16</v>
      </c>
      <c r="L1162" s="487">
        <f>SUM(L1163:L1163)</f>
        <v>0</v>
      </c>
      <c r="M1162" s="487">
        <f>+J1162+K1162+L1162</f>
        <v>19514947.16</v>
      </c>
      <c r="N1162" s="487">
        <f t="shared" ref="N1162:P1163" si="441">+F1162-J1162</f>
        <v>0</v>
      </c>
      <c r="O1162" s="487">
        <f t="shared" si="441"/>
        <v>0</v>
      </c>
      <c r="P1162" s="487">
        <f t="shared" si="441"/>
        <v>0</v>
      </c>
      <c r="Q1162" s="487">
        <f>+N1162+O1162+P1162</f>
        <v>0</v>
      </c>
      <c r="R1162" s="761"/>
      <c r="S1162" s="349" t="str">
        <f t="shared" si="426"/>
        <v/>
      </c>
      <c r="T1162" s="349">
        <f t="shared" si="426"/>
        <v>1</v>
      </c>
      <c r="U1162" s="349" t="str">
        <f t="shared" si="426"/>
        <v/>
      </c>
      <c r="V1162" s="349">
        <f t="shared" si="426"/>
        <v>1</v>
      </c>
      <c r="W1162" s="785"/>
      <c r="Y1162" s="352" t="s">
        <v>598</v>
      </c>
      <c r="Z1162" s="240" t="s">
        <v>598</v>
      </c>
    </row>
    <row r="1163" spans="1:26" s="352" customFormat="1" ht="12.75" customHeight="1">
      <c r="A1163" s="778" t="s">
        <v>69</v>
      </c>
      <c r="B1163" s="778" t="s">
        <v>250</v>
      </c>
      <c r="C1163" s="485"/>
      <c r="D1163" s="783"/>
      <c r="E1163" s="462" t="s">
        <v>290</v>
      </c>
      <c r="F1163" s="484">
        <v>0</v>
      </c>
      <c r="G1163" s="484">
        <f>SUM('[3]special hospitals1'!AL222)</f>
        <v>19514947.16</v>
      </c>
      <c r="H1163" s="484">
        <f>SUM('[3]special hospitals1'!AL314)</f>
        <v>0</v>
      </c>
      <c r="I1163" s="484">
        <f>+F1163+G1163+H1163</f>
        <v>19514947.16</v>
      </c>
      <c r="J1163" s="484">
        <v>0</v>
      </c>
      <c r="K1163" s="484">
        <f>SUM('[3]special hospitals1'!AL223)</f>
        <v>19514947.16</v>
      </c>
      <c r="L1163" s="484">
        <f>SUM('[3]special hospitals1'!AL315)</f>
        <v>0</v>
      </c>
      <c r="M1163" s="484">
        <f>+J1163+K1163+L1163</f>
        <v>19514947.16</v>
      </c>
      <c r="N1163" s="484">
        <f t="shared" si="441"/>
        <v>0</v>
      </c>
      <c r="O1163" s="484">
        <f t="shared" si="441"/>
        <v>0</v>
      </c>
      <c r="P1163" s="484">
        <f t="shared" si="441"/>
        <v>0</v>
      </c>
      <c r="Q1163" s="484">
        <f>+N1163+O1163+P1163</f>
        <v>0</v>
      </c>
      <c r="R1163" s="760"/>
      <c r="S1163" s="349" t="str">
        <f t="shared" si="426"/>
        <v/>
      </c>
      <c r="T1163" s="349">
        <f t="shared" si="426"/>
        <v>1</v>
      </c>
      <c r="U1163" s="349" t="str">
        <f t="shared" si="426"/>
        <v/>
      </c>
      <c r="V1163" s="349">
        <f t="shared" si="426"/>
        <v>1</v>
      </c>
      <c r="W1163" s="780"/>
      <c r="Y1163" s="352" t="s">
        <v>598</v>
      </c>
    </row>
    <row r="1164" spans="1:26" s="1183" customFormat="1" ht="12.75" customHeight="1">
      <c r="A1164" s="348" t="s">
        <v>69</v>
      </c>
      <c r="B1164" s="348" t="s">
        <v>250</v>
      </c>
      <c r="C1164" s="1101"/>
      <c r="D1164" s="490"/>
      <c r="E1164" s="1102" t="s">
        <v>4</v>
      </c>
      <c r="F1164" s="1103">
        <f>+F1162+F1160</f>
        <v>0</v>
      </c>
      <c r="G1164" s="1103">
        <f t="shared" ref="G1164:Q1164" si="442">+G1162+G1160</f>
        <v>28019455.289999999</v>
      </c>
      <c r="H1164" s="1103">
        <f t="shared" si="442"/>
        <v>0</v>
      </c>
      <c r="I1164" s="1103">
        <f t="shared" si="442"/>
        <v>28019455.289999999</v>
      </c>
      <c r="J1164" s="1103">
        <f t="shared" si="442"/>
        <v>0</v>
      </c>
      <c r="K1164" s="1103">
        <f t="shared" si="442"/>
        <v>27925373.060000002</v>
      </c>
      <c r="L1164" s="1103">
        <f t="shared" si="442"/>
        <v>0</v>
      </c>
      <c r="M1164" s="1103">
        <f t="shared" si="442"/>
        <v>27925373.060000002</v>
      </c>
      <c r="N1164" s="1103">
        <f t="shared" si="442"/>
        <v>0</v>
      </c>
      <c r="O1164" s="1103">
        <f t="shared" si="442"/>
        <v>94082.230000000447</v>
      </c>
      <c r="P1164" s="1103">
        <f t="shared" si="442"/>
        <v>0</v>
      </c>
      <c r="Q1164" s="1103">
        <f t="shared" si="442"/>
        <v>94082.230000000447</v>
      </c>
      <c r="R1164" s="1095">
        <f>+Q1164-'[3]special hospitals1'!CN351</f>
        <v>0</v>
      </c>
      <c r="S1164" s="1104" t="str">
        <f t="shared" si="426"/>
        <v/>
      </c>
      <c r="T1164" s="1104">
        <f t="shared" si="426"/>
        <v>0.99664225342619084</v>
      </c>
      <c r="U1164" s="1104" t="str">
        <f t="shared" si="426"/>
        <v/>
      </c>
      <c r="V1164" s="1104">
        <f t="shared" si="426"/>
        <v>0.99664225342619084</v>
      </c>
      <c r="W1164" s="355"/>
      <c r="X1164" s="925"/>
      <c r="Y1164" s="842" t="s">
        <v>598</v>
      </c>
      <c r="Z1164" s="241" t="s">
        <v>598</v>
      </c>
    </row>
    <row r="1165" spans="1:26" s="352" customFormat="1" ht="12.75" customHeight="1">
      <c r="A1165" s="348" t="s">
        <v>69</v>
      </c>
      <c r="B1165" s="348" t="s">
        <v>250</v>
      </c>
      <c r="C1165" s="485"/>
      <c r="D1165" s="485"/>
      <c r="E1165" s="491"/>
      <c r="F1165" s="484"/>
      <c r="G1165" s="484"/>
      <c r="H1165" s="484"/>
      <c r="I1165" s="484"/>
      <c r="J1165" s="484"/>
      <c r="K1165" s="484"/>
      <c r="L1165" s="484"/>
      <c r="M1165" s="484"/>
      <c r="N1165" s="484"/>
      <c r="O1165" s="484"/>
      <c r="P1165" s="484"/>
      <c r="Q1165" s="484"/>
      <c r="R1165" s="760"/>
      <c r="S1165" s="349" t="str">
        <f t="shared" si="426"/>
        <v/>
      </c>
      <c r="T1165" s="349" t="str">
        <f t="shared" si="426"/>
        <v/>
      </c>
      <c r="U1165" s="349" t="str">
        <f t="shared" si="426"/>
        <v/>
      </c>
      <c r="V1165" s="349" t="str">
        <f t="shared" si="426"/>
        <v/>
      </c>
      <c r="W1165" s="349"/>
      <c r="X1165" s="841"/>
      <c r="Y1165" s="842" t="s">
        <v>598</v>
      </c>
      <c r="Z1165" s="241" t="s">
        <v>598</v>
      </c>
    </row>
    <row r="1166" spans="1:26" s="351" customFormat="1" ht="12.75" customHeight="1">
      <c r="A1166" s="348" t="s">
        <v>69</v>
      </c>
      <c r="B1166" s="348" t="s">
        <v>252</v>
      </c>
      <c r="C1166" s="478" t="s">
        <v>98</v>
      </c>
      <c r="D1166" s="479" t="s">
        <v>253</v>
      </c>
      <c r="E1166" s="407" t="s">
        <v>856</v>
      </c>
      <c r="F1166" s="480"/>
      <c r="G1166" s="480"/>
      <c r="H1166" s="480"/>
      <c r="I1166" s="481">
        <f t="shared" ref="I1166:I1192" si="443">+F1166+G1166+H1166</f>
        <v>0</v>
      </c>
      <c r="J1166" s="480"/>
      <c r="K1166" s="480"/>
      <c r="L1166" s="480"/>
      <c r="M1166" s="481">
        <f t="shared" ref="M1166:M1192" si="444">+J1166+K1166+L1166</f>
        <v>0</v>
      </c>
      <c r="N1166" s="481">
        <f t="shared" si="433"/>
        <v>0</v>
      </c>
      <c r="O1166" s="481">
        <f t="shared" si="433"/>
        <v>0</v>
      </c>
      <c r="P1166" s="481">
        <f t="shared" si="433"/>
        <v>0</v>
      </c>
      <c r="Q1166" s="481">
        <f t="shared" ref="Q1166:Q1192" si="445">+N1166+O1166+P1166</f>
        <v>0</v>
      </c>
      <c r="R1166" s="761"/>
      <c r="S1166" s="349" t="str">
        <f t="shared" si="426"/>
        <v/>
      </c>
      <c r="T1166" s="349" t="str">
        <f t="shared" si="426"/>
        <v/>
      </c>
      <c r="U1166" s="349" t="str">
        <f t="shared" si="426"/>
        <v/>
      </c>
      <c r="V1166" s="349" t="str">
        <f t="shared" si="426"/>
        <v/>
      </c>
      <c r="W1166" s="350"/>
      <c r="X1166" s="1406"/>
      <c r="Y1166" s="842" t="s">
        <v>598</v>
      </c>
      <c r="Z1166" s="241" t="s">
        <v>598</v>
      </c>
    </row>
    <row r="1167" spans="1:26" s="352" customFormat="1" ht="12.75" customHeight="1">
      <c r="A1167" s="348" t="s">
        <v>69</v>
      </c>
      <c r="B1167" s="348" t="s">
        <v>252</v>
      </c>
      <c r="C1167" s="447" t="s">
        <v>766</v>
      </c>
      <c r="D1167" s="482"/>
      <c r="E1167" s="447" t="s">
        <v>766</v>
      </c>
      <c r="F1167" s="483">
        <f>+'[3]special hospitals2'!B465</f>
        <v>0</v>
      </c>
      <c r="G1167" s="483">
        <f>+'[3]special hospitals2'!C465</f>
        <v>5453574.2800000003</v>
      </c>
      <c r="H1167" s="483">
        <f>+'[3]special hospitals2'!D465</f>
        <v>0</v>
      </c>
      <c r="I1167" s="484">
        <f t="shared" si="443"/>
        <v>5453574.2800000003</v>
      </c>
      <c r="J1167" s="483">
        <f>+'[3]special hospitals2'!F465</f>
        <v>0</v>
      </c>
      <c r="K1167" s="483">
        <f>+'[3]special hospitals2'!G465</f>
        <v>5453574.2800000003</v>
      </c>
      <c r="L1167" s="483">
        <f>+'[3]special hospitals2'!H465</f>
        <v>0</v>
      </c>
      <c r="M1167" s="484">
        <f t="shared" si="444"/>
        <v>5453574.2800000003</v>
      </c>
      <c r="N1167" s="484">
        <f t="shared" si="433"/>
        <v>0</v>
      </c>
      <c r="O1167" s="484">
        <f t="shared" si="433"/>
        <v>0</v>
      </c>
      <c r="P1167" s="484">
        <f t="shared" si="433"/>
        <v>0</v>
      </c>
      <c r="Q1167" s="484">
        <f t="shared" si="445"/>
        <v>0</v>
      </c>
      <c r="R1167" s="760"/>
      <c r="S1167" s="349" t="str">
        <f t="shared" si="426"/>
        <v/>
      </c>
      <c r="T1167" s="349">
        <f t="shared" si="426"/>
        <v>1</v>
      </c>
      <c r="U1167" s="349" t="str">
        <f t="shared" si="426"/>
        <v/>
      </c>
      <c r="V1167" s="349">
        <f t="shared" si="426"/>
        <v>1</v>
      </c>
      <c r="W1167" s="349"/>
      <c r="X1167" s="841"/>
      <c r="Y1167" s="842" t="s">
        <v>688</v>
      </c>
      <c r="Z1167" s="843"/>
    </row>
    <row r="1168" spans="1:26" s="352" customFormat="1" ht="12.75" customHeight="1">
      <c r="A1168" s="348" t="s">
        <v>69</v>
      </c>
      <c r="B1168" s="348" t="s">
        <v>252</v>
      </c>
      <c r="C1168" s="485"/>
      <c r="D1168" s="482"/>
      <c r="E1168" s="453" t="s">
        <v>50</v>
      </c>
      <c r="F1168" s="484">
        <f>+F1169+F1170</f>
        <v>0</v>
      </c>
      <c r="G1168" s="484">
        <f>+G1169+G1170</f>
        <v>12232210.050000001</v>
      </c>
      <c r="H1168" s="484">
        <f>+H1169+H1170</f>
        <v>12306675</v>
      </c>
      <c r="I1168" s="484">
        <f t="shared" si="443"/>
        <v>24538885.050000001</v>
      </c>
      <c r="J1168" s="484">
        <f>+J1169+J1170</f>
        <v>0</v>
      </c>
      <c r="K1168" s="484">
        <f>+K1169+K1170</f>
        <v>10109208.970000001</v>
      </c>
      <c r="L1168" s="484">
        <f>+L1169+L1170</f>
        <v>12306675</v>
      </c>
      <c r="M1168" s="484">
        <f t="shared" si="444"/>
        <v>22415883.969999999</v>
      </c>
      <c r="N1168" s="484">
        <f t="shared" si="433"/>
        <v>0</v>
      </c>
      <c r="O1168" s="484">
        <f t="shared" si="433"/>
        <v>2123001.08</v>
      </c>
      <c r="P1168" s="484">
        <f t="shared" si="433"/>
        <v>0</v>
      </c>
      <c r="Q1168" s="484">
        <f t="shared" si="445"/>
        <v>2123001.08</v>
      </c>
      <c r="R1168" s="760"/>
      <c r="S1168" s="349" t="str">
        <f t="shared" si="426"/>
        <v/>
      </c>
      <c r="T1168" s="349">
        <f t="shared" si="426"/>
        <v>0.82644174100002477</v>
      </c>
      <c r="U1168" s="349">
        <f t="shared" si="426"/>
        <v>1</v>
      </c>
      <c r="V1168" s="349">
        <f t="shared" si="426"/>
        <v>0.91348420779207318</v>
      </c>
      <c r="W1168" s="349"/>
      <c r="X1168" s="841"/>
      <c r="Y1168" s="842" t="s">
        <v>688</v>
      </c>
      <c r="Z1168" s="843"/>
    </row>
    <row r="1169" spans="1:26" s="352" customFormat="1" ht="12.75" hidden="1" customHeight="1">
      <c r="A1169" s="348" t="s">
        <v>69</v>
      </c>
      <c r="B1169" s="348" t="s">
        <v>252</v>
      </c>
      <c r="C1169" s="458" t="s">
        <v>715</v>
      </c>
      <c r="D1169" s="458" t="s">
        <v>715</v>
      </c>
      <c r="E1169" s="459" t="s">
        <v>715</v>
      </c>
      <c r="F1169" s="483">
        <f>'[3]CONAP - W INC'!F882</f>
        <v>0</v>
      </c>
      <c r="G1169" s="483">
        <f>'[3]CONAP - W INC'!G882</f>
        <v>-1086619.47</v>
      </c>
      <c r="H1169" s="483">
        <f>'[3]CONAP - W INC'!H882</f>
        <v>12306675</v>
      </c>
      <c r="I1169" s="484">
        <f t="shared" si="443"/>
        <v>11220055.529999999</v>
      </c>
      <c r="J1169" s="483">
        <f>'[3]CONAP - W INC'!J882</f>
        <v>0</v>
      </c>
      <c r="K1169" s="483">
        <f>'[3]CONAP - W INC'!K882</f>
        <v>157500</v>
      </c>
      <c r="L1169" s="483">
        <f>'[3]CONAP - W INC'!L882</f>
        <v>12306675</v>
      </c>
      <c r="M1169" s="484">
        <f t="shared" si="444"/>
        <v>12464175</v>
      </c>
      <c r="N1169" s="484">
        <f t="shared" si="433"/>
        <v>0</v>
      </c>
      <c r="O1169" s="484">
        <f t="shared" si="433"/>
        <v>-1244119.47</v>
      </c>
      <c r="P1169" s="484">
        <f t="shared" si="433"/>
        <v>0</v>
      </c>
      <c r="Q1169" s="484">
        <f t="shared" si="445"/>
        <v>-1244119.47</v>
      </c>
      <c r="R1169" s="760"/>
      <c r="S1169" s="349" t="str">
        <f t="shared" si="426"/>
        <v/>
      </c>
      <c r="T1169" s="349">
        <f t="shared" si="426"/>
        <v>-0.14494494563032265</v>
      </c>
      <c r="U1169" s="349">
        <f t="shared" si="426"/>
        <v>1</v>
      </c>
      <c r="V1169" s="349">
        <f t="shared" si="426"/>
        <v>1.1108835394507179</v>
      </c>
      <c r="W1169" s="349"/>
      <c r="X1169" s="841"/>
      <c r="Y1169" s="842"/>
      <c r="Z1169" s="843"/>
    </row>
    <row r="1170" spans="1:26" s="352" customFormat="1" ht="12.75" hidden="1" customHeight="1">
      <c r="A1170" s="348" t="s">
        <v>69</v>
      </c>
      <c r="B1170" s="348" t="s">
        <v>252</v>
      </c>
      <c r="C1170" s="458" t="s">
        <v>716</v>
      </c>
      <c r="D1170" s="458" t="s">
        <v>716</v>
      </c>
      <c r="E1170" s="459" t="s">
        <v>716</v>
      </c>
      <c r="F1170" s="483">
        <f>'[3]CONAP - W INC'!F883</f>
        <v>0</v>
      </c>
      <c r="G1170" s="483">
        <f>'[3]CONAP - W INC'!G883</f>
        <v>13318829.520000001</v>
      </c>
      <c r="H1170" s="483">
        <f>'[3]CONAP - W INC'!H883</f>
        <v>0</v>
      </c>
      <c r="I1170" s="484">
        <f t="shared" si="443"/>
        <v>13318829.520000001</v>
      </c>
      <c r="J1170" s="483">
        <f>'[3]CONAP - W INC'!J883</f>
        <v>0</v>
      </c>
      <c r="K1170" s="483">
        <f>'[3]CONAP - W INC'!K883</f>
        <v>9951708.9700000007</v>
      </c>
      <c r="L1170" s="483">
        <f>'[3]CONAP - W INC'!L883</f>
        <v>0</v>
      </c>
      <c r="M1170" s="484">
        <f t="shared" si="444"/>
        <v>9951708.9700000007</v>
      </c>
      <c r="N1170" s="484">
        <f t="shared" si="433"/>
        <v>0</v>
      </c>
      <c r="O1170" s="484">
        <f t="shared" si="433"/>
        <v>3367120.5500000007</v>
      </c>
      <c r="P1170" s="484">
        <f t="shared" si="433"/>
        <v>0</v>
      </c>
      <c r="Q1170" s="484">
        <f t="shared" si="445"/>
        <v>3367120.5500000007</v>
      </c>
      <c r="R1170" s="760"/>
      <c r="S1170" s="349" t="str">
        <f t="shared" si="426"/>
        <v/>
      </c>
      <c r="T1170" s="349">
        <f t="shared" si="426"/>
        <v>0.74719095661192902</v>
      </c>
      <c r="U1170" s="349" t="str">
        <f t="shared" si="426"/>
        <v/>
      </c>
      <c r="V1170" s="349">
        <f t="shared" si="426"/>
        <v>0.74719095661192902</v>
      </c>
      <c r="W1170" s="349"/>
      <c r="X1170" s="841"/>
      <c r="Y1170" s="842"/>
      <c r="Z1170" s="843"/>
    </row>
    <row r="1171" spans="1:26" s="354" customFormat="1" ht="12.75" customHeight="1">
      <c r="A1171" s="348"/>
      <c r="B1171" s="348" t="s">
        <v>252</v>
      </c>
      <c r="C1171" s="486"/>
      <c r="D1171" s="486"/>
      <c r="E1171" s="390" t="s">
        <v>767</v>
      </c>
      <c r="F1171" s="487">
        <f>+F1168+F1167</f>
        <v>0</v>
      </c>
      <c r="G1171" s="487">
        <f t="shared" ref="G1171:Q1171" si="446">+G1168+G1167</f>
        <v>17685784.330000002</v>
      </c>
      <c r="H1171" s="487">
        <f t="shared" si="446"/>
        <v>12306675</v>
      </c>
      <c r="I1171" s="487">
        <f t="shared" si="446"/>
        <v>29992459.330000002</v>
      </c>
      <c r="J1171" s="487">
        <f t="shared" si="446"/>
        <v>0</v>
      </c>
      <c r="K1171" s="487">
        <f t="shared" si="446"/>
        <v>15562783.25</v>
      </c>
      <c r="L1171" s="487">
        <f t="shared" si="446"/>
        <v>12306675</v>
      </c>
      <c r="M1171" s="487">
        <f t="shared" si="446"/>
        <v>27869458.25</v>
      </c>
      <c r="N1171" s="487">
        <f t="shared" si="446"/>
        <v>0</v>
      </c>
      <c r="O1171" s="487">
        <f t="shared" si="446"/>
        <v>2123001.08</v>
      </c>
      <c r="P1171" s="487">
        <f t="shared" si="446"/>
        <v>0</v>
      </c>
      <c r="Q1171" s="487">
        <f t="shared" si="446"/>
        <v>2123001.08</v>
      </c>
      <c r="R1171" s="761"/>
      <c r="S1171" s="349" t="str">
        <f t="shared" si="426"/>
        <v/>
      </c>
      <c r="T1171" s="349">
        <f t="shared" si="426"/>
        <v>0.87996002663004302</v>
      </c>
      <c r="U1171" s="349">
        <f t="shared" si="426"/>
        <v>1</v>
      </c>
      <c r="V1171" s="349">
        <f t="shared" si="426"/>
        <v>0.92921550524946561</v>
      </c>
      <c r="W1171" s="353"/>
      <c r="X1171" s="1407"/>
      <c r="Y1171" s="842" t="s">
        <v>598</v>
      </c>
      <c r="Z1171" s="241" t="s">
        <v>598</v>
      </c>
    </row>
    <row r="1172" spans="1:26" s="352" customFormat="1" ht="12.75" hidden="1" customHeight="1">
      <c r="A1172" s="348"/>
      <c r="B1172" s="348"/>
      <c r="C1172" s="485"/>
      <c r="D1172" s="485"/>
      <c r="E1172" s="488"/>
      <c r="F1172" s="484"/>
      <c r="G1172" s="484"/>
      <c r="H1172" s="484"/>
      <c r="I1172" s="484"/>
      <c r="J1172" s="484"/>
      <c r="K1172" s="484"/>
      <c r="L1172" s="484"/>
      <c r="M1172" s="484"/>
      <c r="N1172" s="484"/>
      <c r="O1172" s="484"/>
      <c r="P1172" s="484"/>
      <c r="Q1172" s="484"/>
      <c r="R1172" s="760"/>
      <c r="S1172" s="349" t="str">
        <f t="shared" si="426"/>
        <v/>
      </c>
      <c r="T1172" s="349" t="str">
        <f t="shared" si="426"/>
        <v/>
      </c>
      <c r="U1172" s="349" t="str">
        <f t="shared" si="426"/>
        <v/>
      </c>
      <c r="V1172" s="349" t="str">
        <f t="shared" si="426"/>
        <v/>
      </c>
      <c r="W1172" s="349"/>
      <c r="X1172" s="841"/>
      <c r="Y1172" s="842"/>
      <c r="Z1172" s="843"/>
    </row>
    <row r="1173" spans="1:26" s="354" customFormat="1" ht="12.75" customHeight="1">
      <c r="A1173" s="348" t="s">
        <v>69</v>
      </c>
      <c r="B1173" s="348" t="s">
        <v>252</v>
      </c>
      <c r="C1173" s="486"/>
      <c r="D1173" s="486" t="s">
        <v>98</v>
      </c>
      <c r="E1173" s="489" t="s">
        <v>100</v>
      </c>
      <c r="F1173" s="487">
        <f>SUM(F1174:F1174)</f>
        <v>0</v>
      </c>
      <c r="G1173" s="487">
        <f>SUM(G1174:G1174)</f>
        <v>7866781.8799999999</v>
      </c>
      <c r="H1173" s="487">
        <f>SUM(H1174:H1174)</f>
        <v>0</v>
      </c>
      <c r="I1173" s="487">
        <f>+F1173+G1173+H1173</f>
        <v>7866781.8799999999</v>
      </c>
      <c r="J1173" s="487">
        <f>SUM(J1174:J1174)</f>
        <v>0</v>
      </c>
      <c r="K1173" s="487">
        <f>SUM(K1174:K1174)</f>
        <v>7866781.8799999999</v>
      </c>
      <c r="L1173" s="487">
        <f>SUM(L1174:L1174)</f>
        <v>0</v>
      </c>
      <c r="M1173" s="487">
        <f>+J1173+K1173+L1173</f>
        <v>7866781.8799999999</v>
      </c>
      <c r="N1173" s="487">
        <f t="shared" ref="N1173:P1174" si="447">+F1173-J1173</f>
        <v>0</v>
      </c>
      <c r="O1173" s="487">
        <f t="shared" si="447"/>
        <v>0</v>
      </c>
      <c r="P1173" s="487">
        <f t="shared" si="447"/>
        <v>0</v>
      </c>
      <c r="Q1173" s="487">
        <f>+N1173+O1173+P1173</f>
        <v>0</v>
      </c>
      <c r="R1173" s="761"/>
      <c r="S1173" s="349" t="str">
        <f t="shared" si="426"/>
        <v/>
      </c>
      <c r="T1173" s="349">
        <f t="shared" si="426"/>
        <v>1</v>
      </c>
      <c r="U1173" s="349" t="str">
        <f t="shared" si="426"/>
        <v/>
      </c>
      <c r="V1173" s="349">
        <f t="shared" si="426"/>
        <v>1</v>
      </c>
      <c r="W1173" s="353"/>
      <c r="X1173" s="1407"/>
      <c r="Y1173" s="842" t="s">
        <v>598</v>
      </c>
      <c r="Z1173" s="241" t="s">
        <v>598</v>
      </c>
    </row>
    <row r="1174" spans="1:26" s="352" customFormat="1" ht="12.75" customHeight="1">
      <c r="A1174" s="348" t="s">
        <v>69</v>
      </c>
      <c r="B1174" s="348" t="s">
        <v>252</v>
      </c>
      <c r="C1174" s="485"/>
      <c r="D1174" s="485"/>
      <c r="E1174" s="462" t="s">
        <v>290</v>
      </c>
      <c r="F1174" s="484">
        <v>0</v>
      </c>
      <c r="G1174" s="484">
        <f>SUM('[3]special hospitals2'!AO222)</f>
        <v>7866781.8799999999</v>
      </c>
      <c r="H1174" s="484">
        <f>SUM('[3]special hospitals2'!AO314)</f>
        <v>0</v>
      </c>
      <c r="I1174" s="484">
        <f>+F1174+G1174+H1174</f>
        <v>7866781.8799999999</v>
      </c>
      <c r="J1174" s="484">
        <v>0</v>
      </c>
      <c r="K1174" s="484">
        <f>SUM('[3]special hospitals2'!AO223)</f>
        <v>7866781.8799999999</v>
      </c>
      <c r="L1174" s="484">
        <f>SUM('[3]special hospitals2'!AO315)</f>
        <v>0</v>
      </c>
      <c r="M1174" s="484">
        <f>+J1174+K1174+L1174</f>
        <v>7866781.8799999999</v>
      </c>
      <c r="N1174" s="484">
        <f t="shared" si="447"/>
        <v>0</v>
      </c>
      <c r="O1174" s="484">
        <f t="shared" si="447"/>
        <v>0</v>
      </c>
      <c r="P1174" s="484">
        <f t="shared" si="447"/>
        <v>0</v>
      </c>
      <c r="Q1174" s="484">
        <f>+N1174+O1174+P1174</f>
        <v>0</v>
      </c>
      <c r="R1174" s="760"/>
      <c r="S1174" s="349" t="str">
        <f t="shared" si="426"/>
        <v/>
      </c>
      <c r="T1174" s="349">
        <f t="shared" si="426"/>
        <v>1</v>
      </c>
      <c r="U1174" s="349" t="str">
        <f t="shared" si="426"/>
        <v/>
      </c>
      <c r="V1174" s="349">
        <f t="shared" si="426"/>
        <v>1</v>
      </c>
      <c r="W1174" s="349"/>
      <c r="X1174" s="841"/>
      <c r="Y1174" s="842" t="s">
        <v>598</v>
      </c>
      <c r="Z1174" s="843"/>
    </row>
    <row r="1175" spans="1:26" s="1183" customFormat="1" ht="12.75" customHeight="1">
      <c r="A1175" s="348" t="s">
        <v>69</v>
      </c>
      <c r="B1175" s="348" t="s">
        <v>252</v>
      </c>
      <c r="C1175" s="1101"/>
      <c r="D1175" s="490"/>
      <c r="E1175" s="1102" t="s">
        <v>4</v>
      </c>
      <c r="F1175" s="1103">
        <f>+F1173+F1171</f>
        <v>0</v>
      </c>
      <c r="G1175" s="1103">
        <f t="shared" ref="G1175:Q1175" si="448">+G1173+G1171</f>
        <v>25552566.210000001</v>
      </c>
      <c r="H1175" s="1103">
        <f t="shared" si="448"/>
        <v>12306675</v>
      </c>
      <c r="I1175" s="1103">
        <f t="shared" si="448"/>
        <v>37859241.210000001</v>
      </c>
      <c r="J1175" s="1103">
        <f t="shared" si="448"/>
        <v>0</v>
      </c>
      <c r="K1175" s="1103">
        <f t="shared" si="448"/>
        <v>23429565.129999999</v>
      </c>
      <c r="L1175" s="1103">
        <f t="shared" si="448"/>
        <v>12306675</v>
      </c>
      <c r="M1175" s="1103">
        <f t="shared" si="448"/>
        <v>35736240.130000003</v>
      </c>
      <c r="N1175" s="1103">
        <f t="shared" si="448"/>
        <v>0</v>
      </c>
      <c r="O1175" s="1103">
        <f t="shared" si="448"/>
        <v>2123001.08</v>
      </c>
      <c r="P1175" s="1103">
        <f t="shared" si="448"/>
        <v>0</v>
      </c>
      <c r="Q1175" s="1103">
        <f t="shared" si="448"/>
        <v>2123001.08</v>
      </c>
      <c r="R1175" s="1095">
        <f>+Q1175-'[3]special hospitals2'!BU351</f>
        <v>0</v>
      </c>
      <c r="S1175" s="1104" t="str">
        <f t="shared" si="426"/>
        <v/>
      </c>
      <c r="T1175" s="1104">
        <f t="shared" si="426"/>
        <v>0.91691632603346251</v>
      </c>
      <c r="U1175" s="1104">
        <f t="shared" si="426"/>
        <v>1</v>
      </c>
      <c r="V1175" s="1104">
        <f t="shared" ref="V1175:V1238" si="449">IF(I1175=0,"",M1175/I1175)</f>
        <v>0.94392383438896721</v>
      </c>
      <c r="W1175" s="355"/>
      <c r="X1175" s="925"/>
      <c r="Y1175" s="842" t="s">
        <v>598</v>
      </c>
      <c r="Z1175" s="241" t="s">
        <v>598</v>
      </c>
    </row>
    <row r="1176" spans="1:26" s="352" customFormat="1" ht="12.75" customHeight="1">
      <c r="A1176" s="348" t="s">
        <v>69</v>
      </c>
      <c r="B1176" s="348" t="s">
        <v>252</v>
      </c>
      <c r="C1176" s="485"/>
      <c r="D1176" s="485"/>
      <c r="E1176" s="491"/>
      <c r="F1176" s="484"/>
      <c r="G1176" s="484"/>
      <c r="H1176" s="484"/>
      <c r="I1176" s="484"/>
      <c r="J1176" s="484"/>
      <c r="K1176" s="484"/>
      <c r="L1176" s="484"/>
      <c r="M1176" s="484"/>
      <c r="N1176" s="484"/>
      <c r="O1176" s="484"/>
      <c r="P1176" s="484"/>
      <c r="Q1176" s="484"/>
      <c r="R1176" s="760"/>
      <c r="S1176" s="349" t="str">
        <f t="shared" ref="S1176:V1239" si="450">IF(F1176=0,"",J1176/F1176)</f>
        <v/>
      </c>
      <c r="T1176" s="349" t="str">
        <f t="shared" si="450"/>
        <v/>
      </c>
      <c r="U1176" s="349" t="str">
        <f t="shared" si="450"/>
        <v/>
      </c>
      <c r="V1176" s="349" t="str">
        <f t="shared" si="449"/>
        <v/>
      </c>
      <c r="W1176" s="349"/>
      <c r="X1176" s="841"/>
      <c r="Y1176" s="842" t="s">
        <v>598</v>
      </c>
      <c r="Z1176" s="241" t="s">
        <v>598</v>
      </c>
    </row>
    <row r="1177" spans="1:26" s="351" customFormat="1" ht="13.5" customHeight="1">
      <c r="A1177" s="778" t="s">
        <v>69</v>
      </c>
      <c r="B1177" s="778" t="s">
        <v>254</v>
      </c>
      <c r="C1177" s="478" t="s">
        <v>98</v>
      </c>
      <c r="D1177" s="779" t="s">
        <v>255</v>
      </c>
      <c r="E1177" s="407" t="s">
        <v>857</v>
      </c>
      <c r="F1177" s="480"/>
      <c r="G1177" s="480"/>
      <c r="H1177" s="480"/>
      <c r="I1177" s="481">
        <f t="shared" si="443"/>
        <v>0</v>
      </c>
      <c r="J1177" s="480"/>
      <c r="K1177" s="480"/>
      <c r="L1177" s="480"/>
      <c r="M1177" s="481">
        <f t="shared" si="444"/>
        <v>0</v>
      </c>
      <c r="N1177" s="481">
        <f t="shared" si="433"/>
        <v>0</v>
      </c>
      <c r="O1177" s="481">
        <f t="shared" si="433"/>
        <v>0</v>
      </c>
      <c r="P1177" s="481">
        <f t="shared" si="433"/>
        <v>0</v>
      </c>
      <c r="Q1177" s="481">
        <f t="shared" si="445"/>
        <v>0</v>
      </c>
      <c r="R1177" s="761"/>
      <c r="S1177" s="349" t="str">
        <f t="shared" si="450"/>
        <v/>
      </c>
      <c r="T1177" s="349" t="str">
        <f t="shared" si="450"/>
        <v/>
      </c>
      <c r="U1177" s="349" t="str">
        <f t="shared" si="450"/>
        <v/>
      </c>
      <c r="V1177" s="349" t="str">
        <f t="shared" si="449"/>
        <v/>
      </c>
      <c r="W1177" s="781"/>
      <c r="Y1177" s="352" t="s">
        <v>598</v>
      </c>
      <c r="Z1177" s="240" t="s">
        <v>598</v>
      </c>
    </row>
    <row r="1178" spans="1:26" s="352" customFormat="1" ht="12.75" customHeight="1">
      <c r="A1178" s="778" t="s">
        <v>69</v>
      </c>
      <c r="B1178" s="778" t="s">
        <v>254</v>
      </c>
      <c r="C1178" s="447" t="s">
        <v>766</v>
      </c>
      <c r="D1178" s="782"/>
      <c r="E1178" s="447" t="s">
        <v>766</v>
      </c>
      <c r="F1178" s="483">
        <f>+'[3]special hospitals2'!B471</f>
        <v>0</v>
      </c>
      <c r="G1178" s="483">
        <f>+'[3]special hospitals2'!C471</f>
        <v>0</v>
      </c>
      <c r="H1178" s="483">
        <f>+'[3]special hospitals2'!D471</f>
        <v>45305000</v>
      </c>
      <c r="I1178" s="484">
        <f t="shared" si="443"/>
        <v>45305000</v>
      </c>
      <c r="J1178" s="483">
        <f>+'[3]special hospitals2'!F471</f>
        <v>0</v>
      </c>
      <c r="K1178" s="483">
        <f>+'[3]special hospitals2'!G471</f>
        <v>0</v>
      </c>
      <c r="L1178" s="483">
        <f>+'[3]special hospitals2'!H471</f>
        <v>39676113</v>
      </c>
      <c r="M1178" s="484">
        <f t="shared" si="444"/>
        <v>39676113</v>
      </c>
      <c r="N1178" s="484">
        <f t="shared" si="433"/>
        <v>0</v>
      </c>
      <c r="O1178" s="484">
        <f t="shared" si="433"/>
        <v>0</v>
      </c>
      <c r="P1178" s="484">
        <f t="shared" si="433"/>
        <v>5628887</v>
      </c>
      <c r="Q1178" s="484">
        <f t="shared" si="445"/>
        <v>5628887</v>
      </c>
      <c r="R1178" s="760"/>
      <c r="S1178" s="349" t="str">
        <f t="shared" si="450"/>
        <v/>
      </c>
      <c r="T1178" s="349" t="str">
        <f t="shared" si="450"/>
        <v/>
      </c>
      <c r="U1178" s="349">
        <f t="shared" si="450"/>
        <v>0.87575572232645404</v>
      </c>
      <c r="V1178" s="349">
        <f t="shared" si="449"/>
        <v>0.87575572232645404</v>
      </c>
      <c r="W1178" s="780"/>
      <c r="Y1178" s="352" t="s">
        <v>688</v>
      </c>
    </row>
    <row r="1179" spans="1:26" s="352" customFormat="1" ht="12.75" customHeight="1">
      <c r="A1179" s="778" t="s">
        <v>69</v>
      </c>
      <c r="B1179" s="778" t="s">
        <v>254</v>
      </c>
      <c r="C1179" s="485"/>
      <c r="D1179" s="782"/>
      <c r="E1179" s="453" t="s">
        <v>50</v>
      </c>
      <c r="F1179" s="484">
        <f>+F1180+F1181</f>
        <v>0</v>
      </c>
      <c r="G1179" s="484">
        <f>+G1180+G1181</f>
        <v>42884861.620000005</v>
      </c>
      <c r="H1179" s="484">
        <f>+H1180+H1181</f>
        <v>0</v>
      </c>
      <c r="I1179" s="484">
        <f t="shared" si="443"/>
        <v>42884861.620000005</v>
      </c>
      <c r="J1179" s="484">
        <f>+J1180+J1181</f>
        <v>0</v>
      </c>
      <c r="K1179" s="484">
        <f>+K1180+K1181</f>
        <v>35872763.140000008</v>
      </c>
      <c r="L1179" s="484">
        <f>+L1180+L1181</f>
        <v>0</v>
      </c>
      <c r="M1179" s="484">
        <f t="shared" si="444"/>
        <v>35872763.140000008</v>
      </c>
      <c r="N1179" s="484">
        <f t="shared" si="433"/>
        <v>0</v>
      </c>
      <c r="O1179" s="484">
        <f t="shared" si="433"/>
        <v>7012098.4799999967</v>
      </c>
      <c r="P1179" s="484">
        <f t="shared" si="433"/>
        <v>0</v>
      </c>
      <c r="Q1179" s="484">
        <f t="shared" si="445"/>
        <v>7012098.4799999967</v>
      </c>
      <c r="R1179" s="760"/>
      <c r="S1179" s="349" t="str">
        <f t="shared" si="450"/>
        <v/>
      </c>
      <c r="T1179" s="349">
        <f t="shared" si="450"/>
        <v>0.83649012226893138</v>
      </c>
      <c r="U1179" s="349" t="str">
        <f t="shared" si="450"/>
        <v/>
      </c>
      <c r="V1179" s="349">
        <f t="shared" si="449"/>
        <v>0.83649012226893138</v>
      </c>
      <c r="W1179" s="780"/>
      <c r="Y1179" s="352" t="s">
        <v>688</v>
      </c>
    </row>
    <row r="1180" spans="1:26" s="352" customFormat="1" ht="12.75" hidden="1" customHeight="1">
      <c r="A1180" s="778" t="s">
        <v>69</v>
      </c>
      <c r="B1180" s="778" t="s">
        <v>254</v>
      </c>
      <c r="C1180" s="458" t="s">
        <v>715</v>
      </c>
      <c r="D1180" s="550" t="s">
        <v>715</v>
      </c>
      <c r="E1180" s="459" t="s">
        <v>715</v>
      </c>
      <c r="F1180" s="483">
        <f>'[3]CONAP - W INC'!F890</f>
        <v>0</v>
      </c>
      <c r="G1180" s="483">
        <f>'[3]CONAP - W INC'!G890</f>
        <v>7362026.1299999999</v>
      </c>
      <c r="H1180" s="483">
        <f>'[3]CONAP - W INC'!H890</f>
        <v>0</v>
      </c>
      <c r="I1180" s="484">
        <f t="shared" si="443"/>
        <v>7362026.1299999999</v>
      </c>
      <c r="J1180" s="483">
        <f>'[3]CONAP - W INC'!J890</f>
        <v>0</v>
      </c>
      <c r="K1180" s="483">
        <f>'[3]CONAP - W INC'!K890</f>
        <v>6668455.1899999995</v>
      </c>
      <c r="L1180" s="483">
        <f>'[3]CONAP - W INC'!L890</f>
        <v>0</v>
      </c>
      <c r="M1180" s="484">
        <f t="shared" si="444"/>
        <v>6668455.1899999995</v>
      </c>
      <c r="N1180" s="484">
        <f t="shared" si="433"/>
        <v>0</v>
      </c>
      <c r="O1180" s="484">
        <f t="shared" si="433"/>
        <v>693570.94000000041</v>
      </c>
      <c r="P1180" s="484">
        <f t="shared" si="433"/>
        <v>0</v>
      </c>
      <c r="Q1180" s="484">
        <f t="shared" si="445"/>
        <v>693570.94000000041</v>
      </c>
      <c r="R1180" s="760"/>
      <c r="S1180" s="349" t="str">
        <f t="shared" si="450"/>
        <v/>
      </c>
      <c r="T1180" s="349">
        <f t="shared" si="450"/>
        <v>0.90579075274213938</v>
      </c>
      <c r="U1180" s="349" t="str">
        <f t="shared" si="450"/>
        <v/>
      </c>
      <c r="V1180" s="349">
        <f t="shared" si="449"/>
        <v>0.90579075274213938</v>
      </c>
      <c r="W1180" s="780"/>
    </row>
    <row r="1181" spans="1:26" s="352" customFormat="1" ht="12.75" hidden="1" customHeight="1">
      <c r="A1181" s="778" t="s">
        <v>69</v>
      </c>
      <c r="B1181" s="778" t="s">
        <v>254</v>
      </c>
      <c r="C1181" s="458" t="s">
        <v>716</v>
      </c>
      <c r="D1181" s="550" t="s">
        <v>716</v>
      </c>
      <c r="E1181" s="459" t="s">
        <v>716</v>
      </c>
      <c r="F1181" s="483">
        <f>'[3]CONAP - W INC'!F891</f>
        <v>0</v>
      </c>
      <c r="G1181" s="483">
        <f>'[3]CONAP - W INC'!G891</f>
        <v>35522835.490000002</v>
      </c>
      <c r="H1181" s="483">
        <f>'[3]CONAP - W INC'!H891</f>
        <v>0</v>
      </c>
      <c r="I1181" s="484">
        <f t="shared" si="443"/>
        <v>35522835.490000002</v>
      </c>
      <c r="J1181" s="483">
        <f>'[3]CONAP - W INC'!J891</f>
        <v>0</v>
      </c>
      <c r="K1181" s="483">
        <f>'[3]CONAP - W INC'!K891</f>
        <v>29204307.950000007</v>
      </c>
      <c r="L1181" s="483">
        <f>'[3]CONAP - W INC'!L891</f>
        <v>0</v>
      </c>
      <c r="M1181" s="484">
        <f t="shared" si="444"/>
        <v>29204307.950000007</v>
      </c>
      <c r="N1181" s="484">
        <f t="shared" si="433"/>
        <v>0</v>
      </c>
      <c r="O1181" s="484">
        <f t="shared" si="433"/>
        <v>6318527.5399999954</v>
      </c>
      <c r="P1181" s="484">
        <f t="shared" si="433"/>
        <v>0</v>
      </c>
      <c r="Q1181" s="484">
        <f t="shared" si="445"/>
        <v>6318527.5399999954</v>
      </c>
      <c r="R1181" s="760"/>
      <c r="S1181" s="349" t="str">
        <f t="shared" si="450"/>
        <v/>
      </c>
      <c r="T1181" s="349">
        <f t="shared" si="450"/>
        <v>0.82212772564907666</v>
      </c>
      <c r="U1181" s="349" t="str">
        <f t="shared" si="450"/>
        <v/>
      </c>
      <c r="V1181" s="349">
        <f t="shared" si="449"/>
        <v>0.82212772564907666</v>
      </c>
      <c r="W1181" s="780"/>
    </row>
    <row r="1182" spans="1:26" s="354" customFormat="1" ht="12.75" customHeight="1">
      <c r="A1182" s="778"/>
      <c r="B1182" s="778" t="s">
        <v>254</v>
      </c>
      <c r="C1182" s="486"/>
      <c r="D1182" s="784"/>
      <c r="E1182" s="390" t="s">
        <v>767</v>
      </c>
      <c r="F1182" s="487">
        <f>+F1179+F1178</f>
        <v>0</v>
      </c>
      <c r="G1182" s="487">
        <f t="shared" ref="G1182:Q1182" si="451">+G1179+G1178</f>
        <v>42884861.620000005</v>
      </c>
      <c r="H1182" s="487">
        <f t="shared" si="451"/>
        <v>45305000</v>
      </c>
      <c r="I1182" s="487">
        <f t="shared" si="451"/>
        <v>88189861.620000005</v>
      </c>
      <c r="J1182" s="487">
        <f t="shared" si="451"/>
        <v>0</v>
      </c>
      <c r="K1182" s="487">
        <f t="shared" si="451"/>
        <v>35872763.140000008</v>
      </c>
      <c r="L1182" s="487">
        <f t="shared" si="451"/>
        <v>39676113</v>
      </c>
      <c r="M1182" s="487">
        <f t="shared" si="451"/>
        <v>75548876.140000015</v>
      </c>
      <c r="N1182" s="487">
        <f t="shared" si="451"/>
        <v>0</v>
      </c>
      <c r="O1182" s="487">
        <f t="shared" si="451"/>
        <v>7012098.4799999967</v>
      </c>
      <c r="P1182" s="487">
        <f t="shared" si="451"/>
        <v>5628887</v>
      </c>
      <c r="Q1182" s="487">
        <f t="shared" si="451"/>
        <v>12640985.479999997</v>
      </c>
      <c r="R1182" s="761"/>
      <c r="S1182" s="349" t="str">
        <f t="shared" si="450"/>
        <v/>
      </c>
      <c r="T1182" s="349">
        <f t="shared" si="450"/>
        <v>0.83649012226893138</v>
      </c>
      <c r="U1182" s="349">
        <f t="shared" si="450"/>
        <v>0.87575572232645404</v>
      </c>
      <c r="V1182" s="349">
        <f t="shared" si="449"/>
        <v>0.85666169276386273</v>
      </c>
      <c r="W1182" s="785"/>
      <c r="Y1182" s="352" t="s">
        <v>598</v>
      </c>
      <c r="Z1182" s="240" t="s">
        <v>598</v>
      </c>
    </row>
    <row r="1183" spans="1:26" s="352" customFormat="1" ht="12.75" hidden="1" customHeight="1">
      <c r="A1183" s="778"/>
      <c r="B1183" s="778"/>
      <c r="C1183" s="485"/>
      <c r="D1183" s="783"/>
      <c r="E1183" s="488"/>
      <c r="F1183" s="484"/>
      <c r="G1183" s="484"/>
      <c r="H1183" s="484"/>
      <c r="I1183" s="484"/>
      <c r="J1183" s="484"/>
      <c r="K1183" s="484"/>
      <c r="L1183" s="484"/>
      <c r="M1183" s="484"/>
      <c r="N1183" s="484"/>
      <c r="O1183" s="484"/>
      <c r="P1183" s="484"/>
      <c r="Q1183" s="484"/>
      <c r="R1183" s="760"/>
      <c r="S1183" s="349" t="str">
        <f t="shared" si="450"/>
        <v/>
      </c>
      <c r="T1183" s="349" t="str">
        <f t="shared" si="450"/>
        <v/>
      </c>
      <c r="U1183" s="349" t="str">
        <f t="shared" si="450"/>
        <v/>
      </c>
      <c r="V1183" s="349" t="str">
        <f t="shared" si="449"/>
        <v/>
      </c>
      <c r="W1183" s="780"/>
    </row>
    <row r="1184" spans="1:26" s="354" customFormat="1" ht="12.75" customHeight="1">
      <c r="A1184" s="778" t="s">
        <v>69</v>
      </c>
      <c r="B1184" s="778" t="s">
        <v>254</v>
      </c>
      <c r="C1184" s="486"/>
      <c r="D1184" s="784" t="s">
        <v>98</v>
      </c>
      <c r="E1184" s="489" t="s">
        <v>100</v>
      </c>
      <c r="F1184" s="487">
        <f>SUM(F1185:F1185)</f>
        <v>0</v>
      </c>
      <c r="G1184" s="487">
        <f>SUM(G1185:G1185)</f>
        <v>606917.17000000004</v>
      </c>
      <c r="H1184" s="487">
        <f>SUM(H1185:H1185)</f>
        <v>0</v>
      </c>
      <c r="I1184" s="487">
        <f>+F1184+G1184+H1184</f>
        <v>606917.17000000004</v>
      </c>
      <c r="J1184" s="487">
        <f>SUM(J1185:J1185)</f>
        <v>0</v>
      </c>
      <c r="K1184" s="487">
        <f>SUM(K1185:K1185)</f>
        <v>604004.5</v>
      </c>
      <c r="L1184" s="487">
        <f>SUM(L1185:L1185)</f>
        <v>0</v>
      </c>
      <c r="M1184" s="487">
        <f>+J1184+K1184+L1184</f>
        <v>604004.5</v>
      </c>
      <c r="N1184" s="487">
        <f t="shared" ref="N1184:P1185" si="452">+F1184-J1184</f>
        <v>0</v>
      </c>
      <c r="O1184" s="487">
        <f t="shared" si="452"/>
        <v>2912.6700000000419</v>
      </c>
      <c r="P1184" s="487">
        <f t="shared" si="452"/>
        <v>0</v>
      </c>
      <c r="Q1184" s="487">
        <f>+N1184+O1184+P1184</f>
        <v>2912.6700000000419</v>
      </c>
      <c r="R1184" s="761"/>
      <c r="S1184" s="349" t="str">
        <f t="shared" si="450"/>
        <v/>
      </c>
      <c r="T1184" s="349">
        <f t="shared" si="450"/>
        <v>0.99520087724656059</v>
      </c>
      <c r="U1184" s="349" t="str">
        <f t="shared" si="450"/>
        <v/>
      </c>
      <c r="V1184" s="349">
        <f t="shared" si="449"/>
        <v>0.99520087724656059</v>
      </c>
      <c r="W1184" s="785"/>
      <c r="Y1184" s="352" t="s">
        <v>598</v>
      </c>
      <c r="Z1184" s="240" t="s">
        <v>598</v>
      </c>
    </row>
    <row r="1185" spans="1:26" s="352" customFormat="1" ht="12.75" customHeight="1">
      <c r="A1185" s="778" t="s">
        <v>69</v>
      </c>
      <c r="B1185" s="778" t="s">
        <v>254</v>
      </c>
      <c r="C1185" s="485"/>
      <c r="D1185" s="783"/>
      <c r="E1185" s="462" t="s">
        <v>290</v>
      </c>
      <c r="F1185" s="484">
        <v>0</v>
      </c>
      <c r="G1185" s="484">
        <f>SUM('[3]special hospitals2'!AP222)</f>
        <v>606917.17000000004</v>
      </c>
      <c r="H1185" s="484">
        <f>SUM('[3]special hospitals2'!AP314)</f>
        <v>0</v>
      </c>
      <c r="I1185" s="484">
        <f>+F1185+G1185+H1185</f>
        <v>606917.17000000004</v>
      </c>
      <c r="J1185" s="484">
        <v>0</v>
      </c>
      <c r="K1185" s="484">
        <f>SUM('[3]special hospitals2'!AP223)</f>
        <v>604004.5</v>
      </c>
      <c r="L1185" s="484">
        <f>SUM('[3]special hospitals2'!AP315)</f>
        <v>0</v>
      </c>
      <c r="M1185" s="484">
        <f>+J1185+K1185+L1185</f>
        <v>604004.5</v>
      </c>
      <c r="N1185" s="484">
        <f t="shared" si="452"/>
        <v>0</v>
      </c>
      <c r="O1185" s="484">
        <f t="shared" si="452"/>
        <v>2912.6700000000419</v>
      </c>
      <c r="P1185" s="484">
        <f t="shared" si="452"/>
        <v>0</v>
      </c>
      <c r="Q1185" s="484">
        <f>+N1185+O1185+P1185</f>
        <v>2912.6700000000419</v>
      </c>
      <c r="R1185" s="760"/>
      <c r="S1185" s="349" t="str">
        <f t="shared" si="450"/>
        <v/>
      </c>
      <c r="T1185" s="349">
        <f t="shared" si="450"/>
        <v>0.99520087724656059</v>
      </c>
      <c r="U1185" s="349" t="str">
        <f t="shared" si="450"/>
        <v/>
      </c>
      <c r="V1185" s="349">
        <f t="shared" si="449"/>
        <v>0.99520087724656059</v>
      </c>
      <c r="W1185" s="780"/>
      <c r="Y1185" s="352" t="s">
        <v>598</v>
      </c>
    </row>
    <row r="1186" spans="1:26" s="1183" customFormat="1" ht="12.75" customHeight="1">
      <c r="A1186" s="348" t="s">
        <v>69</v>
      </c>
      <c r="B1186" s="348" t="s">
        <v>254</v>
      </c>
      <c r="C1186" s="1101"/>
      <c r="D1186" s="490"/>
      <c r="E1186" s="1102" t="s">
        <v>4</v>
      </c>
      <c r="F1186" s="1103">
        <f>+F1184+F1182</f>
        <v>0</v>
      </c>
      <c r="G1186" s="1103">
        <f t="shared" ref="G1186:Q1186" si="453">+G1184+G1182</f>
        <v>43491778.790000007</v>
      </c>
      <c r="H1186" s="1103">
        <f t="shared" si="453"/>
        <v>45305000</v>
      </c>
      <c r="I1186" s="1103">
        <f t="shared" si="453"/>
        <v>88796778.790000007</v>
      </c>
      <c r="J1186" s="1103">
        <f t="shared" si="453"/>
        <v>0</v>
      </c>
      <c r="K1186" s="1103">
        <f t="shared" si="453"/>
        <v>36476767.640000008</v>
      </c>
      <c r="L1186" s="1103">
        <f t="shared" si="453"/>
        <v>39676113</v>
      </c>
      <c r="M1186" s="1103">
        <f t="shared" si="453"/>
        <v>76152880.640000015</v>
      </c>
      <c r="N1186" s="1103">
        <f t="shared" si="453"/>
        <v>0</v>
      </c>
      <c r="O1186" s="1103">
        <f t="shared" si="453"/>
        <v>7015011.1499999966</v>
      </c>
      <c r="P1186" s="1103">
        <f t="shared" si="453"/>
        <v>5628887</v>
      </c>
      <c r="Q1186" s="1103">
        <f t="shared" si="453"/>
        <v>12643898.149999997</v>
      </c>
      <c r="R1186" s="1095">
        <f>+Q1186-'[3]special hospitals2'!BV351</f>
        <v>0</v>
      </c>
      <c r="S1186" s="1104" t="str">
        <f t="shared" si="450"/>
        <v/>
      </c>
      <c r="T1186" s="1104">
        <f t="shared" si="450"/>
        <v>0.8387048921619884</v>
      </c>
      <c r="U1186" s="1104">
        <f t="shared" si="450"/>
        <v>0.87575572232645404</v>
      </c>
      <c r="V1186" s="1104">
        <f t="shared" si="449"/>
        <v>0.85760859433986691</v>
      </c>
      <c r="W1186" s="355"/>
      <c r="X1186" s="925"/>
      <c r="Y1186" s="842" t="s">
        <v>598</v>
      </c>
      <c r="Z1186" s="241" t="s">
        <v>598</v>
      </c>
    </row>
    <row r="1187" spans="1:26" s="352" customFormat="1" ht="12.75" customHeight="1">
      <c r="A1187" s="348" t="s">
        <v>69</v>
      </c>
      <c r="B1187" s="348" t="s">
        <v>254</v>
      </c>
      <c r="C1187" s="485"/>
      <c r="D1187" s="485"/>
      <c r="E1187" s="491"/>
      <c r="F1187" s="484"/>
      <c r="G1187" s="484"/>
      <c r="H1187" s="484"/>
      <c r="I1187" s="484"/>
      <c r="J1187" s="484"/>
      <c r="K1187" s="484"/>
      <c r="L1187" s="484"/>
      <c r="M1187" s="484"/>
      <c r="N1187" s="484"/>
      <c r="O1187" s="484"/>
      <c r="P1187" s="484"/>
      <c r="Q1187" s="484"/>
      <c r="R1187" s="760"/>
      <c r="S1187" s="349" t="str">
        <f t="shared" si="450"/>
        <v/>
      </c>
      <c r="T1187" s="349" t="str">
        <f t="shared" si="450"/>
        <v/>
      </c>
      <c r="U1187" s="349" t="str">
        <f t="shared" si="450"/>
        <v/>
      </c>
      <c r="V1187" s="349" t="str">
        <f t="shared" si="449"/>
        <v/>
      </c>
      <c r="W1187" s="349"/>
      <c r="X1187" s="841"/>
      <c r="Y1187" s="842" t="s">
        <v>598</v>
      </c>
      <c r="Z1187" s="241" t="s">
        <v>598</v>
      </c>
    </row>
    <row r="1188" spans="1:26" s="351" customFormat="1" ht="15" customHeight="1">
      <c r="A1188" s="778" t="s">
        <v>69</v>
      </c>
      <c r="B1188" s="778" t="s">
        <v>256</v>
      </c>
      <c r="C1188" s="478" t="s">
        <v>98</v>
      </c>
      <c r="D1188" s="779" t="s">
        <v>257</v>
      </c>
      <c r="E1188" s="407" t="s">
        <v>858</v>
      </c>
      <c r="F1188" s="480"/>
      <c r="G1188" s="480"/>
      <c r="H1188" s="480"/>
      <c r="I1188" s="481">
        <f t="shared" si="443"/>
        <v>0</v>
      </c>
      <c r="J1188" s="480"/>
      <c r="K1188" s="480"/>
      <c r="L1188" s="480"/>
      <c r="M1188" s="481">
        <f t="shared" si="444"/>
        <v>0</v>
      </c>
      <c r="N1188" s="481">
        <f t="shared" si="433"/>
        <v>0</v>
      </c>
      <c r="O1188" s="481">
        <f t="shared" si="433"/>
        <v>0</v>
      </c>
      <c r="P1188" s="481">
        <f t="shared" si="433"/>
        <v>0</v>
      </c>
      <c r="Q1188" s="481">
        <f t="shared" si="445"/>
        <v>0</v>
      </c>
      <c r="R1188" s="761"/>
      <c r="S1188" s="349" t="str">
        <f t="shared" si="450"/>
        <v/>
      </c>
      <c r="T1188" s="349" t="str">
        <f t="shared" si="450"/>
        <v/>
      </c>
      <c r="U1188" s="349" t="str">
        <f t="shared" si="450"/>
        <v/>
      </c>
      <c r="V1188" s="349" t="str">
        <f t="shared" si="449"/>
        <v/>
      </c>
      <c r="W1188" s="781"/>
      <c r="Y1188" s="352" t="s">
        <v>598</v>
      </c>
      <c r="Z1188" s="240" t="s">
        <v>598</v>
      </c>
    </row>
    <row r="1189" spans="1:26" s="352" customFormat="1" ht="12.75" customHeight="1">
      <c r="A1189" s="778" t="s">
        <v>69</v>
      </c>
      <c r="B1189" s="778" t="s">
        <v>256</v>
      </c>
      <c r="C1189" s="447" t="s">
        <v>766</v>
      </c>
      <c r="D1189" s="782"/>
      <c r="E1189" s="447" t="s">
        <v>766</v>
      </c>
      <c r="F1189" s="483">
        <f>+'[3]special hospitals2'!B458</f>
        <v>0</v>
      </c>
      <c r="G1189" s="483">
        <f>+'[3]special hospitals2'!C458</f>
        <v>0</v>
      </c>
      <c r="H1189" s="483">
        <f>+'[3]special hospitals2'!D458</f>
        <v>0</v>
      </c>
      <c r="I1189" s="484">
        <f t="shared" si="443"/>
        <v>0</v>
      </c>
      <c r="J1189" s="483">
        <f>+'[3]special hospitals2'!F458</f>
        <v>0</v>
      </c>
      <c r="K1189" s="483">
        <f>+'[3]special hospitals2'!G458</f>
        <v>0</v>
      </c>
      <c r="L1189" s="483">
        <f>+'[3]special hospitals2'!H458</f>
        <v>0</v>
      </c>
      <c r="M1189" s="484">
        <f t="shared" si="444"/>
        <v>0</v>
      </c>
      <c r="N1189" s="484">
        <f t="shared" si="433"/>
        <v>0</v>
      </c>
      <c r="O1189" s="484">
        <f t="shared" si="433"/>
        <v>0</v>
      </c>
      <c r="P1189" s="484">
        <f t="shared" si="433"/>
        <v>0</v>
      </c>
      <c r="Q1189" s="484">
        <f t="shared" si="445"/>
        <v>0</v>
      </c>
      <c r="R1189" s="760"/>
      <c r="S1189" s="349" t="str">
        <f t="shared" si="450"/>
        <v/>
      </c>
      <c r="T1189" s="349" t="str">
        <f t="shared" si="450"/>
        <v/>
      </c>
      <c r="U1189" s="349" t="str">
        <f t="shared" si="450"/>
        <v/>
      </c>
      <c r="V1189" s="349" t="str">
        <f t="shared" si="449"/>
        <v/>
      </c>
      <c r="W1189" s="780"/>
      <c r="Y1189" s="352" t="s">
        <v>688</v>
      </c>
    </row>
    <row r="1190" spans="1:26" s="352" customFormat="1" ht="12.75" customHeight="1">
      <c r="A1190" s="778" t="s">
        <v>69</v>
      </c>
      <c r="B1190" s="778" t="s">
        <v>256</v>
      </c>
      <c r="C1190" s="485"/>
      <c r="D1190" s="782"/>
      <c r="E1190" s="453" t="s">
        <v>50</v>
      </c>
      <c r="F1190" s="484">
        <f>+F1191+F1192</f>
        <v>0</v>
      </c>
      <c r="G1190" s="484">
        <f>+G1191+G1192</f>
        <v>1000000</v>
      </c>
      <c r="H1190" s="484">
        <f>+H1191+H1192</f>
        <v>0</v>
      </c>
      <c r="I1190" s="484">
        <f t="shared" si="443"/>
        <v>1000000</v>
      </c>
      <c r="J1190" s="484">
        <f>+J1191+J1192</f>
        <v>0</v>
      </c>
      <c r="K1190" s="484">
        <f>+K1191+K1192</f>
        <v>0</v>
      </c>
      <c r="L1190" s="484">
        <f>+L1191+L1192</f>
        <v>0</v>
      </c>
      <c r="M1190" s="484">
        <f t="shared" si="444"/>
        <v>0</v>
      </c>
      <c r="N1190" s="484">
        <f t="shared" si="433"/>
        <v>0</v>
      </c>
      <c r="O1190" s="484">
        <f t="shared" si="433"/>
        <v>1000000</v>
      </c>
      <c r="P1190" s="484">
        <f t="shared" si="433"/>
        <v>0</v>
      </c>
      <c r="Q1190" s="484">
        <f t="shared" si="445"/>
        <v>1000000</v>
      </c>
      <c r="R1190" s="760"/>
      <c r="S1190" s="349" t="str">
        <f t="shared" si="450"/>
        <v/>
      </c>
      <c r="T1190" s="349">
        <f t="shared" si="450"/>
        <v>0</v>
      </c>
      <c r="U1190" s="349" t="str">
        <f t="shared" si="450"/>
        <v/>
      </c>
      <c r="V1190" s="349">
        <f t="shared" si="449"/>
        <v>0</v>
      </c>
      <c r="W1190" s="780"/>
      <c r="Y1190" s="352" t="s">
        <v>688</v>
      </c>
    </row>
    <row r="1191" spans="1:26" s="352" customFormat="1" ht="12.75" hidden="1" customHeight="1">
      <c r="A1191" s="778" t="s">
        <v>69</v>
      </c>
      <c r="B1191" s="778" t="s">
        <v>256</v>
      </c>
      <c r="C1191" s="458" t="s">
        <v>715</v>
      </c>
      <c r="D1191" s="550" t="s">
        <v>715</v>
      </c>
      <c r="E1191" s="459" t="s">
        <v>715</v>
      </c>
      <c r="F1191" s="483">
        <f>'[3]CONAP - W INC'!F898</f>
        <v>0</v>
      </c>
      <c r="G1191" s="483">
        <f>'[3]CONAP - W INC'!G898</f>
        <v>-2695102.42</v>
      </c>
      <c r="H1191" s="483">
        <f>'[3]CONAP - W INC'!H898</f>
        <v>0</v>
      </c>
      <c r="I1191" s="484">
        <f t="shared" si="443"/>
        <v>-2695102.42</v>
      </c>
      <c r="J1191" s="483">
        <f>'[3]CONAP - W INC'!J898</f>
        <v>0</v>
      </c>
      <c r="K1191" s="483">
        <f>'[3]CONAP - W INC'!K898</f>
        <v>0</v>
      </c>
      <c r="L1191" s="483">
        <f>'[3]CONAP - W INC'!L898</f>
        <v>0</v>
      </c>
      <c r="M1191" s="484">
        <f t="shared" si="444"/>
        <v>0</v>
      </c>
      <c r="N1191" s="484">
        <f t="shared" si="433"/>
        <v>0</v>
      </c>
      <c r="O1191" s="484">
        <f t="shared" si="433"/>
        <v>-2695102.42</v>
      </c>
      <c r="P1191" s="484">
        <f t="shared" si="433"/>
        <v>0</v>
      </c>
      <c r="Q1191" s="484">
        <f t="shared" si="445"/>
        <v>-2695102.42</v>
      </c>
      <c r="R1191" s="760"/>
      <c r="S1191" s="349" t="str">
        <f t="shared" si="450"/>
        <v/>
      </c>
      <c r="T1191" s="349">
        <f t="shared" si="450"/>
        <v>0</v>
      </c>
      <c r="U1191" s="349" t="str">
        <f t="shared" si="450"/>
        <v/>
      </c>
      <c r="V1191" s="349">
        <f t="shared" si="449"/>
        <v>0</v>
      </c>
      <c r="W1191" s="780"/>
    </row>
    <row r="1192" spans="1:26" s="352" customFormat="1" ht="12.75" hidden="1" customHeight="1">
      <c r="A1192" s="778" t="s">
        <v>69</v>
      </c>
      <c r="B1192" s="778" t="s">
        <v>256</v>
      </c>
      <c r="C1192" s="458" t="s">
        <v>716</v>
      </c>
      <c r="D1192" s="550" t="s">
        <v>716</v>
      </c>
      <c r="E1192" s="459" t="s">
        <v>716</v>
      </c>
      <c r="F1192" s="483">
        <f>'[3]CONAP - W INC'!F899</f>
        <v>0</v>
      </c>
      <c r="G1192" s="483">
        <f>'[3]CONAP - W INC'!G899</f>
        <v>3695102.42</v>
      </c>
      <c r="H1192" s="483">
        <f>'[3]CONAP - W INC'!H899</f>
        <v>0</v>
      </c>
      <c r="I1192" s="484">
        <f t="shared" si="443"/>
        <v>3695102.42</v>
      </c>
      <c r="J1192" s="483">
        <f>'[3]CONAP - W INC'!J899</f>
        <v>0</v>
      </c>
      <c r="K1192" s="483">
        <f>'[3]CONAP - W INC'!K899</f>
        <v>0</v>
      </c>
      <c r="L1192" s="483">
        <f>'[3]CONAP - W INC'!L899</f>
        <v>0</v>
      </c>
      <c r="M1192" s="484">
        <f t="shared" si="444"/>
        <v>0</v>
      </c>
      <c r="N1192" s="484">
        <f t="shared" si="433"/>
        <v>0</v>
      </c>
      <c r="O1192" s="484">
        <f t="shared" si="433"/>
        <v>3695102.42</v>
      </c>
      <c r="P1192" s="484">
        <f t="shared" si="433"/>
        <v>0</v>
      </c>
      <c r="Q1192" s="484">
        <f t="shared" si="445"/>
        <v>3695102.42</v>
      </c>
      <c r="R1192" s="760"/>
      <c r="S1192" s="349" t="str">
        <f t="shared" si="450"/>
        <v/>
      </c>
      <c r="T1192" s="349">
        <f t="shared" si="450"/>
        <v>0</v>
      </c>
      <c r="U1192" s="349" t="str">
        <f t="shared" si="450"/>
        <v/>
      </c>
      <c r="V1192" s="349">
        <f t="shared" si="449"/>
        <v>0</v>
      </c>
      <c r="W1192" s="780"/>
    </row>
    <row r="1193" spans="1:26" s="354" customFormat="1" ht="12.75" customHeight="1">
      <c r="A1193" s="778"/>
      <c r="B1193" s="778" t="s">
        <v>256</v>
      </c>
      <c r="C1193" s="486"/>
      <c r="D1193" s="784"/>
      <c r="E1193" s="390" t="s">
        <v>767</v>
      </c>
      <c r="F1193" s="487">
        <f>+F1190+F1189</f>
        <v>0</v>
      </c>
      <c r="G1193" s="487">
        <f t="shared" ref="G1193:Q1193" si="454">+G1190+G1189</f>
        <v>1000000</v>
      </c>
      <c r="H1193" s="487">
        <f t="shared" si="454"/>
        <v>0</v>
      </c>
      <c r="I1193" s="487">
        <f t="shared" si="454"/>
        <v>1000000</v>
      </c>
      <c r="J1193" s="487">
        <f t="shared" si="454"/>
        <v>0</v>
      </c>
      <c r="K1193" s="487">
        <f t="shared" si="454"/>
        <v>0</v>
      </c>
      <c r="L1193" s="487">
        <f t="shared" si="454"/>
        <v>0</v>
      </c>
      <c r="M1193" s="487">
        <f t="shared" si="454"/>
        <v>0</v>
      </c>
      <c r="N1193" s="487">
        <f t="shared" si="454"/>
        <v>0</v>
      </c>
      <c r="O1193" s="487">
        <f t="shared" si="454"/>
        <v>1000000</v>
      </c>
      <c r="P1193" s="487">
        <f t="shared" si="454"/>
        <v>0</v>
      </c>
      <c r="Q1193" s="487">
        <f t="shared" si="454"/>
        <v>1000000</v>
      </c>
      <c r="R1193" s="761"/>
      <c r="S1193" s="349" t="str">
        <f t="shared" si="450"/>
        <v/>
      </c>
      <c r="T1193" s="349">
        <f t="shared" si="450"/>
        <v>0</v>
      </c>
      <c r="U1193" s="349" t="str">
        <f t="shared" si="450"/>
        <v/>
      </c>
      <c r="V1193" s="349">
        <f t="shared" si="449"/>
        <v>0</v>
      </c>
      <c r="W1193" s="785"/>
      <c r="Y1193" s="352" t="s">
        <v>598</v>
      </c>
      <c r="Z1193" s="240" t="s">
        <v>598</v>
      </c>
    </row>
    <row r="1194" spans="1:26" s="352" customFormat="1" ht="12.75" hidden="1" customHeight="1">
      <c r="A1194" s="778"/>
      <c r="B1194" s="778"/>
      <c r="C1194" s="485"/>
      <c r="D1194" s="783"/>
      <c r="E1194" s="488"/>
      <c r="F1194" s="484"/>
      <c r="G1194" s="484"/>
      <c r="H1194" s="484"/>
      <c r="I1194" s="484"/>
      <c r="J1194" s="484"/>
      <c r="K1194" s="484"/>
      <c r="L1194" s="484"/>
      <c r="M1194" s="484"/>
      <c r="N1194" s="484"/>
      <c r="O1194" s="484"/>
      <c r="P1194" s="484"/>
      <c r="Q1194" s="484"/>
      <c r="R1194" s="760"/>
      <c r="S1194" s="349" t="str">
        <f t="shared" si="450"/>
        <v/>
      </c>
      <c r="T1194" s="349" t="str">
        <f t="shared" si="450"/>
        <v/>
      </c>
      <c r="U1194" s="349" t="str">
        <f t="shared" si="450"/>
        <v/>
      </c>
      <c r="V1194" s="349" t="str">
        <f t="shared" si="449"/>
        <v/>
      </c>
      <c r="W1194" s="780"/>
    </row>
    <row r="1195" spans="1:26" s="354" customFormat="1" ht="12.75" customHeight="1">
      <c r="A1195" s="778" t="s">
        <v>69</v>
      </c>
      <c r="B1195" s="778" t="s">
        <v>256</v>
      </c>
      <c r="C1195" s="486"/>
      <c r="D1195" s="784" t="s">
        <v>98</v>
      </c>
      <c r="E1195" s="489" t="s">
        <v>100</v>
      </c>
      <c r="F1195" s="487">
        <f>SUM(F1196:F1196)</f>
        <v>0</v>
      </c>
      <c r="G1195" s="487">
        <f>SUM(G1196:G1196)</f>
        <v>18549305.32</v>
      </c>
      <c r="H1195" s="487">
        <f>SUM(H1196:H1196)</f>
        <v>0</v>
      </c>
      <c r="I1195" s="487">
        <f>+F1195+G1195+H1195</f>
        <v>18549305.32</v>
      </c>
      <c r="J1195" s="487">
        <f>SUM(J1196:J1196)</f>
        <v>0</v>
      </c>
      <c r="K1195" s="487">
        <f>SUM(K1196:K1196)</f>
        <v>16962677.399999999</v>
      </c>
      <c r="L1195" s="487">
        <f>SUM(L1196:L1196)</f>
        <v>0</v>
      </c>
      <c r="M1195" s="487">
        <f>+J1195+K1195+L1195</f>
        <v>16962677.399999999</v>
      </c>
      <c r="N1195" s="487">
        <f t="shared" ref="N1195:P1196" si="455">+F1195-J1195</f>
        <v>0</v>
      </c>
      <c r="O1195" s="487">
        <f t="shared" si="455"/>
        <v>1586627.9200000018</v>
      </c>
      <c r="P1195" s="487">
        <f t="shared" si="455"/>
        <v>0</v>
      </c>
      <c r="Q1195" s="487">
        <f>+N1195+O1195+P1195</f>
        <v>1586627.9200000018</v>
      </c>
      <c r="R1195" s="761"/>
      <c r="S1195" s="349" t="str">
        <f t="shared" si="450"/>
        <v/>
      </c>
      <c r="T1195" s="349">
        <f t="shared" si="450"/>
        <v>0.91446429434264109</v>
      </c>
      <c r="U1195" s="349" t="str">
        <f t="shared" si="450"/>
        <v/>
      </c>
      <c r="V1195" s="349">
        <f t="shared" si="449"/>
        <v>0.91446429434264109</v>
      </c>
      <c r="W1195" s="785"/>
      <c r="Y1195" s="352" t="s">
        <v>598</v>
      </c>
      <c r="Z1195" s="240" t="s">
        <v>598</v>
      </c>
    </row>
    <row r="1196" spans="1:26" s="352" customFormat="1" ht="12.75" customHeight="1">
      <c r="A1196" s="778" t="s">
        <v>69</v>
      </c>
      <c r="B1196" s="778" t="s">
        <v>256</v>
      </c>
      <c r="C1196" s="485"/>
      <c r="D1196" s="783"/>
      <c r="E1196" s="462" t="s">
        <v>290</v>
      </c>
      <c r="F1196" s="484">
        <v>0</v>
      </c>
      <c r="G1196" s="484">
        <f>SUM('[3]special hospitals2'!AN222)</f>
        <v>18549305.32</v>
      </c>
      <c r="H1196" s="484">
        <f>SUM('[3]special hospitals2'!AN314)</f>
        <v>0</v>
      </c>
      <c r="I1196" s="484">
        <f>+F1196+G1196+H1196</f>
        <v>18549305.32</v>
      </c>
      <c r="J1196" s="484">
        <v>0</v>
      </c>
      <c r="K1196" s="484">
        <f>SUM('[3]special hospitals2'!AN223)</f>
        <v>16962677.399999999</v>
      </c>
      <c r="L1196" s="484">
        <f>SUM('[3]special hospitals2'!AN315)</f>
        <v>0</v>
      </c>
      <c r="M1196" s="484">
        <f>+J1196+K1196+L1196</f>
        <v>16962677.399999999</v>
      </c>
      <c r="N1196" s="484">
        <f t="shared" si="455"/>
        <v>0</v>
      </c>
      <c r="O1196" s="484">
        <f t="shared" si="455"/>
        <v>1586627.9200000018</v>
      </c>
      <c r="P1196" s="484">
        <f t="shared" si="455"/>
        <v>0</v>
      </c>
      <c r="Q1196" s="484">
        <f>+N1196+O1196+P1196</f>
        <v>1586627.9200000018</v>
      </c>
      <c r="R1196" s="760"/>
      <c r="S1196" s="349" t="str">
        <f t="shared" si="450"/>
        <v/>
      </c>
      <c r="T1196" s="349">
        <f t="shared" si="450"/>
        <v>0.91446429434264109</v>
      </c>
      <c r="U1196" s="349" t="str">
        <f t="shared" si="450"/>
        <v/>
      </c>
      <c r="V1196" s="349">
        <f t="shared" si="449"/>
        <v>0.91446429434264109</v>
      </c>
      <c r="W1196" s="780"/>
      <c r="Y1196" s="352" t="s">
        <v>598</v>
      </c>
    </row>
    <row r="1197" spans="1:26" s="1183" customFormat="1" ht="12.75" customHeight="1">
      <c r="A1197" s="348" t="s">
        <v>69</v>
      </c>
      <c r="B1197" s="348" t="s">
        <v>256</v>
      </c>
      <c r="C1197" s="1101"/>
      <c r="D1197" s="490"/>
      <c r="E1197" s="1102" t="s">
        <v>4</v>
      </c>
      <c r="F1197" s="1103">
        <f>+F1195+F1193</f>
        <v>0</v>
      </c>
      <c r="G1197" s="1103">
        <f t="shared" ref="G1197:Q1197" si="456">+G1195+G1193</f>
        <v>19549305.32</v>
      </c>
      <c r="H1197" s="1103">
        <f t="shared" si="456"/>
        <v>0</v>
      </c>
      <c r="I1197" s="1103">
        <f t="shared" si="456"/>
        <v>19549305.32</v>
      </c>
      <c r="J1197" s="1103">
        <f t="shared" si="456"/>
        <v>0</v>
      </c>
      <c r="K1197" s="1103">
        <f t="shared" si="456"/>
        <v>16962677.399999999</v>
      </c>
      <c r="L1197" s="1103">
        <f t="shared" si="456"/>
        <v>0</v>
      </c>
      <c r="M1197" s="1103">
        <f t="shared" si="456"/>
        <v>16962677.399999999</v>
      </c>
      <c r="N1197" s="1103">
        <f t="shared" si="456"/>
        <v>0</v>
      </c>
      <c r="O1197" s="1103">
        <f t="shared" si="456"/>
        <v>2586627.9200000018</v>
      </c>
      <c r="P1197" s="1103">
        <f t="shared" si="456"/>
        <v>0</v>
      </c>
      <c r="Q1197" s="1103">
        <f t="shared" si="456"/>
        <v>2586627.9200000018</v>
      </c>
      <c r="R1197" s="1095">
        <f>+Q1197-'[3]special hospitals2'!BT351</f>
        <v>0</v>
      </c>
      <c r="S1197" s="1104" t="str">
        <f t="shared" si="450"/>
        <v/>
      </c>
      <c r="T1197" s="1104">
        <f t="shared" si="450"/>
        <v>0.86768696495042508</v>
      </c>
      <c r="U1197" s="1104" t="str">
        <f t="shared" si="450"/>
        <v/>
      </c>
      <c r="V1197" s="1104">
        <f t="shared" si="449"/>
        <v>0.86768696495042508</v>
      </c>
      <c r="W1197" s="355"/>
      <c r="X1197" s="925"/>
      <c r="Y1197" s="842" t="s">
        <v>598</v>
      </c>
      <c r="Z1197" s="241" t="s">
        <v>598</v>
      </c>
    </row>
    <row r="1198" spans="1:26" ht="12" hidden="1" customHeight="1">
      <c r="A1198" s="315" t="s">
        <v>69</v>
      </c>
      <c r="B1198" s="315" t="s">
        <v>256</v>
      </c>
      <c r="C1198" s="456"/>
      <c r="D1198" s="456"/>
      <c r="E1198" s="46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S1198" s="267" t="str">
        <f t="shared" si="450"/>
        <v/>
      </c>
      <c r="T1198" s="267" t="str">
        <f t="shared" si="450"/>
        <v/>
      </c>
      <c r="U1198" s="267" t="str">
        <f t="shared" si="450"/>
        <v/>
      </c>
      <c r="V1198" s="267" t="str">
        <f t="shared" si="449"/>
        <v/>
      </c>
      <c r="W1198" s="267"/>
      <c r="X1198" s="237" t="s">
        <v>598</v>
      </c>
    </row>
    <row r="1199" spans="1:26" s="275" customFormat="1" ht="12.75" hidden="1" customHeight="1">
      <c r="A1199" s="315" t="s">
        <v>258</v>
      </c>
      <c r="B1199" s="315" t="s">
        <v>69</v>
      </c>
      <c r="C1199" s="464" t="s">
        <v>859</v>
      </c>
      <c r="D1199" s="464"/>
      <c r="E1199" s="472"/>
      <c r="F1199" s="409"/>
      <c r="G1199" s="409"/>
      <c r="H1199" s="409"/>
      <c r="I1199" s="409"/>
      <c r="J1199" s="409"/>
      <c r="K1199" s="409"/>
      <c r="L1199" s="409"/>
      <c r="M1199" s="409"/>
      <c r="N1199" s="409"/>
      <c r="O1199" s="409"/>
      <c r="P1199" s="409"/>
      <c r="Q1199" s="409"/>
      <c r="R1199" s="787"/>
      <c r="S1199" s="251" t="str">
        <f t="shared" si="450"/>
        <v/>
      </c>
      <c r="T1199" s="251" t="str">
        <f t="shared" si="450"/>
        <v/>
      </c>
      <c r="U1199" s="251" t="str">
        <f t="shared" si="450"/>
        <v/>
      </c>
      <c r="V1199" s="251" t="str">
        <f t="shared" si="449"/>
        <v/>
      </c>
      <c r="W1199" s="295"/>
      <c r="X1199" s="252" t="s">
        <v>598</v>
      </c>
    </row>
    <row r="1200" spans="1:26" ht="12" hidden="1" customHeight="1">
      <c r="A1200" s="315" t="s">
        <v>258</v>
      </c>
      <c r="B1200" s="315" t="s">
        <v>69</v>
      </c>
      <c r="C1200" s="447" t="s">
        <v>766</v>
      </c>
      <c r="D1200" s="456" t="s">
        <v>98</v>
      </c>
      <c r="E1200" s="447" t="s">
        <v>766</v>
      </c>
      <c r="F1200" s="103">
        <f>+F1067+F1079+F1090+F1101+F1112+F1123+F1134+F1145+F1156+F1167+F1178+F1189</f>
        <v>0</v>
      </c>
      <c r="G1200" s="103">
        <f>+G1067+G1079+G1090+G1101+G1112+G1123+G1134+G1145+G1156+G1167+G1178+G1189</f>
        <v>6123853.1400000006</v>
      </c>
      <c r="H1200" s="103">
        <f>+H1067+H1079+H1090+H1101+H1112+H1123+H1134+H1145+H1156+H1167+H1178+H1189</f>
        <v>95305000</v>
      </c>
      <c r="I1200" s="103">
        <f t="shared" ref="I1200:I1256" si="457">+F1200+G1200+H1200</f>
        <v>101428853.14</v>
      </c>
      <c r="J1200" s="103">
        <f>+J1067+J1079+J1090+J1101+J1112+J1123+J1134+J1145+J1156+J1167+J1178+J1189</f>
        <v>0</v>
      </c>
      <c r="K1200" s="103">
        <f>+K1067+K1079+K1090+K1101+K1112+K1123+K1134+K1145+K1156+K1167+K1178+K1189</f>
        <v>6121486.0300000003</v>
      </c>
      <c r="L1200" s="103">
        <f>+L1067+L1079+L1090+L1101+L1112+L1123+L1134+L1145+L1156+L1167+L1178+L1189</f>
        <v>45150623</v>
      </c>
      <c r="M1200" s="103">
        <f t="shared" ref="M1200:M1256" si="458">+J1200+K1200+L1200</f>
        <v>51272109.030000001</v>
      </c>
      <c r="N1200" s="103">
        <f t="shared" ref="N1200:P1256" si="459">+F1200-J1200</f>
        <v>0</v>
      </c>
      <c r="O1200" s="103">
        <f t="shared" si="459"/>
        <v>2367.1100000003353</v>
      </c>
      <c r="P1200" s="103">
        <f t="shared" si="459"/>
        <v>50154377</v>
      </c>
      <c r="Q1200" s="103">
        <f t="shared" ref="Q1200:Q1256" si="460">+N1200+O1200+P1200</f>
        <v>50156744.109999999</v>
      </c>
      <c r="S1200" s="267" t="str">
        <f t="shared" si="450"/>
        <v/>
      </c>
      <c r="T1200" s="267">
        <f t="shared" si="450"/>
        <v>0.9996134606846564</v>
      </c>
      <c r="U1200" s="267">
        <f t="shared" si="450"/>
        <v>0.47374873301505693</v>
      </c>
      <c r="V1200" s="267">
        <f t="shared" si="449"/>
        <v>0.50549826250357233</v>
      </c>
      <c r="W1200" s="267"/>
      <c r="X1200" s="237" t="s">
        <v>598</v>
      </c>
    </row>
    <row r="1201" spans="1:26" ht="12" hidden="1" customHeight="1">
      <c r="A1201" s="315" t="s">
        <v>258</v>
      </c>
      <c r="B1201" s="315" t="s">
        <v>69</v>
      </c>
      <c r="C1201" s="456"/>
      <c r="D1201" s="456" t="s">
        <v>98</v>
      </c>
      <c r="E1201" s="453" t="s">
        <v>50</v>
      </c>
      <c r="F1201" s="103">
        <f>+F1202+F1203</f>
        <v>0</v>
      </c>
      <c r="G1201" s="103">
        <f>+G1202+G1203</f>
        <v>112415281.04000002</v>
      </c>
      <c r="H1201" s="103">
        <f>+H1202+H1203</f>
        <v>12962675</v>
      </c>
      <c r="I1201" s="103">
        <f t="shared" si="457"/>
        <v>125377956.04000002</v>
      </c>
      <c r="J1201" s="103">
        <f>+J1202+J1203</f>
        <v>0</v>
      </c>
      <c r="K1201" s="103">
        <f>+K1202+K1203</f>
        <v>98959914.810000002</v>
      </c>
      <c r="L1201" s="103">
        <f>+L1202+L1203</f>
        <v>12952075</v>
      </c>
      <c r="M1201" s="103">
        <f t="shared" si="458"/>
        <v>111911989.81</v>
      </c>
      <c r="N1201" s="103">
        <f t="shared" si="459"/>
        <v>0</v>
      </c>
      <c r="O1201" s="103">
        <f t="shared" si="459"/>
        <v>13455366.230000019</v>
      </c>
      <c r="P1201" s="103">
        <f t="shared" si="459"/>
        <v>10600</v>
      </c>
      <c r="Q1201" s="103">
        <f t="shared" si="460"/>
        <v>13465966.230000019</v>
      </c>
      <c r="S1201" s="267" t="str">
        <f t="shared" si="450"/>
        <v/>
      </c>
      <c r="T1201" s="267">
        <f t="shared" si="450"/>
        <v>0.88030660862545651</v>
      </c>
      <c r="U1201" s="267">
        <f t="shared" si="450"/>
        <v>0.99918226754894346</v>
      </c>
      <c r="V1201" s="267">
        <f t="shared" si="449"/>
        <v>0.89259701900305433</v>
      </c>
      <c r="W1201" s="267"/>
      <c r="X1201" s="237" t="s">
        <v>598</v>
      </c>
    </row>
    <row r="1202" spans="1:26" ht="12" hidden="1" customHeight="1">
      <c r="A1202" s="315" t="s">
        <v>258</v>
      </c>
      <c r="B1202" s="315" t="s">
        <v>69</v>
      </c>
      <c r="C1202" s="458" t="s">
        <v>715</v>
      </c>
      <c r="D1202" s="458" t="s">
        <v>715</v>
      </c>
      <c r="E1202" s="459" t="s">
        <v>715</v>
      </c>
      <c r="F1202" s="103">
        <f t="shared" ref="F1202:H1203" si="461">+F1069+F1081+F1092+F1103+F1114+F1125+F1136+F1147+F1158+F1169+F1180+F1191</f>
        <v>0</v>
      </c>
      <c r="G1202" s="103">
        <f t="shared" si="461"/>
        <v>6749570.5700000003</v>
      </c>
      <c r="H1202" s="103">
        <f t="shared" si="461"/>
        <v>12962675</v>
      </c>
      <c r="I1202" s="103">
        <f t="shared" si="457"/>
        <v>19712245.57</v>
      </c>
      <c r="J1202" s="103">
        <f t="shared" ref="J1202:L1203" si="462">+J1069+J1081+J1092+J1103+J1114+J1125+J1136+J1147+J1158+J1169+J1180+J1191</f>
        <v>0</v>
      </c>
      <c r="K1202" s="103">
        <f t="shared" si="462"/>
        <v>20724981.359999999</v>
      </c>
      <c r="L1202" s="103">
        <f t="shared" si="462"/>
        <v>12952075</v>
      </c>
      <c r="M1202" s="103">
        <f t="shared" si="458"/>
        <v>33677056.359999999</v>
      </c>
      <c r="N1202" s="103">
        <f t="shared" si="459"/>
        <v>0</v>
      </c>
      <c r="O1202" s="103">
        <f t="shared" si="459"/>
        <v>-13975410.789999999</v>
      </c>
      <c r="P1202" s="103">
        <f t="shared" si="459"/>
        <v>10600</v>
      </c>
      <c r="Q1202" s="103">
        <f t="shared" si="460"/>
        <v>-13964810.789999999</v>
      </c>
      <c r="S1202" s="267" t="str">
        <f t="shared" si="450"/>
        <v/>
      </c>
      <c r="T1202" s="267">
        <f t="shared" si="450"/>
        <v>3.0705629558296477</v>
      </c>
      <c r="U1202" s="267">
        <f t="shared" si="450"/>
        <v>0.99918226754894346</v>
      </c>
      <c r="V1202" s="267">
        <f t="shared" si="449"/>
        <v>1.7084332802373869</v>
      </c>
      <c r="W1202" s="267"/>
      <c r="X1202" s="237" t="s">
        <v>598</v>
      </c>
    </row>
    <row r="1203" spans="1:26" ht="12" hidden="1" customHeight="1">
      <c r="A1203" s="315" t="s">
        <v>258</v>
      </c>
      <c r="B1203" s="315" t="s">
        <v>69</v>
      </c>
      <c r="C1203" s="458" t="s">
        <v>716</v>
      </c>
      <c r="D1203" s="458" t="s">
        <v>716</v>
      </c>
      <c r="E1203" s="459" t="s">
        <v>716</v>
      </c>
      <c r="F1203" s="103">
        <f t="shared" si="461"/>
        <v>0</v>
      </c>
      <c r="G1203" s="103">
        <f t="shared" si="461"/>
        <v>105665710.47000001</v>
      </c>
      <c r="H1203" s="103">
        <f t="shared" si="461"/>
        <v>0</v>
      </c>
      <c r="I1203" s="103">
        <f t="shared" si="457"/>
        <v>105665710.47000001</v>
      </c>
      <c r="J1203" s="103">
        <f t="shared" si="462"/>
        <v>0</v>
      </c>
      <c r="K1203" s="103">
        <f t="shared" si="462"/>
        <v>78234933.450000003</v>
      </c>
      <c r="L1203" s="103">
        <f t="shared" si="462"/>
        <v>0</v>
      </c>
      <c r="M1203" s="103">
        <f t="shared" si="458"/>
        <v>78234933.450000003</v>
      </c>
      <c r="N1203" s="103">
        <f t="shared" si="459"/>
        <v>0</v>
      </c>
      <c r="O1203" s="103">
        <f t="shared" si="459"/>
        <v>27430777.020000011</v>
      </c>
      <c r="P1203" s="103">
        <f t="shared" si="459"/>
        <v>0</v>
      </c>
      <c r="Q1203" s="103">
        <f t="shared" si="460"/>
        <v>27430777.020000011</v>
      </c>
      <c r="S1203" s="267" t="str">
        <f t="shared" si="450"/>
        <v/>
      </c>
      <c r="T1203" s="267">
        <f t="shared" si="450"/>
        <v>0.74040039197211482</v>
      </c>
      <c r="U1203" s="267" t="str">
        <f t="shared" si="450"/>
        <v/>
      </c>
      <c r="V1203" s="267">
        <f t="shared" si="449"/>
        <v>0.74040039197211482</v>
      </c>
      <c r="W1203" s="267"/>
      <c r="X1203" s="237" t="s">
        <v>598</v>
      </c>
    </row>
    <row r="1204" spans="1:26" s="256" customFormat="1" ht="12" hidden="1" customHeight="1">
      <c r="A1204" s="315"/>
      <c r="B1204" s="315" t="s">
        <v>69</v>
      </c>
      <c r="C1204" s="460"/>
      <c r="D1204" s="460"/>
      <c r="E1204" s="390" t="s">
        <v>767</v>
      </c>
      <c r="F1204" s="391">
        <f>+F1201+F1200</f>
        <v>0</v>
      </c>
      <c r="G1204" s="391">
        <f t="shared" ref="G1204:Q1204" si="463">+G1201+G1200</f>
        <v>118539134.18000002</v>
      </c>
      <c r="H1204" s="391">
        <f t="shared" si="463"/>
        <v>108267675</v>
      </c>
      <c r="I1204" s="391">
        <f t="shared" si="463"/>
        <v>226806809.18000001</v>
      </c>
      <c r="J1204" s="391">
        <f t="shared" si="463"/>
        <v>0</v>
      </c>
      <c r="K1204" s="391">
        <f t="shared" si="463"/>
        <v>105081400.84</v>
      </c>
      <c r="L1204" s="391">
        <f t="shared" si="463"/>
        <v>58102698</v>
      </c>
      <c r="M1204" s="391">
        <f t="shared" si="463"/>
        <v>163184098.84</v>
      </c>
      <c r="N1204" s="391">
        <f t="shared" si="463"/>
        <v>0</v>
      </c>
      <c r="O1204" s="391">
        <f t="shared" si="463"/>
        <v>13457733.340000018</v>
      </c>
      <c r="P1204" s="391">
        <f t="shared" si="463"/>
        <v>50164977</v>
      </c>
      <c r="Q1204" s="391">
        <f t="shared" si="463"/>
        <v>63622710.340000018</v>
      </c>
      <c r="R1204" s="761"/>
      <c r="S1204" s="267" t="str">
        <f t="shared" si="450"/>
        <v/>
      </c>
      <c r="T1204" s="267">
        <f t="shared" si="450"/>
        <v>0.88647012285778437</v>
      </c>
      <c r="U1204" s="267">
        <f t="shared" si="450"/>
        <v>0.53665785286328538</v>
      </c>
      <c r="V1204" s="267">
        <f t="shared" si="449"/>
        <v>0.7194850076590632</v>
      </c>
      <c r="W1204" s="263"/>
      <c r="X1204" s="237" t="s">
        <v>598</v>
      </c>
      <c r="Y1204" s="840"/>
      <c r="Z1204" s="241"/>
    </row>
    <row r="1205" spans="1:26" ht="12" hidden="1" customHeight="1">
      <c r="A1205" s="315"/>
      <c r="B1205" s="315"/>
      <c r="C1205" s="456"/>
      <c r="D1205" s="456"/>
      <c r="E1205" s="461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S1205" s="267" t="str">
        <f t="shared" si="450"/>
        <v/>
      </c>
      <c r="T1205" s="267" t="str">
        <f t="shared" si="450"/>
        <v/>
      </c>
      <c r="U1205" s="267" t="str">
        <f t="shared" si="450"/>
        <v/>
      </c>
      <c r="V1205" s="267" t="str">
        <f t="shared" si="449"/>
        <v/>
      </c>
      <c r="W1205" s="267"/>
      <c r="X1205" s="237" t="s">
        <v>598</v>
      </c>
    </row>
    <row r="1206" spans="1:26" s="256" customFormat="1" ht="12" hidden="1" customHeight="1">
      <c r="A1206" s="315" t="s">
        <v>258</v>
      </c>
      <c r="B1206" s="315" t="s">
        <v>69</v>
      </c>
      <c r="C1206" s="460"/>
      <c r="D1206" s="460" t="s">
        <v>98</v>
      </c>
      <c r="E1206" s="390" t="s">
        <v>100</v>
      </c>
      <c r="F1206" s="391">
        <f>SUM(F1207:F1208)</f>
        <v>0</v>
      </c>
      <c r="G1206" s="391">
        <f t="shared" ref="G1206:Q1206" si="464">SUM(G1207:G1208)</f>
        <v>85726267.650000006</v>
      </c>
      <c r="H1206" s="391">
        <f t="shared" si="464"/>
        <v>24500000</v>
      </c>
      <c r="I1206" s="391">
        <f t="shared" si="464"/>
        <v>110226267.65000001</v>
      </c>
      <c r="J1206" s="391">
        <f t="shared" si="464"/>
        <v>0</v>
      </c>
      <c r="K1206" s="391">
        <f t="shared" si="464"/>
        <v>81608185.090000004</v>
      </c>
      <c r="L1206" s="391">
        <f t="shared" si="464"/>
        <v>0</v>
      </c>
      <c r="M1206" s="391">
        <f t="shared" si="464"/>
        <v>81608185.090000004</v>
      </c>
      <c r="N1206" s="391">
        <f t="shared" si="464"/>
        <v>0</v>
      </c>
      <c r="O1206" s="391">
        <f t="shared" si="464"/>
        <v>4118082.5600000098</v>
      </c>
      <c r="P1206" s="391">
        <f t="shared" si="464"/>
        <v>24500000</v>
      </c>
      <c r="Q1206" s="391">
        <f t="shared" si="464"/>
        <v>28618082.56000001</v>
      </c>
      <c r="R1206" s="761"/>
      <c r="S1206" s="267" t="str">
        <f t="shared" si="450"/>
        <v/>
      </c>
      <c r="T1206" s="267">
        <f t="shared" si="450"/>
        <v>0.95196241860414177</v>
      </c>
      <c r="U1206" s="267">
        <f t="shared" si="450"/>
        <v>0</v>
      </c>
      <c r="V1206" s="267">
        <f t="shared" si="449"/>
        <v>0.74036966713895624</v>
      </c>
      <c r="W1206" s="263"/>
      <c r="X1206" s="237" t="s">
        <v>598</v>
      </c>
      <c r="Y1206" s="840"/>
      <c r="Z1206" s="241"/>
    </row>
    <row r="1207" spans="1:26" ht="12" hidden="1" customHeight="1">
      <c r="A1207" s="315" t="s">
        <v>258</v>
      </c>
      <c r="B1207" s="315" t="s">
        <v>69</v>
      </c>
      <c r="C1207" s="456"/>
      <c r="D1207" s="456"/>
      <c r="E1207" s="462" t="s">
        <v>290</v>
      </c>
      <c r="F1207" s="103">
        <f>+F1074+F1086+F1097+F1108+F1119+F1130+F1141+F1152+F1163+F1174+F1185+F1196</f>
        <v>0</v>
      </c>
      <c r="G1207" s="103">
        <f>+G1074+G1086+G1097+G1108+G1119+G1130+G1141+G1152+G1163+G1174+G1185+G1196</f>
        <v>72825118.650000006</v>
      </c>
      <c r="H1207" s="103">
        <f>+H1074+H1086+H1097+H1108+H1119+H1130+H1141+H1152+H1163+H1174+H1185+H1196</f>
        <v>24500000</v>
      </c>
      <c r="I1207" s="103">
        <f>+F1207+G1207+H1207</f>
        <v>97325118.650000006</v>
      </c>
      <c r="J1207" s="103">
        <f>+J1074+J1086+J1097+J1108+J1119+J1130+J1141+J1152+J1163+J1174+J1185+J1196</f>
        <v>0</v>
      </c>
      <c r="K1207" s="103">
        <f>+K1074+K1086+K1097+K1108+K1119+K1130+K1141+K1152+K1163+K1174+K1185+K1196</f>
        <v>69903178.519999996</v>
      </c>
      <c r="L1207" s="103">
        <f>+L1074+L1086+L1097+L1108+L1119+L1130+L1141+L1152+L1163+L1174+L1185+L1196</f>
        <v>0</v>
      </c>
      <c r="M1207" s="103">
        <f>+J1207+K1207+L1207</f>
        <v>69903178.519999996</v>
      </c>
      <c r="N1207" s="103">
        <f t="shared" ref="N1207:P1208" si="465">+F1207-J1207</f>
        <v>0</v>
      </c>
      <c r="O1207" s="103">
        <f t="shared" si="465"/>
        <v>2921940.1300000101</v>
      </c>
      <c r="P1207" s="103">
        <f t="shared" si="465"/>
        <v>24500000</v>
      </c>
      <c r="Q1207" s="103">
        <f>+N1207+O1207+P1207</f>
        <v>27421940.13000001</v>
      </c>
      <c r="S1207" s="267" t="str">
        <f t="shared" si="450"/>
        <v/>
      </c>
      <c r="T1207" s="267">
        <f t="shared" si="450"/>
        <v>0.95987730354353484</v>
      </c>
      <c r="U1207" s="267">
        <f t="shared" si="450"/>
        <v>0</v>
      </c>
      <c r="V1207" s="267">
        <f t="shared" si="449"/>
        <v>0.71824395890423087</v>
      </c>
      <c r="W1207" s="267"/>
      <c r="X1207" s="237" t="s">
        <v>598</v>
      </c>
    </row>
    <row r="1208" spans="1:26" ht="12" hidden="1" customHeight="1">
      <c r="A1208" s="315" t="s">
        <v>258</v>
      </c>
      <c r="B1208" s="315" t="s">
        <v>69</v>
      </c>
      <c r="C1208" s="456"/>
      <c r="D1208" s="456"/>
      <c r="E1208" s="729" t="s">
        <v>851</v>
      </c>
      <c r="F1208" s="103">
        <f>+F1075</f>
        <v>0</v>
      </c>
      <c r="G1208" s="103">
        <f>+G1075</f>
        <v>12901149</v>
      </c>
      <c r="H1208" s="103">
        <f>+H1075</f>
        <v>0</v>
      </c>
      <c r="I1208" s="103">
        <f>+F1208+G1208+H1208</f>
        <v>12901149</v>
      </c>
      <c r="J1208" s="103">
        <f>+J1075</f>
        <v>0</v>
      </c>
      <c r="K1208" s="103">
        <f>+K1075</f>
        <v>11705006.57</v>
      </c>
      <c r="L1208" s="103">
        <f>+L1075</f>
        <v>0</v>
      </c>
      <c r="M1208" s="103">
        <f>+J1208+K1208+L1208</f>
        <v>11705006.57</v>
      </c>
      <c r="N1208" s="103">
        <f t="shared" si="465"/>
        <v>0</v>
      </c>
      <c r="O1208" s="103">
        <f t="shared" si="465"/>
        <v>1196142.4299999997</v>
      </c>
      <c r="P1208" s="103">
        <f t="shared" si="465"/>
        <v>0</v>
      </c>
      <c r="Q1208" s="103">
        <f>+N1208+O1208+P1208</f>
        <v>1196142.4299999997</v>
      </c>
      <c r="S1208" s="267" t="str">
        <f t="shared" si="450"/>
        <v/>
      </c>
      <c r="T1208" s="267">
        <f t="shared" si="450"/>
        <v>0.90728403880925645</v>
      </c>
      <c r="U1208" s="267" t="str">
        <f t="shared" si="450"/>
        <v/>
      </c>
      <c r="V1208" s="267">
        <f t="shared" si="449"/>
        <v>0.90728403880925645</v>
      </c>
      <c r="W1208" s="267"/>
      <c r="X1208" s="237" t="s">
        <v>598</v>
      </c>
    </row>
    <row r="1209" spans="1:26" s="266" customFormat="1" ht="16.5" customHeight="1">
      <c r="A1209" s="315" t="s">
        <v>258</v>
      </c>
      <c r="B1209" s="315" t="s">
        <v>69</v>
      </c>
      <c r="C1209" s="1470" t="s">
        <v>659</v>
      </c>
      <c r="D1209" s="1473"/>
      <c r="E1209" s="1472"/>
      <c r="F1209" s="666">
        <f>+F1200+F1206+F1201</f>
        <v>0</v>
      </c>
      <c r="G1209" s="666">
        <f>+G1200+G1206+G1201</f>
        <v>204265401.83000004</v>
      </c>
      <c r="H1209" s="666">
        <f>+H1200+H1206+H1201</f>
        <v>132767675</v>
      </c>
      <c r="I1209" s="666">
        <f t="shared" si="457"/>
        <v>337033076.83000004</v>
      </c>
      <c r="J1209" s="666">
        <f>+J1200+J1206+J1201</f>
        <v>0</v>
      </c>
      <c r="K1209" s="666">
        <f>+K1200+K1206+K1201</f>
        <v>186689585.93000001</v>
      </c>
      <c r="L1209" s="666">
        <f>+L1200+L1206+L1201</f>
        <v>58102698</v>
      </c>
      <c r="M1209" s="666">
        <f t="shared" si="458"/>
        <v>244792283.93000001</v>
      </c>
      <c r="N1209" s="666">
        <f t="shared" si="459"/>
        <v>0</v>
      </c>
      <c r="O1209" s="666">
        <f t="shared" si="459"/>
        <v>17575815.900000036</v>
      </c>
      <c r="P1209" s="666">
        <f t="shared" si="459"/>
        <v>74664977</v>
      </c>
      <c r="Q1209" s="666">
        <f t="shared" si="460"/>
        <v>92240792.900000036</v>
      </c>
      <c r="R1209" s="1099">
        <f>+Q1209-'[3]special hospitals1'!CT351-'[3]special hospitals2'!BX351</f>
        <v>3.3527612686157227E-8</v>
      </c>
      <c r="S1209" s="525" t="str">
        <f t="shared" si="450"/>
        <v/>
      </c>
      <c r="T1209" s="525">
        <f t="shared" si="450"/>
        <v>0.9139559820579527</v>
      </c>
      <c r="U1209" s="525">
        <f t="shared" si="450"/>
        <v>0.43762683951496478</v>
      </c>
      <c r="V1209" s="525">
        <f t="shared" si="449"/>
        <v>0.72631531074759637</v>
      </c>
      <c r="W1209" s="345"/>
      <c r="X1209" s="237" t="s">
        <v>598</v>
      </c>
      <c r="Y1209" s="837" t="s">
        <v>598</v>
      </c>
      <c r="Z1209" s="241" t="s">
        <v>598</v>
      </c>
    </row>
    <row r="1210" spans="1:26" ht="12" customHeight="1">
      <c r="A1210" s="315" t="s">
        <v>258</v>
      </c>
      <c r="B1210" s="315" t="s">
        <v>69</v>
      </c>
      <c r="C1210" s="456"/>
      <c r="D1210" s="474"/>
      <c r="E1210" s="463"/>
      <c r="F1210" s="104"/>
      <c r="G1210" s="104"/>
      <c r="H1210" s="104"/>
      <c r="I1210" s="103"/>
      <c r="J1210" s="104"/>
      <c r="K1210" s="104"/>
      <c r="L1210" s="104"/>
      <c r="M1210" s="103"/>
      <c r="N1210" s="103"/>
      <c r="O1210" s="103"/>
      <c r="P1210" s="103"/>
      <c r="Q1210" s="103"/>
      <c r="S1210" s="267" t="str">
        <f t="shared" si="450"/>
        <v/>
      </c>
      <c r="T1210" s="267" t="str">
        <f t="shared" si="450"/>
        <v/>
      </c>
      <c r="U1210" s="267" t="str">
        <f t="shared" si="450"/>
        <v/>
      </c>
      <c r="V1210" s="267" t="str">
        <f t="shared" si="449"/>
        <v/>
      </c>
      <c r="W1210" s="267"/>
      <c r="Y1210" s="837" t="s">
        <v>598</v>
      </c>
      <c r="Z1210" s="241" t="s">
        <v>598</v>
      </c>
    </row>
    <row r="1211" spans="1:26" s="331" customFormat="1" ht="12" customHeight="1">
      <c r="A1211" s="315" t="s">
        <v>51</v>
      </c>
      <c r="B1211" s="315" t="s">
        <v>51</v>
      </c>
      <c r="C1211" s="475" t="s">
        <v>51</v>
      </c>
      <c r="D1211" s="467"/>
      <c r="E1211" s="476"/>
      <c r="F1211" s="477"/>
      <c r="G1211" s="477"/>
      <c r="H1211" s="477"/>
      <c r="I1211" s="477">
        <f t="shared" si="457"/>
        <v>0</v>
      </c>
      <c r="J1211" s="477"/>
      <c r="K1211" s="477"/>
      <c r="L1211" s="477"/>
      <c r="M1211" s="477">
        <f t="shared" si="458"/>
        <v>0</v>
      </c>
      <c r="N1211" s="477">
        <f t="shared" si="459"/>
        <v>0</v>
      </c>
      <c r="O1211" s="477">
        <f t="shared" si="459"/>
        <v>0</v>
      </c>
      <c r="P1211" s="477">
        <f t="shared" si="459"/>
        <v>0</v>
      </c>
      <c r="Q1211" s="477">
        <f t="shared" si="460"/>
        <v>0</v>
      </c>
      <c r="R1211" s="761"/>
      <c r="S1211" s="267" t="str">
        <f t="shared" si="450"/>
        <v/>
      </c>
      <c r="T1211" s="267" t="str">
        <f t="shared" si="450"/>
        <v/>
      </c>
      <c r="U1211" s="267" t="str">
        <f t="shared" si="450"/>
        <v/>
      </c>
      <c r="V1211" s="267" t="str">
        <f t="shared" si="449"/>
        <v/>
      </c>
      <c r="W1211" s="347"/>
      <c r="X1211" s="1404"/>
      <c r="Y1211" s="837" t="s">
        <v>598</v>
      </c>
      <c r="Z1211" s="261" t="s">
        <v>598</v>
      </c>
    </row>
    <row r="1212" spans="1:26" s="275" customFormat="1" ht="12" customHeight="1">
      <c r="A1212" s="548" t="s">
        <v>51</v>
      </c>
      <c r="B1212" s="548" t="s">
        <v>261</v>
      </c>
      <c r="C1212" s="464" t="s">
        <v>98</v>
      </c>
      <c r="D1212" s="788" t="s">
        <v>105</v>
      </c>
      <c r="E1212" s="407" t="s">
        <v>262</v>
      </c>
      <c r="F1212" s="468"/>
      <c r="G1212" s="468"/>
      <c r="H1212" s="468"/>
      <c r="I1212" s="409">
        <f t="shared" si="457"/>
        <v>0</v>
      </c>
      <c r="J1212" s="468"/>
      <c r="K1212" s="468"/>
      <c r="L1212" s="468"/>
      <c r="M1212" s="409">
        <f t="shared" si="458"/>
        <v>0</v>
      </c>
      <c r="N1212" s="409">
        <f t="shared" si="459"/>
        <v>0</v>
      </c>
      <c r="O1212" s="409">
        <f t="shared" si="459"/>
        <v>0</v>
      </c>
      <c r="P1212" s="409">
        <f t="shared" si="459"/>
        <v>0</v>
      </c>
      <c r="Q1212" s="409">
        <f t="shared" si="460"/>
        <v>0</v>
      </c>
      <c r="R1212" s="761"/>
      <c r="S1212" s="267" t="str">
        <f t="shared" si="450"/>
        <v/>
      </c>
      <c r="T1212" s="267" t="str">
        <f t="shared" si="450"/>
        <v/>
      </c>
      <c r="U1212" s="267" t="str">
        <f t="shared" si="450"/>
        <v/>
      </c>
      <c r="V1212" s="267" t="str">
        <f t="shared" si="449"/>
        <v/>
      </c>
      <c r="W1212" s="553"/>
      <c r="Y1212" s="236" t="s">
        <v>598</v>
      </c>
      <c r="Z1212" s="240" t="s">
        <v>598</v>
      </c>
    </row>
    <row r="1213" spans="1:26" ht="12" customHeight="1">
      <c r="A1213" s="548" t="s">
        <v>51</v>
      </c>
      <c r="B1213" s="548" t="s">
        <v>261</v>
      </c>
      <c r="C1213" s="447" t="s">
        <v>766</v>
      </c>
      <c r="D1213" s="549" t="s">
        <v>98</v>
      </c>
      <c r="E1213" s="447" t="s">
        <v>766</v>
      </c>
      <c r="F1213" s="104">
        <f>+[3]BUREAUS!C433</f>
        <v>0</v>
      </c>
      <c r="G1213" s="104">
        <f>+[3]BUREAUS!D433</f>
        <v>14634206.220000001</v>
      </c>
      <c r="H1213" s="104">
        <f>+[3]BUREAUS!E433</f>
        <v>0</v>
      </c>
      <c r="I1213" s="103">
        <f t="shared" si="457"/>
        <v>14634206.220000001</v>
      </c>
      <c r="J1213" s="104">
        <f>+[3]BUREAUS!G433</f>
        <v>0</v>
      </c>
      <c r="K1213" s="104">
        <f>+[3]BUREAUS!H433</f>
        <v>4132425.0799999996</v>
      </c>
      <c r="L1213" s="104">
        <f>+[3]BUREAUS!I433</f>
        <v>0</v>
      </c>
      <c r="M1213" s="103">
        <f t="shared" si="458"/>
        <v>4132425.0799999996</v>
      </c>
      <c r="N1213" s="103">
        <f t="shared" si="459"/>
        <v>0</v>
      </c>
      <c r="O1213" s="103">
        <f t="shared" si="459"/>
        <v>10501781.140000001</v>
      </c>
      <c r="P1213" s="103">
        <f t="shared" si="459"/>
        <v>0</v>
      </c>
      <c r="Q1213" s="103">
        <f t="shared" si="460"/>
        <v>10501781.140000001</v>
      </c>
      <c r="S1213" s="267" t="str">
        <f t="shared" si="450"/>
        <v/>
      </c>
      <c r="T1213" s="267">
        <f t="shared" si="450"/>
        <v>0.28238122504740809</v>
      </c>
      <c r="U1213" s="267" t="str">
        <f t="shared" si="450"/>
        <v/>
      </c>
      <c r="V1213" s="267">
        <f t="shared" si="449"/>
        <v>0.28238122504740809</v>
      </c>
      <c r="W1213" s="530"/>
      <c r="X1213" s="236"/>
      <c r="Y1213" s="236" t="s">
        <v>688</v>
      </c>
      <c r="Z1213" s="236"/>
    </row>
    <row r="1214" spans="1:26" ht="12" customHeight="1">
      <c r="A1214" s="548" t="s">
        <v>51</v>
      </c>
      <c r="B1214" s="548" t="s">
        <v>261</v>
      </c>
      <c r="C1214" s="456"/>
      <c r="D1214" s="549" t="s">
        <v>98</v>
      </c>
      <c r="E1214" s="453" t="s">
        <v>50</v>
      </c>
      <c r="F1214" s="103">
        <f>+F1215+F1216</f>
        <v>0</v>
      </c>
      <c r="G1214" s="103">
        <f>+G1215+G1216</f>
        <v>0</v>
      </c>
      <c r="H1214" s="103">
        <f>+H1215+H1216</f>
        <v>0</v>
      </c>
      <c r="I1214" s="103">
        <f t="shared" si="457"/>
        <v>0</v>
      </c>
      <c r="J1214" s="103">
        <f>+J1215+J1216</f>
        <v>0</v>
      </c>
      <c r="K1214" s="103">
        <f>+K1215+K1216</f>
        <v>0</v>
      </c>
      <c r="L1214" s="103">
        <f>+L1215+L1216</f>
        <v>0</v>
      </c>
      <c r="M1214" s="103">
        <f t="shared" si="458"/>
        <v>0</v>
      </c>
      <c r="N1214" s="103">
        <f t="shared" si="459"/>
        <v>0</v>
      </c>
      <c r="O1214" s="103">
        <f t="shared" si="459"/>
        <v>0</v>
      </c>
      <c r="P1214" s="103">
        <f t="shared" si="459"/>
        <v>0</v>
      </c>
      <c r="Q1214" s="103">
        <f t="shared" si="460"/>
        <v>0</v>
      </c>
      <c r="S1214" s="267" t="str">
        <f t="shared" si="450"/>
        <v/>
      </c>
      <c r="T1214" s="267" t="str">
        <f t="shared" si="450"/>
        <v/>
      </c>
      <c r="U1214" s="267" t="str">
        <f t="shared" si="450"/>
        <v/>
      </c>
      <c r="V1214" s="267" t="str">
        <f t="shared" si="449"/>
        <v/>
      </c>
      <c r="W1214" s="530"/>
      <c r="X1214" s="236"/>
      <c r="Y1214" s="236" t="s">
        <v>688</v>
      </c>
      <c r="Z1214" s="236"/>
    </row>
    <row r="1215" spans="1:26" ht="12" hidden="1" customHeight="1">
      <c r="A1215" s="548" t="s">
        <v>51</v>
      </c>
      <c r="B1215" s="548" t="s">
        <v>261</v>
      </c>
      <c r="C1215" s="458" t="s">
        <v>715</v>
      </c>
      <c r="D1215" s="550" t="s">
        <v>715</v>
      </c>
      <c r="E1215" s="459" t="s">
        <v>715</v>
      </c>
      <c r="F1215" s="104">
        <f>'[3]CONAP - W INC'!F915</f>
        <v>0</v>
      </c>
      <c r="G1215" s="104">
        <f>'[3]CONAP - W INC'!G915</f>
        <v>0</v>
      </c>
      <c r="H1215" s="104">
        <f>'[3]CONAP - W INC'!H915</f>
        <v>0</v>
      </c>
      <c r="I1215" s="103">
        <f t="shared" si="457"/>
        <v>0</v>
      </c>
      <c r="J1215" s="104">
        <f>'[3]CONAP - W INC'!F915</f>
        <v>0</v>
      </c>
      <c r="K1215" s="104">
        <f>'[3]CONAP - W INC'!K915</f>
        <v>0</v>
      </c>
      <c r="L1215" s="104">
        <f>'[3]CONAP - W INC'!F915</f>
        <v>0</v>
      </c>
      <c r="M1215" s="103">
        <f t="shared" si="458"/>
        <v>0</v>
      </c>
      <c r="N1215" s="103">
        <f t="shared" si="459"/>
        <v>0</v>
      </c>
      <c r="O1215" s="103">
        <f t="shared" si="459"/>
        <v>0</v>
      </c>
      <c r="P1215" s="103">
        <f t="shared" si="459"/>
        <v>0</v>
      </c>
      <c r="Q1215" s="103">
        <f t="shared" si="460"/>
        <v>0</v>
      </c>
      <c r="S1215" s="267" t="str">
        <f t="shared" si="450"/>
        <v/>
      </c>
      <c r="T1215" s="267" t="str">
        <f t="shared" si="450"/>
        <v/>
      </c>
      <c r="U1215" s="267" t="str">
        <f t="shared" si="450"/>
        <v/>
      </c>
      <c r="V1215" s="267" t="str">
        <f t="shared" si="449"/>
        <v/>
      </c>
      <c r="W1215" s="530"/>
      <c r="X1215" s="236"/>
      <c r="Y1215" s="236"/>
      <c r="Z1215" s="236"/>
    </row>
    <row r="1216" spans="1:26" ht="12" hidden="1" customHeight="1">
      <c r="A1216" s="548" t="s">
        <v>51</v>
      </c>
      <c r="B1216" s="548" t="s">
        <v>261</v>
      </c>
      <c r="C1216" s="458" t="s">
        <v>716</v>
      </c>
      <c r="D1216" s="550" t="s">
        <v>716</v>
      </c>
      <c r="E1216" s="459" t="s">
        <v>716</v>
      </c>
      <c r="F1216" s="104">
        <f>'[3]CONAP - W INC'!F916</f>
        <v>0</v>
      </c>
      <c r="G1216" s="104">
        <f>'[3]CONAP - W INC'!G916</f>
        <v>0</v>
      </c>
      <c r="H1216" s="104">
        <f>'[3]CONAP - W INC'!H916</f>
        <v>0</v>
      </c>
      <c r="I1216" s="103">
        <f t="shared" si="457"/>
        <v>0</v>
      </c>
      <c r="J1216" s="104">
        <f>'[3]CONAP - W INC'!F916</f>
        <v>0</v>
      </c>
      <c r="K1216" s="104">
        <f>'[3]CONAP - W INC'!F916</f>
        <v>0</v>
      </c>
      <c r="L1216" s="104">
        <f>'[3]CONAP - W INC'!F916</f>
        <v>0</v>
      </c>
      <c r="M1216" s="103">
        <f t="shared" si="458"/>
        <v>0</v>
      </c>
      <c r="N1216" s="103">
        <f t="shared" si="459"/>
        <v>0</v>
      </c>
      <c r="O1216" s="103">
        <f t="shared" si="459"/>
        <v>0</v>
      </c>
      <c r="P1216" s="103">
        <f t="shared" si="459"/>
        <v>0</v>
      </c>
      <c r="Q1216" s="103">
        <f t="shared" si="460"/>
        <v>0</v>
      </c>
      <c r="S1216" s="267" t="str">
        <f t="shared" si="450"/>
        <v/>
      </c>
      <c r="T1216" s="267" t="str">
        <f t="shared" si="450"/>
        <v/>
      </c>
      <c r="U1216" s="267" t="str">
        <f t="shared" si="450"/>
        <v/>
      </c>
      <c r="V1216" s="267" t="str">
        <f t="shared" si="449"/>
        <v/>
      </c>
      <c r="W1216" s="530"/>
      <c r="X1216" s="236"/>
      <c r="Y1216" s="236"/>
      <c r="Z1216" s="236"/>
    </row>
    <row r="1217" spans="1:26" s="256" customFormat="1" ht="12" customHeight="1">
      <c r="A1217" s="548"/>
      <c r="B1217" s="548" t="s">
        <v>261</v>
      </c>
      <c r="C1217" s="460"/>
      <c r="D1217" s="551"/>
      <c r="E1217" s="390" t="s">
        <v>767</v>
      </c>
      <c r="F1217" s="391">
        <f>+F1214+F1213</f>
        <v>0</v>
      </c>
      <c r="G1217" s="391">
        <f t="shared" ref="G1217:Q1217" si="466">+G1214+G1213</f>
        <v>14634206.220000001</v>
      </c>
      <c r="H1217" s="391">
        <f t="shared" si="466"/>
        <v>0</v>
      </c>
      <c r="I1217" s="391">
        <f t="shared" si="466"/>
        <v>14634206.220000001</v>
      </c>
      <c r="J1217" s="391">
        <f t="shared" si="466"/>
        <v>0</v>
      </c>
      <c r="K1217" s="391">
        <f t="shared" si="466"/>
        <v>4132425.0799999996</v>
      </c>
      <c r="L1217" s="391">
        <f t="shared" si="466"/>
        <v>0</v>
      </c>
      <c r="M1217" s="391">
        <f t="shared" si="466"/>
        <v>4132425.0799999996</v>
      </c>
      <c r="N1217" s="391">
        <f t="shared" si="466"/>
        <v>0</v>
      </c>
      <c r="O1217" s="391">
        <f t="shared" si="466"/>
        <v>10501781.140000001</v>
      </c>
      <c r="P1217" s="391">
        <f t="shared" si="466"/>
        <v>0</v>
      </c>
      <c r="Q1217" s="391">
        <f t="shared" si="466"/>
        <v>10501781.140000001</v>
      </c>
      <c r="R1217" s="761"/>
      <c r="S1217" s="267" t="str">
        <f t="shared" si="450"/>
        <v/>
      </c>
      <c r="T1217" s="267">
        <f t="shared" si="450"/>
        <v>0.28238122504740809</v>
      </c>
      <c r="U1217" s="267" t="str">
        <f t="shared" si="450"/>
        <v/>
      </c>
      <c r="V1217" s="267">
        <f t="shared" si="449"/>
        <v>0.28238122504740809</v>
      </c>
      <c r="W1217" s="532"/>
      <c r="Y1217" s="236" t="s">
        <v>598</v>
      </c>
      <c r="Z1217" s="240" t="s">
        <v>598</v>
      </c>
    </row>
    <row r="1218" spans="1:26" ht="12" hidden="1" customHeight="1">
      <c r="A1218" s="548"/>
      <c r="B1218" s="548"/>
      <c r="C1218" s="456"/>
      <c r="D1218" s="549"/>
      <c r="E1218" s="461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S1218" s="267" t="str">
        <f t="shared" si="450"/>
        <v/>
      </c>
      <c r="T1218" s="267" t="str">
        <f t="shared" si="450"/>
        <v/>
      </c>
      <c r="U1218" s="267" t="str">
        <f t="shared" si="450"/>
        <v/>
      </c>
      <c r="V1218" s="267" t="str">
        <f t="shared" si="449"/>
        <v/>
      </c>
      <c r="W1218" s="530"/>
      <c r="X1218" s="236"/>
      <c r="Y1218" s="236"/>
      <c r="Z1218" s="236"/>
    </row>
    <row r="1219" spans="1:26" s="256" customFormat="1" ht="12" customHeight="1">
      <c r="A1219" s="548" t="s">
        <v>51</v>
      </c>
      <c r="B1219" s="548" t="s">
        <v>261</v>
      </c>
      <c r="C1219" s="460"/>
      <c r="D1219" s="551" t="s">
        <v>98</v>
      </c>
      <c r="E1219" s="390" t="s">
        <v>100</v>
      </c>
      <c r="F1219" s="391">
        <f>SUM(F1220:F1220)</f>
        <v>0</v>
      </c>
      <c r="G1219" s="391">
        <f>SUM(G1220:G1220)</f>
        <v>0</v>
      </c>
      <c r="H1219" s="391">
        <f>SUM(H1220:H1220)</f>
        <v>0</v>
      </c>
      <c r="I1219" s="391">
        <f>+F1219+G1219+H1219</f>
        <v>0</v>
      </c>
      <c r="J1219" s="391">
        <f>SUM(J1220:J1220)</f>
        <v>0</v>
      </c>
      <c r="K1219" s="391">
        <f>SUM(K1220:K1220)</f>
        <v>0</v>
      </c>
      <c r="L1219" s="391">
        <f>SUM(L1220:L1220)</f>
        <v>0</v>
      </c>
      <c r="M1219" s="391">
        <f>+J1219+K1219+L1219</f>
        <v>0</v>
      </c>
      <c r="N1219" s="391">
        <f t="shared" ref="N1219:P1220" si="467">+F1219-J1219</f>
        <v>0</v>
      </c>
      <c r="O1219" s="391">
        <f t="shared" si="467"/>
        <v>0</v>
      </c>
      <c r="P1219" s="391">
        <f t="shared" si="467"/>
        <v>0</v>
      </c>
      <c r="Q1219" s="391">
        <f>+N1219+O1219+P1219</f>
        <v>0</v>
      </c>
      <c r="R1219" s="761"/>
      <c r="S1219" s="267" t="str">
        <f t="shared" si="450"/>
        <v/>
      </c>
      <c r="T1219" s="267" t="str">
        <f t="shared" si="450"/>
        <v/>
      </c>
      <c r="U1219" s="267" t="str">
        <f t="shared" si="450"/>
        <v/>
      </c>
      <c r="V1219" s="267" t="str">
        <f t="shared" si="449"/>
        <v/>
      </c>
      <c r="W1219" s="532"/>
      <c r="Y1219" s="236" t="s">
        <v>598</v>
      </c>
      <c r="Z1219" s="240" t="s">
        <v>598</v>
      </c>
    </row>
    <row r="1220" spans="1:26" ht="12" customHeight="1">
      <c r="A1220" s="548" t="s">
        <v>51</v>
      </c>
      <c r="B1220" s="548" t="s">
        <v>261</v>
      </c>
      <c r="C1220" s="456"/>
      <c r="D1220" s="549"/>
      <c r="E1220" s="462" t="s">
        <v>290</v>
      </c>
      <c r="F1220" s="103">
        <v>0</v>
      </c>
      <c r="G1220" s="103">
        <f>SUM([3]BUREAUS!AB223)</f>
        <v>0</v>
      </c>
      <c r="H1220" s="103">
        <f>SUM([3]BUREAUS!AB316)</f>
        <v>0</v>
      </c>
      <c r="I1220" s="103">
        <f>+F1220+G1220+H1220</f>
        <v>0</v>
      </c>
      <c r="J1220" s="103">
        <v>0</v>
      </c>
      <c r="K1220" s="103">
        <f>SUM([3]BUREAUS!AB224)</f>
        <v>0</v>
      </c>
      <c r="L1220" s="103">
        <f>SUM([3]BUREAUS!AB317)</f>
        <v>0</v>
      </c>
      <c r="M1220" s="103">
        <f>+J1220+K1220+L1220</f>
        <v>0</v>
      </c>
      <c r="N1220" s="103">
        <f t="shared" si="467"/>
        <v>0</v>
      </c>
      <c r="O1220" s="103">
        <f t="shared" si="467"/>
        <v>0</v>
      </c>
      <c r="P1220" s="103">
        <f t="shared" si="467"/>
        <v>0</v>
      </c>
      <c r="Q1220" s="103">
        <f>+N1220+O1220+P1220</f>
        <v>0</v>
      </c>
      <c r="S1220" s="267" t="str">
        <f t="shared" si="450"/>
        <v/>
      </c>
      <c r="T1220" s="267" t="str">
        <f t="shared" si="450"/>
        <v/>
      </c>
      <c r="U1220" s="267" t="str">
        <f t="shared" si="450"/>
        <v/>
      </c>
      <c r="V1220" s="267" t="str">
        <f t="shared" si="449"/>
        <v/>
      </c>
      <c r="W1220" s="530"/>
      <c r="X1220" s="236"/>
      <c r="Y1220" s="236" t="s">
        <v>598</v>
      </c>
      <c r="Z1220" s="236"/>
    </row>
    <row r="1221" spans="1:26" s="259" customFormat="1" ht="12" customHeight="1">
      <c r="A1221" s="315" t="s">
        <v>51</v>
      </c>
      <c r="B1221" s="315" t="s">
        <v>261</v>
      </c>
      <c r="C1221" s="1096"/>
      <c r="D1221" s="466"/>
      <c r="E1221" s="1097" t="s">
        <v>4</v>
      </c>
      <c r="F1221" s="652">
        <f>+F1219+F1217</f>
        <v>0</v>
      </c>
      <c r="G1221" s="652">
        <f t="shared" ref="G1221:Q1221" si="468">+G1219+G1217</f>
        <v>14634206.220000001</v>
      </c>
      <c r="H1221" s="652">
        <f t="shared" si="468"/>
        <v>0</v>
      </c>
      <c r="I1221" s="652">
        <f t="shared" si="468"/>
        <v>14634206.220000001</v>
      </c>
      <c r="J1221" s="652">
        <f t="shared" si="468"/>
        <v>0</v>
      </c>
      <c r="K1221" s="652">
        <f t="shared" si="468"/>
        <v>4132425.0799999996</v>
      </c>
      <c r="L1221" s="652">
        <f t="shared" si="468"/>
        <v>0</v>
      </c>
      <c r="M1221" s="652">
        <f t="shared" si="468"/>
        <v>4132425.0799999996</v>
      </c>
      <c r="N1221" s="652">
        <f t="shared" si="468"/>
        <v>0</v>
      </c>
      <c r="O1221" s="652">
        <f t="shared" si="468"/>
        <v>10501781.140000001</v>
      </c>
      <c r="P1221" s="652">
        <f t="shared" si="468"/>
        <v>0</v>
      </c>
      <c r="Q1221" s="652">
        <f t="shared" si="468"/>
        <v>10501781.140000001</v>
      </c>
      <c r="R1221" s="1095">
        <f>+Q1221-[3]BUREAUS!AZ353</f>
        <v>0</v>
      </c>
      <c r="S1221" s="524" t="str">
        <f t="shared" si="450"/>
        <v/>
      </c>
      <c r="T1221" s="524">
        <f t="shared" si="450"/>
        <v>0.28238122504740809</v>
      </c>
      <c r="U1221" s="524" t="str">
        <f t="shared" si="450"/>
        <v/>
      </c>
      <c r="V1221" s="524">
        <f t="shared" si="449"/>
        <v>0.28238122504740809</v>
      </c>
      <c r="W1221" s="344"/>
      <c r="X1221" s="520"/>
      <c r="Y1221" s="837" t="s">
        <v>598</v>
      </c>
      <c r="Z1221" s="241" t="s">
        <v>598</v>
      </c>
    </row>
    <row r="1222" spans="1:26" ht="12" customHeight="1">
      <c r="A1222" s="315" t="s">
        <v>51</v>
      </c>
      <c r="B1222" s="315" t="s">
        <v>261</v>
      </c>
      <c r="C1222" s="456"/>
      <c r="D1222" s="456"/>
      <c r="E1222" s="46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S1222" s="267" t="str">
        <f t="shared" si="450"/>
        <v/>
      </c>
      <c r="T1222" s="267" t="str">
        <f t="shared" si="450"/>
        <v/>
      </c>
      <c r="U1222" s="267" t="str">
        <f t="shared" si="450"/>
        <v/>
      </c>
      <c r="V1222" s="267" t="str">
        <f t="shared" si="449"/>
        <v/>
      </c>
      <c r="W1222" s="267"/>
      <c r="Y1222" s="837" t="s">
        <v>598</v>
      </c>
      <c r="Z1222" s="241" t="s">
        <v>598</v>
      </c>
    </row>
    <row r="1223" spans="1:26" s="275" customFormat="1" ht="12" customHeight="1">
      <c r="A1223" s="548" t="s">
        <v>51</v>
      </c>
      <c r="B1223" s="548" t="s">
        <v>263</v>
      </c>
      <c r="C1223" s="464" t="s">
        <v>98</v>
      </c>
      <c r="D1223" s="788" t="s">
        <v>107</v>
      </c>
      <c r="E1223" s="407" t="s">
        <v>264</v>
      </c>
      <c r="F1223" s="468"/>
      <c r="G1223" s="468"/>
      <c r="H1223" s="468"/>
      <c r="I1223" s="409">
        <f t="shared" si="457"/>
        <v>0</v>
      </c>
      <c r="J1223" s="468"/>
      <c r="K1223" s="468"/>
      <c r="L1223" s="468"/>
      <c r="M1223" s="409">
        <f t="shared" si="458"/>
        <v>0</v>
      </c>
      <c r="N1223" s="409">
        <f t="shared" si="459"/>
        <v>0</v>
      </c>
      <c r="O1223" s="409">
        <f t="shared" si="459"/>
        <v>0</v>
      </c>
      <c r="P1223" s="409">
        <f t="shared" si="459"/>
        <v>0</v>
      </c>
      <c r="Q1223" s="409">
        <f t="shared" si="460"/>
        <v>0</v>
      </c>
      <c r="R1223" s="761"/>
      <c r="S1223" s="267" t="str">
        <f t="shared" si="450"/>
        <v/>
      </c>
      <c r="T1223" s="267" t="str">
        <f t="shared" si="450"/>
        <v/>
      </c>
      <c r="U1223" s="267" t="str">
        <f t="shared" si="450"/>
        <v/>
      </c>
      <c r="V1223" s="267" t="str">
        <f t="shared" si="449"/>
        <v/>
      </c>
      <c r="W1223" s="553"/>
      <c r="Y1223" s="236" t="s">
        <v>598</v>
      </c>
      <c r="Z1223" s="240" t="s">
        <v>598</v>
      </c>
    </row>
    <row r="1224" spans="1:26" ht="12" customHeight="1">
      <c r="A1224" s="548" t="s">
        <v>51</v>
      </c>
      <c r="B1224" s="548" t="s">
        <v>263</v>
      </c>
      <c r="C1224" s="447" t="s">
        <v>766</v>
      </c>
      <c r="D1224" s="549" t="s">
        <v>98</v>
      </c>
      <c r="E1224" s="447" t="s">
        <v>766</v>
      </c>
      <c r="F1224" s="104">
        <f>+[3]BUREAUS!C440</f>
        <v>0</v>
      </c>
      <c r="G1224" s="104">
        <f>+[3]BUREAUS!D440</f>
        <v>1027334.04</v>
      </c>
      <c r="H1224" s="104">
        <f>+[3]BUREAUS!E440</f>
        <v>1154652</v>
      </c>
      <c r="I1224" s="103">
        <f t="shared" si="457"/>
        <v>2181986.04</v>
      </c>
      <c r="J1224" s="104">
        <f>+[3]BUREAUS!G440</f>
        <v>0</v>
      </c>
      <c r="K1224" s="104">
        <f>+[3]BUREAUS!H440</f>
        <v>463380</v>
      </c>
      <c r="L1224" s="104">
        <f>+[3]BUREAUS!I440</f>
        <v>0</v>
      </c>
      <c r="M1224" s="103">
        <f t="shared" si="458"/>
        <v>463380</v>
      </c>
      <c r="N1224" s="103">
        <f t="shared" si="459"/>
        <v>0</v>
      </c>
      <c r="O1224" s="103">
        <f t="shared" si="459"/>
        <v>563954.04</v>
      </c>
      <c r="P1224" s="103">
        <f t="shared" si="459"/>
        <v>1154652</v>
      </c>
      <c r="Q1224" s="103">
        <f t="shared" si="460"/>
        <v>1718606.04</v>
      </c>
      <c r="S1224" s="267" t="str">
        <f t="shared" si="450"/>
        <v/>
      </c>
      <c r="T1224" s="267">
        <f t="shared" si="450"/>
        <v>0.45105095514989457</v>
      </c>
      <c r="U1224" s="267">
        <f t="shared" si="450"/>
        <v>0</v>
      </c>
      <c r="V1224" s="267">
        <f t="shared" si="449"/>
        <v>0.21236616160935659</v>
      </c>
      <c r="W1224" s="530"/>
      <c r="X1224" s="236"/>
      <c r="Y1224" s="236" t="s">
        <v>688</v>
      </c>
      <c r="Z1224" s="236"/>
    </row>
    <row r="1225" spans="1:26" ht="12" customHeight="1">
      <c r="A1225" s="548" t="s">
        <v>51</v>
      </c>
      <c r="B1225" s="548" t="s">
        <v>263</v>
      </c>
      <c r="C1225" s="456"/>
      <c r="D1225" s="549" t="s">
        <v>98</v>
      </c>
      <c r="E1225" s="453" t="s">
        <v>50</v>
      </c>
      <c r="F1225" s="103">
        <f>+F1226+F1227</f>
        <v>0</v>
      </c>
      <c r="G1225" s="103">
        <f>+G1226+G1227</f>
        <v>0</v>
      </c>
      <c r="H1225" s="103">
        <f>+H1226+H1227</f>
        <v>0</v>
      </c>
      <c r="I1225" s="103">
        <f t="shared" si="457"/>
        <v>0</v>
      </c>
      <c r="J1225" s="103">
        <f>+J1226+J1227</f>
        <v>0</v>
      </c>
      <c r="K1225" s="103">
        <f>+K1226+K1227</f>
        <v>0</v>
      </c>
      <c r="L1225" s="103">
        <f>+L1226+L1227</f>
        <v>0</v>
      </c>
      <c r="M1225" s="103">
        <f t="shared" si="458"/>
        <v>0</v>
      </c>
      <c r="N1225" s="103">
        <f t="shared" si="459"/>
        <v>0</v>
      </c>
      <c r="O1225" s="103">
        <f t="shared" si="459"/>
        <v>0</v>
      </c>
      <c r="P1225" s="103">
        <f t="shared" si="459"/>
        <v>0</v>
      </c>
      <c r="Q1225" s="103">
        <f t="shared" si="460"/>
        <v>0</v>
      </c>
      <c r="S1225" s="267" t="str">
        <f t="shared" si="450"/>
        <v/>
      </c>
      <c r="T1225" s="267" t="str">
        <f t="shared" si="450"/>
        <v/>
      </c>
      <c r="U1225" s="267" t="str">
        <f t="shared" si="450"/>
        <v/>
      </c>
      <c r="V1225" s="267" t="str">
        <f t="shared" si="449"/>
        <v/>
      </c>
      <c r="W1225" s="530"/>
      <c r="X1225" s="236"/>
      <c r="Y1225" s="236" t="s">
        <v>688</v>
      </c>
      <c r="Z1225" s="236"/>
    </row>
    <row r="1226" spans="1:26" ht="12" hidden="1" customHeight="1">
      <c r="A1226" s="548" t="s">
        <v>51</v>
      </c>
      <c r="B1226" s="548" t="s">
        <v>263</v>
      </c>
      <c r="C1226" s="458" t="s">
        <v>715</v>
      </c>
      <c r="D1226" s="550" t="s">
        <v>715</v>
      </c>
      <c r="E1226" s="459" t="s">
        <v>715</v>
      </c>
      <c r="F1226" s="104">
        <f>'[3]CONAP - W INC'!F923</f>
        <v>0</v>
      </c>
      <c r="G1226" s="104">
        <f>'[3]CONAP - W INC'!G923</f>
        <v>0</v>
      </c>
      <c r="H1226" s="104">
        <f>'[3]CONAP - W INC'!H923</f>
        <v>0</v>
      </c>
      <c r="I1226" s="103">
        <f t="shared" si="457"/>
        <v>0</v>
      </c>
      <c r="J1226" s="104">
        <f>'[3]CONAP - W INC'!J923</f>
        <v>0</v>
      </c>
      <c r="K1226" s="104">
        <f>'[3]CONAP - W INC'!K923</f>
        <v>0</v>
      </c>
      <c r="L1226" s="104">
        <f>'[3]CONAP - W INC'!L923</f>
        <v>0</v>
      </c>
      <c r="M1226" s="103">
        <f t="shared" si="458"/>
        <v>0</v>
      </c>
      <c r="N1226" s="103">
        <f t="shared" si="459"/>
        <v>0</v>
      </c>
      <c r="O1226" s="103">
        <f t="shared" si="459"/>
        <v>0</v>
      </c>
      <c r="P1226" s="103">
        <f t="shared" si="459"/>
        <v>0</v>
      </c>
      <c r="Q1226" s="103">
        <f t="shared" si="460"/>
        <v>0</v>
      </c>
      <c r="S1226" s="267" t="str">
        <f t="shared" si="450"/>
        <v/>
      </c>
      <c r="T1226" s="267" t="str">
        <f t="shared" si="450"/>
        <v/>
      </c>
      <c r="U1226" s="267" t="str">
        <f t="shared" si="450"/>
        <v/>
      </c>
      <c r="V1226" s="267" t="str">
        <f t="shared" si="449"/>
        <v/>
      </c>
      <c r="W1226" s="530"/>
      <c r="X1226" s="236"/>
      <c r="Y1226" s="236"/>
      <c r="Z1226" s="236"/>
    </row>
    <row r="1227" spans="1:26" ht="12" hidden="1" customHeight="1">
      <c r="A1227" s="548" t="s">
        <v>51</v>
      </c>
      <c r="B1227" s="548" t="s">
        <v>263</v>
      </c>
      <c r="C1227" s="458" t="s">
        <v>716</v>
      </c>
      <c r="D1227" s="550" t="s">
        <v>716</v>
      </c>
      <c r="E1227" s="459" t="s">
        <v>716</v>
      </c>
      <c r="F1227" s="104">
        <f>'[3]CONAP - W INC'!F924</f>
        <v>0</v>
      </c>
      <c r="G1227" s="104">
        <f>'[3]CONAP - W INC'!G924</f>
        <v>0</v>
      </c>
      <c r="H1227" s="104">
        <f>'[3]CONAP - W INC'!H924</f>
        <v>0</v>
      </c>
      <c r="I1227" s="103">
        <f t="shared" si="457"/>
        <v>0</v>
      </c>
      <c r="J1227" s="104">
        <f>'[3]CONAP - W INC'!J924</f>
        <v>0</v>
      </c>
      <c r="K1227" s="104">
        <f>'[3]CONAP - W INC'!K924</f>
        <v>0</v>
      </c>
      <c r="L1227" s="104">
        <f>'[3]CONAP - W INC'!L924</f>
        <v>0</v>
      </c>
      <c r="M1227" s="103">
        <f t="shared" si="458"/>
        <v>0</v>
      </c>
      <c r="N1227" s="103">
        <f t="shared" si="459"/>
        <v>0</v>
      </c>
      <c r="O1227" s="103">
        <f t="shared" si="459"/>
        <v>0</v>
      </c>
      <c r="P1227" s="103">
        <f t="shared" si="459"/>
        <v>0</v>
      </c>
      <c r="Q1227" s="103">
        <f t="shared" si="460"/>
        <v>0</v>
      </c>
      <c r="S1227" s="267" t="str">
        <f t="shared" si="450"/>
        <v/>
      </c>
      <c r="T1227" s="267" t="str">
        <f t="shared" si="450"/>
        <v/>
      </c>
      <c r="U1227" s="267" t="str">
        <f t="shared" si="450"/>
        <v/>
      </c>
      <c r="V1227" s="267" t="str">
        <f t="shared" si="449"/>
        <v/>
      </c>
      <c r="W1227" s="530"/>
      <c r="X1227" s="236"/>
      <c r="Y1227" s="236"/>
      <c r="Z1227" s="236"/>
    </row>
    <row r="1228" spans="1:26" s="256" customFormat="1" ht="12" customHeight="1">
      <c r="A1228" s="548"/>
      <c r="B1228" s="548" t="s">
        <v>263</v>
      </c>
      <c r="C1228" s="460"/>
      <c r="D1228" s="551"/>
      <c r="E1228" s="390" t="s">
        <v>767</v>
      </c>
      <c r="F1228" s="391">
        <f>+F1225+F1224</f>
        <v>0</v>
      </c>
      <c r="G1228" s="391">
        <f t="shared" ref="G1228:Q1228" si="469">+G1225+G1224</f>
        <v>1027334.04</v>
      </c>
      <c r="H1228" s="391">
        <f t="shared" si="469"/>
        <v>1154652</v>
      </c>
      <c r="I1228" s="391">
        <f t="shared" si="469"/>
        <v>2181986.04</v>
      </c>
      <c r="J1228" s="391">
        <f t="shared" si="469"/>
        <v>0</v>
      </c>
      <c r="K1228" s="391">
        <f t="shared" si="469"/>
        <v>463380</v>
      </c>
      <c r="L1228" s="391">
        <f t="shared" si="469"/>
        <v>0</v>
      </c>
      <c r="M1228" s="391">
        <f t="shared" si="469"/>
        <v>463380</v>
      </c>
      <c r="N1228" s="391">
        <f t="shared" si="469"/>
        <v>0</v>
      </c>
      <c r="O1228" s="391">
        <f t="shared" si="469"/>
        <v>563954.04</v>
      </c>
      <c r="P1228" s="391">
        <f t="shared" si="469"/>
        <v>1154652</v>
      </c>
      <c r="Q1228" s="391">
        <f t="shared" si="469"/>
        <v>1718606.04</v>
      </c>
      <c r="R1228" s="761"/>
      <c r="S1228" s="267" t="str">
        <f t="shared" si="450"/>
        <v/>
      </c>
      <c r="T1228" s="267">
        <f t="shared" si="450"/>
        <v>0.45105095514989457</v>
      </c>
      <c r="U1228" s="267">
        <f t="shared" si="450"/>
        <v>0</v>
      </c>
      <c r="V1228" s="267">
        <f t="shared" si="449"/>
        <v>0.21236616160935659</v>
      </c>
      <c r="W1228" s="532"/>
      <c r="Y1228" s="236" t="s">
        <v>598</v>
      </c>
      <c r="Z1228" s="240" t="s">
        <v>598</v>
      </c>
    </row>
    <row r="1229" spans="1:26" ht="12" hidden="1" customHeight="1">
      <c r="A1229" s="548"/>
      <c r="B1229" s="548"/>
      <c r="C1229" s="456"/>
      <c r="D1229" s="549"/>
      <c r="E1229" s="461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S1229" s="267" t="str">
        <f t="shared" si="450"/>
        <v/>
      </c>
      <c r="T1229" s="267" t="str">
        <f t="shared" si="450"/>
        <v/>
      </c>
      <c r="U1229" s="267" t="str">
        <f t="shared" si="450"/>
        <v/>
      </c>
      <c r="V1229" s="267" t="str">
        <f t="shared" si="449"/>
        <v/>
      </c>
      <c r="W1229" s="530"/>
      <c r="X1229" s="236"/>
      <c r="Y1229" s="236"/>
      <c r="Z1229" s="236"/>
    </row>
    <row r="1230" spans="1:26" s="256" customFormat="1" ht="12" customHeight="1">
      <c r="A1230" s="548" t="s">
        <v>51</v>
      </c>
      <c r="B1230" s="548" t="s">
        <v>263</v>
      </c>
      <c r="C1230" s="460"/>
      <c r="D1230" s="551" t="s">
        <v>98</v>
      </c>
      <c r="E1230" s="390" t="s">
        <v>100</v>
      </c>
      <c r="F1230" s="391">
        <f>SUM(F1231:F1231)</f>
        <v>0</v>
      </c>
      <c r="G1230" s="391">
        <f>SUM(G1231:G1231)</f>
        <v>0</v>
      </c>
      <c r="H1230" s="391">
        <f>SUM(H1231:H1231)</f>
        <v>0</v>
      </c>
      <c r="I1230" s="391">
        <f>+F1230+G1230+H1230</f>
        <v>0</v>
      </c>
      <c r="J1230" s="391">
        <f>SUM(J1231:J1231)</f>
        <v>0</v>
      </c>
      <c r="K1230" s="391">
        <f>SUM(K1231:K1231)</f>
        <v>0</v>
      </c>
      <c r="L1230" s="391">
        <f>SUM(L1231:L1231)</f>
        <v>0</v>
      </c>
      <c r="M1230" s="391">
        <f>+J1230+K1230+L1230</f>
        <v>0</v>
      </c>
      <c r="N1230" s="391">
        <f t="shared" ref="N1230:P1231" si="470">+F1230-J1230</f>
        <v>0</v>
      </c>
      <c r="O1230" s="391">
        <f t="shared" si="470"/>
        <v>0</v>
      </c>
      <c r="P1230" s="391">
        <f t="shared" si="470"/>
        <v>0</v>
      </c>
      <c r="Q1230" s="391">
        <f>+N1230+O1230+P1230</f>
        <v>0</v>
      </c>
      <c r="R1230" s="761"/>
      <c r="S1230" s="267" t="str">
        <f t="shared" si="450"/>
        <v/>
      </c>
      <c r="T1230" s="267" t="str">
        <f t="shared" si="450"/>
        <v/>
      </c>
      <c r="U1230" s="267" t="str">
        <f t="shared" si="450"/>
        <v/>
      </c>
      <c r="V1230" s="267" t="str">
        <f t="shared" si="449"/>
        <v/>
      </c>
      <c r="W1230" s="532"/>
      <c r="Y1230" s="236" t="s">
        <v>598</v>
      </c>
      <c r="Z1230" s="240" t="s">
        <v>598</v>
      </c>
    </row>
    <row r="1231" spans="1:26" ht="12" customHeight="1">
      <c r="A1231" s="548" t="s">
        <v>51</v>
      </c>
      <c r="B1231" s="548" t="s">
        <v>263</v>
      </c>
      <c r="C1231" s="456"/>
      <c r="D1231" s="549"/>
      <c r="E1231" s="462" t="s">
        <v>290</v>
      </c>
      <c r="F1231" s="103">
        <v>0</v>
      </c>
      <c r="G1231" s="103">
        <f>SUM([3]BUREAUS!AC223)</f>
        <v>0</v>
      </c>
      <c r="H1231" s="103">
        <f>SUM([3]BUREAUS!AC316)</f>
        <v>0</v>
      </c>
      <c r="I1231" s="103">
        <f>+F1231+G1231+H1231</f>
        <v>0</v>
      </c>
      <c r="J1231" s="103">
        <v>0</v>
      </c>
      <c r="K1231" s="103">
        <f>SUM([3]BUREAUS!AC224)</f>
        <v>0</v>
      </c>
      <c r="L1231" s="103">
        <f>SUM([3]BUREAUS!AC317)</f>
        <v>0</v>
      </c>
      <c r="M1231" s="103">
        <f>+J1231+K1231+L1231</f>
        <v>0</v>
      </c>
      <c r="N1231" s="103">
        <f t="shared" si="470"/>
        <v>0</v>
      </c>
      <c r="O1231" s="103">
        <f t="shared" si="470"/>
        <v>0</v>
      </c>
      <c r="P1231" s="103">
        <f t="shared" si="470"/>
        <v>0</v>
      </c>
      <c r="Q1231" s="103">
        <f>+N1231+O1231+P1231</f>
        <v>0</v>
      </c>
      <c r="S1231" s="267" t="str">
        <f t="shared" si="450"/>
        <v/>
      </c>
      <c r="T1231" s="267" t="str">
        <f t="shared" si="450"/>
        <v/>
      </c>
      <c r="U1231" s="267" t="str">
        <f t="shared" si="450"/>
        <v/>
      </c>
      <c r="V1231" s="267" t="str">
        <f t="shared" si="449"/>
        <v/>
      </c>
      <c r="W1231" s="530"/>
      <c r="X1231" s="236"/>
      <c r="Y1231" s="236" t="s">
        <v>598</v>
      </c>
      <c r="Z1231" s="236"/>
    </row>
    <row r="1232" spans="1:26" s="259" customFormat="1" ht="12" customHeight="1">
      <c r="A1232" s="315" t="s">
        <v>51</v>
      </c>
      <c r="B1232" s="315" t="s">
        <v>263</v>
      </c>
      <c r="C1232" s="1096"/>
      <c r="D1232" s="466"/>
      <c r="E1232" s="1097" t="s">
        <v>4</v>
      </c>
      <c r="F1232" s="652">
        <f>+F1230+F1228</f>
        <v>0</v>
      </c>
      <c r="G1232" s="652">
        <f t="shared" ref="G1232:Q1232" si="471">+G1230+G1228</f>
        <v>1027334.04</v>
      </c>
      <c r="H1232" s="652">
        <f t="shared" si="471"/>
        <v>1154652</v>
      </c>
      <c r="I1232" s="652">
        <f t="shared" si="471"/>
        <v>2181986.04</v>
      </c>
      <c r="J1232" s="652">
        <f t="shared" si="471"/>
        <v>0</v>
      </c>
      <c r="K1232" s="652">
        <f t="shared" si="471"/>
        <v>463380</v>
      </c>
      <c r="L1232" s="652">
        <f t="shared" si="471"/>
        <v>0</v>
      </c>
      <c r="M1232" s="652">
        <f t="shared" si="471"/>
        <v>463380</v>
      </c>
      <c r="N1232" s="652">
        <f t="shared" si="471"/>
        <v>0</v>
      </c>
      <c r="O1232" s="652">
        <f t="shared" si="471"/>
        <v>563954.04</v>
      </c>
      <c r="P1232" s="652">
        <f t="shared" si="471"/>
        <v>1154652</v>
      </c>
      <c r="Q1232" s="652">
        <f t="shared" si="471"/>
        <v>1718606.04</v>
      </c>
      <c r="R1232" s="1095">
        <f>+Q1232-[3]BUREAUS!BA353</f>
        <v>0</v>
      </c>
      <c r="S1232" s="524" t="str">
        <f t="shared" si="450"/>
        <v/>
      </c>
      <c r="T1232" s="524">
        <f t="shared" si="450"/>
        <v>0.45105095514989457</v>
      </c>
      <c r="U1232" s="524">
        <f t="shared" si="450"/>
        <v>0</v>
      </c>
      <c r="V1232" s="524">
        <f t="shared" si="449"/>
        <v>0.21236616160935659</v>
      </c>
      <c r="W1232" s="344"/>
      <c r="X1232" s="520"/>
      <c r="Y1232" s="837" t="s">
        <v>598</v>
      </c>
      <c r="Z1232" s="241" t="s">
        <v>598</v>
      </c>
    </row>
    <row r="1233" spans="1:26" ht="12" customHeight="1">
      <c r="A1233" s="315" t="s">
        <v>51</v>
      </c>
      <c r="B1233" s="315" t="s">
        <v>263</v>
      </c>
      <c r="C1233" s="456"/>
      <c r="D1233" s="456"/>
      <c r="E1233" s="46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S1233" s="267" t="str">
        <f t="shared" si="450"/>
        <v/>
      </c>
      <c r="T1233" s="267" t="str">
        <f t="shared" si="450"/>
        <v/>
      </c>
      <c r="U1233" s="267" t="str">
        <f t="shared" si="450"/>
        <v/>
      </c>
      <c r="V1233" s="267" t="str">
        <f t="shared" si="449"/>
        <v/>
      </c>
      <c r="W1233" s="267"/>
      <c r="Y1233" s="837" t="s">
        <v>598</v>
      </c>
      <c r="Z1233" s="241" t="s">
        <v>598</v>
      </c>
    </row>
    <row r="1234" spans="1:26" s="275" customFormat="1" ht="12" customHeight="1">
      <c r="A1234" s="548" t="s">
        <v>51</v>
      </c>
      <c r="B1234" s="548" t="s">
        <v>265</v>
      </c>
      <c r="C1234" s="464" t="s">
        <v>98</v>
      </c>
      <c r="D1234" s="788" t="s">
        <v>109</v>
      </c>
      <c r="E1234" s="407" t="s">
        <v>266</v>
      </c>
      <c r="F1234" s="468"/>
      <c r="G1234" s="468"/>
      <c r="H1234" s="468"/>
      <c r="I1234" s="409">
        <f t="shared" si="457"/>
        <v>0</v>
      </c>
      <c r="J1234" s="468"/>
      <c r="K1234" s="468"/>
      <c r="L1234" s="468"/>
      <c r="M1234" s="409">
        <f t="shared" si="458"/>
        <v>0</v>
      </c>
      <c r="N1234" s="409">
        <f t="shared" si="459"/>
        <v>0</v>
      </c>
      <c r="O1234" s="409">
        <f t="shared" si="459"/>
        <v>0</v>
      </c>
      <c r="P1234" s="409">
        <f t="shared" si="459"/>
        <v>0</v>
      </c>
      <c r="Q1234" s="409">
        <f t="shared" si="460"/>
        <v>0</v>
      </c>
      <c r="R1234" s="761"/>
      <c r="S1234" s="267" t="str">
        <f t="shared" si="450"/>
        <v/>
      </c>
      <c r="T1234" s="267" t="str">
        <f t="shared" si="450"/>
        <v/>
      </c>
      <c r="U1234" s="267" t="str">
        <f t="shared" si="450"/>
        <v/>
      </c>
      <c r="V1234" s="267" t="str">
        <f t="shared" si="449"/>
        <v/>
      </c>
      <c r="W1234" s="553"/>
      <c r="Y1234" s="236" t="s">
        <v>598</v>
      </c>
      <c r="Z1234" s="240" t="s">
        <v>598</v>
      </c>
    </row>
    <row r="1235" spans="1:26" ht="12" customHeight="1">
      <c r="A1235" s="548" t="s">
        <v>51</v>
      </c>
      <c r="B1235" s="548" t="s">
        <v>265</v>
      </c>
      <c r="C1235" s="447" t="s">
        <v>766</v>
      </c>
      <c r="D1235" s="549" t="s">
        <v>98</v>
      </c>
      <c r="E1235" s="447" t="s">
        <v>766</v>
      </c>
      <c r="F1235" s="104">
        <f>+[3]BUREAUS!C447</f>
        <v>0</v>
      </c>
      <c r="G1235" s="104">
        <f>+[3]BUREAUS!D447</f>
        <v>1836534</v>
      </c>
      <c r="H1235" s="104">
        <f>+[3]BUREAUS!E447</f>
        <v>0</v>
      </c>
      <c r="I1235" s="103">
        <f t="shared" si="457"/>
        <v>1836534</v>
      </c>
      <c r="J1235" s="104">
        <f>+[3]BUREAUS!G447</f>
        <v>0</v>
      </c>
      <c r="K1235" s="104">
        <f>+[3]BUREAUS!H447</f>
        <v>1529914</v>
      </c>
      <c r="L1235" s="104">
        <f>+[3]BUREAUS!I447</f>
        <v>0</v>
      </c>
      <c r="M1235" s="103">
        <f t="shared" si="458"/>
        <v>1529914</v>
      </c>
      <c r="N1235" s="103">
        <f t="shared" si="459"/>
        <v>0</v>
      </c>
      <c r="O1235" s="103">
        <f t="shared" si="459"/>
        <v>306620</v>
      </c>
      <c r="P1235" s="103">
        <f t="shared" si="459"/>
        <v>0</v>
      </c>
      <c r="Q1235" s="103">
        <f t="shared" si="460"/>
        <v>306620</v>
      </c>
      <c r="S1235" s="267" t="str">
        <f t="shared" si="450"/>
        <v/>
      </c>
      <c r="T1235" s="267">
        <f t="shared" si="450"/>
        <v>0.833044201740888</v>
      </c>
      <c r="U1235" s="267" t="str">
        <f t="shared" si="450"/>
        <v/>
      </c>
      <c r="V1235" s="267">
        <f t="shared" si="449"/>
        <v>0.833044201740888</v>
      </c>
      <c r="W1235" s="530"/>
      <c r="X1235" s="236"/>
      <c r="Y1235" s="236" t="s">
        <v>688</v>
      </c>
      <c r="Z1235" s="236"/>
    </row>
    <row r="1236" spans="1:26" ht="12" customHeight="1">
      <c r="A1236" s="548" t="s">
        <v>51</v>
      </c>
      <c r="B1236" s="548" t="s">
        <v>265</v>
      </c>
      <c r="C1236" s="456"/>
      <c r="D1236" s="549" t="s">
        <v>98</v>
      </c>
      <c r="E1236" s="453" t="s">
        <v>50</v>
      </c>
      <c r="F1236" s="103">
        <f>+F1237+F1238</f>
        <v>0</v>
      </c>
      <c r="G1236" s="103">
        <f>+G1237+G1238</f>
        <v>0</v>
      </c>
      <c r="H1236" s="103">
        <f>+H1237+H1238</f>
        <v>0</v>
      </c>
      <c r="I1236" s="103">
        <f t="shared" si="457"/>
        <v>0</v>
      </c>
      <c r="J1236" s="103">
        <f>+J1237+J1238</f>
        <v>0</v>
      </c>
      <c r="K1236" s="103">
        <f>+K1237+K1238</f>
        <v>0</v>
      </c>
      <c r="L1236" s="103">
        <f>+L1237+L1238</f>
        <v>0</v>
      </c>
      <c r="M1236" s="103">
        <f t="shared" si="458"/>
        <v>0</v>
      </c>
      <c r="N1236" s="103">
        <f t="shared" si="459"/>
        <v>0</v>
      </c>
      <c r="O1236" s="103">
        <f t="shared" si="459"/>
        <v>0</v>
      </c>
      <c r="P1236" s="103">
        <f t="shared" si="459"/>
        <v>0</v>
      </c>
      <c r="Q1236" s="103">
        <f t="shared" si="460"/>
        <v>0</v>
      </c>
      <c r="S1236" s="267" t="str">
        <f t="shared" si="450"/>
        <v/>
      </c>
      <c r="T1236" s="267" t="str">
        <f t="shared" si="450"/>
        <v/>
      </c>
      <c r="U1236" s="267" t="str">
        <f t="shared" si="450"/>
        <v/>
      </c>
      <c r="V1236" s="267" t="str">
        <f t="shared" si="449"/>
        <v/>
      </c>
      <c r="W1236" s="530"/>
      <c r="X1236" s="236"/>
      <c r="Y1236" s="236" t="s">
        <v>688</v>
      </c>
      <c r="Z1236" s="236"/>
    </row>
    <row r="1237" spans="1:26" ht="12" hidden="1" customHeight="1">
      <c r="A1237" s="548" t="s">
        <v>51</v>
      </c>
      <c r="B1237" s="548" t="s">
        <v>265</v>
      </c>
      <c r="C1237" s="458" t="s">
        <v>715</v>
      </c>
      <c r="D1237" s="550" t="s">
        <v>715</v>
      </c>
      <c r="E1237" s="459" t="s">
        <v>715</v>
      </c>
      <c r="F1237" s="104">
        <f>'[3]CONAP - W INC'!F931</f>
        <v>0</v>
      </c>
      <c r="G1237" s="104">
        <f>'[3]CONAP - W INC'!G931</f>
        <v>0</v>
      </c>
      <c r="H1237" s="104">
        <f>'[3]CONAP - W INC'!H931</f>
        <v>0</v>
      </c>
      <c r="I1237" s="103">
        <f t="shared" si="457"/>
        <v>0</v>
      </c>
      <c r="J1237" s="104">
        <f>'[3]CONAP - W INC'!J931</f>
        <v>0</v>
      </c>
      <c r="K1237" s="104">
        <f>'[3]CONAP - W INC'!K931</f>
        <v>0</v>
      </c>
      <c r="L1237" s="104">
        <f>'[3]CONAP - W INC'!L931</f>
        <v>0</v>
      </c>
      <c r="M1237" s="103">
        <f t="shared" si="458"/>
        <v>0</v>
      </c>
      <c r="N1237" s="103">
        <f t="shared" si="459"/>
        <v>0</v>
      </c>
      <c r="O1237" s="103">
        <f t="shared" si="459"/>
        <v>0</v>
      </c>
      <c r="P1237" s="103">
        <f t="shared" si="459"/>
        <v>0</v>
      </c>
      <c r="Q1237" s="103">
        <f t="shared" si="460"/>
        <v>0</v>
      </c>
      <c r="S1237" s="267" t="str">
        <f t="shared" si="450"/>
        <v/>
      </c>
      <c r="T1237" s="267" t="str">
        <f t="shared" si="450"/>
        <v/>
      </c>
      <c r="U1237" s="267" t="str">
        <f t="shared" si="450"/>
        <v/>
      </c>
      <c r="V1237" s="267" t="str">
        <f t="shared" si="449"/>
        <v/>
      </c>
      <c r="W1237" s="530"/>
      <c r="X1237" s="236"/>
      <c r="Y1237" s="236"/>
      <c r="Z1237" s="236"/>
    </row>
    <row r="1238" spans="1:26" ht="12" hidden="1" customHeight="1">
      <c r="A1238" s="548" t="s">
        <v>51</v>
      </c>
      <c r="B1238" s="548" t="s">
        <v>265</v>
      </c>
      <c r="C1238" s="458" t="s">
        <v>716</v>
      </c>
      <c r="D1238" s="550" t="s">
        <v>716</v>
      </c>
      <c r="E1238" s="459" t="s">
        <v>716</v>
      </c>
      <c r="F1238" s="104">
        <f>'[3]CONAP - W INC'!F932</f>
        <v>0</v>
      </c>
      <c r="G1238" s="104">
        <f>'[3]CONAP - W INC'!G932</f>
        <v>0</v>
      </c>
      <c r="H1238" s="104">
        <f>'[3]CONAP - W INC'!H932</f>
        <v>0</v>
      </c>
      <c r="I1238" s="103">
        <f t="shared" si="457"/>
        <v>0</v>
      </c>
      <c r="J1238" s="104">
        <f>'[3]CONAP - W INC'!J932</f>
        <v>0</v>
      </c>
      <c r="K1238" s="104">
        <f>'[3]CONAP - W INC'!K932</f>
        <v>0</v>
      </c>
      <c r="L1238" s="104">
        <f>'[3]CONAP - W INC'!L932</f>
        <v>0</v>
      </c>
      <c r="M1238" s="103">
        <f t="shared" si="458"/>
        <v>0</v>
      </c>
      <c r="N1238" s="103">
        <f t="shared" si="459"/>
        <v>0</v>
      </c>
      <c r="O1238" s="103">
        <f t="shared" si="459"/>
        <v>0</v>
      </c>
      <c r="P1238" s="103">
        <f t="shared" si="459"/>
        <v>0</v>
      </c>
      <c r="Q1238" s="103">
        <f t="shared" si="460"/>
        <v>0</v>
      </c>
      <c r="S1238" s="267" t="str">
        <f t="shared" si="450"/>
        <v/>
      </c>
      <c r="T1238" s="267" t="str">
        <f t="shared" si="450"/>
        <v/>
      </c>
      <c r="U1238" s="267" t="str">
        <f t="shared" si="450"/>
        <v/>
      </c>
      <c r="V1238" s="267" t="str">
        <f t="shared" si="449"/>
        <v/>
      </c>
      <c r="W1238" s="530"/>
      <c r="X1238" s="236"/>
      <c r="Y1238" s="236"/>
      <c r="Z1238" s="236"/>
    </row>
    <row r="1239" spans="1:26" s="256" customFormat="1" ht="12" customHeight="1">
      <c r="A1239" s="548"/>
      <c r="B1239" s="548" t="s">
        <v>265</v>
      </c>
      <c r="C1239" s="460"/>
      <c r="D1239" s="551"/>
      <c r="E1239" s="390" t="s">
        <v>767</v>
      </c>
      <c r="F1239" s="391">
        <f>+F1236+F1235</f>
        <v>0</v>
      </c>
      <c r="G1239" s="391">
        <f t="shared" ref="G1239:Q1239" si="472">+G1236+G1235</f>
        <v>1836534</v>
      </c>
      <c r="H1239" s="391">
        <f t="shared" si="472"/>
        <v>0</v>
      </c>
      <c r="I1239" s="391">
        <f t="shared" si="472"/>
        <v>1836534</v>
      </c>
      <c r="J1239" s="391">
        <f t="shared" si="472"/>
        <v>0</v>
      </c>
      <c r="K1239" s="391">
        <f t="shared" si="472"/>
        <v>1529914</v>
      </c>
      <c r="L1239" s="391">
        <f t="shared" si="472"/>
        <v>0</v>
      </c>
      <c r="M1239" s="391">
        <f t="shared" si="472"/>
        <v>1529914</v>
      </c>
      <c r="N1239" s="391">
        <f t="shared" si="472"/>
        <v>0</v>
      </c>
      <c r="O1239" s="391">
        <f t="shared" si="472"/>
        <v>306620</v>
      </c>
      <c r="P1239" s="391">
        <f t="shared" si="472"/>
        <v>0</v>
      </c>
      <c r="Q1239" s="391">
        <f t="shared" si="472"/>
        <v>306620</v>
      </c>
      <c r="R1239" s="761"/>
      <c r="S1239" s="267" t="str">
        <f t="shared" si="450"/>
        <v/>
      </c>
      <c r="T1239" s="267">
        <f t="shared" si="450"/>
        <v>0.833044201740888</v>
      </c>
      <c r="U1239" s="267" t="str">
        <f t="shared" si="450"/>
        <v/>
      </c>
      <c r="V1239" s="267">
        <f t="shared" si="450"/>
        <v>0.833044201740888</v>
      </c>
      <c r="W1239" s="532"/>
      <c r="Y1239" s="236" t="s">
        <v>598</v>
      </c>
      <c r="Z1239" s="240" t="s">
        <v>598</v>
      </c>
    </row>
    <row r="1240" spans="1:26" ht="12" hidden="1" customHeight="1">
      <c r="A1240" s="548"/>
      <c r="B1240" s="548"/>
      <c r="C1240" s="456"/>
      <c r="D1240" s="549"/>
      <c r="E1240" s="461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S1240" s="267" t="str">
        <f t="shared" ref="S1240:V1303" si="473">IF(F1240=0,"",J1240/F1240)</f>
        <v/>
      </c>
      <c r="T1240" s="267" t="str">
        <f t="shared" si="473"/>
        <v/>
      </c>
      <c r="U1240" s="267" t="str">
        <f t="shared" si="473"/>
        <v/>
      </c>
      <c r="V1240" s="267" t="str">
        <f t="shared" si="473"/>
        <v/>
      </c>
      <c r="W1240" s="530"/>
      <c r="X1240" s="236"/>
      <c r="Y1240" s="236"/>
      <c r="Z1240" s="236"/>
    </row>
    <row r="1241" spans="1:26" s="256" customFormat="1" ht="12" customHeight="1">
      <c r="A1241" s="548" t="s">
        <v>51</v>
      </c>
      <c r="B1241" s="548" t="s">
        <v>265</v>
      </c>
      <c r="C1241" s="460"/>
      <c r="D1241" s="551" t="s">
        <v>98</v>
      </c>
      <c r="E1241" s="390" t="s">
        <v>100</v>
      </c>
      <c r="F1241" s="391">
        <f>SUM(F1242:F1242)</f>
        <v>0</v>
      </c>
      <c r="G1241" s="391">
        <f>SUM(G1242:G1242)</f>
        <v>0</v>
      </c>
      <c r="H1241" s="391">
        <f>SUM(H1242:H1242)</f>
        <v>0</v>
      </c>
      <c r="I1241" s="391">
        <f>+F1241+G1241+H1241</f>
        <v>0</v>
      </c>
      <c r="J1241" s="391">
        <f>SUM(J1242:J1242)</f>
        <v>0</v>
      </c>
      <c r="K1241" s="391">
        <f>SUM(K1242:K1242)</f>
        <v>0</v>
      </c>
      <c r="L1241" s="391">
        <f>SUM(L1242:L1242)</f>
        <v>0</v>
      </c>
      <c r="M1241" s="391">
        <f>+J1241+K1241+L1241</f>
        <v>0</v>
      </c>
      <c r="N1241" s="391">
        <f t="shared" ref="N1241:P1242" si="474">+F1241-J1241</f>
        <v>0</v>
      </c>
      <c r="O1241" s="391">
        <f t="shared" si="474"/>
        <v>0</v>
      </c>
      <c r="P1241" s="391">
        <f t="shared" si="474"/>
        <v>0</v>
      </c>
      <c r="Q1241" s="391">
        <f>+N1241+O1241+P1241</f>
        <v>0</v>
      </c>
      <c r="R1241" s="761"/>
      <c r="S1241" s="267" t="str">
        <f t="shared" si="473"/>
        <v/>
      </c>
      <c r="T1241" s="267" t="str">
        <f t="shared" si="473"/>
        <v/>
      </c>
      <c r="U1241" s="267" t="str">
        <f t="shared" si="473"/>
        <v/>
      </c>
      <c r="V1241" s="267" t="str">
        <f t="shared" si="473"/>
        <v/>
      </c>
      <c r="W1241" s="532"/>
      <c r="Y1241" s="236" t="s">
        <v>598</v>
      </c>
      <c r="Z1241" s="240" t="s">
        <v>598</v>
      </c>
    </row>
    <row r="1242" spans="1:26" ht="12" customHeight="1">
      <c r="A1242" s="548" t="s">
        <v>51</v>
      </c>
      <c r="B1242" s="548" t="s">
        <v>265</v>
      </c>
      <c r="C1242" s="456"/>
      <c r="D1242" s="549"/>
      <c r="E1242" s="462" t="s">
        <v>290</v>
      </c>
      <c r="F1242" s="103">
        <v>0</v>
      </c>
      <c r="G1242" s="103">
        <f>SUM([3]BUREAUS!AD223)</f>
        <v>0</v>
      </c>
      <c r="H1242" s="103">
        <f>SUM([3]BUREAUS!AD316)</f>
        <v>0</v>
      </c>
      <c r="I1242" s="103">
        <f>+F1242+G1242+H1242</f>
        <v>0</v>
      </c>
      <c r="J1242" s="103">
        <v>0</v>
      </c>
      <c r="K1242" s="103">
        <f>SUM([3]BUREAUS!AD224)</f>
        <v>0</v>
      </c>
      <c r="L1242" s="103">
        <f>SUM([3]BUREAUS!AD317)</f>
        <v>0</v>
      </c>
      <c r="M1242" s="103">
        <f>+J1242+K1242+L1242</f>
        <v>0</v>
      </c>
      <c r="N1242" s="103">
        <f t="shared" si="474"/>
        <v>0</v>
      </c>
      <c r="O1242" s="103">
        <f t="shared" si="474"/>
        <v>0</v>
      </c>
      <c r="P1242" s="103">
        <f t="shared" si="474"/>
        <v>0</v>
      </c>
      <c r="Q1242" s="103">
        <f>+N1242+O1242+P1242</f>
        <v>0</v>
      </c>
      <c r="S1242" s="267" t="str">
        <f t="shared" si="473"/>
        <v/>
      </c>
      <c r="T1242" s="267" t="str">
        <f t="shared" si="473"/>
        <v/>
      </c>
      <c r="U1242" s="267" t="str">
        <f t="shared" si="473"/>
        <v/>
      </c>
      <c r="V1242" s="267" t="str">
        <f t="shared" si="473"/>
        <v/>
      </c>
      <c r="W1242" s="530"/>
      <c r="X1242" s="236"/>
      <c r="Y1242" s="236" t="s">
        <v>598</v>
      </c>
      <c r="Z1242" s="236"/>
    </row>
    <row r="1243" spans="1:26" s="259" customFormat="1" ht="12" customHeight="1">
      <c r="A1243" s="315" t="s">
        <v>51</v>
      </c>
      <c r="B1243" s="315" t="s">
        <v>265</v>
      </c>
      <c r="C1243" s="1096"/>
      <c r="D1243" s="466"/>
      <c r="E1243" s="1097" t="s">
        <v>4</v>
      </c>
      <c r="F1243" s="652">
        <f>+F1241+F1239</f>
        <v>0</v>
      </c>
      <c r="G1243" s="652">
        <f t="shared" ref="G1243:Q1243" si="475">+G1241+G1239</f>
        <v>1836534</v>
      </c>
      <c r="H1243" s="652">
        <f t="shared" si="475"/>
        <v>0</v>
      </c>
      <c r="I1243" s="652">
        <f t="shared" si="475"/>
        <v>1836534</v>
      </c>
      <c r="J1243" s="652">
        <f t="shared" si="475"/>
        <v>0</v>
      </c>
      <c r="K1243" s="652">
        <f t="shared" si="475"/>
        <v>1529914</v>
      </c>
      <c r="L1243" s="652">
        <f t="shared" si="475"/>
        <v>0</v>
      </c>
      <c r="M1243" s="652">
        <f t="shared" si="475"/>
        <v>1529914</v>
      </c>
      <c r="N1243" s="652">
        <f t="shared" si="475"/>
        <v>0</v>
      </c>
      <c r="O1243" s="652">
        <f t="shared" si="475"/>
        <v>306620</v>
      </c>
      <c r="P1243" s="652">
        <f t="shared" si="475"/>
        <v>0</v>
      </c>
      <c r="Q1243" s="652">
        <f t="shared" si="475"/>
        <v>306620</v>
      </c>
      <c r="R1243" s="1095">
        <f>+Q1243-[3]BUREAUS!BB353</f>
        <v>0</v>
      </c>
      <c r="S1243" s="524" t="str">
        <f t="shared" si="473"/>
        <v/>
      </c>
      <c r="T1243" s="524">
        <f t="shared" si="473"/>
        <v>0.833044201740888</v>
      </c>
      <c r="U1243" s="524" t="str">
        <f t="shared" si="473"/>
        <v/>
      </c>
      <c r="V1243" s="524">
        <f t="shared" si="473"/>
        <v>0.833044201740888</v>
      </c>
      <c r="W1243" s="344"/>
      <c r="X1243" s="520"/>
      <c r="Y1243" s="837" t="s">
        <v>598</v>
      </c>
      <c r="Z1243" s="241" t="s">
        <v>598</v>
      </c>
    </row>
    <row r="1244" spans="1:26" ht="12" hidden="1" customHeight="1">
      <c r="A1244" s="315" t="s">
        <v>51</v>
      </c>
      <c r="B1244" s="315" t="s">
        <v>265</v>
      </c>
      <c r="C1244" s="456"/>
      <c r="D1244" s="456"/>
      <c r="E1244" s="46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S1244" s="267" t="str">
        <f t="shared" si="473"/>
        <v/>
      </c>
      <c r="T1244" s="267" t="str">
        <f t="shared" si="473"/>
        <v/>
      </c>
      <c r="U1244" s="267" t="str">
        <f t="shared" si="473"/>
        <v/>
      </c>
      <c r="V1244" s="267" t="str">
        <f t="shared" si="473"/>
        <v/>
      </c>
      <c r="W1244" s="267"/>
      <c r="X1244" s="237" t="s">
        <v>598</v>
      </c>
    </row>
    <row r="1245" spans="1:26" s="275" customFormat="1" ht="12.75" hidden="1" customHeight="1">
      <c r="A1245" s="315" t="s">
        <v>267</v>
      </c>
      <c r="B1245" s="315" t="s">
        <v>51</v>
      </c>
      <c r="C1245" s="464" t="s">
        <v>860</v>
      </c>
      <c r="D1245" s="464"/>
      <c r="E1245" s="472"/>
      <c r="F1245" s="409"/>
      <c r="G1245" s="409"/>
      <c r="H1245" s="409"/>
      <c r="I1245" s="409">
        <f t="shared" si="457"/>
        <v>0</v>
      </c>
      <c r="J1245" s="409"/>
      <c r="K1245" s="409"/>
      <c r="L1245" s="409"/>
      <c r="M1245" s="409">
        <f t="shared" si="458"/>
        <v>0</v>
      </c>
      <c r="N1245" s="409">
        <f t="shared" si="459"/>
        <v>0</v>
      </c>
      <c r="O1245" s="409">
        <f t="shared" si="459"/>
        <v>0</v>
      </c>
      <c r="P1245" s="409">
        <f t="shared" si="459"/>
        <v>0</v>
      </c>
      <c r="Q1245" s="409">
        <f t="shared" si="460"/>
        <v>0</v>
      </c>
      <c r="R1245" s="761"/>
      <c r="S1245" s="267" t="str">
        <f t="shared" si="473"/>
        <v/>
      </c>
      <c r="T1245" s="267" t="str">
        <f t="shared" si="473"/>
        <v/>
      </c>
      <c r="U1245" s="267" t="str">
        <f t="shared" si="473"/>
        <v/>
      </c>
      <c r="V1245" s="267" t="str">
        <f t="shared" si="473"/>
        <v/>
      </c>
      <c r="W1245" s="251"/>
      <c r="X1245" s="237" t="s">
        <v>598</v>
      </c>
      <c r="Y1245" s="839"/>
      <c r="Z1245" s="253"/>
    </row>
    <row r="1246" spans="1:26" ht="12" hidden="1" customHeight="1">
      <c r="A1246" s="315" t="s">
        <v>267</v>
      </c>
      <c r="B1246" s="315" t="s">
        <v>51</v>
      </c>
      <c r="C1246" s="447" t="s">
        <v>766</v>
      </c>
      <c r="D1246" s="456" t="s">
        <v>98</v>
      </c>
      <c r="E1246" s="447" t="s">
        <v>766</v>
      </c>
      <c r="F1246" s="103">
        <f>+F1213+F1224+F1235</f>
        <v>0</v>
      </c>
      <c r="G1246" s="103">
        <f>+G1213+G1224+G1235</f>
        <v>17498074.260000002</v>
      </c>
      <c r="H1246" s="103">
        <f>+H1213+H1224+H1235</f>
        <v>1154652</v>
      </c>
      <c r="I1246" s="103">
        <f t="shared" si="457"/>
        <v>18652726.260000002</v>
      </c>
      <c r="J1246" s="103">
        <f>+J1213+J1224+J1235</f>
        <v>0</v>
      </c>
      <c r="K1246" s="103">
        <f>+K1213+K1224+K1235</f>
        <v>6125719.0800000001</v>
      </c>
      <c r="L1246" s="103">
        <f>+L1213+L1224+L1235</f>
        <v>0</v>
      </c>
      <c r="M1246" s="103">
        <f t="shared" si="458"/>
        <v>6125719.0800000001</v>
      </c>
      <c r="N1246" s="103">
        <f t="shared" si="459"/>
        <v>0</v>
      </c>
      <c r="O1246" s="103">
        <f t="shared" si="459"/>
        <v>11372355.180000002</v>
      </c>
      <c r="P1246" s="103">
        <f t="shared" si="459"/>
        <v>1154652</v>
      </c>
      <c r="Q1246" s="103">
        <f t="shared" si="460"/>
        <v>12527007.180000002</v>
      </c>
      <c r="S1246" s="267" t="str">
        <f t="shared" si="473"/>
        <v/>
      </c>
      <c r="T1246" s="267">
        <f t="shared" si="473"/>
        <v>0.35007961384660391</v>
      </c>
      <c r="U1246" s="267">
        <f t="shared" si="473"/>
        <v>0</v>
      </c>
      <c r="V1246" s="267">
        <f t="shared" si="473"/>
        <v>0.32840878028303833</v>
      </c>
      <c r="W1246" s="267"/>
      <c r="X1246" s="237" t="s">
        <v>598</v>
      </c>
    </row>
    <row r="1247" spans="1:26" ht="12" hidden="1" customHeight="1">
      <c r="A1247" s="315" t="s">
        <v>267</v>
      </c>
      <c r="B1247" s="315" t="s">
        <v>51</v>
      </c>
      <c r="C1247" s="456"/>
      <c r="D1247" s="456" t="s">
        <v>98</v>
      </c>
      <c r="E1247" s="453" t="s">
        <v>50</v>
      </c>
      <c r="F1247" s="103">
        <f>SUM(F1248:F1249)</f>
        <v>0</v>
      </c>
      <c r="G1247" s="103">
        <f>SUM(G1248:G1249)</f>
        <v>0</v>
      </c>
      <c r="H1247" s="103">
        <f>SUM(H1248:H1249)</f>
        <v>0</v>
      </c>
      <c r="I1247" s="103">
        <f t="shared" si="457"/>
        <v>0</v>
      </c>
      <c r="J1247" s="103">
        <f>SUM(J1248:J1249)</f>
        <v>0</v>
      </c>
      <c r="K1247" s="103">
        <f>SUM(K1248:K1249)</f>
        <v>0</v>
      </c>
      <c r="L1247" s="103">
        <f>SUM(L1248:L1249)</f>
        <v>0</v>
      </c>
      <c r="M1247" s="103">
        <f t="shared" si="458"/>
        <v>0</v>
      </c>
      <c r="N1247" s="103">
        <f t="shared" si="459"/>
        <v>0</v>
      </c>
      <c r="O1247" s="103">
        <f t="shared" si="459"/>
        <v>0</v>
      </c>
      <c r="P1247" s="103">
        <f t="shared" si="459"/>
        <v>0</v>
      </c>
      <c r="Q1247" s="103">
        <f t="shared" si="460"/>
        <v>0</v>
      </c>
      <c r="S1247" s="267" t="str">
        <f t="shared" si="473"/>
        <v/>
      </c>
      <c r="T1247" s="267" t="str">
        <f t="shared" si="473"/>
        <v/>
      </c>
      <c r="U1247" s="267" t="str">
        <f t="shared" si="473"/>
        <v/>
      </c>
      <c r="V1247" s="267" t="str">
        <f t="shared" si="473"/>
        <v/>
      </c>
      <c r="W1247" s="267"/>
      <c r="X1247" s="237" t="s">
        <v>598</v>
      </c>
    </row>
    <row r="1248" spans="1:26" ht="12" hidden="1" customHeight="1">
      <c r="A1248" s="315" t="s">
        <v>267</v>
      </c>
      <c r="B1248" s="315" t="s">
        <v>51</v>
      </c>
      <c r="C1248" s="458" t="s">
        <v>715</v>
      </c>
      <c r="D1248" s="458" t="s">
        <v>715</v>
      </c>
      <c r="E1248" s="459" t="s">
        <v>715</v>
      </c>
      <c r="F1248" s="103">
        <f t="shared" ref="F1248:H1249" si="476">+F1215+F1226+F1237</f>
        <v>0</v>
      </c>
      <c r="G1248" s="103">
        <f t="shared" si="476"/>
        <v>0</v>
      </c>
      <c r="H1248" s="103">
        <f t="shared" si="476"/>
        <v>0</v>
      </c>
      <c r="I1248" s="103">
        <f t="shared" si="457"/>
        <v>0</v>
      </c>
      <c r="J1248" s="103">
        <f t="shared" ref="J1248:L1249" si="477">+J1215+J1226+J1237</f>
        <v>0</v>
      </c>
      <c r="K1248" s="103">
        <f t="shared" si="477"/>
        <v>0</v>
      </c>
      <c r="L1248" s="103">
        <f t="shared" si="477"/>
        <v>0</v>
      </c>
      <c r="M1248" s="103">
        <f t="shared" si="458"/>
        <v>0</v>
      </c>
      <c r="N1248" s="103">
        <f t="shared" si="459"/>
        <v>0</v>
      </c>
      <c r="O1248" s="103">
        <f t="shared" si="459"/>
        <v>0</v>
      </c>
      <c r="P1248" s="103">
        <f t="shared" si="459"/>
        <v>0</v>
      </c>
      <c r="Q1248" s="103">
        <f t="shared" si="460"/>
        <v>0</v>
      </c>
      <c r="S1248" s="267" t="str">
        <f t="shared" si="473"/>
        <v/>
      </c>
      <c r="T1248" s="267" t="str">
        <f t="shared" si="473"/>
        <v/>
      </c>
      <c r="U1248" s="267" t="str">
        <f t="shared" si="473"/>
        <v/>
      </c>
      <c r="V1248" s="267" t="str">
        <f t="shared" si="473"/>
        <v/>
      </c>
      <c r="W1248" s="267"/>
      <c r="X1248" s="237" t="s">
        <v>598</v>
      </c>
    </row>
    <row r="1249" spans="1:26" ht="12" hidden="1" customHeight="1">
      <c r="A1249" s="315" t="s">
        <v>267</v>
      </c>
      <c r="B1249" s="315" t="s">
        <v>51</v>
      </c>
      <c r="C1249" s="458" t="s">
        <v>716</v>
      </c>
      <c r="D1249" s="458" t="s">
        <v>716</v>
      </c>
      <c r="E1249" s="459" t="s">
        <v>716</v>
      </c>
      <c r="F1249" s="103">
        <f t="shared" si="476"/>
        <v>0</v>
      </c>
      <c r="G1249" s="103">
        <f t="shared" si="476"/>
        <v>0</v>
      </c>
      <c r="H1249" s="103">
        <f t="shared" si="476"/>
        <v>0</v>
      </c>
      <c r="I1249" s="103">
        <f t="shared" si="457"/>
        <v>0</v>
      </c>
      <c r="J1249" s="103">
        <f t="shared" si="477"/>
        <v>0</v>
      </c>
      <c r="K1249" s="103">
        <f t="shared" si="477"/>
        <v>0</v>
      </c>
      <c r="L1249" s="103">
        <f t="shared" si="477"/>
        <v>0</v>
      </c>
      <c r="M1249" s="103">
        <f t="shared" si="458"/>
        <v>0</v>
      </c>
      <c r="N1249" s="103">
        <f t="shared" si="459"/>
        <v>0</v>
      </c>
      <c r="O1249" s="103">
        <f t="shared" si="459"/>
        <v>0</v>
      </c>
      <c r="P1249" s="103">
        <f t="shared" si="459"/>
        <v>0</v>
      </c>
      <c r="Q1249" s="103">
        <f t="shared" si="460"/>
        <v>0</v>
      </c>
      <c r="S1249" s="267" t="str">
        <f t="shared" si="473"/>
        <v/>
      </c>
      <c r="T1249" s="267" t="str">
        <f t="shared" si="473"/>
        <v/>
      </c>
      <c r="U1249" s="267" t="str">
        <f t="shared" si="473"/>
        <v/>
      </c>
      <c r="V1249" s="267" t="str">
        <f t="shared" si="473"/>
        <v/>
      </c>
      <c r="W1249" s="267"/>
      <c r="X1249" s="237" t="s">
        <v>598</v>
      </c>
    </row>
    <row r="1250" spans="1:26" s="256" customFormat="1" ht="12" hidden="1" customHeight="1">
      <c r="A1250" s="315"/>
      <c r="B1250" s="315" t="s">
        <v>51</v>
      </c>
      <c r="C1250" s="460"/>
      <c r="D1250" s="460"/>
      <c r="E1250" s="390" t="s">
        <v>767</v>
      </c>
      <c r="F1250" s="391">
        <f>+F1247+F1246</f>
        <v>0</v>
      </c>
      <c r="G1250" s="391">
        <f>+G1247+G1246</f>
        <v>17498074.260000002</v>
      </c>
      <c r="H1250" s="391">
        <f>+H1247+H1246</f>
        <v>1154652</v>
      </c>
      <c r="I1250" s="391">
        <f>SUM(F1250:H1250)</f>
        <v>18652726.260000002</v>
      </c>
      <c r="J1250" s="391">
        <f>+J1247+J1246</f>
        <v>0</v>
      </c>
      <c r="K1250" s="391">
        <f>+K1247+K1246</f>
        <v>6125719.0800000001</v>
      </c>
      <c r="L1250" s="391">
        <f>+L1247+L1246</f>
        <v>0</v>
      </c>
      <c r="M1250" s="391">
        <f>SUM(J1250:L1250)</f>
        <v>6125719.0800000001</v>
      </c>
      <c r="N1250" s="103">
        <f t="shared" si="459"/>
        <v>0</v>
      </c>
      <c r="O1250" s="103">
        <f t="shared" si="459"/>
        <v>11372355.180000002</v>
      </c>
      <c r="P1250" s="103">
        <f t="shared" si="459"/>
        <v>1154652</v>
      </c>
      <c r="Q1250" s="103">
        <f t="shared" si="460"/>
        <v>12527007.180000002</v>
      </c>
      <c r="R1250" s="761"/>
      <c r="S1250" s="267" t="str">
        <f t="shared" si="473"/>
        <v/>
      </c>
      <c r="T1250" s="267">
        <f t="shared" si="473"/>
        <v>0.35007961384660391</v>
      </c>
      <c r="U1250" s="267">
        <f t="shared" si="473"/>
        <v>0</v>
      </c>
      <c r="V1250" s="267">
        <f t="shared" si="473"/>
        <v>0.32840878028303833</v>
      </c>
      <c r="W1250" s="267"/>
      <c r="X1250" s="237" t="s">
        <v>598</v>
      </c>
      <c r="Y1250" s="840"/>
      <c r="Z1250" s="241"/>
    </row>
    <row r="1251" spans="1:26" ht="12" hidden="1" customHeight="1">
      <c r="A1251" s="315"/>
      <c r="B1251" s="315"/>
      <c r="C1251" s="456"/>
      <c r="D1251" s="456"/>
      <c r="E1251" s="461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S1251" s="267" t="str">
        <f t="shared" si="473"/>
        <v/>
      </c>
      <c r="T1251" s="267" t="str">
        <f t="shared" si="473"/>
        <v/>
      </c>
      <c r="U1251" s="267" t="str">
        <f t="shared" si="473"/>
        <v/>
      </c>
      <c r="V1251" s="267" t="str">
        <f t="shared" si="473"/>
        <v/>
      </c>
      <c r="W1251" s="267"/>
      <c r="X1251" s="237" t="s">
        <v>598</v>
      </c>
    </row>
    <row r="1252" spans="1:26" s="256" customFormat="1" ht="12" hidden="1" customHeight="1">
      <c r="A1252" s="315" t="s">
        <v>267</v>
      </c>
      <c r="B1252" s="315" t="s">
        <v>51</v>
      </c>
      <c r="C1252" s="460"/>
      <c r="D1252" s="460" t="s">
        <v>98</v>
      </c>
      <c r="E1252" s="390" t="s">
        <v>100</v>
      </c>
      <c r="F1252" s="391">
        <f>SUM(F1253:F1253)</f>
        <v>0</v>
      </c>
      <c r="G1252" s="391">
        <f>SUM(G1253:G1253)</f>
        <v>0</v>
      </c>
      <c r="H1252" s="391">
        <f>SUM(H1253:H1253)</f>
        <v>0</v>
      </c>
      <c r="I1252" s="391">
        <f>+F1252+G1252+H1252</f>
        <v>0</v>
      </c>
      <c r="J1252" s="391">
        <f>SUM(J1253:J1253)</f>
        <v>0</v>
      </c>
      <c r="K1252" s="391">
        <f>SUM(K1253:K1253)</f>
        <v>0</v>
      </c>
      <c r="L1252" s="391">
        <f>SUM(L1253:L1253)</f>
        <v>0</v>
      </c>
      <c r="M1252" s="391">
        <f>+J1252+K1252+L1252</f>
        <v>0</v>
      </c>
      <c r="N1252" s="103">
        <f t="shared" si="459"/>
        <v>0</v>
      </c>
      <c r="O1252" s="103">
        <f t="shared" si="459"/>
        <v>0</v>
      </c>
      <c r="P1252" s="103">
        <f t="shared" si="459"/>
        <v>0</v>
      </c>
      <c r="Q1252" s="103">
        <f t="shared" si="460"/>
        <v>0</v>
      </c>
      <c r="R1252" s="761"/>
      <c r="S1252" s="267" t="str">
        <f t="shared" si="473"/>
        <v/>
      </c>
      <c r="T1252" s="267" t="str">
        <f t="shared" si="473"/>
        <v/>
      </c>
      <c r="U1252" s="267" t="str">
        <f t="shared" si="473"/>
        <v/>
      </c>
      <c r="V1252" s="267" t="str">
        <f t="shared" si="473"/>
        <v/>
      </c>
      <c r="W1252" s="267"/>
      <c r="X1252" s="237" t="s">
        <v>598</v>
      </c>
      <c r="Y1252" s="840"/>
      <c r="Z1252" s="241"/>
    </row>
    <row r="1253" spans="1:26" ht="12" hidden="1" customHeight="1">
      <c r="A1253" s="315" t="s">
        <v>267</v>
      </c>
      <c r="B1253" s="315" t="s">
        <v>51</v>
      </c>
      <c r="C1253" s="456"/>
      <c r="D1253" s="456"/>
      <c r="E1253" s="462" t="s">
        <v>290</v>
      </c>
      <c r="F1253" s="103">
        <f>+F1220+F1231+F1242</f>
        <v>0</v>
      </c>
      <c r="G1253" s="103">
        <f>+G1220+G1231+G1242</f>
        <v>0</v>
      </c>
      <c r="H1253" s="103">
        <f>+H1220+H1231+H1242</f>
        <v>0</v>
      </c>
      <c r="I1253" s="103">
        <f>+F1253+G1253+H1253</f>
        <v>0</v>
      </c>
      <c r="J1253" s="103">
        <f>+J1220+J1231+J1242</f>
        <v>0</v>
      </c>
      <c r="K1253" s="103">
        <f>+K1220+K1231+K1242</f>
        <v>0</v>
      </c>
      <c r="L1253" s="103">
        <f>+L1220+L1231+L1242</f>
        <v>0</v>
      </c>
      <c r="M1253" s="103">
        <f>+J1253+K1253+L1253</f>
        <v>0</v>
      </c>
      <c r="N1253" s="103">
        <f>+F1253-J1253</f>
        <v>0</v>
      </c>
      <c r="O1253" s="103">
        <f>+G1253-K1253</f>
        <v>0</v>
      </c>
      <c r="P1253" s="103">
        <f>+H1253-L1253</f>
        <v>0</v>
      </c>
      <c r="Q1253" s="103">
        <f>+N1253+O1253+P1253</f>
        <v>0</v>
      </c>
      <c r="S1253" s="267" t="str">
        <f t="shared" si="473"/>
        <v/>
      </c>
      <c r="T1253" s="267" t="str">
        <f t="shared" si="473"/>
        <v/>
      </c>
      <c r="U1253" s="267" t="str">
        <f t="shared" si="473"/>
        <v/>
      </c>
      <c r="V1253" s="267" t="str">
        <f t="shared" si="473"/>
        <v/>
      </c>
      <c r="W1253" s="267"/>
      <c r="X1253" s="237" t="s">
        <v>598</v>
      </c>
    </row>
    <row r="1254" spans="1:26" s="266" customFormat="1" ht="16.5" customHeight="1">
      <c r="A1254" s="315" t="s">
        <v>267</v>
      </c>
      <c r="B1254" s="315" t="s">
        <v>51</v>
      </c>
      <c r="C1254" s="1470" t="s">
        <v>660</v>
      </c>
      <c r="D1254" s="1473"/>
      <c r="E1254" s="1472"/>
      <c r="F1254" s="666">
        <f>+F1250+F1252</f>
        <v>0</v>
      </c>
      <c r="G1254" s="666">
        <f t="shared" ref="G1254:Q1254" si="478">+G1250+G1252</f>
        <v>17498074.260000002</v>
      </c>
      <c r="H1254" s="666">
        <f t="shared" si="478"/>
        <v>1154652</v>
      </c>
      <c r="I1254" s="666">
        <f t="shared" si="478"/>
        <v>18652726.260000002</v>
      </c>
      <c r="J1254" s="666">
        <f t="shared" si="478"/>
        <v>0</v>
      </c>
      <c r="K1254" s="666">
        <f t="shared" si="478"/>
        <v>6125719.0800000001</v>
      </c>
      <c r="L1254" s="666">
        <f t="shared" si="478"/>
        <v>0</v>
      </c>
      <c r="M1254" s="666">
        <f t="shared" si="478"/>
        <v>6125719.0800000001</v>
      </c>
      <c r="N1254" s="666">
        <f t="shared" si="478"/>
        <v>0</v>
      </c>
      <c r="O1254" s="666">
        <f t="shared" si="478"/>
        <v>11372355.180000002</v>
      </c>
      <c r="P1254" s="666">
        <f t="shared" si="478"/>
        <v>1154652</v>
      </c>
      <c r="Q1254" s="666">
        <f t="shared" si="478"/>
        <v>12527007.180000002</v>
      </c>
      <c r="R1254" s="1099">
        <f>+Q1254-[3]BUREAUS!AZ353-[3]BUREAUS!BA353-[3]BUREAUS!BB353</f>
        <v>9.3132257461547852E-10</v>
      </c>
      <c r="S1254" s="525" t="str">
        <f t="shared" si="473"/>
        <v/>
      </c>
      <c r="T1254" s="525">
        <f t="shared" si="473"/>
        <v>0.35007961384660391</v>
      </c>
      <c r="U1254" s="525">
        <f t="shared" si="473"/>
        <v>0</v>
      </c>
      <c r="V1254" s="525">
        <f t="shared" si="473"/>
        <v>0.32840878028303833</v>
      </c>
      <c r="W1254" s="345"/>
      <c r="X1254" s="237" t="s">
        <v>598</v>
      </c>
      <c r="Y1254" s="837" t="s">
        <v>598</v>
      </c>
      <c r="Z1254" s="241" t="s">
        <v>598</v>
      </c>
    </row>
    <row r="1255" spans="1:26" ht="12" customHeight="1">
      <c r="A1255" s="315" t="s">
        <v>267</v>
      </c>
      <c r="B1255" s="315" t="s">
        <v>51</v>
      </c>
      <c r="C1255" s="469"/>
      <c r="D1255" s="492"/>
      <c r="E1255" s="49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S1255" s="267" t="str">
        <f t="shared" si="473"/>
        <v/>
      </c>
      <c r="T1255" s="267" t="str">
        <f t="shared" si="473"/>
        <v/>
      </c>
      <c r="U1255" s="267" t="str">
        <f t="shared" si="473"/>
        <v/>
      </c>
      <c r="V1255" s="267" t="str">
        <f t="shared" si="473"/>
        <v/>
      </c>
      <c r="W1255" s="267"/>
      <c r="X1255" s="237" t="s">
        <v>598</v>
      </c>
      <c r="Y1255" s="837" t="s">
        <v>598</v>
      </c>
      <c r="Z1255" s="241" t="s">
        <v>598</v>
      </c>
    </row>
    <row r="1256" spans="1:26" s="331" customFormat="1" ht="12" customHeight="1">
      <c r="A1256" s="548" t="s">
        <v>270</v>
      </c>
      <c r="B1256" s="548" t="s">
        <v>271</v>
      </c>
      <c r="C1256" s="1464" t="s">
        <v>271</v>
      </c>
      <c r="D1256" s="1465"/>
      <c r="E1256" s="1466"/>
      <c r="F1256" s="477"/>
      <c r="G1256" s="477"/>
      <c r="H1256" s="477"/>
      <c r="I1256" s="477">
        <f t="shared" si="457"/>
        <v>0</v>
      </c>
      <c r="J1256" s="477"/>
      <c r="K1256" s="477"/>
      <c r="L1256" s="477"/>
      <c r="M1256" s="477">
        <f t="shared" si="458"/>
        <v>0</v>
      </c>
      <c r="N1256" s="477">
        <f t="shared" si="459"/>
        <v>0</v>
      </c>
      <c r="O1256" s="477">
        <f t="shared" si="459"/>
        <v>0</v>
      </c>
      <c r="P1256" s="477">
        <f t="shared" si="459"/>
        <v>0</v>
      </c>
      <c r="Q1256" s="477">
        <f t="shared" si="460"/>
        <v>0</v>
      </c>
      <c r="R1256" s="761"/>
      <c r="S1256" s="267" t="str">
        <f t="shared" si="473"/>
        <v/>
      </c>
      <c r="T1256" s="267" t="str">
        <f t="shared" si="473"/>
        <v/>
      </c>
      <c r="U1256" s="267" t="str">
        <f t="shared" si="473"/>
        <v/>
      </c>
      <c r="V1256" s="267" t="str">
        <f t="shared" si="473"/>
        <v/>
      </c>
      <c r="W1256" s="789"/>
      <c r="X1256" s="236" t="s">
        <v>598</v>
      </c>
      <c r="Y1256" s="236" t="s">
        <v>598</v>
      </c>
      <c r="Z1256" s="260" t="s">
        <v>598</v>
      </c>
    </row>
    <row r="1257" spans="1:26" ht="12" customHeight="1">
      <c r="A1257" s="548" t="s">
        <v>270</v>
      </c>
      <c r="B1257" s="548" t="s">
        <v>271</v>
      </c>
      <c r="C1257" s="447" t="s">
        <v>766</v>
      </c>
      <c r="D1257" s="549" t="s">
        <v>98</v>
      </c>
      <c r="E1257" s="447" t="s">
        <v>766</v>
      </c>
      <c r="F1257" s="104">
        <f>+[3]BUREAUS!C453</f>
        <v>0</v>
      </c>
      <c r="G1257" s="104"/>
      <c r="H1257" s="104">
        <f>+[3]BUREAUS!E453</f>
        <v>0</v>
      </c>
      <c r="I1257" s="103">
        <f>+F1257+G1257+H1257</f>
        <v>0</v>
      </c>
      <c r="J1257" s="104">
        <f>+[3]BUREAUS!G453</f>
        <v>0</v>
      </c>
      <c r="K1257" s="104"/>
      <c r="L1257" s="104">
        <f>+[3]BUREAUS!I453</f>
        <v>0</v>
      </c>
      <c r="M1257" s="103">
        <f>+J1257+K1257+L1257</f>
        <v>0</v>
      </c>
      <c r="N1257" s="103">
        <f t="shared" ref="N1257:P1260" si="479">+F1257-J1257</f>
        <v>0</v>
      </c>
      <c r="O1257" s="103">
        <f t="shared" si="479"/>
        <v>0</v>
      </c>
      <c r="P1257" s="103">
        <f t="shared" si="479"/>
        <v>0</v>
      </c>
      <c r="Q1257" s="103">
        <f>+N1257+O1257+P1257</f>
        <v>0</v>
      </c>
      <c r="S1257" s="267" t="str">
        <f t="shared" si="473"/>
        <v/>
      </c>
      <c r="T1257" s="267" t="str">
        <f t="shared" si="473"/>
        <v/>
      </c>
      <c r="U1257" s="267" t="str">
        <f t="shared" si="473"/>
        <v/>
      </c>
      <c r="V1257" s="267" t="str">
        <f t="shared" si="473"/>
        <v/>
      </c>
      <c r="W1257" s="530"/>
      <c r="X1257" s="236" t="s">
        <v>598</v>
      </c>
      <c r="Y1257" s="236" t="s">
        <v>688</v>
      </c>
      <c r="Z1257" s="236"/>
    </row>
    <row r="1258" spans="1:26" ht="12" customHeight="1">
      <c r="A1258" s="548" t="s">
        <v>270</v>
      </c>
      <c r="B1258" s="548" t="s">
        <v>271</v>
      </c>
      <c r="C1258" s="456"/>
      <c r="D1258" s="549" t="s">
        <v>98</v>
      </c>
      <c r="E1258" s="453" t="s">
        <v>50</v>
      </c>
      <c r="F1258" s="103">
        <f>+F1259+F1260</f>
        <v>0</v>
      </c>
      <c r="G1258" s="103">
        <f>+G1259+G1260</f>
        <v>2621061.09</v>
      </c>
      <c r="H1258" s="103">
        <f>+H1259+H1260</f>
        <v>0</v>
      </c>
      <c r="I1258" s="103">
        <f>+F1258+G1258+H1258</f>
        <v>2621061.09</v>
      </c>
      <c r="J1258" s="103">
        <f>+J1259+J1260</f>
        <v>0</v>
      </c>
      <c r="K1258" s="103">
        <f>+K1259+K1260</f>
        <v>2619570.0599999996</v>
      </c>
      <c r="L1258" s="103">
        <f>+L1259+L1260</f>
        <v>0</v>
      </c>
      <c r="M1258" s="103">
        <f>+J1258+K1258+L1258</f>
        <v>2619570.0599999996</v>
      </c>
      <c r="N1258" s="103">
        <f t="shared" si="479"/>
        <v>0</v>
      </c>
      <c r="O1258" s="103">
        <f t="shared" si="479"/>
        <v>1491.0300000002608</v>
      </c>
      <c r="P1258" s="103">
        <f t="shared" si="479"/>
        <v>0</v>
      </c>
      <c r="Q1258" s="103">
        <f>+N1258+O1258+P1258</f>
        <v>1491.0300000002608</v>
      </c>
      <c r="S1258" s="267" t="str">
        <f t="shared" si="473"/>
        <v/>
      </c>
      <c r="T1258" s="267">
        <f t="shared" si="473"/>
        <v>0.99943113496831915</v>
      </c>
      <c r="U1258" s="267" t="str">
        <f t="shared" si="473"/>
        <v/>
      </c>
      <c r="V1258" s="267">
        <f t="shared" si="473"/>
        <v>0.99943113496831915</v>
      </c>
      <c r="W1258" s="530"/>
      <c r="X1258" s="236" t="s">
        <v>598</v>
      </c>
      <c r="Y1258" s="236" t="s">
        <v>688</v>
      </c>
      <c r="Z1258" s="236"/>
    </row>
    <row r="1259" spans="1:26" ht="12" hidden="1" customHeight="1">
      <c r="A1259" s="548" t="s">
        <v>270</v>
      </c>
      <c r="B1259" s="548" t="s">
        <v>271</v>
      </c>
      <c r="C1259" s="458" t="s">
        <v>715</v>
      </c>
      <c r="D1259" s="550" t="s">
        <v>715</v>
      </c>
      <c r="E1259" s="459" t="s">
        <v>715</v>
      </c>
      <c r="F1259" s="104">
        <f>'[3]CONAP - W INC'!F948</f>
        <v>0</v>
      </c>
      <c r="G1259" s="104">
        <f>'[3]CONAP - W INC'!G948</f>
        <v>0</v>
      </c>
      <c r="H1259" s="104">
        <f>'[3]CONAP - W INC'!H948</f>
        <v>0</v>
      </c>
      <c r="I1259" s="103">
        <f>+F1259+G1259+H1259</f>
        <v>0</v>
      </c>
      <c r="J1259" s="104">
        <f>'[3]CONAP - W INC'!J948</f>
        <v>0</v>
      </c>
      <c r="K1259" s="104">
        <f>'[3]CONAP - W INC'!K948</f>
        <v>0</v>
      </c>
      <c r="L1259" s="104">
        <f>'[3]CONAP - W INC'!L948</f>
        <v>0</v>
      </c>
      <c r="M1259" s="103">
        <f>+J1259+K1259+L1259</f>
        <v>0</v>
      </c>
      <c r="N1259" s="103">
        <f t="shared" si="479"/>
        <v>0</v>
      </c>
      <c r="O1259" s="103">
        <f t="shared" si="479"/>
        <v>0</v>
      </c>
      <c r="P1259" s="103">
        <f t="shared" si="479"/>
        <v>0</v>
      </c>
      <c r="Q1259" s="103">
        <f>+N1259+O1259+P1259</f>
        <v>0</v>
      </c>
      <c r="S1259" s="267" t="str">
        <f t="shared" si="473"/>
        <v/>
      </c>
      <c r="T1259" s="267" t="str">
        <f t="shared" si="473"/>
        <v/>
      </c>
      <c r="U1259" s="267" t="str">
        <f t="shared" si="473"/>
        <v/>
      </c>
      <c r="V1259" s="267" t="str">
        <f t="shared" si="473"/>
        <v/>
      </c>
      <c r="W1259" s="530"/>
      <c r="X1259" s="236" t="s">
        <v>598</v>
      </c>
      <c r="Y1259" s="236"/>
      <c r="Z1259" s="236"/>
    </row>
    <row r="1260" spans="1:26" ht="12" hidden="1" customHeight="1">
      <c r="A1260" s="548" t="s">
        <v>270</v>
      </c>
      <c r="B1260" s="548" t="s">
        <v>271</v>
      </c>
      <c r="C1260" s="458" t="s">
        <v>716</v>
      </c>
      <c r="D1260" s="550" t="s">
        <v>716</v>
      </c>
      <c r="E1260" s="459" t="s">
        <v>716</v>
      </c>
      <c r="F1260" s="104">
        <f>'[3]CONAP - W INC'!F949</f>
        <v>0</v>
      </c>
      <c r="G1260" s="104">
        <f>'[3]CONAP - W INC'!G949</f>
        <v>2621061.09</v>
      </c>
      <c r="H1260" s="104">
        <f>'[3]CONAP - W INC'!H949</f>
        <v>0</v>
      </c>
      <c r="I1260" s="103">
        <f>+F1260+G1260+H1260</f>
        <v>2621061.09</v>
      </c>
      <c r="J1260" s="104">
        <f>'[3]CONAP - W INC'!J949</f>
        <v>0</v>
      </c>
      <c r="K1260" s="104">
        <f>'[3]CONAP - W INC'!K949</f>
        <v>2619570.0599999996</v>
      </c>
      <c r="L1260" s="104">
        <f>'[3]CONAP - W INC'!L949</f>
        <v>0</v>
      </c>
      <c r="M1260" s="103">
        <f>+J1260+K1260+L1260</f>
        <v>2619570.0599999996</v>
      </c>
      <c r="N1260" s="103">
        <f t="shared" si="479"/>
        <v>0</v>
      </c>
      <c r="O1260" s="103">
        <f t="shared" si="479"/>
        <v>1491.0300000002608</v>
      </c>
      <c r="P1260" s="103">
        <f t="shared" si="479"/>
        <v>0</v>
      </c>
      <c r="Q1260" s="103">
        <f>+N1260+O1260+P1260</f>
        <v>1491.0300000002608</v>
      </c>
      <c r="S1260" s="267" t="str">
        <f t="shared" si="473"/>
        <v/>
      </c>
      <c r="T1260" s="267">
        <f t="shared" si="473"/>
        <v>0.99943113496831915</v>
      </c>
      <c r="U1260" s="267" t="str">
        <f t="shared" si="473"/>
        <v/>
      </c>
      <c r="V1260" s="267">
        <f t="shared" si="473"/>
        <v>0.99943113496831915</v>
      </c>
      <c r="W1260" s="530"/>
      <c r="X1260" s="236" t="s">
        <v>598</v>
      </c>
      <c r="Y1260" s="236"/>
      <c r="Z1260" s="236"/>
    </row>
    <row r="1261" spans="1:26" s="898" customFormat="1" ht="12" customHeight="1">
      <c r="A1261" s="790"/>
      <c r="B1261" s="790"/>
      <c r="C1261" s="892"/>
      <c r="D1261" s="791"/>
      <c r="E1261" s="893" t="s">
        <v>661</v>
      </c>
      <c r="F1261" s="894">
        <f>+[3]BUREAUS!C459</f>
        <v>0</v>
      </c>
      <c r="G1261" s="894">
        <f>+[3]BUREAUS!F223</f>
        <v>23959.56</v>
      </c>
      <c r="H1261" s="894">
        <f>+[3]BUREAUS!E459</f>
        <v>0</v>
      </c>
      <c r="I1261" s="895">
        <f>+F1261+G1261+H1261</f>
        <v>23959.56</v>
      </c>
      <c r="J1261" s="894">
        <f>+[3]BUREAUS!G459</f>
        <v>0</v>
      </c>
      <c r="K1261" s="894">
        <f>+[3]BUREAUS!F224</f>
        <v>20000</v>
      </c>
      <c r="L1261" s="894">
        <f>+[3]BUREAUS!I459</f>
        <v>0</v>
      </c>
      <c r="M1261" s="895">
        <f>+J1261+K1261+L1261</f>
        <v>20000</v>
      </c>
      <c r="N1261" s="895">
        <f>+F1261-J1261</f>
        <v>0</v>
      </c>
      <c r="O1261" s="895">
        <f>+G1261-K1261</f>
        <v>3959.5600000000013</v>
      </c>
      <c r="P1261" s="895">
        <f>+H1261-L1261</f>
        <v>0</v>
      </c>
      <c r="Q1261" s="895">
        <f>+N1261+O1261+P1261</f>
        <v>3959.5600000000013</v>
      </c>
      <c r="R1261" s="896"/>
      <c r="S1261" s="897" t="str">
        <f t="shared" si="473"/>
        <v/>
      </c>
      <c r="T1261" s="897">
        <f t="shared" si="473"/>
        <v>0.83473987001430738</v>
      </c>
      <c r="U1261" s="897" t="str">
        <f t="shared" si="473"/>
        <v/>
      </c>
      <c r="V1261" s="897">
        <f t="shared" si="473"/>
        <v>0.83473987001430738</v>
      </c>
      <c r="W1261" s="792"/>
      <c r="X1261" s="898" t="s">
        <v>598</v>
      </c>
      <c r="Y1261" s="898" t="s">
        <v>598</v>
      </c>
      <c r="Z1261" s="898" t="s">
        <v>598</v>
      </c>
    </row>
    <row r="1262" spans="1:26" s="256" customFormat="1" ht="12" customHeight="1">
      <c r="A1262" s="548"/>
      <c r="B1262" s="548" t="s">
        <v>271</v>
      </c>
      <c r="C1262" s="460"/>
      <c r="D1262" s="551"/>
      <c r="E1262" s="390" t="s">
        <v>767</v>
      </c>
      <c r="F1262" s="391">
        <f>+F1257+F1258+F1261</f>
        <v>0</v>
      </c>
      <c r="G1262" s="391">
        <f t="shared" ref="G1262:Q1262" si="480">+G1257+G1258+G1261</f>
        <v>2645020.65</v>
      </c>
      <c r="H1262" s="391">
        <f t="shared" si="480"/>
        <v>0</v>
      </c>
      <c r="I1262" s="391">
        <f t="shared" si="480"/>
        <v>2645020.65</v>
      </c>
      <c r="J1262" s="391">
        <f t="shared" si="480"/>
        <v>0</v>
      </c>
      <c r="K1262" s="391">
        <f t="shared" si="480"/>
        <v>2639570.0599999996</v>
      </c>
      <c r="L1262" s="391">
        <f t="shared" si="480"/>
        <v>0</v>
      </c>
      <c r="M1262" s="391">
        <f t="shared" si="480"/>
        <v>2639570.0599999996</v>
      </c>
      <c r="N1262" s="391">
        <f t="shared" si="480"/>
        <v>0</v>
      </c>
      <c r="O1262" s="391">
        <f t="shared" si="480"/>
        <v>5450.5900000002621</v>
      </c>
      <c r="P1262" s="391">
        <f t="shared" si="480"/>
        <v>0</v>
      </c>
      <c r="Q1262" s="391">
        <f t="shared" si="480"/>
        <v>5450.5900000002621</v>
      </c>
      <c r="R1262" s="761"/>
      <c r="S1262" s="267" t="str">
        <f t="shared" si="473"/>
        <v/>
      </c>
      <c r="T1262" s="267">
        <f t="shared" si="473"/>
        <v>0.99793930153248511</v>
      </c>
      <c r="U1262" s="267" t="str">
        <f t="shared" si="473"/>
        <v/>
      </c>
      <c r="V1262" s="267">
        <f t="shared" si="473"/>
        <v>0.99793930153248511</v>
      </c>
      <c r="W1262" s="532"/>
      <c r="X1262" s="236" t="s">
        <v>598</v>
      </c>
      <c r="Y1262" s="236" t="s">
        <v>598</v>
      </c>
      <c r="Z1262" s="240" t="s">
        <v>598</v>
      </c>
    </row>
    <row r="1263" spans="1:26" s="256" customFormat="1" ht="12" hidden="1" customHeight="1">
      <c r="A1263" s="548"/>
      <c r="B1263" s="548"/>
      <c r="C1263" s="460"/>
      <c r="D1263" s="551"/>
      <c r="E1263" s="390"/>
      <c r="F1263" s="391"/>
      <c r="G1263" s="391"/>
      <c r="H1263" s="391"/>
      <c r="I1263" s="391"/>
      <c r="J1263" s="391"/>
      <c r="K1263" s="391"/>
      <c r="L1263" s="391"/>
      <c r="M1263" s="391"/>
      <c r="N1263" s="391"/>
      <c r="O1263" s="391"/>
      <c r="P1263" s="391"/>
      <c r="Q1263" s="391"/>
      <c r="R1263" s="761"/>
      <c r="S1263" s="267" t="str">
        <f t="shared" si="473"/>
        <v/>
      </c>
      <c r="T1263" s="267" t="str">
        <f t="shared" si="473"/>
        <v/>
      </c>
      <c r="U1263" s="267" t="str">
        <f t="shared" si="473"/>
        <v/>
      </c>
      <c r="V1263" s="267" t="str">
        <f t="shared" si="473"/>
        <v/>
      </c>
      <c r="W1263" s="532"/>
      <c r="X1263" s="236" t="s">
        <v>598</v>
      </c>
      <c r="Y1263" s="236"/>
    </row>
    <row r="1264" spans="1:26" ht="12" hidden="1" customHeight="1">
      <c r="A1264" s="548"/>
      <c r="B1264" s="548"/>
      <c r="C1264" s="456"/>
      <c r="D1264" s="549"/>
      <c r="E1264" s="461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S1264" s="267" t="str">
        <f t="shared" si="473"/>
        <v/>
      </c>
      <c r="T1264" s="267" t="str">
        <f t="shared" si="473"/>
        <v/>
      </c>
      <c r="U1264" s="267" t="str">
        <f t="shared" si="473"/>
        <v/>
      </c>
      <c r="V1264" s="267" t="str">
        <f t="shared" si="473"/>
        <v/>
      </c>
      <c r="W1264" s="530"/>
      <c r="X1264" s="236" t="s">
        <v>598</v>
      </c>
      <c r="Y1264" s="236"/>
      <c r="Z1264" s="236"/>
    </row>
    <row r="1265" spans="1:30" s="256" customFormat="1" ht="12" customHeight="1">
      <c r="A1265" s="548" t="s">
        <v>270</v>
      </c>
      <c r="B1265" s="548" t="s">
        <v>271</v>
      </c>
      <c r="C1265" s="460"/>
      <c r="D1265" s="551" t="s">
        <v>98</v>
      </c>
      <c r="E1265" s="390" t="s">
        <v>100</v>
      </c>
      <c r="F1265" s="391">
        <f>SUM(F1266:F1266)</f>
        <v>0</v>
      </c>
      <c r="G1265" s="391">
        <f>SUM(G1266:G1266)</f>
        <v>0</v>
      </c>
      <c r="H1265" s="391">
        <f>SUM(H1266:H1266)</f>
        <v>0</v>
      </c>
      <c r="I1265" s="391">
        <f>+F1265+G1265+H1265</f>
        <v>0</v>
      </c>
      <c r="J1265" s="391">
        <f>SUM(J1266:J1266)</f>
        <v>0</v>
      </c>
      <c r="K1265" s="391">
        <f>SUM(K1266:K1266)</f>
        <v>0</v>
      </c>
      <c r="L1265" s="391">
        <f>SUM(L1266:L1266)</f>
        <v>0</v>
      </c>
      <c r="M1265" s="391">
        <f>+J1265+K1265+L1265</f>
        <v>0</v>
      </c>
      <c r="N1265" s="391">
        <f t="shared" ref="N1265:P1266" si="481">+F1265-J1265</f>
        <v>0</v>
      </c>
      <c r="O1265" s="391">
        <f t="shared" si="481"/>
        <v>0</v>
      </c>
      <c r="P1265" s="391">
        <f t="shared" si="481"/>
        <v>0</v>
      </c>
      <c r="Q1265" s="391">
        <f>+N1265+O1265+P1265</f>
        <v>0</v>
      </c>
      <c r="R1265" s="761"/>
      <c r="S1265" s="267" t="str">
        <f t="shared" si="473"/>
        <v/>
      </c>
      <c r="T1265" s="267" t="str">
        <f t="shared" si="473"/>
        <v/>
      </c>
      <c r="U1265" s="267" t="str">
        <f t="shared" si="473"/>
        <v/>
      </c>
      <c r="V1265" s="267" t="str">
        <f t="shared" si="473"/>
        <v/>
      </c>
      <c r="W1265" s="532"/>
      <c r="X1265" s="236" t="s">
        <v>598</v>
      </c>
      <c r="Y1265" s="236" t="s">
        <v>598</v>
      </c>
      <c r="Z1265" s="240" t="s">
        <v>598</v>
      </c>
    </row>
    <row r="1266" spans="1:30" ht="12" customHeight="1">
      <c r="A1266" s="548" t="s">
        <v>270</v>
      </c>
      <c r="B1266" s="548" t="s">
        <v>271</v>
      </c>
      <c r="C1266" s="456"/>
      <c r="D1266" s="549"/>
      <c r="E1266" s="462" t="s">
        <v>290</v>
      </c>
      <c r="F1266" s="103">
        <v>0</v>
      </c>
      <c r="G1266" s="103">
        <f>SUM([3]BUREAUS!AE50)</f>
        <v>0</v>
      </c>
      <c r="H1266" s="103">
        <f>SUM([3]BUREAUS!AE142)</f>
        <v>0</v>
      </c>
      <c r="I1266" s="103">
        <f>+F1266+G1266+H1266</f>
        <v>0</v>
      </c>
      <c r="J1266" s="103">
        <v>0</v>
      </c>
      <c r="K1266" s="103">
        <f>SUM([3]BUREAUS!AE51)</f>
        <v>0</v>
      </c>
      <c r="L1266" s="103">
        <f>SUM([3]BUREAUS!AE143)</f>
        <v>0</v>
      </c>
      <c r="M1266" s="103">
        <f>+J1266+K1266+L1266</f>
        <v>0</v>
      </c>
      <c r="N1266" s="103">
        <f t="shared" si="481"/>
        <v>0</v>
      </c>
      <c r="O1266" s="103">
        <f t="shared" si="481"/>
        <v>0</v>
      </c>
      <c r="P1266" s="103">
        <f t="shared" si="481"/>
        <v>0</v>
      </c>
      <c r="Q1266" s="103">
        <f>+N1266+O1266+P1266</f>
        <v>0</v>
      </c>
      <c r="S1266" s="267" t="str">
        <f t="shared" si="473"/>
        <v/>
      </c>
      <c r="T1266" s="267" t="str">
        <f t="shared" si="473"/>
        <v/>
      </c>
      <c r="U1266" s="267" t="str">
        <f t="shared" si="473"/>
        <v/>
      </c>
      <c r="V1266" s="267" t="str">
        <f t="shared" si="473"/>
        <v/>
      </c>
      <c r="W1266" s="530"/>
      <c r="X1266" s="236" t="s">
        <v>598</v>
      </c>
      <c r="Y1266" s="236" t="s">
        <v>598</v>
      </c>
      <c r="Z1266" s="236"/>
    </row>
    <row r="1267" spans="1:30" s="266" customFormat="1" ht="12" customHeight="1">
      <c r="A1267" s="315" t="s">
        <v>270</v>
      </c>
      <c r="B1267" s="315" t="s">
        <v>271</v>
      </c>
      <c r="C1267" s="1470" t="s">
        <v>662</v>
      </c>
      <c r="D1267" s="1473"/>
      <c r="E1267" s="1472"/>
      <c r="F1267" s="666">
        <f t="shared" ref="F1267:Q1267" si="482">+F1257+F1265+F1258+F1261</f>
        <v>0</v>
      </c>
      <c r="G1267" s="666">
        <f t="shared" si="482"/>
        <v>2645020.65</v>
      </c>
      <c r="H1267" s="666">
        <f t="shared" si="482"/>
        <v>0</v>
      </c>
      <c r="I1267" s="666">
        <f t="shared" si="482"/>
        <v>2645020.65</v>
      </c>
      <c r="J1267" s="666">
        <f t="shared" si="482"/>
        <v>0</v>
      </c>
      <c r="K1267" s="666">
        <f t="shared" si="482"/>
        <v>2639570.0599999996</v>
      </c>
      <c r="L1267" s="666">
        <f t="shared" si="482"/>
        <v>0</v>
      </c>
      <c r="M1267" s="666">
        <f t="shared" si="482"/>
        <v>2639570.0599999996</v>
      </c>
      <c r="N1267" s="666">
        <f t="shared" si="482"/>
        <v>0</v>
      </c>
      <c r="O1267" s="666">
        <f t="shared" si="482"/>
        <v>5450.5900000002621</v>
      </c>
      <c r="P1267" s="666">
        <f t="shared" si="482"/>
        <v>0</v>
      </c>
      <c r="Q1267" s="666">
        <f t="shared" si="482"/>
        <v>5450.5900000002621</v>
      </c>
      <c r="R1267" s="1099">
        <f>+Q1267-[3]BUREAUS!BC353</f>
        <v>0</v>
      </c>
      <c r="S1267" s="525" t="str">
        <f t="shared" si="473"/>
        <v/>
      </c>
      <c r="T1267" s="525">
        <f t="shared" si="473"/>
        <v>0.99793930153248511</v>
      </c>
      <c r="U1267" s="525" t="str">
        <f t="shared" si="473"/>
        <v/>
      </c>
      <c r="V1267" s="525">
        <f t="shared" si="473"/>
        <v>0.99793930153248511</v>
      </c>
      <c r="W1267" s="345"/>
      <c r="X1267" s="237" t="s">
        <v>598</v>
      </c>
      <c r="Y1267" s="837" t="s">
        <v>598</v>
      </c>
      <c r="Z1267" s="241" t="s">
        <v>598</v>
      </c>
    </row>
    <row r="1268" spans="1:30" ht="12" customHeight="1">
      <c r="A1268" s="315" t="s">
        <v>270</v>
      </c>
      <c r="B1268" s="315" t="s">
        <v>271</v>
      </c>
      <c r="C1268" s="469"/>
      <c r="D1268" s="492"/>
      <c r="E1268" s="49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S1268" s="267" t="str">
        <f t="shared" si="473"/>
        <v/>
      </c>
      <c r="T1268" s="267" t="str">
        <f t="shared" si="473"/>
        <v/>
      </c>
      <c r="U1268" s="267" t="str">
        <f t="shared" si="473"/>
        <v/>
      </c>
      <c r="V1268" s="267" t="str">
        <f t="shared" si="473"/>
        <v/>
      </c>
      <c r="W1268" s="267"/>
      <c r="X1268" s="237" t="s">
        <v>598</v>
      </c>
      <c r="Y1268" s="837" t="s">
        <v>598</v>
      </c>
      <c r="Z1268" s="241" t="s">
        <v>598</v>
      </c>
    </row>
    <row r="1269" spans="1:30" s="1038" customFormat="1" ht="11.25" customHeight="1">
      <c r="A1269" s="279"/>
      <c r="B1269" s="280"/>
      <c r="C1269" s="1022"/>
      <c r="D1269" s="412"/>
      <c r="E1269" s="1023"/>
      <c r="F1269" s="1024"/>
      <c r="G1269" s="1024"/>
      <c r="H1269" s="1024"/>
      <c r="I1269" s="1025"/>
      <c r="J1269" s="1024"/>
      <c r="K1269" s="1024"/>
      <c r="L1269" s="1024"/>
      <c r="M1269" s="1025"/>
      <c r="N1269" s="1025"/>
      <c r="O1269" s="1025"/>
      <c r="P1269" s="1025"/>
      <c r="Q1269" s="1025"/>
      <c r="R1269" s="1105"/>
      <c r="S1269" s="1106" t="str">
        <f t="shared" si="473"/>
        <v/>
      </c>
      <c r="T1269" s="1106" t="str">
        <f t="shared" si="473"/>
        <v/>
      </c>
      <c r="U1269" s="1106" t="str">
        <f t="shared" si="473"/>
        <v/>
      </c>
      <c r="V1269" s="1106" t="str">
        <f t="shared" si="473"/>
        <v/>
      </c>
      <c r="W1269" s="281"/>
      <c r="X1269" s="237" t="s">
        <v>598</v>
      </c>
      <c r="Y1269" s="837" t="s">
        <v>598</v>
      </c>
      <c r="Z1269" s="241" t="s">
        <v>598</v>
      </c>
    </row>
    <row r="1270" spans="1:30" s="285" customFormat="1" ht="24.75" customHeight="1">
      <c r="A1270" s="282" t="s">
        <v>273</v>
      </c>
      <c r="B1270" s="282" t="s">
        <v>457</v>
      </c>
      <c r="C1270" s="1444" t="s">
        <v>273</v>
      </c>
      <c r="D1270" s="1445"/>
      <c r="E1270" s="1446"/>
      <c r="F1270" s="413"/>
      <c r="G1270" s="413"/>
      <c r="H1270" s="413"/>
      <c r="I1270" s="413">
        <f>SUM(F1270:H1270)</f>
        <v>0</v>
      </c>
      <c r="J1270" s="413"/>
      <c r="K1270" s="413"/>
      <c r="L1270" s="413"/>
      <c r="M1270" s="413"/>
      <c r="N1270" s="413"/>
      <c r="O1270" s="413"/>
      <c r="P1270" s="413"/>
      <c r="Q1270" s="413"/>
      <c r="R1270" s="760"/>
      <c r="S1270" s="534" t="str">
        <f t="shared" si="473"/>
        <v/>
      </c>
      <c r="T1270" s="534" t="str">
        <f t="shared" si="473"/>
        <v/>
      </c>
      <c r="U1270" s="534" t="str">
        <f t="shared" si="473"/>
        <v/>
      </c>
      <c r="V1270" s="534" t="str">
        <f t="shared" si="473"/>
        <v/>
      </c>
      <c r="W1270" s="283"/>
      <c r="X1270" s="1382"/>
      <c r="Y1270" s="1408" t="s">
        <v>598</v>
      </c>
      <c r="Z1270" s="261" t="s">
        <v>598</v>
      </c>
      <c r="AA1270" s="284"/>
      <c r="AB1270" s="284"/>
      <c r="AC1270" s="284"/>
      <c r="AD1270" s="284"/>
    </row>
    <row r="1271" spans="1:30" s="284" customFormat="1" ht="21.75" customHeight="1">
      <c r="A1271" s="282" t="s">
        <v>273</v>
      </c>
      <c r="B1271" s="282" t="s">
        <v>457</v>
      </c>
      <c r="C1271" s="1030" t="s">
        <v>766</v>
      </c>
      <c r="D1271" s="415"/>
      <c r="E1271" s="416"/>
      <c r="F1271" s="413"/>
      <c r="G1271" s="413"/>
      <c r="H1271" s="413"/>
      <c r="I1271" s="413"/>
      <c r="J1271" s="413"/>
      <c r="K1271" s="413"/>
      <c r="L1271" s="413"/>
      <c r="M1271" s="413"/>
      <c r="N1271" s="413"/>
      <c r="O1271" s="413"/>
      <c r="P1271" s="413"/>
      <c r="Q1271" s="413"/>
      <c r="R1271" s="760"/>
      <c r="S1271" s="534" t="str">
        <f t="shared" si="473"/>
        <v/>
      </c>
      <c r="T1271" s="534" t="str">
        <f t="shared" si="473"/>
        <v/>
      </c>
      <c r="U1271" s="534" t="str">
        <f t="shared" si="473"/>
        <v/>
      </c>
      <c r="V1271" s="534" t="str">
        <f t="shared" si="473"/>
        <v/>
      </c>
      <c r="W1271" s="283"/>
      <c r="X1271" s="1382"/>
      <c r="Y1271" s="1408" t="s">
        <v>598</v>
      </c>
      <c r="Z1271" s="241" t="s">
        <v>598</v>
      </c>
    </row>
    <row r="1272" spans="1:30" s="287" customFormat="1" ht="12.75" customHeight="1">
      <c r="A1272" s="246" t="s">
        <v>273</v>
      </c>
      <c r="B1272" s="246" t="s">
        <v>457</v>
      </c>
      <c r="C1272" s="1419" t="s">
        <v>1119</v>
      </c>
      <c r="D1272" s="1420"/>
      <c r="E1272" s="1421"/>
      <c r="F1272" s="417">
        <f>SUM(F1273:F1274)</f>
        <v>0</v>
      </c>
      <c r="G1272" s="417">
        <f t="shared" ref="G1272:Q1272" si="483">SUM(G1273:G1274)</f>
        <v>363210523.28999943</v>
      </c>
      <c r="H1272" s="417">
        <f t="shared" si="483"/>
        <v>3489236834.0500002</v>
      </c>
      <c r="I1272" s="417">
        <f t="shared" si="483"/>
        <v>3852447357.3399997</v>
      </c>
      <c r="J1272" s="417">
        <f t="shared" si="483"/>
        <v>0</v>
      </c>
      <c r="K1272" s="417">
        <f t="shared" si="483"/>
        <v>237376110.84999999</v>
      </c>
      <c r="L1272" s="417">
        <f t="shared" si="483"/>
        <v>1623216053.24</v>
      </c>
      <c r="M1272" s="417">
        <f t="shared" si="483"/>
        <v>1860592164.0899999</v>
      </c>
      <c r="N1272" s="417">
        <f t="shared" si="483"/>
        <v>0</v>
      </c>
      <c r="O1272" s="417">
        <f t="shared" si="483"/>
        <v>125834412.43999943</v>
      </c>
      <c r="P1272" s="417">
        <f t="shared" si="483"/>
        <v>1866020780.8100002</v>
      </c>
      <c r="Q1272" s="417">
        <f t="shared" si="483"/>
        <v>1991855193.2499995</v>
      </c>
      <c r="R1272" s="793"/>
      <c r="S1272" s="535" t="str">
        <f t="shared" si="473"/>
        <v/>
      </c>
      <c r="T1272" s="535">
        <f t="shared" si="473"/>
        <v>0.65354965131467557</v>
      </c>
      <c r="U1272" s="535">
        <f t="shared" si="473"/>
        <v>0.46520661406520608</v>
      </c>
      <c r="V1272" s="535">
        <f t="shared" si="473"/>
        <v>0.48296368295469283</v>
      </c>
      <c r="W1272" s="329"/>
      <c r="X1272" s="520"/>
      <c r="Y1272" s="833" t="s">
        <v>598</v>
      </c>
      <c r="Z1272" s="261" t="s">
        <v>598</v>
      </c>
      <c r="AA1272" s="286"/>
      <c r="AB1272" s="286"/>
      <c r="AC1272" s="286"/>
      <c r="AD1272" s="286"/>
    </row>
    <row r="1273" spans="1:30" ht="12" hidden="1" customHeight="1">
      <c r="A1273" s="236" t="s">
        <v>280</v>
      </c>
      <c r="B1273" s="356" t="s">
        <v>281</v>
      </c>
      <c r="C1273" s="447" t="s">
        <v>766</v>
      </c>
      <c r="D1273" s="456" t="s">
        <v>684</v>
      </c>
      <c r="E1273" s="447" t="s">
        <v>766</v>
      </c>
      <c r="F1273" s="404">
        <f t="shared" ref="F1273:H1274" si="484">+F10</f>
        <v>0</v>
      </c>
      <c r="G1273" s="404">
        <f t="shared" si="484"/>
        <v>313914442.91999942</v>
      </c>
      <c r="H1273" s="404">
        <f t="shared" si="484"/>
        <v>3585691671.0500002</v>
      </c>
      <c r="I1273" s="103">
        <f t="shared" ref="I1273:I1312" si="485">SUM(F1273:H1273)</f>
        <v>3899606113.9699998</v>
      </c>
      <c r="J1273" s="404">
        <f t="shared" ref="J1273:L1274" si="486">+J10</f>
        <v>0</v>
      </c>
      <c r="K1273" s="404">
        <f t="shared" si="486"/>
        <v>237376110.84999999</v>
      </c>
      <c r="L1273" s="404">
        <f t="shared" si="486"/>
        <v>1623216053.24</v>
      </c>
      <c r="M1273" s="103">
        <f t="shared" ref="M1273:M1312" si="487">SUM(J1273:L1273)</f>
        <v>1860592164.0899999</v>
      </c>
      <c r="N1273" s="103">
        <f t="shared" ref="N1273:P1274" si="488">+F1273-J1273</f>
        <v>0</v>
      </c>
      <c r="O1273" s="103">
        <f t="shared" si="488"/>
        <v>76538332.069999427</v>
      </c>
      <c r="P1273" s="103">
        <f t="shared" si="488"/>
        <v>1962475617.8100002</v>
      </c>
      <c r="Q1273" s="103">
        <f t="shared" ref="Q1273:Q1312" si="489">SUM(N1273:P1273)</f>
        <v>2039013949.8799996</v>
      </c>
      <c r="S1273" s="267" t="str">
        <f t="shared" si="473"/>
        <v/>
      </c>
      <c r="T1273" s="267">
        <f t="shared" si="473"/>
        <v>0.75618091554486044</v>
      </c>
      <c r="U1273" s="267">
        <f t="shared" si="473"/>
        <v>0.4526925910405098</v>
      </c>
      <c r="V1273" s="267">
        <f t="shared" si="473"/>
        <v>0.47712310159341231</v>
      </c>
      <c r="W1273" s="267"/>
    </row>
    <row r="1274" spans="1:30" s="268" customFormat="1" ht="12" hidden="1" customHeight="1">
      <c r="A1274" s="357" t="s">
        <v>279</v>
      </c>
      <c r="B1274" s="358" t="s">
        <v>281</v>
      </c>
      <c r="C1274" s="329"/>
      <c r="D1274" s="329" t="s">
        <v>98</v>
      </c>
      <c r="E1274" s="453" t="s">
        <v>50</v>
      </c>
      <c r="F1274" s="404">
        <f t="shared" si="484"/>
        <v>0</v>
      </c>
      <c r="G1274" s="404">
        <f t="shared" si="484"/>
        <v>49296080.369999997</v>
      </c>
      <c r="H1274" s="404">
        <f t="shared" si="484"/>
        <v>-96454837</v>
      </c>
      <c r="I1274" s="395">
        <f t="shared" si="485"/>
        <v>-47158756.630000003</v>
      </c>
      <c r="J1274" s="404">
        <f t="shared" si="486"/>
        <v>0</v>
      </c>
      <c r="K1274" s="404">
        <f t="shared" si="486"/>
        <v>0</v>
      </c>
      <c r="L1274" s="404">
        <f t="shared" si="486"/>
        <v>0</v>
      </c>
      <c r="M1274" s="395">
        <f t="shared" si="487"/>
        <v>0</v>
      </c>
      <c r="N1274" s="395">
        <f t="shared" si="488"/>
        <v>0</v>
      </c>
      <c r="O1274" s="395">
        <f t="shared" si="488"/>
        <v>49296080.369999997</v>
      </c>
      <c r="P1274" s="395">
        <f t="shared" si="488"/>
        <v>-96454837</v>
      </c>
      <c r="Q1274" s="395">
        <f t="shared" si="489"/>
        <v>-47158756.630000003</v>
      </c>
      <c r="R1274" s="760"/>
      <c r="S1274" s="359" t="str">
        <f t="shared" si="473"/>
        <v/>
      </c>
      <c r="T1274" s="359">
        <f t="shared" si="473"/>
        <v>0</v>
      </c>
      <c r="U1274" s="359">
        <f t="shared" si="473"/>
        <v>0</v>
      </c>
      <c r="V1274" s="359">
        <f t="shared" si="473"/>
        <v>0</v>
      </c>
      <c r="W1274" s="359"/>
      <c r="X1274" s="844"/>
      <c r="Y1274" s="845"/>
      <c r="Z1274" s="846"/>
    </row>
    <row r="1275" spans="1:30" ht="12" customHeight="1">
      <c r="A1275" s="315"/>
      <c r="B1275" s="315"/>
      <c r="C1275" s="456"/>
      <c r="D1275" s="456"/>
      <c r="E1275" s="461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S1275" s="267" t="str">
        <f t="shared" si="473"/>
        <v/>
      </c>
      <c r="T1275" s="267" t="str">
        <f t="shared" si="473"/>
        <v/>
      </c>
      <c r="U1275" s="267" t="str">
        <f t="shared" si="473"/>
        <v/>
      </c>
      <c r="V1275" s="267" t="str">
        <f t="shared" si="473"/>
        <v/>
      </c>
      <c r="W1275" s="267"/>
      <c r="Y1275" s="837" t="s">
        <v>598</v>
      </c>
      <c r="Z1275" s="241" t="s">
        <v>598</v>
      </c>
    </row>
    <row r="1276" spans="1:30" s="287" customFormat="1" ht="12.75" customHeight="1">
      <c r="A1276" s="246" t="s">
        <v>273</v>
      </c>
      <c r="B1276" s="246" t="s">
        <v>457</v>
      </c>
      <c r="C1276" s="1419" t="s">
        <v>861</v>
      </c>
      <c r="D1276" s="1420"/>
      <c r="E1276" s="1421"/>
      <c r="F1276" s="417">
        <f t="shared" ref="F1276:Q1276" si="490">SUM(F1277:F1278)</f>
        <v>0</v>
      </c>
      <c r="G1276" s="417">
        <f t="shared" si="490"/>
        <v>87991891.479999989</v>
      </c>
      <c r="H1276" s="417">
        <f t="shared" si="490"/>
        <v>0</v>
      </c>
      <c r="I1276" s="417">
        <f t="shared" si="490"/>
        <v>87991891.479999989</v>
      </c>
      <c r="J1276" s="417">
        <f t="shared" si="490"/>
        <v>0</v>
      </c>
      <c r="K1276" s="417">
        <f t="shared" si="490"/>
        <v>61057203.469999991</v>
      </c>
      <c r="L1276" s="417">
        <f t="shared" si="490"/>
        <v>0</v>
      </c>
      <c r="M1276" s="417">
        <f t="shared" si="490"/>
        <v>61057203.469999991</v>
      </c>
      <c r="N1276" s="417">
        <f t="shared" si="490"/>
        <v>0</v>
      </c>
      <c r="O1276" s="417">
        <f t="shared" si="490"/>
        <v>26934688.010000002</v>
      </c>
      <c r="P1276" s="417">
        <f t="shared" si="490"/>
        <v>0</v>
      </c>
      <c r="Q1276" s="417">
        <f t="shared" si="490"/>
        <v>26934688.010000002</v>
      </c>
      <c r="R1276" s="793"/>
      <c r="S1276" s="535" t="str">
        <f t="shared" si="473"/>
        <v/>
      </c>
      <c r="T1276" s="535">
        <f t="shared" si="473"/>
        <v>0.69389579474920049</v>
      </c>
      <c r="U1276" s="535" t="str">
        <f t="shared" si="473"/>
        <v/>
      </c>
      <c r="V1276" s="535">
        <f t="shared" si="473"/>
        <v>0.69389579474920049</v>
      </c>
      <c r="W1276" s="329"/>
      <c r="X1276" s="520"/>
      <c r="Y1276" s="833" t="s">
        <v>598</v>
      </c>
      <c r="Z1276" s="261" t="s">
        <v>598</v>
      </c>
      <c r="AA1276" s="286"/>
      <c r="AB1276" s="286"/>
      <c r="AC1276" s="286"/>
      <c r="AD1276" s="286"/>
    </row>
    <row r="1277" spans="1:30" ht="12" customHeight="1">
      <c r="A1277" s="236" t="s">
        <v>282</v>
      </c>
      <c r="B1277" s="236" t="s">
        <v>283</v>
      </c>
      <c r="C1277" s="456"/>
      <c r="D1277" s="456"/>
      <c r="E1277" s="447" t="s">
        <v>421</v>
      </c>
      <c r="F1277" s="404">
        <f t="shared" ref="F1277:H1278" si="491">+F23</f>
        <v>0</v>
      </c>
      <c r="G1277" s="404">
        <f t="shared" si="491"/>
        <v>7803808.3200000003</v>
      </c>
      <c r="H1277" s="404">
        <f t="shared" si="491"/>
        <v>0</v>
      </c>
      <c r="I1277" s="103">
        <f t="shared" si="485"/>
        <v>7803808.3200000003</v>
      </c>
      <c r="J1277" s="404">
        <f t="shared" ref="J1277:L1278" si="492">+J23</f>
        <v>0</v>
      </c>
      <c r="K1277" s="404">
        <f t="shared" si="492"/>
        <v>106114.98</v>
      </c>
      <c r="L1277" s="404">
        <f t="shared" si="492"/>
        <v>0</v>
      </c>
      <c r="M1277" s="103">
        <f t="shared" si="487"/>
        <v>106114.98</v>
      </c>
      <c r="N1277" s="103">
        <f t="shared" ref="N1277:P1278" si="493">+F1277-J1277</f>
        <v>0</v>
      </c>
      <c r="O1277" s="103">
        <f t="shared" si="493"/>
        <v>7697693.3399999999</v>
      </c>
      <c r="P1277" s="103">
        <f t="shared" si="493"/>
        <v>0</v>
      </c>
      <c r="Q1277" s="103">
        <f t="shared" si="489"/>
        <v>7697693.3399999999</v>
      </c>
      <c r="S1277" s="267" t="str">
        <f t="shared" si="473"/>
        <v/>
      </c>
      <c r="T1277" s="267">
        <f t="shared" si="473"/>
        <v>1.3597845519609072E-2</v>
      </c>
      <c r="U1277" s="267" t="str">
        <f t="shared" si="473"/>
        <v/>
      </c>
      <c r="V1277" s="267">
        <f t="shared" si="473"/>
        <v>1.3597845519609072E-2</v>
      </c>
      <c r="W1277" s="267"/>
      <c r="Y1277" s="837" t="s">
        <v>598</v>
      </c>
    </row>
    <row r="1278" spans="1:30" ht="12" customHeight="1">
      <c r="A1278" s="236" t="s">
        <v>282</v>
      </c>
      <c r="B1278" s="236" t="s">
        <v>283</v>
      </c>
      <c r="C1278" s="456"/>
      <c r="D1278" s="456"/>
      <c r="E1278" s="447" t="s">
        <v>422</v>
      </c>
      <c r="F1278" s="404">
        <f t="shared" si="491"/>
        <v>0</v>
      </c>
      <c r="G1278" s="404">
        <f t="shared" si="491"/>
        <v>80188083.159999996</v>
      </c>
      <c r="H1278" s="404">
        <f t="shared" si="491"/>
        <v>0</v>
      </c>
      <c r="I1278" s="103">
        <f t="shared" si="485"/>
        <v>80188083.159999996</v>
      </c>
      <c r="J1278" s="404">
        <f t="shared" si="492"/>
        <v>0</v>
      </c>
      <c r="K1278" s="404">
        <f t="shared" si="492"/>
        <v>60951088.489999995</v>
      </c>
      <c r="L1278" s="404">
        <f t="shared" si="492"/>
        <v>0</v>
      </c>
      <c r="M1278" s="103">
        <f t="shared" si="487"/>
        <v>60951088.489999995</v>
      </c>
      <c r="N1278" s="103">
        <f t="shared" si="493"/>
        <v>0</v>
      </c>
      <c r="O1278" s="103">
        <f t="shared" si="493"/>
        <v>19236994.670000002</v>
      </c>
      <c r="P1278" s="103">
        <f t="shared" si="493"/>
        <v>0</v>
      </c>
      <c r="Q1278" s="103">
        <f t="shared" si="489"/>
        <v>19236994.670000002</v>
      </c>
      <c r="S1278" s="267" t="str">
        <f t="shared" si="473"/>
        <v/>
      </c>
      <c r="T1278" s="267">
        <f t="shared" si="473"/>
        <v>0.76010157729277239</v>
      </c>
      <c r="U1278" s="267" t="str">
        <f t="shared" si="473"/>
        <v/>
      </c>
      <c r="V1278" s="267">
        <f t="shared" si="473"/>
        <v>0.76010157729277239</v>
      </c>
      <c r="W1278" s="267"/>
      <c r="Y1278" s="837" t="s">
        <v>598</v>
      </c>
    </row>
    <row r="1279" spans="1:30" s="260" customFormat="1" ht="12" customHeight="1">
      <c r="B1279" s="236"/>
      <c r="C1279" s="494"/>
      <c r="D1279" s="495"/>
      <c r="E1279" s="496"/>
      <c r="F1279" s="418"/>
      <c r="G1279" s="418"/>
      <c r="H1279" s="418"/>
      <c r="I1279" s="497"/>
      <c r="J1279" s="418"/>
      <c r="K1279" s="418"/>
      <c r="L1279" s="418"/>
      <c r="M1279" s="497"/>
      <c r="N1279" s="418"/>
      <c r="O1279" s="418"/>
      <c r="P1279" s="418"/>
      <c r="Q1279" s="497"/>
      <c r="R1279" s="761"/>
      <c r="S1279" s="267" t="str">
        <f t="shared" si="473"/>
        <v/>
      </c>
      <c r="T1279" s="267" t="str">
        <f t="shared" si="473"/>
        <v/>
      </c>
      <c r="U1279" s="267" t="str">
        <f t="shared" si="473"/>
        <v/>
      </c>
      <c r="V1279" s="267" t="str">
        <f t="shared" si="473"/>
        <v/>
      </c>
      <c r="W1279" s="308"/>
      <c r="X1279" s="1386"/>
      <c r="Y1279" s="837" t="s">
        <v>598</v>
      </c>
      <c r="Z1279" s="261" t="s">
        <v>598</v>
      </c>
    </row>
    <row r="1280" spans="1:30" s="290" customFormat="1" ht="12.75" customHeight="1">
      <c r="A1280" s="246" t="s">
        <v>273</v>
      </c>
      <c r="B1280" s="246" t="s">
        <v>457</v>
      </c>
      <c r="C1280" s="1419" t="s">
        <v>862</v>
      </c>
      <c r="D1280" s="1420"/>
      <c r="E1280" s="1421"/>
      <c r="F1280" s="417">
        <f>SUM(F1281:F1282)</f>
        <v>0</v>
      </c>
      <c r="G1280" s="417">
        <f t="shared" ref="G1280:Q1280" si="494">SUM(G1281:G1282)</f>
        <v>17498074.260000002</v>
      </c>
      <c r="H1280" s="417">
        <f t="shared" si="494"/>
        <v>1154652</v>
      </c>
      <c r="I1280" s="417">
        <f t="shared" si="494"/>
        <v>18652726.260000002</v>
      </c>
      <c r="J1280" s="417">
        <f t="shared" si="494"/>
        <v>0</v>
      </c>
      <c r="K1280" s="417">
        <f t="shared" si="494"/>
        <v>6125719.0800000001</v>
      </c>
      <c r="L1280" s="417">
        <f t="shared" si="494"/>
        <v>0</v>
      </c>
      <c r="M1280" s="417">
        <f t="shared" si="494"/>
        <v>6125719.0800000001</v>
      </c>
      <c r="N1280" s="417">
        <f t="shared" si="494"/>
        <v>0</v>
      </c>
      <c r="O1280" s="417">
        <f t="shared" si="494"/>
        <v>11372355.180000002</v>
      </c>
      <c r="P1280" s="417">
        <f t="shared" si="494"/>
        <v>1154652</v>
      </c>
      <c r="Q1280" s="417">
        <f t="shared" si="494"/>
        <v>12527007.180000002</v>
      </c>
      <c r="R1280" s="794"/>
      <c r="S1280" s="535" t="str">
        <f t="shared" si="473"/>
        <v/>
      </c>
      <c r="T1280" s="535">
        <f t="shared" si="473"/>
        <v>0.35007961384660391</v>
      </c>
      <c r="U1280" s="535">
        <f t="shared" si="473"/>
        <v>0</v>
      </c>
      <c r="V1280" s="535">
        <f t="shared" si="473"/>
        <v>0.32840878028303833</v>
      </c>
      <c r="W1280" s="288"/>
      <c r="X1280" s="237"/>
      <c r="Y1280" s="837" t="s">
        <v>598</v>
      </c>
      <c r="Z1280" s="261" t="s">
        <v>598</v>
      </c>
      <c r="AA1280" s="289"/>
      <c r="AB1280" s="289"/>
      <c r="AC1280" s="289"/>
      <c r="AD1280" s="289"/>
    </row>
    <row r="1281" spans="1:30" ht="12" customHeight="1">
      <c r="A1281" s="315" t="s">
        <v>278</v>
      </c>
      <c r="B1281" s="315" t="s">
        <v>269</v>
      </c>
      <c r="C1281" s="447" t="s">
        <v>766</v>
      </c>
      <c r="D1281" s="456" t="s">
        <v>98</v>
      </c>
      <c r="E1281" s="447" t="s">
        <v>766</v>
      </c>
      <c r="F1281" s="104">
        <f>+F1213+F1224+F1235</f>
        <v>0</v>
      </c>
      <c r="G1281" s="104">
        <f>+G1213+G1224+G1235</f>
        <v>17498074.260000002</v>
      </c>
      <c r="H1281" s="104">
        <f>+H1213+H1224+H1235</f>
        <v>1154652</v>
      </c>
      <c r="I1281" s="103">
        <f t="shared" si="485"/>
        <v>18652726.260000002</v>
      </c>
      <c r="J1281" s="104">
        <f>+J1213+J1224+J1235</f>
        <v>0</v>
      </c>
      <c r="K1281" s="104">
        <f>+K1213+K1224+K1235</f>
        <v>6125719.0800000001</v>
      </c>
      <c r="L1281" s="104">
        <f>+L1213+L1224+L1235</f>
        <v>0</v>
      </c>
      <c r="M1281" s="103">
        <f t="shared" si="487"/>
        <v>6125719.0800000001</v>
      </c>
      <c r="N1281" s="103">
        <f t="shared" ref="N1281:P1284" si="495">+F1281-J1281</f>
        <v>0</v>
      </c>
      <c r="O1281" s="103">
        <f t="shared" si="495"/>
        <v>11372355.180000002</v>
      </c>
      <c r="P1281" s="103">
        <f t="shared" si="495"/>
        <v>1154652</v>
      </c>
      <c r="Q1281" s="103">
        <f t="shared" si="489"/>
        <v>12527007.180000002</v>
      </c>
      <c r="S1281" s="267" t="str">
        <f t="shared" si="473"/>
        <v/>
      </c>
      <c r="T1281" s="267">
        <f t="shared" si="473"/>
        <v>0.35007961384660391</v>
      </c>
      <c r="U1281" s="267">
        <f t="shared" si="473"/>
        <v>0</v>
      </c>
      <c r="V1281" s="267">
        <f t="shared" si="473"/>
        <v>0.32840878028303833</v>
      </c>
      <c r="W1281" s="267"/>
      <c r="Y1281" s="837" t="s">
        <v>688</v>
      </c>
    </row>
    <row r="1282" spans="1:30" ht="12" customHeight="1">
      <c r="A1282" s="315" t="s">
        <v>278</v>
      </c>
      <c r="B1282" s="315" t="s">
        <v>269</v>
      </c>
      <c r="C1282" s="456"/>
      <c r="D1282" s="456" t="s">
        <v>98</v>
      </c>
      <c r="E1282" s="453" t="s">
        <v>50</v>
      </c>
      <c r="F1282" s="103">
        <f>+F1283+F1284</f>
        <v>0</v>
      </c>
      <c r="G1282" s="103">
        <f>+G1283+G1284</f>
        <v>0</v>
      </c>
      <c r="H1282" s="103">
        <f>+H1283+H1284</f>
        <v>0</v>
      </c>
      <c r="I1282" s="103">
        <f t="shared" si="485"/>
        <v>0</v>
      </c>
      <c r="J1282" s="103">
        <f>+J1283+J1284</f>
        <v>0</v>
      </c>
      <c r="K1282" s="103">
        <f>+K1283+K1284</f>
        <v>0</v>
      </c>
      <c r="L1282" s="103">
        <f>+L1283+L1284</f>
        <v>0</v>
      </c>
      <c r="M1282" s="103">
        <f t="shared" si="487"/>
        <v>0</v>
      </c>
      <c r="N1282" s="103">
        <f t="shared" si="495"/>
        <v>0</v>
      </c>
      <c r="O1282" s="103">
        <f t="shared" si="495"/>
        <v>0</v>
      </c>
      <c r="P1282" s="103">
        <f t="shared" si="495"/>
        <v>0</v>
      </c>
      <c r="Q1282" s="103">
        <f t="shared" si="489"/>
        <v>0</v>
      </c>
      <c r="S1282" s="267" t="str">
        <f t="shared" si="473"/>
        <v/>
      </c>
      <c r="T1282" s="267" t="str">
        <f t="shared" si="473"/>
        <v/>
      </c>
      <c r="U1282" s="267" t="str">
        <f t="shared" si="473"/>
        <v/>
      </c>
      <c r="V1282" s="267" t="str">
        <f t="shared" si="473"/>
        <v/>
      </c>
      <c r="W1282" s="267"/>
      <c r="Y1282" s="837" t="s">
        <v>688</v>
      </c>
    </row>
    <row r="1283" spans="1:30" ht="12" hidden="1" customHeight="1">
      <c r="A1283" s="315" t="s">
        <v>278</v>
      </c>
      <c r="B1283" s="315" t="s">
        <v>269</v>
      </c>
      <c r="C1283" s="458" t="s">
        <v>715</v>
      </c>
      <c r="D1283" s="458" t="s">
        <v>715</v>
      </c>
      <c r="E1283" s="459" t="s">
        <v>715</v>
      </c>
      <c r="F1283" s="104">
        <f t="shared" ref="F1283:H1284" si="496">+F1215+F1226+F1237</f>
        <v>0</v>
      </c>
      <c r="G1283" s="104">
        <f t="shared" si="496"/>
        <v>0</v>
      </c>
      <c r="H1283" s="104">
        <f t="shared" si="496"/>
        <v>0</v>
      </c>
      <c r="I1283" s="103">
        <f t="shared" si="485"/>
        <v>0</v>
      </c>
      <c r="J1283" s="104">
        <f t="shared" ref="J1283:L1284" si="497">+J1215+J1226+J1237</f>
        <v>0</v>
      </c>
      <c r="K1283" s="104">
        <f t="shared" si="497"/>
        <v>0</v>
      </c>
      <c r="L1283" s="104">
        <f t="shared" si="497"/>
        <v>0</v>
      </c>
      <c r="M1283" s="103">
        <f t="shared" si="487"/>
        <v>0</v>
      </c>
      <c r="N1283" s="103">
        <f t="shared" si="495"/>
        <v>0</v>
      </c>
      <c r="O1283" s="103">
        <f t="shared" si="495"/>
        <v>0</v>
      </c>
      <c r="P1283" s="103">
        <f t="shared" si="495"/>
        <v>0</v>
      </c>
      <c r="Q1283" s="103">
        <f t="shared" si="489"/>
        <v>0</v>
      </c>
      <c r="S1283" s="267" t="str">
        <f t="shared" si="473"/>
        <v/>
      </c>
      <c r="T1283" s="267" t="str">
        <f t="shared" si="473"/>
        <v/>
      </c>
      <c r="U1283" s="267" t="str">
        <f t="shared" si="473"/>
        <v/>
      </c>
      <c r="V1283" s="267" t="str">
        <f t="shared" si="473"/>
        <v/>
      </c>
      <c r="W1283" s="267"/>
    </row>
    <row r="1284" spans="1:30" ht="12" hidden="1" customHeight="1">
      <c r="A1284" s="315" t="s">
        <v>278</v>
      </c>
      <c r="B1284" s="315" t="s">
        <v>269</v>
      </c>
      <c r="C1284" s="458" t="s">
        <v>716</v>
      </c>
      <c r="D1284" s="458" t="s">
        <v>716</v>
      </c>
      <c r="E1284" s="459" t="s">
        <v>716</v>
      </c>
      <c r="F1284" s="104">
        <f t="shared" si="496"/>
        <v>0</v>
      </c>
      <c r="G1284" s="104">
        <f t="shared" si="496"/>
        <v>0</v>
      </c>
      <c r="H1284" s="104">
        <f t="shared" si="496"/>
        <v>0</v>
      </c>
      <c r="I1284" s="103">
        <f t="shared" si="485"/>
        <v>0</v>
      </c>
      <c r="J1284" s="104">
        <f t="shared" si="497"/>
        <v>0</v>
      </c>
      <c r="K1284" s="104">
        <f t="shared" si="497"/>
        <v>0</v>
      </c>
      <c r="L1284" s="104">
        <f t="shared" si="497"/>
        <v>0</v>
      </c>
      <c r="M1284" s="103">
        <f t="shared" si="487"/>
        <v>0</v>
      </c>
      <c r="N1284" s="103">
        <f t="shared" si="495"/>
        <v>0</v>
      </c>
      <c r="O1284" s="103">
        <f t="shared" si="495"/>
        <v>0</v>
      </c>
      <c r="P1284" s="103">
        <f t="shared" si="495"/>
        <v>0</v>
      </c>
      <c r="Q1284" s="103">
        <f t="shared" si="489"/>
        <v>0</v>
      </c>
      <c r="S1284" s="267" t="str">
        <f t="shared" si="473"/>
        <v/>
      </c>
      <c r="T1284" s="267" t="str">
        <f t="shared" si="473"/>
        <v/>
      </c>
      <c r="U1284" s="267" t="str">
        <f t="shared" si="473"/>
        <v/>
      </c>
      <c r="V1284" s="267" t="str">
        <f t="shared" si="473"/>
        <v/>
      </c>
      <c r="W1284" s="267"/>
    </row>
    <row r="1285" spans="1:30" s="260" customFormat="1" ht="12" customHeight="1">
      <c r="B1285" s="236"/>
      <c r="C1285" s="494"/>
      <c r="D1285" s="495"/>
      <c r="E1285" s="496"/>
      <c r="F1285" s="418"/>
      <c r="G1285" s="418"/>
      <c r="H1285" s="418"/>
      <c r="I1285" s="497"/>
      <c r="J1285" s="418"/>
      <c r="K1285" s="418"/>
      <c r="L1285" s="418"/>
      <c r="M1285" s="497"/>
      <c r="N1285" s="418"/>
      <c r="O1285" s="418"/>
      <c r="P1285" s="418"/>
      <c r="Q1285" s="497"/>
      <c r="R1285" s="761"/>
      <c r="S1285" s="267" t="str">
        <f t="shared" si="473"/>
        <v/>
      </c>
      <c r="T1285" s="267" t="str">
        <f t="shared" si="473"/>
        <v/>
      </c>
      <c r="U1285" s="267" t="str">
        <f t="shared" si="473"/>
        <v/>
      </c>
      <c r="V1285" s="267" t="str">
        <f t="shared" si="473"/>
        <v/>
      </c>
      <c r="W1285" s="308"/>
      <c r="X1285" s="1386"/>
      <c r="Y1285" s="837" t="s">
        <v>598</v>
      </c>
      <c r="Z1285" s="261" t="s">
        <v>598</v>
      </c>
    </row>
    <row r="1286" spans="1:30" s="290" customFormat="1" ht="12.75" customHeight="1">
      <c r="A1286" s="246" t="s">
        <v>273</v>
      </c>
      <c r="B1286" s="246" t="s">
        <v>457</v>
      </c>
      <c r="C1286" s="1419" t="s">
        <v>271</v>
      </c>
      <c r="D1286" s="1420"/>
      <c r="E1286" s="1421"/>
      <c r="F1286" s="417">
        <f>+F1287+F1288+F1291</f>
        <v>0</v>
      </c>
      <c r="G1286" s="417">
        <f t="shared" ref="G1286:Q1286" si="498">+G1287+G1288+G1291</f>
        <v>2645020.65</v>
      </c>
      <c r="H1286" s="417">
        <f t="shared" si="498"/>
        <v>0</v>
      </c>
      <c r="I1286" s="417">
        <f t="shared" si="498"/>
        <v>2645020.65</v>
      </c>
      <c r="J1286" s="417">
        <f t="shared" si="498"/>
        <v>0</v>
      </c>
      <c r="K1286" s="417">
        <f t="shared" si="498"/>
        <v>2639570.0599999996</v>
      </c>
      <c r="L1286" s="417">
        <f t="shared" si="498"/>
        <v>0</v>
      </c>
      <c r="M1286" s="417">
        <f t="shared" si="498"/>
        <v>2639570.0599999996</v>
      </c>
      <c r="N1286" s="417">
        <f t="shared" si="498"/>
        <v>0</v>
      </c>
      <c r="O1286" s="417">
        <f t="shared" si="498"/>
        <v>5450.5900000002621</v>
      </c>
      <c r="P1286" s="417">
        <f t="shared" si="498"/>
        <v>0</v>
      </c>
      <c r="Q1286" s="417">
        <f t="shared" si="498"/>
        <v>5450.5900000002621</v>
      </c>
      <c r="R1286" s="794"/>
      <c r="S1286" s="535" t="str">
        <f t="shared" si="473"/>
        <v/>
      </c>
      <c r="T1286" s="535">
        <f t="shared" si="473"/>
        <v>0.99793930153248511</v>
      </c>
      <c r="U1286" s="535" t="str">
        <f t="shared" si="473"/>
        <v/>
      </c>
      <c r="V1286" s="535">
        <f t="shared" si="473"/>
        <v>0.99793930153248511</v>
      </c>
      <c r="W1286" s="288"/>
      <c r="X1286" s="237"/>
      <c r="Y1286" s="837" t="s">
        <v>598</v>
      </c>
      <c r="Z1286" s="261" t="s">
        <v>598</v>
      </c>
      <c r="AA1286" s="289"/>
      <c r="AB1286" s="289"/>
      <c r="AC1286" s="289"/>
      <c r="AD1286" s="289"/>
    </row>
    <row r="1287" spans="1:30" ht="12" customHeight="1">
      <c r="A1287" s="315" t="s">
        <v>279</v>
      </c>
      <c r="B1287" s="315" t="s">
        <v>272</v>
      </c>
      <c r="C1287" s="447" t="s">
        <v>766</v>
      </c>
      <c r="D1287" s="456" t="s">
        <v>98</v>
      </c>
      <c r="E1287" s="447" t="s">
        <v>766</v>
      </c>
      <c r="F1287" s="104">
        <f>+F1257</f>
        <v>0</v>
      </c>
      <c r="G1287" s="104">
        <f>+G1257</f>
        <v>0</v>
      </c>
      <c r="H1287" s="104">
        <f>+H1257</f>
        <v>0</v>
      </c>
      <c r="I1287" s="103">
        <f t="shared" si="485"/>
        <v>0</v>
      </c>
      <c r="J1287" s="104">
        <f>+J1257</f>
        <v>0</v>
      </c>
      <c r="K1287" s="104">
        <f>+K1257</f>
        <v>0</v>
      </c>
      <c r="L1287" s="104">
        <f>+L1257</f>
        <v>0</v>
      </c>
      <c r="M1287" s="103">
        <f t="shared" si="487"/>
        <v>0</v>
      </c>
      <c r="N1287" s="103">
        <f t="shared" ref="N1287:P1290" si="499">+F1287-J1287</f>
        <v>0</v>
      </c>
      <c r="O1287" s="103">
        <f t="shared" si="499"/>
        <v>0</v>
      </c>
      <c r="P1287" s="103">
        <f t="shared" si="499"/>
        <v>0</v>
      </c>
      <c r="Q1287" s="103">
        <f t="shared" si="489"/>
        <v>0</v>
      </c>
      <c r="S1287" s="267" t="str">
        <f t="shared" si="473"/>
        <v/>
      </c>
      <c r="T1287" s="267" t="str">
        <f t="shared" si="473"/>
        <v/>
      </c>
      <c r="U1287" s="267" t="str">
        <f t="shared" si="473"/>
        <v/>
      </c>
      <c r="V1287" s="267" t="str">
        <f t="shared" si="473"/>
        <v/>
      </c>
      <c r="W1287" s="267"/>
      <c r="Y1287" s="837" t="s">
        <v>688</v>
      </c>
    </row>
    <row r="1288" spans="1:30" ht="12" customHeight="1">
      <c r="A1288" s="315" t="s">
        <v>279</v>
      </c>
      <c r="B1288" s="315" t="s">
        <v>272</v>
      </c>
      <c r="C1288" s="456"/>
      <c r="D1288" s="456" t="s">
        <v>98</v>
      </c>
      <c r="E1288" s="453" t="s">
        <v>50</v>
      </c>
      <c r="F1288" s="103">
        <f>+F1289+F1290</f>
        <v>0</v>
      </c>
      <c r="G1288" s="103">
        <f>+G1289+G1290</f>
        <v>2621061.09</v>
      </c>
      <c r="H1288" s="103">
        <f>+H1289+H1290</f>
        <v>0</v>
      </c>
      <c r="I1288" s="103">
        <f t="shared" si="485"/>
        <v>2621061.09</v>
      </c>
      <c r="J1288" s="103">
        <f>+J1289+J1290</f>
        <v>0</v>
      </c>
      <c r="K1288" s="103">
        <f>+K1289+K1290</f>
        <v>2619570.0599999996</v>
      </c>
      <c r="L1288" s="103">
        <f>+L1289+L1290</f>
        <v>0</v>
      </c>
      <c r="M1288" s="103">
        <f t="shared" si="487"/>
        <v>2619570.0599999996</v>
      </c>
      <c r="N1288" s="103">
        <f t="shared" si="499"/>
        <v>0</v>
      </c>
      <c r="O1288" s="103">
        <f t="shared" si="499"/>
        <v>1491.0300000002608</v>
      </c>
      <c r="P1288" s="103">
        <f t="shared" si="499"/>
        <v>0</v>
      </c>
      <c r="Q1288" s="103">
        <f t="shared" si="489"/>
        <v>1491.0300000002608</v>
      </c>
      <c r="S1288" s="267" t="str">
        <f t="shared" si="473"/>
        <v/>
      </c>
      <c r="T1288" s="267">
        <f t="shared" si="473"/>
        <v>0.99943113496831915</v>
      </c>
      <c r="U1288" s="267" t="str">
        <f t="shared" si="473"/>
        <v/>
      </c>
      <c r="V1288" s="267">
        <f t="shared" si="473"/>
        <v>0.99943113496831915</v>
      </c>
      <c r="W1288" s="267"/>
      <c r="Y1288" s="837" t="s">
        <v>688</v>
      </c>
    </row>
    <row r="1289" spans="1:30" ht="12" hidden="1" customHeight="1">
      <c r="A1289" s="315" t="s">
        <v>279</v>
      </c>
      <c r="B1289" s="315" t="s">
        <v>272</v>
      </c>
      <c r="C1289" s="458" t="s">
        <v>715</v>
      </c>
      <c r="D1289" s="458" t="s">
        <v>715</v>
      </c>
      <c r="E1289" s="459" t="s">
        <v>715</v>
      </c>
      <c r="F1289" s="104">
        <f t="shared" ref="F1289:H1290" si="500">+F1259</f>
        <v>0</v>
      </c>
      <c r="G1289" s="104">
        <f t="shared" si="500"/>
        <v>0</v>
      </c>
      <c r="H1289" s="104">
        <f t="shared" si="500"/>
        <v>0</v>
      </c>
      <c r="I1289" s="103">
        <f t="shared" si="485"/>
        <v>0</v>
      </c>
      <c r="J1289" s="104">
        <f t="shared" ref="J1289:L1290" si="501">+J1259</f>
        <v>0</v>
      </c>
      <c r="K1289" s="104">
        <f t="shared" si="501"/>
        <v>0</v>
      </c>
      <c r="L1289" s="104">
        <f t="shared" si="501"/>
        <v>0</v>
      </c>
      <c r="M1289" s="103">
        <f t="shared" si="487"/>
        <v>0</v>
      </c>
      <c r="N1289" s="103">
        <f t="shared" si="499"/>
        <v>0</v>
      </c>
      <c r="O1289" s="103">
        <f t="shared" si="499"/>
        <v>0</v>
      </c>
      <c r="P1289" s="103">
        <f t="shared" si="499"/>
        <v>0</v>
      </c>
      <c r="Q1289" s="103">
        <f t="shared" si="489"/>
        <v>0</v>
      </c>
      <c r="S1289" s="267" t="str">
        <f t="shared" si="473"/>
        <v/>
      </c>
      <c r="T1289" s="267" t="str">
        <f t="shared" si="473"/>
        <v/>
      </c>
      <c r="U1289" s="267" t="str">
        <f t="shared" si="473"/>
        <v/>
      </c>
      <c r="V1289" s="267" t="str">
        <f t="shared" si="473"/>
        <v/>
      </c>
      <c r="W1289" s="267"/>
    </row>
    <row r="1290" spans="1:30" ht="12" hidden="1" customHeight="1">
      <c r="A1290" s="315" t="s">
        <v>279</v>
      </c>
      <c r="B1290" s="315" t="s">
        <v>272</v>
      </c>
      <c r="C1290" s="458" t="s">
        <v>716</v>
      </c>
      <c r="D1290" s="458" t="s">
        <v>716</v>
      </c>
      <c r="E1290" s="459" t="s">
        <v>716</v>
      </c>
      <c r="F1290" s="104">
        <f t="shared" si="500"/>
        <v>0</v>
      </c>
      <c r="G1290" s="104">
        <f t="shared" si="500"/>
        <v>2621061.09</v>
      </c>
      <c r="H1290" s="104">
        <f t="shared" si="500"/>
        <v>0</v>
      </c>
      <c r="I1290" s="103">
        <f t="shared" si="485"/>
        <v>2621061.09</v>
      </c>
      <c r="J1290" s="104">
        <f t="shared" si="501"/>
        <v>0</v>
      </c>
      <c r="K1290" s="104">
        <f t="shared" si="501"/>
        <v>2619570.0599999996</v>
      </c>
      <c r="L1290" s="104">
        <f t="shared" si="501"/>
        <v>0</v>
      </c>
      <c r="M1290" s="103">
        <f t="shared" si="487"/>
        <v>2619570.0599999996</v>
      </c>
      <c r="N1290" s="103">
        <f t="shared" si="499"/>
        <v>0</v>
      </c>
      <c r="O1290" s="103">
        <f t="shared" si="499"/>
        <v>1491.0300000002608</v>
      </c>
      <c r="P1290" s="103">
        <f t="shared" si="499"/>
        <v>0</v>
      </c>
      <c r="Q1290" s="103">
        <f t="shared" si="489"/>
        <v>1491.0300000002608</v>
      </c>
      <c r="S1290" s="267" t="str">
        <f t="shared" si="473"/>
        <v/>
      </c>
      <c r="T1290" s="267">
        <f t="shared" si="473"/>
        <v>0.99943113496831915</v>
      </c>
      <c r="U1290" s="267" t="str">
        <f t="shared" si="473"/>
        <v/>
      </c>
      <c r="V1290" s="267">
        <f t="shared" si="473"/>
        <v>0.99943113496831915</v>
      </c>
      <c r="W1290" s="267"/>
    </row>
    <row r="1291" spans="1:30" ht="12" customHeight="1">
      <c r="A1291" s="315"/>
      <c r="B1291" s="315"/>
      <c r="C1291" s="458"/>
      <c r="D1291" s="458"/>
      <c r="E1291" s="729" t="s">
        <v>661</v>
      </c>
      <c r="F1291" s="104">
        <f>+F1261</f>
        <v>0</v>
      </c>
      <c r="G1291" s="104">
        <f>+G1261</f>
        <v>23959.56</v>
      </c>
      <c r="H1291" s="104">
        <f>+H1261</f>
        <v>0</v>
      </c>
      <c r="I1291" s="103">
        <f t="shared" si="485"/>
        <v>23959.56</v>
      </c>
      <c r="J1291" s="104">
        <f>+J1261</f>
        <v>0</v>
      </c>
      <c r="K1291" s="104">
        <f>+K1261</f>
        <v>20000</v>
      </c>
      <c r="L1291" s="104">
        <f>+L1261</f>
        <v>0</v>
      </c>
      <c r="M1291" s="103">
        <f t="shared" si="487"/>
        <v>20000</v>
      </c>
      <c r="N1291" s="103">
        <f>+F1291-J1291</f>
        <v>0</v>
      </c>
      <c r="O1291" s="103">
        <f>+G1291-K1291</f>
        <v>3959.5600000000013</v>
      </c>
      <c r="P1291" s="103">
        <f>+H1291-L1291</f>
        <v>0</v>
      </c>
      <c r="Q1291" s="103">
        <f t="shared" si="489"/>
        <v>3959.5600000000013</v>
      </c>
      <c r="S1291" s="267" t="str">
        <f t="shared" si="473"/>
        <v/>
      </c>
      <c r="T1291" s="267">
        <f t="shared" si="473"/>
        <v>0.83473987001430738</v>
      </c>
      <c r="U1291" s="267" t="str">
        <f t="shared" si="473"/>
        <v/>
      </c>
      <c r="V1291" s="267">
        <f t="shared" si="473"/>
        <v>0.83473987001430738</v>
      </c>
      <c r="W1291" s="267"/>
      <c r="Y1291" s="837" t="s">
        <v>688</v>
      </c>
    </row>
    <row r="1292" spans="1:30" s="256" customFormat="1" ht="12" customHeight="1">
      <c r="A1292" s="315"/>
      <c r="B1292" s="315"/>
      <c r="C1292" s="498"/>
      <c r="D1292" s="499"/>
      <c r="E1292" s="500"/>
      <c r="F1292" s="391"/>
      <c r="G1292" s="391"/>
      <c r="H1292" s="391"/>
      <c r="I1292" s="391"/>
      <c r="J1292" s="391"/>
      <c r="K1292" s="391"/>
      <c r="L1292" s="391"/>
      <c r="M1292" s="391"/>
      <c r="N1292" s="391"/>
      <c r="O1292" s="391"/>
      <c r="P1292" s="391"/>
      <c r="Q1292" s="391"/>
      <c r="R1292" s="761"/>
      <c r="S1292" s="267" t="str">
        <f t="shared" si="473"/>
        <v/>
      </c>
      <c r="T1292" s="267" t="str">
        <f t="shared" si="473"/>
        <v/>
      </c>
      <c r="U1292" s="267" t="str">
        <f t="shared" si="473"/>
        <v/>
      </c>
      <c r="V1292" s="267" t="str">
        <f t="shared" si="473"/>
        <v/>
      </c>
      <c r="W1292" s="263"/>
      <c r="X1292" s="271"/>
      <c r="Y1292" s="837" t="s">
        <v>598</v>
      </c>
      <c r="Z1292" s="261" t="s">
        <v>598</v>
      </c>
    </row>
    <row r="1293" spans="1:30" s="290" customFormat="1" ht="12.75" customHeight="1">
      <c r="A1293" s="246" t="s">
        <v>273</v>
      </c>
      <c r="B1293" s="246" t="s">
        <v>457</v>
      </c>
      <c r="C1293" s="1419" t="s">
        <v>69</v>
      </c>
      <c r="D1293" s="1420"/>
      <c r="E1293" s="1421"/>
      <c r="F1293" s="417">
        <f t="shared" ref="F1293:Q1293" si="502">SUM(F1294:F1295)</f>
        <v>0</v>
      </c>
      <c r="G1293" s="417">
        <f t="shared" si="502"/>
        <v>118539134.18000002</v>
      </c>
      <c r="H1293" s="417">
        <f t="shared" si="502"/>
        <v>108267675</v>
      </c>
      <c r="I1293" s="417">
        <f t="shared" si="502"/>
        <v>226806809.18000001</v>
      </c>
      <c r="J1293" s="417">
        <f t="shared" si="502"/>
        <v>0</v>
      </c>
      <c r="K1293" s="417">
        <f t="shared" si="502"/>
        <v>105081400.84</v>
      </c>
      <c r="L1293" s="417">
        <f t="shared" si="502"/>
        <v>58102698</v>
      </c>
      <c r="M1293" s="417">
        <f t="shared" si="502"/>
        <v>163184098.84</v>
      </c>
      <c r="N1293" s="417">
        <f t="shared" si="502"/>
        <v>0</v>
      </c>
      <c r="O1293" s="417">
        <f t="shared" si="502"/>
        <v>13457733.340000018</v>
      </c>
      <c r="P1293" s="417">
        <f t="shared" si="502"/>
        <v>50164977</v>
      </c>
      <c r="Q1293" s="417">
        <f t="shared" si="502"/>
        <v>63622710.340000018</v>
      </c>
      <c r="R1293" s="794"/>
      <c r="S1293" s="535" t="str">
        <f t="shared" si="473"/>
        <v/>
      </c>
      <c r="T1293" s="535">
        <f t="shared" si="473"/>
        <v>0.88647012285778437</v>
      </c>
      <c r="U1293" s="535">
        <f t="shared" si="473"/>
        <v>0.53665785286328538</v>
      </c>
      <c r="V1293" s="535">
        <f t="shared" si="473"/>
        <v>0.7194850076590632</v>
      </c>
      <c r="W1293" s="288"/>
      <c r="X1293" s="237"/>
      <c r="Y1293" s="837" t="s">
        <v>598</v>
      </c>
      <c r="Z1293" s="261" t="s">
        <v>598</v>
      </c>
      <c r="AA1293" s="289"/>
      <c r="AB1293" s="289"/>
      <c r="AC1293" s="289"/>
      <c r="AD1293" s="289"/>
    </row>
    <row r="1294" spans="1:30" ht="12" customHeight="1">
      <c r="A1294" s="315" t="s">
        <v>277</v>
      </c>
      <c r="B1294" s="315" t="s">
        <v>260</v>
      </c>
      <c r="C1294" s="447" t="s">
        <v>766</v>
      </c>
      <c r="D1294" s="456" t="s">
        <v>98</v>
      </c>
      <c r="E1294" s="447" t="s">
        <v>766</v>
      </c>
      <c r="F1294" s="104">
        <f>+F1067+F1079+F1090+F1101+F1112+F1123+F1134+F1145+F1156+F1167+F1178+F1189</f>
        <v>0</v>
      </c>
      <c r="G1294" s="104">
        <f>+G1067+G1079+G1090+G1101+G1112+G1123+G1134+G1145+G1156+G1167+G1178+G1189</f>
        <v>6123853.1400000006</v>
      </c>
      <c r="H1294" s="104">
        <f>+H1067+H1079+H1090+H1101+H1112+H1123+H1134+H1145+H1156+H1167+H1178+H1189</f>
        <v>95305000</v>
      </c>
      <c r="I1294" s="103">
        <f t="shared" si="485"/>
        <v>101428853.14</v>
      </c>
      <c r="J1294" s="104">
        <f>+J1067+J1079+J1090+J1101+J1112+J1123+J1134+J1145+J1156+J1167+J1178+J1189</f>
        <v>0</v>
      </c>
      <c r="K1294" s="104">
        <f>+K1067+K1079+K1090+K1101+K1112+K1123+K1134+K1145+K1156+K1167+K1178+K1189</f>
        <v>6121486.0300000003</v>
      </c>
      <c r="L1294" s="104">
        <f>+L1067+L1079+L1090+L1101+L1112+L1123+L1134+L1145+L1156+L1167+L1178+L1189</f>
        <v>45150623</v>
      </c>
      <c r="M1294" s="103">
        <f t="shared" si="487"/>
        <v>51272109.030000001</v>
      </c>
      <c r="N1294" s="103">
        <f t="shared" ref="N1294:P1297" si="503">+F1294-J1294</f>
        <v>0</v>
      </c>
      <c r="O1294" s="103">
        <f t="shared" si="503"/>
        <v>2367.1100000003353</v>
      </c>
      <c r="P1294" s="103">
        <f t="shared" si="503"/>
        <v>50154377</v>
      </c>
      <c r="Q1294" s="103">
        <f t="shared" si="489"/>
        <v>50156744.109999999</v>
      </c>
      <c r="S1294" s="267" t="str">
        <f t="shared" si="473"/>
        <v/>
      </c>
      <c r="T1294" s="267">
        <f t="shared" si="473"/>
        <v>0.9996134606846564</v>
      </c>
      <c r="U1294" s="267">
        <f t="shared" si="473"/>
        <v>0.47374873301505693</v>
      </c>
      <c r="V1294" s="267">
        <f t="shared" si="473"/>
        <v>0.50549826250357233</v>
      </c>
      <c r="W1294" s="267"/>
      <c r="Y1294" s="837" t="s">
        <v>688</v>
      </c>
    </row>
    <row r="1295" spans="1:30" ht="12" customHeight="1">
      <c r="A1295" s="315" t="s">
        <v>277</v>
      </c>
      <c r="B1295" s="315" t="s">
        <v>260</v>
      </c>
      <c r="C1295" s="456"/>
      <c r="D1295" s="456" t="s">
        <v>98</v>
      </c>
      <c r="E1295" s="453" t="s">
        <v>50</v>
      </c>
      <c r="F1295" s="103">
        <f>+F1296+F1297</f>
        <v>0</v>
      </c>
      <c r="G1295" s="103">
        <f>+G1296+G1297</f>
        <v>112415281.04000002</v>
      </c>
      <c r="H1295" s="103">
        <f>+H1296+H1297</f>
        <v>12962675</v>
      </c>
      <c r="I1295" s="103">
        <f t="shared" si="485"/>
        <v>125377956.04000002</v>
      </c>
      <c r="J1295" s="103">
        <f>+J1296+J1297</f>
        <v>0</v>
      </c>
      <c r="K1295" s="103">
        <f>+K1296+K1297</f>
        <v>98959914.810000002</v>
      </c>
      <c r="L1295" s="103">
        <f>+L1296+L1297</f>
        <v>12952075</v>
      </c>
      <c r="M1295" s="103">
        <f t="shared" si="487"/>
        <v>111911989.81</v>
      </c>
      <c r="N1295" s="103">
        <f t="shared" si="503"/>
        <v>0</v>
      </c>
      <c r="O1295" s="103">
        <f t="shared" si="503"/>
        <v>13455366.230000019</v>
      </c>
      <c r="P1295" s="103">
        <f t="shared" si="503"/>
        <v>10600</v>
      </c>
      <c r="Q1295" s="103">
        <f t="shared" si="489"/>
        <v>13465966.230000019</v>
      </c>
      <c r="S1295" s="267" t="str">
        <f t="shared" si="473"/>
        <v/>
      </c>
      <c r="T1295" s="267">
        <f t="shared" si="473"/>
        <v>0.88030660862545651</v>
      </c>
      <c r="U1295" s="267">
        <f t="shared" si="473"/>
        <v>0.99918226754894346</v>
      </c>
      <c r="V1295" s="267">
        <f t="shared" si="473"/>
        <v>0.89259701900305433</v>
      </c>
      <c r="W1295" s="267"/>
      <c r="Y1295" s="837" t="s">
        <v>688</v>
      </c>
    </row>
    <row r="1296" spans="1:30" ht="12" hidden="1" customHeight="1">
      <c r="A1296" s="315" t="s">
        <v>277</v>
      </c>
      <c r="B1296" s="315" t="s">
        <v>260</v>
      </c>
      <c r="C1296" s="458" t="s">
        <v>715</v>
      </c>
      <c r="D1296" s="458" t="s">
        <v>715</v>
      </c>
      <c r="E1296" s="459" t="s">
        <v>715</v>
      </c>
      <c r="F1296" s="104">
        <f t="shared" ref="F1296:H1297" si="504">+F1069+F1081+F1092+F1103+F1114+F1125+F1136+F1147+F1158+F1169+F1180+F1191</f>
        <v>0</v>
      </c>
      <c r="G1296" s="104">
        <f t="shared" si="504"/>
        <v>6749570.5700000003</v>
      </c>
      <c r="H1296" s="104">
        <f t="shared" si="504"/>
        <v>12962675</v>
      </c>
      <c r="I1296" s="103">
        <f t="shared" si="485"/>
        <v>19712245.57</v>
      </c>
      <c r="J1296" s="104">
        <f t="shared" ref="J1296:L1297" si="505">+J1069+J1081+J1092+J1103+J1114+J1125+J1136+J1147+J1158+J1169+J1180+J1191</f>
        <v>0</v>
      </c>
      <c r="K1296" s="104">
        <f t="shared" si="505"/>
        <v>20724981.359999999</v>
      </c>
      <c r="L1296" s="104">
        <f t="shared" si="505"/>
        <v>12952075</v>
      </c>
      <c r="M1296" s="103">
        <f t="shared" si="487"/>
        <v>33677056.359999999</v>
      </c>
      <c r="N1296" s="103">
        <f t="shared" si="503"/>
        <v>0</v>
      </c>
      <c r="O1296" s="103">
        <f t="shared" si="503"/>
        <v>-13975410.789999999</v>
      </c>
      <c r="P1296" s="103">
        <f t="shared" si="503"/>
        <v>10600</v>
      </c>
      <c r="Q1296" s="103">
        <f t="shared" si="489"/>
        <v>-13964810.789999999</v>
      </c>
      <c r="S1296" s="267" t="str">
        <f t="shared" si="473"/>
        <v/>
      </c>
      <c r="T1296" s="267">
        <f t="shared" si="473"/>
        <v>3.0705629558296477</v>
      </c>
      <c r="U1296" s="267">
        <f t="shared" si="473"/>
        <v>0.99918226754894346</v>
      </c>
      <c r="V1296" s="267">
        <f t="shared" si="473"/>
        <v>1.7084332802373869</v>
      </c>
      <c r="W1296" s="267"/>
    </row>
    <row r="1297" spans="1:30" ht="12" hidden="1" customHeight="1">
      <c r="A1297" s="315" t="s">
        <v>277</v>
      </c>
      <c r="B1297" s="315" t="s">
        <v>260</v>
      </c>
      <c r="C1297" s="458" t="s">
        <v>716</v>
      </c>
      <c r="D1297" s="458" t="s">
        <v>716</v>
      </c>
      <c r="E1297" s="459" t="s">
        <v>716</v>
      </c>
      <c r="F1297" s="104">
        <f t="shared" si="504"/>
        <v>0</v>
      </c>
      <c r="G1297" s="104">
        <f t="shared" si="504"/>
        <v>105665710.47000001</v>
      </c>
      <c r="H1297" s="104">
        <f t="shared" si="504"/>
        <v>0</v>
      </c>
      <c r="I1297" s="103">
        <f t="shared" si="485"/>
        <v>105665710.47000001</v>
      </c>
      <c r="J1297" s="104">
        <f t="shared" si="505"/>
        <v>0</v>
      </c>
      <c r="K1297" s="104">
        <f t="shared" si="505"/>
        <v>78234933.450000003</v>
      </c>
      <c r="L1297" s="104">
        <f t="shared" si="505"/>
        <v>0</v>
      </c>
      <c r="M1297" s="103">
        <f t="shared" si="487"/>
        <v>78234933.450000003</v>
      </c>
      <c r="N1297" s="103">
        <f t="shared" si="503"/>
        <v>0</v>
      </c>
      <c r="O1297" s="103">
        <f t="shared" si="503"/>
        <v>27430777.020000011</v>
      </c>
      <c r="P1297" s="103">
        <f t="shared" si="503"/>
        <v>0</v>
      </c>
      <c r="Q1297" s="103">
        <f t="shared" si="489"/>
        <v>27430777.020000011</v>
      </c>
      <c r="S1297" s="267" t="str">
        <f t="shared" si="473"/>
        <v/>
      </c>
      <c r="T1297" s="267">
        <f t="shared" si="473"/>
        <v>0.74040039197211482</v>
      </c>
      <c r="U1297" s="267" t="str">
        <f t="shared" si="473"/>
        <v/>
      </c>
      <c r="V1297" s="267">
        <f t="shared" si="473"/>
        <v>0.74040039197211482</v>
      </c>
      <c r="W1297" s="267"/>
    </row>
    <row r="1298" spans="1:30" ht="12" customHeight="1">
      <c r="A1298" s="315"/>
      <c r="B1298" s="315"/>
      <c r="C1298" s="456"/>
      <c r="D1298" s="456"/>
      <c r="E1298" s="461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S1298" s="267" t="str">
        <f t="shared" si="473"/>
        <v/>
      </c>
      <c r="T1298" s="267" t="str">
        <f t="shared" si="473"/>
        <v/>
      </c>
      <c r="U1298" s="267" t="str">
        <f t="shared" si="473"/>
        <v/>
      </c>
      <c r="V1298" s="267" t="str">
        <f t="shared" si="473"/>
        <v/>
      </c>
      <c r="W1298" s="267"/>
      <c r="Y1298" s="837" t="s">
        <v>598</v>
      </c>
      <c r="Z1298" s="241" t="s">
        <v>598</v>
      </c>
    </row>
    <row r="1299" spans="1:30" s="290" customFormat="1" ht="12.75" customHeight="1">
      <c r="A1299" s="246" t="s">
        <v>273</v>
      </c>
      <c r="B1299" s="246" t="s">
        <v>457</v>
      </c>
      <c r="C1299" s="1419" t="s">
        <v>60</v>
      </c>
      <c r="D1299" s="1420"/>
      <c r="E1299" s="1421"/>
      <c r="F1299" s="420">
        <f>+F1300+F1304</f>
        <v>0</v>
      </c>
      <c r="G1299" s="420">
        <f t="shared" ref="G1299:Q1299" si="506">+G1300+G1304</f>
        <v>552369473.64999998</v>
      </c>
      <c r="H1299" s="420">
        <f t="shared" si="506"/>
        <v>732910272.57000005</v>
      </c>
      <c r="I1299" s="420">
        <f t="shared" si="506"/>
        <v>1285279746.22</v>
      </c>
      <c r="J1299" s="420">
        <f t="shared" si="506"/>
        <v>0</v>
      </c>
      <c r="K1299" s="420">
        <f t="shared" si="506"/>
        <v>433401558.22000003</v>
      </c>
      <c r="L1299" s="420">
        <f t="shared" si="506"/>
        <v>459904821.86999995</v>
      </c>
      <c r="M1299" s="420">
        <f t="shared" si="506"/>
        <v>893306380.09000003</v>
      </c>
      <c r="N1299" s="420">
        <f t="shared" si="506"/>
        <v>0</v>
      </c>
      <c r="O1299" s="420">
        <f t="shared" si="506"/>
        <v>118967915.42999989</v>
      </c>
      <c r="P1299" s="420">
        <f t="shared" si="506"/>
        <v>273005450.70000011</v>
      </c>
      <c r="Q1299" s="420">
        <f t="shared" si="506"/>
        <v>391973366.13</v>
      </c>
      <c r="R1299" s="794"/>
      <c r="S1299" s="535" t="str">
        <f t="shared" si="473"/>
        <v/>
      </c>
      <c r="T1299" s="535">
        <f t="shared" si="473"/>
        <v>0.78462257401034063</v>
      </c>
      <c r="U1299" s="535">
        <f t="shared" si="473"/>
        <v>0.62750494717083471</v>
      </c>
      <c r="V1299" s="535">
        <f t="shared" si="473"/>
        <v>0.69502875363687067</v>
      </c>
      <c r="W1299" s="288"/>
      <c r="X1299" s="237"/>
      <c r="Y1299" s="837" t="s">
        <v>598</v>
      </c>
      <c r="Z1299" s="261" t="s">
        <v>598</v>
      </c>
      <c r="AA1299" s="289"/>
      <c r="AB1299" s="289"/>
      <c r="AC1299" s="289"/>
      <c r="AD1299" s="289"/>
    </row>
    <row r="1300" spans="1:30" ht="12" customHeight="1">
      <c r="A1300" s="315" t="s">
        <v>274</v>
      </c>
      <c r="B1300" s="315" t="s">
        <v>274</v>
      </c>
      <c r="C1300" s="447" t="s">
        <v>766</v>
      </c>
      <c r="D1300" s="456" t="s">
        <v>98</v>
      </c>
      <c r="E1300" s="447" t="s">
        <v>766</v>
      </c>
      <c r="F1300" s="104">
        <f>+F1301+F1302+F1303</f>
        <v>0</v>
      </c>
      <c r="G1300" s="104">
        <f t="shared" ref="G1300:L1300" si="507">+G1301+G1302+G1303</f>
        <v>54549684.279999994</v>
      </c>
      <c r="H1300" s="104">
        <f t="shared" si="507"/>
        <v>1237960</v>
      </c>
      <c r="I1300" s="103">
        <f t="shared" si="485"/>
        <v>55787644.279999994</v>
      </c>
      <c r="J1300" s="104">
        <f t="shared" si="507"/>
        <v>0</v>
      </c>
      <c r="K1300" s="104">
        <f t="shared" si="507"/>
        <v>35504764.899999999</v>
      </c>
      <c r="L1300" s="104">
        <f t="shared" si="507"/>
        <v>1188000.03</v>
      </c>
      <c r="M1300" s="103">
        <f t="shared" si="487"/>
        <v>36692764.93</v>
      </c>
      <c r="N1300" s="103">
        <f t="shared" ref="N1300:P1306" si="508">+F1300-J1300</f>
        <v>0</v>
      </c>
      <c r="O1300" s="103">
        <f t="shared" si="508"/>
        <v>19044919.379999995</v>
      </c>
      <c r="P1300" s="103">
        <f t="shared" si="508"/>
        <v>49959.969999999972</v>
      </c>
      <c r="Q1300" s="103">
        <f t="shared" si="489"/>
        <v>19094879.349999994</v>
      </c>
      <c r="S1300" s="267" t="str">
        <f t="shared" si="473"/>
        <v/>
      </c>
      <c r="T1300" s="267">
        <f t="shared" si="473"/>
        <v>0.65087021801549472</v>
      </c>
      <c r="U1300" s="267">
        <f t="shared" si="473"/>
        <v>0.95964330834598854</v>
      </c>
      <c r="V1300" s="267">
        <f t="shared" si="473"/>
        <v>0.65772207096320157</v>
      </c>
      <c r="W1300" s="267"/>
      <c r="Y1300" s="837" t="s">
        <v>688</v>
      </c>
    </row>
    <row r="1301" spans="1:30" ht="12" hidden="1" customHeight="1">
      <c r="A1301" s="315" t="s">
        <v>274</v>
      </c>
      <c r="B1301" s="315" t="s">
        <v>274</v>
      </c>
      <c r="C1301" s="457" t="s">
        <v>775</v>
      </c>
      <c r="D1301" s="456" t="s">
        <v>98</v>
      </c>
      <c r="E1301" s="406" t="s">
        <v>775</v>
      </c>
      <c r="F1301" s="104">
        <f t="shared" ref="F1301:H1303" si="509">+F31+F102+F173+F233+F304+F386+F423+F472+F532+F603+F696+F745+F860+F920+F969+F1018</f>
        <v>0</v>
      </c>
      <c r="G1301" s="104">
        <f t="shared" si="509"/>
        <v>8644201.5199999958</v>
      </c>
      <c r="H1301" s="104">
        <f t="shared" si="509"/>
        <v>1237960</v>
      </c>
      <c r="I1301" s="103">
        <f t="shared" si="485"/>
        <v>9882161.5199999958</v>
      </c>
      <c r="J1301" s="104">
        <f t="shared" ref="J1301:L1303" si="510">+J31+J102+J173+J233+J304+J386+J423+J472+J532+J603+J696+J745+J860+J920+J969+J1018</f>
        <v>0</v>
      </c>
      <c r="K1301" s="104">
        <f t="shared" si="510"/>
        <v>6651840.2199999997</v>
      </c>
      <c r="L1301" s="104">
        <f t="shared" si="510"/>
        <v>1188000.03</v>
      </c>
      <c r="M1301" s="103">
        <f t="shared" si="487"/>
        <v>7839840.25</v>
      </c>
      <c r="N1301" s="103">
        <f t="shared" si="508"/>
        <v>0</v>
      </c>
      <c r="O1301" s="103">
        <f t="shared" si="508"/>
        <v>1992361.2999999961</v>
      </c>
      <c r="P1301" s="103">
        <f t="shared" si="508"/>
        <v>49959.969999999972</v>
      </c>
      <c r="Q1301" s="103">
        <f t="shared" si="489"/>
        <v>2042321.2699999961</v>
      </c>
      <c r="S1301" s="267" t="str">
        <f t="shared" si="473"/>
        <v/>
      </c>
      <c r="T1301" s="267">
        <f t="shared" si="473"/>
        <v>0.76951470932389865</v>
      </c>
      <c r="U1301" s="267">
        <f t="shared" si="473"/>
        <v>0.95964330834598854</v>
      </c>
      <c r="V1301" s="267">
        <f t="shared" si="473"/>
        <v>0.79333253500596534</v>
      </c>
      <c r="W1301" s="267"/>
    </row>
    <row r="1302" spans="1:30" ht="12" hidden="1" customHeight="1">
      <c r="A1302" s="315" t="s">
        <v>274</v>
      </c>
      <c r="B1302" s="315" t="s">
        <v>274</v>
      </c>
      <c r="C1302" s="456"/>
      <c r="D1302" s="456" t="s">
        <v>98</v>
      </c>
      <c r="E1302" s="406" t="s">
        <v>776</v>
      </c>
      <c r="F1302" s="104">
        <f t="shared" si="509"/>
        <v>0</v>
      </c>
      <c r="G1302" s="104">
        <f t="shared" si="509"/>
        <v>5924158.1199999964</v>
      </c>
      <c r="H1302" s="104">
        <f t="shared" si="509"/>
        <v>0</v>
      </c>
      <c r="I1302" s="103">
        <f t="shared" si="485"/>
        <v>5924158.1199999964</v>
      </c>
      <c r="J1302" s="104">
        <f t="shared" si="510"/>
        <v>0</v>
      </c>
      <c r="K1302" s="104">
        <f t="shared" si="510"/>
        <v>3522866.49</v>
      </c>
      <c r="L1302" s="104">
        <f t="shared" si="510"/>
        <v>0</v>
      </c>
      <c r="M1302" s="103">
        <f t="shared" si="487"/>
        <v>3522866.49</v>
      </c>
      <c r="N1302" s="103">
        <f t="shared" si="508"/>
        <v>0</v>
      </c>
      <c r="O1302" s="103">
        <f t="shared" si="508"/>
        <v>2401291.6299999962</v>
      </c>
      <c r="P1302" s="103">
        <f t="shared" si="508"/>
        <v>0</v>
      </c>
      <c r="Q1302" s="103">
        <f t="shared" si="489"/>
        <v>2401291.6299999962</v>
      </c>
      <c r="S1302" s="267" t="str">
        <f t="shared" si="473"/>
        <v/>
      </c>
      <c r="T1302" s="267">
        <f t="shared" si="473"/>
        <v>0.59466111785686138</v>
      </c>
      <c r="U1302" s="267" t="str">
        <f t="shared" si="473"/>
        <v/>
      </c>
      <c r="V1302" s="267">
        <f t="shared" si="473"/>
        <v>0.59466111785686138</v>
      </c>
      <c r="W1302" s="267"/>
    </row>
    <row r="1303" spans="1:30" ht="12" hidden="1" customHeight="1">
      <c r="A1303" s="315" t="s">
        <v>274</v>
      </c>
      <c r="B1303" s="315" t="s">
        <v>274</v>
      </c>
      <c r="C1303" s="456"/>
      <c r="D1303" s="456" t="s">
        <v>98</v>
      </c>
      <c r="E1303" s="406" t="s">
        <v>777</v>
      </c>
      <c r="F1303" s="104">
        <f t="shared" si="509"/>
        <v>0</v>
      </c>
      <c r="G1303" s="104">
        <f t="shared" si="509"/>
        <v>39981324.640000001</v>
      </c>
      <c r="H1303" s="104">
        <f t="shared" si="509"/>
        <v>0</v>
      </c>
      <c r="I1303" s="103">
        <f t="shared" si="485"/>
        <v>39981324.640000001</v>
      </c>
      <c r="J1303" s="104">
        <f t="shared" si="510"/>
        <v>0</v>
      </c>
      <c r="K1303" s="104">
        <f t="shared" si="510"/>
        <v>25330058.189999998</v>
      </c>
      <c r="L1303" s="104">
        <f t="shared" si="510"/>
        <v>0</v>
      </c>
      <c r="M1303" s="103">
        <f t="shared" si="487"/>
        <v>25330058.189999998</v>
      </c>
      <c r="N1303" s="103">
        <f t="shared" si="508"/>
        <v>0</v>
      </c>
      <c r="O1303" s="103">
        <f t="shared" si="508"/>
        <v>14651266.450000003</v>
      </c>
      <c r="P1303" s="103">
        <f t="shared" si="508"/>
        <v>0</v>
      </c>
      <c r="Q1303" s="103">
        <f t="shared" si="489"/>
        <v>14651266.450000003</v>
      </c>
      <c r="S1303" s="267" t="str">
        <f t="shared" si="473"/>
        <v/>
      </c>
      <c r="T1303" s="267">
        <f t="shared" si="473"/>
        <v>0.63354724782325267</v>
      </c>
      <c r="U1303" s="267" t="str">
        <f t="shared" si="473"/>
        <v/>
      </c>
      <c r="V1303" s="267">
        <f t="shared" ref="V1303:V1363" si="511">IF(I1303=0,"",M1303/I1303)</f>
        <v>0.63354724782325267</v>
      </c>
      <c r="W1303" s="267"/>
    </row>
    <row r="1304" spans="1:30" ht="12" customHeight="1">
      <c r="A1304" s="315" t="s">
        <v>274</v>
      </c>
      <c r="B1304" s="315" t="s">
        <v>274</v>
      </c>
      <c r="C1304" s="456"/>
      <c r="D1304" s="456" t="s">
        <v>98</v>
      </c>
      <c r="E1304" s="453" t="s">
        <v>50</v>
      </c>
      <c r="F1304" s="103">
        <f>+F1305+F1306</f>
        <v>0</v>
      </c>
      <c r="G1304" s="103">
        <f>+G1305+G1306</f>
        <v>497819789.36999995</v>
      </c>
      <c r="H1304" s="103">
        <f>+H1305+H1306</f>
        <v>731672312.57000005</v>
      </c>
      <c r="I1304" s="103">
        <f t="shared" si="485"/>
        <v>1229492101.9400001</v>
      </c>
      <c r="J1304" s="103">
        <f>+J1305+J1306</f>
        <v>0</v>
      </c>
      <c r="K1304" s="103">
        <f>+K1305+K1306</f>
        <v>397896793.32000005</v>
      </c>
      <c r="L1304" s="103">
        <f>+L1305+L1306</f>
        <v>458716821.83999997</v>
      </c>
      <c r="M1304" s="103">
        <f t="shared" si="487"/>
        <v>856613615.16000009</v>
      </c>
      <c r="N1304" s="103">
        <f t="shared" si="508"/>
        <v>0</v>
      </c>
      <c r="O1304" s="103">
        <f t="shared" si="508"/>
        <v>99922996.049999893</v>
      </c>
      <c r="P1304" s="103">
        <f t="shared" si="508"/>
        <v>272955490.73000008</v>
      </c>
      <c r="Q1304" s="103">
        <f t="shared" si="489"/>
        <v>372878486.77999997</v>
      </c>
      <c r="S1304" s="267" t="str">
        <f t="shared" ref="S1304:U1363" si="512">IF(F1304=0,"",J1304/F1304)</f>
        <v/>
      </c>
      <c r="T1304" s="267">
        <f t="shared" si="512"/>
        <v>0.799278778819833</v>
      </c>
      <c r="U1304" s="267">
        <f t="shared" si="512"/>
        <v>0.62694298247907798</v>
      </c>
      <c r="V1304" s="267">
        <f t="shared" si="511"/>
        <v>0.69672152737570281</v>
      </c>
      <c r="W1304" s="267"/>
      <c r="Y1304" s="837" t="s">
        <v>688</v>
      </c>
    </row>
    <row r="1305" spans="1:30" ht="12" hidden="1" customHeight="1">
      <c r="A1305" s="315" t="s">
        <v>274</v>
      </c>
      <c r="B1305" s="315" t="s">
        <v>274</v>
      </c>
      <c r="C1305" s="458" t="s">
        <v>715</v>
      </c>
      <c r="D1305" s="458" t="s">
        <v>715</v>
      </c>
      <c r="E1305" s="459" t="s">
        <v>715</v>
      </c>
      <c r="F1305" s="104">
        <v>0</v>
      </c>
      <c r="G1305" s="104">
        <f>+G35+G106+G177+G237+G308+G390+G427+G476+G536+G607+G700+G749+G864+G924+G973+G1022</f>
        <v>-50523019.179999992</v>
      </c>
      <c r="H1305" s="104">
        <f>+H35+H106+H177+H237+H308+H390+H427+H476+H536+H607+H700+H749+H864+H924+H973+H1022</f>
        <v>54419262</v>
      </c>
      <c r="I1305" s="103">
        <f t="shared" si="485"/>
        <v>3896242.8200000077</v>
      </c>
      <c r="J1305" s="104">
        <f t="shared" ref="J1305:L1306" si="513">+J35+J106+J177+J237+J308+J390+J427+J476+J536+J607+J700+J749+J864+J924+J973+J1022</f>
        <v>0</v>
      </c>
      <c r="K1305" s="104">
        <f t="shared" si="513"/>
        <v>7911777.25</v>
      </c>
      <c r="L1305" s="104">
        <f t="shared" si="513"/>
        <v>60110846.200000003</v>
      </c>
      <c r="M1305" s="103">
        <f t="shared" si="487"/>
        <v>68022623.450000003</v>
      </c>
      <c r="N1305" s="103">
        <f t="shared" si="508"/>
        <v>0</v>
      </c>
      <c r="O1305" s="103">
        <f t="shared" si="508"/>
        <v>-58434796.429999992</v>
      </c>
      <c r="P1305" s="103">
        <f t="shared" si="508"/>
        <v>-5691584.200000003</v>
      </c>
      <c r="Q1305" s="103">
        <f t="shared" si="489"/>
        <v>-64126380.629999995</v>
      </c>
      <c r="S1305" s="267" t="str">
        <f t="shared" si="512"/>
        <v/>
      </c>
      <c r="T1305" s="267">
        <f t="shared" si="512"/>
        <v>-0.15659747533718157</v>
      </c>
      <c r="U1305" s="267">
        <f t="shared" si="512"/>
        <v>1.1045876770618464</v>
      </c>
      <c r="V1305" s="267">
        <f t="shared" si="511"/>
        <v>17.458517498147067</v>
      </c>
      <c r="W1305" s="267"/>
    </row>
    <row r="1306" spans="1:30" ht="12" hidden="1" customHeight="1">
      <c r="A1306" s="315" t="s">
        <v>274</v>
      </c>
      <c r="B1306" s="315" t="s">
        <v>274</v>
      </c>
      <c r="C1306" s="458" t="s">
        <v>716</v>
      </c>
      <c r="D1306" s="458" t="s">
        <v>716</v>
      </c>
      <c r="E1306" s="459" t="s">
        <v>716</v>
      </c>
      <c r="F1306" s="104">
        <v>0</v>
      </c>
      <c r="G1306" s="104">
        <f>+G36+G107+G178+G238+G309+G391+G428+G477+G537+G608+G701+G750+G865+G925+G974+G1023</f>
        <v>548342808.54999995</v>
      </c>
      <c r="H1306" s="104">
        <f>+H36+H107+H178+H238+H309+H391+H428+H477+H537+H608+H701+H750+H865+H925+H974+H1023</f>
        <v>677253050.57000005</v>
      </c>
      <c r="I1306" s="103">
        <f t="shared" si="485"/>
        <v>1225595859.1199999</v>
      </c>
      <c r="J1306" s="104">
        <f t="shared" si="513"/>
        <v>0</v>
      </c>
      <c r="K1306" s="104">
        <f t="shared" si="513"/>
        <v>389985016.07000005</v>
      </c>
      <c r="L1306" s="104">
        <f t="shared" si="513"/>
        <v>398605975.63999999</v>
      </c>
      <c r="M1306" s="103">
        <f t="shared" si="487"/>
        <v>788590991.71000004</v>
      </c>
      <c r="N1306" s="103">
        <f t="shared" si="508"/>
        <v>0</v>
      </c>
      <c r="O1306" s="103">
        <f t="shared" si="508"/>
        <v>158357792.4799999</v>
      </c>
      <c r="P1306" s="103">
        <f t="shared" si="508"/>
        <v>278647074.93000007</v>
      </c>
      <c r="Q1306" s="103">
        <f t="shared" si="489"/>
        <v>437004867.40999997</v>
      </c>
      <c r="S1306" s="267" t="str">
        <f t="shared" si="512"/>
        <v/>
      </c>
      <c r="T1306" s="267">
        <f t="shared" si="512"/>
        <v>0.71120658462039399</v>
      </c>
      <c r="U1306" s="267">
        <f t="shared" si="512"/>
        <v>0.58856283527186648</v>
      </c>
      <c r="V1306" s="267">
        <f t="shared" si="511"/>
        <v>0.64343477161894358</v>
      </c>
      <c r="W1306" s="267"/>
    </row>
    <row r="1307" spans="1:30" s="256" customFormat="1" ht="12" customHeight="1">
      <c r="A1307" s="315"/>
      <c r="B1307" s="315"/>
      <c r="C1307" s="498"/>
      <c r="D1307" s="499"/>
      <c r="E1307" s="500"/>
      <c r="F1307" s="391"/>
      <c r="G1307" s="391"/>
      <c r="H1307" s="391"/>
      <c r="I1307" s="391"/>
      <c r="J1307" s="391"/>
      <c r="K1307" s="391"/>
      <c r="L1307" s="391"/>
      <c r="M1307" s="391"/>
      <c r="N1307" s="391"/>
      <c r="O1307" s="391"/>
      <c r="P1307" s="391"/>
      <c r="Q1307" s="391"/>
      <c r="R1307" s="761"/>
      <c r="S1307" s="267" t="str">
        <f t="shared" si="512"/>
        <v/>
      </c>
      <c r="T1307" s="267" t="str">
        <f t="shared" si="512"/>
        <v/>
      </c>
      <c r="U1307" s="267" t="str">
        <f t="shared" si="512"/>
        <v/>
      </c>
      <c r="V1307" s="267" t="str">
        <f t="shared" si="511"/>
        <v/>
      </c>
      <c r="W1307" s="263"/>
      <c r="X1307" s="271"/>
      <c r="Y1307" s="837" t="s">
        <v>688</v>
      </c>
      <c r="Z1307" s="261" t="s">
        <v>598</v>
      </c>
    </row>
    <row r="1308" spans="1:30" s="287" customFormat="1" ht="12.75" customHeight="1">
      <c r="A1308" s="246" t="s">
        <v>273</v>
      </c>
      <c r="B1308" s="246" t="s">
        <v>457</v>
      </c>
      <c r="C1308" s="1419" t="s">
        <v>430</v>
      </c>
      <c r="D1308" s="1420"/>
      <c r="E1308" s="1421"/>
      <c r="F1308" s="420">
        <f>SUM(F1309:F1310)</f>
        <v>0</v>
      </c>
      <c r="G1308" s="420">
        <f t="shared" ref="G1308:Q1308" si="514">SUM(G1309:G1310)</f>
        <v>116654948.25000003</v>
      </c>
      <c r="H1308" s="420">
        <f t="shared" si="514"/>
        <v>139072900</v>
      </c>
      <c r="I1308" s="420">
        <f t="shared" si="514"/>
        <v>255727848.25000003</v>
      </c>
      <c r="J1308" s="420">
        <f t="shared" si="514"/>
        <v>0</v>
      </c>
      <c r="K1308" s="420">
        <f t="shared" si="514"/>
        <v>81091321.709999993</v>
      </c>
      <c r="L1308" s="420">
        <f t="shared" si="514"/>
        <v>57336672</v>
      </c>
      <c r="M1308" s="420">
        <f t="shared" si="514"/>
        <v>138427993.71000001</v>
      </c>
      <c r="N1308" s="420">
        <f t="shared" si="514"/>
        <v>0</v>
      </c>
      <c r="O1308" s="420">
        <f t="shared" si="514"/>
        <v>35563626.540000021</v>
      </c>
      <c r="P1308" s="420">
        <f t="shared" si="514"/>
        <v>81736228</v>
      </c>
      <c r="Q1308" s="420">
        <f t="shared" si="514"/>
        <v>117299854.54000002</v>
      </c>
      <c r="R1308" s="793"/>
      <c r="S1308" s="535" t="str">
        <f t="shared" si="512"/>
        <v/>
      </c>
      <c r="T1308" s="535">
        <f t="shared" si="512"/>
        <v>0.69513829397288318</v>
      </c>
      <c r="U1308" s="535">
        <f t="shared" si="512"/>
        <v>0.4122778197621535</v>
      </c>
      <c r="V1308" s="535">
        <f t="shared" si="511"/>
        <v>0.54130981298005743</v>
      </c>
      <c r="W1308" s="288"/>
      <c r="X1308" s="520"/>
      <c r="Y1308" s="833" t="s">
        <v>598</v>
      </c>
      <c r="Z1308" s="261" t="s">
        <v>598</v>
      </c>
      <c r="AA1308" s="286"/>
      <c r="AB1308" s="286"/>
      <c r="AC1308" s="286"/>
      <c r="AD1308" s="286"/>
    </row>
    <row r="1309" spans="1:30" ht="12" customHeight="1">
      <c r="A1309" s="315" t="s">
        <v>275</v>
      </c>
      <c r="B1309" s="315" t="s">
        <v>276</v>
      </c>
      <c r="C1309" s="447" t="s">
        <v>766</v>
      </c>
      <c r="D1309" s="456" t="s">
        <v>98</v>
      </c>
      <c r="E1309" s="447" t="s">
        <v>766</v>
      </c>
      <c r="F1309" s="104">
        <f>+F45+F56+F67+F78+F116+F127+F138+F149+F187+F198+F209+F247+F258+F269+F280+F318+F329+F340+F351+F362+F400+F437+F448+F486+F497+F508+F546+F557+F568+F579+F617+F628+F639+F650+F661+F672+F710+F721+F759+F770+F781+F792+F803+F814+F825+F836+F874+F885+F896+F934+F945+F983+F994+F1032+F1043</f>
        <v>0</v>
      </c>
      <c r="G1309" s="104">
        <f>+G45+G56+G67+G78+G116+G127+G138+G149+G187+G198+G209+G247+G258+G269+G280+G318+G329+G340+G351+G362+G400+G437+G448+G486+G497+G508+G546+G557+G568+G579+G617+G628+G639+G650+G661+G672+G710+G721+G759+G770+G781+G792+G803+G814+G825+G836+G874+G885+G896+G934+G945+G983+G994+G1032+G1043</f>
        <v>16245719.900000013</v>
      </c>
      <c r="H1309" s="104">
        <f>+H45+H56+H67+H78+H116+H127+H138+H149+H187+H198+H209+H247+H258+H269+H280+H318+H329+H340+H351+H362+H400+H437+H448+H486+H497+H508+H546+H557+H568+H579+H617+H628+H639+H650+H661+H672+H710+H721+H759+H770+H781+H792+H803+H814+H825+H836+H874+H885+H896+H934+H945+H983+H994+H1032+H1043</f>
        <v>100000000</v>
      </c>
      <c r="I1309" s="103">
        <f t="shared" si="485"/>
        <v>116245719.90000001</v>
      </c>
      <c r="J1309" s="104">
        <f>+J45+J56+J67+J78+J116+J127+J138+J149+J187+J198+J209+J247+J258+J269+J280+J318+J329+J340+J351+J362+J400+J437+J448+J486+J497+J508+J546+J557+J568+J579+J617+J628+J639+J650+J661+J672+J710+J721+J759+J770+J781+J792+J803+J814+J825+J836+J874+J885+J896+J934+J945+J983+J994+J1032+J1043</f>
        <v>0</v>
      </c>
      <c r="K1309" s="104">
        <f>+K45+K56+K67+K78+K116+K127+K138+K149+K187+K198+K209+K247+K258+K269+K280+K318+K329+K340+K351+K362+K400+K437+K448+K486+K497+K508+K546+K557+K568+K579+K617+K628+K639+K650+K661+K672+K710+K721+K759+K770+K781+K792+K803+K814+K825+K836+K874+K885+K896+K934+K945+K983+K994+K1032+K1043</f>
        <v>12856629.910000002</v>
      </c>
      <c r="L1309" s="104">
        <f>+L45+L56+L67+L78+L116+L127+L138+L149+L187+L198+L209+L247+L258+L269+L280+L318+L329+L340+L351+L362+L400+L437+L448+L486+L497+L508+L546+L557+L568+L579+L617+L628+L639+L650+L661+L672+L710+L721+L759+L770+L781+L792+L803+L814+L825+L836+L874+L885+L896+L934+L945+L983+L994+L1032+L1043</f>
        <v>31356400</v>
      </c>
      <c r="M1309" s="103">
        <f t="shared" si="487"/>
        <v>44213029.910000004</v>
      </c>
      <c r="N1309" s="103">
        <f t="shared" ref="N1309:P1312" si="515">+F1309-J1309</f>
        <v>0</v>
      </c>
      <c r="O1309" s="103">
        <f t="shared" si="515"/>
        <v>3389089.9900000114</v>
      </c>
      <c r="P1309" s="103">
        <f t="shared" si="515"/>
        <v>68643600</v>
      </c>
      <c r="Q1309" s="103">
        <f t="shared" si="489"/>
        <v>72032689.99000001</v>
      </c>
      <c r="S1309" s="267" t="str">
        <f t="shared" si="512"/>
        <v/>
      </c>
      <c r="T1309" s="267">
        <f t="shared" si="512"/>
        <v>0.79138566891086137</v>
      </c>
      <c r="U1309" s="267">
        <f t="shared" si="512"/>
        <v>0.31356400000000001</v>
      </c>
      <c r="V1309" s="267">
        <f t="shared" si="511"/>
        <v>0.38034114243547301</v>
      </c>
      <c r="W1309" s="267"/>
      <c r="Y1309" s="837" t="s">
        <v>688</v>
      </c>
    </row>
    <row r="1310" spans="1:30" ht="12" customHeight="1">
      <c r="A1310" s="315" t="s">
        <v>275</v>
      </c>
      <c r="B1310" s="315" t="s">
        <v>276</v>
      </c>
      <c r="C1310" s="456"/>
      <c r="D1310" s="456" t="s">
        <v>98</v>
      </c>
      <c r="E1310" s="453" t="s">
        <v>50</v>
      </c>
      <c r="F1310" s="103">
        <f>+F1311+F1312</f>
        <v>0</v>
      </c>
      <c r="G1310" s="103">
        <f>+G1311+G1312</f>
        <v>100409228.35000001</v>
      </c>
      <c r="H1310" s="103">
        <f>+H1311+H1312</f>
        <v>39072900</v>
      </c>
      <c r="I1310" s="103">
        <f t="shared" si="485"/>
        <v>139482128.35000002</v>
      </c>
      <c r="J1310" s="103">
        <f>+J1311+J1312</f>
        <v>0</v>
      </c>
      <c r="K1310" s="103">
        <f>+K1311+K1312</f>
        <v>68234691.799999997</v>
      </c>
      <c r="L1310" s="103">
        <f>+L1311+L1312</f>
        <v>25980272</v>
      </c>
      <c r="M1310" s="103">
        <f t="shared" si="487"/>
        <v>94214963.799999997</v>
      </c>
      <c r="N1310" s="103">
        <f t="shared" si="515"/>
        <v>0</v>
      </c>
      <c r="O1310" s="103">
        <f t="shared" si="515"/>
        <v>32174536.550000012</v>
      </c>
      <c r="P1310" s="103">
        <f t="shared" si="515"/>
        <v>13092628</v>
      </c>
      <c r="Q1310" s="103">
        <f t="shared" si="489"/>
        <v>45267164.550000012</v>
      </c>
      <c r="S1310" s="267" t="str">
        <f t="shared" si="512"/>
        <v/>
      </c>
      <c r="T1310" s="267">
        <f t="shared" si="512"/>
        <v>0.67956594151039496</v>
      </c>
      <c r="U1310" s="267">
        <f t="shared" si="512"/>
        <v>0.66491793544886613</v>
      </c>
      <c r="V1310" s="267">
        <f t="shared" si="511"/>
        <v>0.67546261958082587</v>
      </c>
      <c r="W1310" s="267"/>
      <c r="Y1310" s="837" t="s">
        <v>688</v>
      </c>
    </row>
    <row r="1311" spans="1:30" ht="12" hidden="1" customHeight="1">
      <c r="A1311" s="315" t="s">
        <v>275</v>
      </c>
      <c r="B1311" s="315" t="s">
        <v>276</v>
      </c>
      <c r="C1311" s="458" t="s">
        <v>715</v>
      </c>
      <c r="D1311" s="458" t="s">
        <v>715</v>
      </c>
      <c r="E1311" s="459" t="s">
        <v>715</v>
      </c>
      <c r="F1311" s="104">
        <f t="shared" ref="F1311:H1312" si="516">+F47+F58+F69+F80+F118+F129+F140+F151+F189+F200+F211+F249+F260+F271+F282+F320+F331+F342+F353+F364+F402+F439+F450+F488+F499+F510+F548+F559+F570+F581+F619+F630+F641+F652+F663+F674+F712+F723+F761+F772+F783+F794+F805+F816+F827+F838+F876+F887+F898+F936+F947+F985+F996+F1034+F1045</f>
        <v>0</v>
      </c>
      <c r="G1311" s="104">
        <f t="shared" si="516"/>
        <v>-5522631.7599999998</v>
      </c>
      <c r="H1311" s="104">
        <f t="shared" si="516"/>
        <v>29072900</v>
      </c>
      <c r="I1311" s="103">
        <f t="shared" si="485"/>
        <v>23550268.240000002</v>
      </c>
      <c r="J1311" s="104">
        <f t="shared" ref="J1311:L1312" si="517">+J47+J58+J69+J80+J118+J129+J140+J151+J189+J200+J211+J249+J260+J271+J282+J320+J331+J342+J353+J364+J402+J439+J450+J488+J499+J510+J548+J559+J570+J581+J619+J630+J641+J652+J663+J674+J712+J723+J761+J772+J783+J794+J805+J816+J827+J838+J876+J887+J898+J936+J947+J985+J996+J1034+J1045</f>
        <v>0</v>
      </c>
      <c r="K1311" s="104">
        <f t="shared" si="517"/>
        <v>22159178.189999998</v>
      </c>
      <c r="L1311" s="104">
        <f t="shared" si="517"/>
        <v>16024200</v>
      </c>
      <c r="M1311" s="103">
        <f t="shared" si="487"/>
        <v>38183378.189999998</v>
      </c>
      <c r="N1311" s="103">
        <f t="shared" si="515"/>
        <v>0</v>
      </c>
      <c r="O1311" s="103">
        <f t="shared" si="515"/>
        <v>-27681809.949999996</v>
      </c>
      <c r="P1311" s="103">
        <f t="shared" si="515"/>
        <v>13048700</v>
      </c>
      <c r="Q1311" s="103">
        <f t="shared" si="489"/>
        <v>-14633109.949999996</v>
      </c>
      <c r="S1311" s="267" t="str">
        <f t="shared" si="512"/>
        <v/>
      </c>
      <c r="T1311" s="267">
        <f t="shared" si="512"/>
        <v>-4.0124308758909537</v>
      </c>
      <c r="U1311" s="267">
        <f t="shared" si="512"/>
        <v>0.55117308558829703</v>
      </c>
      <c r="V1311" s="267">
        <f t="shared" si="511"/>
        <v>1.6213564024356095</v>
      </c>
      <c r="W1311" s="267"/>
    </row>
    <row r="1312" spans="1:30" ht="12" hidden="1" customHeight="1">
      <c r="A1312" s="315" t="s">
        <v>275</v>
      </c>
      <c r="B1312" s="315" t="s">
        <v>276</v>
      </c>
      <c r="C1312" s="458" t="s">
        <v>716</v>
      </c>
      <c r="D1312" s="458" t="s">
        <v>716</v>
      </c>
      <c r="E1312" s="459" t="s">
        <v>716</v>
      </c>
      <c r="F1312" s="104">
        <f t="shared" si="516"/>
        <v>0</v>
      </c>
      <c r="G1312" s="104">
        <f t="shared" si="516"/>
        <v>105931860.11000001</v>
      </c>
      <c r="H1312" s="104">
        <f t="shared" si="516"/>
        <v>10000000</v>
      </c>
      <c r="I1312" s="103">
        <f t="shared" si="485"/>
        <v>115931860.11000001</v>
      </c>
      <c r="J1312" s="104">
        <f t="shared" si="517"/>
        <v>0</v>
      </c>
      <c r="K1312" s="104">
        <f t="shared" si="517"/>
        <v>46075513.609999999</v>
      </c>
      <c r="L1312" s="104">
        <f t="shared" si="517"/>
        <v>9956072</v>
      </c>
      <c r="M1312" s="103">
        <f t="shared" si="487"/>
        <v>56031585.609999999</v>
      </c>
      <c r="N1312" s="103">
        <f t="shared" si="515"/>
        <v>0</v>
      </c>
      <c r="O1312" s="103">
        <f t="shared" si="515"/>
        <v>59856346.500000015</v>
      </c>
      <c r="P1312" s="103">
        <f t="shared" si="515"/>
        <v>43928</v>
      </c>
      <c r="Q1312" s="103">
        <f t="shared" si="489"/>
        <v>59900274.500000015</v>
      </c>
      <c r="S1312" s="267" t="str">
        <f t="shared" si="512"/>
        <v/>
      </c>
      <c r="T1312" s="267">
        <f t="shared" si="512"/>
        <v>0.43495425797446607</v>
      </c>
      <c r="U1312" s="267">
        <f t="shared" si="512"/>
        <v>0.99560720000000003</v>
      </c>
      <c r="V1312" s="267">
        <f t="shared" si="511"/>
        <v>0.48331481576190843</v>
      </c>
      <c r="W1312" s="267"/>
    </row>
    <row r="1313" spans="1:30" s="266" customFormat="1" ht="17.25" customHeight="1">
      <c r="A1313" s="291" t="s">
        <v>273</v>
      </c>
      <c r="B1313" s="292" t="s">
        <v>457</v>
      </c>
      <c r="C1313" s="1416" t="s">
        <v>707</v>
      </c>
      <c r="D1313" s="1417"/>
      <c r="E1313" s="1418"/>
      <c r="F1313" s="421">
        <f>+F1308+F1299+F1293+F1286+F1280+F1276+F1272</f>
        <v>0</v>
      </c>
      <c r="G1313" s="421">
        <f t="shared" ref="G1313:Q1313" si="518">+G1308+G1299+G1293+G1286+G1280+G1276+G1272</f>
        <v>1258909065.7599995</v>
      </c>
      <c r="H1313" s="421">
        <f t="shared" si="518"/>
        <v>4470642333.6199999</v>
      </c>
      <c r="I1313" s="421">
        <f t="shared" si="518"/>
        <v>5729551399.3800001</v>
      </c>
      <c r="J1313" s="421">
        <f t="shared" si="518"/>
        <v>0</v>
      </c>
      <c r="K1313" s="421">
        <f t="shared" si="518"/>
        <v>926772884.23000002</v>
      </c>
      <c r="L1313" s="421">
        <f t="shared" si="518"/>
        <v>2198560245.1099997</v>
      </c>
      <c r="M1313" s="421">
        <f t="shared" si="518"/>
        <v>3125333129.3400002</v>
      </c>
      <c r="N1313" s="421">
        <f t="shared" si="518"/>
        <v>0</v>
      </c>
      <c r="O1313" s="421">
        <f t="shared" si="518"/>
        <v>332136181.52999938</v>
      </c>
      <c r="P1313" s="421">
        <f t="shared" si="518"/>
        <v>2272082088.5100002</v>
      </c>
      <c r="Q1313" s="421">
        <f t="shared" si="518"/>
        <v>2604218270.0399995</v>
      </c>
      <c r="R1313" s="771"/>
      <c r="S1313" s="525" t="str">
        <f t="shared" si="512"/>
        <v/>
      </c>
      <c r="T1313" s="525">
        <f t="shared" si="512"/>
        <v>0.73617142765630184</v>
      </c>
      <c r="U1313" s="525">
        <f t="shared" si="512"/>
        <v>0.49177726175418868</v>
      </c>
      <c r="V1313" s="525">
        <f t="shared" si="511"/>
        <v>0.54547606112377234</v>
      </c>
      <c r="W1313" s="360"/>
      <c r="X1313" s="237"/>
      <c r="Y1313" s="833" t="s">
        <v>598</v>
      </c>
      <c r="Z1313" s="241" t="s">
        <v>598</v>
      </c>
    </row>
    <row r="1314" spans="1:30" s="272" customFormat="1" ht="15" customHeight="1">
      <c r="A1314" s="246" t="s">
        <v>273</v>
      </c>
      <c r="B1314" s="246" t="s">
        <v>457</v>
      </c>
      <c r="C1314" s="422"/>
      <c r="D1314" s="422"/>
      <c r="E1314" s="422"/>
      <c r="F1314" s="391"/>
      <c r="G1314" s="391"/>
      <c r="H1314" s="391"/>
      <c r="I1314" s="391"/>
      <c r="J1314" s="391"/>
      <c r="K1314" s="391"/>
      <c r="L1314" s="391"/>
      <c r="M1314" s="391"/>
      <c r="N1314" s="391"/>
      <c r="O1314" s="391"/>
      <c r="P1314" s="391"/>
      <c r="Q1314" s="391"/>
      <c r="R1314" s="763"/>
      <c r="S1314" s="521" t="str">
        <f t="shared" si="512"/>
        <v/>
      </c>
      <c r="T1314" s="521" t="str">
        <f t="shared" si="512"/>
        <v/>
      </c>
      <c r="U1314" s="521" t="str">
        <f t="shared" si="512"/>
        <v/>
      </c>
      <c r="V1314" s="521" t="str">
        <f t="shared" si="511"/>
        <v/>
      </c>
      <c r="W1314" s="254"/>
      <c r="X1314" s="527"/>
      <c r="Y1314" s="838" t="s">
        <v>598</v>
      </c>
      <c r="Z1314" s="261" t="s">
        <v>598</v>
      </c>
    </row>
    <row r="1315" spans="1:30" s="294" customFormat="1" ht="26.25" customHeight="1">
      <c r="A1315" s="282" t="s">
        <v>273</v>
      </c>
      <c r="B1315" s="282" t="s">
        <v>863</v>
      </c>
      <c r="C1315" s="414" t="s">
        <v>708</v>
      </c>
      <c r="D1315" s="423"/>
      <c r="E1315" s="424"/>
      <c r="F1315" s="425"/>
      <c r="G1315" s="425"/>
      <c r="H1315" s="425"/>
      <c r="I1315" s="425"/>
      <c r="J1315" s="425"/>
      <c r="K1315" s="425"/>
      <c r="L1315" s="425"/>
      <c r="M1315" s="425"/>
      <c r="N1315" s="425"/>
      <c r="O1315" s="425"/>
      <c r="P1315" s="425"/>
      <c r="Q1315" s="425"/>
      <c r="R1315" s="763"/>
      <c r="S1315" s="536" t="str">
        <f t="shared" si="512"/>
        <v/>
      </c>
      <c r="T1315" s="536" t="str">
        <f t="shared" si="512"/>
        <v/>
      </c>
      <c r="U1315" s="536" t="str">
        <f t="shared" si="512"/>
        <v/>
      </c>
      <c r="V1315" s="536" t="str">
        <f t="shared" si="511"/>
        <v/>
      </c>
      <c r="W1315" s="293"/>
      <c r="X1315" s="1387"/>
      <c r="Y1315" s="1409" t="s">
        <v>598</v>
      </c>
      <c r="Z1315" s="261" t="s">
        <v>598</v>
      </c>
    </row>
    <row r="1316" spans="1:30" s="361" customFormat="1" ht="13.5" customHeight="1">
      <c r="A1316" s="246" t="s">
        <v>273</v>
      </c>
      <c r="B1316" s="246" t="s">
        <v>457</v>
      </c>
      <c r="C1316" s="1474" t="s">
        <v>428</v>
      </c>
      <c r="D1316" s="1475"/>
      <c r="E1316" s="1476"/>
      <c r="F1316" s="501"/>
      <c r="G1316" s="501"/>
      <c r="H1316" s="501"/>
      <c r="I1316" s="501"/>
      <c r="J1316" s="501"/>
      <c r="K1316" s="501"/>
      <c r="L1316" s="501"/>
      <c r="M1316" s="501"/>
      <c r="N1316" s="501"/>
      <c r="O1316" s="501"/>
      <c r="P1316" s="501"/>
      <c r="Q1316" s="501"/>
      <c r="R1316" s="761"/>
      <c r="S1316" s="267" t="str">
        <f t="shared" si="512"/>
        <v/>
      </c>
      <c r="T1316" s="267" t="str">
        <f t="shared" si="512"/>
        <v/>
      </c>
      <c r="U1316" s="267" t="str">
        <f t="shared" si="512"/>
        <v/>
      </c>
      <c r="V1316" s="267" t="str">
        <f t="shared" si="511"/>
        <v/>
      </c>
      <c r="W1316" s="329"/>
      <c r="X1316" s="520"/>
      <c r="Y1316" s="833" t="s">
        <v>598</v>
      </c>
      <c r="Z1316" s="261" t="s">
        <v>598</v>
      </c>
      <c r="AA1316" s="240"/>
      <c r="AB1316" s="240"/>
      <c r="AC1316" s="240"/>
      <c r="AD1316" s="240"/>
    </row>
    <row r="1317" spans="1:30" s="314" customFormat="1" ht="12" customHeight="1">
      <c r="A1317" s="278" t="s">
        <v>273</v>
      </c>
      <c r="B1317" s="278" t="s">
        <v>863</v>
      </c>
      <c r="C1317" s="502"/>
      <c r="D1317" s="502"/>
      <c r="E1317" s="445" t="s">
        <v>99</v>
      </c>
      <c r="F1317" s="503">
        <f>SUM(F1318:F1322)</f>
        <v>0</v>
      </c>
      <c r="G1317" s="503">
        <f t="shared" ref="G1317:Q1317" si="519">SUM(G1318:G1322)</f>
        <v>26350354.959999997</v>
      </c>
      <c r="H1317" s="503">
        <f t="shared" si="519"/>
        <v>198603750</v>
      </c>
      <c r="I1317" s="503">
        <f t="shared" si="519"/>
        <v>224954104.96000001</v>
      </c>
      <c r="J1317" s="503">
        <f t="shared" si="519"/>
        <v>0</v>
      </c>
      <c r="K1317" s="503">
        <f t="shared" si="519"/>
        <v>12517415.42</v>
      </c>
      <c r="L1317" s="503">
        <f t="shared" si="519"/>
        <v>60983789.039999999</v>
      </c>
      <c r="M1317" s="503">
        <f t="shared" si="519"/>
        <v>73501204.459999993</v>
      </c>
      <c r="N1317" s="503">
        <f t="shared" si="519"/>
        <v>0</v>
      </c>
      <c r="O1317" s="503">
        <f t="shared" si="519"/>
        <v>13832939.539999999</v>
      </c>
      <c r="P1317" s="503">
        <f t="shared" si="519"/>
        <v>137619960.96000001</v>
      </c>
      <c r="Q1317" s="503">
        <f t="shared" si="519"/>
        <v>151452900.5</v>
      </c>
      <c r="R1317" s="795"/>
      <c r="S1317" s="533" t="str">
        <f t="shared" si="512"/>
        <v/>
      </c>
      <c r="T1317" s="533">
        <f t="shared" si="512"/>
        <v>0.47503782924372423</v>
      </c>
      <c r="U1317" s="533">
        <f t="shared" si="512"/>
        <v>0.30706262615887164</v>
      </c>
      <c r="V1317" s="533">
        <f t="shared" si="511"/>
        <v>0.32673866730758055</v>
      </c>
      <c r="W1317" s="362"/>
      <c r="X1317" s="271"/>
      <c r="Y1317" s="840" t="s">
        <v>598</v>
      </c>
      <c r="Z1317" s="255" t="s">
        <v>598</v>
      </c>
    </row>
    <row r="1318" spans="1:30" s="272" customFormat="1" ht="12" customHeight="1">
      <c r="A1318" s="246" t="s">
        <v>273</v>
      </c>
      <c r="B1318" s="246" t="s">
        <v>863</v>
      </c>
      <c r="C1318" s="426"/>
      <c r="D1318" s="426" t="s">
        <v>98</v>
      </c>
      <c r="E1318" s="427" t="s">
        <v>713</v>
      </c>
      <c r="F1318" s="428"/>
      <c r="G1318" s="428"/>
      <c r="H1318" s="428"/>
      <c r="I1318" s="428"/>
      <c r="J1318" s="428"/>
      <c r="K1318" s="428"/>
      <c r="L1318" s="428"/>
      <c r="M1318" s="428"/>
      <c r="N1318" s="428"/>
      <c r="O1318" s="428"/>
      <c r="P1318" s="428"/>
      <c r="Q1318" s="428"/>
      <c r="R1318" s="763"/>
      <c r="S1318" s="263" t="str">
        <f t="shared" si="512"/>
        <v/>
      </c>
      <c r="T1318" s="263" t="str">
        <f t="shared" si="512"/>
        <v/>
      </c>
      <c r="U1318" s="263" t="str">
        <f t="shared" si="512"/>
        <v/>
      </c>
      <c r="V1318" s="263" t="str">
        <f t="shared" si="511"/>
        <v/>
      </c>
      <c r="W1318" s="297"/>
      <c r="X1318" s="527"/>
      <c r="Y1318" s="838" t="s">
        <v>598</v>
      </c>
      <c r="Z1318" s="277"/>
    </row>
    <row r="1319" spans="1:30" ht="12.75" customHeight="1">
      <c r="A1319" s="93" t="s">
        <v>280</v>
      </c>
      <c r="B1319" s="363" t="s">
        <v>281</v>
      </c>
      <c r="C1319" s="456"/>
      <c r="D1319" s="330"/>
      <c r="E1319" s="1107" t="s">
        <v>455</v>
      </c>
      <c r="F1319" s="404">
        <f>+F15</f>
        <v>0</v>
      </c>
      <c r="G1319" s="404">
        <f>+G15</f>
        <v>22739619</v>
      </c>
      <c r="H1319" s="404">
        <f>+H15</f>
        <v>198603750</v>
      </c>
      <c r="I1319" s="103">
        <f>SUM(F1319:H1319)</f>
        <v>221343369</v>
      </c>
      <c r="J1319" s="404">
        <f t="shared" ref="J1319:L1322" si="520">+J15</f>
        <v>0</v>
      </c>
      <c r="K1319" s="404">
        <f t="shared" si="520"/>
        <v>9761980.5</v>
      </c>
      <c r="L1319" s="404">
        <f t="shared" si="520"/>
        <v>60983789.039999999</v>
      </c>
      <c r="M1319" s="103">
        <f>SUM(J1319:L1319)</f>
        <v>70745769.539999992</v>
      </c>
      <c r="N1319" s="103">
        <f t="shared" ref="N1319:P1322" si="521">+F1319-J1319</f>
        <v>0</v>
      </c>
      <c r="O1319" s="103">
        <f t="shared" si="521"/>
        <v>12977638.5</v>
      </c>
      <c r="P1319" s="103">
        <f t="shared" si="521"/>
        <v>137619960.96000001</v>
      </c>
      <c r="Q1319" s="103">
        <f>SUM(N1319:P1319)</f>
        <v>150597599.46000001</v>
      </c>
      <c r="R1319" s="796"/>
      <c r="S1319" s="267" t="str">
        <f t="shared" si="512"/>
        <v/>
      </c>
      <c r="T1319" s="267">
        <f t="shared" si="512"/>
        <v>0.42929393408042588</v>
      </c>
      <c r="U1319" s="267">
        <f t="shared" si="512"/>
        <v>0.30706262615887164</v>
      </c>
      <c r="V1319" s="267">
        <f t="shared" si="511"/>
        <v>0.31962000876565672</v>
      </c>
      <c r="W1319" s="330"/>
      <c r="Y1319" s="842" t="s">
        <v>598</v>
      </c>
    </row>
    <row r="1320" spans="1:30" ht="12.75" customHeight="1">
      <c r="A1320" s="93" t="s">
        <v>280</v>
      </c>
      <c r="B1320" s="363" t="s">
        <v>281</v>
      </c>
      <c r="C1320" s="456"/>
      <c r="D1320" s="330"/>
      <c r="E1320" s="459" t="s">
        <v>867</v>
      </c>
      <c r="F1320" s="404">
        <f t="shared" ref="F1320:H1322" si="522">+F16</f>
        <v>0</v>
      </c>
      <c r="G1320" s="404">
        <f t="shared" si="522"/>
        <v>521592.04</v>
      </c>
      <c r="H1320" s="404">
        <f t="shared" si="522"/>
        <v>0</v>
      </c>
      <c r="I1320" s="103">
        <f>SUM(F1320:H1320)</f>
        <v>521592.04</v>
      </c>
      <c r="J1320" s="404">
        <f t="shared" si="520"/>
        <v>0</v>
      </c>
      <c r="K1320" s="404">
        <f t="shared" si="520"/>
        <v>0</v>
      </c>
      <c r="L1320" s="404">
        <f t="shared" si="520"/>
        <v>0</v>
      </c>
      <c r="M1320" s="103">
        <f>SUM(J1320:L1320)</f>
        <v>0</v>
      </c>
      <c r="N1320" s="103">
        <f t="shared" si="521"/>
        <v>0</v>
      </c>
      <c r="O1320" s="103">
        <f t="shared" si="521"/>
        <v>521592.04</v>
      </c>
      <c r="P1320" s="103">
        <f t="shared" si="521"/>
        <v>0</v>
      </c>
      <c r="Q1320" s="103">
        <f>SUM(N1320:P1320)</f>
        <v>521592.04</v>
      </c>
      <c r="R1320" s="796"/>
      <c r="S1320" s="267" t="str">
        <f t="shared" si="512"/>
        <v/>
      </c>
      <c r="T1320" s="267">
        <f t="shared" si="512"/>
        <v>0</v>
      </c>
      <c r="U1320" s="267" t="str">
        <f t="shared" si="512"/>
        <v/>
      </c>
      <c r="V1320" s="267">
        <f t="shared" si="511"/>
        <v>0</v>
      </c>
      <c r="W1320" s="330"/>
      <c r="Y1320" s="842" t="s">
        <v>598</v>
      </c>
    </row>
    <row r="1321" spans="1:30" ht="12.75" customHeight="1">
      <c r="A1321" s="93" t="s">
        <v>280</v>
      </c>
      <c r="B1321" s="363" t="s">
        <v>281</v>
      </c>
      <c r="C1321" s="456"/>
      <c r="D1321" s="330"/>
      <c r="E1321" s="1107" t="s">
        <v>769</v>
      </c>
      <c r="F1321" s="404">
        <f t="shared" si="522"/>
        <v>0</v>
      </c>
      <c r="G1321" s="404">
        <f t="shared" si="522"/>
        <v>2755759.83</v>
      </c>
      <c r="H1321" s="404">
        <f t="shared" si="522"/>
        <v>0</v>
      </c>
      <c r="I1321" s="103">
        <f>SUM(F1321:H1321)</f>
        <v>2755759.83</v>
      </c>
      <c r="J1321" s="404">
        <f t="shared" si="520"/>
        <v>0</v>
      </c>
      <c r="K1321" s="404">
        <f t="shared" si="520"/>
        <v>2755434.9199999995</v>
      </c>
      <c r="L1321" s="404">
        <f t="shared" si="520"/>
        <v>0</v>
      </c>
      <c r="M1321" s="103">
        <f>SUM(J1321:L1321)</f>
        <v>2755434.9199999995</v>
      </c>
      <c r="N1321" s="103">
        <f t="shared" si="521"/>
        <v>0</v>
      </c>
      <c r="O1321" s="103">
        <f t="shared" si="521"/>
        <v>324.91000000061467</v>
      </c>
      <c r="P1321" s="103">
        <f t="shared" si="521"/>
        <v>0</v>
      </c>
      <c r="Q1321" s="103">
        <f>SUM(N1321:P1321)</f>
        <v>324.91000000061467</v>
      </c>
      <c r="R1321" s="796"/>
      <c r="S1321" s="267" t="str">
        <f t="shared" si="512"/>
        <v/>
      </c>
      <c r="T1321" s="267">
        <f t="shared" si="512"/>
        <v>0.99988209785320781</v>
      </c>
      <c r="U1321" s="267" t="str">
        <f t="shared" si="512"/>
        <v/>
      </c>
      <c r="V1321" s="267">
        <f t="shared" si="511"/>
        <v>0.99988209785320781</v>
      </c>
      <c r="W1321" s="330"/>
      <c r="Y1321" s="842" t="s">
        <v>598</v>
      </c>
    </row>
    <row r="1322" spans="1:30" ht="12.75" customHeight="1">
      <c r="A1322" s="93" t="s">
        <v>280</v>
      </c>
      <c r="B1322" s="363" t="s">
        <v>281</v>
      </c>
      <c r="C1322" s="456"/>
      <c r="D1322" s="330"/>
      <c r="E1322" s="1107" t="s">
        <v>868</v>
      </c>
      <c r="F1322" s="404">
        <f t="shared" si="522"/>
        <v>0</v>
      </c>
      <c r="G1322" s="404">
        <f t="shared" si="522"/>
        <v>333384.09000000003</v>
      </c>
      <c r="H1322" s="404">
        <f t="shared" si="522"/>
        <v>0</v>
      </c>
      <c r="I1322" s="103">
        <f>SUM(F1322:H1322)</f>
        <v>333384.09000000003</v>
      </c>
      <c r="J1322" s="404">
        <f t="shared" si="520"/>
        <v>0</v>
      </c>
      <c r="K1322" s="404">
        <f t="shared" si="520"/>
        <v>0</v>
      </c>
      <c r="L1322" s="404">
        <f t="shared" si="520"/>
        <v>0</v>
      </c>
      <c r="M1322" s="103">
        <f>SUM(J1322:L1322)</f>
        <v>0</v>
      </c>
      <c r="N1322" s="103">
        <f t="shared" si="521"/>
        <v>0</v>
      </c>
      <c r="O1322" s="103">
        <f t="shared" si="521"/>
        <v>333384.09000000003</v>
      </c>
      <c r="P1322" s="103">
        <f t="shared" si="521"/>
        <v>0</v>
      </c>
      <c r="Q1322" s="103">
        <f>SUM(N1322:P1322)</f>
        <v>333384.09000000003</v>
      </c>
      <c r="R1322" s="796"/>
      <c r="S1322" s="267" t="str">
        <f t="shared" si="512"/>
        <v/>
      </c>
      <c r="T1322" s="267">
        <f t="shared" si="512"/>
        <v>0</v>
      </c>
      <c r="U1322" s="267" t="str">
        <f t="shared" si="512"/>
        <v/>
      </c>
      <c r="V1322" s="267">
        <f t="shared" si="511"/>
        <v>0</v>
      </c>
      <c r="W1322" s="330"/>
      <c r="Y1322" s="842" t="s">
        <v>598</v>
      </c>
    </row>
    <row r="1323" spans="1:30" s="272" customFormat="1" ht="15" customHeight="1">
      <c r="A1323" s="246" t="s">
        <v>273</v>
      </c>
      <c r="B1323" s="246" t="s">
        <v>457</v>
      </c>
      <c r="C1323" s="422"/>
      <c r="D1323" s="422"/>
      <c r="E1323" s="422"/>
      <c r="F1323" s="391"/>
      <c r="G1323" s="391"/>
      <c r="H1323" s="391"/>
      <c r="I1323" s="391"/>
      <c r="J1323" s="391"/>
      <c r="K1323" s="391"/>
      <c r="L1323" s="391"/>
      <c r="M1323" s="391"/>
      <c r="N1323" s="391"/>
      <c r="O1323" s="391"/>
      <c r="P1323" s="391"/>
      <c r="Q1323" s="391"/>
      <c r="R1323" s="763"/>
      <c r="S1323" s="521" t="str">
        <f t="shared" si="512"/>
        <v/>
      </c>
      <c r="T1323" s="521" t="str">
        <f t="shared" si="512"/>
        <v/>
      </c>
      <c r="U1323" s="521" t="str">
        <f t="shared" si="512"/>
        <v/>
      </c>
      <c r="V1323" s="521" t="str">
        <f t="shared" si="511"/>
        <v/>
      </c>
      <c r="W1323" s="254"/>
      <c r="X1323" s="527"/>
      <c r="Y1323" s="838" t="s">
        <v>598</v>
      </c>
      <c r="Z1323" s="261" t="s">
        <v>598</v>
      </c>
    </row>
    <row r="1324" spans="1:30" s="93" customFormat="1" ht="13.5" hidden="1" customHeight="1">
      <c r="A1324" s="246" t="s">
        <v>273</v>
      </c>
      <c r="B1324" s="246" t="s">
        <v>863</v>
      </c>
      <c r="C1324" s="1474" t="s">
        <v>862</v>
      </c>
      <c r="D1324" s="1475"/>
      <c r="E1324" s="1476"/>
      <c r="F1324" s="397"/>
      <c r="G1324" s="397"/>
      <c r="H1324" s="397"/>
      <c r="I1324" s="397"/>
      <c r="J1324" s="397"/>
      <c r="K1324" s="397"/>
      <c r="L1324" s="397"/>
      <c r="M1324" s="397"/>
      <c r="N1324" s="397"/>
      <c r="O1324" s="397"/>
      <c r="P1324" s="397"/>
      <c r="Q1324" s="397"/>
      <c r="R1324" s="763"/>
      <c r="S1324" s="521" t="str">
        <f t="shared" si="512"/>
        <v/>
      </c>
      <c r="T1324" s="521" t="str">
        <f t="shared" si="512"/>
        <v/>
      </c>
      <c r="U1324" s="521" t="str">
        <f t="shared" si="512"/>
        <v/>
      </c>
      <c r="V1324" s="521" t="str">
        <f t="shared" si="511"/>
        <v/>
      </c>
      <c r="W1324" s="254"/>
      <c r="X1324" s="247"/>
      <c r="Y1324" s="838"/>
      <c r="Z1324" s="261"/>
    </row>
    <row r="1325" spans="1:30" s="314" customFormat="1" ht="12" hidden="1" customHeight="1">
      <c r="A1325" s="364" t="s">
        <v>279</v>
      </c>
      <c r="B1325" s="364" t="s">
        <v>272</v>
      </c>
      <c r="C1325" s="504"/>
      <c r="D1325" s="504" t="s">
        <v>98</v>
      </c>
      <c r="E1325" s="445" t="s">
        <v>100</v>
      </c>
      <c r="F1325" s="446">
        <f>+F1326</f>
        <v>0</v>
      </c>
      <c r="G1325" s="446">
        <f t="shared" ref="G1325:Q1325" si="523">+G1326</f>
        <v>0</v>
      </c>
      <c r="H1325" s="446">
        <f t="shared" si="523"/>
        <v>0</v>
      </c>
      <c r="I1325" s="446">
        <f t="shared" si="523"/>
        <v>0</v>
      </c>
      <c r="J1325" s="446">
        <f t="shared" si="523"/>
        <v>0</v>
      </c>
      <c r="K1325" s="446">
        <f t="shared" si="523"/>
        <v>0</v>
      </c>
      <c r="L1325" s="446">
        <f t="shared" si="523"/>
        <v>0</v>
      </c>
      <c r="M1325" s="446">
        <f t="shared" si="523"/>
        <v>0</v>
      </c>
      <c r="N1325" s="446">
        <f t="shared" si="523"/>
        <v>0</v>
      </c>
      <c r="O1325" s="446">
        <f t="shared" si="523"/>
        <v>0</v>
      </c>
      <c r="P1325" s="446">
        <f t="shared" si="523"/>
        <v>0</v>
      </c>
      <c r="Q1325" s="446">
        <f t="shared" si="523"/>
        <v>0</v>
      </c>
      <c r="R1325" s="793"/>
      <c r="S1325" s="535" t="str">
        <f t="shared" si="512"/>
        <v/>
      </c>
      <c r="T1325" s="535" t="str">
        <f t="shared" si="512"/>
        <v/>
      </c>
      <c r="U1325" s="535" t="str">
        <f t="shared" si="512"/>
        <v/>
      </c>
      <c r="V1325" s="535" t="str">
        <f t="shared" si="511"/>
        <v/>
      </c>
      <c r="W1325" s="365"/>
      <c r="X1325" s="271"/>
      <c r="Y1325" s="837"/>
      <c r="Z1325" s="241"/>
    </row>
    <row r="1326" spans="1:30" ht="12" hidden="1" customHeight="1">
      <c r="A1326" s="315" t="s">
        <v>278</v>
      </c>
      <c r="B1326" s="315" t="s">
        <v>269</v>
      </c>
      <c r="C1326" s="456"/>
      <c r="D1326" s="456"/>
      <c r="E1326" s="462" t="s">
        <v>290</v>
      </c>
      <c r="F1326" s="104">
        <f>+F1220+F1231+F1242</f>
        <v>0</v>
      </c>
      <c r="G1326" s="104">
        <f>+G1220+G1231+G1242</f>
        <v>0</v>
      </c>
      <c r="H1326" s="104">
        <f>+H1220+H1231+H1242</f>
        <v>0</v>
      </c>
      <c r="I1326" s="103">
        <f>+F1326+G1326+H1326</f>
        <v>0</v>
      </c>
      <c r="J1326" s="104">
        <f>+J1220+J1231+J1242</f>
        <v>0</v>
      </c>
      <c r="K1326" s="104">
        <f>+K1220+K1231+K1242</f>
        <v>0</v>
      </c>
      <c r="L1326" s="104">
        <f>+L1220+L1231+L1242</f>
        <v>0</v>
      </c>
      <c r="M1326" s="103">
        <f>+J1326+K1326+L1326</f>
        <v>0</v>
      </c>
      <c r="N1326" s="103">
        <f>+F1326-J1326</f>
        <v>0</v>
      </c>
      <c r="O1326" s="103">
        <f>+G1326-K1326</f>
        <v>0</v>
      </c>
      <c r="P1326" s="103">
        <f>+H1326-L1326</f>
        <v>0</v>
      </c>
      <c r="Q1326" s="103">
        <f>+N1326+O1326+P1326</f>
        <v>0</v>
      </c>
      <c r="S1326" s="267" t="str">
        <f t="shared" si="512"/>
        <v/>
      </c>
      <c r="T1326" s="267" t="str">
        <f t="shared" si="512"/>
        <v/>
      </c>
      <c r="U1326" s="267" t="str">
        <f t="shared" si="512"/>
        <v/>
      </c>
      <c r="V1326" s="267" t="str">
        <f t="shared" si="511"/>
        <v/>
      </c>
      <c r="W1326" s="267"/>
    </row>
    <row r="1327" spans="1:30" s="256" customFormat="1" ht="12" hidden="1" customHeight="1">
      <c r="A1327" s="236"/>
      <c r="B1327" s="366"/>
      <c r="C1327" s="460"/>
      <c r="D1327" s="505"/>
      <c r="E1327" s="389"/>
      <c r="F1327" s="393"/>
      <c r="G1327" s="393"/>
      <c r="H1327" s="393"/>
      <c r="I1327" s="391"/>
      <c r="J1327" s="393"/>
      <c r="K1327" s="393"/>
      <c r="L1327" s="393"/>
      <c r="M1327" s="391"/>
      <c r="N1327" s="391"/>
      <c r="O1327" s="391"/>
      <c r="P1327" s="391"/>
      <c r="Q1327" s="391"/>
      <c r="R1327" s="761"/>
      <c r="S1327" s="267" t="str">
        <f t="shared" si="512"/>
        <v/>
      </c>
      <c r="T1327" s="267" t="str">
        <f t="shared" si="512"/>
        <v/>
      </c>
      <c r="U1327" s="267" t="str">
        <f t="shared" si="512"/>
        <v/>
      </c>
      <c r="V1327" s="267" t="str">
        <f t="shared" si="511"/>
        <v/>
      </c>
      <c r="W1327" s="263"/>
      <c r="X1327" s="271"/>
      <c r="Y1327" s="837"/>
      <c r="Z1327" s="255"/>
    </row>
    <row r="1328" spans="1:30" s="93" customFormat="1" ht="12" hidden="1" customHeight="1">
      <c r="A1328" s="246" t="s">
        <v>273</v>
      </c>
      <c r="B1328" s="246" t="s">
        <v>863</v>
      </c>
      <c r="C1328" s="1474" t="s">
        <v>271</v>
      </c>
      <c r="D1328" s="1475"/>
      <c r="E1328" s="1476"/>
      <c r="F1328" s="397"/>
      <c r="G1328" s="397"/>
      <c r="H1328" s="397"/>
      <c r="I1328" s="397"/>
      <c r="J1328" s="397"/>
      <c r="K1328" s="397"/>
      <c r="L1328" s="397"/>
      <c r="M1328" s="397"/>
      <c r="N1328" s="397"/>
      <c r="O1328" s="397"/>
      <c r="P1328" s="397"/>
      <c r="Q1328" s="397"/>
      <c r="R1328" s="763"/>
      <c r="S1328" s="521" t="str">
        <f t="shared" si="512"/>
        <v/>
      </c>
      <c r="T1328" s="521" t="str">
        <f t="shared" si="512"/>
        <v/>
      </c>
      <c r="U1328" s="521" t="str">
        <f t="shared" si="512"/>
        <v/>
      </c>
      <c r="V1328" s="521" t="str">
        <f t="shared" si="511"/>
        <v/>
      </c>
      <c r="W1328" s="254"/>
      <c r="X1328" s="247"/>
      <c r="Y1328" s="838"/>
      <c r="Z1328" s="261"/>
    </row>
    <row r="1329" spans="1:26" s="314" customFormat="1" ht="12" hidden="1" customHeight="1">
      <c r="A1329" s="364" t="s">
        <v>279</v>
      </c>
      <c r="B1329" s="364" t="s">
        <v>272</v>
      </c>
      <c r="C1329" s="504"/>
      <c r="D1329" s="504" t="s">
        <v>98</v>
      </c>
      <c r="E1329" s="445" t="s">
        <v>100</v>
      </c>
      <c r="F1329" s="446">
        <f>+F1330</f>
        <v>0</v>
      </c>
      <c r="G1329" s="446">
        <f t="shared" ref="G1329:Q1329" si="524">+G1330</f>
        <v>0</v>
      </c>
      <c r="H1329" s="446">
        <f t="shared" si="524"/>
        <v>0</v>
      </c>
      <c r="I1329" s="446">
        <f t="shared" si="524"/>
        <v>0</v>
      </c>
      <c r="J1329" s="446">
        <f t="shared" si="524"/>
        <v>0</v>
      </c>
      <c r="K1329" s="446">
        <f t="shared" si="524"/>
        <v>0</v>
      </c>
      <c r="L1329" s="446">
        <f t="shared" si="524"/>
        <v>0</v>
      </c>
      <c r="M1329" s="446">
        <f t="shared" si="524"/>
        <v>0</v>
      </c>
      <c r="N1329" s="446">
        <f t="shared" si="524"/>
        <v>0</v>
      </c>
      <c r="O1329" s="446">
        <f t="shared" si="524"/>
        <v>0</v>
      </c>
      <c r="P1329" s="446">
        <f t="shared" si="524"/>
        <v>0</v>
      </c>
      <c r="Q1329" s="446">
        <f t="shared" si="524"/>
        <v>0</v>
      </c>
      <c r="R1329" s="793"/>
      <c r="S1329" s="535" t="str">
        <f t="shared" si="512"/>
        <v/>
      </c>
      <c r="T1329" s="535" t="str">
        <f t="shared" si="512"/>
        <v/>
      </c>
      <c r="U1329" s="535" t="str">
        <f t="shared" si="512"/>
        <v/>
      </c>
      <c r="V1329" s="535" t="str">
        <f t="shared" si="511"/>
        <v/>
      </c>
      <c r="W1329" s="365"/>
      <c r="X1329" s="271"/>
      <c r="Y1329" s="837"/>
      <c r="Z1329" s="241"/>
    </row>
    <row r="1330" spans="1:26" ht="12" hidden="1" customHeight="1">
      <c r="A1330" s="315" t="s">
        <v>279</v>
      </c>
      <c r="B1330" s="315" t="s">
        <v>272</v>
      </c>
      <c r="C1330" s="456"/>
      <c r="D1330" s="456"/>
      <c r="E1330" s="462" t="s">
        <v>290</v>
      </c>
      <c r="F1330" s="104">
        <f>+F1266</f>
        <v>0</v>
      </c>
      <c r="G1330" s="104">
        <f>+G1266</f>
        <v>0</v>
      </c>
      <c r="H1330" s="104">
        <f>+H1266</f>
        <v>0</v>
      </c>
      <c r="I1330" s="103">
        <f>+F1330+G1330+H1330</f>
        <v>0</v>
      </c>
      <c r="J1330" s="104">
        <f>+J1266</f>
        <v>0</v>
      </c>
      <c r="K1330" s="104">
        <f>+K1266</f>
        <v>0</v>
      </c>
      <c r="L1330" s="104">
        <f>+L1266</f>
        <v>0</v>
      </c>
      <c r="M1330" s="103">
        <f>+J1330+K1330+L1330</f>
        <v>0</v>
      </c>
      <c r="N1330" s="103">
        <f t="shared" ref="N1330:P1330" si="525">+F1330-J1330</f>
        <v>0</v>
      </c>
      <c r="O1330" s="103">
        <f t="shared" si="525"/>
        <v>0</v>
      </c>
      <c r="P1330" s="103">
        <f t="shared" si="525"/>
        <v>0</v>
      </c>
      <c r="Q1330" s="103">
        <f>+N1330+O1330+P1330</f>
        <v>0</v>
      </c>
      <c r="S1330" s="267" t="str">
        <f t="shared" si="512"/>
        <v/>
      </c>
      <c r="T1330" s="267" t="str">
        <f t="shared" si="512"/>
        <v/>
      </c>
      <c r="U1330" s="267" t="str">
        <f t="shared" si="512"/>
        <v/>
      </c>
      <c r="V1330" s="267" t="str">
        <f t="shared" si="511"/>
        <v/>
      </c>
      <c r="W1330" s="267"/>
    </row>
    <row r="1331" spans="1:26" ht="12" hidden="1" customHeight="1">
      <c r="A1331" s="315" t="s">
        <v>279</v>
      </c>
      <c r="B1331" s="367" t="s">
        <v>272</v>
      </c>
      <c r="C1331" s="470"/>
      <c r="D1331" s="470"/>
      <c r="E1331" s="471"/>
      <c r="F1331" s="104"/>
      <c r="G1331" s="104"/>
      <c r="H1331" s="104"/>
      <c r="I1331" s="103"/>
      <c r="J1331" s="104"/>
      <c r="K1331" s="104"/>
      <c r="L1331" s="104"/>
      <c r="M1331" s="103"/>
      <c r="N1331" s="103"/>
      <c r="O1331" s="103"/>
      <c r="P1331" s="103"/>
      <c r="Q1331" s="103"/>
      <c r="S1331" s="267" t="str">
        <f t="shared" si="512"/>
        <v/>
      </c>
      <c r="T1331" s="267" t="str">
        <f t="shared" si="512"/>
        <v/>
      </c>
      <c r="U1331" s="267" t="str">
        <f t="shared" si="512"/>
        <v/>
      </c>
      <c r="V1331" s="267" t="str">
        <f t="shared" si="511"/>
        <v/>
      </c>
      <c r="W1331" s="267"/>
    </row>
    <row r="1332" spans="1:26" s="93" customFormat="1" ht="12" customHeight="1">
      <c r="A1332" s="246" t="s">
        <v>273</v>
      </c>
      <c r="B1332" s="246" t="s">
        <v>863</v>
      </c>
      <c r="C1332" s="1474" t="s">
        <v>69</v>
      </c>
      <c r="D1332" s="1475"/>
      <c r="E1332" s="1476"/>
      <c r="F1332" s="397"/>
      <c r="G1332" s="397"/>
      <c r="H1332" s="397"/>
      <c r="I1332" s="397"/>
      <c r="J1332" s="397"/>
      <c r="K1332" s="397"/>
      <c r="L1332" s="397"/>
      <c r="M1332" s="397"/>
      <c r="N1332" s="397"/>
      <c r="O1332" s="397"/>
      <c r="P1332" s="397"/>
      <c r="Q1332" s="397"/>
      <c r="R1332" s="763"/>
      <c r="S1332" s="521" t="str">
        <f t="shared" si="512"/>
        <v/>
      </c>
      <c r="T1332" s="521" t="str">
        <f t="shared" si="512"/>
        <v/>
      </c>
      <c r="U1332" s="521" t="str">
        <f t="shared" si="512"/>
        <v/>
      </c>
      <c r="V1332" s="521" t="str">
        <f t="shared" si="511"/>
        <v/>
      </c>
      <c r="W1332" s="254"/>
      <c r="X1332" s="247"/>
      <c r="Y1332" s="838" t="s">
        <v>598</v>
      </c>
      <c r="Z1332" s="261" t="s">
        <v>598</v>
      </c>
    </row>
    <row r="1333" spans="1:26" s="314" customFormat="1" ht="12" customHeight="1">
      <c r="A1333" s="364" t="s">
        <v>277</v>
      </c>
      <c r="B1333" s="364" t="s">
        <v>260</v>
      </c>
      <c r="C1333" s="504"/>
      <c r="D1333" s="504" t="s">
        <v>98</v>
      </c>
      <c r="E1333" s="445" t="s">
        <v>100</v>
      </c>
      <c r="F1333" s="446">
        <f>SUM(F1334:F1335)</f>
        <v>0</v>
      </c>
      <c r="G1333" s="446">
        <f t="shared" ref="G1333:Q1333" si="526">SUM(G1334:G1335)</f>
        <v>85726267.650000006</v>
      </c>
      <c r="H1333" s="446">
        <f t="shared" si="526"/>
        <v>24500000</v>
      </c>
      <c r="I1333" s="446">
        <f t="shared" si="526"/>
        <v>110226267.65000001</v>
      </c>
      <c r="J1333" s="446">
        <f t="shared" si="526"/>
        <v>0</v>
      </c>
      <c r="K1333" s="446">
        <f t="shared" si="526"/>
        <v>81608185.090000004</v>
      </c>
      <c r="L1333" s="446">
        <f t="shared" si="526"/>
        <v>0</v>
      </c>
      <c r="M1333" s="446">
        <f t="shared" si="526"/>
        <v>81608185.090000004</v>
      </c>
      <c r="N1333" s="446">
        <f t="shared" si="526"/>
        <v>0</v>
      </c>
      <c r="O1333" s="446">
        <f t="shared" si="526"/>
        <v>4118082.5600000098</v>
      </c>
      <c r="P1333" s="446">
        <f t="shared" si="526"/>
        <v>24500000</v>
      </c>
      <c r="Q1333" s="446">
        <f t="shared" si="526"/>
        <v>28618082.56000001</v>
      </c>
      <c r="R1333" s="793"/>
      <c r="S1333" s="535" t="str">
        <f t="shared" si="512"/>
        <v/>
      </c>
      <c r="T1333" s="535">
        <f t="shared" si="512"/>
        <v>0.95196241860414177</v>
      </c>
      <c r="U1333" s="535">
        <f t="shared" si="512"/>
        <v>0</v>
      </c>
      <c r="V1333" s="535">
        <f t="shared" si="511"/>
        <v>0.74036966713895624</v>
      </c>
      <c r="W1333" s="365"/>
      <c r="X1333" s="271"/>
      <c r="Y1333" s="837" t="s">
        <v>598</v>
      </c>
      <c r="Z1333" s="241" t="s">
        <v>598</v>
      </c>
    </row>
    <row r="1334" spans="1:26" ht="12" customHeight="1">
      <c r="A1334" s="315" t="s">
        <v>277</v>
      </c>
      <c r="B1334" s="315" t="s">
        <v>260</v>
      </c>
      <c r="C1334" s="456"/>
      <c r="D1334" s="456"/>
      <c r="E1334" s="462" t="s">
        <v>290</v>
      </c>
      <c r="F1334" s="104">
        <f t="shared" ref="F1334:H1335" si="527">+F1207</f>
        <v>0</v>
      </c>
      <c r="G1334" s="104">
        <f t="shared" si="527"/>
        <v>72825118.650000006</v>
      </c>
      <c r="H1334" s="104">
        <f t="shared" si="527"/>
        <v>24500000</v>
      </c>
      <c r="I1334" s="103">
        <f>+F1334+G1334+H1334</f>
        <v>97325118.650000006</v>
      </c>
      <c r="J1334" s="104">
        <f t="shared" ref="J1334:L1335" si="528">+J1207</f>
        <v>0</v>
      </c>
      <c r="K1334" s="104">
        <f t="shared" si="528"/>
        <v>69903178.519999996</v>
      </c>
      <c r="L1334" s="104">
        <f t="shared" si="528"/>
        <v>0</v>
      </c>
      <c r="M1334" s="103">
        <f>+J1334+K1334+L1334</f>
        <v>69903178.519999996</v>
      </c>
      <c r="N1334" s="103">
        <f t="shared" ref="N1334:P1335" si="529">+F1334-J1334</f>
        <v>0</v>
      </c>
      <c r="O1334" s="103">
        <f t="shared" si="529"/>
        <v>2921940.1300000101</v>
      </c>
      <c r="P1334" s="103">
        <f t="shared" si="529"/>
        <v>24500000</v>
      </c>
      <c r="Q1334" s="103">
        <f>+N1334+O1334+P1334</f>
        <v>27421940.13000001</v>
      </c>
      <c r="S1334" s="267" t="str">
        <f t="shared" si="512"/>
        <v/>
      </c>
      <c r="T1334" s="267">
        <f t="shared" si="512"/>
        <v>0.95987730354353484</v>
      </c>
      <c r="U1334" s="267">
        <f t="shared" si="512"/>
        <v>0</v>
      </c>
      <c r="V1334" s="267">
        <f t="shared" si="511"/>
        <v>0.71824395890423087</v>
      </c>
      <c r="W1334" s="267"/>
      <c r="Y1334" s="837" t="s">
        <v>598</v>
      </c>
    </row>
    <row r="1335" spans="1:26" ht="12" customHeight="1">
      <c r="A1335" s="315" t="s">
        <v>277</v>
      </c>
      <c r="B1335" s="315" t="s">
        <v>260</v>
      </c>
      <c r="C1335" s="456"/>
      <c r="D1335" s="456"/>
      <c r="E1335" s="729" t="s">
        <v>851</v>
      </c>
      <c r="F1335" s="104">
        <f t="shared" si="527"/>
        <v>0</v>
      </c>
      <c r="G1335" s="104">
        <f t="shared" si="527"/>
        <v>12901149</v>
      </c>
      <c r="H1335" s="104">
        <f t="shared" si="527"/>
        <v>0</v>
      </c>
      <c r="I1335" s="103">
        <f>+F1335+G1335+H1335</f>
        <v>12901149</v>
      </c>
      <c r="J1335" s="104">
        <f t="shared" si="528"/>
        <v>0</v>
      </c>
      <c r="K1335" s="104">
        <f t="shared" si="528"/>
        <v>11705006.57</v>
      </c>
      <c r="L1335" s="104">
        <f t="shared" si="528"/>
        <v>0</v>
      </c>
      <c r="M1335" s="103">
        <f>+J1335+K1335+L1335</f>
        <v>11705006.57</v>
      </c>
      <c r="N1335" s="103">
        <f t="shared" si="529"/>
        <v>0</v>
      </c>
      <c r="O1335" s="103">
        <f t="shared" si="529"/>
        <v>1196142.4299999997</v>
      </c>
      <c r="P1335" s="103">
        <f t="shared" si="529"/>
        <v>0</v>
      </c>
      <c r="Q1335" s="103">
        <f>+N1335+O1335+P1335</f>
        <v>1196142.4299999997</v>
      </c>
      <c r="S1335" s="267" t="str">
        <f t="shared" si="512"/>
        <v/>
      </c>
      <c r="T1335" s="267">
        <f t="shared" si="512"/>
        <v>0.90728403880925645</v>
      </c>
      <c r="U1335" s="267" t="str">
        <f t="shared" si="512"/>
        <v/>
      </c>
      <c r="V1335" s="267">
        <f t="shared" si="511"/>
        <v>0.90728403880925645</v>
      </c>
      <c r="W1335" s="267"/>
      <c r="Y1335" s="837" t="s">
        <v>598</v>
      </c>
    </row>
    <row r="1336" spans="1:26" ht="12" customHeight="1">
      <c r="A1336" s="315" t="s">
        <v>277</v>
      </c>
      <c r="B1336" s="367" t="s">
        <v>260</v>
      </c>
      <c r="C1336" s="470"/>
      <c r="D1336" s="470"/>
      <c r="E1336" s="471"/>
      <c r="F1336" s="104"/>
      <c r="G1336" s="104"/>
      <c r="H1336" s="104"/>
      <c r="I1336" s="103"/>
      <c r="J1336" s="104"/>
      <c r="K1336" s="104"/>
      <c r="L1336" s="104"/>
      <c r="M1336" s="103"/>
      <c r="N1336" s="103"/>
      <c r="O1336" s="103"/>
      <c r="P1336" s="103"/>
      <c r="Q1336" s="103"/>
      <c r="S1336" s="267" t="str">
        <f t="shared" si="512"/>
        <v/>
      </c>
      <c r="T1336" s="267" t="str">
        <f t="shared" si="512"/>
        <v/>
      </c>
      <c r="U1336" s="267" t="str">
        <f t="shared" si="512"/>
        <v/>
      </c>
      <c r="V1336" s="267" t="str">
        <f t="shared" si="511"/>
        <v/>
      </c>
      <c r="W1336" s="267"/>
      <c r="Y1336" s="837" t="s">
        <v>598</v>
      </c>
      <c r="Z1336" s="241" t="s">
        <v>598</v>
      </c>
    </row>
    <row r="1337" spans="1:26" s="93" customFormat="1" ht="12" customHeight="1">
      <c r="A1337" s="246" t="s">
        <v>273</v>
      </c>
      <c r="B1337" s="246" t="s">
        <v>863</v>
      </c>
      <c r="C1337" s="1474" t="s">
        <v>430</v>
      </c>
      <c r="D1337" s="1475"/>
      <c r="E1337" s="1476"/>
      <c r="F1337" s="397"/>
      <c r="G1337" s="397"/>
      <c r="H1337" s="397"/>
      <c r="I1337" s="397"/>
      <c r="J1337" s="397"/>
      <c r="K1337" s="397"/>
      <c r="L1337" s="397"/>
      <c r="M1337" s="397"/>
      <c r="N1337" s="397"/>
      <c r="O1337" s="397"/>
      <c r="P1337" s="397"/>
      <c r="Q1337" s="397"/>
      <c r="R1337" s="763"/>
      <c r="S1337" s="521" t="str">
        <f t="shared" si="512"/>
        <v/>
      </c>
      <c r="T1337" s="521" t="str">
        <f t="shared" si="512"/>
        <v/>
      </c>
      <c r="U1337" s="521" t="str">
        <f t="shared" si="512"/>
        <v/>
      </c>
      <c r="V1337" s="521" t="str">
        <f t="shared" si="511"/>
        <v/>
      </c>
      <c r="W1337" s="254"/>
      <c r="X1337" s="247"/>
      <c r="Y1337" s="838" t="s">
        <v>598</v>
      </c>
      <c r="Z1337" s="261" t="s">
        <v>598</v>
      </c>
    </row>
    <row r="1338" spans="1:26" s="314" customFormat="1" ht="12" customHeight="1">
      <c r="A1338" s="364" t="s">
        <v>275</v>
      </c>
      <c r="B1338" s="364" t="s">
        <v>276</v>
      </c>
      <c r="C1338" s="504"/>
      <c r="D1338" s="504" t="s">
        <v>98</v>
      </c>
      <c r="E1338" s="445" t="s">
        <v>100</v>
      </c>
      <c r="F1338" s="446">
        <f>+F1339</f>
        <v>0</v>
      </c>
      <c r="G1338" s="446">
        <f t="shared" ref="G1338:Q1338" si="530">+G1339</f>
        <v>284660419.18000007</v>
      </c>
      <c r="H1338" s="446">
        <f t="shared" si="530"/>
        <v>15202900</v>
      </c>
      <c r="I1338" s="446">
        <f t="shared" si="530"/>
        <v>299863319.18000007</v>
      </c>
      <c r="J1338" s="446">
        <f t="shared" si="530"/>
        <v>0</v>
      </c>
      <c r="K1338" s="446">
        <f t="shared" si="530"/>
        <v>239158690.26999998</v>
      </c>
      <c r="L1338" s="446">
        <f t="shared" si="530"/>
        <v>13586000</v>
      </c>
      <c r="M1338" s="446">
        <f t="shared" si="530"/>
        <v>252744690.26999998</v>
      </c>
      <c r="N1338" s="446">
        <f t="shared" si="530"/>
        <v>0</v>
      </c>
      <c r="O1338" s="446">
        <f t="shared" si="530"/>
        <v>45501728.910000086</v>
      </c>
      <c r="P1338" s="446">
        <f t="shared" si="530"/>
        <v>1616900</v>
      </c>
      <c r="Q1338" s="446">
        <f t="shared" si="530"/>
        <v>47118628.910000086</v>
      </c>
      <c r="R1338" s="793"/>
      <c r="S1338" s="535" t="str">
        <f t="shared" si="512"/>
        <v/>
      </c>
      <c r="T1338" s="535">
        <f t="shared" si="512"/>
        <v>0.84015435289151363</v>
      </c>
      <c r="U1338" s="535">
        <f t="shared" si="512"/>
        <v>0.89364529135888549</v>
      </c>
      <c r="V1338" s="535">
        <f t="shared" si="511"/>
        <v>0.84286631309608095</v>
      </c>
      <c r="W1338" s="365"/>
      <c r="X1338" s="271"/>
      <c r="Y1338" s="837" t="s">
        <v>598</v>
      </c>
      <c r="Z1338" s="241" t="s">
        <v>598</v>
      </c>
    </row>
    <row r="1339" spans="1:26" ht="12" customHeight="1">
      <c r="A1339" s="315" t="s">
        <v>275</v>
      </c>
      <c r="B1339" s="315" t="s">
        <v>276</v>
      </c>
      <c r="C1339" s="456"/>
      <c r="D1339" s="456"/>
      <c r="E1339" s="462" t="s">
        <v>290</v>
      </c>
      <c r="F1339" s="104">
        <f>+F52+F63+F74+F85+F123+F134+F145+F156+F194+F205+F216+F254+F265+F276+F287+F325+F336+F347+F358+F369+F407+F444+F455+F493+F504+F515+F553+F564+F575+F586+F624+F635+F646+F657+F668+F679+F717+F728+F766+F777+F788+F799+F810+F821+F832+F843+F881+F892+F903+F941+F952+F990+F1001+F1039+F1050</f>
        <v>0</v>
      </c>
      <c r="G1339" s="104">
        <f>+G52+G63+G74+G85+G123+G134+G145+G156+G194+G205+G216+G254+G265+G276+G287+G325+G336+G347+G358+G369+G407+G444+G455+G493+G504+G515+G553+G564+G575+G586+G624+G635+G646+G657+G668+G679+G717+G728+G766+G777+G788+G799+G810+G821+G832+G843+G881+G892+G903+G941+G952+G990+G1001+G1039+G1050</f>
        <v>284660419.18000007</v>
      </c>
      <c r="H1339" s="104">
        <f>+H52+H63+H74+H85+H123+H134+H145+H156+H194+H205+H216+H254+H265+H276+H287+H325+H336+H347+H358+H369+H407+H444+H455+H493+H504+H515+H553+H564+H575+H586+H624+H635+H646+H657+H668+H679+H717+H728+H766+H777+H788+H799+H810+H821+H832+H843+H881+H892+H903+H941+H952+H990+H1001+H1039+H1050</f>
        <v>15202900</v>
      </c>
      <c r="I1339" s="103">
        <f>+F1339+G1339+H1339</f>
        <v>299863319.18000007</v>
      </c>
      <c r="J1339" s="104">
        <f>+J52+J63+J74+J85+J123+J134+J145+J156+J194+J205+J216+J254+J265+J276+J287+J325+J336+J347+J358+J369+J407+J444+J455+J493+J504+J515+J553+J564+J575+J586+J624+J635+J646+J657+J668+J679+J717+J728+J766+J777+J788+J799+J810+J821+J832+J843+J881+J892+J903+J941+J952+J990+J1001+J1039+J1050</f>
        <v>0</v>
      </c>
      <c r="K1339" s="104">
        <f>+K52+K63+K74+K85+K123+K134+K145+K156+K194+K205+K216+K254+K265+K276+K287+K325+K336+K347+K358+K369+K407+K444+K455+K493+K504+K515+K553+K564+K575+K586+K624+K635+K646+K657+K668+K679+K717+K728+K766+K777+K788+K799+K810+K821+K832+K843+K881+K892+K903+K941+K952+K990+K1001+K1039+K1050</f>
        <v>239158690.26999998</v>
      </c>
      <c r="L1339" s="104">
        <f>+L52+L63+L74+L85+L123+L134+L145+L156+L194+L205+L216+L254+L265+L276+L287+L325+L336+L347+L358+L369+L407+L444+L455+L493+L504+L515+L553+L564+L575+L586+L624+L635+L646+L657+L668+L679+L717+L728+L766+L777+L788+L799+L810+L821+L832+L843+L881+L892+L903+L941+L952+L990+L1001+L1039+L1050</f>
        <v>13586000</v>
      </c>
      <c r="M1339" s="103">
        <f>+J1339+K1339+L1339</f>
        <v>252744690.26999998</v>
      </c>
      <c r="N1339" s="103">
        <f t="shared" ref="N1339:P1339" si="531">+F1339-J1339</f>
        <v>0</v>
      </c>
      <c r="O1339" s="103">
        <f t="shared" si="531"/>
        <v>45501728.910000086</v>
      </c>
      <c r="P1339" s="103">
        <f t="shared" si="531"/>
        <v>1616900</v>
      </c>
      <c r="Q1339" s="103">
        <f>+N1339+O1339+P1339</f>
        <v>47118628.910000086</v>
      </c>
      <c r="S1339" s="267" t="str">
        <f t="shared" si="512"/>
        <v/>
      </c>
      <c r="T1339" s="267">
        <f t="shared" si="512"/>
        <v>0.84015435289151363</v>
      </c>
      <c r="U1339" s="267">
        <f t="shared" si="512"/>
        <v>0.89364529135888549</v>
      </c>
      <c r="V1339" s="267">
        <f t="shared" si="511"/>
        <v>0.84286631309608095</v>
      </c>
      <c r="W1339" s="267"/>
      <c r="Y1339" s="837" t="s">
        <v>598</v>
      </c>
    </row>
    <row r="1340" spans="1:26" ht="12" customHeight="1">
      <c r="A1340" s="315" t="s">
        <v>274</v>
      </c>
      <c r="B1340" s="367" t="s">
        <v>274</v>
      </c>
      <c r="C1340" s="470"/>
      <c r="D1340" s="470"/>
      <c r="E1340" s="471"/>
      <c r="F1340" s="104"/>
      <c r="G1340" s="104"/>
      <c r="H1340" s="104"/>
      <c r="I1340" s="103"/>
      <c r="J1340" s="104"/>
      <c r="K1340" s="104"/>
      <c r="L1340" s="104"/>
      <c r="M1340" s="103"/>
      <c r="N1340" s="103"/>
      <c r="O1340" s="103"/>
      <c r="P1340" s="103"/>
      <c r="Q1340" s="103"/>
      <c r="S1340" s="267" t="str">
        <f t="shared" si="512"/>
        <v/>
      </c>
      <c r="T1340" s="267" t="str">
        <f t="shared" si="512"/>
        <v/>
      </c>
      <c r="U1340" s="267" t="str">
        <f t="shared" si="512"/>
        <v/>
      </c>
      <c r="V1340" s="267" t="str">
        <f t="shared" si="511"/>
        <v/>
      </c>
      <c r="W1340" s="267"/>
      <c r="Y1340" s="837" t="s">
        <v>598</v>
      </c>
      <c r="Z1340" s="241" t="s">
        <v>598</v>
      </c>
    </row>
    <row r="1341" spans="1:26" s="266" customFormat="1" ht="15.75" customHeight="1">
      <c r="A1341" s="291" t="s">
        <v>273</v>
      </c>
      <c r="B1341" s="292" t="s">
        <v>863</v>
      </c>
      <c r="C1341" s="1422" t="s">
        <v>709</v>
      </c>
      <c r="D1341" s="1423"/>
      <c r="E1341" s="1424"/>
      <c r="F1341" s="421">
        <f>+F1317+F1325+F1329+F1333+F1338</f>
        <v>0</v>
      </c>
      <c r="G1341" s="421">
        <f t="shared" ref="G1341:Q1341" si="532">+G1317+G1325+G1329+G1333+G1338</f>
        <v>396737041.79000008</v>
      </c>
      <c r="H1341" s="421">
        <f t="shared" si="532"/>
        <v>238306650</v>
      </c>
      <c r="I1341" s="421">
        <f t="shared" si="532"/>
        <v>635043691.79000008</v>
      </c>
      <c r="J1341" s="421">
        <f t="shared" si="532"/>
        <v>0</v>
      </c>
      <c r="K1341" s="421">
        <f t="shared" si="532"/>
        <v>333284290.77999997</v>
      </c>
      <c r="L1341" s="421">
        <f t="shared" si="532"/>
        <v>74569789.039999992</v>
      </c>
      <c r="M1341" s="421">
        <f t="shared" si="532"/>
        <v>407854079.81999999</v>
      </c>
      <c r="N1341" s="421">
        <f t="shared" si="532"/>
        <v>0</v>
      </c>
      <c r="O1341" s="421">
        <f t="shared" si="532"/>
        <v>63452751.010000095</v>
      </c>
      <c r="P1341" s="421">
        <f t="shared" si="532"/>
        <v>163736860.96000001</v>
      </c>
      <c r="Q1341" s="421">
        <f t="shared" si="532"/>
        <v>227189611.97000009</v>
      </c>
      <c r="R1341" s="771"/>
      <c r="S1341" s="525" t="str">
        <f t="shared" si="512"/>
        <v/>
      </c>
      <c r="T1341" s="525">
        <f t="shared" si="512"/>
        <v>0.84006345683348926</v>
      </c>
      <c r="U1341" s="525">
        <f t="shared" si="512"/>
        <v>0.31291526711487067</v>
      </c>
      <c r="V1341" s="525">
        <f t="shared" si="511"/>
        <v>0.64224569914296781</v>
      </c>
      <c r="W1341" s="360"/>
      <c r="X1341" s="237"/>
      <c r="Y1341" s="837" t="s">
        <v>598</v>
      </c>
      <c r="Z1341" s="241" t="s">
        <v>598</v>
      </c>
    </row>
    <row r="1342" spans="1:26" s="301" customFormat="1" ht="22.5" customHeight="1">
      <c r="A1342" s="291" t="s">
        <v>273</v>
      </c>
      <c r="B1342" s="291" t="s">
        <v>61</v>
      </c>
      <c r="C1342" s="429" t="s">
        <v>291</v>
      </c>
      <c r="D1342" s="429"/>
      <c r="E1342" s="430"/>
      <c r="F1342" s="431">
        <f t="shared" ref="F1342:Q1342" si="533">+F1341+F1313</f>
        <v>0</v>
      </c>
      <c r="G1342" s="431">
        <f t="shared" si="533"/>
        <v>1655646107.5499997</v>
      </c>
      <c r="H1342" s="431">
        <f t="shared" si="533"/>
        <v>4708948983.6199999</v>
      </c>
      <c r="I1342" s="431">
        <f t="shared" si="533"/>
        <v>6364595091.1700001</v>
      </c>
      <c r="J1342" s="431">
        <f t="shared" si="533"/>
        <v>0</v>
      </c>
      <c r="K1342" s="431">
        <f t="shared" si="533"/>
        <v>1260057175.01</v>
      </c>
      <c r="L1342" s="431">
        <f t="shared" si="533"/>
        <v>2273130034.1499996</v>
      </c>
      <c r="M1342" s="431">
        <f t="shared" si="533"/>
        <v>3533187209.1600003</v>
      </c>
      <c r="N1342" s="431">
        <f t="shared" si="533"/>
        <v>0</v>
      </c>
      <c r="O1342" s="431">
        <f t="shared" si="533"/>
        <v>395588932.53999949</v>
      </c>
      <c r="P1342" s="431">
        <f t="shared" si="533"/>
        <v>2435818949.4700003</v>
      </c>
      <c r="Q1342" s="431">
        <f t="shared" si="533"/>
        <v>2831407882.0099998</v>
      </c>
      <c r="R1342" s="1108"/>
      <c r="S1342" s="537" t="str">
        <f t="shared" si="512"/>
        <v/>
      </c>
      <c r="T1342" s="537">
        <f t="shared" si="512"/>
        <v>0.76106673356337828</v>
      </c>
      <c r="U1342" s="537">
        <f t="shared" si="512"/>
        <v>0.48272555979201398</v>
      </c>
      <c r="V1342" s="537">
        <f t="shared" si="511"/>
        <v>0.5551314983197928</v>
      </c>
      <c r="W1342" s="300"/>
      <c r="X1342" s="520"/>
      <c r="Y1342" s="837" t="s">
        <v>598</v>
      </c>
      <c r="Z1342" s="241" t="s">
        <v>598</v>
      </c>
    </row>
    <row r="1343" spans="1:26" s="302" customFormat="1" ht="15.75" customHeight="1">
      <c r="A1343" s="246" t="s">
        <v>273</v>
      </c>
      <c r="B1343" s="246" t="s">
        <v>61</v>
      </c>
      <c r="C1343" s="432"/>
      <c r="D1343" s="433"/>
      <c r="E1343" s="434"/>
      <c r="F1343" s="435"/>
      <c r="G1343" s="435"/>
      <c r="H1343" s="435"/>
      <c r="I1343" s="435"/>
      <c r="J1343" s="435"/>
      <c r="K1343" s="435"/>
      <c r="L1343" s="435"/>
      <c r="M1343" s="435"/>
      <c r="N1343" s="435"/>
      <c r="O1343" s="435"/>
      <c r="P1343" s="435"/>
      <c r="Q1343" s="435"/>
      <c r="R1343" s="761"/>
      <c r="S1343" s="1109" t="str">
        <f t="shared" si="512"/>
        <v/>
      </c>
      <c r="T1343" s="1109" t="str">
        <f t="shared" si="512"/>
        <v/>
      </c>
      <c r="U1343" s="1109" t="str">
        <f t="shared" si="512"/>
        <v/>
      </c>
      <c r="V1343" s="1109" t="str">
        <f t="shared" si="511"/>
        <v/>
      </c>
      <c r="W1343" s="718"/>
      <c r="X1343" s="538"/>
      <c r="Y1343" s="842" t="s">
        <v>598</v>
      </c>
      <c r="Z1343" s="241" t="s">
        <v>598</v>
      </c>
    </row>
    <row r="1344" spans="1:26" s="1038" customFormat="1" ht="11.25" customHeight="1">
      <c r="A1344" s="303"/>
      <c r="B1344" s="304"/>
      <c r="C1344" s="1036"/>
      <c r="D1344" s="436"/>
      <c r="E1344" s="1037"/>
      <c r="F1344" s="1024"/>
      <c r="G1344" s="1024"/>
      <c r="H1344" s="1024"/>
      <c r="I1344" s="1025"/>
      <c r="J1344" s="1024"/>
      <c r="K1344" s="1024"/>
      <c r="L1344" s="1024"/>
      <c r="M1344" s="1025"/>
      <c r="N1344" s="1025"/>
      <c r="O1344" s="1025"/>
      <c r="P1344" s="1025"/>
      <c r="Q1344" s="1025"/>
      <c r="R1344" s="1105"/>
      <c r="S1344" s="1106" t="str">
        <f t="shared" si="512"/>
        <v/>
      </c>
      <c r="T1344" s="1106" t="str">
        <f t="shared" si="512"/>
        <v/>
      </c>
      <c r="U1344" s="1106" t="str">
        <f t="shared" si="512"/>
        <v/>
      </c>
      <c r="V1344" s="1106" t="str">
        <f t="shared" si="511"/>
        <v/>
      </c>
      <c r="W1344" s="281"/>
      <c r="X1344" s="237"/>
      <c r="Y1344" s="842" t="s">
        <v>598</v>
      </c>
      <c r="Z1344" s="241" t="s">
        <v>598</v>
      </c>
    </row>
    <row r="1345" spans="1:29" s="306" customFormat="1" ht="21.75" customHeight="1">
      <c r="A1345" s="246" t="s">
        <v>284</v>
      </c>
      <c r="B1345" s="246" t="s">
        <v>285</v>
      </c>
      <c r="C1345" s="1039" t="s">
        <v>710</v>
      </c>
      <c r="D1345" s="437"/>
      <c r="E1345" s="416"/>
      <c r="F1345" s="438"/>
      <c r="G1345" s="438"/>
      <c r="H1345" s="438"/>
      <c r="I1345" s="439"/>
      <c r="J1345" s="438"/>
      <c r="K1345" s="438"/>
      <c r="L1345" s="438"/>
      <c r="M1345" s="439"/>
      <c r="N1345" s="439"/>
      <c r="O1345" s="439"/>
      <c r="P1345" s="439"/>
      <c r="Q1345" s="439"/>
      <c r="R1345" s="760"/>
      <c r="S1345" s="539" t="str">
        <f t="shared" si="512"/>
        <v/>
      </c>
      <c r="T1345" s="539" t="str">
        <f t="shared" si="512"/>
        <v/>
      </c>
      <c r="U1345" s="539" t="str">
        <f t="shared" si="512"/>
        <v/>
      </c>
      <c r="V1345" s="539" t="str">
        <f t="shared" si="511"/>
        <v/>
      </c>
      <c r="W1345" s="305"/>
      <c r="X1345" s="237" t="s">
        <v>598</v>
      </c>
      <c r="Y1345" s="837" t="s">
        <v>598</v>
      </c>
      <c r="Z1345" s="241" t="s">
        <v>598</v>
      </c>
    </row>
    <row r="1346" spans="1:29" s="285" customFormat="1" ht="18.75" customHeight="1">
      <c r="A1346" s="368"/>
      <c r="B1346" s="369"/>
      <c r="C1346" s="506" t="s">
        <v>706</v>
      </c>
      <c r="D1346" s="507"/>
      <c r="E1346" s="508"/>
      <c r="F1346" s="509"/>
      <c r="G1346" s="509"/>
      <c r="H1346" s="509"/>
      <c r="I1346" s="509"/>
      <c r="J1346" s="509"/>
      <c r="K1346" s="509"/>
      <c r="L1346" s="509"/>
      <c r="M1346" s="509"/>
      <c r="N1346" s="509"/>
      <c r="O1346" s="509"/>
      <c r="P1346" s="509"/>
      <c r="Q1346" s="509"/>
      <c r="R1346" s="760"/>
      <c r="S1346" s="536" t="str">
        <f t="shared" si="512"/>
        <v/>
      </c>
      <c r="T1346" s="536" t="str">
        <f t="shared" si="512"/>
        <v/>
      </c>
      <c r="U1346" s="536" t="str">
        <f t="shared" si="512"/>
        <v/>
      </c>
      <c r="V1346" s="536" t="str">
        <f t="shared" si="511"/>
        <v/>
      </c>
      <c r="W1346" s="283"/>
      <c r="X1346" s="237" t="s">
        <v>598</v>
      </c>
      <c r="Y1346" s="838" t="s">
        <v>598</v>
      </c>
      <c r="Z1346" s="261" t="s">
        <v>598</v>
      </c>
    </row>
    <row r="1347" spans="1:29" ht="12.75" customHeight="1">
      <c r="A1347" s="307" t="s">
        <v>284</v>
      </c>
      <c r="B1347" s="307" t="s">
        <v>285</v>
      </c>
      <c r="C1347" s="411"/>
      <c r="D1347" s="441" t="s">
        <v>98</v>
      </c>
      <c r="E1347" s="447" t="s">
        <v>766</v>
      </c>
      <c r="F1347" s="103">
        <f>+F1272+F1276+F1280+F1287+F1288+F1293+F1299+F1308</f>
        <v>0</v>
      </c>
      <c r="G1347" s="103">
        <f>+G1272+G1276+G1280+G1287+G1288+G1293+G1299+G1308</f>
        <v>1258885106.1999993</v>
      </c>
      <c r="H1347" s="103">
        <f>+H1272+H1276+H1280+H1287+H1288+H1293+H1299+H1308</f>
        <v>4470642333.6199999</v>
      </c>
      <c r="I1347" s="103">
        <f>SUM(F1347:H1347)</f>
        <v>5729527439.8199997</v>
      </c>
      <c r="J1347" s="103">
        <f>+J1272+J1276+J1280+J1287+J1288+J1293+J1299+J1308</f>
        <v>0</v>
      </c>
      <c r="K1347" s="103">
        <f>+K1272+K1276+K1280+K1287+K1288+K1293+K1299+K1308</f>
        <v>926752884.23000002</v>
      </c>
      <c r="L1347" s="103">
        <f>+L1272+L1276+L1280+L1287+L1288+L1293+L1299+L1308</f>
        <v>2198560245.1099997</v>
      </c>
      <c r="M1347" s="103">
        <f>SUM(J1347:L1347)</f>
        <v>3125313129.3399997</v>
      </c>
      <c r="N1347" s="103">
        <f t="shared" ref="N1347:P1348" si="534">+F1347-J1347</f>
        <v>0</v>
      </c>
      <c r="O1347" s="103">
        <f t="shared" si="534"/>
        <v>332132221.96999931</v>
      </c>
      <c r="P1347" s="103">
        <f t="shared" si="534"/>
        <v>2272082088.5100002</v>
      </c>
      <c r="Q1347" s="103">
        <f>SUM(N1347:P1347)</f>
        <v>2604214310.4799995</v>
      </c>
      <c r="S1347" s="267" t="str">
        <f t="shared" si="512"/>
        <v/>
      </c>
      <c r="T1347" s="267">
        <f t="shared" si="512"/>
        <v>0.73616955166579479</v>
      </c>
      <c r="U1347" s="267">
        <f t="shared" si="512"/>
        <v>0.49177726175418868</v>
      </c>
      <c r="V1347" s="267">
        <f t="shared" si="511"/>
        <v>0.54547485148935515</v>
      </c>
      <c r="W1347" s="309"/>
      <c r="X1347" s="237" t="s">
        <v>598</v>
      </c>
      <c r="Y1347" s="837" t="s">
        <v>598</v>
      </c>
      <c r="Z1347" s="238" t="s">
        <v>598</v>
      </c>
    </row>
    <row r="1348" spans="1:29" s="258" customFormat="1" ht="12.75" customHeight="1">
      <c r="A1348" s="291" t="s">
        <v>284</v>
      </c>
      <c r="B1348" s="291" t="s">
        <v>285</v>
      </c>
      <c r="C1348" s="442"/>
      <c r="D1348" s="442"/>
      <c r="E1348" s="398" t="s">
        <v>700</v>
      </c>
      <c r="F1348" s="419">
        <f>+F1291</f>
        <v>0</v>
      </c>
      <c r="G1348" s="419">
        <f>+G1291</f>
        <v>23959.56</v>
      </c>
      <c r="H1348" s="419">
        <f>+H1291</f>
        <v>0</v>
      </c>
      <c r="I1348" s="419">
        <f>SUM(F1348:H1348)</f>
        <v>23959.56</v>
      </c>
      <c r="J1348" s="419">
        <f>+J1291</f>
        <v>0</v>
      </c>
      <c r="K1348" s="419">
        <f>+K1291</f>
        <v>20000</v>
      </c>
      <c r="L1348" s="419">
        <f>+L1291</f>
        <v>0</v>
      </c>
      <c r="M1348" s="419">
        <f>SUM(J1348:L1348)</f>
        <v>20000</v>
      </c>
      <c r="N1348" s="103">
        <f t="shared" si="534"/>
        <v>0</v>
      </c>
      <c r="O1348" s="103">
        <f t="shared" si="534"/>
        <v>3959.5600000000013</v>
      </c>
      <c r="P1348" s="103">
        <f t="shared" si="534"/>
        <v>0</v>
      </c>
      <c r="Q1348" s="419">
        <f>SUM(N1348:P1348)</f>
        <v>3959.5600000000013</v>
      </c>
      <c r="R1348" s="797"/>
      <c r="S1348" s="523" t="str">
        <f t="shared" si="512"/>
        <v/>
      </c>
      <c r="T1348" s="523">
        <f t="shared" si="512"/>
        <v>0.83473987001430738</v>
      </c>
      <c r="U1348" s="523" t="str">
        <f t="shared" si="512"/>
        <v/>
      </c>
      <c r="V1348" s="523">
        <f t="shared" si="511"/>
        <v>0.83473987001430738</v>
      </c>
      <c r="W1348" s="257"/>
      <c r="X1348" s="237" t="s">
        <v>598</v>
      </c>
      <c r="Y1348" s="1410" t="s">
        <v>598</v>
      </c>
      <c r="Z1348" s="1391" t="s">
        <v>598</v>
      </c>
    </row>
    <row r="1349" spans="1:29" s="266" customFormat="1" ht="18.75" customHeight="1">
      <c r="A1349" s="292" t="s">
        <v>284</v>
      </c>
      <c r="B1349" s="292" t="s">
        <v>285</v>
      </c>
      <c r="C1349" s="1416" t="s">
        <v>711</v>
      </c>
      <c r="D1349" s="1417"/>
      <c r="E1349" s="1418"/>
      <c r="F1349" s="421">
        <f>SUM(F1347:F1348)</f>
        <v>0</v>
      </c>
      <c r="G1349" s="421">
        <f t="shared" ref="G1349:Q1349" si="535">SUM(G1347:G1348)</f>
        <v>1258909065.7599993</v>
      </c>
      <c r="H1349" s="421">
        <f t="shared" si="535"/>
        <v>4470642333.6199999</v>
      </c>
      <c r="I1349" s="421">
        <f t="shared" si="535"/>
        <v>5729551399.3800001</v>
      </c>
      <c r="J1349" s="421">
        <f t="shared" si="535"/>
        <v>0</v>
      </c>
      <c r="K1349" s="421">
        <f t="shared" si="535"/>
        <v>926772884.23000002</v>
      </c>
      <c r="L1349" s="421">
        <f t="shared" si="535"/>
        <v>2198560245.1099997</v>
      </c>
      <c r="M1349" s="421">
        <f>SUM(M1347:M1348)</f>
        <v>3125333129.3399997</v>
      </c>
      <c r="N1349" s="421">
        <f t="shared" si="535"/>
        <v>0</v>
      </c>
      <c r="O1349" s="421">
        <f t="shared" si="535"/>
        <v>332136181.52999932</v>
      </c>
      <c r="P1349" s="421">
        <f t="shared" si="535"/>
        <v>2272082088.5100002</v>
      </c>
      <c r="Q1349" s="421">
        <f t="shared" si="535"/>
        <v>2604218270.0399995</v>
      </c>
      <c r="R1349" s="771">
        <f>+Q1349-Q1313</f>
        <v>0</v>
      </c>
      <c r="S1349" s="525" t="str">
        <f t="shared" si="512"/>
        <v/>
      </c>
      <c r="T1349" s="525">
        <f t="shared" si="512"/>
        <v>0.73617142765630195</v>
      </c>
      <c r="U1349" s="525">
        <f t="shared" si="512"/>
        <v>0.49177726175418868</v>
      </c>
      <c r="V1349" s="525">
        <f t="shared" si="511"/>
        <v>0.54547606112377223</v>
      </c>
      <c r="W1349" s="370"/>
      <c r="X1349" s="237" t="s">
        <v>598</v>
      </c>
      <c r="Y1349" s="837" t="s">
        <v>598</v>
      </c>
      <c r="Z1349" s="241" t="s">
        <v>598</v>
      </c>
      <c r="AA1349" s="284"/>
      <c r="AB1349" s="284"/>
      <c r="AC1349" s="284"/>
    </row>
    <row r="1350" spans="1:29" ht="12" customHeight="1">
      <c r="A1350" s="315"/>
      <c r="B1350" s="315"/>
      <c r="C1350" s="456"/>
      <c r="D1350" s="456"/>
      <c r="E1350" s="461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S1350" s="267" t="str">
        <f t="shared" si="512"/>
        <v/>
      </c>
      <c r="T1350" s="267" t="str">
        <f t="shared" si="512"/>
        <v/>
      </c>
      <c r="U1350" s="267" t="str">
        <f t="shared" si="512"/>
        <v/>
      </c>
      <c r="V1350" s="267" t="str">
        <f t="shared" si="511"/>
        <v/>
      </c>
      <c r="W1350" s="267"/>
      <c r="X1350" s="237" t="s">
        <v>598</v>
      </c>
      <c r="Y1350" s="837" t="s">
        <v>598</v>
      </c>
      <c r="Z1350" s="241" t="s">
        <v>598</v>
      </c>
      <c r="AA1350" s="284"/>
      <c r="AB1350" s="284"/>
      <c r="AC1350" s="284"/>
    </row>
    <row r="1351" spans="1:29" s="294" customFormat="1" ht="18.75" customHeight="1">
      <c r="A1351" s="246" t="s">
        <v>284</v>
      </c>
      <c r="B1351" s="246" t="s">
        <v>285</v>
      </c>
      <c r="C1351" s="440" t="s">
        <v>708</v>
      </c>
      <c r="D1351" s="423"/>
      <c r="E1351" s="424"/>
      <c r="F1351" s="425"/>
      <c r="G1351" s="425"/>
      <c r="H1351" s="425"/>
      <c r="I1351" s="425"/>
      <c r="J1351" s="425"/>
      <c r="K1351" s="425"/>
      <c r="L1351" s="425"/>
      <c r="M1351" s="425"/>
      <c r="N1351" s="425"/>
      <c r="O1351" s="425"/>
      <c r="P1351" s="425"/>
      <c r="Q1351" s="425"/>
      <c r="R1351" s="763"/>
      <c r="S1351" s="536" t="str">
        <f t="shared" si="512"/>
        <v/>
      </c>
      <c r="T1351" s="536" t="str">
        <f t="shared" si="512"/>
        <v/>
      </c>
      <c r="U1351" s="536" t="str">
        <f t="shared" si="512"/>
        <v/>
      </c>
      <c r="V1351" s="536" t="str">
        <f t="shared" si="511"/>
        <v/>
      </c>
      <c r="W1351" s="293"/>
      <c r="X1351" s="237" t="s">
        <v>598</v>
      </c>
      <c r="Y1351" s="838" t="s">
        <v>598</v>
      </c>
      <c r="Z1351" s="261" t="s">
        <v>598</v>
      </c>
    </row>
    <row r="1352" spans="1:29" s="314" customFormat="1" ht="15" customHeight="1">
      <c r="A1352" s="312" t="s">
        <v>284</v>
      </c>
      <c r="B1352" s="313" t="s">
        <v>285</v>
      </c>
      <c r="C1352" s="444"/>
      <c r="D1352" s="444" t="s">
        <v>98</v>
      </c>
      <c r="E1352" s="445" t="s">
        <v>99</v>
      </c>
      <c r="F1352" s="446">
        <f>SUM(F1354:F1357)</f>
        <v>0</v>
      </c>
      <c r="G1352" s="446">
        <f t="shared" ref="G1352:Q1352" si="536">SUM(G1354:G1357)</f>
        <v>26350354.959999997</v>
      </c>
      <c r="H1352" s="446">
        <f t="shared" si="536"/>
        <v>198603750</v>
      </c>
      <c r="I1352" s="446">
        <f t="shared" si="536"/>
        <v>224954104.96000001</v>
      </c>
      <c r="J1352" s="446">
        <f t="shared" si="536"/>
        <v>0</v>
      </c>
      <c r="K1352" s="446">
        <f t="shared" si="536"/>
        <v>12517415.42</v>
      </c>
      <c r="L1352" s="446">
        <f t="shared" si="536"/>
        <v>60983789.039999999</v>
      </c>
      <c r="M1352" s="446">
        <f t="shared" si="536"/>
        <v>73501204.459999993</v>
      </c>
      <c r="N1352" s="446">
        <f t="shared" si="536"/>
        <v>0</v>
      </c>
      <c r="O1352" s="446">
        <f t="shared" si="536"/>
        <v>13832939.539999999</v>
      </c>
      <c r="P1352" s="446">
        <f t="shared" si="536"/>
        <v>137619960.96000001</v>
      </c>
      <c r="Q1352" s="446">
        <f t="shared" si="536"/>
        <v>151452900.5</v>
      </c>
      <c r="R1352" s="795"/>
      <c r="S1352" s="540" t="str">
        <f t="shared" si="512"/>
        <v/>
      </c>
      <c r="T1352" s="540">
        <f t="shared" si="512"/>
        <v>0.47503782924372423</v>
      </c>
      <c r="U1352" s="540">
        <f t="shared" si="512"/>
        <v>0.30706262615887164</v>
      </c>
      <c r="V1352" s="540">
        <f t="shared" si="511"/>
        <v>0.32673866730758055</v>
      </c>
      <c r="W1352" s="298"/>
      <c r="X1352" s="237" t="s">
        <v>598</v>
      </c>
      <c r="Y1352" s="840" t="s">
        <v>598</v>
      </c>
      <c r="Z1352" s="255" t="s">
        <v>598</v>
      </c>
    </row>
    <row r="1353" spans="1:29" s="272" customFormat="1" ht="12" customHeight="1">
      <c r="A1353" s="246" t="s">
        <v>273</v>
      </c>
      <c r="B1353" s="246" t="s">
        <v>863</v>
      </c>
      <c r="C1353" s="426"/>
      <c r="D1353" s="426" t="s">
        <v>98</v>
      </c>
      <c r="E1353" s="427" t="s">
        <v>713</v>
      </c>
      <c r="F1353" s="428"/>
      <c r="G1353" s="428"/>
      <c r="H1353" s="428"/>
      <c r="I1353" s="428"/>
      <c r="J1353" s="428"/>
      <c r="K1353" s="428"/>
      <c r="L1353" s="428"/>
      <c r="M1353" s="428"/>
      <c r="N1353" s="428"/>
      <c r="O1353" s="428"/>
      <c r="P1353" s="428"/>
      <c r="Q1353" s="428"/>
      <c r="R1353" s="763"/>
      <c r="S1353" s="263" t="str">
        <f t="shared" si="512"/>
        <v/>
      </c>
      <c r="T1353" s="263" t="str">
        <f t="shared" si="512"/>
        <v/>
      </c>
      <c r="U1353" s="263" t="str">
        <f t="shared" si="512"/>
        <v/>
      </c>
      <c r="V1353" s="263" t="str">
        <f t="shared" si="511"/>
        <v/>
      </c>
      <c r="W1353" s="297"/>
      <c r="X1353" s="237" t="s">
        <v>598</v>
      </c>
      <c r="Y1353" s="838" t="s">
        <v>598</v>
      </c>
      <c r="Z1353" s="277"/>
    </row>
    <row r="1354" spans="1:29" ht="12.75" customHeight="1">
      <c r="A1354" s="93" t="s">
        <v>280</v>
      </c>
      <c r="B1354" s="363" t="s">
        <v>281</v>
      </c>
      <c r="C1354" s="456"/>
      <c r="D1354" s="330"/>
      <c r="E1354" s="1107" t="s">
        <v>455</v>
      </c>
      <c r="F1354" s="404">
        <f>+F1319</f>
        <v>0</v>
      </c>
      <c r="G1354" s="404">
        <f>+G1319</f>
        <v>22739619</v>
      </c>
      <c r="H1354" s="404">
        <f>+H1319</f>
        <v>198603750</v>
      </c>
      <c r="I1354" s="103">
        <f>SUM(F1354:H1354)</f>
        <v>221343369</v>
      </c>
      <c r="J1354" s="404">
        <f t="shared" ref="J1354:L1357" si="537">+J1319</f>
        <v>0</v>
      </c>
      <c r="K1354" s="404">
        <f t="shared" si="537"/>
        <v>9761980.5</v>
      </c>
      <c r="L1354" s="404">
        <f t="shared" si="537"/>
        <v>60983789.039999999</v>
      </c>
      <c r="M1354" s="103">
        <f>SUM(J1354:L1354)</f>
        <v>70745769.539999992</v>
      </c>
      <c r="N1354" s="103">
        <f t="shared" ref="N1354:P1357" si="538">+F1354-J1354</f>
        <v>0</v>
      </c>
      <c r="O1354" s="103">
        <f t="shared" si="538"/>
        <v>12977638.5</v>
      </c>
      <c r="P1354" s="103">
        <f t="shared" si="538"/>
        <v>137619960.96000001</v>
      </c>
      <c r="Q1354" s="103">
        <f>SUM(N1354:P1354)</f>
        <v>150597599.46000001</v>
      </c>
      <c r="R1354" s="796"/>
      <c r="S1354" s="267" t="str">
        <f t="shared" si="512"/>
        <v/>
      </c>
      <c r="T1354" s="267">
        <f t="shared" si="512"/>
        <v>0.42929393408042588</v>
      </c>
      <c r="U1354" s="267">
        <f t="shared" si="512"/>
        <v>0.30706262615887164</v>
      </c>
      <c r="V1354" s="267">
        <f t="shared" si="511"/>
        <v>0.31962000876565672</v>
      </c>
      <c r="W1354" s="330"/>
      <c r="X1354" s="237" t="s">
        <v>598</v>
      </c>
      <c r="Y1354" s="842" t="s">
        <v>598</v>
      </c>
    </row>
    <row r="1355" spans="1:29" ht="12.75" customHeight="1">
      <c r="A1355" s="93" t="s">
        <v>280</v>
      </c>
      <c r="B1355" s="363" t="s">
        <v>281</v>
      </c>
      <c r="C1355" s="456"/>
      <c r="D1355" s="330"/>
      <c r="E1355" s="459" t="s">
        <v>867</v>
      </c>
      <c r="F1355" s="404">
        <f t="shared" ref="F1355:H1357" si="539">+F1320</f>
        <v>0</v>
      </c>
      <c r="G1355" s="404">
        <f t="shared" si="539"/>
        <v>521592.04</v>
      </c>
      <c r="H1355" s="404">
        <f t="shared" si="539"/>
        <v>0</v>
      </c>
      <c r="I1355" s="103">
        <f>SUM(F1355:H1355)</f>
        <v>521592.04</v>
      </c>
      <c r="J1355" s="404">
        <f t="shared" si="537"/>
        <v>0</v>
      </c>
      <c r="K1355" s="404">
        <f t="shared" si="537"/>
        <v>0</v>
      </c>
      <c r="L1355" s="404">
        <f t="shared" si="537"/>
        <v>0</v>
      </c>
      <c r="M1355" s="103">
        <f>SUM(J1355:L1355)</f>
        <v>0</v>
      </c>
      <c r="N1355" s="103">
        <f t="shared" si="538"/>
        <v>0</v>
      </c>
      <c r="O1355" s="103">
        <f t="shared" si="538"/>
        <v>521592.04</v>
      </c>
      <c r="P1355" s="103">
        <f t="shared" si="538"/>
        <v>0</v>
      </c>
      <c r="Q1355" s="103">
        <f>SUM(N1355:P1355)</f>
        <v>521592.04</v>
      </c>
      <c r="R1355" s="796"/>
      <c r="S1355" s="267" t="str">
        <f t="shared" si="512"/>
        <v/>
      </c>
      <c r="T1355" s="267">
        <f t="shared" si="512"/>
        <v>0</v>
      </c>
      <c r="U1355" s="267" t="str">
        <f t="shared" si="512"/>
        <v/>
      </c>
      <c r="V1355" s="267">
        <f t="shared" si="511"/>
        <v>0</v>
      </c>
      <c r="W1355" s="330"/>
      <c r="X1355" s="237" t="s">
        <v>598</v>
      </c>
      <c r="Y1355" s="842" t="s">
        <v>598</v>
      </c>
    </row>
    <row r="1356" spans="1:29" ht="12.75" customHeight="1">
      <c r="A1356" s="93" t="s">
        <v>280</v>
      </c>
      <c r="B1356" s="363" t="s">
        <v>281</v>
      </c>
      <c r="C1356" s="456"/>
      <c r="D1356" s="330"/>
      <c r="E1356" s="1107" t="s">
        <v>769</v>
      </c>
      <c r="F1356" s="404">
        <f t="shared" si="539"/>
        <v>0</v>
      </c>
      <c r="G1356" s="404">
        <f t="shared" si="539"/>
        <v>2755759.83</v>
      </c>
      <c r="H1356" s="404">
        <f t="shared" si="539"/>
        <v>0</v>
      </c>
      <c r="I1356" s="103">
        <f>SUM(F1356:H1356)</f>
        <v>2755759.83</v>
      </c>
      <c r="J1356" s="404">
        <f t="shared" si="537"/>
        <v>0</v>
      </c>
      <c r="K1356" s="404">
        <f t="shared" si="537"/>
        <v>2755434.9199999995</v>
      </c>
      <c r="L1356" s="404">
        <f t="shared" si="537"/>
        <v>0</v>
      </c>
      <c r="M1356" s="103">
        <f>SUM(J1356:L1356)</f>
        <v>2755434.9199999995</v>
      </c>
      <c r="N1356" s="103">
        <f t="shared" si="538"/>
        <v>0</v>
      </c>
      <c r="O1356" s="103">
        <f t="shared" si="538"/>
        <v>324.91000000061467</v>
      </c>
      <c r="P1356" s="103">
        <f t="shared" si="538"/>
        <v>0</v>
      </c>
      <c r="Q1356" s="103">
        <f>SUM(N1356:P1356)</f>
        <v>324.91000000061467</v>
      </c>
      <c r="R1356" s="796"/>
      <c r="S1356" s="267" t="str">
        <f t="shared" si="512"/>
        <v/>
      </c>
      <c r="T1356" s="267">
        <f t="shared" si="512"/>
        <v>0.99988209785320781</v>
      </c>
      <c r="U1356" s="267" t="str">
        <f t="shared" si="512"/>
        <v/>
      </c>
      <c r="V1356" s="267">
        <f t="shared" si="511"/>
        <v>0.99988209785320781</v>
      </c>
      <c r="W1356" s="330"/>
      <c r="X1356" s="237" t="s">
        <v>598</v>
      </c>
      <c r="Y1356" s="842" t="s">
        <v>598</v>
      </c>
    </row>
    <row r="1357" spans="1:29" ht="12.75" customHeight="1">
      <c r="A1357" s="93" t="s">
        <v>280</v>
      </c>
      <c r="B1357" s="363" t="s">
        <v>281</v>
      </c>
      <c r="C1357" s="456"/>
      <c r="D1357" s="330"/>
      <c r="E1357" s="1107" t="s">
        <v>868</v>
      </c>
      <c r="F1357" s="404">
        <f t="shared" si="539"/>
        <v>0</v>
      </c>
      <c r="G1357" s="404">
        <f t="shared" si="539"/>
        <v>333384.09000000003</v>
      </c>
      <c r="H1357" s="404">
        <f t="shared" si="539"/>
        <v>0</v>
      </c>
      <c r="I1357" s="103">
        <f>SUM(F1357:H1357)</f>
        <v>333384.09000000003</v>
      </c>
      <c r="J1357" s="404">
        <f t="shared" si="537"/>
        <v>0</v>
      </c>
      <c r="K1357" s="404">
        <f t="shared" si="537"/>
        <v>0</v>
      </c>
      <c r="L1357" s="404">
        <f t="shared" si="537"/>
        <v>0</v>
      </c>
      <c r="M1357" s="103">
        <f>SUM(J1357:L1357)</f>
        <v>0</v>
      </c>
      <c r="N1357" s="103">
        <f t="shared" si="538"/>
        <v>0</v>
      </c>
      <c r="O1357" s="103">
        <f t="shared" si="538"/>
        <v>333384.09000000003</v>
      </c>
      <c r="P1357" s="103">
        <f t="shared" si="538"/>
        <v>0</v>
      </c>
      <c r="Q1357" s="103">
        <f>SUM(N1357:P1357)</f>
        <v>333384.09000000003</v>
      </c>
      <c r="R1357" s="796"/>
      <c r="S1357" s="267" t="str">
        <f t="shared" si="512"/>
        <v/>
      </c>
      <c r="T1357" s="267">
        <f t="shared" si="512"/>
        <v>0</v>
      </c>
      <c r="U1357" s="267" t="str">
        <f t="shared" si="512"/>
        <v/>
      </c>
      <c r="V1357" s="267">
        <f t="shared" si="511"/>
        <v>0</v>
      </c>
      <c r="W1357" s="330"/>
      <c r="X1357" s="237" t="s">
        <v>598</v>
      </c>
      <c r="Y1357" s="842" t="s">
        <v>598</v>
      </c>
    </row>
    <row r="1358" spans="1:29" ht="16.5" hidden="1" customHeight="1">
      <c r="A1358" s="291"/>
      <c r="B1358" s="291"/>
      <c r="C1358" s="410"/>
      <c r="D1358" s="386"/>
      <c r="E1358" s="1107"/>
      <c r="F1358" s="104"/>
      <c r="G1358" s="104"/>
      <c r="H1358" s="104"/>
      <c r="I1358" s="103"/>
      <c r="J1358" s="104"/>
      <c r="K1358" s="104"/>
      <c r="L1358" s="104"/>
      <c r="M1358" s="103"/>
      <c r="N1358" s="104"/>
      <c r="O1358" s="104"/>
      <c r="P1358" s="104"/>
      <c r="Q1358" s="103"/>
      <c r="S1358" s="267" t="str">
        <f t="shared" si="512"/>
        <v/>
      </c>
      <c r="T1358" s="267" t="str">
        <f t="shared" si="512"/>
        <v/>
      </c>
      <c r="U1358" s="267" t="str">
        <f t="shared" si="512"/>
        <v/>
      </c>
      <c r="V1358" s="267" t="str">
        <f t="shared" si="511"/>
        <v/>
      </c>
      <c r="W1358" s="254"/>
      <c r="X1358" s="237" t="s">
        <v>598</v>
      </c>
    </row>
    <row r="1359" spans="1:29" s="314" customFormat="1" ht="15" customHeight="1">
      <c r="A1359" s="312" t="s">
        <v>284</v>
      </c>
      <c r="B1359" s="313" t="s">
        <v>285</v>
      </c>
      <c r="C1359" s="444"/>
      <c r="D1359" s="444" t="s">
        <v>98</v>
      </c>
      <c r="E1359" s="445" t="s">
        <v>100</v>
      </c>
      <c r="F1359" s="446">
        <f>SUM(F1360:F1361)</f>
        <v>0</v>
      </c>
      <c r="G1359" s="446">
        <f t="shared" ref="G1359:Q1359" si="540">SUM(G1360:G1361)</f>
        <v>370386686.83000004</v>
      </c>
      <c r="H1359" s="446">
        <f t="shared" si="540"/>
        <v>39702900</v>
      </c>
      <c r="I1359" s="446">
        <f t="shared" si="540"/>
        <v>410089586.83000004</v>
      </c>
      <c r="J1359" s="446">
        <f t="shared" si="540"/>
        <v>0</v>
      </c>
      <c r="K1359" s="446">
        <f t="shared" si="540"/>
        <v>320766875.35999995</v>
      </c>
      <c r="L1359" s="446">
        <f t="shared" si="540"/>
        <v>13586000</v>
      </c>
      <c r="M1359" s="446">
        <f t="shared" si="540"/>
        <v>334352875.35999995</v>
      </c>
      <c r="N1359" s="446">
        <f t="shared" si="540"/>
        <v>0</v>
      </c>
      <c r="O1359" s="446">
        <f t="shared" si="540"/>
        <v>49619811.470000081</v>
      </c>
      <c r="P1359" s="446">
        <f t="shared" si="540"/>
        <v>26116900</v>
      </c>
      <c r="Q1359" s="446">
        <f t="shared" si="540"/>
        <v>75736711.470000088</v>
      </c>
      <c r="R1359" s="795"/>
      <c r="S1359" s="540" t="str">
        <f t="shared" si="512"/>
        <v/>
      </c>
      <c r="T1359" s="540">
        <f t="shared" si="512"/>
        <v>0.86603241089824978</v>
      </c>
      <c r="U1359" s="540">
        <f t="shared" si="512"/>
        <v>0.34219162831934191</v>
      </c>
      <c r="V1359" s="540">
        <f t="shared" si="511"/>
        <v>0.8153166676202479</v>
      </c>
      <c r="W1359" s="298"/>
      <c r="X1359" s="237" t="s">
        <v>598</v>
      </c>
      <c r="Y1359" s="840" t="s">
        <v>598</v>
      </c>
      <c r="Z1359" s="241" t="s">
        <v>598</v>
      </c>
    </row>
    <row r="1360" spans="1:29" ht="12.75" customHeight="1">
      <c r="A1360" s="291" t="s">
        <v>284</v>
      </c>
      <c r="B1360" s="371" t="s">
        <v>285</v>
      </c>
      <c r="C1360" s="1110"/>
      <c r="D1360" s="510"/>
      <c r="E1360" s="462" t="s">
        <v>290</v>
      </c>
      <c r="F1360" s="104">
        <f>+F1326+F1330+F1334+F1339</f>
        <v>0</v>
      </c>
      <c r="G1360" s="104">
        <f>+G1326+G1330+G1334+G1339</f>
        <v>357485537.83000004</v>
      </c>
      <c r="H1360" s="104">
        <f>+H1326+H1330+H1334+H1339</f>
        <v>39702900</v>
      </c>
      <c r="I1360" s="104">
        <f>SUM(F1360:H1360)</f>
        <v>397188437.83000004</v>
      </c>
      <c r="J1360" s="104">
        <f>+J1326+J1330+J1334+J1339</f>
        <v>0</v>
      </c>
      <c r="K1360" s="104">
        <f>+K1326+K1330+K1334+K1339</f>
        <v>309061868.78999996</v>
      </c>
      <c r="L1360" s="104">
        <f>+L1326+L1330+L1334+L1339</f>
        <v>13586000</v>
      </c>
      <c r="M1360" s="104">
        <f>SUM(J1360:L1360)</f>
        <v>322647868.78999996</v>
      </c>
      <c r="N1360" s="104">
        <f t="shared" ref="N1360:P1361" si="541">+F1360-J1360</f>
        <v>0</v>
      </c>
      <c r="O1360" s="104">
        <f t="shared" si="541"/>
        <v>48423669.040000081</v>
      </c>
      <c r="P1360" s="104">
        <f t="shared" si="541"/>
        <v>26116900</v>
      </c>
      <c r="Q1360" s="104">
        <f>SUM(N1360:P1360)</f>
        <v>74540569.040000081</v>
      </c>
      <c r="S1360" s="267" t="str">
        <f t="shared" si="512"/>
        <v/>
      </c>
      <c r="T1360" s="267">
        <f t="shared" si="512"/>
        <v>0.86454369781239193</v>
      </c>
      <c r="U1360" s="267">
        <f t="shared" si="512"/>
        <v>0.34219162831934191</v>
      </c>
      <c r="V1360" s="267">
        <f t="shared" si="511"/>
        <v>0.81232945891565944</v>
      </c>
      <c r="W1360" s="254"/>
      <c r="X1360" s="237" t="s">
        <v>598</v>
      </c>
      <c r="Y1360" s="837" t="s">
        <v>598</v>
      </c>
    </row>
    <row r="1361" spans="1:28" ht="12" customHeight="1">
      <c r="A1361" s="315"/>
      <c r="B1361" s="315"/>
      <c r="C1361" s="456"/>
      <c r="D1361" s="511"/>
      <c r="E1361" s="729" t="s">
        <v>851</v>
      </c>
      <c r="F1361" s="104">
        <f>+F1335</f>
        <v>0</v>
      </c>
      <c r="G1361" s="104">
        <f>+G1335</f>
        <v>12901149</v>
      </c>
      <c r="H1361" s="104">
        <f>+H1335</f>
        <v>0</v>
      </c>
      <c r="I1361" s="104">
        <f>SUM(F1361:H1361)</f>
        <v>12901149</v>
      </c>
      <c r="J1361" s="104">
        <f>+J1335</f>
        <v>0</v>
      </c>
      <c r="K1361" s="104">
        <f>+K1335</f>
        <v>11705006.57</v>
      </c>
      <c r="L1361" s="104">
        <f>+L1335</f>
        <v>0</v>
      </c>
      <c r="M1361" s="104">
        <f>SUM(J1361:L1361)</f>
        <v>11705006.57</v>
      </c>
      <c r="N1361" s="104">
        <f t="shared" si="541"/>
        <v>0</v>
      </c>
      <c r="O1361" s="104">
        <f t="shared" si="541"/>
        <v>1196142.4299999997</v>
      </c>
      <c r="P1361" s="104">
        <f t="shared" si="541"/>
        <v>0</v>
      </c>
      <c r="Q1361" s="104">
        <f>SUM(N1361:P1361)</f>
        <v>1196142.4299999997</v>
      </c>
      <c r="S1361" s="267" t="str">
        <f t="shared" si="512"/>
        <v/>
      </c>
      <c r="T1361" s="267">
        <f t="shared" si="512"/>
        <v>0.90728403880925645</v>
      </c>
      <c r="U1361" s="267" t="str">
        <f t="shared" si="512"/>
        <v/>
      </c>
      <c r="V1361" s="267">
        <f t="shared" si="511"/>
        <v>0.90728403880925645</v>
      </c>
      <c r="W1361" s="267"/>
      <c r="X1361" s="237" t="s">
        <v>598</v>
      </c>
      <c r="Y1361" s="837" t="s">
        <v>598</v>
      </c>
    </row>
    <row r="1362" spans="1:28" s="266" customFormat="1" ht="24.75" customHeight="1">
      <c r="A1362" s="292" t="s">
        <v>284</v>
      </c>
      <c r="B1362" s="292" t="s">
        <v>285</v>
      </c>
      <c r="C1362" s="1416" t="s">
        <v>712</v>
      </c>
      <c r="D1362" s="1417"/>
      <c r="E1362" s="1418"/>
      <c r="F1362" s="421">
        <f>+F1359+F1352</f>
        <v>0</v>
      </c>
      <c r="G1362" s="421">
        <f t="shared" ref="G1362:Q1362" si="542">+G1359+G1352</f>
        <v>396737041.79000002</v>
      </c>
      <c r="H1362" s="421">
        <f t="shared" si="542"/>
        <v>238306650</v>
      </c>
      <c r="I1362" s="421">
        <f t="shared" si="542"/>
        <v>635043691.79000008</v>
      </c>
      <c r="J1362" s="421">
        <f t="shared" si="542"/>
        <v>0</v>
      </c>
      <c r="K1362" s="421">
        <f t="shared" si="542"/>
        <v>333284290.77999997</v>
      </c>
      <c r="L1362" s="421">
        <f t="shared" si="542"/>
        <v>74569789.039999992</v>
      </c>
      <c r="M1362" s="421">
        <f t="shared" si="542"/>
        <v>407854079.81999993</v>
      </c>
      <c r="N1362" s="421">
        <f t="shared" si="542"/>
        <v>0</v>
      </c>
      <c r="O1362" s="421">
        <f t="shared" si="542"/>
        <v>63452751.01000008</v>
      </c>
      <c r="P1362" s="421">
        <f t="shared" si="542"/>
        <v>163736860.96000001</v>
      </c>
      <c r="Q1362" s="421">
        <f t="shared" si="542"/>
        <v>227189611.97000009</v>
      </c>
      <c r="R1362" s="798">
        <f>+R1352+R1357</f>
        <v>0</v>
      </c>
      <c r="S1362" s="525" t="str">
        <f t="shared" si="512"/>
        <v/>
      </c>
      <c r="T1362" s="525">
        <f t="shared" si="512"/>
        <v>0.84006345683348937</v>
      </c>
      <c r="U1362" s="525">
        <f t="shared" si="512"/>
        <v>0.31291526711487067</v>
      </c>
      <c r="V1362" s="525">
        <f t="shared" si="511"/>
        <v>0.64224569914296781</v>
      </c>
      <c r="W1362" s="370"/>
      <c r="X1362" s="237" t="s">
        <v>598</v>
      </c>
      <c r="Y1362" s="837" t="s">
        <v>598</v>
      </c>
      <c r="Z1362" s="241" t="s">
        <v>598</v>
      </c>
      <c r="AA1362" s="311"/>
      <c r="AB1362" s="311"/>
    </row>
    <row r="1363" spans="1:28" s="301" customFormat="1" ht="22.5" customHeight="1">
      <c r="A1363" s="291" t="s">
        <v>284</v>
      </c>
      <c r="B1363" s="291" t="s">
        <v>285</v>
      </c>
      <c r="C1363" s="429" t="s">
        <v>291</v>
      </c>
      <c r="D1363" s="429"/>
      <c r="E1363" s="430"/>
      <c r="F1363" s="431">
        <f>+F1362+F1349</f>
        <v>0</v>
      </c>
      <c r="G1363" s="431">
        <f t="shared" ref="G1363:Q1363" si="543">+G1362+G1349</f>
        <v>1655646107.5499992</v>
      </c>
      <c r="H1363" s="431">
        <f t="shared" si="543"/>
        <v>4708948983.6199999</v>
      </c>
      <c r="I1363" s="431">
        <f t="shared" si="543"/>
        <v>6364595091.1700001</v>
      </c>
      <c r="J1363" s="431">
        <f t="shared" si="543"/>
        <v>0</v>
      </c>
      <c r="K1363" s="431">
        <f t="shared" si="543"/>
        <v>1260057175.01</v>
      </c>
      <c r="L1363" s="431">
        <f t="shared" si="543"/>
        <v>2273130034.1499996</v>
      </c>
      <c r="M1363" s="431">
        <f t="shared" si="543"/>
        <v>3533187209.1599998</v>
      </c>
      <c r="N1363" s="431">
        <f t="shared" si="543"/>
        <v>0</v>
      </c>
      <c r="O1363" s="431">
        <f t="shared" si="543"/>
        <v>395588932.53999937</v>
      </c>
      <c r="P1363" s="431">
        <f t="shared" si="543"/>
        <v>2435818949.4700003</v>
      </c>
      <c r="Q1363" s="431">
        <f t="shared" si="543"/>
        <v>2831407882.0099998</v>
      </c>
      <c r="R1363" s="1108"/>
      <c r="S1363" s="537" t="str">
        <f t="shared" si="512"/>
        <v/>
      </c>
      <c r="T1363" s="537">
        <f t="shared" si="512"/>
        <v>0.76106673356337851</v>
      </c>
      <c r="U1363" s="537">
        <f t="shared" si="512"/>
        <v>0.48272555979201398</v>
      </c>
      <c r="V1363" s="537">
        <f t="shared" si="511"/>
        <v>0.55513149831979269</v>
      </c>
      <c r="W1363" s="300"/>
      <c r="X1363" s="237" t="s">
        <v>598</v>
      </c>
      <c r="Y1363" s="837" t="s">
        <v>598</v>
      </c>
      <c r="Z1363" s="241" t="s">
        <v>598</v>
      </c>
    </row>
    <row r="1364" spans="1:28" s="382" customFormat="1" ht="12.75">
      <c r="A1364" s="378"/>
      <c r="B1364" s="378"/>
      <c r="C1364" s="379"/>
      <c r="D1364" s="380"/>
      <c r="E1364" s="380"/>
      <c r="F1364" s="541"/>
      <c r="G1364" s="541"/>
      <c r="H1364" s="541"/>
      <c r="I1364" s="541"/>
      <c r="J1364" s="541"/>
      <c r="K1364" s="541"/>
      <c r="L1364" s="541"/>
      <c r="M1364" s="541"/>
      <c r="N1364" s="541"/>
      <c r="O1364" s="541"/>
      <c r="P1364" s="541"/>
      <c r="Q1364" s="541"/>
      <c r="R1364" s="799"/>
      <c r="S1364" s="381"/>
      <c r="T1364" s="381"/>
      <c r="U1364" s="381"/>
      <c r="V1364" s="381"/>
      <c r="X1364" s="1395"/>
      <c r="Y1364" s="1396" t="s">
        <v>598</v>
      </c>
      <c r="Z1364" s="1397"/>
    </row>
    <row r="1365" spans="1:28" s="385" customFormat="1" ht="15">
      <c r="A1365" s="378"/>
      <c r="B1365" s="378"/>
      <c r="C1365" s="578" t="s">
        <v>881</v>
      </c>
      <c r="D1365" s="384"/>
      <c r="E1365" s="384"/>
      <c r="F1365" s="542"/>
      <c r="G1365" s="542"/>
      <c r="H1365" s="542"/>
      <c r="I1365" s="542"/>
      <c r="J1365" s="542"/>
      <c r="K1365" s="542"/>
      <c r="L1365" s="542"/>
      <c r="M1365" s="542"/>
      <c r="N1365" s="542"/>
      <c r="O1365" s="542"/>
      <c r="P1365" s="542"/>
      <c r="Q1365" s="1184">
        <f>+Q1363-[3]CONAP!$Q$1363</f>
        <v>0</v>
      </c>
      <c r="R1365" s="800"/>
      <c r="S1365" s="381"/>
      <c r="T1365" s="381"/>
      <c r="U1365" s="381"/>
      <c r="V1365" s="381"/>
      <c r="X1365" s="1398"/>
      <c r="Y1365" s="1396" t="s">
        <v>598</v>
      </c>
      <c r="Z1365" s="1399"/>
    </row>
    <row r="1366" spans="1:28" s="144" customFormat="1" ht="12" customHeight="1">
      <c r="C1366" s="1253" t="s">
        <v>1121</v>
      </c>
      <c r="D1366" s="554" t="s">
        <v>869</v>
      </c>
      <c r="E1366" s="555"/>
      <c r="Q1366" s="145">
        <f>+Q1363-[3]CONAP!$Q$1363</f>
        <v>0</v>
      </c>
      <c r="R1366" s="556"/>
      <c r="X1366" s="237" t="s">
        <v>598</v>
      </c>
      <c r="Y1366" s="1396" t="s">
        <v>598</v>
      </c>
      <c r="Z1366" s="261" t="s">
        <v>598</v>
      </c>
    </row>
    <row r="1367" spans="1:28" s="95" customFormat="1" ht="12" customHeight="1">
      <c r="D1367" s="557"/>
      <c r="E1367" s="847"/>
      <c r="Q1367" s="145"/>
      <c r="R1367" s="760"/>
      <c r="X1367" s="237" t="s">
        <v>598</v>
      </c>
      <c r="Y1367" s="837" t="s">
        <v>598</v>
      </c>
      <c r="Z1367" s="241" t="s">
        <v>598</v>
      </c>
    </row>
    <row r="1368" spans="1:28" s="95" customFormat="1" ht="12" customHeight="1">
      <c r="E1368" s="558"/>
      <c r="R1368" s="760"/>
      <c r="X1368" s="237" t="s">
        <v>598</v>
      </c>
      <c r="Y1368" s="837" t="s">
        <v>598</v>
      </c>
      <c r="Z1368" s="241" t="s">
        <v>598</v>
      </c>
    </row>
    <row r="1369" spans="1:28" s="356" customFormat="1" ht="12" customHeight="1">
      <c r="A1369" s="91"/>
      <c r="B1369" s="91"/>
      <c r="D1369" s="91"/>
      <c r="E1369" s="1054"/>
      <c r="F1369" s="356" t="s">
        <v>416</v>
      </c>
      <c r="G1369" s="1007"/>
      <c r="H1369" s="1007"/>
      <c r="I1369" s="1007"/>
      <c r="J1369" s="1007"/>
      <c r="L1369" s="1007"/>
      <c r="M1369" s="1007"/>
      <c r="N1369" s="1007"/>
      <c r="O1369" s="356" t="s">
        <v>292</v>
      </c>
      <c r="P1369" s="1007"/>
      <c r="Q1369" s="1007"/>
      <c r="R1369" s="796"/>
      <c r="S1369" s="1007"/>
      <c r="T1369" s="1007"/>
      <c r="U1369" s="1007"/>
      <c r="W1369" s="91"/>
      <c r="X1369" s="237" t="s">
        <v>598</v>
      </c>
      <c r="Y1369" s="837" t="s">
        <v>598</v>
      </c>
      <c r="Z1369" s="241" t="s">
        <v>598</v>
      </c>
    </row>
    <row r="1370" spans="1:28" s="356" customFormat="1" ht="12" customHeight="1">
      <c r="A1370" s="91"/>
      <c r="B1370" s="91"/>
      <c r="D1370" s="91"/>
      <c r="E1370" s="1055"/>
      <c r="F1370" s="1007"/>
      <c r="G1370" s="1007"/>
      <c r="H1370" s="1007"/>
      <c r="I1370" s="1007"/>
      <c r="J1370" s="1007"/>
      <c r="L1370" s="1007"/>
      <c r="M1370" s="1007"/>
      <c r="N1370" s="1007"/>
      <c r="P1370" s="1007"/>
      <c r="Q1370" s="1007"/>
      <c r="R1370" s="796"/>
      <c r="S1370" s="1007"/>
      <c r="T1370" s="1007"/>
      <c r="U1370" s="1007"/>
      <c r="V1370" s="1007"/>
      <c r="W1370" s="92"/>
      <c r="X1370" s="237" t="s">
        <v>598</v>
      </c>
      <c r="Y1370" s="837" t="s">
        <v>598</v>
      </c>
      <c r="Z1370" s="241" t="s">
        <v>598</v>
      </c>
    </row>
    <row r="1371" spans="1:28" ht="12" customHeight="1">
      <c r="A1371" s="93"/>
      <c r="B1371" s="93"/>
      <c r="C1371" s="236"/>
      <c r="D1371" s="93"/>
      <c r="E1371" s="545"/>
      <c r="H1371" s="1007"/>
      <c r="I1371" s="276"/>
      <c r="L1371" s="1007"/>
      <c r="M1371" s="276"/>
      <c r="Q1371" s="276"/>
      <c r="W1371" s="93"/>
      <c r="X1371" s="237" t="s">
        <v>598</v>
      </c>
      <c r="Y1371" s="837" t="s">
        <v>598</v>
      </c>
      <c r="Z1371" s="241" t="s">
        <v>598</v>
      </c>
    </row>
    <row r="1372" spans="1:28" ht="12" customHeight="1">
      <c r="A1372" s="93"/>
      <c r="B1372" s="93"/>
      <c r="C1372" s="1051"/>
      <c r="D1372" s="93"/>
      <c r="E1372" s="545"/>
      <c r="F1372" s="1050" t="s">
        <v>417</v>
      </c>
      <c r="I1372" s="276"/>
      <c r="M1372" s="276"/>
      <c r="O1372" s="1051" t="s">
        <v>293</v>
      </c>
      <c r="Q1372" s="276"/>
      <c r="W1372" s="93"/>
      <c r="X1372" s="237" t="s">
        <v>598</v>
      </c>
      <c r="Y1372" s="837" t="s">
        <v>598</v>
      </c>
      <c r="Z1372" s="241" t="s">
        <v>598</v>
      </c>
    </row>
    <row r="1373" spans="1:28" ht="12" customHeight="1">
      <c r="A1373" s="93"/>
      <c r="B1373" s="93"/>
      <c r="C1373" s="236"/>
      <c r="D1373" s="93"/>
      <c r="E1373" s="545"/>
      <c r="F1373" s="1052" t="s">
        <v>418</v>
      </c>
      <c r="O1373" s="236" t="s">
        <v>294</v>
      </c>
      <c r="W1373" s="93"/>
      <c r="X1373" s="237" t="s">
        <v>598</v>
      </c>
      <c r="Y1373" s="837" t="s">
        <v>598</v>
      </c>
      <c r="Z1373" s="241" t="s">
        <v>598</v>
      </c>
    </row>
    <row r="1374" spans="1:28" ht="12" customHeight="1">
      <c r="C1374" s="236"/>
      <c r="E1374" s="545"/>
      <c r="F1374" s="276"/>
      <c r="G1374" s="276"/>
      <c r="H1374" s="276"/>
      <c r="I1374" s="276"/>
      <c r="J1374" s="276"/>
      <c r="K1374" s="276"/>
      <c r="L1374" s="276"/>
      <c r="X1374" s="237" t="s">
        <v>598</v>
      </c>
      <c r="Y1374" s="837" t="s">
        <v>598</v>
      </c>
      <c r="Z1374" s="241" t="s">
        <v>598</v>
      </c>
    </row>
    <row r="1375" spans="1:28" ht="12" hidden="1" customHeight="1">
      <c r="Q1375" s="276"/>
    </row>
    <row r="1376" spans="1:28" s="239" customFormat="1" ht="12" hidden="1" customHeight="1">
      <c r="A1376" s="372"/>
      <c r="B1376" s="372"/>
      <c r="D1376" s="559"/>
      <c r="E1376" s="1111" t="s">
        <v>457</v>
      </c>
      <c r="F1376" s="563">
        <f>+F1281+F1287+F1294+F1300+F1309</f>
        <v>0</v>
      </c>
      <c r="G1376" s="563">
        <f>+G1281+G1287+G1294+G1300+G1309</f>
        <v>94417331.580000013</v>
      </c>
      <c r="H1376" s="563">
        <f>+H1281+H1287+H1294+H1300+H1309</f>
        <v>197697612</v>
      </c>
      <c r="I1376" s="563">
        <f>SUM(F1376:H1376)</f>
        <v>292114943.58000004</v>
      </c>
      <c r="J1376" s="563">
        <f>+J1281+J1287+J1294+J1300+J1309</f>
        <v>0</v>
      </c>
      <c r="K1376" s="563">
        <f>+K1281+K1287+K1294+K1300+K1309</f>
        <v>60608599.920000002</v>
      </c>
      <c r="L1376" s="563">
        <f>+L1281+L1287+L1294+L1300+L1309</f>
        <v>77695023.030000001</v>
      </c>
      <c r="M1376" s="563">
        <f>SUM(J1376:L1376)</f>
        <v>138303622.94999999</v>
      </c>
      <c r="N1376" s="563">
        <f t="shared" ref="N1376:P1379" si="544">+F1376-J1376</f>
        <v>0</v>
      </c>
      <c r="O1376" s="801">
        <f t="shared" si="544"/>
        <v>33808731.660000011</v>
      </c>
      <c r="P1376" s="563">
        <f t="shared" si="544"/>
        <v>120002588.97</v>
      </c>
      <c r="Q1376" s="563">
        <f>SUM(N1376:P1376)</f>
        <v>153811320.63</v>
      </c>
      <c r="R1376" s="760"/>
      <c r="S1376" s="1112" t="str">
        <f>IF(F1376=0,"",J1376/F1376)</f>
        <v/>
      </c>
      <c r="T1376" s="1112">
        <f>IF(G1376=0,"",K1376/G1376)</f>
        <v>0.64192239820552655</v>
      </c>
      <c r="U1376" s="1112">
        <f>IF(H1376=0,"",L1376/H1376)</f>
        <v>0.39299929950595458</v>
      </c>
      <c r="V1376" s="1112">
        <f>IF(I1376=0,"",M1376/I1376)</f>
        <v>0.47345617192680001</v>
      </c>
      <c r="W1376" s="318"/>
      <c r="X1376" s="848"/>
      <c r="Y1376" s="837"/>
      <c r="Z1376" s="849"/>
    </row>
    <row r="1377" spans="1:26" s="239" customFormat="1" ht="12" hidden="1" customHeight="1">
      <c r="A1377" s="372"/>
      <c r="B1377" s="372"/>
      <c r="D1377" s="559"/>
      <c r="E1377" s="1111" t="s">
        <v>886</v>
      </c>
      <c r="F1377" s="563">
        <f t="shared" ref="F1377:H1378" si="545">+F1283+F1289+F1296+F1305+F1311</f>
        <v>0</v>
      </c>
      <c r="G1377" s="563">
        <f t="shared" si="545"/>
        <v>-49296080.36999999</v>
      </c>
      <c r="H1377" s="563">
        <f t="shared" si="545"/>
        <v>96454837</v>
      </c>
      <c r="I1377" s="563">
        <f>SUM(F1377:H1377)</f>
        <v>47158756.63000001</v>
      </c>
      <c r="J1377" s="563">
        <f t="shared" ref="J1377:L1378" si="546">+J1283+J1289+J1296+J1305+J1311</f>
        <v>0</v>
      </c>
      <c r="K1377" s="563">
        <f t="shared" si="546"/>
        <v>50795936.799999997</v>
      </c>
      <c r="L1377" s="563">
        <f t="shared" si="546"/>
        <v>89087121.200000003</v>
      </c>
      <c r="M1377" s="563">
        <f>SUM(J1377:L1377)</f>
        <v>139883058</v>
      </c>
      <c r="N1377" s="563">
        <f t="shared" si="544"/>
        <v>0</v>
      </c>
      <c r="O1377" s="801">
        <f t="shared" si="544"/>
        <v>-100092017.16999999</v>
      </c>
      <c r="P1377" s="563">
        <f t="shared" si="544"/>
        <v>7367715.799999997</v>
      </c>
      <c r="Q1377" s="563">
        <f>SUM(N1377:P1377)</f>
        <v>-92724301.36999999</v>
      </c>
      <c r="R1377" s="760"/>
      <c r="S1377" s="1112"/>
      <c r="T1377" s="1112"/>
      <c r="U1377" s="1112"/>
      <c r="V1377" s="1112"/>
      <c r="W1377" s="318"/>
      <c r="X1377" s="848"/>
      <c r="Y1377" s="837"/>
      <c r="Z1377" s="849"/>
    </row>
    <row r="1378" spans="1:26" s="239" customFormat="1" ht="12" hidden="1" customHeight="1">
      <c r="A1378" s="372"/>
      <c r="B1378" s="372"/>
      <c r="D1378" s="559"/>
      <c r="E1378" s="1111" t="s">
        <v>887</v>
      </c>
      <c r="F1378" s="563">
        <f t="shared" si="545"/>
        <v>0</v>
      </c>
      <c r="G1378" s="563">
        <f t="shared" si="545"/>
        <v>762561440.22000003</v>
      </c>
      <c r="H1378" s="563">
        <f t="shared" si="545"/>
        <v>687253050.57000005</v>
      </c>
      <c r="I1378" s="563">
        <f>SUM(F1378:H1378)</f>
        <v>1449814490.79</v>
      </c>
      <c r="J1378" s="563">
        <f t="shared" si="546"/>
        <v>0</v>
      </c>
      <c r="K1378" s="563">
        <f t="shared" si="546"/>
        <v>516915033.19000006</v>
      </c>
      <c r="L1378" s="563">
        <f t="shared" si="546"/>
        <v>408562047.63999999</v>
      </c>
      <c r="M1378" s="563">
        <f>SUM(J1378:L1378)</f>
        <v>925477080.83000004</v>
      </c>
      <c r="N1378" s="563">
        <f t="shared" si="544"/>
        <v>0</v>
      </c>
      <c r="O1378" s="801">
        <f t="shared" si="544"/>
        <v>245646407.02999997</v>
      </c>
      <c r="P1378" s="563">
        <f t="shared" si="544"/>
        <v>278691002.93000007</v>
      </c>
      <c r="Q1378" s="563">
        <f>SUM(N1378:P1378)</f>
        <v>524337409.96000004</v>
      </c>
      <c r="R1378" s="760"/>
      <c r="S1378" s="1112"/>
      <c r="T1378" s="1112"/>
      <c r="U1378" s="1112"/>
      <c r="V1378" s="1112"/>
      <c r="W1378" s="318"/>
      <c r="X1378" s="848"/>
      <c r="Y1378" s="837"/>
      <c r="Z1378" s="849"/>
    </row>
    <row r="1379" spans="1:26" s="1113" customFormat="1" ht="11.25" hidden="1" customHeight="1">
      <c r="A1379" s="137"/>
      <c r="B1379" s="316"/>
      <c r="D1379" s="560"/>
      <c r="E1379" s="1114" t="s">
        <v>753</v>
      </c>
      <c r="F1379" s="1115">
        <f>+F1291</f>
        <v>0</v>
      </c>
      <c r="G1379" s="1115">
        <f>+G1291</f>
        <v>23959.56</v>
      </c>
      <c r="H1379" s="1115">
        <f>+H1291</f>
        <v>0</v>
      </c>
      <c r="I1379" s="563">
        <f>SUM(F1379:H1379)</f>
        <v>23959.56</v>
      </c>
      <c r="J1379" s="1115">
        <f>+J1291</f>
        <v>0</v>
      </c>
      <c r="K1379" s="1115">
        <f>+K1291</f>
        <v>20000</v>
      </c>
      <c r="L1379" s="1115">
        <f>+L1291</f>
        <v>0</v>
      </c>
      <c r="M1379" s="563">
        <f>SUM(J1379:L1379)</f>
        <v>20000</v>
      </c>
      <c r="N1379" s="563">
        <f t="shared" si="544"/>
        <v>0</v>
      </c>
      <c r="O1379" s="801">
        <f t="shared" si="544"/>
        <v>3959.5600000000013</v>
      </c>
      <c r="P1379" s="563">
        <f t="shared" si="544"/>
        <v>0</v>
      </c>
      <c r="Q1379" s="563">
        <f>SUM(N1379:P1379)</f>
        <v>3959.5600000000013</v>
      </c>
      <c r="R1379" s="802"/>
      <c r="S1379" s="1112" t="str">
        <f t="shared" ref="S1379:V1380" si="547">IF(F1379=0,"",J1379/F1379)</f>
        <v/>
      </c>
      <c r="T1379" s="1112">
        <f t="shared" si="547"/>
        <v>0.83473987001430738</v>
      </c>
      <c r="U1379" s="1112" t="str">
        <f t="shared" si="547"/>
        <v/>
      </c>
      <c r="V1379" s="1112">
        <f t="shared" si="547"/>
        <v>0.83473987001430738</v>
      </c>
      <c r="W1379" s="317"/>
      <c r="X1379" s="1116"/>
      <c r="Y1379" s="1117"/>
      <c r="Z1379" s="1118"/>
    </row>
    <row r="1380" spans="1:26" s="1119" customFormat="1" ht="12.75" hidden="1" customHeight="1" thickBot="1">
      <c r="A1380" s="373"/>
      <c r="B1380" s="373"/>
      <c r="D1380" s="561"/>
      <c r="E1380" s="1120" t="s">
        <v>458</v>
      </c>
      <c r="F1380" s="1121">
        <f>SUM(F1376:F1379)</f>
        <v>0</v>
      </c>
      <c r="G1380" s="1121">
        <f t="shared" ref="G1380:Q1380" si="548">SUM(G1376:G1379)</f>
        <v>807706650.99000001</v>
      </c>
      <c r="H1380" s="1121">
        <f t="shared" si="548"/>
        <v>981405499.57000005</v>
      </c>
      <c r="I1380" s="1121">
        <f t="shared" si="548"/>
        <v>1789112150.5599999</v>
      </c>
      <c r="J1380" s="1121">
        <f t="shared" si="548"/>
        <v>0</v>
      </c>
      <c r="K1380" s="1121">
        <f t="shared" si="548"/>
        <v>628339569.91000009</v>
      </c>
      <c r="L1380" s="1121">
        <f t="shared" si="548"/>
        <v>575344191.87</v>
      </c>
      <c r="M1380" s="1121">
        <f t="shared" si="548"/>
        <v>1203683761.78</v>
      </c>
      <c r="N1380" s="1121">
        <f t="shared" si="548"/>
        <v>0</v>
      </c>
      <c r="O1380" s="1121">
        <f t="shared" si="548"/>
        <v>179367081.07999998</v>
      </c>
      <c r="P1380" s="1121">
        <f t="shared" si="548"/>
        <v>406061307.70000005</v>
      </c>
      <c r="Q1380" s="1121">
        <f t="shared" si="548"/>
        <v>585428388.77999997</v>
      </c>
      <c r="R1380" s="761"/>
      <c r="S1380" s="1122" t="str">
        <f t="shared" si="547"/>
        <v/>
      </c>
      <c r="T1380" s="1122">
        <f t="shared" si="547"/>
        <v>0.77793041463735502</v>
      </c>
      <c r="U1380" s="1122">
        <f t="shared" si="547"/>
        <v>0.58624512713866528</v>
      </c>
      <c r="V1380" s="1122">
        <f t="shared" si="547"/>
        <v>0.67278273271088218</v>
      </c>
      <c r="W1380" s="318"/>
      <c r="X1380" s="1123"/>
      <c r="Y1380" s="837"/>
      <c r="Z1380" s="1124"/>
    </row>
    <row r="1381" spans="1:26" s="1119" customFormat="1" ht="12" hidden="1" customHeight="1">
      <c r="A1381" s="373"/>
      <c r="B1381" s="373"/>
      <c r="D1381" s="561"/>
      <c r="E1381" s="1120"/>
      <c r="F1381" s="1115"/>
      <c r="G1381" s="1115"/>
      <c r="H1381" s="1115"/>
      <c r="I1381" s="1115"/>
      <c r="J1381" s="1115"/>
      <c r="K1381" s="1115"/>
      <c r="L1381" s="1115"/>
      <c r="M1381" s="1115"/>
      <c r="N1381" s="1115"/>
      <c r="O1381" s="1115"/>
      <c r="P1381" s="1115"/>
      <c r="Q1381" s="1115"/>
      <c r="R1381" s="761"/>
      <c r="S1381" s="1112"/>
      <c r="T1381" s="1112"/>
      <c r="U1381" s="1112"/>
      <c r="V1381" s="1112"/>
      <c r="W1381" s="318"/>
      <c r="X1381" s="1123"/>
      <c r="Y1381" s="837"/>
      <c r="Z1381" s="1124"/>
    </row>
    <row r="1382" spans="1:26" s="1113" customFormat="1" ht="12" hidden="1" customHeight="1">
      <c r="A1382" s="91"/>
      <c r="B1382" s="91"/>
      <c r="D1382" s="332"/>
      <c r="E1382" s="1125"/>
      <c r="F1382" s="1115"/>
      <c r="G1382" s="1115"/>
      <c r="H1382" s="1115"/>
      <c r="I1382" s="1115"/>
      <c r="J1382" s="1115"/>
      <c r="K1382" s="1115"/>
      <c r="L1382" s="1115"/>
      <c r="M1382" s="1115"/>
      <c r="N1382" s="1115"/>
      <c r="O1382" s="1115"/>
      <c r="P1382" s="1115"/>
      <c r="Q1382" s="1115"/>
      <c r="R1382" s="802"/>
      <c r="S1382" s="1126"/>
      <c r="T1382" s="1126"/>
      <c r="U1382" s="1126"/>
      <c r="V1382" s="1126"/>
      <c r="W1382" s="374"/>
      <c r="X1382" s="1058"/>
      <c r="Y1382" s="837"/>
      <c r="Z1382" s="1118"/>
    </row>
    <row r="1383" spans="1:26" s="1113" customFormat="1" ht="12" hidden="1" customHeight="1">
      <c r="A1383" s="91"/>
      <c r="B1383" s="91"/>
      <c r="D1383" s="560"/>
      <c r="E1383" s="1120" t="s">
        <v>100</v>
      </c>
      <c r="F1383" s="1115">
        <f>+F1359</f>
        <v>0</v>
      </c>
      <c r="G1383" s="1115">
        <f>+G1359</f>
        <v>370386686.83000004</v>
      </c>
      <c r="H1383" s="1115">
        <f>+H1359</f>
        <v>39702900</v>
      </c>
      <c r="I1383" s="563">
        <f>SUM(F1383:H1383)</f>
        <v>410089586.83000004</v>
      </c>
      <c r="J1383" s="1115">
        <f>+J1359</f>
        <v>0</v>
      </c>
      <c r="K1383" s="1115">
        <f>+K1359</f>
        <v>320766875.35999995</v>
      </c>
      <c r="L1383" s="1115">
        <f>+L1359</f>
        <v>13586000</v>
      </c>
      <c r="M1383" s="563">
        <f>SUM(J1383:L1383)</f>
        <v>334352875.35999995</v>
      </c>
      <c r="N1383" s="563">
        <f>+F1383-J1383</f>
        <v>0</v>
      </c>
      <c r="O1383" s="563">
        <f>+G1383-K1383</f>
        <v>49619811.470000088</v>
      </c>
      <c r="P1383" s="563">
        <f>+H1383-L1383</f>
        <v>26116900</v>
      </c>
      <c r="Q1383" s="563">
        <f>SUM(N1383:P1383)</f>
        <v>75736711.470000088</v>
      </c>
      <c r="R1383" s="802"/>
      <c r="S1383" s="1112" t="str">
        <f t="shared" ref="S1383:V1384" si="549">IF(F1383=0,"",J1383/F1383)</f>
        <v/>
      </c>
      <c r="T1383" s="1112">
        <f t="shared" si="549"/>
        <v>0.86603241089824978</v>
      </c>
      <c r="U1383" s="1112">
        <f t="shared" si="549"/>
        <v>0.34219162831934191</v>
      </c>
      <c r="V1383" s="1112">
        <f t="shared" si="549"/>
        <v>0.8153166676202479</v>
      </c>
      <c r="W1383" s="318"/>
      <c r="X1383" s="1127"/>
      <c r="Y1383" s="837"/>
      <c r="Z1383" s="1118"/>
    </row>
    <row r="1384" spans="1:26" s="1119" customFormat="1" ht="12.75" hidden="1" customHeight="1" thickBot="1">
      <c r="A1384" s="373"/>
      <c r="B1384" s="373"/>
      <c r="D1384" s="561"/>
      <c r="E1384" s="1128" t="s">
        <v>61</v>
      </c>
      <c r="F1384" s="1121">
        <f>+F1380+F1383</f>
        <v>0</v>
      </c>
      <c r="G1384" s="1121">
        <f t="shared" ref="G1384:Q1384" si="550">+G1380+G1383</f>
        <v>1178093337.8200002</v>
      </c>
      <c r="H1384" s="1121">
        <f t="shared" si="550"/>
        <v>1021108399.5700001</v>
      </c>
      <c r="I1384" s="1121">
        <f t="shared" si="550"/>
        <v>2199201737.3899999</v>
      </c>
      <c r="J1384" s="1121">
        <f t="shared" si="550"/>
        <v>0</v>
      </c>
      <c r="K1384" s="1121">
        <f t="shared" si="550"/>
        <v>949106445.26999998</v>
      </c>
      <c r="L1384" s="1121">
        <f t="shared" si="550"/>
        <v>588930191.87</v>
      </c>
      <c r="M1384" s="1121">
        <f t="shared" si="550"/>
        <v>1538036637.1399999</v>
      </c>
      <c r="N1384" s="1121">
        <f t="shared" si="550"/>
        <v>0</v>
      </c>
      <c r="O1384" s="1121">
        <f t="shared" si="550"/>
        <v>228986892.55000007</v>
      </c>
      <c r="P1384" s="1121">
        <f t="shared" si="550"/>
        <v>432178207.70000005</v>
      </c>
      <c r="Q1384" s="1121">
        <f t="shared" si="550"/>
        <v>661165100.25</v>
      </c>
      <c r="R1384" s="761">
        <f>+Q1384-Q1363+Q26</f>
        <v>0</v>
      </c>
      <c r="S1384" s="1122" t="str">
        <f t="shared" si="549"/>
        <v/>
      </c>
      <c r="T1384" s="1122">
        <f t="shared" si="549"/>
        <v>0.80562924413635306</v>
      </c>
      <c r="U1384" s="1122">
        <f t="shared" si="549"/>
        <v>0.57675579998950643</v>
      </c>
      <c r="V1384" s="1122">
        <f t="shared" si="549"/>
        <v>0.69936132324328415</v>
      </c>
      <c r="W1384" s="318"/>
      <c r="X1384" s="1123"/>
      <c r="Y1384" s="837"/>
      <c r="Z1384" s="1124"/>
    </row>
    <row r="1385" spans="1:26" s="239" customFormat="1" ht="12" hidden="1" customHeight="1">
      <c r="A1385" s="236"/>
      <c r="B1385" s="236"/>
      <c r="C1385" s="1119"/>
      <c r="E1385" s="562"/>
      <c r="G1385" s="563"/>
      <c r="H1385" s="563"/>
      <c r="Q1385" s="563"/>
      <c r="R1385" s="760"/>
      <c r="X1385" s="848"/>
      <c r="Y1385" s="837"/>
      <c r="Z1385" s="849"/>
    </row>
    <row r="1386" spans="1:26" ht="12" hidden="1" customHeight="1">
      <c r="Q1386" s="276"/>
    </row>
    <row r="1387" spans="1:26" ht="12" hidden="1" customHeight="1">
      <c r="Q1387" s="276"/>
    </row>
    <row r="1388" spans="1:26" ht="12" hidden="1" customHeight="1">
      <c r="E1388" s="322" t="s">
        <v>295</v>
      </c>
      <c r="F1388" s="276">
        <f t="shared" ref="F1388:Q1388" si="551">+F41+F112+F183+F243+F314+F396+F433+F482+F542+F613+F706+F755+F870+F930+F979+F1028-F1299</f>
        <v>0</v>
      </c>
      <c r="G1388" s="276">
        <f t="shared" si="551"/>
        <v>0</v>
      </c>
      <c r="H1388" s="276">
        <f t="shared" si="551"/>
        <v>0</v>
      </c>
      <c r="I1388" s="276">
        <f t="shared" si="551"/>
        <v>0</v>
      </c>
      <c r="J1388" s="276">
        <f t="shared" si="551"/>
        <v>0</v>
      </c>
      <c r="K1388" s="276">
        <f t="shared" si="551"/>
        <v>0</v>
      </c>
      <c r="L1388" s="276">
        <f t="shared" si="551"/>
        <v>0</v>
      </c>
      <c r="M1388" s="276">
        <f t="shared" si="551"/>
        <v>0</v>
      </c>
      <c r="N1388" s="276">
        <f t="shared" si="551"/>
        <v>0</v>
      </c>
      <c r="O1388" s="276">
        <f t="shared" si="551"/>
        <v>0</v>
      </c>
      <c r="P1388" s="276">
        <f t="shared" si="551"/>
        <v>0</v>
      </c>
      <c r="Q1388" s="276">
        <f t="shared" si="551"/>
        <v>0</v>
      </c>
    </row>
    <row r="1389" spans="1:26" ht="12" hidden="1" customHeight="1">
      <c r="E1389" s="322" t="s">
        <v>296</v>
      </c>
      <c r="F1389" s="276">
        <f t="shared" ref="F1389:Q1389" si="552">+F87+F158+F218+F289+F371+F408+F457+F517+F588+F681+F730+F845+F905+F954+F1003+F1052-F1308-F1338</f>
        <v>0</v>
      </c>
      <c r="G1389" s="276">
        <f t="shared" si="552"/>
        <v>0</v>
      </c>
      <c r="H1389" s="276">
        <f t="shared" si="552"/>
        <v>0</v>
      </c>
      <c r="I1389" s="276">
        <f t="shared" si="552"/>
        <v>0</v>
      </c>
      <c r="J1389" s="276">
        <f t="shared" si="552"/>
        <v>0</v>
      </c>
      <c r="K1389" s="276">
        <f t="shared" si="552"/>
        <v>0</v>
      </c>
      <c r="L1389" s="276">
        <f t="shared" si="552"/>
        <v>0</v>
      </c>
      <c r="M1389" s="276">
        <f t="shared" si="552"/>
        <v>0</v>
      </c>
      <c r="N1389" s="276">
        <f t="shared" si="552"/>
        <v>0</v>
      </c>
      <c r="O1389" s="276">
        <f t="shared" si="552"/>
        <v>-1.4901161193847656E-7</v>
      </c>
      <c r="P1389" s="276">
        <f t="shared" si="552"/>
        <v>0</v>
      </c>
      <c r="Q1389" s="276">
        <f t="shared" si="552"/>
        <v>-1.1920928955078125E-7</v>
      </c>
    </row>
    <row r="1390" spans="1:26" ht="12" hidden="1" customHeight="1">
      <c r="E1390" s="322" t="s">
        <v>297</v>
      </c>
      <c r="F1390" s="276">
        <f t="shared" ref="F1390:Q1390" si="553">+F1076+F1087+F1098+F1109+F1120+F1131+F1142+F1153+F1164+F1175+F1186+F1197-F1293-F1333</f>
        <v>0</v>
      </c>
      <c r="G1390" s="276">
        <f t="shared" si="553"/>
        <v>0</v>
      </c>
      <c r="H1390" s="276">
        <f t="shared" si="553"/>
        <v>0</v>
      </c>
      <c r="I1390" s="276">
        <f t="shared" si="553"/>
        <v>0</v>
      </c>
      <c r="J1390" s="276">
        <f t="shared" si="553"/>
        <v>0</v>
      </c>
      <c r="K1390" s="276">
        <f t="shared" si="553"/>
        <v>0</v>
      </c>
      <c r="L1390" s="276">
        <f t="shared" si="553"/>
        <v>0</v>
      </c>
      <c r="M1390" s="276">
        <f t="shared" si="553"/>
        <v>0</v>
      </c>
      <c r="N1390" s="276">
        <f t="shared" si="553"/>
        <v>0</v>
      </c>
      <c r="O1390" s="276">
        <f t="shared" si="553"/>
        <v>-2.2351741790771484E-8</v>
      </c>
      <c r="P1390" s="276">
        <f t="shared" si="553"/>
        <v>0</v>
      </c>
      <c r="Q1390" s="276">
        <f t="shared" si="553"/>
        <v>0</v>
      </c>
    </row>
    <row r="1391" spans="1:26" ht="12" hidden="1" customHeight="1">
      <c r="E1391" s="322" t="s">
        <v>51</v>
      </c>
      <c r="F1391" s="276">
        <f t="shared" ref="F1391:Q1391" si="554">+F1221+F1232+F1243-F1280-F1324</f>
        <v>0</v>
      </c>
      <c r="G1391" s="276">
        <f t="shared" si="554"/>
        <v>0</v>
      </c>
      <c r="H1391" s="276">
        <f t="shared" si="554"/>
        <v>0</v>
      </c>
      <c r="I1391" s="276">
        <f t="shared" si="554"/>
        <v>0</v>
      </c>
      <c r="J1391" s="276">
        <f t="shared" si="554"/>
        <v>0</v>
      </c>
      <c r="K1391" s="276">
        <f t="shared" si="554"/>
        <v>0</v>
      </c>
      <c r="L1391" s="276">
        <f t="shared" si="554"/>
        <v>0</v>
      </c>
      <c r="M1391" s="276">
        <f t="shared" si="554"/>
        <v>0</v>
      </c>
      <c r="N1391" s="276">
        <f t="shared" si="554"/>
        <v>0</v>
      </c>
      <c r="O1391" s="276">
        <f t="shared" si="554"/>
        <v>-1.862645149230957E-9</v>
      </c>
      <c r="P1391" s="276">
        <f t="shared" si="554"/>
        <v>0</v>
      </c>
      <c r="Q1391" s="276">
        <f t="shared" si="554"/>
        <v>-1.862645149230957E-9</v>
      </c>
    </row>
    <row r="1392" spans="1:26" ht="12" hidden="1" customHeight="1">
      <c r="E1392" s="322" t="s">
        <v>271</v>
      </c>
      <c r="F1392" s="276">
        <f t="shared" ref="F1392:Q1392" si="555">+F1267-F1286-F1328</f>
        <v>0</v>
      </c>
      <c r="G1392" s="276">
        <f t="shared" si="555"/>
        <v>0</v>
      </c>
      <c r="H1392" s="276">
        <f t="shared" si="555"/>
        <v>0</v>
      </c>
      <c r="I1392" s="276">
        <f t="shared" si="555"/>
        <v>0</v>
      </c>
      <c r="J1392" s="276">
        <f t="shared" si="555"/>
        <v>0</v>
      </c>
      <c r="K1392" s="276">
        <f t="shared" si="555"/>
        <v>0</v>
      </c>
      <c r="L1392" s="276">
        <f t="shared" si="555"/>
        <v>0</v>
      </c>
      <c r="M1392" s="276">
        <f t="shared" si="555"/>
        <v>0</v>
      </c>
      <c r="N1392" s="276">
        <f t="shared" si="555"/>
        <v>0</v>
      </c>
      <c r="O1392" s="276">
        <f t="shared" si="555"/>
        <v>0</v>
      </c>
      <c r="P1392" s="276">
        <f t="shared" si="555"/>
        <v>0</v>
      </c>
      <c r="Q1392" s="276">
        <f t="shared" si="555"/>
        <v>0</v>
      </c>
    </row>
    <row r="1393" spans="1:26" ht="12" hidden="1" customHeight="1">
      <c r="E1393" s="322" t="s">
        <v>4</v>
      </c>
      <c r="F1393" s="276">
        <f t="shared" ref="F1393:Q1393" si="556">+F98+F169+F229+F300+F382+F419+F468+F528+F599+F692+F741+F856+F916+F965+F1014+F1063+F1209+F1254+F1267-F1363+F26</f>
        <v>0</v>
      </c>
      <c r="G1393" s="276">
        <f t="shared" si="556"/>
        <v>0</v>
      </c>
      <c r="H1393" s="276">
        <f t="shared" si="556"/>
        <v>0</v>
      </c>
      <c r="I1393" s="276">
        <f t="shared" si="556"/>
        <v>0</v>
      </c>
      <c r="J1393" s="276">
        <f t="shared" si="556"/>
        <v>0</v>
      </c>
      <c r="K1393" s="276">
        <f t="shared" si="556"/>
        <v>0</v>
      </c>
      <c r="L1393" s="276">
        <f t="shared" si="556"/>
        <v>0</v>
      </c>
      <c r="M1393" s="276">
        <f t="shared" si="556"/>
        <v>0</v>
      </c>
      <c r="N1393" s="276">
        <f t="shared" si="556"/>
        <v>0</v>
      </c>
      <c r="O1393" s="276">
        <f t="shared" si="556"/>
        <v>0</v>
      </c>
      <c r="P1393" s="276">
        <f t="shared" si="556"/>
        <v>0</v>
      </c>
      <c r="Q1393" s="276">
        <f t="shared" si="556"/>
        <v>0</v>
      </c>
    </row>
    <row r="1394" spans="1:26" ht="12" hidden="1" customHeight="1">
      <c r="F1394" s="276"/>
      <c r="G1394" s="276"/>
      <c r="H1394" s="276"/>
      <c r="I1394" s="276"/>
      <c r="J1394" s="276"/>
      <c r="K1394" s="276"/>
      <c r="L1394" s="276"/>
      <c r="M1394" s="276"/>
      <c r="N1394" s="276"/>
      <c r="O1394" s="276"/>
      <c r="P1394" s="276"/>
      <c r="Q1394" s="276"/>
    </row>
    <row r="1395" spans="1:26" ht="12" hidden="1" customHeight="1"/>
    <row r="1396" spans="1:26" ht="12" hidden="1" customHeight="1">
      <c r="C1396" s="276"/>
      <c r="D1396" s="276"/>
      <c r="E1396" s="545" t="s">
        <v>428</v>
      </c>
      <c r="F1396" s="276">
        <f t="shared" ref="F1396:H1397" si="557">+F10</f>
        <v>0</v>
      </c>
      <c r="G1396" s="276">
        <f t="shared" si="557"/>
        <v>313914442.91999942</v>
      </c>
      <c r="H1396" s="276">
        <f t="shared" si="557"/>
        <v>3585691671.0500002</v>
      </c>
      <c r="I1396" s="563">
        <f t="shared" ref="I1396:I1402" si="558">SUM(F1396:H1396)</f>
        <v>3899606113.9699998</v>
      </c>
      <c r="J1396" s="276">
        <f t="shared" ref="J1396:L1397" si="559">+J10</f>
        <v>0</v>
      </c>
      <c r="K1396" s="276">
        <f t="shared" si="559"/>
        <v>237376110.84999999</v>
      </c>
      <c r="L1396" s="276">
        <f t="shared" si="559"/>
        <v>1623216053.24</v>
      </c>
      <c r="M1396" s="563">
        <f t="shared" ref="M1396:M1402" si="560">SUM(J1396:L1396)</f>
        <v>1860592164.0899999</v>
      </c>
      <c r="N1396" s="563">
        <f t="shared" ref="N1396:P1398" si="561">+F1396-J1396</f>
        <v>0</v>
      </c>
      <c r="O1396" s="563">
        <f t="shared" si="561"/>
        <v>76538332.069999427</v>
      </c>
      <c r="P1396" s="563">
        <f t="shared" si="561"/>
        <v>1962475617.8100002</v>
      </c>
      <c r="Q1396" s="563">
        <f t="shared" ref="Q1396:Q1402" si="562">SUM(N1396:P1396)</f>
        <v>2039013949.8799996</v>
      </c>
    </row>
    <row r="1397" spans="1:26" ht="12" hidden="1" customHeight="1">
      <c r="C1397" s="276"/>
      <c r="D1397" s="276"/>
      <c r="E1397" s="545" t="s">
        <v>50</v>
      </c>
      <c r="F1397" s="276">
        <f t="shared" si="557"/>
        <v>0</v>
      </c>
      <c r="G1397" s="276">
        <f t="shared" si="557"/>
        <v>49296080.369999997</v>
      </c>
      <c r="H1397" s="276">
        <f t="shared" si="557"/>
        <v>-96454837</v>
      </c>
      <c r="I1397" s="563">
        <f t="shared" si="558"/>
        <v>-47158756.630000003</v>
      </c>
      <c r="J1397" s="276">
        <f t="shared" si="559"/>
        <v>0</v>
      </c>
      <c r="K1397" s="276">
        <f t="shared" si="559"/>
        <v>0</v>
      </c>
      <c r="L1397" s="276">
        <f t="shared" si="559"/>
        <v>0</v>
      </c>
      <c r="M1397" s="563">
        <f t="shared" si="560"/>
        <v>0</v>
      </c>
      <c r="N1397" s="563">
        <f t="shared" si="561"/>
        <v>0</v>
      </c>
      <c r="O1397" s="563">
        <f t="shared" si="561"/>
        <v>49296080.369999997</v>
      </c>
      <c r="P1397" s="563">
        <f t="shared" si="561"/>
        <v>-96454837</v>
      </c>
      <c r="Q1397" s="563">
        <f t="shared" si="562"/>
        <v>-47158756.630000003</v>
      </c>
    </row>
    <row r="1398" spans="1:26" ht="12" hidden="1" customHeight="1">
      <c r="C1398" s="236"/>
      <c r="E1398" s="545" t="s">
        <v>429</v>
      </c>
      <c r="F1398" s="276">
        <f>+F25</f>
        <v>0</v>
      </c>
      <c r="G1398" s="276">
        <f>+G25</f>
        <v>87991891.479999989</v>
      </c>
      <c r="H1398" s="276">
        <f>+H25</f>
        <v>0</v>
      </c>
      <c r="I1398" s="563">
        <f t="shared" si="558"/>
        <v>87991891.479999989</v>
      </c>
      <c r="J1398" s="276">
        <f>+J25</f>
        <v>0</v>
      </c>
      <c r="K1398" s="276">
        <f>+K25</f>
        <v>61057203.469999991</v>
      </c>
      <c r="L1398" s="276">
        <f>+L25</f>
        <v>0</v>
      </c>
      <c r="M1398" s="563">
        <f t="shared" si="560"/>
        <v>61057203.469999991</v>
      </c>
      <c r="N1398" s="563">
        <f t="shared" si="561"/>
        <v>0</v>
      </c>
      <c r="O1398" s="563">
        <f t="shared" si="561"/>
        <v>26934688.009999998</v>
      </c>
      <c r="P1398" s="563">
        <f t="shared" si="561"/>
        <v>0</v>
      </c>
      <c r="Q1398" s="563">
        <f t="shared" si="562"/>
        <v>26934688.009999998</v>
      </c>
    </row>
    <row r="1399" spans="1:26" s="1119" customFormat="1" ht="12.75" hidden="1" customHeight="1" thickBot="1">
      <c r="A1399" s="373"/>
      <c r="B1399" s="373"/>
      <c r="D1399" s="561"/>
      <c r="E1399" s="1120" t="s">
        <v>458</v>
      </c>
      <c r="F1399" s="1121">
        <f>SUM(F1396:F1398)</f>
        <v>0</v>
      </c>
      <c r="G1399" s="1121">
        <f>SUM(G1396:G1398)</f>
        <v>451202414.76999938</v>
      </c>
      <c r="H1399" s="1121">
        <f>SUM(H1396:H1398)</f>
        <v>3489236834.0500002</v>
      </c>
      <c r="I1399" s="1121">
        <f t="shared" si="558"/>
        <v>3940439248.8199997</v>
      </c>
      <c r="J1399" s="1121">
        <f>SUM(J1396:J1398)</f>
        <v>0</v>
      </c>
      <c r="K1399" s="1121">
        <f>SUM(K1396:K1398)</f>
        <v>298433314.31999999</v>
      </c>
      <c r="L1399" s="1121">
        <f>SUM(L1396:L1398)</f>
        <v>1623216053.24</v>
      </c>
      <c r="M1399" s="1121">
        <f t="shared" si="560"/>
        <v>1921649367.5599999</v>
      </c>
      <c r="N1399" s="1121">
        <f>SUM(N1396:N1398)</f>
        <v>0</v>
      </c>
      <c r="O1399" s="1121">
        <f>SUM(O1396:O1398)</f>
        <v>152769100.44999942</v>
      </c>
      <c r="P1399" s="1121">
        <f>SUM(P1396:P1398)</f>
        <v>1866020780.8100002</v>
      </c>
      <c r="Q1399" s="1121">
        <f t="shared" si="562"/>
        <v>2018789881.2599995</v>
      </c>
      <c r="R1399" s="761"/>
      <c r="S1399" s="1122" t="str">
        <f>IF(F1399=0,"",J1399/F1399)</f>
        <v/>
      </c>
      <c r="T1399" s="1122">
        <f>IF(G1399=0,"",K1399/G1399)</f>
        <v>0.66141781282825474</v>
      </c>
      <c r="U1399" s="1122">
        <f>IF(H1399=0,"",L1399/H1399)</f>
        <v>0.46520661406520608</v>
      </c>
      <c r="V1399" s="1122">
        <f>IF(I1399=0,"",M1399/I1399)</f>
        <v>0.48767389781112735</v>
      </c>
      <c r="W1399" s="318"/>
      <c r="X1399" s="1123"/>
      <c r="Y1399" s="837"/>
      <c r="Z1399" s="1124"/>
    </row>
    <row r="1400" spans="1:26" ht="12" hidden="1" customHeight="1">
      <c r="C1400" s="236"/>
      <c r="E1400" s="517"/>
    </row>
    <row r="1401" spans="1:26" ht="12" hidden="1" customHeight="1">
      <c r="C1401" s="236"/>
      <c r="E1401" s="1120" t="s">
        <v>713</v>
      </c>
      <c r="F1401" s="276">
        <f>+F14</f>
        <v>0</v>
      </c>
      <c r="G1401" s="276">
        <f>+G14</f>
        <v>26350354.959999997</v>
      </c>
      <c r="H1401" s="276">
        <f>+H14</f>
        <v>198603750</v>
      </c>
      <c r="I1401" s="276">
        <f t="shared" si="558"/>
        <v>224954104.96000001</v>
      </c>
      <c r="J1401" s="276">
        <f>+J14</f>
        <v>0</v>
      </c>
      <c r="K1401" s="276">
        <f>+K14</f>
        <v>12517415.42</v>
      </c>
      <c r="L1401" s="276">
        <f>+L14</f>
        <v>60983789.039999999</v>
      </c>
      <c r="M1401" s="276">
        <f t="shared" si="560"/>
        <v>73501204.459999993</v>
      </c>
      <c r="N1401" s="276">
        <f>+N1317</f>
        <v>0</v>
      </c>
      <c r="O1401" s="276">
        <f>+O1317</f>
        <v>13832939.539999999</v>
      </c>
      <c r="P1401" s="276">
        <f>+P1317</f>
        <v>137619960.96000001</v>
      </c>
      <c r="Q1401" s="276">
        <f t="shared" si="562"/>
        <v>151452900.5</v>
      </c>
    </row>
    <row r="1402" spans="1:26" s="1119" customFormat="1" ht="12.75" hidden="1" customHeight="1" thickBot="1">
      <c r="A1402" s="373"/>
      <c r="B1402" s="373"/>
      <c r="D1402" s="561"/>
      <c r="E1402" s="1128" t="s">
        <v>61</v>
      </c>
      <c r="F1402" s="1121">
        <f>SUM(F1399:F1401)</f>
        <v>0</v>
      </c>
      <c r="G1402" s="1121">
        <f>SUM(G1399:G1401)</f>
        <v>477552769.72999936</v>
      </c>
      <c r="H1402" s="1121">
        <f>SUM(H1399:H1401)</f>
        <v>3687840584.0500002</v>
      </c>
      <c r="I1402" s="1121">
        <f t="shared" si="558"/>
        <v>4165393353.7799997</v>
      </c>
      <c r="J1402" s="1121">
        <f>SUM(J1399:J1401)</f>
        <v>0</v>
      </c>
      <c r="K1402" s="1121">
        <f>SUM(K1399:K1401)</f>
        <v>310950729.74000001</v>
      </c>
      <c r="L1402" s="1121">
        <f>SUM(L1399:L1401)</f>
        <v>1684199842.28</v>
      </c>
      <c r="M1402" s="1121">
        <f t="shared" si="560"/>
        <v>1995150572.02</v>
      </c>
      <c r="N1402" s="1121">
        <f>SUM(N1399:N1401)</f>
        <v>0</v>
      </c>
      <c r="O1402" s="1121">
        <f>SUM(O1399:O1401)</f>
        <v>166602039.98999941</v>
      </c>
      <c r="P1402" s="1121">
        <f>SUM(P1399:P1401)</f>
        <v>2003640741.7700002</v>
      </c>
      <c r="Q1402" s="1121">
        <f t="shared" si="562"/>
        <v>2170242781.7599998</v>
      </c>
      <c r="R1402" s="761"/>
      <c r="S1402" s="1122" t="str">
        <f>IF(F1402=0,"",J1402/F1402)</f>
        <v/>
      </c>
      <c r="T1402" s="1122">
        <f>IF(G1402=0,"",K1402/G1402)</f>
        <v>0.65113375829818043</v>
      </c>
      <c r="U1402" s="1122">
        <f>IF(H1402=0,"",L1402/H1402)</f>
        <v>0.45668997992055432</v>
      </c>
      <c r="V1402" s="1122">
        <f>IF(I1402=0,"",M1402/I1402)</f>
        <v>0.47898251199000119</v>
      </c>
      <c r="W1402" s="318"/>
      <c r="X1402" s="1123"/>
      <c r="Y1402" s="837"/>
      <c r="Z1402" s="241"/>
    </row>
    <row r="1403" spans="1:26" ht="12" hidden="1" customHeight="1"/>
    <row r="1404" spans="1:26" ht="12" hidden="1" customHeight="1">
      <c r="F1404" s="276">
        <f t="shared" ref="F1404:Q1404" si="563">+F1363-F1384-F1402</f>
        <v>0</v>
      </c>
      <c r="G1404" s="276">
        <f t="shared" si="563"/>
        <v>0</v>
      </c>
      <c r="H1404" s="276">
        <f t="shared" si="563"/>
        <v>0</v>
      </c>
      <c r="I1404" s="276">
        <f t="shared" si="563"/>
        <v>0</v>
      </c>
      <c r="J1404" s="276">
        <f t="shared" si="563"/>
        <v>0</v>
      </c>
      <c r="K1404" s="276">
        <f t="shared" si="563"/>
        <v>0</v>
      </c>
      <c r="L1404" s="276">
        <f t="shared" si="563"/>
        <v>0</v>
      </c>
      <c r="M1404" s="276">
        <f t="shared" si="563"/>
        <v>0</v>
      </c>
      <c r="N1404" s="276">
        <f t="shared" si="563"/>
        <v>0</v>
      </c>
      <c r="O1404" s="276">
        <f t="shared" si="563"/>
        <v>0</v>
      </c>
      <c r="P1404" s="276">
        <f t="shared" si="563"/>
        <v>0</v>
      </c>
      <c r="Q1404" s="276">
        <f t="shared" si="563"/>
        <v>0</v>
      </c>
    </row>
    <row r="1405" spans="1:26" ht="12" hidden="1" customHeight="1"/>
    <row r="1406" spans="1:26" s="1078" customFormat="1" ht="18" hidden="1" customHeight="1">
      <c r="A1406" s="323"/>
      <c r="B1406" s="323"/>
      <c r="C1406" s="1075"/>
      <c r="D1406" s="324"/>
      <c r="E1406" s="1076" t="s">
        <v>865</v>
      </c>
      <c r="F1406" s="1077">
        <f>+F1274+F1283+F1289+F1296+F1305+F1311</f>
        <v>0</v>
      </c>
      <c r="G1406" s="1077">
        <f>+G1274+G1283+G1289+G1296+G1305+G1311</f>
        <v>0</v>
      </c>
      <c r="H1406" s="1077">
        <f>+H1274+H1283+H1289+H1296+H1305+H1311</f>
        <v>0</v>
      </c>
      <c r="I1406" s="1077">
        <f>+I1274+I1283+I1289+I1296+I1305+I1311</f>
        <v>0</v>
      </c>
      <c r="J1406" s="1077"/>
      <c r="K1406" s="1077"/>
      <c r="L1406" s="1077"/>
      <c r="M1406" s="1077"/>
      <c r="N1406" s="1077"/>
      <c r="O1406" s="1077"/>
      <c r="P1406" s="1077"/>
      <c r="Q1406" s="1077"/>
      <c r="R1406" s="1129"/>
      <c r="W1406" s="325"/>
    </row>
    <row r="1407" spans="1:26" ht="12" hidden="1" customHeight="1"/>
    <row r="1408" spans="1:26" ht="12" hidden="1" customHeight="1">
      <c r="E1408" s="1130" t="s">
        <v>880</v>
      </c>
      <c r="F1408" s="276">
        <f>+F1283+F1289+F1296+F1305+F1311</f>
        <v>0</v>
      </c>
      <c r="G1408" s="276">
        <f t="shared" ref="G1408:I1408" si="564">+G1283+G1289+G1296+G1305+G1311</f>
        <v>-49296080.36999999</v>
      </c>
      <c r="H1408" s="276">
        <f t="shared" si="564"/>
        <v>96454837</v>
      </c>
      <c r="I1408" s="276">
        <f t="shared" si="564"/>
        <v>47158756.63000001</v>
      </c>
      <c r="Q1408" s="276">
        <f>+Q1402+Q1384-Q1363</f>
        <v>0</v>
      </c>
    </row>
    <row r="1409" spans="5:26" ht="12" hidden="1" customHeight="1"/>
    <row r="1410" spans="5:26" ht="12" hidden="1" customHeight="1">
      <c r="F1410" s="276">
        <f>+F1408+F11</f>
        <v>0</v>
      </c>
      <c r="G1410" s="276">
        <f t="shared" ref="G1410:I1410" si="565">+G1408+G11</f>
        <v>0</v>
      </c>
      <c r="H1410" s="276">
        <f t="shared" si="565"/>
        <v>0</v>
      </c>
      <c r="I1410" s="276">
        <f t="shared" si="565"/>
        <v>0</v>
      </c>
    </row>
    <row r="1411" spans="5:26" ht="12" hidden="1" customHeight="1"/>
    <row r="1412" spans="5:26" s="240" customFormat="1" ht="12" hidden="1" customHeight="1">
      <c r="E1412" s="516" t="s">
        <v>1077</v>
      </c>
      <c r="R1412" s="1080"/>
      <c r="X1412" s="520"/>
      <c r="Y1412" s="833"/>
      <c r="Z1412" s="241"/>
    </row>
    <row r="1413" spans="5:26" ht="12" hidden="1" customHeight="1">
      <c r="E1413" s="517"/>
      <c r="R1413" s="1081"/>
    </row>
    <row r="1414" spans="5:26" ht="12" hidden="1" customHeight="1">
      <c r="E1414" s="517" t="s">
        <v>1078</v>
      </c>
      <c r="F1414" s="276">
        <f>+F1272+F1276+F1317</f>
        <v>0</v>
      </c>
      <c r="G1414" s="276">
        <f t="shared" ref="G1414:Q1414" si="566">+G1272+G1276+G1317</f>
        <v>477552769.72999936</v>
      </c>
      <c r="H1414" s="276">
        <f t="shared" si="566"/>
        <v>3687840584.0500002</v>
      </c>
      <c r="I1414" s="276">
        <f t="shared" si="566"/>
        <v>4165393353.7799997</v>
      </c>
      <c r="J1414" s="276">
        <f t="shared" si="566"/>
        <v>0</v>
      </c>
      <c r="K1414" s="276">
        <f t="shared" si="566"/>
        <v>310950729.74000001</v>
      </c>
      <c r="L1414" s="276">
        <f t="shared" si="566"/>
        <v>1684199842.28</v>
      </c>
      <c r="M1414" s="276">
        <f t="shared" si="566"/>
        <v>1995150572.02</v>
      </c>
      <c r="N1414" s="276">
        <f t="shared" si="566"/>
        <v>0</v>
      </c>
      <c r="O1414" s="276">
        <f t="shared" si="566"/>
        <v>166602039.98999941</v>
      </c>
      <c r="P1414" s="276">
        <f t="shared" si="566"/>
        <v>2003640741.7700002</v>
      </c>
      <c r="Q1414" s="276">
        <f t="shared" si="566"/>
        <v>2170242781.7599993</v>
      </c>
      <c r="R1414" s="1081"/>
    </row>
    <row r="1415" spans="5:26" ht="12" hidden="1" customHeight="1">
      <c r="E1415" s="517" t="s">
        <v>296</v>
      </c>
      <c r="F1415" s="276">
        <f>+F1293+F1308+F1333+F1338</f>
        <v>0</v>
      </c>
      <c r="G1415" s="276">
        <f t="shared" ref="G1415:Q1415" si="567">+G1293+G1308+G1333+G1338</f>
        <v>605580769.26000011</v>
      </c>
      <c r="H1415" s="276">
        <f t="shared" si="567"/>
        <v>287043475</v>
      </c>
      <c r="I1415" s="276">
        <f t="shared" si="567"/>
        <v>892624244.26000011</v>
      </c>
      <c r="J1415" s="276">
        <f t="shared" si="567"/>
        <v>0</v>
      </c>
      <c r="K1415" s="276">
        <f t="shared" si="567"/>
        <v>506939597.90999997</v>
      </c>
      <c r="L1415" s="276">
        <f t="shared" si="567"/>
        <v>129025370</v>
      </c>
      <c r="M1415" s="276">
        <f t="shared" si="567"/>
        <v>635964967.90999997</v>
      </c>
      <c r="N1415" s="276">
        <f t="shared" si="567"/>
        <v>0</v>
      </c>
      <c r="O1415" s="276">
        <f t="shared" si="567"/>
        <v>98641171.350000143</v>
      </c>
      <c r="P1415" s="276">
        <f t="shared" si="567"/>
        <v>158018105</v>
      </c>
      <c r="Q1415" s="276">
        <f t="shared" si="567"/>
        <v>256659276.35000014</v>
      </c>
      <c r="R1415" s="1081"/>
    </row>
    <row r="1416" spans="5:26" ht="12" hidden="1" customHeight="1">
      <c r="E1416" s="517" t="s">
        <v>295</v>
      </c>
      <c r="F1416" s="1082">
        <f>+F1299</f>
        <v>0</v>
      </c>
      <c r="G1416" s="1082">
        <f t="shared" ref="G1416:Q1416" si="568">+G1299</f>
        <v>552369473.64999998</v>
      </c>
      <c r="H1416" s="1082">
        <f t="shared" si="568"/>
        <v>732910272.57000005</v>
      </c>
      <c r="I1416" s="1082">
        <f t="shared" si="568"/>
        <v>1285279746.22</v>
      </c>
      <c r="J1416" s="1082">
        <f t="shared" si="568"/>
        <v>0</v>
      </c>
      <c r="K1416" s="1082">
        <f t="shared" si="568"/>
        <v>433401558.22000003</v>
      </c>
      <c r="L1416" s="1082">
        <f t="shared" si="568"/>
        <v>459904821.86999995</v>
      </c>
      <c r="M1416" s="1082">
        <f t="shared" si="568"/>
        <v>893306380.09000003</v>
      </c>
      <c r="N1416" s="1082">
        <f t="shared" si="568"/>
        <v>0</v>
      </c>
      <c r="O1416" s="1082">
        <f t="shared" si="568"/>
        <v>118967915.42999989</v>
      </c>
      <c r="P1416" s="1082">
        <f t="shared" si="568"/>
        <v>273005450.70000011</v>
      </c>
      <c r="Q1416" s="1082">
        <f t="shared" si="568"/>
        <v>391973366.13</v>
      </c>
      <c r="R1416" s="1081"/>
    </row>
    <row r="1417" spans="5:26" ht="12" hidden="1" customHeight="1">
      <c r="E1417" s="517" t="s">
        <v>1079</v>
      </c>
      <c r="F1417" s="276">
        <f>+F1280+F1286+F1325+F1329</f>
        <v>0</v>
      </c>
      <c r="G1417" s="276">
        <f t="shared" ref="G1417:Q1417" si="569">+G1280+G1286+G1325+G1329</f>
        <v>20143094.91</v>
      </c>
      <c r="H1417" s="276">
        <f t="shared" si="569"/>
        <v>1154652</v>
      </c>
      <c r="I1417" s="276">
        <f t="shared" si="569"/>
        <v>21297746.91</v>
      </c>
      <c r="J1417" s="276">
        <f t="shared" si="569"/>
        <v>0</v>
      </c>
      <c r="K1417" s="276">
        <f t="shared" si="569"/>
        <v>8765289.1400000006</v>
      </c>
      <c r="L1417" s="276">
        <f t="shared" si="569"/>
        <v>0</v>
      </c>
      <c r="M1417" s="276">
        <f t="shared" si="569"/>
        <v>8765289.1400000006</v>
      </c>
      <c r="N1417" s="276">
        <f t="shared" si="569"/>
        <v>0</v>
      </c>
      <c r="O1417" s="276">
        <f t="shared" si="569"/>
        <v>11377805.770000001</v>
      </c>
      <c r="P1417" s="276">
        <f t="shared" si="569"/>
        <v>1154652</v>
      </c>
      <c r="Q1417" s="276">
        <f t="shared" si="569"/>
        <v>12532457.770000001</v>
      </c>
      <c r="R1417" s="1081"/>
    </row>
    <row r="1418" spans="5:26" s="241" customFormat="1" ht="12" hidden="1" customHeight="1">
      <c r="E1418" s="1083" t="s">
        <v>4</v>
      </c>
      <c r="F1418" s="1084">
        <f>SUM(F1414:F1417)</f>
        <v>0</v>
      </c>
      <c r="G1418" s="1084">
        <f t="shared" ref="G1418:Q1418" si="570">SUM(G1414:G1417)</f>
        <v>1655646107.5499995</v>
      </c>
      <c r="H1418" s="1084">
        <f t="shared" si="570"/>
        <v>4708948983.6199999</v>
      </c>
      <c r="I1418" s="1084">
        <f t="shared" si="570"/>
        <v>6364595091.1700001</v>
      </c>
      <c r="J1418" s="1084">
        <f t="shared" si="570"/>
        <v>0</v>
      </c>
      <c r="K1418" s="1084">
        <f t="shared" si="570"/>
        <v>1260057175.01</v>
      </c>
      <c r="L1418" s="1084">
        <f t="shared" si="570"/>
        <v>2273130034.1500001</v>
      </c>
      <c r="M1418" s="1084">
        <f t="shared" si="570"/>
        <v>3533187209.1599998</v>
      </c>
      <c r="N1418" s="1084">
        <f t="shared" si="570"/>
        <v>0</v>
      </c>
      <c r="O1418" s="1084">
        <f t="shared" si="570"/>
        <v>395588932.53999943</v>
      </c>
      <c r="P1418" s="1084">
        <f t="shared" si="570"/>
        <v>2435818949.4700007</v>
      </c>
      <c r="Q1418" s="1084">
        <f t="shared" si="570"/>
        <v>2831407882.0099998</v>
      </c>
      <c r="R1418" s="1085"/>
    </row>
    <row r="1419" spans="5:26" ht="12" hidden="1" customHeight="1">
      <c r="E1419" s="517"/>
      <c r="F1419" s="276">
        <f>+F1418-F1363</f>
        <v>0</v>
      </c>
      <c r="G1419" s="276">
        <f t="shared" ref="G1419:Q1419" si="571">+G1418-G1363</f>
        <v>0</v>
      </c>
      <c r="H1419" s="276">
        <f t="shared" si="571"/>
        <v>0</v>
      </c>
      <c r="I1419" s="276">
        <f t="shared" si="571"/>
        <v>0</v>
      </c>
      <c r="J1419" s="276">
        <f t="shared" si="571"/>
        <v>0</v>
      </c>
      <c r="K1419" s="276">
        <f t="shared" si="571"/>
        <v>0</v>
      </c>
      <c r="L1419" s="276">
        <f t="shared" si="571"/>
        <v>0</v>
      </c>
      <c r="M1419" s="276">
        <f t="shared" si="571"/>
        <v>0</v>
      </c>
      <c r="N1419" s="276">
        <f t="shared" si="571"/>
        <v>0</v>
      </c>
      <c r="O1419" s="276">
        <f t="shared" si="571"/>
        <v>0</v>
      </c>
      <c r="P1419" s="276">
        <f t="shared" si="571"/>
        <v>0</v>
      </c>
      <c r="Q1419" s="276">
        <f t="shared" si="571"/>
        <v>0</v>
      </c>
      <c r="R1419" s="1081"/>
    </row>
    <row r="1420" spans="5:26" ht="12" hidden="1" customHeight="1">
      <c r="E1420" s="517"/>
      <c r="R1420" s="1081"/>
    </row>
    <row r="1421" spans="5:26" ht="12" hidden="1" customHeight="1">
      <c r="E1421" s="517"/>
      <c r="R1421" s="1081"/>
    </row>
    <row r="1422" spans="5:26" ht="12" hidden="1" customHeight="1"/>
    <row r="1423" spans="5:26" ht="12" hidden="1" customHeight="1"/>
    <row r="1424" spans="5:26" ht="12" hidden="1" customHeight="1"/>
    <row r="1425" ht="12" hidden="1" customHeight="1"/>
    <row r="1426" ht="12" hidden="1" customHeight="1"/>
    <row r="1427" ht="12" hidden="1" customHeight="1"/>
    <row r="1428" ht="12" hidden="1" customHeight="1"/>
    <row r="1429" ht="12" hidden="1" customHeight="1"/>
    <row r="1430" ht="12" hidden="1" customHeight="1"/>
    <row r="1431" ht="12" hidden="1" customHeight="1"/>
    <row r="1432" ht="12" hidden="1" customHeight="1"/>
    <row r="1433" ht="12" hidden="1" customHeight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</sheetData>
  <protectedRanges>
    <protectedRange sqref="J4:L4 N4:P4 S4:U4 F4:H4" name="Range2_2_1"/>
    <protectedRange sqref="J4:L4 N4:P4 S4:U4 F4:H4" name="Range1_5_1"/>
    <protectedRange sqref="B4" name="Range2_2_1_1_1_1_2"/>
    <protectedRange sqref="B4" name="Range1_5_1_1_1_1_2"/>
    <protectedRange sqref="C1:H1 J1:L1 N1:P1 S1:U1" name="Range1_2"/>
    <protectedRange sqref="B1" name="Range1_1_1_2"/>
    <protectedRange sqref="C4" name="Range2_2_1_3_1"/>
    <protectedRange sqref="C4" name="Range1_5_1_3_1"/>
  </protectedRanges>
  <autoFilter ref="A7:AD1419">
    <filterColumn colId="24">
      <customFilters>
        <customFilter operator="notEqual" val=" "/>
      </customFilters>
    </filterColumn>
  </autoFilter>
  <mergeCells count="80">
    <mergeCell ref="C1313:E1313"/>
    <mergeCell ref="C1324:E1324"/>
    <mergeCell ref="C1299:E1299"/>
    <mergeCell ref="C1316:E1316"/>
    <mergeCell ref="C26:E26"/>
    <mergeCell ref="C28:E28"/>
    <mergeCell ref="C1272:E1272"/>
    <mergeCell ref="C1276:E1276"/>
    <mergeCell ref="C1280:E1280"/>
    <mergeCell ref="C1014:E1014"/>
    <mergeCell ref="C845:E845"/>
    <mergeCell ref="C692:E692"/>
    <mergeCell ref="C741:E741"/>
    <mergeCell ref="C965:E965"/>
    <mergeCell ref="C856:E856"/>
    <mergeCell ref="C433:E433"/>
    <mergeCell ref="S6:V6"/>
    <mergeCell ref="C8:E8"/>
    <mergeCell ref="C19:E19"/>
    <mergeCell ref="C25:E25"/>
    <mergeCell ref="F6:I6"/>
    <mergeCell ref="J6:M6"/>
    <mergeCell ref="N6:Q6"/>
    <mergeCell ref="W919:W926"/>
    <mergeCell ref="W1017:W1024"/>
    <mergeCell ref="C1003:E1003"/>
    <mergeCell ref="C542:E542"/>
    <mergeCell ref="C588:E588"/>
    <mergeCell ref="C599:E599"/>
    <mergeCell ref="C930:E930"/>
    <mergeCell ref="C954:E954"/>
    <mergeCell ref="C979:E979"/>
    <mergeCell ref="C681:E681"/>
    <mergeCell ref="C706:E706"/>
    <mergeCell ref="C870:E870"/>
    <mergeCell ref="C905:E905"/>
    <mergeCell ref="C916:E916"/>
    <mergeCell ref="C613:E613"/>
    <mergeCell ref="C730:E730"/>
    <mergeCell ref="C755:E755"/>
    <mergeCell ref="C314:E314"/>
    <mergeCell ref="C371:E371"/>
    <mergeCell ref="C396:E396"/>
    <mergeCell ref="C468:E468"/>
    <mergeCell ref="C528:E528"/>
    <mergeCell ref="C457:E457"/>
    <mergeCell ref="C482:E482"/>
    <mergeCell ref="C517:E517"/>
    <mergeCell ref="C1308:E1308"/>
    <mergeCell ref="C41:E41"/>
    <mergeCell ref="C87:E87"/>
    <mergeCell ref="C289:E289"/>
    <mergeCell ref="C112:E112"/>
    <mergeCell ref="C158:E158"/>
    <mergeCell ref="C183:E183"/>
    <mergeCell ref="C218:E218"/>
    <mergeCell ref="C243:E243"/>
    <mergeCell ref="C98:E98"/>
    <mergeCell ref="C169:E169"/>
    <mergeCell ref="C229:E229"/>
    <mergeCell ref="C1028:E1028"/>
    <mergeCell ref="C300:E300"/>
    <mergeCell ref="C382:E382"/>
    <mergeCell ref="C419:E419"/>
    <mergeCell ref="W6:W7"/>
    <mergeCell ref="C1270:E1270"/>
    <mergeCell ref="C1256:E1256"/>
    <mergeCell ref="C1349:E1349"/>
    <mergeCell ref="C1362:E1362"/>
    <mergeCell ref="C1052:E1052"/>
    <mergeCell ref="C1063:E1063"/>
    <mergeCell ref="C1209:E1209"/>
    <mergeCell ref="C1254:E1254"/>
    <mergeCell ref="C1267:E1267"/>
    <mergeCell ref="C1328:E1328"/>
    <mergeCell ref="C1332:E1332"/>
    <mergeCell ref="C1337:E1337"/>
    <mergeCell ref="C1341:E1341"/>
    <mergeCell ref="C1286:E1286"/>
    <mergeCell ref="C1293:E1293"/>
  </mergeCells>
  <pageMargins left="1.1000000000000001" right="0" top="0.19" bottom="0.31" header="0.18" footer="0.16"/>
  <pageSetup paperSize="5" scale="75" fitToHeight="20" orientation="landscape" horizontalDpi="300" verticalDpi="300" r:id="rId1"/>
  <headerFooter>
    <oddFooter>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00B0F0"/>
  </sheetPr>
  <dimension ref="A1:BF186"/>
  <sheetViews>
    <sheetView workbookViewId="0">
      <pane xSplit="1" ySplit="7" topLeftCell="AN8" activePane="bottomRight" state="frozen"/>
      <selection activeCell="B1" sqref="B1"/>
      <selection pane="topRight" activeCell="C1" sqref="C1"/>
      <selection pane="bottomLeft" activeCell="B8" sqref="B8"/>
      <selection pane="bottomRight" activeCell="AS13" sqref="AS13"/>
    </sheetView>
  </sheetViews>
  <sheetFormatPr defaultRowHeight="15"/>
  <cols>
    <col min="1" max="1" width="44.28515625" style="17" customWidth="1"/>
    <col min="2" max="2" width="18.28515625" style="852" customWidth="1"/>
    <col min="3" max="3" width="18" style="852" customWidth="1"/>
    <col min="4" max="4" width="17.85546875" style="852" customWidth="1"/>
    <col min="5" max="5" width="18.5703125" style="852" bestFit="1" customWidth="1"/>
    <col min="6" max="6" width="16.85546875" style="852" customWidth="1"/>
    <col min="7" max="7" width="18.7109375" style="852" customWidth="1"/>
    <col min="8" max="8" width="14" style="852" customWidth="1"/>
    <col min="9" max="9" width="8.28515625" style="852" customWidth="1"/>
    <col min="10" max="10" width="17.5703125" style="852" customWidth="1"/>
    <col min="11" max="13" width="18.5703125" style="852" customWidth="1"/>
    <col min="14" max="14" width="17.5703125" style="852" bestFit="1" customWidth="1"/>
    <col min="15" max="16" width="18.5703125" style="852" customWidth="1"/>
    <col min="17" max="17" width="18.5703125" style="852" bestFit="1" customWidth="1"/>
    <col min="18" max="18" width="5.7109375" style="852" hidden="1" customWidth="1"/>
    <col min="19" max="19" width="7.7109375" style="852" hidden="1" customWidth="1"/>
    <col min="20" max="20" width="5.7109375" style="852" hidden="1" customWidth="1"/>
    <col min="21" max="21" width="8.28515625" style="852" hidden="1" customWidth="1"/>
    <col min="22" max="22" width="12.85546875" style="852" bestFit="1" customWidth="1"/>
    <col min="23" max="25" width="18.28515625" style="852" bestFit="1" customWidth="1"/>
    <col min="26" max="26" width="17.5703125" style="852" bestFit="1" customWidth="1"/>
    <col min="27" max="28" width="18.5703125" style="852" bestFit="1" customWidth="1"/>
    <col min="29" max="29" width="25.7109375" style="852" customWidth="1"/>
    <col min="30" max="32" width="17.5703125" style="852" customWidth="1"/>
    <col min="33" max="33" width="18.5703125" style="852" customWidth="1"/>
    <col min="34" max="34" width="12.140625" style="852" customWidth="1"/>
    <col min="35" max="37" width="17.5703125" style="852" customWidth="1"/>
    <col min="38" max="38" width="17.7109375" style="852" bestFit="1" customWidth="1"/>
    <col min="39" max="39" width="19.7109375" style="852" customWidth="1"/>
    <col min="40" max="40" width="17.5703125" style="852" bestFit="1" customWidth="1"/>
    <col min="41" max="41" width="18.5703125" style="852" bestFit="1" customWidth="1"/>
    <col min="42" max="44" width="17.5703125" style="852" bestFit="1" customWidth="1"/>
    <col min="45" max="45" width="18.5703125" style="852" bestFit="1" customWidth="1"/>
    <col min="46" max="46" width="6.7109375" style="1133" bestFit="1" customWidth="1"/>
    <col min="47" max="47" width="7.7109375" style="1133" bestFit="1" customWidth="1"/>
    <col min="48" max="49" width="7.28515625" style="1133" bestFit="1" customWidth="1"/>
    <col min="50" max="50" width="5.7109375" style="17" bestFit="1" customWidth="1"/>
    <col min="51" max="51" width="14.85546875" style="17" bestFit="1" customWidth="1"/>
    <col min="52" max="52" width="5.7109375" style="17" bestFit="1" customWidth="1"/>
    <col min="53" max="53" width="14.85546875" style="17" bestFit="1" customWidth="1"/>
    <col min="54" max="54" width="20" style="17" customWidth="1"/>
    <col min="55" max="55" width="5.7109375" style="17" bestFit="1" customWidth="1"/>
    <col min="56" max="57" width="9.140625" style="17"/>
    <col min="58" max="58" width="16.85546875" style="17" bestFit="1" customWidth="1"/>
    <col min="59" max="16384" width="9.140625" style="17"/>
  </cols>
  <sheetData>
    <row r="1" spans="1:58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910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8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8">
      <c r="A3" s="15" t="s">
        <v>1117</v>
      </c>
      <c r="B3" s="189"/>
      <c r="C3" s="908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8">
      <c r="A4" s="16"/>
      <c r="B4" s="189"/>
      <c r="C4" s="90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8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496" t="s">
        <v>52</v>
      </c>
      <c r="AU5" s="1497"/>
      <c r="AV5" s="1497"/>
      <c r="AW5" s="1498"/>
      <c r="AX5" s="1499" t="s">
        <v>58</v>
      </c>
      <c r="AY5" s="1500"/>
      <c r="AZ5" s="1500"/>
      <c r="BA5" s="1501"/>
    </row>
    <row r="6" spans="1:58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1134"/>
      <c r="AU6" s="1135"/>
      <c r="AV6" s="1135"/>
      <c r="AW6" s="1136"/>
      <c r="AX6" s="829"/>
      <c r="AY6" s="830"/>
      <c r="AZ6" s="830"/>
      <c r="BA6" s="831"/>
    </row>
    <row r="7" spans="1:58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1137" t="s">
        <v>1</v>
      </c>
      <c r="AU7" s="1137" t="s">
        <v>2</v>
      </c>
      <c r="AV7" s="1137" t="s">
        <v>3</v>
      </c>
      <c r="AW7" s="1137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1138"/>
      <c r="AU8" s="1138"/>
      <c r="AV8" s="1138"/>
      <c r="AW8" s="1138"/>
      <c r="AX8" s="20"/>
      <c r="AY8" s="20"/>
      <c r="AZ8" s="20"/>
      <c r="BA8" s="19"/>
    </row>
    <row r="9" spans="1:58" s="24" customFormat="1" ht="18">
      <c r="A9" s="851" t="s">
        <v>953</v>
      </c>
      <c r="B9" s="855">
        <f>+'CY-FUR (REG)- Detail'!C292</f>
        <v>532206000</v>
      </c>
      <c r="C9" s="855">
        <f>+'CY-FUR (REG)- Detail'!D292</f>
        <v>11828961000</v>
      </c>
      <c r="D9" s="855">
        <f>+'CY-FUR (REG)- Detail'!E292</f>
        <v>11017892000</v>
      </c>
      <c r="E9" s="855">
        <f t="shared" ref="E9:E118" si="0">SUM(B9:D9)</f>
        <v>23379059000</v>
      </c>
      <c r="F9" s="855">
        <f>+'CY-FUR (REG)- Detail'!G292</f>
        <v>7085371</v>
      </c>
      <c r="G9" s="855">
        <f>+'CY-FUR (REG)- Detail'!H292</f>
        <v>-7085371</v>
      </c>
      <c r="H9" s="855">
        <f>+'CY-FUR (REG)- Detail'!I292</f>
        <v>0</v>
      </c>
      <c r="I9" s="855">
        <f t="shared" ref="I9:I17" si="1">SUM(F9:H9)</f>
        <v>0</v>
      </c>
      <c r="J9" s="855">
        <f t="shared" ref="J9:J17" si="2">+B9+F9</f>
        <v>539291371</v>
      </c>
      <c r="K9" s="855">
        <f t="shared" ref="K9:K17" si="3">+C9+G9</f>
        <v>11821875629</v>
      </c>
      <c r="L9" s="855">
        <f t="shared" ref="L9:L17" si="4">+D9+H9</f>
        <v>11017892000</v>
      </c>
      <c r="M9" s="855">
        <f t="shared" ref="M9:M17" si="5">SUM(J9:L9)</f>
        <v>23379059000</v>
      </c>
      <c r="N9" s="855">
        <f>+'CY-FUR (REG)- Detail'!O292</f>
        <v>539291371</v>
      </c>
      <c r="O9" s="855">
        <f>+'CY-FUR (REG)- Detail'!P292</f>
        <v>11821875629</v>
      </c>
      <c r="P9" s="855">
        <f>+'CY-FUR (REG)- Detail'!Q292</f>
        <v>11017892000</v>
      </c>
      <c r="Q9" s="855">
        <f t="shared" ref="Q9:Q118" si="6">SUM(N9:P9)</f>
        <v>23379059000</v>
      </c>
      <c r="R9" s="855">
        <f>+'CY-FUR (REG)- Detail'!S292</f>
        <v>0</v>
      </c>
      <c r="S9" s="855">
        <f>+'CY-FUR (REG)- Detail'!T292</f>
        <v>0</v>
      </c>
      <c r="T9" s="855">
        <f>+'CY-FUR (REG)- Detail'!U292</f>
        <v>0</v>
      </c>
      <c r="U9" s="855">
        <f>SUM(R9:T9)</f>
        <v>0</v>
      </c>
      <c r="V9" s="855">
        <f>+'CY-FUR (REG)- Detail'!W292</f>
        <v>-827006</v>
      </c>
      <c r="W9" s="855">
        <f>+'CY-FUR (REG)- Detail'!X292</f>
        <v>-3959941354.46</v>
      </c>
      <c r="X9" s="855">
        <f>+'CY-FUR (REG)- Detail'!Y292</f>
        <v>-5745606586.1000004</v>
      </c>
      <c r="Y9" s="855">
        <f t="shared" ref="Y9:Y118" si="7">SUM(V9:X9)</f>
        <v>-9706374946.5600014</v>
      </c>
      <c r="Z9" s="855">
        <f t="shared" ref="Z9:Z17" si="8">+N9+V9+R9</f>
        <v>538464365</v>
      </c>
      <c r="AA9" s="855">
        <f t="shared" ref="AA9:AA17" si="9">+O9+W9+S9</f>
        <v>7861934274.54</v>
      </c>
      <c r="AB9" s="855">
        <f t="shared" ref="AB9:AB17" si="10">+P9+X9+T9</f>
        <v>5272285413.8999996</v>
      </c>
      <c r="AC9" s="855">
        <f t="shared" ref="AC9:AC118" si="11">SUM(Z9:AB9)</f>
        <v>13672684053.439999</v>
      </c>
      <c r="AD9" s="855">
        <f>+'CY-FUR (REG)- Detail'!AE292</f>
        <v>444139018.09000033</v>
      </c>
      <c r="AE9" s="855">
        <f>+'CY-FUR (REG)- Detail'!AF292</f>
        <v>5604845475.2299995</v>
      </c>
      <c r="AF9" s="855">
        <f>+'CY-FUR (REG)- Detail'!AG292</f>
        <v>1210608291.3899992</v>
      </c>
      <c r="AG9" s="855">
        <f>SUM(AD9:AF9)</f>
        <v>7259592784.7099991</v>
      </c>
      <c r="AH9" s="855">
        <f>+'CY-FUR (REG)- Detail'!AI292</f>
        <v>0</v>
      </c>
      <c r="AI9" s="855">
        <f>+'CY-FUR (REG)- Detail'!AJ292</f>
        <v>8.0093741416931152E-8</v>
      </c>
      <c r="AJ9" s="855">
        <f>+'CY-FUR (REG)- Detail'!AK292</f>
        <v>-1.4156103134155273E-7</v>
      </c>
      <c r="AK9" s="855">
        <f>SUM(AH9:AJ9)</f>
        <v>-6.1467289924621582E-8</v>
      </c>
      <c r="AL9" s="856">
        <f t="shared" ref="AL9:AL17" si="12">+AH9+AD9</f>
        <v>444139018.09000033</v>
      </c>
      <c r="AM9" s="856">
        <f t="shared" ref="AM9:AM17" si="13">+AI9+AE9</f>
        <v>5604845475.2299995</v>
      </c>
      <c r="AN9" s="856">
        <f t="shared" ref="AN9:AN17" si="14">+AJ9+AF9</f>
        <v>1210608291.3899989</v>
      </c>
      <c r="AO9" s="855">
        <f t="shared" ref="AO9:AO118" si="15">SUM(AL9:AN9)</f>
        <v>7259592784.7099991</v>
      </c>
      <c r="AP9" s="855">
        <f t="shared" ref="AP9" si="16">+Z9-AL9</f>
        <v>94325346.909999669</v>
      </c>
      <c r="AQ9" s="855">
        <f t="shared" ref="AQ9" si="17">+AA9-AM9</f>
        <v>2257088799.3100004</v>
      </c>
      <c r="AR9" s="855">
        <f t="shared" ref="AR9" si="18">+AB9-AN9</f>
        <v>4061677122.5100007</v>
      </c>
      <c r="AS9" s="855">
        <f t="shared" ref="AS9:AS118" si="19">SUM(AP9:AR9)</f>
        <v>6413091268.7300014</v>
      </c>
      <c r="AT9" s="1139">
        <f>IF(Z9=0," ",AL9/Z9)</f>
        <v>0.824825275280752</v>
      </c>
      <c r="AU9" s="1139">
        <f>IF(AA9=0," ",AM9/AA9)</f>
        <v>0.71290922558086867</v>
      </c>
      <c r="AV9" s="1139">
        <f>IF(AB9=0," ",AN9/AB9)</f>
        <v>0.22961736635090307</v>
      </c>
      <c r="AW9" s="1139">
        <f>IF(AC9=0," ",AO9/AC9)</f>
        <v>0.530955937863825</v>
      </c>
      <c r="AX9" s="22">
        <f t="shared" ref="AX9" si="20">+J9-N9</f>
        <v>0</v>
      </c>
      <c r="AY9" s="22">
        <f t="shared" ref="AY9" si="21">+K9-O9</f>
        <v>0</v>
      </c>
      <c r="AZ9" s="22">
        <f t="shared" ref="AZ9" si="22">+L9-P9</f>
        <v>0</v>
      </c>
      <c r="BA9" s="22">
        <f t="shared" ref="BA9" si="23">SUM(AX9:AZ9)</f>
        <v>0</v>
      </c>
      <c r="BB9" s="824">
        <f>+AS9-'CY (ALL FUNDS)'!Q12</f>
        <v>0</v>
      </c>
      <c r="BF9" s="824">
        <f>+O9-AE9</f>
        <v>6217030153.7700005</v>
      </c>
    </row>
    <row r="10" spans="1:58" s="24" customFormat="1" ht="18">
      <c r="A10" s="582"/>
      <c r="B10" s="855"/>
      <c r="C10" s="855"/>
      <c r="D10" s="855"/>
      <c r="E10" s="855">
        <f t="shared" si="0"/>
        <v>0</v>
      </c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>
        <f t="shared" si="6"/>
        <v>0</v>
      </c>
      <c r="R10" s="855"/>
      <c r="S10" s="855"/>
      <c r="T10" s="855"/>
      <c r="U10" s="855"/>
      <c r="V10" s="855"/>
      <c r="W10" s="855"/>
      <c r="X10" s="855"/>
      <c r="Y10" s="855">
        <f t="shared" si="7"/>
        <v>0</v>
      </c>
      <c r="Z10" s="855"/>
      <c r="AA10" s="855"/>
      <c r="AB10" s="855"/>
      <c r="AC10" s="855">
        <f t="shared" si="11"/>
        <v>0</v>
      </c>
      <c r="AD10" s="855"/>
      <c r="AE10" s="855"/>
      <c r="AF10" s="855"/>
      <c r="AG10" s="855"/>
      <c r="AH10" s="855"/>
      <c r="AI10" s="855"/>
      <c r="AJ10" s="855"/>
      <c r="AK10" s="855"/>
      <c r="AL10" s="855"/>
      <c r="AM10" s="855"/>
      <c r="AN10" s="855"/>
      <c r="AO10" s="855">
        <f t="shared" si="15"/>
        <v>0</v>
      </c>
      <c r="AP10" s="855">
        <f t="shared" ref="AP10:AP73" si="24">+Z10-AL10</f>
        <v>0</v>
      </c>
      <c r="AQ10" s="855">
        <f t="shared" ref="AQ10:AQ73" si="25">+AA10-AM10</f>
        <v>0</v>
      </c>
      <c r="AR10" s="855">
        <f t="shared" ref="AR10:AR73" si="26">+AB10-AN10</f>
        <v>0</v>
      </c>
      <c r="AS10" s="855">
        <f t="shared" si="19"/>
        <v>0</v>
      </c>
      <c r="AT10" s="1139" t="str">
        <f t="shared" ref="AT10:AT73" si="27">IF(Z10=0," ",AL10/Z10)</f>
        <v xml:space="preserve"> </v>
      </c>
      <c r="AU10" s="1139" t="str">
        <f t="shared" ref="AU10:AU73" si="28">IF(AA10=0," ",AM10/AA10)</f>
        <v xml:space="preserve"> </v>
      </c>
      <c r="AV10" s="1139" t="str">
        <f t="shared" ref="AV10:AV73" si="29">IF(AB10=0," ",AN10/AB10)</f>
        <v xml:space="preserve"> </v>
      </c>
      <c r="AW10" s="1139" t="str">
        <f t="shared" ref="AW10:AW73" si="30">IF(AC10=0," ",AO10/AC10)</f>
        <v xml:space="preserve"> </v>
      </c>
      <c r="AX10" s="22">
        <f t="shared" ref="AX10:AX73" si="31">+J10-N10</f>
        <v>0</v>
      </c>
      <c r="AY10" s="22">
        <f t="shared" ref="AY10:AY73" si="32">+K10-O10</f>
        <v>0</v>
      </c>
      <c r="AZ10" s="22">
        <f t="shared" ref="AZ10:AZ73" si="33">+L10-P10</f>
        <v>0</v>
      </c>
      <c r="BA10" s="22">
        <f t="shared" ref="BA10:BA73" si="34">SUM(AX10:AZ10)</f>
        <v>0</v>
      </c>
      <c r="BB10" s="23"/>
      <c r="BC10" s="23"/>
      <c r="BD10" s="23"/>
      <c r="BF10" s="824">
        <f t="shared" ref="BF10:BF73" si="35">+O10-AE10</f>
        <v>0</v>
      </c>
    </row>
    <row r="11" spans="1:58" s="24" customFormat="1" ht="18">
      <c r="A11" s="575" t="s">
        <v>952</v>
      </c>
      <c r="B11" s="855">
        <f>+'CY-FUR (REG)- Detail'!C263</f>
        <v>0</v>
      </c>
      <c r="C11" s="855">
        <f>+'CY-FUR (REG)- Detail'!D263</f>
        <v>223684000</v>
      </c>
      <c r="D11" s="855">
        <f>+'CY-FUR (REG)- Detail'!E263</f>
        <v>46176000</v>
      </c>
      <c r="E11" s="855">
        <f t="shared" si="0"/>
        <v>269860000</v>
      </c>
      <c r="F11" s="855">
        <f>+'CY-FUR (REG)- Detail'!G263</f>
        <v>0</v>
      </c>
      <c r="G11" s="855">
        <f>+'CY-FUR (REG)- Detail'!H263</f>
        <v>0</v>
      </c>
      <c r="H11" s="855">
        <f>+'CY-FUR (REG)- Detail'!I263</f>
        <v>0</v>
      </c>
      <c r="I11" s="855">
        <f t="shared" si="1"/>
        <v>0</v>
      </c>
      <c r="J11" s="855">
        <f t="shared" si="2"/>
        <v>0</v>
      </c>
      <c r="K11" s="855">
        <f t="shared" si="3"/>
        <v>223684000</v>
      </c>
      <c r="L11" s="855">
        <f t="shared" si="4"/>
        <v>46176000</v>
      </c>
      <c r="M11" s="855">
        <f t="shared" si="5"/>
        <v>269860000</v>
      </c>
      <c r="N11" s="855">
        <f>+'CY-FUR (REG)- Detail'!O263</f>
        <v>0</v>
      </c>
      <c r="O11" s="855">
        <f>+'CY-FUR (REG)- Detail'!P263</f>
        <v>223684000</v>
      </c>
      <c r="P11" s="855">
        <f>+'CY-FUR (REG)- Detail'!Q263</f>
        <v>46176000</v>
      </c>
      <c r="Q11" s="855">
        <f t="shared" si="6"/>
        <v>269860000</v>
      </c>
      <c r="R11" s="855">
        <f>+'CY-FUR (REG)- Detail'!S263</f>
        <v>0</v>
      </c>
      <c r="S11" s="855">
        <f>+'CY-FUR (REG)- Detail'!T263</f>
        <v>0</v>
      </c>
      <c r="T11" s="855">
        <f>+'CY-FUR (REG)- Detail'!U263</f>
        <v>0</v>
      </c>
      <c r="U11" s="855">
        <f>SUM(R11:T11)</f>
        <v>0</v>
      </c>
      <c r="V11" s="855">
        <f>+'CY-FUR (REG)- Detail'!W263</f>
        <v>0</v>
      </c>
      <c r="W11" s="855">
        <f>+'CY-FUR (REG)- Detail'!X263</f>
        <v>0</v>
      </c>
      <c r="X11" s="855">
        <f>+'CY-FUR (REG)- Detail'!Y263</f>
        <v>0</v>
      </c>
      <c r="Y11" s="855">
        <f t="shared" si="7"/>
        <v>0</v>
      </c>
      <c r="Z11" s="855">
        <f t="shared" si="8"/>
        <v>0</v>
      </c>
      <c r="AA11" s="855">
        <f t="shared" si="9"/>
        <v>223684000</v>
      </c>
      <c r="AB11" s="855">
        <f t="shared" si="10"/>
        <v>46176000</v>
      </c>
      <c r="AC11" s="855">
        <f t="shared" si="11"/>
        <v>269860000</v>
      </c>
      <c r="AD11" s="855">
        <f>+'CY-FUR (REG)- Detail'!AE263</f>
        <v>0</v>
      </c>
      <c r="AE11" s="855">
        <f>+'CY-FUR (REG)- Detail'!AF263</f>
        <v>32337772.780000001</v>
      </c>
      <c r="AF11" s="855">
        <f>+'CY-FUR (REG)- Detail'!AG263</f>
        <v>0</v>
      </c>
      <c r="AG11" s="855">
        <f t="shared" ref="AG11:AG105" si="36">SUM(AD11:AF11)</f>
        <v>32337772.780000001</v>
      </c>
      <c r="AH11" s="855">
        <f>+'CY-FUR (REG)- Detail'!AI263</f>
        <v>0</v>
      </c>
      <c r="AI11" s="855">
        <f>+'CY-FUR (REG)- Detail'!AJ263</f>
        <v>0</v>
      </c>
      <c r="AJ11" s="855">
        <f>+'CY-FUR (REG)- Detail'!AK263</f>
        <v>0</v>
      </c>
      <c r="AK11" s="855">
        <f t="shared" ref="AK11:AK105" si="37">SUM(AH11:AJ11)</f>
        <v>0</v>
      </c>
      <c r="AL11" s="855">
        <f t="shared" si="12"/>
        <v>0</v>
      </c>
      <c r="AM11" s="855">
        <f t="shared" si="13"/>
        <v>32337772.780000001</v>
      </c>
      <c r="AN11" s="855">
        <f t="shared" si="14"/>
        <v>0</v>
      </c>
      <c r="AO11" s="855">
        <f t="shared" si="15"/>
        <v>32337772.780000001</v>
      </c>
      <c r="AP11" s="855">
        <f t="shared" si="24"/>
        <v>0</v>
      </c>
      <c r="AQ11" s="855">
        <f t="shared" si="25"/>
        <v>191346227.22</v>
      </c>
      <c r="AR11" s="855">
        <f t="shared" si="26"/>
        <v>46176000</v>
      </c>
      <c r="AS11" s="855">
        <f t="shared" si="19"/>
        <v>237522227.22</v>
      </c>
      <c r="AT11" s="1139" t="str">
        <f t="shared" si="27"/>
        <v xml:space="preserve"> </v>
      </c>
      <c r="AU11" s="1139">
        <f t="shared" si="28"/>
        <v>0.144569002610826</v>
      </c>
      <c r="AV11" s="1139">
        <f t="shared" si="29"/>
        <v>0</v>
      </c>
      <c r="AW11" s="1139">
        <f t="shared" si="30"/>
        <v>0.11983166375157489</v>
      </c>
      <c r="AX11" s="22">
        <f t="shared" si="31"/>
        <v>0</v>
      </c>
      <c r="AY11" s="22">
        <f t="shared" si="32"/>
        <v>0</v>
      </c>
      <c r="AZ11" s="22">
        <f t="shared" si="33"/>
        <v>0</v>
      </c>
      <c r="BA11" s="22">
        <f t="shared" si="34"/>
        <v>0</v>
      </c>
      <c r="BB11" s="823">
        <f>+AS11-'CY (ALL FUNDS)'!Q35</f>
        <v>0</v>
      </c>
      <c r="BC11" s="823">
        <f>+AS11-'CY (ALL FUNDS)'!Q1710</f>
        <v>0</v>
      </c>
      <c r="BD11" s="23"/>
      <c r="BF11" s="824">
        <f t="shared" si="35"/>
        <v>191346227.22</v>
      </c>
    </row>
    <row r="12" spans="1:58" s="24" customFormat="1" ht="18">
      <c r="A12" s="582"/>
      <c r="B12" s="855"/>
      <c r="C12" s="855"/>
      <c r="D12" s="855"/>
      <c r="E12" s="855">
        <f t="shared" si="0"/>
        <v>0</v>
      </c>
      <c r="F12" s="855"/>
      <c r="G12" s="855"/>
      <c r="H12" s="855"/>
      <c r="I12" s="855"/>
      <c r="J12" s="855"/>
      <c r="K12" s="855"/>
      <c r="L12" s="855"/>
      <c r="M12" s="855"/>
      <c r="N12" s="855"/>
      <c r="O12" s="855"/>
      <c r="P12" s="855"/>
      <c r="Q12" s="855">
        <f t="shared" si="6"/>
        <v>0</v>
      </c>
      <c r="R12" s="855"/>
      <c r="S12" s="855"/>
      <c r="T12" s="855"/>
      <c r="U12" s="855"/>
      <c r="V12" s="855"/>
      <c r="W12" s="855"/>
      <c r="X12" s="855"/>
      <c r="Y12" s="855">
        <f t="shared" si="7"/>
        <v>0</v>
      </c>
      <c r="Z12" s="855"/>
      <c r="AA12" s="855"/>
      <c r="AB12" s="855"/>
      <c r="AC12" s="855">
        <f t="shared" si="11"/>
        <v>0</v>
      </c>
      <c r="AD12" s="855"/>
      <c r="AE12" s="855"/>
      <c r="AF12" s="855"/>
      <c r="AG12" s="855"/>
      <c r="AH12" s="855"/>
      <c r="AI12" s="855"/>
      <c r="AJ12" s="855"/>
      <c r="AK12" s="855"/>
      <c r="AL12" s="855"/>
      <c r="AM12" s="855"/>
      <c r="AN12" s="855"/>
      <c r="AO12" s="855">
        <f t="shared" si="15"/>
        <v>0</v>
      </c>
      <c r="AP12" s="855">
        <f t="shared" si="24"/>
        <v>0</v>
      </c>
      <c r="AQ12" s="855">
        <f t="shared" si="25"/>
        <v>0</v>
      </c>
      <c r="AR12" s="855">
        <f t="shared" si="26"/>
        <v>0</v>
      </c>
      <c r="AS12" s="855">
        <f t="shared" si="19"/>
        <v>0</v>
      </c>
      <c r="AT12" s="1139" t="str">
        <f t="shared" si="27"/>
        <v xml:space="preserve"> </v>
      </c>
      <c r="AU12" s="1139" t="str">
        <f t="shared" si="28"/>
        <v xml:space="preserve"> </v>
      </c>
      <c r="AV12" s="1139" t="str">
        <f t="shared" si="29"/>
        <v xml:space="preserve"> </v>
      </c>
      <c r="AW12" s="1139" t="str">
        <f t="shared" si="30"/>
        <v xml:space="preserve"> </v>
      </c>
      <c r="AX12" s="22">
        <f t="shared" si="31"/>
        <v>0</v>
      </c>
      <c r="AY12" s="22">
        <f t="shared" si="32"/>
        <v>0</v>
      </c>
      <c r="AZ12" s="22">
        <f t="shared" si="33"/>
        <v>0</v>
      </c>
      <c r="BA12" s="22">
        <f t="shared" si="34"/>
        <v>0</v>
      </c>
      <c r="BB12" s="23"/>
      <c r="BC12" s="23"/>
      <c r="BD12" s="23"/>
      <c r="BF12" s="824">
        <f t="shared" si="35"/>
        <v>0</v>
      </c>
    </row>
    <row r="13" spans="1:58" s="607" customFormat="1" ht="18">
      <c r="A13" s="575" t="s">
        <v>954</v>
      </c>
      <c r="B13" s="855">
        <f>+'CY-FUR (REG)- Detail'!C37+'CY-FUR (REG)- Detail'!C38+'CY-FUR (REG)- Detail'!C39</f>
        <v>129243000</v>
      </c>
      <c r="C13" s="855">
        <f>+'CY-FUR (REG)- Detail'!D37+'CY-FUR (REG)- Detail'!D38+'CY-FUR (REG)- Detail'!D39</f>
        <v>122379000</v>
      </c>
      <c r="D13" s="855">
        <f>+'CY-FUR (REG)- Detail'!E37+'CY-FUR (REG)- Detail'!E38+'CY-FUR (REG)- Detail'!E39</f>
        <v>0</v>
      </c>
      <c r="E13" s="855">
        <f t="shared" si="0"/>
        <v>251622000</v>
      </c>
      <c r="F13" s="855">
        <f>+'CY-FUR (REG)- Detail'!G37+'CY-FUR (REG)- Detail'!G38+'CY-FUR (REG)- Detail'!G39</f>
        <v>467000</v>
      </c>
      <c r="G13" s="855">
        <f>+'CY-FUR (REG)- Detail'!H37+'CY-FUR (REG)- Detail'!H38+'CY-FUR (REG)- Detail'!H39</f>
        <v>-467000</v>
      </c>
      <c r="H13" s="855">
        <f>+'CY-FUR (REG)- Detail'!I37+'CY-FUR (REG)- Detail'!I38+'CY-FUR (REG)- Detail'!I39</f>
        <v>0</v>
      </c>
      <c r="I13" s="855">
        <f t="shared" si="1"/>
        <v>0</v>
      </c>
      <c r="J13" s="855">
        <f t="shared" si="2"/>
        <v>129710000</v>
      </c>
      <c r="K13" s="855">
        <f t="shared" si="3"/>
        <v>121912000</v>
      </c>
      <c r="L13" s="855">
        <f t="shared" si="4"/>
        <v>0</v>
      </c>
      <c r="M13" s="855">
        <f t="shared" si="5"/>
        <v>251622000</v>
      </c>
      <c r="N13" s="855">
        <f>+'CY-FUR (REG)- Detail'!O37+'CY-FUR (REG)- Detail'!O38+'CY-FUR (REG)- Detail'!O39</f>
        <v>129710000</v>
      </c>
      <c r="O13" s="855">
        <f>+'CY-FUR (REG)- Detail'!P37+'CY-FUR (REG)- Detail'!P38+'CY-FUR (REG)- Detail'!P39</f>
        <v>121912000</v>
      </c>
      <c r="P13" s="855">
        <f>+'CY-FUR (REG)- Detail'!Q37+'CY-FUR (REG)- Detail'!Q38+'CY-FUR (REG)- Detail'!Q39</f>
        <v>0</v>
      </c>
      <c r="Q13" s="855">
        <f t="shared" si="6"/>
        <v>251622000</v>
      </c>
      <c r="R13" s="855">
        <f>+'CY-FUR (REG)- Detail'!S37+'CY-FUR (REG)- Detail'!S38+'CY-FUR (REG)- Detail'!S39</f>
        <v>0</v>
      </c>
      <c r="S13" s="855">
        <f>+'CY-FUR (REG)- Detail'!T37+'CY-FUR (REG)- Detail'!T38+'CY-FUR (REG)- Detail'!T39</f>
        <v>0</v>
      </c>
      <c r="T13" s="855">
        <f>+'CY-FUR (REG)- Detail'!U37+'CY-FUR (REG)- Detail'!U38+'CY-FUR (REG)- Detail'!U39</f>
        <v>0</v>
      </c>
      <c r="U13" s="855">
        <f>SUM(R13:T13)</f>
        <v>0</v>
      </c>
      <c r="V13" s="855">
        <f>+'CY-FUR (REG)- Detail'!W37+'CY-FUR (REG)- Detail'!W38+'CY-FUR (REG)- Detail'!W39</f>
        <v>0</v>
      </c>
      <c r="W13" s="855">
        <f>+'CY-FUR (REG)- Detail'!X37+'CY-FUR (REG)- Detail'!X38+'CY-FUR (REG)- Detail'!X39</f>
        <v>0</v>
      </c>
      <c r="X13" s="855">
        <f>+'CY-FUR (REG)- Detail'!Y37+'CY-FUR (REG)- Detail'!Y38+'CY-FUR (REG)- Detail'!Y39</f>
        <v>0</v>
      </c>
      <c r="Y13" s="855">
        <f t="shared" si="7"/>
        <v>0</v>
      </c>
      <c r="Z13" s="855">
        <f t="shared" si="8"/>
        <v>129710000</v>
      </c>
      <c r="AA13" s="855">
        <f t="shared" si="9"/>
        <v>121912000</v>
      </c>
      <c r="AB13" s="855">
        <f t="shared" si="10"/>
        <v>0</v>
      </c>
      <c r="AC13" s="855">
        <f t="shared" si="11"/>
        <v>251622000</v>
      </c>
      <c r="AD13" s="855">
        <f>+'CY-FUR (REG)- Detail'!AE37+'CY-FUR (REG)- Detail'!AE38+'CY-FUR (REG)- Detail'!AE39</f>
        <v>128335787.43000001</v>
      </c>
      <c r="AE13" s="855">
        <f>+'CY-FUR (REG)- Detail'!AF37+'CY-FUR (REG)- Detail'!AF38+'CY-FUR (REG)- Detail'!AF39</f>
        <v>91842216.609999999</v>
      </c>
      <c r="AF13" s="855">
        <f>+'CY-FUR (REG)- Detail'!AG37+'CY-FUR (REG)- Detail'!AG38+'CY-FUR (REG)- Detail'!AG39</f>
        <v>0</v>
      </c>
      <c r="AG13" s="855">
        <f>SUM(AD13:AF13)</f>
        <v>220178004.04000002</v>
      </c>
      <c r="AH13" s="855">
        <f>+'CY-FUR (REG)- Detail'!AI37+'CY-FUR (REG)- Detail'!AI38+'CY-FUR (REG)- Detail'!AI39</f>
        <v>0</v>
      </c>
      <c r="AI13" s="855">
        <f>+'CY-FUR (REG)- Detail'!AJ37+'CY-FUR (REG)- Detail'!AJ38+'CY-FUR (REG)- Detail'!AJ39</f>
        <v>0</v>
      </c>
      <c r="AJ13" s="855">
        <f>+'CY-FUR (REG)- Detail'!AK37+'CY-FUR (REG)- Detail'!AK38+'CY-FUR (REG)- Detail'!AK39</f>
        <v>0</v>
      </c>
      <c r="AK13" s="855">
        <f>SUM(AH13:AJ13)</f>
        <v>0</v>
      </c>
      <c r="AL13" s="866">
        <f t="shared" si="12"/>
        <v>128335787.43000001</v>
      </c>
      <c r="AM13" s="866">
        <f t="shared" si="13"/>
        <v>91842216.609999999</v>
      </c>
      <c r="AN13" s="866">
        <f t="shared" si="14"/>
        <v>0</v>
      </c>
      <c r="AO13" s="855">
        <f t="shared" si="15"/>
        <v>220178004.04000002</v>
      </c>
      <c r="AP13" s="855">
        <f t="shared" si="24"/>
        <v>1374212.5699999928</v>
      </c>
      <c r="AQ13" s="855">
        <f t="shared" si="25"/>
        <v>30069783.390000001</v>
      </c>
      <c r="AR13" s="855">
        <f t="shared" si="26"/>
        <v>0</v>
      </c>
      <c r="AS13" s="855">
        <f t="shared" si="19"/>
        <v>31443995.959999993</v>
      </c>
      <c r="AT13" s="1139">
        <f t="shared" si="27"/>
        <v>0.98940550019273765</v>
      </c>
      <c r="AU13" s="1139">
        <f t="shared" si="28"/>
        <v>0.75334845306450549</v>
      </c>
      <c r="AV13" s="1139" t="str">
        <f t="shared" si="29"/>
        <v xml:space="preserve"> </v>
      </c>
      <c r="AW13" s="1139">
        <f t="shared" si="30"/>
        <v>0.87503479043962773</v>
      </c>
      <c r="AX13" s="22">
        <f t="shared" si="31"/>
        <v>0</v>
      </c>
      <c r="AY13" s="22">
        <f t="shared" si="32"/>
        <v>0</v>
      </c>
      <c r="AZ13" s="22">
        <f t="shared" si="33"/>
        <v>0</v>
      </c>
      <c r="BA13" s="22">
        <f t="shared" si="34"/>
        <v>0</v>
      </c>
      <c r="BB13" s="826">
        <f>+AS13-'CY (ALL FUNDS)'!Q1714</f>
        <v>0</v>
      </c>
      <c r="BF13" s="824">
        <f t="shared" si="35"/>
        <v>30069783.390000001</v>
      </c>
    </row>
    <row r="14" spans="1:58" s="607" customFormat="1" ht="18">
      <c r="A14" s="575"/>
      <c r="B14" s="855"/>
      <c r="C14" s="855"/>
      <c r="D14" s="855"/>
      <c r="E14" s="855">
        <f t="shared" si="0"/>
        <v>0</v>
      </c>
      <c r="F14" s="855"/>
      <c r="G14" s="855"/>
      <c r="H14" s="855"/>
      <c r="I14" s="855">
        <f t="shared" si="1"/>
        <v>0</v>
      </c>
      <c r="J14" s="855">
        <f t="shared" si="2"/>
        <v>0</v>
      </c>
      <c r="K14" s="855">
        <f t="shared" si="3"/>
        <v>0</v>
      </c>
      <c r="L14" s="855">
        <f t="shared" si="4"/>
        <v>0</v>
      </c>
      <c r="M14" s="855">
        <f t="shared" si="5"/>
        <v>0</v>
      </c>
      <c r="N14" s="855"/>
      <c r="O14" s="855"/>
      <c r="P14" s="855"/>
      <c r="Q14" s="855">
        <f t="shared" si="6"/>
        <v>0</v>
      </c>
      <c r="R14" s="855"/>
      <c r="S14" s="855"/>
      <c r="T14" s="855"/>
      <c r="U14" s="855"/>
      <c r="V14" s="855"/>
      <c r="W14" s="855"/>
      <c r="X14" s="855"/>
      <c r="Y14" s="855">
        <f t="shared" si="7"/>
        <v>0</v>
      </c>
      <c r="Z14" s="855">
        <f t="shared" si="8"/>
        <v>0</v>
      </c>
      <c r="AA14" s="855">
        <f t="shared" si="9"/>
        <v>0</v>
      </c>
      <c r="AB14" s="855">
        <f t="shared" si="10"/>
        <v>0</v>
      </c>
      <c r="AC14" s="855">
        <f t="shared" si="11"/>
        <v>0</v>
      </c>
      <c r="AD14" s="855"/>
      <c r="AE14" s="855"/>
      <c r="AF14" s="855"/>
      <c r="AG14" s="855"/>
      <c r="AH14" s="855"/>
      <c r="AI14" s="855"/>
      <c r="AJ14" s="855"/>
      <c r="AK14" s="855"/>
      <c r="AL14" s="867"/>
      <c r="AM14" s="867"/>
      <c r="AN14" s="867"/>
      <c r="AO14" s="855">
        <f t="shared" si="15"/>
        <v>0</v>
      </c>
      <c r="AP14" s="855">
        <f t="shared" si="24"/>
        <v>0</v>
      </c>
      <c r="AQ14" s="855">
        <f t="shared" si="25"/>
        <v>0</v>
      </c>
      <c r="AR14" s="855">
        <f t="shared" si="26"/>
        <v>0</v>
      </c>
      <c r="AS14" s="855">
        <f t="shared" si="19"/>
        <v>0</v>
      </c>
      <c r="AT14" s="1139" t="str">
        <f t="shared" si="27"/>
        <v xml:space="preserve"> </v>
      </c>
      <c r="AU14" s="1139" t="str">
        <f t="shared" si="28"/>
        <v xml:space="preserve"> </v>
      </c>
      <c r="AV14" s="1139" t="str">
        <f t="shared" si="29"/>
        <v xml:space="preserve"> </v>
      </c>
      <c r="AW14" s="1139" t="str">
        <f t="shared" si="30"/>
        <v xml:space="preserve"> </v>
      </c>
      <c r="AX14" s="22">
        <f t="shared" si="31"/>
        <v>0</v>
      </c>
      <c r="AY14" s="22">
        <f t="shared" si="32"/>
        <v>0</v>
      </c>
      <c r="AZ14" s="22">
        <f t="shared" si="33"/>
        <v>0</v>
      </c>
      <c r="BA14" s="22">
        <f t="shared" si="34"/>
        <v>0</v>
      </c>
      <c r="BF14" s="824">
        <f t="shared" si="35"/>
        <v>0</v>
      </c>
    </row>
    <row r="15" spans="1:58" s="607" customFormat="1" ht="18">
      <c r="A15" s="575" t="s">
        <v>750</v>
      </c>
      <c r="B15" s="855">
        <f>+'CY-FUR (REG)- Detail'!C42</f>
        <v>71193000</v>
      </c>
      <c r="C15" s="855">
        <f>+'CY-FUR (REG)- Detail'!D42</f>
        <v>42500000</v>
      </c>
      <c r="D15" s="855">
        <f>+'CY-FUR (REG)- Detail'!E42</f>
        <v>22000000</v>
      </c>
      <c r="E15" s="855">
        <f t="shared" si="0"/>
        <v>135693000</v>
      </c>
      <c r="F15" s="855">
        <f>+'CY-FUR (REG)- Detail'!G42</f>
        <v>0</v>
      </c>
      <c r="G15" s="855">
        <f>+'CY-FUR (REG)- Detail'!H42</f>
        <v>0</v>
      </c>
      <c r="H15" s="855">
        <f>+'CY-FUR (REG)- Detail'!I42</f>
        <v>0</v>
      </c>
      <c r="I15" s="855">
        <f t="shared" si="1"/>
        <v>0</v>
      </c>
      <c r="J15" s="855">
        <f t="shared" si="2"/>
        <v>71193000</v>
      </c>
      <c r="K15" s="855">
        <f t="shared" si="3"/>
        <v>42500000</v>
      </c>
      <c r="L15" s="855">
        <f t="shared" si="4"/>
        <v>22000000</v>
      </c>
      <c r="M15" s="855">
        <f t="shared" si="5"/>
        <v>135693000</v>
      </c>
      <c r="N15" s="855">
        <f>+'CY-FUR (REG)- Detail'!O42</f>
        <v>71193000</v>
      </c>
      <c r="O15" s="855">
        <f>+'CY-FUR (REG)- Detail'!P42</f>
        <v>42500000</v>
      </c>
      <c r="P15" s="855">
        <f>+'CY-FUR (REG)- Detail'!Q42</f>
        <v>22000000</v>
      </c>
      <c r="Q15" s="855">
        <f t="shared" si="6"/>
        <v>135693000</v>
      </c>
      <c r="R15" s="855">
        <f>+'CY-FUR (REG)- Detail'!S42</f>
        <v>0</v>
      </c>
      <c r="S15" s="855">
        <f>+'CY-FUR (REG)- Detail'!T42</f>
        <v>0</v>
      </c>
      <c r="T15" s="855">
        <f>+'CY-FUR (REG)- Detail'!U42</f>
        <v>0</v>
      </c>
      <c r="U15" s="855">
        <f>SUM(R15:T15)</f>
        <v>0</v>
      </c>
      <c r="V15" s="855">
        <f>+'CY-FUR (REG)- Detail'!W42</f>
        <v>0</v>
      </c>
      <c r="W15" s="855">
        <f>+'CY-FUR (REG)- Detail'!X42</f>
        <v>0</v>
      </c>
      <c r="X15" s="855">
        <f>+'CY-FUR (REG)- Detail'!Y42</f>
        <v>0</v>
      </c>
      <c r="Y15" s="855">
        <f t="shared" si="7"/>
        <v>0</v>
      </c>
      <c r="Z15" s="855">
        <f t="shared" si="8"/>
        <v>71193000</v>
      </c>
      <c r="AA15" s="855">
        <f t="shared" si="9"/>
        <v>42500000</v>
      </c>
      <c r="AB15" s="855">
        <f t="shared" si="10"/>
        <v>22000000</v>
      </c>
      <c r="AC15" s="855">
        <f t="shared" si="11"/>
        <v>135693000</v>
      </c>
      <c r="AD15" s="855">
        <f>+'CY-FUR (REG)- Detail'!AE42</f>
        <v>67758248.069999993</v>
      </c>
      <c r="AE15" s="855">
        <f>+'CY-FUR (REG)- Detail'!AF42</f>
        <v>35715646.200000003</v>
      </c>
      <c r="AF15" s="855">
        <f>+'CY-FUR (REG)- Detail'!AG42</f>
        <v>8121591.8600000003</v>
      </c>
      <c r="AG15" s="855">
        <f>SUM(AD15:AF15)</f>
        <v>111595486.13</v>
      </c>
      <c r="AH15" s="855">
        <f>+'CY-FUR (REG)- Detail'!AI42</f>
        <v>0</v>
      </c>
      <c r="AI15" s="855">
        <f>+'CY-FUR (REG)- Detail'!AJ42</f>
        <v>0</v>
      </c>
      <c r="AJ15" s="855">
        <f>+'CY-FUR (REG)- Detail'!AK42</f>
        <v>0</v>
      </c>
      <c r="AK15" s="855">
        <f>SUM(AH15:AJ15)</f>
        <v>0</v>
      </c>
      <c r="AL15" s="866">
        <f t="shared" si="12"/>
        <v>67758248.069999993</v>
      </c>
      <c r="AM15" s="866">
        <f t="shared" si="13"/>
        <v>35715646.200000003</v>
      </c>
      <c r="AN15" s="866">
        <f t="shared" si="14"/>
        <v>8121591.8600000003</v>
      </c>
      <c r="AO15" s="855">
        <f t="shared" si="15"/>
        <v>111595486.13</v>
      </c>
      <c r="AP15" s="855">
        <f t="shared" si="24"/>
        <v>3434751.9300000072</v>
      </c>
      <c r="AQ15" s="855">
        <f t="shared" si="25"/>
        <v>6784353.799999997</v>
      </c>
      <c r="AR15" s="855">
        <f t="shared" si="26"/>
        <v>13878408.140000001</v>
      </c>
      <c r="AS15" s="855">
        <f t="shared" si="19"/>
        <v>24097513.870000005</v>
      </c>
      <c r="AT15" s="1139">
        <f t="shared" si="27"/>
        <v>0.95175435885550541</v>
      </c>
      <c r="AU15" s="1139">
        <f t="shared" si="28"/>
        <v>0.84036814588235298</v>
      </c>
      <c r="AV15" s="1139">
        <f t="shared" si="29"/>
        <v>0.36916326636363639</v>
      </c>
      <c r="AW15" s="1139">
        <f t="shared" si="30"/>
        <v>0.82241151813284397</v>
      </c>
      <c r="AX15" s="22">
        <f t="shared" si="31"/>
        <v>0</v>
      </c>
      <c r="AY15" s="22">
        <f t="shared" si="32"/>
        <v>0</v>
      </c>
      <c r="AZ15" s="22">
        <f t="shared" si="33"/>
        <v>0</v>
      </c>
      <c r="BA15" s="22">
        <f t="shared" si="34"/>
        <v>0</v>
      </c>
      <c r="BB15" s="826">
        <f>+AS15-'CY (ALL FUNDS)'!Q1718</f>
        <v>0</v>
      </c>
      <c r="BF15" s="824">
        <f t="shared" si="35"/>
        <v>6784353.799999997</v>
      </c>
    </row>
    <row r="16" spans="1:58" s="24" customFormat="1" ht="18">
      <c r="A16" s="575"/>
      <c r="B16" s="855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5"/>
      <c r="AC16" s="855"/>
      <c r="AD16" s="855"/>
      <c r="AE16" s="855"/>
      <c r="AF16" s="855"/>
      <c r="AG16" s="855"/>
      <c r="AH16" s="855"/>
      <c r="AI16" s="855"/>
      <c r="AJ16" s="855"/>
      <c r="AK16" s="855"/>
      <c r="AL16" s="857"/>
      <c r="AM16" s="857"/>
      <c r="AN16" s="857"/>
      <c r="AO16" s="855"/>
      <c r="AP16" s="869"/>
      <c r="AQ16" s="869"/>
      <c r="AR16" s="869"/>
      <c r="AS16" s="855"/>
      <c r="AT16" s="1140"/>
      <c r="AU16" s="1140"/>
      <c r="AV16" s="1140"/>
      <c r="AW16" s="1140"/>
      <c r="AX16" s="870"/>
      <c r="AY16" s="870"/>
      <c r="AZ16" s="870"/>
      <c r="BA16" s="870"/>
      <c r="BF16" s="824">
        <f t="shared" si="35"/>
        <v>0</v>
      </c>
    </row>
    <row r="17" spans="1:58" s="24" customFormat="1" ht="18">
      <c r="A17" s="576" t="s">
        <v>879</v>
      </c>
      <c r="B17" s="855">
        <f>+B18+B55+B84+B106</f>
        <v>8133806000</v>
      </c>
      <c r="C17" s="855">
        <f>+C18+C55+C84+C106</f>
        <v>5644376000</v>
      </c>
      <c r="D17" s="855">
        <f>+D18+D55+D84+D106</f>
        <v>0</v>
      </c>
      <c r="E17" s="855">
        <f t="shared" si="0"/>
        <v>13778182000</v>
      </c>
      <c r="F17" s="855">
        <f>+F18+F55+F84+F106</f>
        <v>92746903</v>
      </c>
      <c r="G17" s="855">
        <f>+G18+G55+G84+G106</f>
        <v>-94096903</v>
      </c>
      <c r="H17" s="855">
        <f>+H18+H55+H84+H106</f>
        <v>1350000</v>
      </c>
      <c r="I17" s="855">
        <f t="shared" si="1"/>
        <v>0</v>
      </c>
      <c r="J17" s="855">
        <f t="shared" si="2"/>
        <v>8226552903</v>
      </c>
      <c r="K17" s="855">
        <f t="shared" si="3"/>
        <v>5550279097</v>
      </c>
      <c r="L17" s="855">
        <f t="shared" si="4"/>
        <v>1350000</v>
      </c>
      <c r="M17" s="855">
        <f t="shared" si="5"/>
        <v>13778182000</v>
      </c>
      <c r="N17" s="855">
        <f>+N18+N55+N84+N106</f>
        <v>8226552903</v>
      </c>
      <c r="O17" s="855">
        <f>+O18+O55+O84+O106</f>
        <v>5550279097</v>
      </c>
      <c r="P17" s="855">
        <f>+P18+P55+P84+P106</f>
        <v>1350000</v>
      </c>
      <c r="Q17" s="855">
        <f t="shared" si="6"/>
        <v>13778182000</v>
      </c>
      <c r="R17" s="855">
        <f t="shared" ref="R17:X17" si="38">+R18+R55+R84+R106</f>
        <v>0</v>
      </c>
      <c r="S17" s="855">
        <f t="shared" si="38"/>
        <v>0</v>
      </c>
      <c r="T17" s="855">
        <f t="shared" si="38"/>
        <v>0</v>
      </c>
      <c r="U17" s="855">
        <f t="shared" si="38"/>
        <v>0</v>
      </c>
      <c r="V17" s="855">
        <f t="shared" si="38"/>
        <v>827006</v>
      </c>
      <c r="W17" s="855">
        <f t="shared" si="38"/>
        <v>3959941354.46</v>
      </c>
      <c r="X17" s="855">
        <f t="shared" si="38"/>
        <v>5745606586.1000004</v>
      </c>
      <c r="Y17" s="855">
        <f t="shared" si="7"/>
        <v>9706374946.5600014</v>
      </c>
      <c r="Z17" s="855">
        <f t="shared" si="8"/>
        <v>8227379909</v>
      </c>
      <c r="AA17" s="855">
        <f t="shared" si="9"/>
        <v>9510220451.4599991</v>
      </c>
      <c r="AB17" s="855">
        <f t="shared" si="10"/>
        <v>5746956586.1000004</v>
      </c>
      <c r="AC17" s="855">
        <f t="shared" si="11"/>
        <v>23484556946.559998</v>
      </c>
      <c r="AD17" s="855">
        <f>+AD18+AD55+AD84+AD106</f>
        <v>7538179997.7300005</v>
      </c>
      <c r="AE17" s="855">
        <f>+AE18+AE55+AE84+AE106</f>
        <v>4351091828.6800003</v>
      </c>
      <c r="AF17" s="855">
        <f>+AF18+AF55+AF84+AF106</f>
        <v>0</v>
      </c>
      <c r="AG17" s="855">
        <f t="shared" si="36"/>
        <v>11889271826.41</v>
      </c>
      <c r="AH17" s="855">
        <f>+AH18+AH55+AH84+AH106</f>
        <v>763888.76999999979</v>
      </c>
      <c r="AI17" s="855">
        <f>+AI18+AI55+AI84+AI106</f>
        <v>2949488999.0600004</v>
      </c>
      <c r="AJ17" s="855">
        <f>+AJ18+AJ55+AJ84+AJ106</f>
        <v>3877002061.4500003</v>
      </c>
      <c r="AK17" s="855">
        <f t="shared" si="37"/>
        <v>6827254949.2800007</v>
      </c>
      <c r="AL17" s="855">
        <f t="shared" si="12"/>
        <v>7538943886.500001</v>
      </c>
      <c r="AM17" s="855">
        <f t="shared" si="13"/>
        <v>7300580827.7400007</v>
      </c>
      <c r="AN17" s="855">
        <f t="shared" si="14"/>
        <v>3877002061.4500003</v>
      </c>
      <c r="AO17" s="855">
        <f t="shared" si="15"/>
        <v>18716526775.690002</v>
      </c>
      <c r="AP17" s="855">
        <f t="shared" si="24"/>
        <v>688436022.49999905</v>
      </c>
      <c r="AQ17" s="855">
        <f t="shared" si="25"/>
        <v>2209639623.7199984</v>
      </c>
      <c r="AR17" s="855">
        <f t="shared" si="26"/>
        <v>1869954524.6500001</v>
      </c>
      <c r="AS17" s="855">
        <f t="shared" si="19"/>
        <v>4768030170.869997</v>
      </c>
      <c r="AT17" s="1141">
        <f t="shared" si="27"/>
        <v>0.91632378349917776</v>
      </c>
      <c r="AU17" s="1141">
        <f t="shared" si="28"/>
        <v>0.76765631932530265</v>
      </c>
      <c r="AV17" s="1141">
        <f t="shared" si="29"/>
        <v>0.67461829637397897</v>
      </c>
      <c r="AW17" s="1141">
        <f t="shared" si="30"/>
        <v>0.79697167880493425</v>
      </c>
      <c r="AX17" s="22">
        <f t="shared" si="31"/>
        <v>0</v>
      </c>
      <c r="AY17" s="22">
        <f t="shared" si="32"/>
        <v>0</v>
      </c>
      <c r="AZ17" s="22">
        <f t="shared" si="33"/>
        <v>0</v>
      </c>
      <c r="BA17" s="22">
        <f t="shared" si="34"/>
        <v>0</v>
      </c>
      <c r="BC17" s="824">
        <f>+AS17-'CY (ALL FUNDS)'!Q1723-'CY (ALL FUNDS)'!Q1727-'CY (ALL FUNDS)'!Q1734</f>
        <v>0</v>
      </c>
      <c r="BF17" s="824">
        <f t="shared" si="35"/>
        <v>1199187268.3199997</v>
      </c>
    </row>
    <row r="18" spans="1:58" s="1149" customFormat="1" ht="16.5">
      <c r="A18" s="1146" t="s">
        <v>436</v>
      </c>
      <c r="B18" s="1147">
        <f>+B19+B33+B40+B44+B49</f>
        <v>3920618000</v>
      </c>
      <c r="C18" s="1147">
        <f t="shared" ref="C18:AN18" si="39">+C19+C33+C40+C44+C49</f>
        <v>2276000000</v>
      </c>
      <c r="D18" s="1147">
        <f t="shared" si="39"/>
        <v>0</v>
      </c>
      <c r="E18" s="1147">
        <f t="shared" si="0"/>
        <v>6196618000</v>
      </c>
      <c r="F18" s="1147">
        <f t="shared" si="39"/>
        <v>49881496</v>
      </c>
      <c r="G18" s="1147">
        <f t="shared" si="39"/>
        <v>-49881496</v>
      </c>
      <c r="H18" s="1147">
        <f t="shared" si="39"/>
        <v>0</v>
      </c>
      <c r="I18" s="1147">
        <f t="shared" si="39"/>
        <v>0</v>
      </c>
      <c r="J18" s="1147">
        <f t="shared" si="39"/>
        <v>3970499496</v>
      </c>
      <c r="K18" s="1147">
        <f t="shared" si="39"/>
        <v>2226118504</v>
      </c>
      <c r="L18" s="1147">
        <f t="shared" si="39"/>
        <v>0</v>
      </c>
      <c r="M18" s="1147">
        <f t="shared" si="39"/>
        <v>6196618000</v>
      </c>
      <c r="N18" s="1147">
        <f t="shared" si="39"/>
        <v>3970499496</v>
      </c>
      <c r="O18" s="1147">
        <f t="shared" si="39"/>
        <v>2226118504</v>
      </c>
      <c r="P18" s="1147">
        <f t="shared" si="39"/>
        <v>0</v>
      </c>
      <c r="Q18" s="1147">
        <f t="shared" si="6"/>
        <v>6196618000</v>
      </c>
      <c r="R18" s="1147">
        <f t="shared" si="39"/>
        <v>0</v>
      </c>
      <c r="S18" s="1147">
        <f t="shared" si="39"/>
        <v>0</v>
      </c>
      <c r="T18" s="1147">
        <f t="shared" si="39"/>
        <v>0</v>
      </c>
      <c r="U18" s="1147">
        <f t="shared" si="39"/>
        <v>0</v>
      </c>
      <c r="V18" s="1147">
        <f t="shared" si="39"/>
        <v>0</v>
      </c>
      <c r="W18" s="1147">
        <f t="shared" si="39"/>
        <v>1454215165.79</v>
      </c>
      <c r="X18" s="1147">
        <f t="shared" si="39"/>
        <v>3164313960.0999999</v>
      </c>
      <c r="Y18" s="1147">
        <f t="shared" si="7"/>
        <v>4618529125.8899994</v>
      </c>
      <c r="Z18" s="1147">
        <f t="shared" si="39"/>
        <v>3970499496</v>
      </c>
      <c r="AA18" s="1147">
        <f t="shared" si="39"/>
        <v>3680333669.79</v>
      </c>
      <c r="AB18" s="1147">
        <f t="shared" si="39"/>
        <v>3164313960.0999999</v>
      </c>
      <c r="AC18" s="1147">
        <f t="shared" si="11"/>
        <v>10815147125.889999</v>
      </c>
      <c r="AD18" s="1147">
        <f t="shared" si="39"/>
        <v>3697641587.1500001</v>
      </c>
      <c r="AE18" s="1147">
        <f t="shared" si="39"/>
        <v>1863192605.8</v>
      </c>
      <c r="AF18" s="1147">
        <f t="shared" si="39"/>
        <v>0</v>
      </c>
      <c r="AG18" s="1147">
        <f t="shared" si="39"/>
        <v>5560834192.9499998</v>
      </c>
      <c r="AH18" s="1147">
        <f t="shared" si="39"/>
        <v>0</v>
      </c>
      <c r="AI18" s="1147">
        <f t="shared" si="39"/>
        <v>1168037691.7200003</v>
      </c>
      <c r="AJ18" s="1147">
        <f t="shared" si="39"/>
        <v>1697229511.3699999</v>
      </c>
      <c r="AK18" s="1147">
        <f t="shared" si="39"/>
        <v>2865267203.0899997</v>
      </c>
      <c r="AL18" s="1147">
        <f t="shared" si="39"/>
        <v>3697641587.1500001</v>
      </c>
      <c r="AM18" s="1147">
        <f t="shared" si="39"/>
        <v>3031230297.5199995</v>
      </c>
      <c r="AN18" s="1147">
        <f t="shared" si="39"/>
        <v>1697229511.3699999</v>
      </c>
      <c r="AO18" s="1147">
        <f t="shared" si="15"/>
        <v>8426101396.04</v>
      </c>
      <c r="AP18" s="1147">
        <f t="shared" si="24"/>
        <v>272857908.8499999</v>
      </c>
      <c r="AQ18" s="1147">
        <f t="shared" si="25"/>
        <v>649103372.27000046</v>
      </c>
      <c r="AR18" s="1147">
        <f t="shared" si="26"/>
        <v>1467084448.73</v>
      </c>
      <c r="AS18" s="1147">
        <f t="shared" si="19"/>
        <v>2389045729.8500004</v>
      </c>
      <c r="AT18" s="1164">
        <f t="shared" si="27"/>
        <v>0.93127869450055711</v>
      </c>
      <c r="AU18" s="1164">
        <f t="shared" si="28"/>
        <v>0.82362920579778887</v>
      </c>
      <c r="AV18" s="1164">
        <f t="shared" si="29"/>
        <v>0.53636571236956632</v>
      </c>
      <c r="AW18" s="1164">
        <f t="shared" si="30"/>
        <v>0.77910187424718924</v>
      </c>
      <c r="AX18" s="1148">
        <f t="shared" si="31"/>
        <v>0</v>
      </c>
      <c r="AY18" s="1148">
        <f t="shared" si="32"/>
        <v>0</v>
      </c>
      <c r="AZ18" s="1148">
        <f t="shared" si="33"/>
        <v>0</v>
      </c>
      <c r="BA18" s="1148">
        <f t="shared" si="34"/>
        <v>0</v>
      </c>
      <c r="BF18" s="824">
        <f t="shared" si="35"/>
        <v>362925898.20000005</v>
      </c>
    </row>
    <row r="19" spans="1:58" s="609" customFormat="1" ht="16.5">
      <c r="A19" s="1153" t="s">
        <v>441</v>
      </c>
      <c r="B19" s="1151">
        <f>SUM(B20:B31)</f>
        <v>2881546000</v>
      </c>
      <c r="C19" s="1151">
        <f t="shared" ref="C19:AN19" si="40">SUM(C20:C31)</f>
        <v>1198130000</v>
      </c>
      <c r="D19" s="1151">
        <f t="shared" si="40"/>
        <v>0</v>
      </c>
      <c r="E19" s="1151">
        <f t="shared" si="0"/>
        <v>4079676000</v>
      </c>
      <c r="F19" s="1151">
        <f t="shared" si="40"/>
        <v>49040671</v>
      </c>
      <c r="G19" s="1151">
        <f t="shared" si="40"/>
        <v>-49040671</v>
      </c>
      <c r="H19" s="1151">
        <f t="shared" si="40"/>
        <v>0</v>
      </c>
      <c r="I19" s="1151">
        <f t="shared" si="40"/>
        <v>0</v>
      </c>
      <c r="J19" s="1151">
        <f t="shared" si="40"/>
        <v>2930586671</v>
      </c>
      <c r="K19" s="1151">
        <f t="shared" si="40"/>
        <v>1149089329</v>
      </c>
      <c r="L19" s="1151">
        <f t="shared" si="40"/>
        <v>0</v>
      </c>
      <c r="M19" s="1151">
        <f t="shared" si="40"/>
        <v>4079676000</v>
      </c>
      <c r="N19" s="1151">
        <f t="shared" si="40"/>
        <v>2930586671</v>
      </c>
      <c r="O19" s="1151">
        <f t="shared" si="40"/>
        <v>1149089329</v>
      </c>
      <c r="P19" s="1151">
        <f t="shared" si="40"/>
        <v>0</v>
      </c>
      <c r="Q19" s="1151">
        <f t="shared" si="6"/>
        <v>4079676000</v>
      </c>
      <c r="R19" s="1151">
        <f t="shared" si="40"/>
        <v>0</v>
      </c>
      <c r="S19" s="1151">
        <f t="shared" si="40"/>
        <v>0</v>
      </c>
      <c r="T19" s="1151">
        <f t="shared" si="40"/>
        <v>0</v>
      </c>
      <c r="U19" s="1151">
        <f t="shared" si="40"/>
        <v>0</v>
      </c>
      <c r="V19" s="1151">
        <f t="shared" si="40"/>
        <v>0</v>
      </c>
      <c r="W19" s="1151">
        <f t="shared" si="40"/>
        <v>656279868</v>
      </c>
      <c r="X19" s="1151">
        <f t="shared" si="40"/>
        <v>1991669435.0999999</v>
      </c>
      <c r="Y19" s="1151">
        <f t="shared" si="7"/>
        <v>2647949303.0999999</v>
      </c>
      <c r="Z19" s="1151">
        <f t="shared" si="40"/>
        <v>2930586671</v>
      </c>
      <c r="AA19" s="1151">
        <f t="shared" si="40"/>
        <v>1805369197</v>
      </c>
      <c r="AB19" s="1151">
        <f t="shared" si="40"/>
        <v>1991669435.0999999</v>
      </c>
      <c r="AC19" s="1151">
        <f t="shared" si="11"/>
        <v>6727625303.1000004</v>
      </c>
      <c r="AD19" s="1151">
        <f t="shared" si="40"/>
        <v>2743308772.8400002</v>
      </c>
      <c r="AE19" s="1151">
        <f t="shared" si="40"/>
        <v>990988297.47000003</v>
      </c>
      <c r="AF19" s="1151">
        <f t="shared" si="40"/>
        <v>0</v>
      </c>
      <c r="AG19" s="1151">
        <f t="shared" si="40"/>
        <v>3734297070.3100004</v>
      </c>
      <c r="AH19" s="1151">
        <f t="shared" si="40"/>
        <v>0</v>
      </c>
      <c r="AI19" s="1151">
        <f t="shared" si="40"/>
        <v>501760548.38000005</v>
      </c>
      <c r="AJ19" s="1151">
        <f t="shared" si="40"/>
        <v>668343608.60000002</v>
      </c>
      <c r="AK19" s="1151">
        <f t="shared" si="40"/>
        <v>1170104156.9799998</v>
      </c>
      <c r="AL19" s="1151">
        <f t="shared" si="40"/>
        <v>2743308772.8400002</v>
      </c>
      <c r="AM19" s="1151">
        <f t="shared" si="40"/>
        <v>1492748845.8499999</v>
      </c>
      <c r="AN19" s="1151">
        <f t="shared" si="40"/>
        <v>668343608.60000002</v>
      </c>
      <c r="AO19" s="1151">
        <f t="shared" si="15"/>
        <v>4904401227.29</v>
      </c>
      <c r="AP19" s="1151">
        <f t="shared" si="24"/>
        <v>187277898.15999985</v>
      </c>
      <c r="AQ19" s="1151">
        <f t="shared" si="25"/>
        <v>312620351.1500001</v>
      </c>
      <c r="AR19" s="1151">
        <f t="shared" si="26"/>
        <v>1323325826.5</v>
      </c>
      <c r="AS19" s="1151">
        <f t="shared" si="19"/>
        <v>1823224075.8099999</v>
      </c>
      <c r="AT19" s="1165">
        <f t="shared" si="27"/>
        <v>0.9360954241643038</v>
      </c>
      <c r="AU19" s="1165">
        <f t="shared" si="28"/>
        <v>0.82683854822078251</v>
      </c>
      <c r="AV19" s="1165">
        <f t="shared" si="29"/>
        <v>0.33556954624171509</v>
      </c>
      <c r="AW19" s="1165">
        <f t="shared" si="30"/>
        <v>0.7289944083286144</v>
      </c>
      <c r="AX19" s="1152">
        <f t="shared" si="31"/>
        <v>0</v>
      </c>
      <c r="AY19" s="1152">
        <f t="shared" si="32"/>
        <v>0</v>
      </c>
      <c r="AZ19" s="1152">
        <f t="shared" si="33"/>
        <v>0</v>
      </c>
      <c r="BA19" s="1152">
        <f t="shared" si="34"/>
        <v>0</v>
      </c>
      <c r="BB19" s="1132">
        <f>+AS19-'CY (ALL FUNDS)'!Q1723</f>
        <v>0</v>
      </c>
      <c r="BF19" s="824">
        <f t="shared" si="35"/>
        <v>158101031.52999997</v>
      </c>
    </row>
    <row r="20" spans="1:58" s="16" customFormat="1">
      <c r="A20" s="900" t="s">
        <v>960</v>
      </c>
      <c r="B20" s="859">
        <f>+'CY-FUR (REG)- Detail'!C68</f>
        <v>359352000</v>
      </c>
      <c r="C20" s="859">
        <f>+'CY-FUR (REG)- Detail'!D68</f>
        <v>105914000</v>
      </c>
      <c r="D20" s="859">
        <f>+'CY-FUR (REG)- Detail'!E68</f>
        <v>0</v>
      </c>
      <c r="E20" s="859">
        <f t="shared" si="0"/>
        <v>465266000</v>
      </c>
      <c r="F20" s="859">
        <f>+'CY-FUR (REG)- Detail'!G68</f>
        <v>12694555</v>
      </c>
      <c r="G20" s="859">
        <f>+'CY-FUR (REG)- Detail'!H68</f>
        <v>-12694555</v>
      </c>
      <c r="H20" s="859">
        <f>+'CY-FUR (REG)- Detail'!I68</f>
        <v>0</v>
      </c>
      <c r="I20" s="859">
        <f t="shared" ref="I20" si="41">SUM(F20:H20)</f>
        <v>0</v>
      </c>
      <c r="J20" s="859">
        <f t="shared" ref="J20" si="42">+B20+F20</f>
        <v>372046555</v>
      </c>
      <c r="K20" s="859">
        <f t="shared" ref="K20" si="43">+C20+G20</f>
        <v>93219445</v>
      </c>
      <c r="L20" s="859">
        <f t="shared" ref="L20" si="44">+D20+H20</f>
        <v>0</v>
      </c>
      <c r="M20" s="859">
        <f t="shared" ref="M20" si="45">SUM(J20:L20)</f>
        <v>465266000</v>
      </c>
      <c r="N20" s="859">
        <f>+'CY-FUR (REG)- Detail'!O68</f>
        <v>372046555</v>
      </c>
      <c r="O20" s="859">
        <f>+'CY-FUR (REG)- Detail'!P68</f>
        <v>93219445</v>
      </c>
      <c r="P20" s="859">
        <f>+'CY-FUR (REG)- Detail'!Q68</f>
        <v>0</v>
      </c>
      <c r="Q20" s="859">
        <f t="shared" si="6"/>
        <v>465266000</v>
      </c>
      <c r="R20" s="859">
        <f>+'CY-FUR (REG)- Detail'!S68</f>
        <v>0</v>
      </c>
      <c r="S20" s="859">
        <f>+'CY-FUR (REG)- Detail'!T68</f>
        <v>0</v>
      </c>
      <c r="T20" s="859">
        <f>+'CY-FUR (REG)- Detail'!U68</f>
        <v>0</v>
      </c>
      <c r="U20" s="859">
        <f>SUM(R20:T20)</f>
        <v>0</v>
      </c>
      <c r="V20" s="859">
        <f>+'CY-FUR (REG)- Detail'!W68</f>
        <v>0</v>
      </c>
      <c r="W20" s="859">
        <f>+'CY-FUR (REG)- Detail'!X68</f>
        <v>42600000</v>
      </c>
      <c r="X20" s="859">
        <f>+'CY-FUR (REG)- Detail'!Y68</f>
        <v>115000000</v>
      </c>
      <c r="Y20" s="859">
        <f t="shared" si="7"/>
        <v>157600000</v>
      </c>
      <c r="Z20" s="859">
        <f t="shared" ref="Z20" si="46">+N20+V20+R20</f>
        <v>372046555</v>
      </c>
      <c r="AA20" s="859">
        <f t="shared" ref="AA20" si="47">+O20+W20+S20</f>
        <v>135819445</v>
      </c>
      <c r="AB20" s="859">
        <f t="shared" ref="AB20" si="48">+P20+X20+T20</f>
        <v>115000000</v>
      </c>
      <c r="AC20" s="859">
        <f t="shared" si="11"/>
        <v>622866000</v>
      </c>
      <c r="AD20" s="859">
        <f>+'CY-FUR (REG)- Detail'!AE68</f>
        <v>338318736.92000002</v>
      </c>
      <c r="AE20" s="859">
        <f>+'CY-FUR (REG)- Detail'!AF68</f>
        <v>69571794.229999989</v>
      </c>
      <c r="AF20" s="859">
        <f>+'CY-FUR (REG)- Detail'!AG68</f>
        <v>0</v>
      </c>
      <c r="AG20" s="859">
        <f>SUM(AD20:AF20)</f>
        <v>407890531.14999998</v>
      </c>
      <c r="AH20" s="859">
        <f>+'CY-FUR (REG)- Detail'!AI68</f>
        <v>0</v>
      </c>
      <c r="AI20" s="859">
        <f>+'CY-FUR (REG)- Detail'!AJ68</f>
        <v>25919506.360000003</v>
      </c>
      <c r="AJ20" s="859">
        <f>+'CY-FUR (REG)- Detail'!AK68</f>
        <v>74967988.280000001</v>
      </c>
      <c r="AK20" s="859">
        <f>SUM(AH20:AJ20)</f>
        <v>100887494.64</v>
      </c>
      <c r="AL20" s="859">
        <f t="shared" ref="AL20" si="49">+AH20+AD20</f>
        <v>338318736.92000002</v>
      </c>
      <c r="AM20" s="859">
        <f t="shared" ref="AM20" si="50">+AI20+AE20</f>
        <v>95491300.589999989</v>
      </c>
      <c r="AN20" s="859">
        <f t="shared" ref="AN20" si="51">+AJ20+AF20</f>
        <v>74967988.280000001</v>
      </c>
      <c r="AO20" s="859">
        <f t="shared" si="15"/>
        <v>508778025.78999996</v>
      </c>
      <c r="AP20" s="859">
        <f t="shared" si="24"/>
        <v>33727818.079999983</v>
      </c>
      <c r="AQ20" s="859">
        <f t="shared" si="25"/>
        <v>40328144.410000011</v>
      </c>
      <c r="AR20" s="859">
        <f t="shared" si="26"/>
        <v>40032011.719999999</v>
      </c>
      <c r="AS20" s="859">
        <f t="shared" si="19"/>
        <v>114087974.20999999</v>
      </c>
      <c r="AT20" s="1142">
        <f t="shared" si="27"/>
        <v>0.90934516762290685</v>
      </c>
      <c r="AU20" s="1142">
        <f t="shared" si="28"/>
        <v>0.70307532614346924</v>
      </c>
      <c r="AV20" s="1142">
        <f t="shared" si="29"/>
        <v>0.65189555026086954</v>
      </c>
      <c r="AW20" s="1142">
        <f t="shared" si="30"/>
        <v>0.81683383872293558</v>
      </c>
      <c r="AX20" s="22">
        <f t="shared" si="31"/>
        <v>0</v>
      </c>
      <c r="AY20" s="22">
        <f t="shared" si="32"/>
        <v>0</v>
      </c>
      <c r="AZ20" s="22">
        <f t="shared" si="33"/>
        <v>0</v>
      </c>
      <c r="BA20" s="22">
        <f t="shared" si="34"/>
        <v>0</v>
      </c>
      <c r="BF20" s="824">
        <f t="shared" si="35"/>
        <v>23647650.770000011</v>
      </c>
    </row>
    <row r="21" spans="1:58" s="16" customFormat="1">
      <c r="A21" s="900" t="s">
        <v>961</v>
      </c>
      <c r="B21" s="859">
        <f>+'CY-FUR (REG)- Detail'!C69</f>
        <v>182139000</v>
      </c>
      <c r="C21" s="859">
        <f>+'CY-FUR (REG)- Detail'!D69</f>
        <v>68763000</v>
      </c>
      <c r="D21" s="859">
        <f>+'CY-FUR (REG)- Detail'!E69</f>
        <v>0</v>
      </c>
      <c r="E21" s="859">
        <f t="shared" si="0"/>
        <v>250902000</v>
      </c>
      <c r="F21" s="859">
        <f>+'CY-FUR (REG)- Detail'!G69</f>
        <v>0</v>
      </c>
      <c r="G21" s="859">
        <f>+'CY-FUR (REG)- Detail'!H69</f>
        <v>0</v>
      </c>
      <c r="H21" s="859">
        <f>+'CY-FUR (REG)- Detail'!I69</f>
        <v>0</v>
      </c>
      <c r="I21" s="859">
        <f t="shared" ref="I21:I31" si="52">SUM(F21:H21)</f>
        <v>0</v>
      </c>
      <c r="J21" s="859">
        <f t="shared" ref="J21:J31" si="53">+B21+F21</f>
        <v>182139000</v>
      </c>
      <c r="K21" s="859">
        <f t="shared" ref="K21:K31" si="54">+C21+G21</f>
        <v>68763000</v>
      </c>
      <c r="L21" s="859">
        <f t="shared" ref="L21:L31" si="55">+D21+H21</f>
        <v>0</v>
      </c>
      <c r="M21" s="859">
        <f t="shared" ref="M21:M31" si="56">SUM(J21:L21)</f>
        <v>250902000</v>
      </c>
      <c r="N21" s="859">
        <f>+'CY-FUR (REG)- Detail'!O69</f>
        <v>182139000</v>
      </c>
      <c r="O21" s="859">
        <f>+'CY-FUR (REG)- Detail'!P69</f>
        <v>68763000</v>
      </c>
      <c r="P21" s="859">
        <f>+'CY-FUR (REG)- Detail'!Q69</f>
        <v>0</v>
      </c>
      <c r="Q21" s="859">
        <f t="shared" si="6"/>
        <v>250902000</v>
      </c>
      <c r="R21" s="859">
        <f>+'CY-FUR (REG)- Detail'!S69</f>
        <v>0</v>
      </c>
      <c r="S21" s="859">
        <f>+'CY-FUR (REG)- Detail'!T69</f>
        <v>0</v>
      </c>
      <c r="T21" s="859">
        <f>+'CY-FUR (REG)- Detail'!U69</f>
        <v>0</v>
      </c>
      <c r="U21" s="859">
        <f t="shared" ref="U21:U31" si="57">SUM(R21:T21)</f>
        <v>0</v>
      </c>
      <c r="V21" s="859">
        <f>+'CY-FUR (REG)- Detail'!W69</f>
        <v>0</v>
      </c>
      <c r="W21" s="859">
        <f>+'CY-FUR (REG)- Detail'!X69</f>
        <v>91242000</v>
      </c>
      <c r="X21" s="859">
        <f>+'CY-FUR (REG)- Detail'!Y69</f>
        <v>55000000</v>
      </c>
      <c r="Y21" s="859">
        <f t="shared" si="7"/>
        <v>146242000</v>
      </c>
      <c r="Z21" s="859">
        <f t="shared" ref="Z21:Z31" si="58">+N21+V21+R21</f>
        <v>182139000</v>
      </c>
      <c r="AA21" s="859">
        <f t="shared" ref="AA21:AA31" si="59">+O21+W21+S21</f>
        <v>160005000</v>
      </c>
      <c r="AB21" s="859">
        <f t="shared" ref="AB21:AB31" si="60">+P21+X21+T21</f>
        <v>55000000</v>
      </c>
      <c r="AC21" s="859">
        <f t="shared" si="11"/>
        <v>397144000</v>
      </c>
      <c r="AD21" s="859">
        <f>+'CY-FUR (REG)- Detail'!AE69</f>
        <v>172186343.55999997</v>
      </c>
      <c r="AE21" s="859">
        <f>+'CY-FUR (REG)- Detail'!AF69</f>
        <v>67395842.020000011</v>
      </c>
      <c r="AF21" s="859">
        <f>+'CY-FUR (REG)- Detail'!AG69</f>
        <v>0</v>
      </c>
      <c r="AG21" s="859">
        <f t="shared" ref="AG21:AG31" si="61">SUM(AD21:AF21)</f>
        <v>239582185.57999998</v>
      </c>
      <c r="AH21" s="859">
        <f>+'CY-FUR (REG)- Detail'!AI69</f>
        <v>0</v>
      </c>
      <c r="AI21" s="859">
        <f>+'CY-FUR (REG)- Detail'!AJ69</f>
        <v>84259854.929999992</v>
      </c>
      <c r="AJ21" s="859">
        <f>+'CY-FUR (REG)- Detail'!AK69</f>
        <v>50548924.090000004</v>
      </c>
      <c r="AK21" s="859">
        <f t="shared" ref="AK21:AK31" si="62">SUM(AH21:AJ21)</f>
        <v>134808779.01999998</v>
      </c>
      <c r="AL21" s="859">
        <f t="shared" ref="AL21:AL31" si="63">+AH21+AD21</f>
        <v>172186343.55999997</v>
      </c>
      <c r="AM21" s="859">
        <f t="shared" ref="AM21:AM31" si="64">+AI21+AE21</f>
        <v>151655696.94999999</v>
      </c>
      <c r="AN21" s="859">
        <f t="shared" ref="AN21:AN31" si="65">+AJ21+AF21</f>
        <v>50548924.090000004</v>
      </c>
      <c r="AO21" s="859">
        <f t="shared" si="15"/>
        <v>374390964.60000002</v>
      </c>
      <c r="AP21" s="859">
        <f t="shared" si="24"/>
        <v>9952656.4400000274</v>
      </c>
      <c r="AQ21" s="859">
        <f t="shared" si="25"/>
        <v>8349303.0500000119</v>
      </c>
      <c r="AR21" s="859">
        <f t="shared" si="26"/>
        <v>4451075.9099999964</v>
      </c>
      <c r="AS21" s="859">
        <f t="shared" si="19"/>
        <v>22753035.400000036</v>
      </c>
      <c r="AT21" s="1142">
        <f t="shared" si="27"/>
        <v>0.94535680749317819</v>
      </c>
      <c r="AU21" s="1142">
        <f t="shared" si="28"/>
        <v>0.9478184866097934</v>
      </c>
      <c r="AV21" s="1142">
        <f t="shared" si="29"/>
        <v>0.91907134709090921</v>
      </c>
      <c r="AW21" s="1142">
        <f t="shared" si="30"/>
        <v>0.94270834911266443</v>
      </c>
      <c r="AX21" s="22">
        <f t="shared" si="31"/>
        <v>0</v>
      </c>
      <c r="AY21" s="22">
        <f t="shared" si="32"/>
        <v>0</v>
      </c>
      <c r="AZ21" s="22">
        <f t="shared" si="33"/>
        <v>0</v>
      </c>
      <c r="BA21" s="22">
        <f t="shared" si="34"/>
        <v>0</v>
      </c>
      <c r="BF21" s="824">
        <f t="shared" si="35"/>
        <v>1367157.9799999893</v>
      </c>
    </row>
    <row r="22" spans="1:58" s="16" customFormat="1">
      <c r="A22" s="900" t="s">
        <v>962</v>
      </c>
      <c r="B22" s="859">
        <f>+'CY-FUR (REG)- Detail'!C70</f>
        <v>353528000</v>
      </c>
      <c r="C22" s="859">
        <f>+'CY-FUR (REG)- Detail'!D70</f>
        <v>137890000</v>
      </c>
      <c r="D22" s="859">
        <f>+'CY-FUR (REG)- Detail'!E70</f>
        <v>0</v>
      </c>
      <c r="E22" s="859">
        <f t="shared" si="0"/>
        <v>491418000</v>
      </c>
      <c r="F22" s="859">
        <f>+'CY-FUR (REG)- Detail'!G70</f>
        <v>0</v>
      </c>
      <c r="G22" s="859">
        <f>+'CY-FUR (REG)- Detail'!H70</f>
        <v>0</v>
      </c>
      <c r="H22" s="859">
        <f>+'CY-FUR (REG)- Detail'!I70</f>
        <v>0</v>
      </c>
      <c r="I22" s="859">
        <f t="shared" si="52"/>
        <v>0</v>
      </c>
      <c r="J22" s="859">
        <f t="shared" si="53"/>
        <v>353528000</v>
      </c>
      <c r="K22" s="859">
        <f t="shared" si="54"/>
        <v>137890000</v>
      </c>
      <c r="L22" s="859">
        <f t="shared" si="55"/>
        <v>0</v>
      </c>
      <c r="M22" s="859">
        <f t="shared" si="56"/>
        <v>491418000</v>
      </c>
      <c r="N22" s="859">
        <f>+'CY-FUR (REG)- Detail'!O70</f>
        <v>353528000</v>
      </c>
      <c r="O22" s="859">
        <f>+'CY-FUR (REG)- Detail'!P70</f>
        <v>137890000</v>
      </c>
      <c r="P22" s="859">
        <f>+'CY-FUR (REG)- Detail'!Q70</f>
        <v>0</v>
      </c>
      <c r="Q22" s="859">
        <f t="shared" si="6"/>
        <v>491418000</v>
      </c>
      <c r="R22" s="859">
        <f>+'CY-FUR (REG)- Detail'!S70</f>
        <v>0</v>
      </c>
      <c r="S22" s="859">
        <f>+'CY-FUR (REG)- Detail'!T70</f>
        <v>0</v>
      </c>
      <c r="T22" s="859">
        <f>+'CY-FUR (REG)- Detail'!U70</f>
        <v>0</v>
      </c>
      <c r="U22" s="859">
        <f t="shared" si="57"/>
        <v>0</v>
      </c>
      <c r="V22" s="859">
        <f>+'CY-FUR (REG)- Detail'!W70</f>
        <v>0</v>
      </c>
      <c r="W22" s="859">
        <f>+'CY-FUR (REG)- Detail'!X70</f>
        <v>104428458</v>
      </c>
      <c r="X22" s="859">
        <f>+'CY-FUR (REG)- Detail'!Y70</f>
        <v>231448322</v>
      </c>
      <c r="Y22" s="859">
        <f t="shared" si="7"/>
        <v>335876780</v>
      </c>
      <c r="Z22" s="859">
        <f t="shared" si="58"/>
        <v>353528000</v>
      </c>
      <c r="AA22" s="859">
        <f t="shared" si="59"/>
        <v>242318458</v>
      </c>
      <c r="AB22" s="859">
        <f t="shared" si="60"/>
        <v>231448322</v>
      </c>
      <c r="AC22" s="859">
        <f t="shared" si="11"/>
        <v>827294780</v>
      </c>
      <c r="AD22" s="859">
        <f>+'CY-FUR (REG)- Detail'!AE70</f>
        <v>343726463.06</v>
      </c>
      <c r="AE22" s="859">
        <f>+'CY-FUR (REG)- Detail'!AF70</f>
        <v>129557540.55</v>
      </c>
      <c r="AF22" s="859">
        <f>+'CY-FUR (REG)- Detail'!AG70</f>
        <v>0</v>
      </c>
      <c r="AG22" s="859">
        <f t="shared" si="61"/>
        <v>473284003.61000001</v>
      </c>
      <c r="AH22" s="859">
        <f>+'CY-FUR (REG)- Detail'!AI70</f>
        <v>0</v>
      </c>
      <c r="AI22" s="859">
        <f>+'CY-FUR (REG)- Detail'!AJ70</f>
        <v>79877802.289999992</v>
      </c>
      <c r="AJ22" s="859">
        <f>+'CY-FUR (REG)- Detail'!AK70</f>
        <v>227749770.18000001</v>
      </c>
      <c r="AK22" s="859">
        <f t="shared" si="62"/>
        <v>307627572.47000003</v>
      </c>
      <c r="AL22" s="859">
        <f t="shared" si="63"/>
        <v>343726463.06</v>
      </c>
      <c r="AM22" s="859">
        <f t="shared" si="64"/>
        <v>209435342.83999997</v>
      </c>
      <c r="AN22" s="859">
        <f t="shared" si="65"/>
        <v>227749770.18000001</v>
      </c>
      <c r="AO22" s="859">
        <f t="shared" si="15"/>
        <v>780911576.07999992</v>
      </c>
      <c r="AP22" s="859">
        <f t="shared" si="24"/>
        <v>9801536.9399999976</v>
      </c>
      <c r="AQ22" s="859">
        <f t="shared" si="25"/>
        <v>32883115.160000026</v>
      </c>
      <c r="AR22" s="859">
        <f t="shared" si="26"/>
        <v>3698551.8199999928</v>
      </c>
      <c r="AS22" s="859">
        <f t="shared" si="19"/>
        <v>46383203.920000017</v>
      </c>
      <c r="AT22" s="1142">
        <f t="shared" si="27"/>
        <v>0.97227507597700891</v>
      </c>
      <c r="AU22" s="1142">
        <f t="shared" si="28"/>
        <v>0.86429793491010076</v>
      </c>
      <c r="AV22" s="1142">
        <f t="shared" si="29"/>
        <v>0.98401996701449412</v>
      </c>
      <c r="AW22" s="1142">
        <f t="shared" si="30"/>
        <v>0.94393388542835954</v>
      </c>
      <c r="AX22" s="22">
        <f t="shared" si="31"/>
        <v>0</v>
      </c>
      <c r="AY22" s="22">
        <f t="shared" si="32"/>
        <v>0</v>
      </c>
      <c r="AZ22" s="22">
        <f t="shared" si="33"/>
        <v>0</v>
      </c>
      <c r="BA22" s="22">
        <f t="shared" si="34"/>
        <v>0</v>
      </c>
      <c r="BF22" s="824">
        <f t="shared" si="35"/>
        <v>8332459.450000003</v>
      </c>
    </row>
    <row r="23" spans="1:58" s="16" customFormat="1">
      <c r="A23" s="900" t="s">
        <v>963</v>
      </c>
      <c r="B23" s="859">
        <f>+'CY-FUR (REG)- Detail'!C71</f>
        <v>181120000</v>
      </c>
      <c r="C23" s="859">
        <f>+'CY-FUR (REG)- Detail'!D71</f>
        <v>69544000</v>
      </c>
      <c r="D23" s="859">
        <f>+'CY-FUR (REG)- Detail'!E71</f>
        <v>0</v>
      </c>
      <c r="E23" s="859">
        <f t="shared" si="0"/>
        <v>250664000</v>
      </c>
      <c r="F23" s="859">
        <f>+'CY-FUR (REG)- Detail'!G71</f>
        <v>0</v>
      </c>
      <c r="G23" s="859">
        <f>+'CY-FUR (REG)- Detail'!H71</f>
        <v>0</v>
      </c>
      <c r="H23" s="859">
        <f>+'CY-FUR (REG)- Detail'!I71</f>
        <v>0</v>
      </c>
      <c r="I23" s="859">
        <f t="shared" si="52"/>
        <v>0</v>
      </c>
      <c r="J23" s="859">
        <f t="shared" si="53"/>
        <v>181120000</v>
      </c>
      <c r="K23" s="859">
        <f t="shared" si="54"/>
        <v>69544000</v>
      </c>
      <c r="L23" s="859">
        <f t="shared" si="55"/>
        <v>0</v>
      </c>
      <c r="M23" s="859">
        <f t="shared" si="56"/>
        <v>250664000</v>
      </c>
      <c r="N23" s="859">
        <f>+'CY-FUR (REG)- Detail'!O71</f>
        <v>181120000</v>
      </c>
      <c r="O23" s="859">
        <f>+'CY-FUR (REG)- Detail'!P71</f>
        <v>69544000</v>
      </c>
      <c r="P23" s="859">
        <f>+'CY-FUR (REG)- Detail'!Q71</f>
        <v>0</v>
      </c>
      <c r="Q23" s="859">
        <f t="shared" si="6"/>
        <v>250664000</v>
      </c>
      <c r="R23" s="859">
        <f>+'CY-FUR (REG)- Detail'!S71</f>
        <v>0</v>
      </c>
      <c r="S23" s="859">
        <f>+'CY-FUR (REG)- Detail'!T71</f>
        <v>0</v>
      </c>
      <c r="T23" s="859">
        <f>+'CY-FUR (REG)- Detail'!U71</f>
        <v>0</v>
      </c>
      <c r="U23" s="859">
        <f t="shared" si="57"/>
        <v>0</v>
      </c>
      <c r="V23" s="859">
        <f>+'CY-FUR (REG)- Detail'!W71</f>
        <v>0</v>
      </c>
      <c r="W23" s="859">
        <f>+'CY-FUR (REG)- Detail'!X71</f>
        <v>26836000</v>
      </c>
      <c r="X23" s="859">
        <f>+'CY-FUR (REG)- Detail'!Y71</f>
        <v>140000000</v>
      </c>
      <c r="Y23" s="859">
        <f t="shared" si="7"/>
        <v>166836000</v>
      </c>
      <c r="Z23" s="859">
        <f t="shared" si="58"/>
        <v>181120000</v>
      </c>
      <c r="AA23" s="859">
        <f t="shared" si="59"/>
        <v>96380000</v>
      </c>
      <c r="AB23" s="859">
        <f t="shared" si="60"/>
        <v>140000000</v>
      </c>
      <c r="AC23" s="859">
        <f t="shared" si="11"/>
        <v>417500000</v>
      </c>
      <c r="AD23" s="859">
        <f>+'CY-FUR (REG)- Detail'!AE71</f>
        <v>168580900.63</v>
      </c>
      <c r="AE23" s="859">
        <f>+'CY-FUR (REG)- Detail'!AF71</f>
        <v>41887765.219999999</v>
      </c>
      <c r="AF23" s="859">
        <f>+'CY-FUR (REG)- Detail'!AG71</f>
        <v>0</v>
      </c>
      <c r="AG23" s="859">
        <f t="shared" si="61"/>
        <v>210468665.84999999</v>
      </c>
      <c r="AH23" s="859">
        <f>+'CY-FUR (REG)- Detail'!AI71</f>
        <v>0</v>
      </c>
      <c r="AI23" s="859">
        <f>+'CY-FUR (REG)- Detail'!AJ71</f>
        <v>20098682.649999999</v>
      </c>
      <c r="AJ23" s="859">
        <f>+'CY-FUR (REG)- Detail'!AK71</f>
        <v>110724212.73999999</v>
      </c>
      <c r="AK23" s="859">
        <f t="shared" si="62"/>
        <v>130822895.38999999</v>
      </c>
      <c r="AL23" s="859">
        <f t="shared" si="63"/>
        <v>168580900.63</v>
      </c>
      <c r="AM23" s="859">
        <f t="shared" si="64"/>
        <v>61986447.869999997</v>
      </c>
      <c r="AN23" s="859">
        <f t="shared" si="65"/>
        <v>110724212.73999999</v>
      </c>
      <c r="AO23" s="859">
        <f t="shared" si="15"/>
        <v>341291561.24000001</v>
      </c>
      <c r="AP23" s="859">
        <f t="shared" si="24"/>
        <v>12539099.370000005</v>
      </c>
      <c r="AQ23" s="859">
        <f t="shared" si="25"/>
        <v>34393552.130000003</v>
      </c>
      <c r="AR23" s="859">
        <f t="shared" si="26"/>
        <v>29275787.260000005</v>
      </c>
      <c r="AS23" s="859">
        <f t="shared" si="19"/>
        <v>76208438.76000002</v>
      </c>
      <c r="AT23" s="1142">
        <f t="shared" si="27"/>
        <v>0.93076910683524727</v>
      </c>
      <c r="AU23" s="1142">
        <f t="shared" si="28"/>
        <v>0.64314637756796011</v>
      </c>
      <c r="AV23" s="1142">
        <f t="shared" si="29"/>
        <v>0.79088723385714277</v>
      </c>
      <c r="AW23" s="1142">
        <f t="shared" si="30"/>
        <v>0.81746481734131737</v>
      </c>
      <c r="AX23" s="22">
        <f t="shared" si="31"/>
        <v>0</v>
      </c>
      <c r="AY23" s="22">
        <f t="shared" si="32"/>
        <v>0</v>
      </c>
      <c r="AZ23" s="22">
        <f t="shared" si="33"/>
        <v>0</v>
      </c>
      <c r="BA23" s="22">
        <f t="shared" si="34"/>
        <v>0</v>
      </c>
      <c r="BF23" s="824">
        <f t="shared" si="35"/>
        <v>27656234.780000001</v>
      </c>
    </row>
    <row r="24" spans="1:58" s="16" customFormat="1">
      <c r="A24" s="900" t="s">
        <v>964</v>
      </c>
      <c r="B24" s="859">
        <f>+'CY-FUR (REG)- Detail'!C72</f>
        <v>130115000</v>
      </c>
      <c r="C24" s="859">
        <f>+'CY-FUR (REG)- Detail'!D72</f>
        <v>46966000</v>
      </c>
      <c r="D24" s="859">
        <f>+'CY-FUR (REG)- Detail'!E72</f>
        <v>0</v>
      </c>
      <c r="E24" s="859">
        <f t="shared" si="0"/>
        <v>177081000</v>
      </c>
      <c r="F24" s="859">
        <f>+'CY-FUR (REG)- Detail'!G72</f>
        <v>0</v>
      </c>
      <c r="G24" s="859">
        <f>+'CY-FUR (REG)- Detail'!H72</f>
        <v>0</v>
      </c>
      <c r="H24" s="859">
        <f>+'CY-FUR (REG)- Detail'!I72</f>
        <v>0</v>
      </c>
      <c r="I24" s="859">
        <f t="shared" si="52"/>
        <v>0</v>
      </c>
      <c r="J24" s="859">
        <f t="shared" si="53"/>
        <v>130115000</v>
      </c>
      <c r="K24" s="859">
        <f t="shared" si="54"/>
        <v>46966000</v>
      </c>
      <c r="L24" s="859">
        <f t="shared" si="55"/>
        <v>0</v>
      </c>
      <c r="M24" s="859">
        <f t="shared" si="56"/>
        <v>177081000</v>
      </c>
      <c r="N24" s="859">
        <f>+'CY-FUR (REG)- Detail'!O72</f>
        <v>130115000</v>
      </c>
      <c r="O24" s="859">
        <f>+'CY-FUR (REG)- Detail'!P72</f>
        <v>46966000</v>
      </c>
      <c r="P24" s="859">
        <f>+'CY-FUR (REG)- Detail'!Q72</f>
        <v>0</v>
      </c>
      <c r="Q24" s="859">
        <f t="shared" si="6"/>
        <v>177081000</v>
      </c>
      <c r="R24" s="859">
        <f>+'CY-FUR (REG)- Detail'!S72</f>
        <v>0</v>
      </c>
      <c r="S24" s="859">
        <f>+'CY-FUR (REG)- Detail'!T72</f>
        <v>0</v>
      </c>
      <c r="T24" s="859">
        <f>+'CY-FUR (REG)- Detail'!U72</f>
        <v>0</v>
      </c>
      <c r="U24" s="859">
        <f t="shared" si="57"/>
        <v>0</v>
      </c>
      <c r="V24" s="859">
        <f>+'CY-FUR (REG)- Detail'!W72</f>
        <v>0</v>
      </c>
      <c r="W24" s="859">
        <f>+'CY-FUR (REG)- Detail'!X72</f>
        <v>20040000</v>
      </c>
      <c r="X24" s="859">
        <f>+'CY-FUR (REG)- Detail'!Y72</f>
        <v>26170000</v>
      </c>
      <c r="Y24" s="859">
        <f t="shared" si="7"/>
        <v>46210000</v>
      </c>
      <c r="Z24" s="859">
        <f t="shared" si="58"/>
        <v>130115000</v>
      </c>
      <c r="AA24" s="859">
        <f t="shared" si="59"/>
        <v>67006000</v>
      </c>
      <c r="AB24" s="859">
        <f t="shared" si="60"/>
        <v>26170000</v>
      </c>
      <c r="AC24" s="859">
        <f t="shared" si="11"/>
        <v>223291000</v>
      </c>
      <c r="AD24" s="859">
        <f>+'CY-FUR (REG)- Detail'!AE72</f>
        <v>124033581.09999998</v>
      </c>
      <c r="AE24" s="859">
        <f>+'CY-FUR (REG)- Detail'!AF72</f>
        <v>45755858.340000004</v>
      </c>
      <c r="AF24" s="859">
        <f>+'CY-FUR (REG)- Detail'!AG72</f>
        <v>0</v>
      </c>
      <c r="AG24" s="859">
        <f t="shared" si="61"/>
        <v>169789439.44</v>
      </c>
      <c r="AH24" s="859">
        <f>+'CY-FUR (REG)- Detail'!AI72</f>
        <v>0</v>
      </c>
      <c r="AI24" s="859">
        <f>+'CY-FUR (REG)- Detail'!AJ72</f>
        <v>14897194.180000002</v>
      </c>
      <c r="AJ24" s="859">
        <f>+'CY-FUR (REG)- Detail'!AK72</f>
        <v>12951802.83</v>
      </c>
      <c r="AK24" s="859">
        <f t="shared" si="62"/>
        <v>27848997.010000002</v>
      </c>
      <c r="AL24" s="859">
        <f t="shared" si="63"/>
        <v>124033581.09999998</v>
      </c>
      <c r="AM24" s="859">
        <f t="shared" si="64"/>
        <v>60653052.520000003</v>
      </c>
      <c r="AN24" s="859">
        <f t="shared" si="65"/>
        <v>12951802.83</v>
      </c>
      <c r="AO24" s="859">
        <f t="shared" si="15"/>
        <v>197638436.44999999</v>
      </c>
      <c r="AP24" s="859">
        <f t="shared" si="24"/>
        <v>6081418.9000000209</v>
      </c>
      <c r="AQ24" s="859">
        <f t="shared" si="25"/>
        <v>6352947.4799999967</v>
      </c>
      <c r="AR24" s="859">
        <f t="shared" si="26"/>
        <v>13218197.17</v>
      </c>
      <c r="AS24" s="859">
        <f t="shared" si="19"/>
        <v>25652563.550000019</v>
      </c>
      <c r="AT24" s="1142">
        <f t="shared" si="27"/>
        <v>0.95326120047650142</v>
      </c>
      <c r="AU24" s="1142">
        <f t="shared" si="28"/>
        <v>0.90518837895113879</v>
      </c>
      <c r="AV24" s="1142">
        <f t="shared" si="29"/>
        <v>0.49491031066106228</v>
      </c>
      <c r="AW24" s="1142">
        <f t="shared" si="30"/>
        <v>0.88511599862959089</v>
      </c>
      <c r="AX24" s="22">
        <f t="shared" si="31"/>
        <v>0</v>
      </c>
      <c r="AY24" s="22">
        <f t="shared" si="32"/>
        <v>0</v>
      </c>
      <c r="AZ24" s="22">
        <f t="shared" si="33"/>
        <v>0</v>
      </c>
      <c r="BA24" s="22">
        <f t="shared" si="34"/>
        <v>0</v>
      </c>
      <c r="BF24" s="824">
        <f t="shared" si="35"/>
        <v>1210141.6599999964</v>
      </c>
    </row>
    <row r="25" spans="1:58" s="16" customFormat="1">
      <c r="A25" s="900" t="s">
        <v>965</v>
      </c>
      <c r="B25" s="859">
        <f>+'CY-FUR (REG)- Detail'!C73</f>
        <v>312471000</v>
      </c>
      <c r="C25" s="859">
        <f>+'CY-FUR (REG)- Detail'!D73</f>
        <v>77709000</v>
      </c>
      <c r="D25" s="859">
        <f>+'CY-FUR (REG)- Detail'!E73</f>
        <v>0</v>
      </c>
      <c r="E25" s="859">
        <f t="shared" si="0"/>
        <v>390180000</v>
      </c>
      <c r="F25" s="859">
        <f>+'CY-FUR (REG)- Detail'!G73</f>
        <v>24769753</v>
      </c>
      <c r="G25" s="859">
        <f>+'CY-FUR (REG)- Detail'!H73</f>
        <v>-24769753</v>
      </c>
      <c r="H25" s="859">
        <f>+'CY-FUR (REG)- Detail'!I73</f>
        <v>0</v>
      </c>
      <c r="I25" s="859">
        <f t="shared" si="52"/>
        <v>0</v>
      </c>
      <c r="J25" s="859">
        <f t="shared" si="53"/>
        <v>337240753</v>
      </c>
      <c r="K25" s="859">
        <f t="shared" si="54"/>
        <v>52939247</v>
      </c>
      <c r="L25" s="859">
        <f t="shared" si="55"/>
        <v>0</v>
      </c>
      <c r="M25" s="859">
        <f t="shared" si="56"/>
        <v>390180000</v>
      </c>
      <c r="N25" s="859">
        <f>+'CY-FUR (REG)- Detail'!O73</f>
        <v>337240753</v>
      </c>
      <c r="O25" s="859">
        <f>+'CY-FUR (REG)- Detail'!P73</f>
        <v>52939247</v>
      </c>
      <c r="P25" s="859">
        <f>+'CY-FUR (REG)- Detail'!Q73</f>
        <v>0</v>
      </c>
      <c r="Q25" s="859">
        <f t="shared" si="6"/>
        <v>390180000</v>
      </c>
      <c r="R25" s="859">
        <f>+'CY-FUR (REG)- Detail'!S73</f>
        <v>0</v>
      </c>
      <c r="S25" s="859">
        <f>+'CY-FUR (REG)- Detail'!T73</f>
        <v>0</v>
      </c>
      <c r="T25" s="859">
        <f>+'CY-FUR (REG)- Detail'!U73</f>
        <v>0</v>
      </c>
      <c r="U25" s="859">
        <f t="shared" si="57"/>
        <v>0</v>
      </c>
      <c r="V25" s="859">
        <f>+'CY-FUR (REG)- Detail'!W73</f>
        <v>0</v>
      </c>
      <c r="W25" s="859">
        <f>+'CY-FUR (REG)- Detail'!X73</f>
        <v>42912000</v>
      </c>
      <c r="X25" s="859">
        <f>+'CY-FUR (REG)- Detail'!Y73</f>
        <v>750000000</v>
      </c>
      <c r="Y25" s="859">
        <f t="shared" si="7"/>
        <v>792912000</v>
      </c>
      <c r="Z25" s="859">
        <f t="shared" si="58"/>
        <v>337240753</v>
      </c>
      <c r="AA25" s="859">
        <f t="shared" si="59"/>
        <v>95851247</v>
      </c>
      <c r="AB25" s="859">
        <f t="shared" si="60"/>
        <v>750000000</v>
      </c>
      <c r="AC25" s="859">
        <f t="shared" si="11"/>
        <v>1183092000</v>
      </c>
      <c r="AD25" s="859">
        <f>+'CY-FUR (REG)- Detail'!AE73</f>
        <v>320185684.16999996</v>
      </c>
      <c r="AE25" s="859">
        <f>+'CY-FUR (REG)- Detail'!AF73</f>
        <v>44774450.359999999</v>
      </c>
      <c r="AF25" s="859">
        <f>+'CY-FUR (REG)- Detail'!AG73</f>
        <v>0</v>
      </c>
      <c r="AG25" s="859">
        <f t="shared" si="61"/>
        <v>364960134.52999997</v>
      </c>
      <c r="AH25" s="859">
        <f>+'CY-FUR (REG)- Detail'!AI73</f>
        <v>0</v>
      </c>
      <c r="AI25" s="859">
        <f>+'CY-FUR (REG)- Detail'!AJ73</f>
        <v>40624267.020000003</v>
      </c>
      <c r="AJ25" s="859">
        <f>+'CY-FUR (REG)- Detail'!AK73</f>
        <v>0</v>
      </c>
      <c r="AK25" s="859">
        <f t="shared" si="62"/>
        <v>40624267.020000003</v>
      </c>
      <c r="AL25" s="859">
        <f t="shared" si="63"/>
        <v>320185684.16999996</v>
      </c>
      <c r="AM25" s="859">
        <f t="shared" si="64"/>
        <v>85398717.379999995</v>
      </c>
      <c r="AN25" s="859">
        <f t="shared" si="65"/>
        <v>0</v>
      </c>
      <c r="AO25" s="859">
        <f t="shared" si="15"/>
        <v>405584401.54999995</v>
      </c>
      <c r="AP25" s="859">
        <f t="shared" si="24"/>
        <v>17055068.830000043</v>
      </c>
      <c r="AQ25" s="859">
        <f t="shared" si="25"/>
        <v>10452529.620000005</v>
      </c>
      <c r="AR25" s="859">
        <f t="shared" si="26"/>
        <v>750000000</v>
      </c>
      <c r="AS25" s="859">
        <f t="shared" si="19"/>
        <v>777507598.45000005</v>
      </c>
      <c r="AT25" s="1142">
        <f t="shared" si="27"/>
        <v>0.949427616092412</v>
      </c>
      <c r="AU25" s="1142">
        <f t="shared" si="28"/>
        <v>0.89095050980400903</v>
      </c>
      <c r="AV25" s="1142">
        <f t="shared" si="29"/>
        <v>0</v>
      </c>
      <c r="AW25" s="1142">
        <f t="shared" si="30"/>
        <v>0.34281729700648805</v>
      </c>
      <c r="AX25" s="22">
        <f t="shared" si="31"/>
        <v>0</v>
      </c>
      <c r="AY25" s="22">
        <f t="shared" si="32"/>
        <v>0</v>
      </c>
      <c r="AZ25" s="22">
        <f t="shared" si="33"/>
        <v>0</v>
      </c>
      <c r="BA25" s="22">
        <f t="shared" si="34"/>
        <v>0</v>
      </c>
      <c r="BF25" s="824">
        <f t="shared" si="35"/>
        <v>8164796.6400000006</v>
      </c>
    </row>
    <row r="26" spans="1:58" s="16" customFormat="1">
      <c r="A26" s="900" t="s">
        <v>966</v>
      </c>
      <c r="B26" s="859">
        <f>+'CY-FUR (REG)- Detail'!C74</f>
        <v>143649000</v>
      </c>
      <c r="C26" s="859">
        <f>+'CY-FUR (REG)- Detail'!D74</f>
        <v>59733000</v>
      </c>
      <c r="D26" s="859">
        <f>+'CY-FUR (REG)- Detail'!E74</f>
        <v>0</v>
      </c>
      <c r="E26" s="859">
        <f t="shared" si="0"/>
        <v>203382000</v>
      </c>
      <c r="F26" s="859">
        <f>+'CY-FUR (REG)- Detail'!G74</f>
        <v>0</v>
      </c>
      <c r="G26" s="859">
        <f>+'CY-FUR (REG)- Detail'!H74</f>
        <v>0</v>
      </c>
      <c r="H26" s="859">
        <f>+'CY-FUR (REG)- Detail'!I74</f>
        <v>0</v>
      </c>
      <c r="I26" s="859">
        <f t="shared" si="52"/>
        <v>0</v>
      </c>
      <c r="J26" s="859">
        <f t="shared" si="53"/>
        <v>143649000</v>
      </c>
      <c r="K26" s="859">
        <f t="shared" si="54"/>
        <v>59733000</v>
      </c>
      <c r="L26" s="859">
        <f t="shared" si="55"/>
        <v>0</v>
      </c>
      <c r="M26" s="859">
        <f t="shared" si="56"/>
        <v>203382000</v>
      </c>
      <c r="N26" s="859">
        <f>+'CY-FUR (REG)- Detail'!O74</f>
        <v>143649000</v>
      </c>
      <c r="O26" s="859">
        <f>+'CY-FUR (REG)- Detail'!P74</f>
        <v>59733000</v>
      </c>
      <c r="P26" s="859">
        <f>+'CY-FUR (REG)- Detail'!Q74</f>
        <v>0</v>
      </c>
      <c r="Q26" s="859">
        <f t="shared" si="6"/>
        <v>203382000</v>
      </c>
      <c r="R26" s="859">
        <f>+'CY-FUR (REG)- Detail'!S74</f>
        <v>0</v>
      </c>
      <c r="S26" s="859">
        <f>+'CY-FUR (REG)- Detail'!T74</f>
        <v>0</v>
      </c>
      <c r="T26" s="859">
        <f>+'CY-FUR (REG)- Detail'!U74</f>
        <v>0</v>
      </c>
      <c r="U26" s="859">
        <f t="shared" si="57"/>
        <v>0</v>
      </c>
      <c r="V26" s="859">
        <f>+'CY-FUR (REG)- Detail'!W74</f>
        <v>0</v>
      </c>
      <c r="W26" s="859">
        <f>+'CY-FUR (REG)- Detail'!X74</f>
        <v>20312000</v>
      </c>
      <c r="X26" s="859">
        <f>+'CY-FUR (REG)- Detail'!Y74</f>
        <v>82000000</v>
      </c>
      <c r="Y26" s="859">
        <f t="shared" si="7"/>
        <v>102312000</v>
      </c>
      <c r="Z26" s="859">
        <f t="shared" si="58"/>
        <v>143649000</v>
      </c>
      <c r="AA26" s="859">
        <f t="shared" si="59"/>
        <v>80045000</v>
      </c>
      <c r="AB26" s="859">
        <f t="shared" si="60"/>
        <v>82000000</v>
      </c>
      <c r="AC26" s="859">
        <f t="shared" si="11"/>
        <v>305694000</v>
      </c>
      <c r="AD26" s="859">
        <f>+'CY-FUR (REG)- Detail'!AE74</f>
        <v>132623644.61999999</v>
      </c>
      <c r="AE26" s="859">
        <f>+'CY-FUR (REG)- Detail'!AF74</f>
        <v>56585842.620000005</v>
      </c>
      <c r="AF26" s="859">
        <f>+'CY-FUR (REG)- Detail'!AG74</f>
        <v>0</v>
      </c>
      <c r="AG26" s="859">
        <f t="shared" si="61"/>
        <v>189209487.24000001</v>
      </c>
      <c r="AH26" s="859">
        <f>+'CY-FUR (REG)- Detail'!AI74</f>
        <v>0</v>
      </c>
      <c r="AI26" s="859">
        <f>+'CY-FUR (REG)- Detail'!AJ74</f>
        <v>20312000</v>
      </c>
      <c r="AJ26" s="859">
        <f>+'CY-FUR (REG)- Detail'!AK74</f>
        <v>81972586.260000005</v>
      </c>
      <c r="AK26" s="859">
        <f t="shared" si="62"/>
        <v>102284586.26000001</v>
      </c>
      <c r="AL26" s="859">
        <f t="shared" si="63"/>
        <v>132623644.61999999</v>
      </c>
      <c r="AM26" s="859">
        <f t="shared" si="64"/>
        <v>76897842.620000005</v>
      </c>
      <c r="AN26" s="859">
        <f t="shared" si="65"/>
        <v>81972586.260000005</v>
      </c>
      <c r="AO26" s="859">
        <f t="shared" si="15"/>
        <v>291494073.5</v>
      </c>
      <c r="AP26" s="859">
        <f t="shared" si="24"/>
        <v>11025355.38000001</v>
      </c>
      <c r="AQ26" s="859">
        <f t="shared" si="25"/>
        <v>3147157.3799999952</v>
      </c>
      <c r="AR26" s="859">
        <f t="shared" si="26"/>
        <v>27413.739999994636</v>
      </c>
      <c r="AS26" s="859">
        <f t="shared" si="19"/>
        <v>14199926.5</v>
      </c>
      <c r="AT26" s="1142">
        <f t="shared" si="27"/>
        <v>0.92324794895892059</v>
      </c>
      <c r="AU26" s="1142">
        <f t="shared" si="28"/>
        <v>0.96068264876007248</v>
      </c>
      <c r="AV26" s="1142">
        <f t="shared" si="29"/>
        <v>0.99966568609756101</v>
      </c>
      <c r="AW26" s="1142">
        <f t="shared" si="30"/>
        <v>0.95354855999790644</v>
      </c>
      <c r="AX26" s="22">
        <f t="shared" si="31"/>
        <v>0</v>
      </c>
      <c r="AY26" s="22">
        <f t="shared" si="32"/>
        <v>0</v>
      </c>
      <c r="AZ26" s="22">
        <f t="shared" si="33"/>
        <v>0</v>
      </c>
      <c r="BA26" s="22">
        <f t="shared" si="34"/>
        <v>0</v>
      </c>
      <c r="BF26" s="824">
        <f t="shared" si="35"/>
        <v>3147157.3799999952</v>
      </c>
    </row>
    <row r="27" spans="1:58" s="16" customFormat="1">
      <c r="A27" s="900" t="s">
        <v>967</v>
      </c>
      <c r="B27" s="859">
        <f>+'CY-FUR (REG)- Detail'!C75</f>
        <v>430202000</v>
      </c>
      <c r="C27" s="859">
        <f>+'CY-FUR (REG)- Detail'!D75</f>
        <v>218995000</v>
      </c>
      <c r="D27" s="859">
        <f>+'CY-FUR (REG)- Detail'!E75</f>
        <v>0</v>
      </c>
      <c r="E27" s="859">
        <f t="shared" si="0"/>
        <v>649197000</v>
      </c>
      <c r="F27" s="859">
        <f>+'CY-FUR (REG)- Detail'!G75</f>
        <v>11576363</v>
      </c>
      <c r="G27" s="859">
        <f>+'CY-FUR (REG)- Detail'!H75</f>
        <v>-11576363</v>
      </c>
      <c r="H27" s="859">
        <f>+'CY-FUR (REG)- Detail'!I75</f>
        <v>0</v>
      </c>
      <c r="I27" s="859">
        <f t="shared" si="52"/>
        <v>0</v>
      </c>
      <c r="J27" s="859">
        <f t="shared" si="53"/>
        <v>441778363</v>
      </c>
      <c r="K27" s="859">
        <f t="shared" si="54"/>
        <v>207418637</v>
      </c>
      <c r="L27" s="859">
        <f t="shared" si="55"/>
        <v>0</v>
      </c>
      <c r="M27" s="859">
        <f t="shared" si="56"/>
        <v>649197000</v>
      </c>
      <c r="N27" s="859">
        <f>+'CY-FUR (REG)- Detail'!O75</f>
        <v>441778363</v>
      </c>
      <c r="O27" s="859">
        <f>+'CY-FUR (REG)- Detail'!P75</f>
        <v>207418637</v>
      </c>
      <c r="P27" s="859">
        <f>+'CY-FUR (REG)- Detail'!Q75</f>
        <v>0</v>
      </c>
      <c r="Q27" s="859">
        <f t="shared" si="6"/>
        <v>649197000</v>
      </c>
      <c r="R27" s="859">
        <f>+'CY-FUR (REG)- Detail'!S75</f>
        <v>0</v>
      </c>
      <c r="S27" s="859">
        <f>+'CY-FUR (REG)- Detail'!T75</f>
        <v>0</v>
      </c>
      <c r="T27" s="859">
        <f>+'CY-FUR (REG)- Detail'!U75</f>
        <v>0</v>
      </c>
      <c r="U27" s="859">
        <f t="shared" si="57"/>
        <v>0</v>
      </c>
      <c r="V27" s="859">
        <f>+'CY-FUR (REG)- Detail'!W75</f>
        <v>0</v>
      </c>
      <c r="W27" s="859">
        <f>+'CY-FUR (REG)- Detail'!X75</f>
        <v>49358660</v>
      </c>
      <c r="X27" s="859">
        <f>+'CY-FUR (REG)- Detail'!Y75</f>
        <v>30750000</v>
      </c>
      <c r="Y27" s="859">
        <f t="shared" si="7"/>
        <v>80108660</v>
      </c>
      <c r="Z27" s="859">
        <f t="shared" si="58"/>
        <v>441778363</v>
      </c>
      <c r="AA27" s="859">
        <f t="shared" si="59"/>
        <v>256777297</v>
      </c>
      <c r="AB27" s="859">
        <f t="shared" si="60"/>
        <v>30750000</v>
      </c>
      <c r="AC27" s="859">
        <f t="shared" si="11"/>
        <v>729305660</v>
      </c>
      <c r="AD27" s="859">
        <f>+'CY-FUR (REG)- Detail'!AE75</f>
        <v>414116356.85999995</v>
      </c>
      <c r="AE27" s="859">
        <f>+'CY-FUR (REG)- Detail'!AF75</f>
        <v>197757300.81999999</v>
      </c>
      <c r="AF27" s="859">
        <f>+'CY-FUR (REG)- Detail'!AG75</f>
        <v>0</v>
      </c>
      <c r="AG27" s="859">
        <f t="shared" si="61"/>
        <v>611873657.67999995</v>
      </c>
      <c r="AH27" s="859">
        <f>+'CY-FUR (REG)- Detail'!AI75</f>
        <v>0</v>
      </c>
      <c r="AI27" s="859">
        <f>+'CY-FUR (REG)- Detail'!AJ75</f>
        <v>42580770.739999995</v>
      </c>
      <c r="AJ27" s="859">
        <f>+'CY-FUR (REG)- Detail'!AK75</f>
        <v>28518602.640000001</v>
      </c>
      <c r="AK27" s="859">
        <f t="shared" si="62"/>
        <v>71099373.379999995</v>
      </c>
      <c r="AL27" s="859">
        <f t="shared" si="63"/>
        <v>414116356.85999995</v>
      </c>
      <c r="AM27" s="859">
        <f t="shared" si="64"/>
        <v>240338071.56</v>
      </c>
      <c r="AN27" s="859">
        <f t="shared" si="65"/>
        <v>28518602.640000001</v>
      </c>
      <c r="AO27" s="859">
        <f t="shared" si="15"/>
        <v>682973031.05999994</v>
      </c>
      <c r="AP27" s="859">
        <f t="shared" si="24"/>
        <v>27662006.140000045</v>
      </c>
      <c r="AQ27" s="859">
        <f t="shared" si="25"/>
        <v>16439225.439999998</v>
      </c>
      <c r="AR27" s="859">
        <f t="shared" si="26"/>
        <v>2231397.3599999994</v>
      </c>
      <c r="AS27" s="859">
        <f t="shared" si="19"/>
        <v>46332628.940000042</v>
      </c>
      <c r="AT27" s="1142">
        <f t="shared" si="27"/>
        <v>0.93738487790086711</v>
      </c>
      <c r="AU27" s="1142">
        <f t="shared" si="28"/>
        <v>0.93597866465585544</v>
      </c>
      <c r="AV27" s="1142">
        <f t="shared" si="29"/>
        <v>0.927434232195122</v>
      </c>
      <c r="AW27" s="1142">
        <f t="shared" si="30"/>
        <v>0.93647021889285753</v>
      </c>
      <c r="AX27" s="22">
        <f t="shared" si="31"/>
        <v>0</v>
      </c>
      <c r="AY27" s="22">
        <f t="shared" si="32"/>
        <v>0</v>
      </c>
      <c r="AZ27" s="22">
        <f t="shared" si="33"/>
        <v>0</v>
      </c>
      <c r="BA27" s="22">
        <f t="shared" si="34"/>
        <v>0</v>
      </c>
      <c r="BF27" s="824">
        <f t="shared" si="35"/>
        <v>9661336.1800000072</v>
      </c>
    </row>
    <row r="28" spans="1:58" s="16" customFormat="1">
      <c r="A28" s="900" t="s">
        <v>968</v>
      </c>
      <c r="B28" s="859">
        <f>+'CY-FUR (REG)- Detail'!C76</f>
        <v>302047000</v>
      </c>
      <c r="C28" s="859">
        <f>+'CY-FUR (REG)- Detail'!D76</f>
        <v>111603000</v>
      </c>
      <c r="D28" s="859">
        <f>+'CY-FUR (REG)- Detail'!E76</f>
        <v>0</v>
      </c>
      <c r="E28" s="859">
        <f t="shared" si="0"/>
        <v>413650000</v>
      </c>
      <c r="F28" s="859">
        <f>+'CY-FUR (REG)- Detail'!G76</f>
        <v>0</v>
      </c>
      <c r="G28" s="859">
        <f>+'CY-FUR (REG)- Detail'!H76</f>
        <v>0</v>
      </c>
      <c r="H28" s="859">
        <f>+'CY-FUR (REG)- Detail'!I76</f>
        <v>0</v>
      </c>
      <c r="I28" s="859">
        <f t="shared" si="52"/>
        <v>0</v>
      </c>
      <c r="J28" s="859">
        <f t="shared" si="53"/>
        <v>302047000</v>
      </c>
      <c r="K28" s="859">
        <f t="shared" si="54"/>
        <v>111603000</v>
      </c>
      <c r="L28" s="859">
        <f t="shared" si="55"/>
        <v>0</v>
      </c>
      <c r="M28" s="859">
        <f t="shared" si="56"/>
        <v>413650000</v>
      </c>
      <c r="N28" s="859">
        <f>+'CY-FUR (REG)- Detail'!O76</f>
        <v>302047000</v>
      </c>
      <c r="O28" s="859">
        <f>+'CY-FUR (REG)- Detail'!P76</f>
        <v>111603000</v>
      </c>
      <c r="P28" s="859">
        <f>+'CY-FUR (REG)- Detail'!Q76</f>
        <v>0</v>
      </c>
      <c r="Q28" s="859">
        <f t="shared" si="6"/>
        <v>413650000</v>
      </c>
      <c r="R28" s="859">
        <f>+'CY-FUR (REG)- Detail'!S76</f>
        <v>0</v>
      </c>
      <c r="S28" s="859">
        <f>+'CY-FUR (REG)- Detail'!T76</f>
        <v>0</v>
      </c>
      <c r="T28" s="859">
        <f>+'CY-FUR (REG)- Detail'!U76</f>
        <v>0</v>
      </c>
      <c r="U28" s="859">
        <f t="shared" si="57"/>
        <v>0</v>
      </c>
      <c r="V28" s="859">
        <f>+'CY-FUR (REG)- Detail'!W76</f>
        <v>0</v>
      </c>
      <c r="W28" s="859">
        <f>+'CY-FUR (REG)- Detail'!X76</f>
        <v>29700000</v>
      </c>
      <c r="X28" s="859">
        <f>+'CY-FUR (REG)- Detail'!Y76</f>
        <v>18000000</v>
      </c>
      <c r="Y28" s="859">
        <f t="shared" si="7"/>
        <v>47700000</v>
      </c>
      <c r="Z28" s="859">
        <f t="shared" si="58"/>
        <v>302047000</v>
      </c>
      <c r="AA28" s="859">
        <f t="shared" si="59"/>
        <v>141303000</v>
      </c>
      <c r="AB28" s="859">
        <f t="shared" si="60"/>
        <v>18000000</v>
      </c>
      <c r="AC28" s="859">
        <f t="shared" si="11"/>
        <v>461350000</v>
      </c>
      <c r="AD28" s="859">
        <f>+'CY-FUR (REG)- Detail'!AE76</f>
        <v>278013800.74000001</v>
      </c>
      <c r="AE28" s="859">
        <f>+'CY-FUR (REG)- Detail'!AF76</f>
        <v>99599547.560000002</v>
      </c>
      <c r="AF28" s="859">
        <f>+'CY-FUR (REG)- Detail'!AG76</f>
        <v>0</v>
      </c>
      <c r="AG28" s="859">
        <f t="shared" si="61"/>
        <v>377613348.30000001</v>
      </c>
      <c r="AH28" s="859">
        <f>+'CY-FUR (REG)- Detail'!AI76</f>
        <v>0</v>
      </c>
      <c r="AI28" s="859">
        <f>+'CY-FUR (REG)- Detail'!AJ76</f>
        <v>20018789.68</v>
      </c>
      <c r="AJ28" s="859">
        <f>+'CY-FUR (REG)- Detail'!AK76</f>
        <v>13000000</v>
      </c>
      <c r="AK28" s="859">
        <f t="shared" si="62"/>
        <v>33018789.68</v>
      </c>
      <c r="AL28" s="859">
        <f t="shared" si="63"/>
        <v>278013800.74000001</v>
      </c>
      <c r="AM28" s="859">
        <f t="shared" si="64"/>
        <v>119618337.24000001</v>
      </c>
      <c r="AN28" s="859">
        <f t="shared" si="65"/>
        <v>13000000</v>
      </c>
      <c r="AO28" s="859">
        <f t="shared" si="15"/>
        <v>410632137.98000002</v>
      </c>
      <c r="AP28" s="859">
        <f t="shared" si="24"/>
        <v>24033199.25999999</v>
      </c>
      <c r="AQ28" s="859">
        <f t="shared" si="25"/>
        <v>21684662.75999999</v>
      </c>
      <c r="AR28" s="859">
        <f t="shared" si="26"/>
        <v>5000000</v>
      </c>
      <c r="AS28" s="859">
        <f t="shared" si="19"/>
        <v>50717862.019999981</v>
      </c>
      <c r="AT28" s="1142">
        <f t="shared" si="27"/>
        <v>0.92043225305995424</v>
      </c>
      <c r="AU28" s="1142">
        <f t="shared" si="28"/>
        <v>0.84653784590560721</v>
      </c>
      <c r="AV28" s="1142">
        <f t="shared" si="29"/>
        <v>0.72222222222222221</v>
      </c>
      <c r="AW28" s="1142">
        <f t="shared" si="30"/>
        <v>0.89006640940717463</v>
      </c>
      <c r="AX28" s="22">
        <f t="shared" si="31"/>
        <v>0</v>
      </c>
      <c r="AY28" s="22">
        <f t="shared" si="32"/>
        <v>0</v>
      </c>
      <c r="AZ28" s="22">
        <f t="shared" si="33"/>
        <v>0</v>
      </c>
      <c r="BA28" s="22">
        <f t="shared" si="34"/>
        <v>0</v>
      </c>
      <c r="BF28" s="824">
        <f t="shared" si="35"/>
        <v>12003452.439999998</v>
      </c>
    </row>
    <row r="29" spans="1:58" s="16" customFormat="1">
      <c r="A29" s="900" t="s">
        <v>969</v>
      </c>
      <c r="B29" s="859">
        <f>+'CY-FUR (REG)- Detail'!C77</f>
        <v>233701000</v>
      </c>
      <c r="C29" s="859">
        <f>+'CY-FUR (REG)- Detail'!D77</f>
        <v>165112000</v>
      </c>
      <c r="D29" s="859">
        <f>+'CY-FUR (REG)- Detail'!E77</f>
        <v>0</v>
      </c>
      <c r="E29" s="859">
        <f t="shared" si="0"/>
        <v>398813000</v>
      </c>
      <c r="F29" s="859">
        <f>+'CY-FUR (REG)- Detail'!G77</f>
        <v>0</v>
      </c>
      <c r="G29" s="859">
        <f>+'CY-FUR (REG)- Detail'!H77</f>
        <v>0</v>
      </c>
      <c r="H29" s="859">
        <f>+'CY-FUR (REG)- Detail'!I77</f>
        <v>0</v>
      </c>
      <c r="I29" s="859">
        <f t="shared" si="52"/>
        <v>0</v>
      </c>
      <c r="J29" s="859">
        <f t="shared" si="53"/>
        <v>233701000</v>
      </c>
      <c r="K29" s="859">
        <f t="shared" si="54"/>
        <v>165112000</v>
      </c>
      <c r="L29" s="859">
        <f t="shared" si="55"/>
        <v>0</v>
      </c>
      <c r="M29" s="859">
        <f t="shared" si="56"/>
        <v>398813000</v>
      </c>
      <c r="N29" s="859">
        <f>+'CY-FUR (REG)- Detail'!O77</f>
        <v>233701000</v>
      </c>
      <c r="O29" s="859">
        <f>+'CY-FUR (REG)- Detail'!P77</f>
        <v>165112000</v>
      </c>
      <c r="P29" s="859">
        <f>+'CY-FUR (REG)- Detail'!Q77</f>
        <v>0</v>
      </c>
      <c r="Q29" s="859">
        <f t="shared" si="6"/>
        <v>398813000</v>
      </c>
      <c r="R29" s="859">
        <f>+'CY-FUR (REG)- Detail'!S77</f>
        <v>0</v>
      </c>
      <c r="S29" s="859">
        <f>+'CY-FUR (REG)- Detail'!T77</f>
        <v>0</v>
      </c>
      <c r="T29" s="859">
        <f>+'CY-FUR (REG)- Detail'!U77</f>
        <v>0</v>
      </c>
      <c r="U29" s="859">
        <f t="shared" si="57"/>
        <v>0</v>
      </c>
      <c r="V29" s="859">
        <f>+'CY-FUR (REG)- Detail'!W77</f>
        <v>0</v>
      </c>
      <c r="W29" s="859">
        <f>+'CY-FUR (REG)- Detail'!X77</f>
        <v>59020000</v>
      </c>
      <c r="X29" s="859">
        <f>+'CY-FUR (REG)- Detail'!Y77</f>
        <v>54326113.100000001</v>
      </c>
      <c r="Y29" s="859">
        <f t="shared" si="7"/>
        <v>113346113.09999999</v>
      </c>
      <c r="Z29" s="859">
        <f t="shared" si="58"/>
        <v>233701000</v>
      </c>
      <c r="AA29" s="859">
        <f t="shared" si="59"/>
        <v>224132000</v>
      </c>
      <c r="AB29" s="859">
        <f t="shared" si="60"/>
        <v>54326113.100000001</v>
      </c>
      <c r="AC29" s="859">
        <f t="shared" si="11"/>
        <v>512159113.10000002</v>
      </c>
      <c r="AD29" s="859">
        <f>+'CY-FUR (REG)- Detail'!AE77</f>
        <v>217281268.67000002</v>
      </c>
      <c r="AE29" s="859">
        <f>+'CY-FUR (REG)- Detail'!AF77</f>
        <v>117388907.45</v>
      </c>
      <c r="AF29" s="859">
        <f>+'CY-FUR (REG)- Detail'!AG77</f>
        <v>0</v>
      </c>
      <c r="AG29" s="859">
        <f t="shared" si="61"/>
        <v>334670176.12</v>
      </c>
      <c r="AH29" s="859">
        <f>+'CY-FUR (REG)- Detail'!AI77</f>
        <v>0</v>
      </c>
      <c r="AI29" s="859">
        <f>+'CY-FUR (REG)- Detail'!AJ77</f>
        <v>48208446.509999998</v>
      </c>
      <c r="AJ29" s="859">
        <f>+'CY-FUR (REG)- Detail'!AK77</f>
        <v>46068070.750000007</v>
      </c>
      <c r="AK29" s="859">
        <f t="shared" si="62"/>
        <v>94276517.260000005</v>
      </c>
      <c r="AL29" s="859">
        <f t="shared" si="63"/>
        <v>217281268.67000002</v>
      </c>
      <c r="AM29" s="859">
        <f t="shared" si="64"/>
        <v>165597353.96000001</v>
      </c>
      <c r="AN29" s="859">
        <f t="shared" si="65"/>
        <v>46068070.750000007</v>
      </c>
      <c r="AO29" s="859">
        <f t="shared" si="15"/>
        <v>428946693.38</v>
      </c>
      <c r="AP29" s="859">
        <f t="shared" si="24"/>
        <v>16419731.329999983</v>
      </c>
      <c r="AQ29" s="859">
        <f t="shared" si="25"/>
        <v>58534646.039999992</v>
      </c>
      <c r="AR29" s="859">
        <f t="shared" si="26"/>
        <v>8258042.349999994</v>
      </c>
      <c r="AS29" s="859">
        <f t="shared" si="19"/>
        <v>83212419.719999969</v>
      </c>
      <c r="AT29" s="1142">
        <f t="shared" si="27"/>
        <v>0.9297404318766288</v>
      </c>
      <c r="AU29" s="1142">
        <f t="shared" si="28"/>
        <v>0.73883851462531014</v>
      </c>
      <c r="AV29" s="1142">
        <f t="shared" si="29"/>
        <v>0.84799129039842913</v>
      </c>
      <c r="AW29" s="1142">
        <f t="shared" si="30"/>
        <v>0.83752623434476958</v>
      </c>
      <c r="AX29" s="22">
        <f t="shared" si="31"/>
        <v>0</v>
      </c>
      <c r="AY29" s="22">
        <f t="shared" si="32"/>
        <v>0</v>
      </c>
      <c r="AZ29" s="22">
        <f t="shared" si="33"/>
        <v>0</v>
      </c>
      <c r="BA29" s="22">
        <f t="shared" si="34"/>
        <v>0</v>
      </c>
      <c r="BF29" s="824">
        <f t="shared" si="35"/>
        <v>47723092.549999997</v>
      </c>
    </row>
    <row r="30" spans="1:58" s="16" customFormat="1">
      <c r="A30" s="900" t="s">
        <v>970</v>
      </c>
      <c r="B30" s="859">
        <f>+'CY-FUR (REG)- Detail'!C78</f>
        <v>143539000</v>
      </c>
      <c r="C30" s="859">
        <f>+'CY-FUR (REG)- Detail'!D78</f>
        <v>97120000</v>
      </c>
      <c r="D30" s="859">
        <f>+'CY-FUR (REG)- Detail'!E78</f>
        <v>0</v>
      </c>
      <c r="E30" s="859">
        <f t="shared" si="0"/>
        <v>240659000</v>
      </c>
      <c r="F30" s="859">
        <f>+'CY-FUR (REG)- Detail'!G78</f>
        <v>0</v>
      </c>
      <c r="G30" s="859">
        <f>+'CY-FUR (REG)- Detail'!H78</f>
        <v>0</v>
      </c>
      <c r="H30" s="859">
        <f>+'CY-FUR (REG)- Detail'!I78</f>
        <v>0</v>
      </c>
      <c r="I30" s="859">
        <f t="shared" si="52"/>
        <v>0</v>
      </c>
      <c r="J30" s="859">
        <f t="shared" si="53"/>
        <v>143539000</v>
      </c>
      <c r="K30" s="859">
        <f t="shared" si="54"/>
        <v>97120000</v>
      </c>
      <c r="L30" s="859">
        <f t="shared" si="55"/>
        <v>0</v>
      </c>
      <c r="M30" s="859">
        <f t="shared" si="56"/>
        <v>240659000</v>
      </c>
      <c r="N30" s="859">
        <f>+'CY-FUR (REG)- Detail'!O78</f>
        <v>143539000</v>
      </c>
      <c r="O30" s="859">
        <f>+'CY-FUR (REG)- Detail'!P78</f>
        <v>97120000</v>
      </c>
      <c r="P30" s="859">
        <f>+'CY-FUR (REG)- Detail'!Q78</f>
        <v>0</v>
      </c>
      <c r="Q30" s="859">
        <f t="shared" si="6"/>
        <v>240659000</v>
      </c>
      <c r="R30" s="859">
        <f>+'CY-FUR (REG)- Detail'!S78</f>
        <v>0</v>
      </c>
      <c r="S30" s="859">
        <f>+'CY-FUR (REG)- Detail'!T78</f>
        <v>0</v>
      </c>
      <c r="T30" s="859">
        <f>+'CY-FUR (REG)- Detail'!U78</f>
        <v>0</v>
      </c>
      <c r="U30" s="859">
        <f t="shared" si="57"/>
        <v>0</v>
      </c>
      <c r="V30" s="859">
        <f>+'CY-FUR (REG)- Detail'!W78</f>
        <v>0</v>
      </c>
      <c r="W30" s="859">
        <f>+'CY-FUR (REG)- Detail'!X78</f>
        <v>153982750</v>
      </c>
      <c r="X30" s="859">
        <f>+'CY-FUR (REG)- Detail'!Y78</f>
        <v>470975000</v>
      </c>
      <c r="Y30" s="859">
        <f t="shared" si="7"/>
        <v>624957750</v>
      </c>
      <c r="Z30" s="859">
        <f t="shared" si="58"/>
        <v>143539000</v>
      </c>
      <c r="AA30" s="859">
        <f t="shared" si="59"/>
        <v>251102750</v>
      </c>
      <c r="AB30" s="859">
        <f t="shared" si="60"/>
        <v>470975000</v>
      </c>
      <c r="AC30" s="859">
        <f t="shared" si="11"/>
        <v>865616750</v>
      </c>
      <c r="AD30" s="859">
        <f>+'CY-FUR (REG)- Detail'!AE78</f>
        <v>132906356.50999999</v>
      </c>
      <c r="AE30" s="859">
        <f>+'CY-FUR (REG)- Detail'!AF78</f>
        <v>91446356.310000002</v>
      </c>
      <c r="AF30" s="859">
        <f>+'CY-FUR (REG)- Detail'!AG78</f>
        <v>0</v>
      </c>
      <c r="AG30" s="859">
        <f t="shared" si="61"/>
        <v>224352712.81999999</v>
      </c>
      <c r="AH30" s="859">
        <f>+'CY-FUR (REG)- Detail'!AI78</f>
        <v>0</v>
      </c>
      <c r="AI30" s="859">
        <f>+'CY-FUR (REG)- Detail'!AJ78</f>
        <v>93990625.400000021</v>
      </c>
      <c r="AJ30" s="859">
        <f>+'CY-FUR (REG)- Detail'!AK78</f>
        <v>3842397.88</v>
      </c>
      <c r="AK30" s="859">
        <f t="shared" si="62"/>
        <v>97833023.280000016</v>
      </c>
      <c r="AL30" s="859">
        <f t="shared" si="63"/>
        <v>132906356.50999999</v>
      </c>
      <c r="AM30" s="859">
        <f t="shared" si="64"/>
        <v>185436981.71000004</v>
      </c>
      <c r="AN30" s="859">
        <f t="shared" si="65"/>
        <v>3842397.88</v>
      </c>
      <c r="AO30" s="859">
        <f t="shared" si="15"/>
        <v>322185736.10000002</v>
      </c>
      <c r="AP30" s="859">
        <f t="shared" si="24"/>
        <v>10632643.49000001</v>
      </c>
      <c r="AQ30" s="859">
        <f t="shared" si="25"/>
        <v>65665768.289999962</v>
      </c>
      <c r="AR30" s="859">
        <f t="shared" si="26"/>
        <v>467132602.12</v>
      </c>
      <c r="AS30" s="859">
        <f t="shared" si="19"/>
        <v>543431013.89999998</v>
      </c>
      <c r="AT30" s="1142">
        <f t="shared" si="27"/>
        <v>0.92592505528114299</v>
      </c>
      <c r="AU30" s="1142">
        <f t="shared" si="28"/>
        <v>0.73849044548496601</v>
      </c>
      <c r="AV30" s="1142">
        <f t="shared" si="29"/>
        <v>8.1583903179574292E-3</v>
      </c>
      <c r="AW30" s="1142">
        <f t="shared" si="30"/>
        <v>0.37220367570290203</v>
      </c>
      <c r="AX30" s="22">
        <f t="shared" si="31"/>
        <v>0</v>
      </c>
      <c r="AY30" s="22">
        <f t="shared" si="32"/>
        <v>0</v>
      </c>
      <c r="AZ30" s="22">
        <f t="shared" si="33"/>
        <v>0</v>
      </c>
      <c r="BA30" s="22">
        <f t="shared" si="34"/>
        <v>0</v>
      </c>
      <c r="BF30" s="824">
        <f t="shared" si="35"/>
        <v>5673643.6899999976</v>
      </c>
    </row>
    <row r="31" spans="1:58" s="16" customFormat="1">
      <c r="A31" s="900" t="s">
        <v>971</v>
      </c>
      <c r="B31" s="859">
        <f>+'CY-FUR (REG)- Detail'!C79</f>
        <v>109683000</v>
      </c>
      <c r="C31" s="859">
        <f>+'CY-FUR (REG)- Detail'!D79</f>
        <v>38781000</v>
      </c>
      <c r="D31" s="859">
        <f>+'CY-FUR (REG)- Detail'!E79</f>
        <v>0</v>
      </c>
      <c r="E31" s="859">
        <f t="shared" si="0"/>
        <v>148464000</v>
      </c>
      <c r="F31" s="859">
        <f>+'CY-FUR (REG)- Detail'!G79</f>
        <v>0</v>
      </c>
      <c r="G31" s="859">
        <f>+'CY-FUR (REG)- Detail'!H79</f>
        <v>0</v>
      </c>
      <c r="H31" s="859">
        <f>+'CY-FUR (REG)- Detail'!I79</f>
        <v>0</v>
      </c>
      <c r="I31" s="859">
        <f t="shared" si="52"/>
        <v>0</v>
      </c>
      <c r="J31" s="859">
        <f t="shared" si="53"/>
        <v>109683000</v>
      </c>
      <c r="K31" s="859">
        <f t="shared" si="54"/>
        <v>38781000</v>
      </c>
      <c r="L31" s="859">
        <f t="shared" si="55"/>
        <v>0</v>
      </c>
      <c r="M31" s="859">
        <f t="shared" si="56"/>
        <v>148464000</v>
      </c>
      <c r="N31" s="859">
        <f>+'CY-FUR (REG)- Detail'!O79</f>
        <v>109683000</v>
      </c>
      <c r="O31" s="859">
        <f>+'CY-FUR (REG)- Detail'!P79</f>
        <v>38781000</v>
      </c>
      <c r="P31" s="859">
        <f>+'CY-FUR (REG)- Detail'!Q79</f>
        <v>0</v>
      </c>
      <c r="Q31" s="859">
        <f t="shared" si="6"/>
        <v>148464000</v>
      </c>
      <c r="R31" s="859">
        <f>+'CY-FUR (REG)- Detail'!S79</f>
        <v>0</v>
      </c>
      <c r="S31" s="859">
        <f>+'CY-FUR (REG)- Detail'!T79</f>
        <v>0</v>
      </c>
      <c r="T31" s="859">
        <f>+'CY-FUR (REG)- Detail'!U79</f>
        <v>0</v>
      </c>
      <c r="U31" s="859">
        <f t="shared" si="57"/>
        <v>0</v>
      </c>
      <c r="V31" s="859">
        <f>+'CY-FUR (REG)- Detail'!W79</f>
        <v>0</v>
      </c>
      <c r="W31" s="859">
        <f>+'CY-FUR (REG)- Detail'!X79</f>
        <v>15848000</v>
      </c>
      <c r="X31" s="859">
        <f>+'CY-FUR (REG)- Detail'!Y79</f>
        <v>18000000</v>
      </c>
      <c r="Y31" s="859">
        <f t="shared" si="7"/>
        <v>33848000</v>
      </c>
      <c r="Z31" s="859">
        <f t="shared" si="58"/>
        <v>109683000</v>
      </c>
      <c r="AA31" s="859">
        <f t="shared" si="59"/>
        <v>54629000</v>
      </c>
      <c r="AB31" s="859">
        <f t="shared" si="60"/>
        <v>18000000</v>
      </c>
      <c r="AC31" s="859">
        <f t="shared" si="11"/>
        <v>182312000</v>
      </c>
      <c r="AD31" s="859">
        <f>+'CY-FUR (REG)- Detail'!AE79</f>
        <v>101335636</v>
      </c>
      <c r="AE31" s="859">
        <f>+'CY-FUR (REG)- Detail'!AF79</f>
        <v>29267091.990000002</v>
      </c>
      <c r="AF31" s="859">
        <f>+'CY-FUR (REG)- Detail'!AG79</f>
        <v>0</v>
      </c>
      <c r="AG31" s="859">
        <f t="shared" si="61"/>
        <v>130602727.99000001</v>
      </c>
      <c r="AH31" s="859">
        <f>+'CY-FUR (REG)- Detail'!AI79</f>
        <v>0</v>
      </c>
      <c r="AI31" s="859">
        <f>+'CY-FUR (REG)- Detail'!AJ79</f>
        <v>10972608.619999999</v>
      </c>
      <c r="AJ31" s="859">
        <f>+'CY-FUR (REG)- Detail'!AK79</f>
        <v>17999252.949999999</v>
      </c>
      <c r="AK31" s="859">
        <f t="shared" si="62"/>
        <v>28971861.57</v>
      </c>
      <c r="AL31" s="859">
        <f t="shared" si="63"/>
        <v>101335636</v>
      </c>
      <c r="AM31" s="859">
        <f t="shared" si="64"/>
        <v>40239700.609999999</v>
      </c>
      <c r="AN31" s="859">
        <f t="shared" si="65"/>
        <v>17999252.949999999</v>
      </c>
      <c r="AO31" s="859">
        <f t="shared" si="15"/>
        <v>159574589.56</v>
      </c>
      <c r="AP31" s="859">
        <f t="shared" si="24"/>
        <v>8347364</v>
      </c>
      <c r="AQ31" s="859">
        <f t="shared" si="25"/>
        <v>14389299.390000001</v>
      </c>
      <c r="AR31" s="859">
        <f t="shared" si="26"/>
        <v>747.05000000074506</v>
      </c>
      <c r="AS31" s="859">
        <f t="shared" si="19"/>
        <v>22737410.440000001</v>
      </c>
      <c r="AT31" s="1142">
        <f t="shared" si="27"/>
        <v>0.92389555354977526</v>
      </c>
      <c r="AU31" s="1142">
        <f t="shared" si="28"/>
        <v>0.73659961943290198</v>
      </c>
      <c r="AV31" s="1142">
        <f t="shared" si="29"/>
        <v>0.99995849722222219</v>
      </c>
      <c r="AW31" s="1142">
        <f t="shared" si="30"/>
        <v>0.87528297402255473</v>
      </c>
      <c r="AX31" s="22">
        <f t="shared" si="31"/>
        <v>0</v>
      </c>
      <c r="AY31" s="22">
        <f t="shared" si="32"/>
        <v>0</v>
      </c>
      <c r="AZ31" s="22">
        <f t="shared" si="33"/>
        <v>0</v>
      </c>
      <c r="BA31" s="22">
        <f t="shared" si="34"/>
        <v>0</v>
      </c>
      <c r="BF31" s="824">
        <f t="shared" si="35"/>
        <v>9513908.0099999979</v>
      </c>
    </row>
    <row r="32" spans="1:58" s="16" customFormat="1">
      <c r="A32" s="592"/>
      <c r="B32" s="859"/>
      <c r="C32" s="859"/>
      <c r="D32" s="859"/>
      <c r="E32" s="859">
        <f t="shared" si="0"/>
        <v>0</v>
      </c>
      <c r="F32" s="859"/>
      <c r="G32" s="859"/>
      <c r="H32" s="859"/>
      <c r="I32" s="859"/>
      <c r="J32" s="859"/>
      <c r="K32" s="859"/>
      <c r="L32" s="859"/>
      <c r="M32" s="859"/>
      <c r="N32" s="859"/>
      <c r="O32" s="859"/>
      <c r="P32" s="859"/>
      <c r="Q32" s="859">
        <f t="shared" si="6"/>
        <v>0</v>
      </c>
      <c r="R32" s="859"/>
      <c r="S32" s="859"/>
      <c r="T32" s="859"/>
      <c r="U32" s="859"/>
      <c r="V32" s="859"/>
      <c r="W32" s="859"/>
      <c r="X32" s="859"/>
      <c r="Y32" s="859">
        <f t="shared" si="7"/>
        <v>0</v>
      </c>
      <c r="Z32" s="859"/>
      <c r="AA32" s="859"/>
      <c r="AB32" s="859"/>
      <c r="AC32" s="859">
        <f t="shared" si="11"/>
        <v>0</v>
      </c>
      <c r="AD32" s="859"/>
      <c r="AE32" s="859"/>
      <c r="AF32" s="859"/>
      <c r="AG32" s="859"/>
      <c r="AH32" s="859"/>
      <c r="AI32" s="859"/>
      <c r="AJ32" s="859"/>
      <c r="AK32" s="859"/>
      <c r="AL32" s="859"/>
      <c r="AM32" s="859"/>
      <c r="AN32" s="859"/>
      <c r="AO32" s="859">
        <f t="shared" si="15"/>
        <v>0</v>
      </c>
      <c r="AP32" s="859">
        <f t="shared" si="24"/>
        <v>0</v>
      </c>
      <c r="AQ32" s="859">
        <f t="shared" si="25"/>
        <v>0</v>
      </c>
      <c r="AR32" s="859">
        <f t="shared" si="26"/>
        <v>0</v>
      </c>
      <c r="AS32" s="859">
        <f t="shared" si="19"/>
        <v>0</v>
      </c>
      <c r="AT32" s="1142" t="str">
        <f t="shared" si="27"/>
        <v xml:space="preserve"> </v>
      </c>
      <c r="AU32" s="1142" t="str">
        <f t="shared" si="28"/>
        <v xml:space="preserve"> </v>
      </c>
      <c r="AV32" s="1142" t="str">
        <f t="shared" si="29"/>
        <v xml:space="preserve"> </v>
      </c>
      <c r="AW32" s="1142" t="str">
        <f t="shared" si="30"/>
        <v xml:space="preserve"> </v>
      </c>
      <c r="AX32" s="22">
        <f t="shared" si="31"/>
        <v>0</v>
      </c>
      <c r="AY32" s="22">
        <f t="shared" si="32"/>
        <v>0</v>
      </c>
      <c r="AZ32" s="22">
        <f t="shared" si="33"/>
        <v>0</v>
      </c>
      <c r="BA32" s="22">
        <f t="shared" si="34"/>
        <v>0</v>
      </c>
      <c r="BF32" s="824">
        <f t="shared" si="35"/>
        <v>0</v>
      </c>
    </row>
    <row r="33" spans="1:58" s="609" customFormat="1" ht="16.5">
      <c r="A33" s="1153" t="s">
        <v>56</v>
      </c>
      <c r="B33" s="1151">
        <f>SUM(B34:B38)</f>
        <v>282323000</v>
      </c>
      <c r="C33" s="1151">
        <f t="shared" ref="C33:AN33" si="66">SUM(C34:C38)</f>
        <v>308173000</v>
      </c>
      <c r="D33" s="1151">
        <f t="shared" si="66"/>
        <v>0</v>
      </c>
      <c r="E33" s="1151">
        <f t="shared" si="0"/>
        <v>590496000</v>
      </c>
      <c r="F33" s="1151">
        <f t="shared" si="66"/>
        <v>0</v>
      </c>
      <c r="G33" s="1151">
        <f t="shared" si="66"/>
        <v>0</v>
      </c>
      <c r="H33" s="1151">
        <f t="shared" si="66"/>
        <v>0</v>
      </c>
      <c r="I33" s="1151">
        <f t="shared" si="66"/>
        <v>0</v>
      </c>
      <c r="J33" s="1151">
        <f t="shared" si="66"/>
        <v>282323000</v>
      </c>
      <c r="K33" s="1151">
        <f t="shared" si="66"/>
        <v>308173000</v>
      </c>
      <c r="L33" s="1151">
        <f t="shared" si="66"/>
        <v>0</v>
      </c>
      <c r="M33" s="1151">
        <f t="shared" si="66"/>
        <v>590496000</v>
      </c>
      <c r="N33" s="1151">
        <f t="shared" si="66"/>
        <v>282323000</v>
      </c>
      <c r="O33" s="1151">
        <f t="shared" si="66"/>
        <v>308173000</v>
      </c>
      <c r="P33" s="1151">
        <f t="shared" si="66"/>
        <v>0</v>
      </c>
      <c r="Q33" s="1151">
        <f t="shared" si="6"/>
        <v>590496000</v>
      </c>
      <c r="R33" s="1151">
        <f t="shared" si="66"/>
        <v>0</v>
      </c>
      <c r="S33" s="1151">
        <f t="shared" si="66"/>
        <v>0</v>
      </c>
      <c r="T33" s="1151">
        <f t="shared" si="66"/>
        <v>0</v>
      </c>
      <c r="U33" s="1151">
        <f t="shared" si="66"/>
        <v>0</v>
      </c>
      <c r="V33" s="1151">
        <f t="shared" si="66"/>
        <v>0</v>
      </c>
      <c r="W33" s="1151">
        <f t="shared" si="66"/>
        <v>144699414</v>
      </c>
      <c r="X33" s="1151">
        <f t="shared" si="66"/>
        <v>473471882</v>
      </c>
      <c r="Y33" s="1151">
        <f t="shared" si="7"/>
        <v>618171296</v>
      </c>
      <c r="Z33" s="1151">
        <f t="shared" si="66"/>
        <v>282323000</v>
      </c>
      <c r="AA33" s="1151">
        <f t="shared" si="66"/>
        <v>452872414</v>
      </c>
      <c r="AB33" s="1151">
        <f t="shared" si="66"/>
        <v>473471882</v>
      </c>
      <c r="AC33" s="1151">
        <f t="shared" si="11"/>
        <v>1208667296</v>
      </c>
      <c r="AD33" s="1151">
        <f t="shared" si="66"/>
        <v>260300649.81999999</v>
      </c>
      <c r="AE33" s="1151">
        <f t="shared" si="66"/>
        <v>253483859.41999996</v>
      </c>
      <c r="AF33" s="1151">
        <f t="shared" si="66"/>
        <v>0</v>
      </c>
      <c r="AG33" s="1151">
        <f t="shared" si="66"/>
        <v>513784509.23999995</v>
      </c>
      <c r="AH33" s="1151">
        <f t="shared" si="66"/>
        <v>0</v>
      </c>
      <c r="AI33" s="1151">
        <f t="shared" si="66"/>
        <v>113489912.02000001</v>
      </c>
      <c r="AJ33" s="1151">
        <f t="shared" si="66"/>
        <v>370676018.92000002</v>
      </c>
      <c r="AK33" s="1151">
        <f t="shared" si="66"/>
        <v>484165930.93999994</v>
      </c>
      <c r="AL33" s="1151">
        <f t="shared" si="66"/>
        <v>260300649.81999999</v>
      </c>
      <c r="AM33" s="1151">
        <f t="shared" si="66"/>
        <v>366973771.44</v>
      </c>
      <c r="AN33" s="1151">
        <f t="shared" si="66"/>
        <v>370676018.92000002</v>
      </c>
      <c r="AO33" s="1151">
        <f t="shared" si="15"/>
        <v>997950440.18000007</v>
      </c>
      <c r="AP33" s="1151">
        <f t="shared" si="24"/>
        <v>22022350.180000007</v>
      </c>
      <c r="AQ33" s="1151">
        <f t="shared" si="25"/>
        <v>85898642.560000002</v>
      </c>
      <c r="AR33" s="1151">
        <f t="shared" si="26"/>
        <v>102795863.07999998</v>
      </c>
      <c r="AS33" s="1151">
        <f t="shared" si="19"/>
        <v>210716855.81999999</v>
      </c>
      <c r="AT33" s="1165">
        <f t="shared" si="27"/>
        <v>0.92199590476156745</v>
      </c>
      <c r="AU33" s="1165">
        <f t="shared" si="28"/>
        <v>0.81032485109592034</v>
      </c>
      <c r="AV33" s="1165">
        <f t="shared" si="29"/>
        <v>0.78288919154865466</v>
      </c>
      <c r="AW33" s="1165">
        <f t="shared" si="30"/>
        <v>0.82566182065374594</v>
      </c>
      <c r="AX33" s="1152">
        <f t="shared" si="31"/>
        <v>0</v>
      </c>
      <c r="AY33" s="1152">
        <f t="shared" si="32"/>
        <v>0</v>
      </c>
      <c r="AZ33" s="1152">
        <f t="shared" si="33"/>
        <v>0</v>
      </c>
      <c r="BA33" s="1152">
        <f t="shared" si="34"/>
        <v>0</v>
      </c>
      <c r="BB33" s="1132">
        <f>+AS33-'CY (ALL FUNDS)'!Q126</f>
        <v>0</v>
      </c>
      <c r="BF33" s="824">
        <f t="shared" si="35"/>
        <v>54689140.580000043</v>
      </c>
    </row>
    <row r="34" spans="1:58" s="16" customFormat="1">
      <c r="A34" s="899" t="s">
        <v>972</v>
      </c>
      <c r="B34" s="859">
        <f>SUM('CY-FUR (REG)- Detail'!C100:C102)</f>
        <v>69090000</v>
      </c>
      <c r="C34" s="859">
        <f>SUM('CY-FUR (REG)- Detail'!D100:D102)</f>
        <v>213374000</v>
      </c>
      <c r="D34" s="859">
        <f>SUM('CY-FUR (REG)- Detail'!E100:E102)</f>
        <v>0</v>
      </c>
      <c r="E34" s="859">
        <f t="shared" si="0"/>
        <v>282464000</v>
      </c>
      <c r="F34" s="859">
        <f>SUM('CY-FUR (REG)- Detail'!G100:G102)</f>
        <v>0</v>
      </c>
      <c r="G34" s="859">
        <f>SUM('CY-FUR (REG)- Detail'!H100:H102)</f>
        <v>0</v>
      </c>
      <c r="H34" s="859">
        <f>SUM('CY-FUR (REG)- Detail'!I100:I102)</f>
        <v>0</v>
      </c>
      <c r="I34" s="859">
        <f>SUM('CY-FUR (REG)- Detail'!J100:J102)</f>
        <v>0</v>
      </c>
      <c r="J34" s="859">
        <f>SUM('CY-FUR (REG)- Detail'!K100:K102)</f>
        <v>69090000</v>
      </c>
      <c r="K34" s="859">
        <f>SUM('CY-FUR (REG)- Detail'!L100:L102)</f>
        <v>213374000</v>
      </c>
      <c r="L34" s="859">
        <f>SUM('CY-FUR (REG)- Detail'!M100:M102)</f>
        <v>0</v>
      </c>
      <c r="M34" s="859">
        <f>SUM('CY-FUR (REG)- Detail'!N100:N102)</f>
        <v>282464000</v>
      </c>
      <c r="N34" s="859">
        <f>SUM('CY-FUR (REG)- Detail'!O100:O102)</f>
        <v>69090000</v>
      </c>
      <c r="O34" s="859">
        <f>SUM('CY-FUR (REG)- Detail'!P100:P102)</f>
        <v>213374000</v>
      </c>
      <c r="P34" s="859">
        <f>SUM('CY-FUR (REG)- Detail'!Q100:Q102)</f>
        <v>0</v>
      </c>
      <c r="Q34" s="859">
        <f t="shared" si="6"/>
        <v>282464000</v>
      </c>
      <c r="R34" s="859">
        <f>SUM('CY-FUR (REG)- Detail'!S100:S102)</f>
        <v>0</v>
      </c>
      <c r="S34" s="859">
        <f>SUM('CY-FUR (REG)- Detail'!T100:T102)</f>
        <v>0</v>
      </c>
      <c r="T34" s="859">
        <f>SUM('CY-FUR (REG)- Detail'!U100:U102)</f>
        <v>0</v>
      </c>
      <c r="U34" s="859">
        <f>SUM('CY-FUR (REG)- Detail'!V100:V102)</f>
        <v>0</v>
      </c>
      <c r="V34" s="859">
        <f>SUM('CY-FUR (REG)- Detail'!W100:W102)</f>
        <v>0</v>
      </c>
      <c r="W34" s="859">
        <f>SUM('CY-FUR (REG)- Detail'!X100:X102)</f>
        <v>82281414</v>
      </c>
      <c r="X34" s="859">
        <f>SUM('CY-FUR (REG)- Detail'!Y100:Y102)</f>
        <v>146598000</v>
      </c>
      <c r="Y34" s="859">
        <f t="shared" si="7"/>
        <v>228879414</v>
      </c>
      <c r="Z34" s="859">
        <f>SUM('CY-FUR (REG)- Detail'!AA100:AA102)</f>
        <v>69090000</v>
      </c>
      <c r="AA34" s="859">
        <f>SUM('CY-FUR (REG)- Detail'!AB100:AB102)</f>
        <v>295655414</v>
      </c>
      <c r="AB34" s="859">
        <f>SUM('CY-FUR (REG)- Detail'!AC100:AC102)</f>
        <v>146598000</v>
      </c>
      <c r="AC34" s="859">
        <f t="shared" si="11"/>
        <v>511343414</v>
      </c>
      <c r="AD34" s="859">
        <f>SUM('CY-FUR (REG)- Detail'!AE100:AE102)</f>
        <v>62486005.729999997</v>
      </c>
      <c r="AE34" s="859">
        <f>SUM('CY-FUR (REG)- Detail'!AF100:AF102)</f>
        <v>168894553.37999997</v>
      </c>
      <c r="AF34" s="859">
        <f>SUM('CY-FUR (REG)- Detail'!AG100:AG102)</f>
        <v>0</v>
      </c>
      <c r="AG34" s="859">
        <f>SUM('CY-FUR (REG)- Detail'!AH100:AH102)</f>
        <v>231380559.10999995</v>
      </c>
      <c r="AH34" s="859">
        <f>SUM('CY-FUR (REG)- Detail'!AI100:AI102)</f>
        <v>0</v>
      </c>
      <c r="AI34" s="859">
        <f>SUM('CY-FUR (REG)- Detail'!AJ100:AJ102)</f>
        <v>58364371.490000002</v>
      </c>
      <c r="AJ34" s="859">
        <f>SUM('CY-FUR (REG)- Detail'!AK100:AK102)</f>
        <v>45987665.68</v>
      </c>
      <c r="AK34" s="859">
        <f>SUM('CY-FUR (REG)- Detail'!AL100:AL102)</f>
        <v>104352037.17</v>
      </c>
      <c r="AL34" s="859">
        <f>SUM('CY-FUR (REG)- Detail'!AM100:AM102)</f>
        <v>62486005.729999997</v>
      </c>
      <c r="AM34" s="859">
        <f>SUM('CY-FUR (REG)- Detail'!AN100:AN102)</f>
        <v>227258924.86999997</v>
      </c>
      <c r="AN34" s="859">
        <f>SUM('CY-FUR (REG)- Detail'!AO100:AO102)</f>
        <v>45987665.68</v>
      </c>
      <c r="AO34" s="859">
        <f t="shared" si="15"/>
        <v>335732596.27999997</v>
      </c>
      <c r="AP34" s="859">
        <f t="shared" si="24"/>
        <v>6603994.2700000033</v>
      </c>
      <c r="AQ34" s="859">
        <f t="shared" si="25"/>
        <v>68396489.130000025</v>
      </c>
      <c r="AR34" s="859">
        <f t="shared" si="26"/>
        <v>100610334.31999999</v>
      </c>
      <c r="AS34" s="859">
        <f t="shared" si="19"/>
        <v>175610817.72000003</v>
      </c>
      <c r="AT34" s="1143">
        <f t="shared" si="27"/>
        <v>0.90441461470545659</v>
      </c>
      <c r="AU34" s="1143">
        <f t="shared" si="28"/>
        <v>0.7686614690911765</v>
      </c>
      <c r="AV34" s="1143">
        <f t="shared" si="29"/>
        <v>0.31369913423102636</v>
      </c>
      <c r="AW34" s="1143">
        <f t="shared" si="30"/>
        <v>0.65656970851295637</v>
      </c>
      <c r="AX34" s="22">
        <f t="shared" si="31"/>
        <v>0</v>
      </c>
      <c r="AY34" s="22">
        <f t="shared" si="32"/>
        <v>0</v>
      </c>
      <c r="AZ34" s="22">
        <f t="shared" si="33"/>
        <v>0</v>
      </c>
      <c r="BA34" s="22">
        <f t="shared" si="34"/>
        <v>0</v>
      </c>
      <c r="BF34" s="824">
        <f t="shared" si="35"/>
        <v>44479446.620000035</v>
      </c>
    </row>
    <row r="35" spans="1:58" s="16" customFormat="1">
      <c r="A35" s="899" t="s">
        <v>973</v>
      </c>
      <c r="B35" s="859">
        <f>+'CY-FUR (REG)- Detail'!C104</f>
        <v>59182000</v>
      </c>
      <c r="C35" s="859">
        <f>+'CY-FUR (REG)- Detail'!D104</f>
        <v>21837000</v>
      </c>
      <c r="D35" s="859">
        <f>+'CY-FUR (REG)- Detail'!E104</f>
        <v>0</v>
      </c>
      <c r="E35" s="859">
        <f t="shared" si="0"/>
        <v>81019000</v>
      </c>
      <c r="F35" s="859">
        <f>+'CY-FUR (REG)- Detail'!G104</f>
        <v>0</v>
      </c>
      <c r="G35" s="859">
        <f>+'CY-FUR (REG)- Detail'!H104</f>
        <v>0</v>
      </c>
      <c r="H35" s="859">
        <f>+'CY-FUR (REG)- Detail'!I104</f>
        <v>0</v>
      </c>
      <c r="I35" s="859">
        <f t="shared" ref="I35" si="67">SUM(F35:H35)</f>
        <v>0</v>
      </c>
      <c r="J35" s="859">
        <f t="shared" ref="J35" si="68">+B35+F35</f>
        <v>59182000</v>
      </c>
      <c r="K35" s="859">
        <f t="shared" ref="K35" si="69">+C35+G35</f>
        <v>21837000</v>
      </c>
      <c r="L35" s="859">
        <f t="shared" ref="L35" si="70">+D35+H35</f>
        <v>0</v>
      </c>
      <c r="M35" s="859">
        <f t="shared" ref="M35" si="71">SUM(J35:L35)</f>
        <v>81019000</v>
      </c>
      <c r="N35" s="859">
        <f>+'CY-FUR (REG)- Detail'!O104</f>
        <v>59182000</v>
      </c>
      <c r="O35" s="859">
        <f>+'CY-FUR (REG)- Detail'!P104</f>
        <v>21837000</v>
      </c>
      <c r="P35" s="859">
        <f>+'CY-FUR (REG)- Detail'!Q104</f>
        <v>0</v>
      </c>
      <c r="Q35" s="859">
        <f t="shared" si="6"/>
        <v>81019000</v>
      </c>
      <c r="R35" s="859">
        <f>+'CY-FUR (REG)- Detail'!S104</f>
        <v>0</v>
      </c>
      <c r="S35" s="859">
        <f>+'CY-FUR (REG)- Detail'!T104</f>
        <v>0</v>
      </c>
      <c r="T35" s="859">
        <f>+'CY-FUR (REG)- Detail'!U104</f>
        <v>0</v>
      </c>
      <c r="U35" s="859">
        <f t="shared" ref="U35" si="72">SUM(R35:T35)</f>
        <v>0</v>
      </c>
      <c r="V35" s="859">
        <f>+'CY-FUR (REG)- Detail'!W104</f>
        <v>0</v>
      </c>
      <c r="W35" s="859">
        <f>+'CY-FUR (REG)- Detail'!X104</f>
        <v>21600000</v>
      </c>
      <c r="X35" s="859">
        <f>+'CY-FUR (REG)- Detail'!Y104</f>
        <v>11000000</v>
      </c>
      <c r="Y35" s="859">
        <f t="shared" si="7"/>
        <v>32600000</v>
      </c>
      <c r="Z35" s="859">
        <f t="shared" ref="Z35" si="73">+N35+V35+R35</f>
        <v>59182000</v>
      </c>
      <c r="AA35" s="859">
        <f t="shared" ref="AA35" si="74">+O35+W35+S35</f>
        <v>43437000</v>
      </c>
      <c r="AB35" s="859">
        <f t="shared" ref="AB35" si="75">+P35+X35+T35</f>
        <v>11000000</v>
      </c>
      <c r="AC35" s="859">
        <f t="shared" si="11"/>
        <v>113619000</v>
      </c>
      <c r="AD35" s="859">
        <f>+'CY-FUR (REG)- Detail'!AE104</f>
        <v>53852853.309999995</v>
      </c>
      <c r="AE35" s="859">
        <f>+'CY-FUR (REG)- Detail'!AF104</f>
        <v>18376737.690000001</v>
      </c>
      <c r="AF35" s="859">
        <f>+'CY-FUR (REG)- Detail'!AG104</f>
        <v>0</v>
      </c>
      <c r="AG35" s="859">
        <f t="shared" ref="AG35" si="76">SUM(AD35:AF35)</f>
        <v>72229591</v>
      </c>
      <c r="AH35" s="859">
        <f>+'CY-FUR (REG)- Detail'!AI104</f>
        <v>0</v>
      </c>
      <c r="AI35" s="859">
        <f>+'CY-FUR (REG)- Detail'!AJ104</f>
        <v>20906344.82</v>
      </c>
      <c r="AJ35" s="859">
        <f>+'CY-FUR (REG)- Detail'!AK104</f>
        <v>10979529.48</v>
      </c>
      <c r="AK35" s="859">
        <f t="shared" ref="AK35" si="77">SUM(AH35:AJ35)</f>
        <v>31885874.300000001</v>
      </c>
      <c r="AL35" s="859">
        <f t="shared" ref="AL35" si="78">+AH35+AD35</f>
        <v>53852853.309999995</v>
      </c>
      <c r="AM35" s="859">
        <f t="shared" ref="AM35" si="79">+AI35+AE35</f>
        <v>39283082.510000005</v>
      </c>
      <c r="AN35" s="859">
        <f t="shared" ref="AN35" si="80">+AJ35+AF35</f>
        <v>10979529.48</v>
      </c>
      <c r="AO35" s="859">
        <f t="shared" si="15"/>
        <v>104115465.3</v>
      </c>
      <c r="AP35" s="859">
        <f t="shared" si="24"/>
        <v>5329146.6900000051</v>
      </c>
      <c r="AQ35" s="859">
        <f t="shared" si="25"/>
        <v>4153917.4899999946</v>
      </c>
      <c r="AR35" s="859">
        <f t="shared" si="26"/>
        <v>20470.519999999553</v>
      </c>
      <c r="AS35" s="859">
        <f t="shared" si="19"/>
        <v>9503534.6999999993</v>
      </c>
      <c r="AT35" s="1143">
        <f t="shared" si="27"/>
        <v>0.90995325115744641</v>
      </c>
      <c r="AU35" s="1143">
        <f t="shared" si="28"/>
        <v>0.90436914404770141</v>
      </c>
      <c r="AV35" s="1143">
        <f t="shared" si="29"/>
        <v>0.99813904363636363</v>
      </c>
      <c r="AW35" s="1143">
        <f t="shared" si="30"/>
        <v>0.91635611385419691</v>
      </c>
      <c r="AX35" s="22">
        <f t="shared" si="31"/>
        <v>0</v>
      </c>
      <c r="AY35" s="22">
        <f t="shared" si="32"/>
        <v>0</v>
      </c>
      <c r="AZ35" s="22">
        <f t="shared" si="33"/>
        <v>0</v>
      </c>
      <c r="BA35" s="22">
        <f t="shared" si="34"/>
        <v>0</v>
      </c>
      <c r="BF35" s="824">
        <f t="shared" si="35"/>
        <v>3460262.3099999987</v>
      </c>
    </row>
    <row r="36" spans="1:58" s="16" customFormat="1">
      <c r="A36" s="899" t="s">
        <v>974</v>
      </c>
      <c r="B36" s="859">
        <f>+'CY-FUR (REG)- Detail'!C105</f>
        <v>47596000</v>
      </c>
      <c r="C36" s="859">
        <f>+'CY-FUR (REG)- Detail'!D105</f>
        <v>18954000</v>
      </c>
      <c r="D36" s="859">
        <f>+'CY-FUR (REG)- Detail'!E105</f>
        <v>0</v>
      </c>
      <c r="E36" s="859">
        <f t="shared" si="0"/>
        <v>66550000</v>
      </c>
      <c r="F36" s="859">
        <f>+'CY-FUR (REG)- Detail'!G105</f>
        <v>0</v>
      </c>
      <c r="G36" s="859">
        <f>+'CY-FUR (REG)- Detail'!H105</f>
        <v>0</v>
      </c>
      <c r="H36" s="859">
        <f>+'CY-FUR (REG)- Detail'!I105</f>
        <v>0</v>
      </c>
      <c r="I36" s="859">
        <f t="shared" ref="I36:I38" si="81">SUM(F36:H36)</f>
        <v>0</v>
      </c>
      <c r="J36" s="859">
        <f t="shared" ref="J36:J38" si="82">+B36+F36</f>
        <v>47596000</v>
      </c>
      <c r="K36" s="859">
        <f t="shared" ref="K36:K38" si="83">+C36+G36</f>
        <v>18954000</v>
      </c>
      <c r="L36" s="859">
        <f t="shared" ref="L36:L38" si="84">+D36+H36</f>
        <v>0</v>
      </c>
      <c r="M36" s="859">
        <f t="shared" ref="M36:M38" si="85">SUM(J36:L36)</f>
        <v>66550000</v>
      </c>
      <c r="N36" s="859">
        <f>+'CY-FUR (REG)- Detail'!O105</f>
        <v>47596000</v>
      </c>
      <c r="O36" s="859">
        <f>+'CY-FUR (REG)- Detail'!P105</f>
        <v>18954000</v>
      </c>
      <c r="P36" s="859">
        <f>+'CY-FUR (REG)- Detail'!Q105</f>
        <v>0</v>
      </c>
      <c r="Q36" s="859">
        <f t="shared" si="6"/>
        <v>66550000</v>
      </c>
      <c r="R36" s="859">
        <f>+'CY-FUR (REG)- Detail'!S105</f>
        <v>0</v>
      </c>
      <c r="S36" s="859">
        <f>+'CY-FUR (REG)- Detail'!T105</f>
        <v>0</v>
      </c>
      <c r="T36" s="859">
        <f>+'CY-FUR (REG)- Detail'!U105</f>
        <v>0</v>
      </c>
      <c r="U36" s="859">
        <f t="shared" ref="U36:U38" si="86">SUM(R36:T36)</f>
        <v>0</v>
      </c>
      <c r="V36" s="859">
        <f>+'CY-FUR (REG)- Detail'!W105</f>
        <v>0</v>
      </c>
      <c r="W36" s="859">
        <f>+'CY-FUR (REG)- Detail'!X105</f>
        <v>15936000</v>
      </c>
      <c r="X36" s="859">
        <f>+'CY-FUR (REG)- Detail'!Y105</f>
        <v>18000000</v>
      </c>
      <c r="Y36" s="859">
        <f t="shared" si="7"/>
        <v>33936000</v>
      </c>
      <c r="Z36" s="859">
        <f t="shared" ref="Z36:Z38" si="87">+N36+V36+R36</f>
        <v>47596000</v>
      </c>
      <c r="AA36" s="859">
        <f t="shared" ref="AA36:AA38" si="88">+O36+W36+S36</f>
        <v>34890000</v>
      </c>
      <c r="AB36" s="859">
        <f t="shared" ref="AB36:AB38" si="89">+P36+X36+T36</f>
        <v>18000000</v>
      </c>
      <c r="AC36" s="859">
        <f t="shared" si="11"/>
        <v>100486000</v>
      </c>
      <c r="AD36" s="859">
        <f>+'CY-FUR (REG)- Detail'!AE105</f>
        <v>44594024.159999996</v>
      </c>
      <c r="AE36" s="859">
        <f>+'CY-FUR (REG)- Detail'!AF105</f>
        <v>15147857.899999999</v>
      </c>
      <c r="AF36" s="859">
        <f>+'CY-FUR (REG)- Detail'!AG105</f>
        <v>0</v>
      </c>
      <c r="AG36" s="859">
        <f t="shared" ref="AG36:AG38" si="90">SUM(AD36:AF36)</f>
        <v>59741882.059999995</v>
      </c>
      <c r="AH36" s="859">
        <f>+'CY-FUR (REG)- Detail'!AI105</f>
        <v>0</v>
      </c>
      <c r="AI36" s="859">
        <f>+'CY-FUR (REG)- Detail'!AJ105</f>
        <v>10581541.210000001</v>
      </c>
      <c r="AJ36" s="859">
        <f>+'CY-FUR (REG)- Detail'!AK105</f>
        <v>15986180.65</v>
      </c>
      <c r="AK36" s="859">
        <f t="shared" ref="AK36:AK38" si="91">SUM(AH36:AJ36)</f>
        <v>26567721.859999999</v>
      </c>
      <c r="AL36" s="859">
        <f t="shared" ref="AL36:AL38" si="92">+AH36+AD36</f>
        <v>44594024.159999996</v>
      </c>
      <c r="AM36" s="859">
        <f t="shared" ref="AM36:AM38" si="93">+AI36+AE36</f>
        <v>25729399.109999999</v>
      </c>
      <c r="AN36" s="859">
        <f t="shared" ref="AN36:AN38" si="94">+AJ36+AF36</f>
        <v>15986180.65</v>
      </c>
      <c r="AO36" s="859">
        <f t="shared" si="15"/>
        <v>86309603.920000002</v>
      </c>
      <c r="AP36" s="859">
        <f t="shared" si="24"/>
        <v>3001975.8400000036</v>
      </c>
      <c r="AQ36" s="859">
        <f t="shared" si="25"/>
        <v>9160600.8900000006</v>
      </c>
      <c r="AR36" s="859">
        <f t="shared" si="26"/>
        <v>2013819.3499999996</v>
      </c>
      <c r="AS36" s="859">
        <f t="shared" si="19"/>
        <v>14176396.080000004</v>
      </c>
      <c r="AT36" s="1143">
        <f t="shared" si="27"/>
        <v>0.93692798050256321</v>
      </c>
      <c r="AU36" s="1143">
        <f t="shared" si="28"/>
        <v>0.73744336801375754</v>
      </c>
      <c r="AV36" s="1143">
        <f t="shared" si="29"/>
        <v>0.88812114722222224</v>
      </c>
      <c r="AW36" s="1143">
        <f t="shared" si="30"/>
        <v>0.8589216798359971</v>
      </c>
      <c r="AX36" s="22">
        <f t="shared" si="31"/>
        <v>0</v>
      </c>
      <c r="AY36" s="22">
        <f t="shared" si="32"/>
        <v>0</v>
      </c>
      <c r="AZ36" s="22">
        <f t="shared" si="33"/>
        <v>0</v>
      </c>
      <c r="BA36" s="22">
        <f t="shared" si="34"/>
        <v>0</v>
      </c>
      <c r="BF36" s="824">
        <f t="shared" si="35"/>
        <v>3806142.1000000015</v>
      </c>
    </row>
    <row r="37" spans="1:58" s="16" customFormat="1">
      <c r="A37" s="899" t="s">
        <v>975</v>
      </c>
      <c r="B37" s="859">
        <f>+'CY-FUR (REG)- Detail'!C106</f>
        <v>9103000</v>
      </c>
      <c r="C37" s="859">
        <f>+'CY-FUR (REG)- Detail'!D106</f>
        <v>9635000</v>
      </c>
      <c r="D37" s="859">
        <f>+'CY-FUR (REG)- Detail'!E106</f>
        <v>0</v>
      </c>
      <c r="E37" s="859">
        <f t="shared" si="0"/>
        <v>18738000</v>
      </c>
      <c r="F37" s="859">
        <f>+'CY-FUR (REG)- Detail'!G106</f>
        <v>0</v>
      </c>
      <c r="G37" s="859">
        <f>+'CY-FUR (REG)- Detail'!H106</f>
        <v>0</v>
      </c>
      <c r="H37" s="859">
        <f>+'CY-FUR (REG)- Detail'!I106</f>
        <v>0</v>
      </c>
      <c r="I37" s="859">
        <f t="shared" si="81"/>
        <v>0</v>
      </c>
      <c r="J37" s="859">
        <f t="shared" si="82"/>
        <v>9103000</v>
      </c>
      <c r="K37" s="859">
        <f t="shared" si="83"/>
        <v>9635000</v>
      </c>
      <c r="L37" s="859">
        <f t="shared" si="84"/>
        <v>0</v>
      </c>
      <c r="M37" s="859">
        <f t="shared" si="85"/>
        <v>18738000</v>
      </c>
      <c r="N37" s="859">
        <f>+'CY-FUR (REG)- Detail'!O106</f>
        <v>9103000</v>
      </c>
      <c r="O37" s="859">
        <f>+'CY-FUR (REG)- Detail'!P106</f>
        <v>9635000</v>
      </c>
      <c r="P37" s="859">
        <f>+'CY-FUR (REG)- Detail'!Q106</f>
        <v>0</v>
      </c>
      <c r="Q37" s="859">
        <f t="shared" si="6"/>
        <v>18738000</v>
      </c>
      <c r="R37" s="859">
        <f>+'CY-FUR (REG)- Detail'!S106</f>
        <v>0</v>
      </c>
      <c r="S37" s="859">
        <f>+'CY-FUR (REG)- Detail'!T106</f>
        <v>0</v>
      </c>
      <c r="T37" s="859">
        <f>+'CY-FUR (REG)- Detail'!U106</f>
        <v>0</v>
      </c>
      <c r="U37" s="859">
        <f t="shared" si="86"/>
        <v>0</v>
      </c>
      <c r="V37" s="859">
        <f>+'CY-FUR (REG)- Detail'!W106</f>
        <v>0</v>
      </c>
      <c r="W37" s="859">
        <f>+'CY-FUR (REG)- Detail'!X106</f>
        <v>3290000</v>
      </c>
      <c r="X37" s="859">
        <f>+'CY-FUR (REG)- Detail'!Y106</f>
        <v>8000000</v>
      </c>
      <c r="Y37" s="859">
        <f t="shared" si="7"/>
        <v>11290000</v>
      </c>
      <c r="Z37" s="859">
        <f t="shared" si="87"/>
        <v>9103000</v>
      </c>
      <c r="AA37" s="859">
        <f t="shared" si="88"/>
        <v>12925000</v>
      </c>
      <c r="AB37" s="859">
        <f t="shared" si="89"/>
        <v>8000000</v>
      </c>
      <c r="AC37" s="859">
        <f t="shared" si="11"/>
        <v>30028000</v>
      </c>
      <c r="AD37" s="859">
        <f>+'CY-FUR (REG)- Detail'!AE106</f>
        <v>8496555.0299999993</v>
      </c>
      <c r="AE37" s="859">
        <f>+'CY-FUR (REG)- Detail'!AF106</f>
        <v>7876985.0599999996</v>
      </c>
      <c r="AF37" s="859">
        <f>+'CY-FUR (REG)- Detail'!AG106</f>
        <v>0</v>
      </c>
      <c r="AG37" s="859">
        <f t="shared" si="90"/>
        <v>16373540.09</v>
      </c>
      <c r="AH37" s="859">
        <f>+'CY-FUR (REG)- Detail'!AI106</f>
        <v>0</v>
      </c>
      <c r="AI37" s="859">
        <f>+'CY-FUR (REG)- Detail'!AJ106</f>
        <v>2117920.2800000003</v>
      </c>
      <c r="AJ37" s="859">
        <f>+'CY-FUR (REG)- Detail'!AK106</f>
        <v>7892101.29</v>
      </c>
      <c r="AK37" s="859">
        <f t="shared" si="91"/>
        <v>10010021.57</v>
      </c>
      <c r="AL37" s="859">
        <f t="shared" si="92"/>
        <v>8496555.0299999993</v>
      </c>
      <c r="AM37" s="859">
        <f t="shared" si="93"/>
        <v>9994905.3399999999</v>
      </c>
      <c r="AN37" s="859">
        <f t="shared" si="94"/>
        <v>7892101.29</v>
      </c>
      <c r="AO37" s="859">
        <f t="shared" si="15"/>
        <v>26383561.659999996</v>
      </c>
      <c r="AP37" s="859">
        <f t="shared" si="24"/>
        <v>606444.97000000067</v>
      </c>
      <c r="AQ37" s="859">
        <f t="shared" si="25"/>
        <v>2930094.66</v>
      </c>
      <c r="AR37" s="859">
        <f t="shared" si="26"/>
        <v>107898.70999999996</v>
      </c>
      <c r="AS37" s="859">
        <f t="shared" si="19"/>
        <v>3644438.3400000008</v>
      </c>
      <c r="AT37" s="1143">
        <f t="shared" si="27"/>
        <v>0.93337965835438863</v>
      </c>
      <c r="AU37" s="1143">
        <f t="shared" si="28"/>
        <v>0.77330021972920693</v>
      </c>
      <c r="AV37" s="1143">
        <f t="shared" si="29"/>
        <v>0.98651266125000003</v>
      </c>
      <c r="AW37" s="1143">
        <f t="shared" si="30"/>
        <v>0.87863199880111886</v>
      </c>
      <c r="AX37" s="22">
        <f t="shared" si="31"/>
        <v>0</v>
      </c>
      <c r="AY37" s="22">
        <f t="shared" si="32"/>
        <v>0</v>
      </c>
      <c r="AZ37" s="22">
        <f t="shared" si="33"/>
        <v>0</v>
      </c>
      <c r="BA37" s="22">
        <f t="shared" si="34"/>
        <v>0</v>
      </c>
      <c r="BF37" s="824">
        <f t="shared" si="35"/>
        <v>1758014.9400000004</v>
      </c>
    </row>
    <row r="38" spans="1:58" s="16" customFormat="1">
      <c r="A38" s="899" t="s">
        <v>976</v>
      </c>
      <c r="B38" s="859">
        <f>+'CY-FUR (REG)- Detail'!C107</f>
        <v>97352000</v>
      </c>
      <c r="C38" s="859">
        <f>+'CY-FUR (REG)- Detail'!D107</f>
        <v>44373000</v>
      </c>
      <c r="D38" s="859">
        <f>+'CY-FUR (REG)- Detail'!E107</f>
        <v>0</v>
      </c>
      <c r="E38" s="859">
        <f t="shared" si="0"/>
        <v>141725000</v>
      </c>
      <c r="F38" s="859">
        <f>+'CY-FUR (REG)- Detail'!G107</f>
        <v>0</v>
      </c>
      <c r="G38" s="859">
        <f>+'CY-FUR (REG)- Detail'!H107</f>
        <v>0</v>
      </c>
      <c r="H38" s="859">
        <f>+'CY-FUR (REG)- Detail'!I107</f>
        <v>0</v>
      </c>
      <c r="I38" s="859">
        <f t="shared" si="81"/>
        <v>0</v>
      </c>
      <c r="J38" s="859">
        <f t="shared" si="82"/>
        <v>97352000</v>
      </c>
      <c r="K38" s="859">
        <f t="shared" si="83"/>
        <v>44373000</v>
      </c>
      <c r="L38" s="859">
        <f t="shared" si="84"/>
        <v>0</v>
      </c>
      <c r="M38" s="859">
        <f t="shared" si="85"/>
        <v>141725000</v>
      </c>
      <c r="N38" s="859">
        <f>+'CY-FUR (REG)- Detail'!O107</f>
        <v>97352000</v>
      </c>
      <c r="O38" s="859">
        <f>+'CY-FUR (REG)- Detail'!P107</f>
        <v>44373000</v>
      </c>
      <c r="P38" s="859">
        <f>+'CY-FUR (REG)- Detail'!Q107</f>
        <v>0</v>
      </c>
      <c r="Q38" s="859">
        <f t="shared" si="6"/>
        <v>141725000</v>
      </c>
      <c r="R38" s="859">
        <f>+'CY-FUR (REG)- Detail'!S107</f>
        <v>0</v>
      </c>
      <c r="S38" s="859">
        <f>+'CY-FUR (REG)- Detail'!T107</f>
        <v>0</v>
      </c>
      <c r="T38" s="859">
        <f>+'CY-FUR (REG)- Detail'!U107</f>
        <v>0</v>
      </c>
      <c r="U38" s="859">
        <f t="shared" si="86"/>
        <v>0</v>
      </c>
      <c r="V38" s="859">
        <f>+'CY-FUR (REG)- Detail'!W107</f>
        <v>0</v>
      </c>
      <c r="W38" s="859">
        <f>+'CY-FUR (REG)- Detail'!X107</f>
        <v>21592000</v>
      </c>
      <c r="X38" s="859">
        <f>+'CY-FUR (REG)- Detail'!Y107</f>
        <v>289873882</v>
      </c>
      <c r="Y38" s="859">
        <f t="shared" si="7"/>
        <v>311465882</v>
      </c>
      <c r="Z38" s="859">
        <f t="shared" si="87"/>
        <v>97352000</v>
      </c>
      <c r="AA38" s="859">
        <f t="shared" si="88"/>
        <v>65965000</v>
      </c>
      <c r="AB38" s="859">
        <f t="shared" si="89"/>
        <v>289873882</v>
      </c>
      <c r="AC38" s="859">
        <f t="shared" si="11"/>
        <v>453190882</v>
      </c>
      <c r="AD38" s="859">
        <f>+'CY-FUR (REG)- Detail'!AE107</f>
        <v>90871211.590000004</v>
      </c>
      <c r="AE38" s="859">
        <f>+'CY-FUR (REG)- Detail'!AF107</f>
        <v>43187725.390000001</v>
      </c>
      <c r="AF38" s="859">
        <f>+'CY-FUR (REG)- Detail'!AG107</f>
        <v>0</v>
      </c>
      <c r="AG38" s="859">
        <f t="shared" si="90"/>
        <v>134058936.98</v>
      </c>
      <c r="AH38" s="859">
        <f>+'CY-FUR (REG)- Detail'!AI107</f>
        <v>0</v>
      </c>
      <c r="AI38" s="859">
        <f>+'CY-FUR (REG)- Detail'!AJ107</f>
        <v>21519734.219999999</v>
      </c>
      <c r="AJ38" s="859">
        <f>+'CY-FUR (REG)- Detail'!AK107</f>
        <v>289830541.81999999</v>
      </c>
      <c r="AK38" s="859">
        <f t="shared" si="91"/>
        <v>311350276.03999996</v>
      </c>
      <c r="AL38" s="859">
        <f t="shared" si="92"/>
        <v>90871211.590000004</v>
      </c>
      <c r="AM38" s="859">
        <f t="shared" si="93"/>
        <v>64707459.609999999</v>
      </c>
      <c r="AN38" s="859">
        <f t="shared" si="94"/>
        <v>289830541.81999999</v>
      </c>
      <c r="AO38" s="859">
        <f t="shared" si="15"/>
        <v>445409213.01999998</v>
      </c>
      <c r="AP38" s="859">
        <f t="shared" si="24"/>
        <v>6480788.4099999964</v>
      </c>
      <c r="AQ38" s="859">
        <f t="shared" si="25"/>
        <v>1257540.3900000006</v>
      </c>
      <c r="AR38" s="859">
        <f t="shared" si="26"/>
        <v>43340.180000007153</v>
      </c>
      <c r="AS38" s="859">
        <f t="shared" si="19"/>
        <v>7781668.9800000042</v>
      </c>
      <c r="AT38" s="1143">
        <f t="shared" si="27"/>
        <v>0.93342932441038706</v>
      </c>
      <c r="AU38" s="1143">
        <f t="shared" si="28"/>
        <v>0.98093624816190406</v>
      </c>
      <c r="AV38" s="1143">
        <f t="shared" si="29"/>
        <v>0.99985048608139171</v>
      </c>
      <c r="AW38" s="1143">
        <f t="shared" si="30"/>
        <v>0.98282915811179095</v>
      </c>
      <c r="AX38" s="22">
        <f t="shared" si="31"/>
        <v>0</v>
      </c>
      <c r="AY38" s="22">
        <f t="shared" si="32"/>
        <v>0</v>
      </c>
      <c r="AZ38" s="22">
        <f t="shared" si="33"/>
        <v>0</v>
      </c>
      <c r="BA38" s="22">
        <f t="shared" si="34"/>
        <v>0</v>
      </c>
      <c r="BF38" s="824">
        <f t="shared" si="35"/>
        <v>1185274.6099999994</v>
      </c>
    </row>
    <row r="39" spans="1:58" s="16" customFormat="1">
      <c r="A39" s="592"/>
      <c r="B39" s="859"/>
      <c r="C39" s="859"/>
      <c r="D39" s="859"/>
      <c r="E39" s="860">
        <f t="shared" si="0"/>
        <v>0</v>
      </c>
      <c r="F39" s="859"/>
      <c r="G39" s="859"/>
      <c r="H39" s="859"/>
      <c r="I39" s="860"/>
      <c r="J39" s="859"/>
      <c r="K39" s="859"/>
      <c r="L39" s="859"/>
      <c r="M39" s="860"/>
      <c r="N39" s="859"/>
      <c r="O39" s="859"/>
      <c r="P39" s="859"/>
      <c r="Q39" s="860">
        <f t="shared" si="6"/>
        <v>0</v>
      </c>
      <c r="R39" s="859"/>
      <c r="S39" s="859"/>
      <c r="T39" s="859"/>
      <c r="U39" s="860"/>
      <c r="V39" s="859"/>
      <c r="W39" s="859"/>
      <c r="X39" s="859"/>
      <c r="Y39" s="860">
        <f t="shared" si="7"/>
        <v>0</v>
      </c>
      <c r="Z39" s="860"/>
      <c r="AA39" s="860"/>
      <c r="AB39" s="860"/>
      <c r="AC39" s="860">
        <f t="shared" si="11"/>
        <v>0</v>
      </c>
      <c r="AD39" s="859"/>
      <c r="AE39" s="859"/>
      <c r="AF39" s="859"/>
      <c r="AG39" s="860"/>
      <c r="AH39" s="859"/>
      <c r="AI39" s="859"/>
      <c r="AJ39" s="859"/>
      <c r="AK39" s="860"/>
      <c r="AL39" s="860"/>
      <c r="AM39" s="860"/>
      <c r="AN39" s="860"/>
      <c r="AO39" s="860">
        <f t="shared" si="15"/>
        <v>0</v>
      </c>
      <c r="AP39" s="861">
        <f t="shared" si="24"/>
        <v>0</v>
      </c>
      <c r="AQ39" s="860">
        <f t="shared" si="25"/>
        <v>0</v>
      </c>
      <c r="AR39" s="860">
        <f t="shared" si="26"/>
        <v>0</v>
      </c>
      <c r="AS39" s="860">
        <f t="shared" si="19"/>
        <v>0</v>
      </c>
      <c r="AT39" s="1143" t="str">
        <f t="shared" si="27"/>
        <v xml:space="preserve"> </v>
      </c>
      <c r="AU39" s="1143" t="str">
        <f t="shared" si="28"/>
        <v xml:space="preserve"> </v>
      </c>
      <c r="AV39" s="1143" t="str">
        <f t="shared" si="29"/>
        <v xml:space="preserve"> </v>
      </c>
      <c r="AW39" s="1143" t="str">
        <f t="shared" si="30"/>
        <v xml:space="preserve"> </v>
      </c>
      <c r="AX39" s="22">
        <f t="shared" si="31"/>
        <v>0</v>
      </c>
      <c r="AY39" s="22">
        <f t="shared" si="32"/>
        <v>0</v>
      </c>
      <c r="AZ39" s="22">
        <f t="shared" si="33"/>
        <v>0</v>
      </c>
      <c r="BA39" s="22">
        <f t="shared" si="34"/>
        <v>0</v>
      </c>
      <c r="BF39" s="824">
        <f t="shared" si="35"/>
        <v>0</v>
      </c>
    </row>
    <row r="40" spans="1:58" s="609" customFormat="1" ht="16.5">
      <c r="A40" s="1153" t="s">
        <v>980</v>
      </c>
      <c r="B40" s="1151">
        <f>SUM(B41:B42)</f>
        <v>208238000</v>
      </c>
      <c r="C40" s="1151">
        <f t="shared" ref="C40:AN40" si="95">SUM(C41:C42)</f>
        <v>224761000</v>
      </c>
      <c r="D40" s="1151">
        <f t="shared" si="95"/>
        <v>0</v>
      </c>
      <c r="E40" s="1151">
        <f t="shared" si="0"/>
        <v>432999000</v>
      </c>
      <c r="F40" s="1151">
        <f t="shared" si="95"/>
        <v>0</v>
      </c>
      <c r="G40" s="1151">
        <f t="shared" si="95"/>
        <v>0</v>
      </c>
      <c r="H40" s="1151">
        <f t="shared" si="95"/>
        <v>0</v>
      </c>
      <c r="I40" s="1151">
        <f t="shared" si="95"/>
        <v>0</v>
      </c>
      <c r="J40" s="1151">
        <f t="shared" si="95"/>
        <v>208238000</v>
      </c>
      <c r="K40" s="1151">
        <f t="shared" si="95"/>
        <v>224761000</v>
      </c>
      <c r="L40" s="1151">
        <f t="shared" si="95"/>
        <v>0</v>
      </c>
      <c r="M40" s="1151">
        <f t="shared" si="95"/>
        <v>432999000</v>
      </c>
      <c r="N40" s="1151">
        <f t="shared" si="95"/>
        <v>208238000</v>
      </c>
      <c r="O40" s="1151">
        <f t="shared" si="95"/>
        <v>224761000</v>
      </c>
      <c r="P40" s="1151">
        <f t="shared" si="95"/>
        <v>0</v>
      </c>
      <c r="Q40" s="1151">
        <f t="shared" si="6"/>
        <v>432999000</v>
      </c>
      <c r="R40" s="1151">
        <f t="shared" si="95"/>
        <v>0</v>
      </c>
      <c r="S40" s="1151">
        <f t="shared" si="95"/>
        <v>0</v>
      </c>
      <c r="T40" s="1151">
        <f t="shared" si="95"/>
        <v>0</v>
      </c>
      <c r="U40" s="1151">
        <f t="shared" si="95"/>
        <v>0</v>
      </c>
      <c r="V40" s="1151">
        <f t="shared" si="95"/>
        <v>0</v>
      </c>
      <c r="W40" s="1151">
        <f t="shared" si="95"/>
        <v>218676768.78999999</v>
      </c>
      <c r="X40" s="1151">
        <f t="shared" si="95"/>
        <v>354065592</v>
      </c>
      <c r="Y40" s="1151">
        <f t="shared" si="7"/>
        <v>572742360.78999996</v>
      </c>
      <c r="Z40" s="1151">
        <f t="shared" si="95"/>
        <v>208238000</v>
      </c>
      <c r="AA40" s="1151">
        <f t="shared" si="95"/>
        <v>443437768.78999996</v>
      </c>
      <c r="AB40" s="1151">
        <f t="shared" si="95"/>
        <v>354065592</v>
      </c>
      <c r="AC40" s="1151">
        <f t="shared" si="11"/>
        <v>1005741360.79</v>
      </c>
      <c r="AD40" s="1151">
        <f t="shared" si="95"/>
        <v>191650876.61999997</v>
      </c>
      <c r="AE40" s="1151">
        <f t="shared" si="95"/>
        <v>200394683.25999999</v>
      </c>
      <c r="AF40" s="1151">
        <f t="shared" si="95"/>
        <v>0</v>
      </c>
      <c r="AG40" s="1151">
        <f t="shared" si="95"/>
        <v>392045559.88</v>
      </c>
      <c r="AH40" s="1151">
        <f t="shared" si="95"/>
        <v>0</v>
      </c>
      <c r="AI40" s="1151">
        <f t="shared" si="95"/>
        <v>182387998.73000005</v>
      </c>
      <c r="AJ40" s="1151">
        <f t="shared" si="95"/>
        <v>333410181.06999999</v>
      </c>
      <c r="AK40" s="1151">
        <f t="shared" si="95"/>
        <v>515798179.80000001</v>
      </c>
      <c r="AL40" s="1151">
        <f t="shared" si="95"/>
        <v>191650876.61999997</v>
      </c>
      <c r="AM40" s="1151">
        <f t="shared" si="95"/>
        <v>382782681.99000001</v>
      </c>
      <c r="AN40" s="1151">
        <f t="shared" si="95"/>
        <v>333410181.06999999</v>
      </c>
      <c r="AO40" s="1151">
        <f t="shared" si="15"/>
        <v>907843739.68000007</v>
      </c>
      <c r="AP40" s="1151">
        <f t="shared" si="24"/>
        <v>16587123.380000025</v>
      </c>
      <c r="AQ40" s="1151">
        <f t="shared" si="25"/>
        <v>60655086.799999952</v>
      </c>
      <c r="AR40" s="1151">
        <f t="shared" si="26"/>
        <v>20655410.930000007</v>
      </c>
      <c r="AS40" s="1151">
        <f t="shared" si="19"/>
        <v>97897621.109999985</v>
      </c>
      <c r="AT40" s="1165">
        <f t="shared" si="27"/>
        <v>0.92034535781173454</v>
      </c>
      <c r="AU40" s="1165">
        <f t="shared" si="28"/>
        <v>0.86321623671003866</v>
      </c>
      <c r="AV40" s="1165">
        <f t="shared" si="29"/>
        <v>0.94166219085756286</v>
      </c>
      <c r="AW40" s="1165">
        <f t="shared" si="30"/>
        <v>0.90266123585381608</v>
      </c>
      <c r="AX40" s="1152">
        <f t="shared" si="31"/>
        <v>0</v>
      </c>
      <c r="AY40" s="1152">
        <f t="shared" si="32"/>
        <v>0</v>
      </c>
      <c r="AZ40" s="1152">
        <f t="shared" si="33"/>
        <v>0</v>
      </c>
      <c r="BA40" s="1152">
        <f t="shared" si="34"/>
        <v>0</v>
      </c>
      <c r="BB40" s="1132">
        <f>+AS40-'CY (ALL FUNDS)'!Q559</f>
        <v>0</v>
      </c>
      <c r="BF40" s="824">
        <f t="shared" si="35"/>
        <v>24366316.74000001</v>
      </c>
    </row>
    <row r="41" spans="1:58" s="16" customFormat="1">
      <c r="A41" s="899" t="s">
        <v>979</v>
      </c>
      <c r="B41" s="859">
        <f>SUM('CY-FUR (REG)- Detail'!C150:C152)</f>
        <v>80349000</v>
      </c>
      <c r="C41" s="859">
        <f>SUM('CY-FUR (REG)- Detail'!D150:D152)</f>
        <v>177915000</v>
      </c>
      <c r="D41" s="859">
        <f>SUM('CY-FUR (REG)- Detail'!E150:E152)</f>
        <v>0</v>
      </c>
      <c r="E41" s="859">
        <f t="shared" si="0"/>
        <v>258264000</v>
      </c>
      <c r="F41" s="859">
        <f>SUM('CY-FUR (REG)- Detail'!G150:G152)</f>
        <v>0</v>
      </c>
      <c r="G41" s="859">
        <f>SUM('CY-FUR (REG)- Detail'!H150:H152)</f>
        <v>0</v>
      </c>
      <c r="H41" s="859">
        <f>SUM('CY-FUR (REG)- Detail'!I150:I152)</f>
        <v>0</v>
      </c>
      <c r="I41" s="859">
        <f>SUM('CY-FUR (REG)- Detail'!J150:J152)</f>
        <v>0</v>
      </c>
      <c r="J41" s="859">
        <f>SUM('CY-FUR (REG)- Detail'!K150:K152)</f>
        <v>80349000</v>
      </c>
      <c r="K41" s="859">
        <f>SUM('CY-FUR (REG)- Detail'!L150:L152)</f>
        <v>177915000</v>
      </c>
      <c r="L41" s="859">
        <f>SUM('CY-FUR (REG)- Detail'!M150:M152)</f>
        <v>0</v>
      </c>
      <c r="M41" s="859">
        <f>SUM('CY-FUR (REG)- Detail'!N150:N152)</f>
        <v>258264000</v>
      </c>
      <c r="N41" s="859">
        <f>SUM('CY-FUR (REG)- Detail'!O150:O152)</f>
        <v>80349000</v>
      </c>
      <c r="O41" s="859">
        <f>SUM('CY-FUR (REG)- Detail'!P150:P152)</f>
        <v>177915000</v>
      </c>
      <c r="P41" s="859">
        <f>SUM('CY-FUR (REG)- Detail'!Q150:Q152)</f>
        <v>0</v>
      </c>
      <c r="Q41" s="859">
        <f t="shared" si="6"/>
        <v>258264000</v>
      </c>
      <c r="R41" s="859">
        <f>SUM('CY-FUR (REG)- Detail'!S150:S152)</f>
        <v>0</v>
      </c>
      <c r="S41" s="859">
        <f>SUM('CY-FUR (REG)- Detail'!T150:T152)</f>
        <v>0</v>
      </c>
      <c r="T41" s="859">
        <f>SUM('CY-FUR (REG)- Detail'!U150:U152)</f>
        <v>0</v>
      </c>
      <c r="U41" s="859">
        <f>SUM('CY-FUR (REG)- Detail'!V150:V152)</f>
        <v>0</v>
      </c>
      <c r="V41" s="859">
        <f>SUM('CY-FUR (REG)- Detail'!W150:W152)</f>
        <v>0</v>
      </c>
      <c r="W41" s="859">
        <f>SUM('CY-FUR (REG)- Detail'!X150:X152)</f>
        <v>194791768.78999999</v>
      </c>
      <c r="X41" s="859">
        <f>SUM('CY-FUR (REG)- Detail'!Y150:Y152)</f>
        <v>309065592</v>
      </c>
      <c r="Y41" s="859">
        <f t="shared" si="7"/>
        <v>503857360.78999996</v>
      </c>
      <c r="Z41" s="859">
        <f>SUM('CY-FUR (REG)- Detail'!AA150:AA152)</f>
        <v>80349000</v>
      </c>
      <c r="AA41" s="859">
        <f>SUM('CY-FUR (REG)- Detail'!AB150:AB152)</f>
        <v>372706768.78999996</v>
      </c>
      <c r="AB41" s="859">
        <f>SUM('CY-FUR (REG)- Detail'!AC150:AC152)</f>
        <v>309065592</v>
      </c>
      <c r="AC41" s="859">
        <f t="shared" si="11"/>
        <v>762121360.78999996</v>
      </c>
      <c r="AD41" s="859">
        <f>SUM('CY-FUR (REG)- Detail'!AE150:AE152)</f>
        <v>74002201.379999995</v>
      </c>
      <c r="AE41" s="859">
        <f>SUM('CY-FUR (REG)- Detail'!AF150:AF152)</f>
        <v>159885498.07999998</v>
      </c>
      <c r="AF41" s="859">
        <f>SUM('CY-FUR (REG)- Detail'!AG150:AG152)</f>
        <v>0</v>
      </c>
      <c r="AG41" s="859">
        <f>SUM('CY-FUR (REG)- Detail'!AH150:AH152)</f>
        <v>233887699.46000001</v>
      </c>
      <c r="AH41" s="859">
        <f>SUM('CY-FUR (REG)- Detail'!AI150:AI152)</f>
        <v>0</v>
      </c>
      <c r="AI41" s="859">
        <f>SUM('CY-FUR (REG)- Detail'!AJ150:AJ152)</f>
        <v>166558129.52000004</v>
      </c>
      <c r="AJ41" s="859">
        <f>SUM('CY-FUR (REG)- Detail'!AK150:AK152)</f>
        <v>288424376.06999999</v>
      </c>
      <c r="AK41" s="859">
        <f>SUM('CY-FUR (REG)- Detail'!AL150:AL152)</f>
        <v>454982505.59000003</v>
      </c>
      <c r="AL41" s="859">
        <f>SUM('CY-FUR (REG)- Detail'!AM150:AM152)</f>
        <v>74002201.379999995</v>
      </c>
      <c r="AM41" s="859">
        <f>SUM('CY-FUR (REG)- Detail'!AN150:AN152)</f>
        <v>326443627.60000002</v>
      </c>
      <c r="AN41" s="859">
        <f>SUM('CY-FUR (REG)- Detail'!AO150:AO152)</f>
        <v>288424376.06999999</v>
      </c>
      <c r="AO41" s="859">
        <f t="shared" si="15"/>
        <v>688870205.04999995</v>
      </c>
      <c r="AP41" s="859">
        <f t="shared" si="24"/>
        <v>6346798.6200000048</v>
      </c>
      <c r="AQ41" s="859">
        <f t="shared" si="25"/>
        <v>46263141.189999938</v>
      </c>
      <c r="AR41" s="859">
        <f t="shared" si="26"/>
        <v>20641215.930000007</v>
      </c>
      <c r="AS41" s="859">
        <f t="shared" si="19"/>
        <v>73251155.73999995</v>
      </c>
      <c r="AT41" s="1143">
        <f t="shared" si="27"/>
        <v>0.92100961281409843</v>
      </c>
      <c r="AU41" s="1143">
        <f t="shared" si="28"/>
        <v>0.87587254897410594</v>
      </c>
      <c r="AV41" s="1143">
        <f t="shared" si="29"/>
        <v>0.9332141252074414</v>
      </c>
      <c r="AW41" s="1143">
        <f t="shared" si="30"/>
        <v>0.90388518219188962</v>
      </c>
      <c r="AX41" s="22">
        <f t="shared" si="31"/>
        <v>0</v>
      </c>
      <c r="AY41" s="22">
        <f t="shared" si="32"/>
        <v>0</v>
      </c>
      <c r="AZ41" s="22">
        <f t="shared" si="33"/>
        <v>0</v>
      </c>
      <c r="BA41" s="22">
        <f t="shared" si="34"/>
        <v>0</v>
      </c>
      <c r="BF41" s="824">
        <f t="shared" si="35"/>
        <v>18029501.920000017</v>
      </c>
    </row>
    <row r="42" spans="1:58" s="16" customFormat="1">
      <c r="A42" s="899" t="s">
        <v>977</v>
      </c>
      <c r="B42" s="859">
        <f>+'CY-FUR (REG)- Detail'!C154</f>
        <v>127889000</v>
      </c>
      <c r="C42" s="859">
        <f>+'CY-FUR (REG)- Detail'!D154</f>
        <v>46846000</v>
      </c>
      <c r="D42" s="859">
        <f>+'CY-FUR (REG)- Detail'!E154</f>
        <v>0</v>
      </c>
      <c r="E42" s="859">
        <f t="shared" si="0"/>
        <v>174735000</v>
      </c>
      <c r="F42" s="859">
        <f>+'CY-FUR (REG)- Detail'!G154</f>
        <v>0</v>
      </c>
      <c r="G42" s="859">
        <f>+'CY-FUR (REG)- Detail'!H154</f>
        <v>0</v>
      </c>
      <c r="H42" s="859">
        <f>+'CY-FUR (REG)- Detail'!I154</f>
        <v>0</v>
      </c>
      <c r="I42" s="859">
        <f t="shared" ref="I42" si="96">SUM(F42:H42)</f>
        <v>0</v>
      </c>
      <c r="J42" s="859">
        <f t="shared" ref="J42" si="97">+B42+F42</f>
        <v>127889000</v>
      </c>
      <c r="K42" s="859">
        <f t="shared" ref="K42" si="98">+C42+G42</f>
        <v>46846000</v>
      </c>
      <c r="L42" s="859">
        <f t="shared" ref="L42" si="99">+D42+H42</f>
        <v>0</v>
      </c>
      <c r="M42" s="859">
        <f t="shared" ref="M42" si="100">SUM(J42:L42)</f>
        <v>174735000</v>
      </c>
      <c r="N42" s="859">
        <f>+'CY-FUR (REG)- Detail'!O154</f>
        <v>127889000</v>
      </c>
      <c r="O42" s="859">
        <f>+'CY-FUR (REG)- Detail'!P154</f>
        <v>46846000</v>
      </c>
      <c r="P42" s="859">
        <f>+'CY-FUR (REG)- Detail'!Q154</f>
        <v>0</v>
      </c>
      <c r="Q42" s="859">
        <f t="shared" si="6"/>
        <v>174735000</v>
      </c>
      <c r="R42" s="859">
        <f>+'CY-FUR (REG)- Detail'!S154</f>
        <v>0</v>
      </c>
      <c r="S42" s="859">
        <f>+'CY-FUR (REG)- Detail'!T154</f>
        <v>0</v>
      </c>
      <c r="T42" s="859">
        <f>+'CY-FUR (REG)- Detail'!U154</f>
        <v>0</v>
      </c>
      <c r="U42" s="859">
        <f t="shared" ref="U42" si="101">SUM(R42:T42)</f>
        <v>0</v>
      </c>
      <c r="V42" s="859">
        <f>+'CY-FUR (REG)- Detail'!W154</f>
        <v>0</v>
      </c>
      <c r="W42" s="859">
        <f>+'CY-FUR (REG)- Detail'!X154</f>
        <v>23885000</v>
      </c>
      <c r="X42" s="859">
        <f>+'CY-FUR (REG)- Detail'!Y154</f>
        <v>45000000</v>
      </c>
      <c r="Y42" s="859">
        <f t="shared" si="7"/>
        <v>68885000</v>
      </c>
      <c r="Z42" s="859">
        <f t="shared" ref="Z42" si="102">+N42+V42+R42</f>
        <v>127889000</v>
      </c>
      <c r="AA42" s="859">
        <f t="shared" ref="AA42" si="103">+O42+W42+S42</f>
        <v>70731000</v>
      </c>
      <c r="AB42" s="859">
        <f t="shared" ref="AB42" si="104">+P42+X42+T42</f>
        <v>45000000</v>
      </c>
      <c r="AC42" s="859">
        <f t="shared" si="11"/>
        <v>243620000</v>
      </c>
      <c r="AD42" s="859">
        <f>+'CY-FUR (REG)- Detail'!AE154</f>
        <v>117648675.23999998</v>
      </c>
      <c r="AE42" s="859">
        <f>+'CY-FUR (REG)- Detail'!AF154</f>
        <v>40509185.180000007</v>
      </c>
      <c r="AF42" s="859">
        <f>+'CY-FUR (REG)- Detail'!AG154</f>
        <v>0</v>
      </c>
      <c r="AG42" s="859">
        <f t="shared" ref="AG42" si="105">SUM(AD42:AF42)</f>
        <v>158157860.41999999</v>
      </c>
      <c r="AH42" s="859">
        <f>+'CY-FUR (REG)- Detail'!AI154</f>
        <v>0</v>
      </c>
      <c r="AI42" s="859">
        <f>+'CY-FUR (REG)- Detail'!AJ154</f>
        <v>15829869.209999999</v>
      </c>
      <c r="AJ42" s="859">
        <f>+'CY-FUR (REG)- Detail'!AK154</f>
        <v>44985805</v>
      </c>
      <c r="AK42" s="859">
        <f t="shared" ref="AK42" si="106">SUM(AH42:AJ42)</f>
        <v>60815674.210000001</v>
      </c>
      <c r="AL42" s="859">
        <f t="shared" ref="AL42" si="107">+AH42+AD42</f>
        <v>117648675.23999998</v>
      </c>
      <c r="AM42" s="859">
        <f t="shared" ref="AM42" si="108">+AI42+AE42</f>
        <v>56339054.390000008</v>
      </c>
      <c r="AN42" s="859">
        <f t="shared" ref="AN42" si="109">+AJ42+AF42</f>
        <v>44985805</v>
      </c>
      <c r="AO42" s="859">
        <f t="shared" si="15"/>
        <v>218973534.63</v>
      </c>
      <c r="AP42" s="859">
        <f t="shared" si="24"/>
        <v>10240324.76000002</v>
      </c>
      <c r="AQ42" s="859">
        <f t="shared" si="25"/>
        <v>14391945.609999992</v>
      </c>
      <c r="AR42" s="859">
        <f t="shared" si="26"/>
        <v>14195</v>
      </c>
      <c r="AS42" s="859">
        <f t="shared" si="19"/>
        <v>24646465.370000012</v>
      </c>
      <c r="AT42" s="1143">
        <f t="shared" si="27"/>
        <v>0.91992802539702379</v>
      </c>
      <c r="AU42" s="1143">
        <f t="shared" si="28"/>
        <v>0.79652563077010097</v>
      </c>
      <c r="AV42" s="1143">
        <f t="shared" si="29"/>
        <v>0.99968455555555558</v>
      </c>
      <c r="AW42" s="1143">
        <f t="shared" si="30"/>
        <v>0.89883233983252608</v>
      </c>
      <c r="AX42" s="22">
        <f t="shared" si="31"/>
        <v>0</v>
      </c>
      <c r="AY42" s="22">
        <f t="shared" si="32"/>
        <v>0</v>
      </c>
      <c r="AZ42" s="22">
        <f t="shared" si="33"/>
        <v>0</v>
      </c>
      <c r="BA42" s="22">
        <f t="shared" si="34"/>
        <v>0</v>
      </c>
      <c r="BF42" s="824">
        <f t="shared" si="35"/>
        <v>6336814.8199999928</v>
      </c>
    </row>
    <row r="43" spans="1:58" s="16" customFormat="1">
      <c r="A43" s="592"/>
      <c r="B43" s="859"/>
      <c r="C43" s="859"/>
      <c r="D43" s="859"/>
      <c r="E43" s="860">
        <f t="shared" si="0"/>
        <v>0</v>
      </c>
      <c r="F43" s="859"/>
      <c r="G43" s="859"/>
      <c r="H43" s="859"/>
      <c r="I43" s="860"/>
      <c r="J43" s="859"/>
      <c r="K43" s="859"/>
      <c r="L43" s="859"/>
      <c r="M43" s="860"/>
      <c r="N43" s="859"/>
      <c r="O43" s="859"/>
      <c r="P43" s="859"/>
      <c r="Q43" s="860">
        <f t="shared" si="6"/>
        <v>0</v>
      </c>
      <c r="R43" s="859"/>
      <c r="S43" s="859"/>
      <c r="T43" s="859"/>
      <c r="U43" s="860"/>
      <c r="V43" s="859"/>
      <c r="W43" s="859"/>
      <c r="X43" s="859"/>
      <c r="Y43" s="860">
        <f t="shared" si="7"/>
        <v>0</v>
      </c>
      <c r="Z43" s="860"/>
      <c r="AA43" s="860"/>
      <c r="AB43" s="860"/>
      <c r="AC43" s="860">
        <f t="shared" si="11"/>
        <v>0</v>
      </c>
      <c r="AD43" s="859"/>
      <c r="AE43" s="859"/>
      <c r="AF43" s="859"/>
      <c r="AG43" s="860"/>
      <c r="AH43" s="859"/>
      <c r="AI43" s="859"/>
      <c r="AJ43" s="859"/>
      <c r="AK43" s="860"/>
      <c r="AL43" s="860"/>
      <c r="AM43" s="860"/>
      <c r="AN43" s="860"/>
      <c r="AO43" s="860">
        <f t="shared" si="15"/>
        <v>0</v>
      </c>
      <c r="AP43" s="860">
        <f t="shared" si="24"/>
        <v>0</v>
      </c>
      <c r="AQ43" s="860">
        <f t="shared" si="25"/>
        <v>0</v>
      </c>
      <c r="AR43" s="860">
        <f t="shared" si="26"/>
        <v>0</v>
      </c>
      <c r="AS43" s="860">
        <f t="shared" si="19"/>
        <v>0</v>
      </c>
      <c r="AT43" s="1143" t="str">
        <f t="shared" si="27"/>
        <v xml:space="preserve"> </v>
      </c>
      <c r="AU43" s="1143" t="str">
        <f t="shared" si="28"/>
        <v xml:space="preserve"> </v>
      </c>
      <c r="AV43" s="1143" t="str">
        <f t="shared" si="29"/>
        <v xml:space="preserve"> </v>
      </c>
      <c r="AW43" s="1143" t="str">
        <f t="shared" si="30"/>
        <v xml:space="preserve"> </v>
      </c>
      <c r="AX43" s="22">
        <f t="shared" si="31"/>
        <v>0</v>
      </c>
      <c r="AY43" s="22">
        <f t="shared" si="32"/>
        <v>0</v>
      </c>
      <c r="AZ43" s="22">
        <f t="shared" si="33"/>
        <v>0</v>
      </c>
      <c r="BA43" s="22">
        <f t="shared" si="34"/>
        <v>0</v>
      </c>
      <c r="BF43" s="824">
        <f t="shared" si="35"/>
        <v>0</v>
      </c>
    </row>
    <row r="44" spans="1:58" s="609" customFormat="1" ht="16.5">
      <c r="A44" s="1153" t="s">
        <v>981</v>
      </c>
      <c r="B44" s="1151">
        <f>SUM(B45:B47)</f>
        <v>126459000</v>
      </c>
      <c r="C44" s="1151">
        <f t="shared" ref="C44:AN44" si="110">SUM(C45:C47)</f>
        <v>198746000</v>
      </c>
      <c r="D44" s="1151">
        <f t="shared" si="110"/>
        <v>0</v>
      </c>
      <c r="E44" s="1151">
        <f t="shared" si="0"/>
        <v>325205000</v>
      </c>
      <c r="F44" s="1151">
        <f t="shared" si="110"/>
        <v>0</v>
      </c>
      <c r="G44" s="1151">
        <f t="shared" si="110"/>
        <v>0</v>
      </c>
      <c r="H44" s="1151">
        <f t="shared" si="110"/>
        <v>0</v>
      </c>
      <c r="I44" s="1151">
        <f t="shared" si="110"/>
        <v>0</v>
      </c>
      <c r="J44" s="1151">
        <f t="shared" si="110"/>
        <v>126459000</v>
      </c>
      <c r="K44" s="1151">
        <f t="shared" si="110"/>
        <v>198746000</v>
      </c>
      <c r="L44" s="1151">
        <f t="shared" si="110"/>
        <v>0</v>
      </c>
      <c r="M44" s="1151">
        <f t="shared" si="110"/>
        <v>325205000</v>
      </c>
      <c r="N44" s="1151">
        <f t="shared" si="110"/>
        <v>126459000</v>
      </c>
      <c r="O44" s="1151">
        <f t="shared" si="110"/>
        <v>198746000</v>
      </c>
      <c r="P44" s="1151">
        <f t="shared" si="110"/>
        <v>0</v>
      </c>
      <c r="Q44" s="1151">
        <f t="shared" si="6"/>
        <v>325205000</v>
      </c>
      <c r="R44" s="1151">
        <f t="shared" si="110"/>
        <v>0</v>
      </c>
      <c r="S44" s="1151">
        <f t="shared" si="110"/>
        <v>0</v>
      </c>
      <c r="T44" s="1151">
        <f t="shared" si="110"/>
        <v>0</v>
      </c>
      <c r="U44" s="1151">
        <f t="shared" si="110"/>
        <v>0</v>
      </c>
      <c r="V44" s="1151">
        <f t="shared" si="110"/>
        <v>0</v>
      </c>
      <c r="W44" s="1151">
        <f t="shared" si="110"/>
        <v>135594717</v>
      </c>
      <c r="X44" s="1151">
        <f t="shared" si="110"/>
        <v>52000000</v>
      </c>
      <c r="Y44" s="1151">
        <f t="shared" si="7"/>
        <v>187594717</v>
      </c>
      <c r="Z44" s="1151">
        <f t="shared" si="110"/>
        <v>126459000</v>
      </c>
      <c r="AA44" s="1151">
        <f t="shared" si="110"/>
        <v>334340717</v>
      </c>
      <c r="AB44" s="1151">
        <f t="shared" si="110"/>
        <v>52000000</v>
      </c>
      <c r="AC44" s="1151">
        <f t="shared" si="11"/>
        <v>512799717</v>
      </c>
      <c r="AD44" s="1151">
        <f t="shared" si="110"/>
        <v>115210349.85000002</v>
      </c>
      <c r="AE44" s="1151">
        <f t="shared" si="110"/>
        <v>163142673.00999999</v>
      </c>
      <c r="AF44" s="1151">
        <f t="shared" si="110"/>
        <v>0</v>
      </c>
      <c r="AG44" s="1151">
        <f t="shared" si="110"/>
        <v>278353022.86000001</v>
      </c>
      <c r="AH44" s="1151">
        <f t="shared" si="110"/>
        <v>0</v>
      </c>
      <c r="AI44" s="1151">
        <f t="shared" si="110"/>
        <v>106075487.45999999</v>
      </c>
      <c r="AJ44" s="1151">
        <f t="shared" si="110"/>
        <v>45415000</v>
      </c>
      <c r="AK44" s="1151">
        <f t="shared" si="110"/>
        <v>151490487.45999998</v>
      </c>
      <c r="AL44" s="1151">
        <f t="shared" si="110"/>
        <v>115210349.85000002</v>
      </c>
      <c r="AM44" s="1151">
        <f t="shared" si="110"/>
        <v>269218160.46999997</v>
      </c>
      <c r="AN44" s="1151">
        <f t="shared" si="110"/>
        <v>45415000</v>
      </c>
      <c r="AO44" s="1151">
        <f t="shared" si="15"/>
        <v>429843510.31999999</v>
      </c>
      <c r="AP44" s="1151">
        <f t="shared" si="24"/>
        <v>11248650.149999976</v>
      </c>
      <c r="AQ44" s="1151">
        <f t="shared" si="25"/>
        <v>65122556.530000031</v>
      </c>
      <c r="AR44" s="1151">
        <f t="shared" si="26"/>
        <v>6585000</v>
      </c>
      <c r="AS44" s="1151">
        <f t="shared" si="19"/>
        <v>82956206.680000007</v>
      </c>
      <c r="AT44" s="1165">
        <f t="shared" si="27"/>
        <v>0.91104903446967023</v>
      </c>
      <c r="AU44" s="1165">
        <f t="shared" si="28"/>
        <v>0.8052209820139854</v>
      </c>
      <c r="AV44" s="1165">
        <f t="shared" si="29"/>
        <v>0.8733653846153846</v>
      </c>
      <c r="AW44" s="1165">
        <f t="shared" si="30"/>
        <v>0.8382288368540578</v>
      </c>
      <c r="AX44" s="1152">
        <f t="shared" si="31"/>
        <v>0</v>
      </c>
      <c r="AY44" s="1152">
        <f t="shared" si="32"/>
        <v>0</v>
      </c>
      <c r="AZ44" s="1152">
        <f t="shared" si="33"/>
        <v>0</v>
      </c>
      <c r="BA44" s="1152">
        <f t="shared" si="34"/>
        <v>0</v>
      </c>
      <c r="BB44" s="1132">
        <f>+AS44-'CY (ALL FUNDS)'!Q624</f>
        <v>0</v>
      </c>
      <c r="BF44" s="824">
        <f t="shared" si="35"/>
        <v>35603326.99000001</v>
      </c>
    </row>
    <row r="45" spans="1:58" s="16" customFormat="1">
      <c r="A45" s="899" t="s">
        <v>982</v>
      </c>
      <c r="B45" s="859">
        <f>SUM('CY-FUR (REG)- Detail'!C157:C159)</f>
        <v>57049000</v>
      </c>
      <c r="C45" s="859">
        <f>SUM('CY-FUR (REG)- Detail'!D157:D159)</f>
        <v>161851000</v>
      </c>
      <c r="D45" s="859">
        <f>SUM('CY-FUR (REG)- Detail'!E157:E159)</f>
        <v>0</v>
      </c>
      <c r="E45" s="859">
        <f t="shared" si="0"/>
        <v>218900000</v>
      </c>
      <c r="F45" s="859">
        <f>SUM('CY-FUR (REG)- Detail'!G157:G159)</f>
        <v>0</v>
      </c>
      <c r="G45" s="859">
        <f>SUM('CY-FUR (REG)- Detail'!H157:H159)</f>
        <v>0</v>
      </c>
      <c r="H45" s="859">
        <f>SUM('CY-FUR (REG)- Detail'!I157:I159)</f>
        <v>0</v>
      </c>
      <c r="I45" s="859">
        <f>SUM('CY-FUR (REG)- Detail'!J157:J159)</f>
        <v>0</v>
      </c>
      <c r="J45" s="859">
        <f>SUM('CY-FUR (REG)- Detail'!K157:K159)</f>
        <v>57049000</v>
      </c>
      <c r="K45" s="859">
        <f>SUM('CY-FUR (REG)- Detail'!L157:L159)</f>
        <v>161851000</v>
      </c>
      <c r="L45" s="859">
        <f>SUM('CY-FUR (REG)- Detail'!M157:M159)</f>
        <v>0</v>
      </c>
      <c r="M45" s="859">
        <f>SUM('CY-FUR (REG)- Detail'!N157:N159)</f>
        <v>218900000</v>
      </c>
      <c r="N45" s="859">
        <f>SUM('CY-FUR (REG)- Detail'!O157:O159)</f>
        <v>57049000</v>
      </c>
      <c r="O45" s="859">
        <f>SUM('CY-FUR (REG)- Detail'!P157:P159)</f>
        <v>161851000</v>
      </c>
      <c r="P45" s="859">
        <f>SUM('CY-FUR (REG)- Detail'!Q157:Q159)</f>
        <v>0</v>
      </c>
      <c r="Q45" s="859">
        <f t="shared" si="6"/>
        <v>218900000</v>
      </c>
      <c r="R45" s="859">
        <f>SUM('CY-FUR (REG)- Detail'!S157:S159)</f>
        <v>0</v>
      </c>
      <c r="S45" s="859">
        <f>SUM('CY-FUR (REG)- Detail'!T157:T159)</f>
        <v>0</v>
      </c>
      <c r="T45" s="859">
        <f>SUM('CY-FUR (REG)- Detail'!U157:U159)</f>
        <v>0</v>
      </c>
      <c r="U45" s="859">
        <f>SUM('CY-FUR (REG)- Detail'!V157:V159)</f>
        <v>0</v>
      </c>
      <c r="V45" s="859">
        <f>SUM('CY-FUR (REG)- Detail'!W157:W159)</f>
        <v>0</v>
      </c>
      <c r="W45" s="859">
        <f>SUM('CY-FUR (REG)- Detail'!X157:X159)</f>
        <v>124048717</v>
      </c>
      <c r="X45" s="859">
        <f>SUM('CY-FUR (REG)- Detail'!Y157:Y159)</f>
        <v>22000000</v>
      </c>
      <c r="Y45" s="859">
        <f t="shared" si="7"/>
        <v>146048717</v>
      </c>
      <c r="Z45" s="859">
        <f>SUM('CY-FUR (REG)- Detail'!AA157:AA159)</f>
        <v>57049000</v>
      </c>
      <c r="AA45" s="859">
        <f>SUM('CY-FUR (REG)- Detail'!AB157:AB159)</f>
        <v>285899717</v>
      </c>
      <c r="AB45" s="859">
        <f>SUM('CY-FUR (REG)- Detail'!AC157:AC159)</f>
        <v>22000000</v>
      </c>
      <c r="AC45" s="859">
        <f t="shared" si="11"/>
        <v>364948717</v>
      </c>
      <c r="AD45" s="859">
        <f>SUM('CY-FUR (REG)- Detail'!AE157:AE159)</f>
        <v>51747575.620000005</v>
      </c>
      <c r="AE45" s="859">
        <f>SUM('CY-FUR (REG)- Detail'!AF157:AF159)</f>
        <v>132958193.12</v>
      </c>
      <c r="AF45" s="859">
        <f>SUM('CY-FUR (REG)- Detail'!AG157:AG159)</f>
        <v>0</v>
      </c>
      <c r="AG45" s="859">
        <f>SUM('CY-FUR (REG)- Detail'!AH157:AH159)</f>
        <v>184705768.74000001</v>
      </c>
      <c r="AH45" s="859">
        <f>SUM('CY-FUR (REG)- Detail'!AI157:AI159)</f>
        <v>0</v>
      </c>
      <c r="AI45" s="859">
        <f>SUM('CY-FUR (REG)- Detail'!AJ157:AJ159)</f>
        <v>96803491.879999995</v>
      </c>
      <c r="AJ45" s="859">
        <f>SUM('CY-FUR (REG)- Detail'!AK157:AK159)</f>
        <v>15500000</v>
      </c>
      <c r="AK45" s="859">
        <f>SUM('CY-FUR (REG)- Detail'!AL157:AL159)</f>
        <v>112303491.88</v>
      </c>
      <c r="AL45" s="859">
        <f>SUM('CY-FUR (REG)- Detail'!AM157:AM159)</f>
        <v>51747575.620000005</v>
      </c>
      <c r="AM45" s="859">
        <f>SUM('CY-FUR (REG)- Detail'!AN157:AN159)</f>
        <v>229761685</v>
      </c>
      <c r="AN45" s="859">
        <f>SUM('CY-FUR (REG)- Detail'!AO157:AO159)</f>
        <v>15500000</v>
      </c>
      <c r="AO45" s="859">
        <f t="shared" si="15"/>
        <v>297009260.62</v>
      </c>
      <c r="AP45" s="859">
        <f t="shared" si="24"/>
        <v>5301424.3799999952</v>
      </c>
      <c r="AQ45" s="859">
        <f t="shared" si="25"/>
        <v>56138032</v>
      </c>
      <c r="AR45" s="859">
        <f t="shared" si="26"/>
        <v>6500000</v>
      </c>
      <c r="AS45" s="859">
        <f t="shared" si="19"/>
        <v>67939456.379999995</v>
      </c>
      <c r="AT45" s="1143">
        <f t="shared" si="27"/>
        <v>0.9070724398324248</v>
      </c>
      <c r="AU45" s="1143">
        <f t="shared" si="28"/>
        <v>0.80364432469864944</v>
      </c>
      <c r="AV45" s="1143">
        <f t="shared" si="29"/>
        <v>0.70454545454545459</v>
      </c>
      <c r="AW45" s="1143">
        <f t="shared" si="30"/>
        <v>0.81383834710124492</v>
      </c>
      <c r="AX45" s="22">
        <f t="shared" si="31"/>
        <v>0</v>
      </c>
      <c r="AY45" s="22">
        <f t="shared" si="32"/>
        <v>0</v>
      </c>
      <c r="AZ45" s="22">
        <f t="shared" si="33"/>
        <v>0</v>
      </c>
      <c r="BA45" s="22">
        <f t="shared" si="34"/>
        <v>0</v>
      </c>
      <c r="BF45" s="824">
        <f t="shared" si="35"/>
        <v>28892806.879999995</v>
      </c>
    </row>
    <row r="46" spans="1:58" s="16" customFormat="1">
      <c r="A46" s="899" t="s">
        <v>1055</v>
      </c>
      <c r="B46" s="859">
        <f>+'CY-FUR (REG)- Detail'!C161</f>
        <v>44111000</v>
      </c>
      <c r="C46" s="859">
        <f>+'CY-FUR (REG)- Detail'!D161</f>
        <v>16327000</v>
      </c>
      <c r="D46" s="859">
        <f>+'CY-FUR (REG)- Detail'!E161</f>
        <v>0</v>
      </c>
      <c r="E46" s="859">
        <f t="shared" si="0"/>
        <v>60438000</v>
      </c>
      <c r="F46" s="859">
        <f>+'CY-FUR (REG)- Detail'!G161</f>
        <v>0</v>
      </c>
      <c r="G46" s="859">
        <f>+'CY-FUR (REG)- Detail'!H161</f>
        <v>0</v>
      </c>
      <c r="H46" s="859">
        <f>+'CY-FUR (REG)- Detail'!I161</f>
        <v>0</v>
      </c>
      <c r="I46" s="859">
        <f t="shared" ref="I46" si="111">SUM(F46:H46)</f>
        <v>0</v>
      </c>
      <c r="J46" s="859">
        <f t="shared" ref="J46" si="112">+B46+F46</f>
        <v>44111000</v>
      </c>
      <c r="K46" s="859">
        <f t="shared" ref="K46" si="113">+C46+G46</f>
        <v>16327000</v>
      </c>
      <c r="L46" s="859">
        <f t="shared" ref="L46" si="114">+D46+H46</f>
        <v>0</v>
      </c>
      <c r="M46" s="859">
        <f t="shared" ref="M46" si="115">SUM(J46:L46)</f>
        <v>60438000</v>
      </c>
      <c r="N46" s="859">
        <f>+'CY-FUR (REG)- Detail'!O161</f>
        <v>44111000</v>
      </c>
      <c r="O46" s="859">
        <f>+'CY-FUR (REG)- Detail'!P161</f>
        <v>16327000</v>
      </c>
      <c r="P46" s="859">
        <f>+'CY-FUR (REG)- Detail'!Q161</f>
        <v>0</v>
      </c>
      <c r="Q46" s="859">
        <f t="shared" si="6"/>
        <v>60438000</v>
      </c>
      <c r="R46" s="859">
        <f>+'CY-FUR (REG)- Detail'!S161</f>
        <v>0</v>
      </c>
      <c r="S46" s="859">
        <f>+'CY-FUR (REG)- Detail'!T161</f>
        <v>0</v>
      </c>
      <c r="T46" s="859">
        <f>+'CY-FUR (REG)- Detail'!U161</f>
        <v>0</v>
      </c>
      <c r="U46" s="859">
        <f t="shared" ref="U46" si="116">SUM(R46:T46)</f>
        <v>0</v>
      </c>
      <c r="V46" s="859">
        <f>+'CY-FUR (REG)- Detail'!W161</f>
        <v>0</v>
      </c>
      <c r="W46" s="859">
        <f>+'CY-FUR (REG)- Detail'!X161</f>
        <v>4898000</v>
      </c>
      <c r="X46" s="859">
        <f>+'CY-FUR (REG)- Detail'!Y161</f>
        <v>0</v>
      </c>
      <c r="Y46" s="859">
        <f t="shared" si="7"/>
        <v>4898000</v>
      </c>
      <c r="Z46" s="859">
        <f t="shared" ref="Z46" si="117">+N46+V46+R46</f>
        <v>44111000</v>
      </c>
      <c r="AA46" s="859">
        <f t="shared" ref="AA46" si="118">+O46+W46+S46</f>
        <v>21225000</v>
      </c>
      <c r="AB46" s="859">
        <f t="shared" ref="AB46" si="119">+P46+X46+T46</f>
        <v>0</v>
      </c>
      <c r="AC46" s="859">
        <f t="shared" si="11"/>
        <v>65336000</v>
      </c>
      <c r="AD46" s="859">
        <f>+'CY-FUR (REG)- Detail'!AE161</f>
        <v>40870108.800000004</v>
      </c>
      <c r="AE46" s="859">
        <f>+'CY-FUR (REG)- Detail'!AF161</f>
        <v>15238096.57</v>
      </c>
      <c r="AF46" s="859">
        <f>+'CY-FUR (REG)- Detail'!AG161</f>
        <v>0</v>
      </c>
      <c r="AG46" s="859">
        <f t="shared" ref="AG46" si="120">SUM(AD46:AF46)</f>
        <v>56108205.370000005</v>
      </c>
      <c r="AH46" s="859">
        <f>+'CY-FUR (REG)- Detail'!AI161</f>
        <v>0</v>
      </c>
      <c r="AI46" s="859">
        <f>+'CY-FUR (REG)- Detail'!AJ161</f>
        <v>3620691.19</v>
      </c>
      <c r="AJ46" s="859">
        <f>+'CY-FUR (REG)- Detail'!AK161</f>
        <v>0</v>
      </c>
      <c r="AK46" s="859">
        <f t="shared" ref="AK46" si="121">SUM(AH46:AJ46)</f>
        <v>3620691.19</v>
      </c>
      <c r="AL46" s="859">
        <f t="shared" ref="AL46" si="122">+AH46+AD46</f>
        <v>40870108.800000004</v>
      </c>
      <c r="AM46" s="859">
        <f t="shared" ref="AM46" si="123">+AI46+AE46</f>
        <v>18858787.760000002</v>
      </c>
      <c r="AN46" s="859">
        <f t="shared" ref="AN46" si="124">+AJ46+AF46</f>
        <v>0</v>
      </c>
      <c r="AO46" s="859">
        <f t="shared" si="15"/>
        <v>59728896.560000002</v>
      </c>
      <c r="AP46" s="859">
        <f t="shared" si="24"/>
        <v>3240891.1999999955</v>
      </c>
      <c r="AQ46" s="859">
        <f t="shared" si="25"/>
        <v>2366212.2399999984</v>
      </c>
      <c r="AR46" s="859">
        <f t="shared" si="26"/>
        <v>0</v>
      </c>
      <c r="AS46" s="859">
        <f t="shared" si="19"/>
        <v>5607103.4399999939</v>
      </c>
      <c r="AT46" s="1143">
        <f t="shared" si="27"/>
        <v>0.92652872979528922</v>
      </c>
      <c r="AU46" s="1143">
        <f t="shared" si="28"/>
        <v>0.8885176800942286</v>
      </c>
      <c r="AV46" s="1143" t="str">
        <f t="shared" si="29"/>
        <v xml:space="preserve"> </v>
      </c>
      <c r="AW46" s="1143">
        <f t="shared" si="30"/>
        <v>0.91418049100036736</v>
      </c>
      <c r="AX46" s="22">
        <f t="shared" si="31"/>
        <v>0</v>
      </c>
      <c r="AY46" s="22">
        <f t="shared" si="32"/>
        <v>0</v>
      </c>
      <c r="AZ46" s="22">
        <f t="shared" si="33"/>
        <v>0</v>
      </c>
      <c r="BA46" s="22">
        <f t="shared" si="34"/>
        <v>0</v>
      </c>
      <c r="BF46" s="824">
        <f t="shared" si="35"/>
        <v>1088903.4299999997</v>
      </c>
    </row>
    <row r="47" spans="1:58" s="16" customFormat="1">
      <c r="A47" s="899" t="s">
        <v>1110</v>
      </c>
      <c r="B47" s="859">
        <f>+'CY-FUR (REG)- Detail'!C162</f>
        <v>25299000</v>
      </c>
      <c r="C47" s="859">
        <f>+'CY-FUR (REG)- Detail'!D162</f>
        <v>20568000</v>
      </c>
      <c r="D47" s="859">
        <f>+'CY-FUR (REG)- Detail'!E162</f>
        <v>0</v>
      </c>
      <c r="E47" s="859">
        <f t="shared" si="0"/>
        <v>45867000</v>
      </c>
      <c r="F47" s="859">
        <f>+'CY-FUR (REG)- Detail'!G162</f>
        <v>0</v>
      </c>
      <c r="G47" s="859">
        <f>+'CY-FUR (REG)- Detail'!H162</f>
        <v>0</v>
      </c>
      <c r="H47" s="859">
        <f>+'CY-FUR (REG)- Detail'!I162</f>
        <v>0</v>
      </c>
      <c r="I47" s="859">
        <f t="shared" ref="I47" si="125">SUM(F47:H47)</f>
        <v>0</v>
      </c>
      <c r="J47" s="859">
        <f t="shared" ref="J47" si="126">+B47+F47</f>
        <v>25299000</v>
      </c>
      <c r="K47" s="859">
        <f t="shared" ref="K47" si="127">+C47+G47</f>
        <v>20568000</v>
      </c>
      <c r="L47" s="859">
        <f t="shared" ref="L47" si="128">+D47+H47</f>
        <v>0</v>
      </c>
      <c r="M47" s="859">
        <f t="shared" ref="M47" si="129">SUM(J47:L47)</f>
        <v>45867000</v>
      </c>
      <c r="N47" s="859">
        <f>+'CY-FUR (REG)- Detail'!O162</f>
        <v>25299000</v>
      </c>
      <c r="O47" s="859">
        <f>+'CY-FUR (REG)- Detail'!P162</f>
        <v>20568000</v>
      </c>
      <c r="P47" s="859">
        <f>+'CY-FUR (REG)- Detail'!Q162</f>
        <v>0</v>
      </c>
      <c r="Q47" s="859">
        <f t="shared" si="6"/>
        <v>45867000</v>
      </c>
      <c r="R47" s="859">
        <f>+'CY-FUR (REG)- Detail'!S162</f>
        <v>0</v>
      </c>
      <c r="S47" s="859">
        <f>+'CY-FUR (REG)- Detail'!T162</f>
        <v>0</v>
      </c>
      <c r="T47" s="859">
        <f>+'CY-FUR (REG)- Detail'!U162</f>
        <v>0</v>
      </c>
      <c r="U47" s="859">
        <f t="shared" ref="U47" si="130">SUM(R47:T47)</f>
        <v>0</v>
      </c>
      <c r="V47" s="859">
        <f>+'CY-FUR (REG)- Detail'!W162</f>
        <v>0</v>
      </c>
      <c r="W47" s="859">
        <f>+'CY-FUR (REG)- Detail'!X162</f>
        <v>6648000</v>
      </c>
      <c r="X47" s="859">
        <f>+'CY-FUR (REG)- Detail'!Y162</f>
        <v>30000000</v>
      </c>
      <c r="Y47" s="859">
        <f t="shared" si="7"/>
        <v>36648000</v>
      </c>
      <c r="Z47" s="859">
        <f t="shared" ref="Z47" si="131">+N47+V47+R47</f>
        <v>25299000</v>
      </c>
      <c r="AA47" s="859">
        <f t="shared" ref="AA47" si="132">+O47+W47+S47</f>
        <v>27216000</v>
      </c>
      <c r="AB47" s="859">
        <f t="shared" ref="AB47" si="133">+P47+X47+T47</f>
        <v>30000000</v>
      </c>
      <c r="AC47" s="859">
        <f t="shared" si="11"/>
        <v>82515000</v>
      </c>
      <c r="AD47" s="859">
        <f>+'CY-FUR (REG)- Detail'!AE162</f>
        <v>22592665.43</v>
      </c>
      <c r="AE47" s="859">
        <f>+'CY-FUR (REG)- Detail'!AF162</f>
        <v>14946383.320000002</v>
      </c>
      <c r="AF47" s="859">
        <f>+'CY-FUR (REG)- Detail'!AG162</f>
        <v>0</v>
      </c>
      <c r="AG47" s="859">
        <f t="shared" ref="AG47" si="134">SUM(AD47:AF47)</f>
        <v>37539048.75</v>
      </c>
      <c r="AH47" s="859">
        <f>+'CY-FUR (REG)- Detail'!AI162</f>
        <v>0</v>
      </c>
      <c r="AI47" s="859">
        <f>+'CY-FUR (REG)- Detail'!AJ162</f>
        <v>5651304.3900000006</v>
      </c>
      <c r="AJ47" s="859">
        <f>+'CY-FUR (REG)- Detail'!AK162</f>
        <v>29915000</v>
      </c>
      <c r="AK47" s="859">
        <f t="shared" ref="AK47" si="135">SUM(AH47:AJ47)</f>
        <v>35566304.390000001</v>
      </c>
      <c r="AL47" s="859">
        <f t="shared" ref="AL47" si="136">+AH47+AD47</f>
        <v>22592665.43</v>
      </c>
      <c r="AM47" s="859">
        <f t="shared" ref="AM47" si="137">+AI47+AE47</f>
        <v>20597687.710000001</v>
      </c>
      <c r="AN47" s="859">
        <f t="shared" ref="AN47" si="138">+AJ47+AF47</f>
        <v>29915000</v>
      </c>
      <c r="AO47" s="859">
        <f t="shared" si="15"/>
        <v>73105353.140000001</v>
      </c>
      <c r="AP47" s="859">
        <f t="shared" si="24"/>
        <v>2706334.5700000003</v>
      </c>
      <c r="AQ47" s="859">
        <f t="shared" si="25"/>
        <v>6618312.2899999991</v>
      </c>
      <c r="AR47" s="859">
        <f t="shared" si="26"/>
        <v>85000</v>
      </c>
      <c r="AS47" s="859">
        <f t="shared" si="19"/>
        <v>9409646.8599999994</v>
      </c>
      <c r="AT47" s="1143">
        <f t="shared" si="27"/>
        <v>0.89302602592987868</v>
      </c>
      <c r="AU47" s="1143">
        <f t="shared" si="28"/>
        <v>0.75682274066725463</v>
      </c>
      <c r="AV47" s="1143">
        <f t="shared" si="29"/>
        <v>0.99716666666666665</v>
      </c>
      <c r="AW47" s="1143">
        <f t="shared" si="30"/>
        <v>0.88596440816821187</v>
      </c>
      <c r="AX47" s="22">
        <f t="shared" si="31"/>
        <v>0</v>
      </c>
      <c r="AY47" s="22">
        <f t="shared" si="32"/>
        <v>0</v>
      </c>
      <c r="AZ47" s="22">
        <f t="shared" si="33"/>
        <v>0</v>
      </c>
      <c r="BA47" s="22">
        <f t="shared" si="34"/>
        <v>0</v>
      </c>
      <c r="BF47" s="824">
        <f t="shared" si="35"/>
        <v>5621616.6799999978</v>
      </c>
    </row>
    <row r="48" spans="1:58" s="16" customFormat="1">
      <c r="A48" s="592"/>
      <c r="B48" s="859"/>
      <c r="C48" s="859"/>
      <c r="D48" s="859"/>
      <c r="E48" s="860">
        <f t="shared" si="0"/>
        <v>0</v>
      </c>
      <c r="F48" s="859"/>
      <c r="G48" s="859"/>
      <c r="H48" s="859"/>
      <c r="I48" s="860"/>
      <c r="J48" s="859"/>
      <c r="K48" s="859"/>
      <c r="L48" s="859"/>
      <c r="M48" s="860"/>
      <c r="N48" s="859"/>
      <c r="O48" s="859"/>
      <c r="P48" s="859"/>
      <c r="Q48" s="860">
        <f t="shared" si="6"/>
        <v>0</v>
      </c>
      <c r="R48" s="859"/>
      <c r="S48" s="859"/>
      <c r="T48" s="859"/>
      <c r="U48" s="860"/>
      <c r="V48" s="859"/>
      <c r="W48" s="859"/>
      <c r="X48" s="859"/>
      <c r="Y48" s="860">
        <f t="shared" si="7"/>
        <v>0</v>
      </c>
      <c r="Z48" s="860"/>
      <c r="AA48" s="860"/>
      <c r="AB48" s="860"/>
      <c r="AC48" s="860">
        <f t="shared" si="11"/>
        <v>0</v>
      </c>
      <c r="AD48" s="859"/>
      <c r="AE48" s="859"/>
      <c r="AF48" s="859"/>
      <c r="AG48" s="860"/>
      <c r="AH48" s="859"/>
      <c r="AI48" s="859"/>
      <c r="AJ48" s="859"/>
      <c r="AK48" s="860"/>
      <c r="AL48" s="860"/>
      <c r="AM48" s="860"/>
      <c r="AN48" s="860"/>
      <c r="AO48" s="860">
        <f t="shared" si="15"/>
        <v>0</v>
      </c>
      <c r="AP48" s="860">
        <f t="shared" si="24"/>
        <v>0</v>
      </c>
      <c r="AQ48" s="860">
        <f t="shared" si="25"/>
        <v>0</v>
      </c>
      <c r="AR48" s="860">
        <f t="shared" si="26"/>
        <v>0</v>
      </c>
      <c r="AS48" s="860">
        <f t="shared" si="19"/>
        <v>0</v>
      </c>
      <c r="AT48" s="1143" t="str">
        <f t="shared" si="27"/>
        <v xml:space="preserve"> </v>
      </c>
      <c r="AU48" s="1143" t="str">
        <f t="shared" si="28"/>
        <v xml:space="preserve"> </v>
      </c>
      <c r="AV48" s="1143" t="str">
        <f t="shared" si="29"/>
        <v xml:space="preserve"> </v>
      </c>
      <c r="AW48" s="1143" t="str">
        <f t="shared" si="30"/>
        <v xml:space="preserve"> </v>
      </c>
      <c r="AX48" s="22">
        <f t="shared" si="31"/>
        <v>0</v>
      </c>
      <c r="AY48" s="22">
        <f t="shared" si="32"/>
        <v>0</v>
      </c>
      <c r="AZ48" s="22">
        <f t="shared" si="33"/>
        <v>0</v>
      </c>
      <c r="BA48" s="22">
        <f t="shared" si="34"/>
        <v>0</v>
      </c>
      <c r="BF48" s="824">
        <f t="shared" si="35"/>
        <v>0</v>
      </c>
    </row>
    <row r="49" spans="1:58" s="609" customFormat="1" ht="16.5">
      <c r="A49" s="1153" t="s">
        <v>983</v>
      </c>
      <c r="B49" s="1151">
        <f>SUM(B50:B53)</f>
        <v>422052000</v>
      </c>
      <c r="C49" s="1151">
        <f>SUM(C50:C53)</f>
        <v>346190000</v>
      </c>
      <c r="D49" s="1151">
        <f t="shared" ref="D49:AN49" si="139">SUM(D50:D53)</f>
        <v>0</v>
      </c>
      <c r="E49" s="1151">
        <f t="shared" si="0"/>
        <v>768242000</v>
      </c>
      <c r="F49" s="1151">
        <f t="shared" si="139"/>
        <v>840825</v>
      </c>
      <c r="G49" s="1151">
        <f t="shared" si="139"/>
        <v>-840825</v>
      </c>
      <c r="H49" s="1151">
        <f t="shared" si="139"/>
        <v>0</v>
      </c>
      <c r="I49" s="1151">
        <f t="shared" si="139"/>
        <v>0</v>
      </c>
      <c r="J49" s="1151">
        <f t="shared" si="139"/>
        <v>422892825</v>
      </c>
      <c r="K49" s="1151">
        <f t="shared" si="139"/>
        <v>345349175</v>
      </c>
      <c r="L49" s="1151">
        <f t="shared" si="139"/>
        <v>0</v>
      </c>
      <c r="M49" s="1151">
        <f t="shared" si="139"/>
        <v>768242000</v>
      </c>
      <c r="N49" s="1151">
        <f t="shared" si="139"/>
        <v>422892825</v>
      </c>
      <c r="O49" s="1151">
        <f t="shared" si="139"/>
        <v>345349175</v>
      </c>
      <c r="P49" s="1151">
        <f t="shared" si="139"/>
        <v>0</v>
      </c>
      <c r="Q49" s="1151">
        <f t="shared" si="6"/>
        <v>768242000</v>
      </c>
      <c r="R49" s="1151">
        <f t="shared" si="139"/>
        <v>0</v>
      </c>
      <c r="S49" s="1151">
        <f t="shared" si="139"/>
        <v>0</v>
      </c>
      <c r="T49" s="1151">
        <f t="shared" si="139"/>
        <v>0</v>
      </c>
      <c r="U49" s="1151">
        <f t="shared" si="139"/>
        <v>0</v>
      </c>
      <c r="V49" s="1151">
        <f t="shared" si="139"/>
        <v>0</v>
      </c>
      <c r="W49" s="1151">
        <f t="shared" si="139"/>
        <v>298964398</v>
      </c>
      <c r="X49" s="1151">
        <f t="shared" si="139"/>
        <v>293107051</v>
      </c>
      <c r="Y49" s="1151">
        <f t="shared" si="7"/>
        <v>592071449</v>
      </c>
      <c r="Z49" s="1151">
        <f t="shared" si="139"/>
        <v>422892825</v>
      </c>
      <c r="AA49" s="1151">
        <f t="shared" si="139"/>
        <v>644313573</v>
      </c>
      <c r="AB49" s="1151">
        <f t="shared" si="139"/>
        <v>293107051</v>
      </c>
      <c r="AC49" s="1151">
        <f t="shared" si="11"/>
        <v>1360313449</v>
      </c>
      <c r="AD49" s="1151">
        <f t="shared" si="139"/>
        <v>387170938.01999998</v>
      </c>
      <c r="AE49" s="1151">
        <f t="shared" si="139"/>
        <v>255183092.64000005</v>
      </c>
      <c r="AF49" s="1151">
        <f t="shared" si="139"/>
        <v>0</v>
      </c>
      <c r="AG49" s="1151">
        <f t="shared" si="139"/>
        <v>642354030.65999997</v>
      </c>
      <c r="AH49" s="1151">
        <f t="shared" si="139"/>
        <v>0</v>
      </c>
      <c r="AI49" s="1151">
        <f t="shared" si="139"/>
        <v>264323745.13</v>
      </c>
      <c r="AJ49" s="1151">
        <f t="shared" si="139"/>
        <v>279384702.78000003</v>
      </c>
      <c r="AK49" s="1151">
        <f t="shared" si="139"/>
        <v>543708447.90999997</v>
      </c>
      <c r="AL49" s="1151">
        <f t="shared" si="139"/>
        <v>387170938.01999998</v>
      </c>
      <c r="AM49" s="1151">
        <f t="shared" si="139"/>
        <v>519506837.76999998</v>
      </c>
      <c r="AN49" s="1151">
        <f t="shared" si="139"/>
        <v>279384702.78000003</v>
      </c>
      <c r="AO49" s="1151">
        <f t="shared" si="15"/>
        <v>1186062478.5699999</v>
      </c>
      <c r="AP49" s="1151">
        <f t="shared" si="24"/>
        <v>35721886.980000019</v>
      </c>
      <c r="AQ49" s="1151">
        <f t="shared" si="25"/>
        <v>124806735.23000002</v>
      </c>
      <c r="AR49" s="1151">
        <f t="shared" si="26"/>
        <v>13722348.219999969</v>
      </c>
      <c r="AS49" s="1151">
        <f t="shared" si="19"/>
        <v>174250970.43000001</v>
      </c>
      <c r="AT49" s="1165">
        <f t="shared" si="27"/>
        <v>0.91552969246995375</v>
      </c>
      <c r="AU49" s="1165">
        <f t="shared" si="28"/>
        <v>0.80629503946520154</v>
      </c>
      <c r="AV49" s="1165">
        <f t="shared" si="29"/>
        <v>0.95318315211734717</v>
      </c>
      <c r="AW49" s="1165">
        <f t="shared" si="30"/>
        <v>0.8719038097005537</v>
      </c>
      <c r="AX49" s="1152">
        <f t="shared" si="31"/>
        <v>0</v>
      </c>
      <c r="AY49" s="1152">
        <f t="shared" si="32"/>
        <v>0</v>
      </c>
      <c r="AZ49" s="1152">
        <f t="shared" si="33"/>
        <v>0</v>
      </c>
      <c r="BA49" s="1152">
        <f t="shared" si="34"/>
        <v>0</v>
      </c>
      <c r="BB49" s="1132">
        <f>+AS49-'CY (ALL FUNDS)'!Q704</f>
        <v>0</v>
      </c>
      <c r="BF49" s="824">
        <f t="shared" si="35"/>
        <v>90166082.359999955</v>
      </c>
    </row>
    <row r="50" spans="1:58" s="16" customFormat="1">
      <c r="A50" s="899" t="s">
        <v>984</v>
      </c>
      <c r="B50" s="859">
        <f>SUM('CY-FUR (REG)- Detail'!C165:C167)</f>
        <v>91979000</v>
      </c>
      <c r="C50" s="859">
        <f>SUM('CY-FUR (REG)- Detail'!D165:D167)</f>
        <v>204747000</v>
      </c>
      <c r="D50" s="859">
        <f>SUM('CY-FUR (REG)- Detail'!E165:E167)</f>
        <v>0</v>
      </c>
      <c r="E50" s="859">
        <f t="shared" si="0"/>
        <v>296726000</v>
      </c>
      <c r="F50" s="859">
        <f>SUM('CY-FUR (REG)- Detail'!G165:G167)</f>
        <v>840825</v>
      </c>
      <c r="G50" s="859">
        <f>SUM('CY-FUR (REG)- Detail'!H165:H167)</f>
        <v>-840825</v>
      </c>
      <c r="H50" s="859">
        <f>SUM('CY-FUR (REG)- Detail'!I165:I167)</f>
        <v>0</v>
      </c>
      <c r="I50" s="859">
        <f>SUM('CY-FUR (REG)- Detail'!J165:J167)</f>
        <v>0</v>
      </c>
      <c r="J50" s="859">
        <f>SUM('CY-FUR (REG)- Detail'!K165:K167)</f>
        <v>92819825</v>
      </c>
      <c r="K50" s="859">
        <f>SUM('CY-FUR (REG)- Detail'!L165:L167)</f>
        <v>203906175</v>
      </c>
      <c r="L50" s="859">
        <f>SUM('CY-FUR (REG)- Detail'!M165:M167)</f>
        <v>0</v>
      </c>
      <c r="M50" s="859">
        <f>SUM('CY-FUR (REG)- Detail'!N165:N167)</f>
        <v>296726000</v>
      </c>
      <c r="N50" s="859">
        <f>SUM('CY-FUR (REG)- Detail'!O165:O167)</f>
        <v>92819825</v>
      </c>
      <c r="O50" s="859">
        <f>SUM('CY-FUR (REG)- Detail'!P165:P167)</f>
        <v>203906175</v>
      </c>
      <c r="P50" s="859">
        <f>SUM('CY-FUR (REG)- Detail'!Q165:Q167)</f>
        <v>0</v>
      </c>
      <c r="Q50" s="859">
        <f t="shared" si="6"/>
        <v>296726000</v>
      </c>
      <c r="R50" s="859">
        <f>SUM('CY-FUR (REG)- Detail'!S165:S167)</f>
        <v>0</v>
      </c>
      <c r="S50" s="859">
        <f>SUM('CY-FUR (REG)- Detail'!T165:T167)</f>
        <v>0</v>
      </c>
      <c r="T50" s="859">
        <f>SUM('CY-FUR (REG)- Detail'!U165:U167)</f>
        <v>0</v>
      </c>
      <c r="U50" s="859">
        <f>SUM('CY-FUR (REG)- Detail'!V165:V167)</f>
        <v>0</v>
      </c>
      <c r="V50" s="859">
        <f>SUM('CY-FUR (REG)- Detail'!W165:W167)</f>
        <v>0</v>
      </c>
      <c r="W50" s="859">
        <f>SUM('CY-FUR (REG)- Detail'!X165:X167)</f>
        <v>220641643</v>
      </c>
      <c r="X50" s="859">
        <f>SUM('CY-FUR (REG)- Detail'!Y165:Y167)</f>
        <v>68107051</v>
      </c>
      <c r="Y50" s="859">
        <f t="shared" si="7"/>
        <v>288748694</v>
      </c>
      <c r="Z50" s="859">
        <f>SUM('CY-FUR (REG)- Detail'!AA165:AA167)</f>
        <v>92819825</v>
      </c>
      <c r="AA50" s="859">
        <f>SUM('CY-FUR (REG)- Detail'!AB165:AB167)</f>
        <v>424547818</v>
      </c>
      <c r="AB50" s="859">
        <f>SUM('CY-FUR (REG)- Detail'!AC165:AC167)</f>
        <v>68107051</v>
      </c>
      <c r="AC50" s="859">
        <f t="shared" si="11"/>
        <v>585474694</v>
      </c>
      <c r="AD50" s="859">
        <f>SUM('CY-FUR (REG)- Detail'!AE165:AE167)</f>
        <v>80381657.429999992</v>
      </c>
      <c r="AE50" s="859">
        <f>SUM('CY-FUR (REG)- Detail'!AF165:AF167)</f>
        <v>143779800.47000003</v>
      </c>
      <c r="AF50" s="859">
        <f>SUM('CY-FUR (REG)- Detail'!AG165:AG167)</f>
        <v>0</v>
      </c>
      <c r="AG50" s="859">
        <f>SUM('CY-FUR (REG)- Detail'!AH165:AH167)</f>
        <v>224161457.90000004</v>
      </c>
      <c r="AH50" s="859">
        <f>SUM('CY-FUR (REG)- Detail'!AI165:AI167)</f>
        <v>0</v>
      </c>
      <c r="AI50" s="859">
        <f>SUM('CY-FUR (REG)- Detail'!AJ165:AJ167)</f>
        <v>206363901.97999999</v>
      </c>
      <c r="AJ50" s="859">
        <f>SUM('CY-FUR (REG)- Detail'!AK165:AK167)</f>
        <v>63088957.359999999</v>
      </c>
      <c r="AK50" s="859">
        <f>SUM('CY-FUR (REG)- Detail'!AL165:AL167)</f>
        <v>269452859.33999997</v>
      </c>
      <c r="AL50" s="859">
        <f>SUM('CY-FUR (REG)- Detail'!AM165:AM167)</f>
        <v>80381657.429999992</v>
      </c>
      <c r="AM50" s="859">
        <f>SUM('CY-FUR (REG)- Detail'!AN165:AN167)</f>
        <v>350143702.44999999</v>
      </c>
      <c r="AN50" s="859">
        <f>SUM('CY-FUR (REG)- Detail'!AO165:AO167)</f>
        <v>63088957.359999999</v>
      </c>
      <c r="AO50" s="859">
        <f t="shared" si="15"/>
        <v>493614317.24000001</v>
      </c>
      <c r="AP50" s="859">
        <f t="shared" si="24"/>
        <v>12438167.570000008</v>
      </c>
      <c r="AQ50" s="859">
        <f t="shared" si="25"/>
        <v>74404115.550000012</v>
      </c>
      <c r="AR50" s="859">
        <f t="shared" si="26"/>
        <v>5018093.6400000006</v>
      </c>
      <c r="AS50" s="859">
        <f t="shared" si="19"/>
        <v>91860376.76000002</v>
      </c>
      <c r="AT50" s="1143">
        <f t="shared" si="27"/>
        <v>0.86599664920721398</v>
      </c>
      <c r="AU50" s="1143">
        <f t="shared" si="28"/>
        <v>0.82474502895690305</v>
      </c>
      <c r="AV50" s="1143">
        <f t="shared" si="29"/>
        <v>0.92632049741810141</v>
      </c>
      <c r="AW50" s="1143">
        <f t="shared" si="30"/>
        <v>0.84310102946994325</v>
      </c>
      <c r="AX50" s="22">
        <f t="shared" si="31"/>
        <v>0</v>
      </c>
      <c r="AY50" s="22">
        <f t="shared" si="32"/>
        <v>0</v>
      </c>
      <c r="AZ50" s="22">
        <f t="shared" si="33"/>
        <v>0</v>
      </c>
      <c r="BA50" s="22">
        <f t="shared" si="34"/>
        <v>0</v>
      </c>
      <c r="BF50" s="824">
        <f t="shared" si="35"/>
        <v>60126374.529999971</v>
      </c>
    </row>
    <row r="51" spans="1:58" s="16" customFormat="1" ht="14.25" customHeight="1">
      <c r="A51" s="904" t="s">
        <v>985</v>
      </c>
      <c r="B51" s="859">
        <f>+'CY-FUR (REG)- Detail'!C169</f>
        <v>193074000</v>
      </c>
      <c r="C51" s="859">
        <f>+'CY-FUR (REG)- Detail'!D169</f>
        <v>82464000</v>
      </c>
      <c r="D51" s="859">
        <f>+'CY-FUR (REG)- Detail'!E169</f>
        <v>0</v>
      </c>
      <c r="E51" s="859">
        <f t="shared" si="0"/>
        <v>275538000</v>
      </c>
      <c r="F51" s="859">
        <f>+'CY-FUR (REG)- Detail'!G169</f>
        <v>0</v>
      </c>
      <c r="G51" s="859">
        <f>+'CY-FUR (REG)- Detail'!H169</f>
        <v>0</v>
      </c>
      <c r="H51" s="859">
        <f>+'CY-FUR (REG)- Detail'!I169</f>
        <v>0</v>
      </c>
      <c r="I51" s="859">
        <f t="shared" ref="I51" si="140">SUM(F51:H51)</f>
        <v>0</v>
      </c>
      <c r="J51" s="859">
        <f t="shared" ref="J51" si="141">+B51+F51</f>
        <v>193074000</v>
      </c>
      <c r="K51" s="859">
        <f t="shared" ref="K51" si="142">+C51+G51</f>
        <v>82464000</v>
      </c>
      <c r="L51" s="859">
        <f t="shared" ref="L51" si="143">+D51+H51</f>
        <v>0</v>
      </c>
      <c r="M51" s="859">
        <f t="shared" ref="M51" si="144">SUM(J51:L51)</f>
        <v>275538000</v>
      </c>
      <c r="N51" s="859">
        <f>+'CY-FUR (REG)- Detail'!O169</f>
        <v>193074000</v>
      </c>
      <c r="O51" s="859">
        <f>+'CY-FUR (REG)- Detail'!P169</f>
        <v>82464000</v>
      </c>
      <c r="P51" s="859">
        <f>+'CY-FUR (REG)- Detail'!Q169</f>
        <v>0</v>
      </c>
      <c r="Q51" s="859">
        <f t="shared" si="6"/>
        <v>275538000</v>
      </c>
      <c r="R51" s="859">
        <f>+'CY-FUR (REG)- Detail'!S169</f>
        <v>0</v>
      </c>
      <c r="S51" s="859">
        <f>+'CY-FUR (REG)- Detail'!T169</f>
        <v>0</v>
      </c>
      <c r="T51" s="859">
        <f>+'CY-FUR (REG)- Detail'!U169</f>
        <v>0</v>
      </c>
      <c r="U51" s="859">
        <f t="shared" ref="U51" si="145">SUM(R51:T51)</f>
        <v>0</v>
      </c>
      <c r="V51" s="859">
        <f>+'CY-FUR (REG)- Detail'!W169</f>
        <v>0</v>
      </c>
      <c r="W51" s="859">
        <f>+'CY-FUR (REG)- Detail'!X169</f>
        <v>46083477</v>
      </c>
      <c r="X51" s="859">
        <f>+'CY-FUR (REG)- Detail'!Y169</f>
        <v>200000000</v>
      </c>
      <c r="Y51" s="859">
        <f t="shared" si="7"/>
        <v>246083477</v>
      </c>
      <c r="Z51" s="859">
        <f t="shared" ref="Z51" si="146">+N51+V51+R51</f>
        <v>193074000</v>
      </c>
      <c r="AA51" s="859">
        <f t="shared" ref="AA51" si="147">+O51+W51+S51</f>
        <v>128547477</v>
      </c>
      <c r="AB51" s="859">
        <f t="shared" ref="AB51" si="148">+P51+X51+T51</f>
        <v>200000000</v>
      </c>
      <c r="AC51" s="859">
        <f t="shared" si="11"/>
        <v>521621477</v>
      </c>
      <c r="AD51" s="859">
        <f>+'CY-FUR (REG)- Detail'!AE169</f>
        <v>180282388.15999997</v>
      </c>
      <c r="AE51" s="859">
        <f>+'CY-FUR (REG)- Detail'!AF169</f>
        <v>70939207.879999995</v>
      </c>
      <c r="AF51" s="859">
        <f>+'CY-FUR (REG)- Detail'!AG169</f>
        <v>0</v>
      </c>
      <c r="AG51" s="859">
        <f t="shared" ref="AG51" si="149">SUM(AD51:AF51)</f>
        <v>251221596.03999996</v>
      </c>
      <c r="AH51" s="859">
        <f>+'CY-FUR (REG)- Detail'!AI169</f>
        <v>0</v>
      </c>
      <c r="AI51" s="859">
        <f>+'CY-FUR (REG)- Detail'!AJ169</f>
        <v>35641249.130000003</v>
      </c>
      <c r="AJ51" s="859">
        <f>+'CY-FUR (REG)- Detail'!AK169</f>
        <v>191409165.19999999</v>
      </c>
      <c r="AK51" s="859">
        <f t="shared" ref="AK51" si="150">SUM(AH51:AJ51)</f>
        <v>227050414.32999998</v>
      </c>
      <c r="AL51" s="859">
        <f t="shared" ref="AL51" si="151">+AH51+AD51</f>
        <v>180282388.15999997</v>
      </c>
      <c r="AM51" s="859">
        <f t="shared" ref="AM51" si="152">+AI51+AE51</f>
        <v>106580457.00999999</v>
      </c>
      <c r="AN51" s="859">
        <f t="shared" ref="AN51" si="153">+AJ51+AF51</f>
        <v>191409165.19999999</v>
      </c>
      <c r="AO51" s="859">
        <f t="shared" si="15"/>
        <v>478272010.36999995</v>
      </c>
      <c r="AP51" s="859">
        <f t="shared" si="24"/>
        <v>12791611.840000033</v>
      </c>
      <c r="AQ51" s="859">
        <f t="shared" si="25"/>
        <v>21967019.99000001</v>
      </c>
      <c r="AR51" s="859">
        <f t="shared" si="26"/>
        <v>8590834.8000000119</v>
      </c>
      <c r="AS51" s="859">
        <f t="shared" si="19"/>
        <v>43349466.630000055</v>
      </c>
      <c r="AT51" s="1143">
        <f t="shared" si="27"/>
        <v>0.93374762091218899</v>
      </c>
      <c r="AU51" s="1143">
        <f t="shared" si="28"/>
        <v>0.82911356564392147</v>
      </c>
      <c r="AV51" s="1143">
        <f t="shared" si="29"/>
        <v>0.95704582599999999</v>
      </c>
      <c r="AW51" s="1143">
        <f t="shared" si="30"/>
        <v>0.91689478186497286</v>
      </c>
      <c r="AX51" s="22">
        <f t="shared" si="31"/>
        <v>0</v>
      </c>
      <c r="AY51" s="22">
        <f t="shared" si="32"/>
        <v>0</v>
      </c>
      <c r="AZ51" s="22">
        <f t="shared" si="33"/>
        <v>0</v>
      </c>
      <c r="BA51" s="22">
        <f t="shared" si="34"/>
        <v>0</v>
      </c>
      <c r="BF51" s="824">
        <f t="shared" si="35"/>
        <v>11524792.120000005</v>
      </c>
    </row>
    <row r="52" spans="1:58" s="16" customFormat="1">
      <c r="A52" s="899" t="s">
        <v>986</v>
      </c>
      <c r="B52" s="859">
        <f>+'CY-FUR (REG)- Detail'!C170</f>
        <v>113914000</v>
      </c>
      <c r="C52" s="859">
        <f>+'CY-FUR (REG)- Detail'!D170</f>
        <v>46432000</v>
      </c>
      <c r="D52" s="859">
        <f>+'CY-FUR (REG)- Detail'!E170</f>
        <v>0</v>
      </c>
      <c r="E52" s="859">
        <f t="shared" si="0"/>
        <v>160346000</v>
      </c>
      <c r="F52" s="859">
        <f>+'CY-FUR (REG)- Detail'!G170</f>
        <v>0</v>
      </c>
      <c r="G52" s="859">
        <f>+'CY-FUR (REG)- Detail'!H170</f>
        <v>0</v>
      </c>
      <c r="H52" s="859">
        <f>+'CY-FUR (REG)- Detail'!I170</f>
        <v>0</v>
      </c>
      <c r="I52" s="859">
        <f t="shared" ref="I52:I53" si="154">SUM(F52:H52)</f>
        <v>0</v>
      </c>
      <c r="J52" s="859">
        <f t="shared" ref="J52:J53" si="155">+B52+F52</f>
        <v>113914000</v>
      </c>
      <c r="K52" s="859">
        <f t="shared" ref="K52:K53" si="156">+C52+G52</f>
        <v>46432000</v>
      </c>
      <c r="L52" s="859">
        <f t="shared" ref="L52:L53" si="157">+D52+H52</f>
        <v>0</v>
      </c>
      <c r="M52" s="859">
        <f t="shared" ref="M52:M53" si="158">SUM(J52:L52)</f>
        <v>160346000</v>
      </c>
      <c r="N52" s="859">
        <f>+'CY-FUR (REG)- Detail'!O170</f>
        <v>113914000</v>
      </c>
      <c r="O52" s="859">
        <f>+'CY-FUR (REG)- Detail'!P170</f>
        <v>46432000</v>
      </c>
      <c r="P52" s="859">
        <f>+'CY-FUR (REG)- Detail'!Q170</f>
        <v>0</v>
      </c>
      <c r="Q52" s="859">
        <f t="shared" si="6"/>
        <v>160346000</v>
      </c>
      <c r="R52" s="859">
        <f>+'CY-FUR (REG)- Detail'!S170</f>
        <v>0</v>
      </c>
      <c r="S52" s="859">
        <f>+'CY-FUR (REG)- Detail'!T170</f>
        <v>0</v>
      </c>
      <c r="T52" s="859">
        <f>+'CY-FUR (REG)- Detail'!U170</f>
        <v>0</v>
      </c>
      <c r="U52" s="859">
        <f t="shared" ref="U52:U53" si="159">SUM(R52:T52)</f>
        <v>0</v>
      </c>
      <c r="V52" s="859">
        <f>+'CY-FUR (REG)- Detail'!W170</f>
        <v>0</v>
      </c>
      <c r="W52" s="859">
        <f>+'CY-FUR (REG)- Detail'!X170</f>
        <v>25980978</v>
      </c>
      <c r="X52" s="859">
        <f>+'CY-FUR (REG)- Detail'!Y170</f>
        <v>20000000</v>
      </c>
      <c r="Y52" s="859">
        <f t="shared" si="7"/>
        <v>45980978</v>
      </c>
      <c r="Z52" s="859">
        <f t="shared" ref="Z52:Z53" si="160">+N52+V52+R52</f>
        <v>113914000</v>
      </c>
      <c r="AA52" s="859">
        <f t="shared" ref="AA52:AA53" si="161">+O52+W52+S52</f>
        <v>72412978</v>
      </c>
      <c r="AB52" s="859">
        <f t="shared" ref="AB52:AB53" si="162">+P52+X52+T52</f>
        <v>20000000</v>
      </c>
      <c r="AC52" s="859">
        <f t="shared" si="11"/>
        <v>206326978</v>
      </c>
      <c r="AD52" s="859">
        <f>+'CY-FUR (REG)- Detail'!AE170</f>
        <v>105558631.65000002</v>
      </c>
      <c r="AE52" s="859">
        <f>+'CY-FUR (REG)- Detail'!AF170</f>
        <v>29751912.93</v>
      </c>
      <c r="AF52" s="859">
        <f>+'CY-FUR (REG)- Detail'!AG170</f>
        <v>0</v>
      </c>
      <c r="AG52" s="859">
        <f t="shared" ref="AG52:AG53" si="163">SUM(AD52:AF52)</f>
        <v>135310544.58000001</v>
      </c>
      <c r="AH52" s="859">
        <f>+'CY-FUR (REG)- Detail'!AI170</f>
        <v>0</v>
      </c>
      <c r="AI52" s="859">
        <f>+'CY-FUR (REG)- Detail'!AJ170</f>
        <v>19093113.43</v>
      </c>
      <c r="AJ52" s="859">
        <f>+'CY-FUR (REG)- Detail'!AK170</f>
        <v>19995795</v>
      </c>
      <c r="AK52" s="859">
        <f t="shared" ref="AK52:AK53" si="164">SUM(AH52:AJ52)</f>
        <v>39088908.43</v>
      </c>
      <c r="AL52" s="859">
        <f t="shared" ref="AL52:AL53" si="165">+AH52+AD52</f>
        <v>105558631.65000002</v>
      </c>
      <c r="AM52" s="859">
        <f t="shared" ref="AM52:AM53" si="166">+AI52+AE52</f>
        <v>48845026.359999999</v>
      </c>
      <c r="AN52" s="859">
        <f t="shared" ref="AN52:AN53" si="167">+AJ52+AF52</f>
        <v>19995795</v>
      </c>
      <c r="AO52" s="859">
        <f t="shared" si="15"/>
        <v>174399453.01000002</v>
      </c>
      <c r="AP52" s="859">
        <f t="shared" si="24"/>
        <v>8355368.3499999791</v>
      </c>
      <c r="AQ52" s="859">
        <f t="shared" si="25"/>
        <v>23567951.640000001</v>
      </c>
      <c r="AR52" s="859">
        <f t="shared" si="26"/>
        <v>4205</v>
      </c>
      <c r="AS52" s="859">
        <f t="shared" si="19"/>
        <v>31927524.98999998</v>
      </c>
      <c r="AT52" s="1143">
        <f t="shared" si="27"/>
        <v>0.92665196244535375</v>
      </c>
      <c r="AU52" s="1143">
        <f t="shared" si="28"/>
        <v>0.67453414718008142</v>
      </c>
      <c r="AV52" s="1143">
        <f t="shared" si="29"/>
        <v>0.99978975000000003</v>
      </c>
      <c r="AW52" s="1143">
        <f t="shared" si="30"/>
        <v>0.84525763281426058</v>
      </c>
      <c r="AX52" s="22">
        <f t="shared" si="31"/>
        <v>0</v>
      </c>
      <c r="AY52" s="22">
        <f t="shared" si="32"/>
        <v>0</v>
      </c>
      <c r="AZ52" s="22">
        <f t="shared" si="33"/>
        <v>0</v>
      </c>
      <c r="BA52" s="22">
        <f t="shared" si="34"/>
        <v>0</v>
      </c>
      <c r="BF52" s="824">
        <f t="shared" si="35"/>
        <v>16680087.07</v>
      </c>
    </row>
    <row r="53" spans="1:58" s="16" customFormat="1">
      <c r="A53" s="899" t="s">
        <v>987</v>
      </c>
      <c r="B53" s="859">
        <f>+'CY-FUR (REG)- Detail'!C171</f>
        <v>23085000</v>
      </c>
      <c r="C53" s="859">
        <f>+'CY-FUR (REG)- Detail'!D171</f>
        <v>12547000</v>
      </c>
      <c r="D53" s="859">
        <f>+'CY-FUR (REG)- Detail'!E171</f>
        <v>0</v>
      </c>
      <c r="E53" s="859">
        <f t="shared" si="0"/>
        <v>35632000</v>
      </c>
      <c r="F53" s="859">
        <f>+'CY-FUR (REG)- Detail'!G171</f>
        <v>0</v>
      </c>
      <c r="G53" s="859">
        <f>+'CY-FUR (REG)- Detail'!H171</f>
        <v>0</v>
      </c>
      <c r="H53" s="859">
        <f>+'CY-FUR (REG)- Detail'!I171</f>
        <v>0</v>
      </c>
      <c r="I53" s="859">
        <f t="shared" si="154"/>
        <v>0</v>
      </c>
      <c r="J53" s="859">
        <f t="shared" si="155"/>
        <v>23085000</v>
      </c>
      <c r="K53" s="859">
        <f t="shared" si="156"/>
        <v>12547000</v>
      </c>
      <c r="L53" s="859">
        <f t="shared" si="157"/>
        <v>0</v>
      </c>
      <c r="M53" s="859">
        <f t="shared" si="158"/>
        <v>35632000</v>
      </c>
      <c r="N53" s="859">
        <f>+'CY-FUR (REG)- Detail'!O171</f>
        <v>23085000</v>
      </c>
      <c r="O53" s="859">
        <f>+'CY-FUR (REG)- Detail'!P171</f>
        <v>12547000</v>
      </c>
      <c r="P53" s="859">
        <f>+'CY-FUR (REG)- Detail'!Q171</f>
        <v>0</v>
      </c>
      <c r="Q53" s="859">
        <f t="shared" si="6"/>
        <v>35632000</v>
      </c>
      <c r="R53" s="859">
        <f>+'CY-FUR (REG)- Detail'!S171</f>
        <v>0</v>
      </c>
      <c r="S53" s="859">
        <f>+'CY-FUR (REG)- Detail'!T171</f>
        <v>0</v>
      </c>
      <c r="T53" s="859">
        <f>+'CY-FUR (REG)- Detail'!U171</f>
        <v>0</v>
      </c>
      <c r="U53" s="859">
        <f t="shared" si="159"/>
        <v>0</v>
      </c>
      <c r="V53" s="859">
        <f>+'CY-FUR (REG)- Detail'!W171</f>
        <v>0</v>
      </c>
      <c r="W53" s="859">
        <f>+'CY-FUR (REG)- Detail'!X171</f>
        <v>6258300</v>
      </c>
      <c r="X53" s="859">
        <f>+'CY-FUR (REG)- Detail'!Y171</f>
        <v>5000000</v>
      </c>
      <c r="Y53" s="859">
        <f t="shared" si="7"/>
        <v>11258300</v>
      </c>
      <c r="Z53" s="859">
        <f t="shared" si="160"/>
        <v>23085000</v>
      </c>
      <c r="AA53" s="859">
        <f t="shared" si="161"/>
        <v>18805300</v>
      </c>
      <c r="AB53" s="859">
        <f t="shared" si="162"/>
        <v>5000000</v>
      </c>
      <c r="AC53" s="859">
        <f t="shared" si="11"/>
        <v>46890300</v>
      </c>
      <c r="AD53" s="859">
        <f>+'CY-FUR (REG)- Detail'!AE171</f>
        <v>20948260.780000001</v>
      </c>
      <c r="AE53" s="859">
        <f>+'CY-FUR (REG)- Detail'!AF171</f>
        <v>10712171.359999999</v>
      </c>
      <c r="AF53" s="859">
        <f>+'CY-FUR (REG)- Detail'!AG171</f>
        <v>0</v>
      </c>
      <c r="AG53" s="859">
        <f t="shared" si="163"/>
        <v>31660432.140000001</v>
      </c>
      <c r="AH53" s="859">
        <f>+'CY-FUR (REG)- Detail'!AI171</f>
        <v>0</v>
      </c>
      <c r="AI53" s="859">
        <f>+'CY-FUR (REG)- Detail'!AJ171</f>
        <v>3225480.5900000003</v>
      </c>
      <c r="AJ53" s="859">
        <f>+'CY-FUR (REG)- Detail'!AK171</f>
        <v>4890785.22</v>
      </c>
      <c r="AK53" s="859">
        <f t="shared" si="164"/>
        <v>8116265.8100000005</v>
      </c>
      <c r="AL53" s="859">
        <f t="shared" si="165"/>
        <v>20948260.780000001</v>
      </c>
      <c r="AM53" s="859">
        <f t="shared" si="166"/>
        <v>13937651.949999999</v>
      </c>
      <c r="AN53" s="859">
        <f t="shared" si="167"/>
        <v>4890785.22</v>
      </c>
      <c r="AO53" s="859">
        <f t="shared" si="15"/>
        <v>39776697.950000003</v>
      </c>
      <c r="AP53" s="859">
        <f t="shared" si="24"/>
        <v>2136739.2199999988</v>
      </c>
      <c r="AQ53" s="859">
        <f t="shared" si="25"/>
        <v>4867648.0500000007</v>
      </c>
      <c r="AR53" s="859">
        <f t="shared" si="26"/>
        <v>109214.78000000026</v>
      </c>
      <c r="AS53" s="859">
        <f t="shared" si="19"/>
        <v>7113602.0499999998</v>
      </c>
      <c r="AT53" s="1143">
        <f t="shared" si="27"/>
        <v>0.90744036300628117</v>
      </c>
      <c r="AU53" s="1143">
        <f t="shared" si="28"/>
        <v>0.74115552264521167</v>
      </c>
      <c r="AV53" s="1143">
        <f t="shared" si="29"/>
        <v>0.97815704399999992</v>
      </c>
      <c r="AW53" s="1143">
        <f t="shared" si="30"/>
        <v>0.84829267353802396</v>
      </c>
      <c r="AX53" s="22">
        <f t="shared" si="31"/>
        <v>0</v>
      </c>
      <c r="AY53" s="22">
        <f t="shared" si="32"/>
        <v>0</v>
      </c>
      <c r="AZ53" s="22">
        <f t="shared" si="33"/>
        <v>0</v>
      </c>
      <c r="BA53" s="22">
        <f t="shared" si="34"/>
        <v>0</v>
      </c>
      <c r="BF53" s="824">
        <f t="shared" si="35"/>
        <v>1834828.6400000006</v>
      </c>
    </row>
    <row r="54" spans="1:58">
      <c r="A54" s="592"/>
      <c r="B54" s="862"/>
      <c r="C54" s="862"/>
      <c r="D54" s="862"/>
      <c r="E54" s="863">
        <f t="shared" si="0"/>
        <v>0</v>
      </c>
      <c r="F54" s="862"/>
      <c r="G54" s="862"/>
      <c r="H54" s="862"/>
      <c r="I54" s="863"/>
      <c r="J54" s="862">
        <f t="shared" ref="J54:L105" si="168">+B54+F54</f>
        <v>0</v>
      </c>
      <c r="K54" s="862">
        <f t="shared" si="168"/>
        <v>0</v>
      </c>
      <c r="L54" s="862">
        <f t="shared" si="168"/>
        <v>0</v>
      </c>
      <c r="M54" s="863">
        <f t="shared" ref="M54:M105" si="169">SUM(J54:L54)</f>
        <v>0</v>
      </c>
      <c r="N54" s="862"/>
      <c r="O54" s="862"/>
      <c r="P54" s="862"/>
      <c r="Q54" s="863">
        <f t="shared" si="6"/>
        <v>0</v>
      </c>
      <c r="R54" s="862"/>
      <c r="S54" s="862"/>
      <c r="T54" s="862"/>
      <c r="U54" s="863"/>
      <c r="V54" s="862"/>
      <c r="W54" s="862"/>
      <c r="X54" s="862"/>
      <c r="Y54" s="863">
        <f t="shared" si="7"/>
        <v>0</v>
      </c>
      <c r="Z54" s="863"/>
      <c r="AA54" s="863"/>
      <c r="AB54" s="863"/>
      <c r="AC54" s="863">
        <f t="shared" si="11"/>
        <v>0</v>
      </c>
      <c r="AD54" s="862"/>
      <c r="AE54" s="862"/>
      <c r="AF54" s="862"/>
      <c r="AG54" s="863">
        <f t="shared" si="36"/>
        <v>0</v>
      </c>
      <c r="AH54" s="862"/>
      <c r="AI54" s="862"/>
      <c r="AJ54" s="862"/>
      <c r="AK54" s="863">
        <f t="shared" si="37"/>
        <v>0</v>
      </c>
      <c r="AL54" s="863"/>
      <c r="AM54" s="863"/>
      <c r="AN54" s="863"/>
      <c r="AO54" s="863">
        <f t="shared" si="15"/>
        <v>0</v>
      </c>
      <c r="AP54" s="863">
        <f t="shared" si="24"/>
        <v>0</v>
      </c>
      <c r="AQ54" s="863">
        <f t="shared" si="25"/>
        <v>0</v>
      </c>
      <c r="AR54" s="863">
        <f t="shared" si="26"/>
        <v>0</v>
      </c>
      <c r="AS54" s="863">
        <f t="shared" si="19"/>
        <v>0</v>
      </c>
      <c r="AT54" s="1143" t="str">
        <f t="shared" si="27"/>
        <v xml:space="preserve"> </v>
      </c>
      <c r="AU54" s="1143" t="str">
        <f t="shared" si="28"/>
        <v xml:space="preserve"> </v>
      </c>
      <c r="AV54" s="1143" t="str">
        <f t="shared" si="29"/>
        <v xml:space="preserve"> </v>
      </c>
      <c r="AW54" s="1143" t="str">
        <f t="shared" si="30"/>
        <v xml:space="preserve"> </v>
      </c>
      <c r="AX54" s="22">
        <f t="shared" si="31"/>
        <v>0</v>
      </c>
      <c r="AY54" s="22">
        <f t="shared" si="32"/>
        <v>0</v>
      </c>
      <c r="AZ54" s="22">
        <f t="shared" si="33"/>
        <v>0</v>
      </c>
      <c r="BA54" s="22">
        <f t="shared" si="34"/>
        <v>0</v>
      </c>
      <c r="BF54" s="824">
        <f t="shared" si="35"/>
        <v>0</v>
      </c>
    </row>
    <row r="55" spans="1:58" s="1149" customFormat="1" ht="16.5">
      <c r="A55" s="1146" t="s">
        <v>440</v>
      </c>
      <c r="B55" s="1147">
        <f>+B56+B63+B69+B76</f>
        <v>1526094000</v>
      </c>
      <c r="C55" s="1147">
        <f t="shared" ref="C55:AN55" si="170">+C56+C63+C69+C76</f>
        <v>1069039000</v>
      </c>
      <c r="D55" s="1147">
        <f t="shared" si="170"/>
        <v>0</v>
      </c>
      <c r="E55" s="1147">
        <f t="shared" si="0"/>
        <v>2595133000</v>
      </c>
      <c r="F55" s="1147">
        <f t="shared" si="170"/>
        <v>0</v>
      </c>
      <c r="G55" s="1147">
        <f t="shared" si="170"/>
        <v>0</v>
      </c>
      <c r="H55" s="1147">
        <f t="shared" si="170"/>
        <v>0</v>
      </c>
      <c r="I55" s="1147">
        <f t="shared" si="170"/>
        <v>0</v>
      </c>
      <c r="J55" s="1147">
        <f t="shared" si="170"/>
        <v>1526094000</v>
      </c>
      <c r="K55" s="1147">
        <f t="shared" si="170"/>
        <v>1069039000</v>
      </c>
      <c r="L55" s="1147">
        <f t="shared" si="170"/>
        <v>0</v>
      </c>
      <c r="M55" s="1147">
        <f t="shared" si="170"/>
        <v>2595133000</v>
      </c>
      <c r="N55" s="1147">
        <f t="shared" si="170"/>
        <v>1526094000</v>
      </c>
      <c r="O55" s="1147">
        <f t="shared" si="170"/>
        <v>1069039000</v>
      </c>
      <c r="P55" s="1147">
        <f t="shared" si="170"/>
        <v>0</v>
      </c>
      <c r="Q55" s="1147">
        <f t="shared" si="6"/>
        <v>2595133000</v>
      </c>
      <c r="R55" s="1147">
        <f t="shared" si="170"/>
        <v>0</v>
      </c>
      <c r="S55" s="1147">
        <f t="shared" si="170"/>
        <v>0</v>
      </c>
      <c r="T55" s="1147">
        <f t="shared" si="170"/>
        <v>0</v>
      </c>
      <c r="U55" s="1147">
        <f t="shared" si="170"/>
        <v>0</v>
      </c>
      <c r="V55" s="1147">
        <f t="shared" si="170"/>
        <v>827006</v>
      </c>
      <c r="W55" s="1147">
        <f t="shared" si="170"/>
        <v>793774307</v>
      </c>
      <c r="X55" s="1147">
        <f t="shared" si="170"/>
        <v>1102560729</v>
      </c>
      <c r="Y55" s="1147">
        <f t="shared" si="7"/>
        <v>1897162042</v>
      </c>
      <c r="Z55" s="1147">
        <f t="shared" si="170"/>
        <v>1526921006</v>
      </c>
      <c r="AA55" s="1147">
        <f t="shared" si="170"/>
        <v>1862813307</v>
      </c>
      <c r="AB55" s="1147">
        <f t="shared" si="170"/>
        <v>1102560729</v>
      </c>
      <c r="AC55" s="1147">
        <f t="shared" si="11"/>
        <v>4492295042</v>
      </c>
      <c r="AD55" s="1147">
        <f t="shared" si="170"/>
        <v>1373045383.28</v>
      </c>
      <c r="AE55" s="1147">
        <f t="shared" si="170"/>
        <v>821686399.06999993</v>
      </c>
      <c r="AF55" s="1147">
        <f t="shared" si="170"/>
        <v>0</v>
      </c>
      <c r="AG55" s="1147">
        <f t="shared" si="170"/>
        <v>2194731782.3499999</v>
      </c>
      <c r="AH55" s="1147">
        <f t="shared" si="170"/>
        <v>763888.76999999979</v>
      </c>
      <c r="AI55" s="1147">
        <f t="shared" si="170"/>
        <v>631458971.04999995</v>
      </c>
      <c r="AJ55" s="1147">
        <f t="shared" si="170"/>
        <v>1072210380.1300001</v>
      </c>
      <c r="AK55" s="1147">
        <f t="shared" si="170"/>
        <v>1704433239.9499998</v>
      </c>
      <c r="AL55" s="1147">
        <f t="shared" si="170"/>
        <v>1373809272.05</v>
      </c>
      <c r="AM55" s="1147">
        <f t="shared" si="170"/>
        <v>1453145370.1199999</v>
      </c>
      <c r="AN55" s="1147">
        <f t="shared" si="170"/>
        <v>1072210380.1300001</v>
      </c>
      <c r="AO55" s="1147">
        <f t="shared" si="15"/>
        <v>3899165022.3000002</v>
      </c>
      <c r="AP55" s="1147">
        <f t="shared" si="24"/>
        <v>153111733.95000005</v>
      </c>
      <c r="AQ55" s="1147">
        <f t="shared" si="25"/>
        <v>409667936.88000011</v>
      </c>
      <c r="AR55" s="1147">
        <f t="shared" si="26"/>
        <v>30350348.869999886</v>
      </c>
      <c r="AS55" s="1147">
        <f t="shared" si="19"/>
        <v>593130019.70000005</v>
      </c>
      <c r="AT55" s="1164">
        <f t="shared" si="27"/>
        <v>0.89972517677839847</v>
      </c>
      <c r="AU55" s="1164">
        <f t="shared" si="28"/>
        <v>0.78008105517575621</v>
      </c>
      <c r="AV55" s="1164">
        <f t="shared" si="29"/>
        <v>0.9724728551709555</v>
      </c>
      <c r="AW55" s="1164">
        <f t="shared" si="30"/>
        <v>0.86796726079773823</v>
      </c>
      <c r="AX55" s="1148">
        <f t="shared" si="31"/>
        <v>0</v>
      </c>
      <c r="AY55" s="1148">
        <f t="shared" si="32"/>
        <v>0</v>
      </c>
      <c r="AZ55" s="1148">
        <f t="shared" si="33"/>
        <v>0</v>
      </c>
      <c r="BA55" s="1148">
        <f t="shared" si="34"/>
        <v>0</v>
      </c>
      <c r="BF55" s="824">
        <f t="shared" si="35"/>
        <v>247352600.93000007</v>
      </c>
    </row>
    <row r="56" spans="1:58" s="609" customFormat="1" ht="16.5">
      <c r="A56" s="1153" t="s">
        <v>115</v>
      </c>
      <c r="B56" s="1151">
        <f>SUM(B57:B61)</f>
        <v>336145000</v>
      </c>
      <c r="C56" s="1151">
        <f>SUM(C57:C61)</f>
        <v>247569000</v>
      </c>
      <c r="D56" s="1151">
        <f t="shared" ref="D56:AN56" si="171">SUM(D57:D61)</f>
        <v>0</v>
      </c>
      <c r="E56" s="1151">
        <f t="shared" si="0"/>
        <v>583714000</v>
      </c>
      <c r="F56" s="1151">
        <f t="shared" si="171"/>
        <v>0</v>
      </c>
      <c r="G56" s="1151">
        <f t="shared" si="171"/>
        <v>0</v>
      </c>
      <c r="H56" s="1151">
        <f t="shared" si="171"/>
        <v>0</v>
      </c>
      <c r="I56" s="1151">
        <f t="shared" si="171"/>
        <v>0</v>
      </c>
      <c r="J56" s="1151">
        <f t="shared" si="171"/>
        <v>336145000</v>
      </c>
      <c r="K56" s="1151">
        <f t="shared" si="171"/>
        <v>247569000</v>
      </c>
      <c r="L56" s="1151">
        <f t="shared" si="171"/>
        <v>0</v>
      </c>
      <c r="M56" s="1151">
        <f t="shared" si="171"/>
        <v>583714000</v>
      </c>
      <c r="N56" s="1151">
        <f t="shared" si="171"/>
        <v>336145000</v>
      </c>
      <c r="O56" s="1151">
        <f t="shared" si="171"/>
        <v>247569000</v>
      </c>
      <c r="P56" s="1151">
        <f t="shared" si="171"/>
        <v>0</v>
      </c>
      <c r="Q56" s="1151">
        <f t="shared" si="6"/>
        <v>583714000</v>
      </c>
      <c r="R56" s="1151">
        <f t="shared" si="171"/>
        <v>0</v>
      </c>
      <c r="S56" s="1151">
        <f t="shared" si="171"/>
        <v>0</v>
      </c>
      <c r="T56" s="1151">
        <f t="shared" si="171"/>
        <v>0</v>
      </c>
      <c r="U56" s="1151">
        <f t="shared" si="171"/>
        <v>0</v>
      </c>
      <c r="V56" s="1151">
        <f t="shared" si="171"/>
        <v>0</v>
      </c>
      <c r="W56" s="1151">
        <f t="shared" si="171"/>
        <v>152669232</v>
      </c>
      <c r="X56" s="1151">
        <f t="shared" si="171"/>
        <v>64550000</v>
      </c>
      <c r="Y56" s="1151">
        <f t="shared" si="7"/>
        <v>217219232</v>
      </c>
      <c r="Z56" s="1151">
        <f t="shared" si="171"/>
        <v>336145000</v>
      </c>
      <c r="AA56" s="1151">
        <f t="shared" si="171"/>
        <v>400238232</v>
      </c>
      <c r="AB56" s="1151">
        <f t="shared" si="171"/>
        <v>64550000</v>
      </c>
      <c r="AC56" s="1151">
        <f t="shared" si="11"/>
        <v>800933232</v>
      </c>
      <c r="AD56" s="1151">
        <f t="shared" si="171"/>
        <v>311023533.09999996</v>
      </c>
      <c r="AE56" s="1151">
        <f t="shared" si="171"/>
        <v>225438953.56000006</v>
      </c>
      <c r="AF56" s="1151">
        <f t="shared" si="171"/>
        <v>0</v>
      </c>
      <c r="AG56" s="1151">
        <f t="shared" si="171"/>
        <v>536462486.66000003</v>
      </c>
      <c r="AH56" s="1151">
        <f t="shared" si="171"/>
        <v>0</v>
      </c>
      <c r="AI56" s="1151">
        <f t="shared" si="171"/>
        <v>135713638.26999998</v>
      </c>
      <c r="AJ56" s="1151">
        <f t="shared" si="171"/>
        <v>59739805.579999998</v>
      </c>
      <c r="AK56" s="1151">
        <f t="shared" si="171"/>
        <v>195453443.84999996</v>
      </c>
      <c r="AL56" s="1151">
        <f t="shared" si="171"/>
        <v>311023533.09999996</v>
      </c>
      <c r="AM56" s="1151">
        <f t="shared" si="171"/>
        <v>361152591.82999998</v>
      </c>
      <c r="AN56" s="1151">
        <f t="shared" si="171"/>
        <v>59739805.579999998</v>
      </c>
      <c r="AO56" s="1151">
        <f t="shared" si="15"/>
        <v>731915930.50999999</v>
      </c>
      <c r="AP56" s="1151">
        <f t="shared" si="24"/>
        <v>25121466.900000036</v>
      </c>
      <c r="AQ56" s="1151">
        <f t="shared" si="25"/>
        <v>39085640.170000017</v>
      </c>
      <c r="AR56" s="1151">
        <f t="shared" si="26"/>
        <v>4810194.4200000018</v>
      </c>
      <c r="AS56" s="1151">
        <f t="shared" si="19"/>
        <v>69017301.490000054</v>
      </c>
      <c r="AT56" s="1165">
        <f t="shared" si="27"/>
        <v>0.92526598075235378</v>
      </c>
      <c r="AU56" s="1165">
        <f t="shared" si="28"/>
        <v>0.90234406149885249</v>
      </c>
      <c r="AV56" s="1165">
        <f t="shared" si="29"/>
        <v>0.92548110890782331</v>
      </c>
      <c r="AW56" s="1165">
        <f t="shared" si="30"/>
        <v>0.91382889517811894</v>
      </c>
      <c r="AX56" s="1152">
        <f t="shared" si="31"/>
        <v>0</v>
      </c>
      <c r="AY56" s="1152">
        <f t="shared" si="32"/>
        <v>0</v>
      </c>
      <c r="AZ56" s="1152">
        <f t="shared" si="33"/>
        <v>0</v>
      </c>
      <c r="BA56" s="1152">
        <f t="shared" si="34"/>
        <v>0</v>
      </c>
      <c r="BB56" s="1132">
        <f>+AS56-'CY (ALL FUNDS)'!Q221</f>
        <v>0</v>
      </c>
      <c r="BF56" s="824">
        <f t="shared" si="35"/>
        <v>22130046.439999938</v>
      </c>
    </row>
    <row r="57" spans="1:58" s="16" customFormat="1">
      <c r="A57" s="899" t="s">
        <v>988</v>
      </c>
      <c r="B57" s="859">
        <f>SUM('CY-FUR (REG)- Detail'!C119:C121)</f>
        <v>51923000</v>
      </c>
      <c r="C57" s="859">
        <f>SUM('CY-FUR (REG)- Detail'!D119:D121)</f>
        <v>117949000</v>
      </c>
      <c r="D57" s="859">
        <f>SUM('CY-FUR (REG)- Detail'!E119:E121)</f>
        <v>0</v>
      </c>
      <c r="E57" s="859">
        <f t="shared" si="0"/>
        <v>169872000</v>
      </c>
      <c r="F57" s="859">
        <f>SUM('CY-FUR (REG)- Detail'!G119:G121)</f>
        <v>0</v>
      </c>
      <c r="G57" s="859">
        <f>SUM('CY-FUR (REG)- Detail'!H119:H121)</f>
        <v>0</v>
      </c>
      <c r="H57" s="859">
        <f>SUM('CY-FUR (REG)- Detail'!I119:I121)</f>
        <v>0</v>
      </c>
      <c r="I57" s="859">
        <f>SUM('CY-FUR (REG)- Detail'!J119:J121)</f>
        <v>0</v>
      </c>
      <c r="J57" s="859">
        <f>SUM('CY-FUR (REG)- Detail'!K119:K121)</f>
        <v>51923000</v>
      </c>
      <c r="K57" s="859">
        <f>SUM('CY-FUR (REG)- Detail'!L119:L121)</f>
        <v>117949000</v>
      </c>
      <c r="L57" s="859">
        <f>SUM('CY-FUR (REG)- Detail'!M119:M121)</f>
        <v>0</v>
      </c>
      <c r="M57" s="859">
        <f>SUM('CY-FUR (REG)- Detail'!N119:N121)</f>
        <v>169872000</v>
      </c>
      <c r="N57" s="859">
        <f>SUM('CY-FUR (REG)- Detail'!O119:O121)</f>
        <v>51923000</v>
      </c>
      <c r="O57" s="859">
        <f>SUM('CY-FUR (REG)- Detail'!P119:P121)</f>
        <v>117949000</v>
      </c>
      <c r="P57" s="859">
        <f>SUM('CY-FUR (REG)- Detail'!Q119:Q121)</f>
        <v>0</v>
      </c>
      <c r="Q57" s="859">
        <f t="shared" si="6"/>
        <v>169872000</v>
      </c>
      <c r="R57" s="859">
        <f>SUM('CY-FUR (REG)- Detail'!S119:S121)</f>
        <v>0</v>
      </c>
      <c r="S57" s="859">
        <f>SUM('CY-FUR (REG)- Detail'!T119:T121)</f>
        <v>0</v>
      </c>
      <c r="T57" s="859">
        <f>SUM('CY-FUR (REG)- Detail'!U119:U121)</f>
        <v>0</v>
      </c>
      <c r="U57" s="859">
        <f>SUM('CY-FUR (REG)- Detail'!V119:V121)</f>
        <v>0</v>
      </c>
      <c r="V57" s="859">
        <f>SUM('CY-FUR (REG)- Detail'!W119:W121)</f>
        <v>0</v>
      </c>
      <c r="W57" s="859">
        <f>SUM('CY-FUR (REG)- Detail'!X119:X121)</f>
        <v>109923232</v>
      </c>
      <c r="X57" s="859">
        <f>SUM('CY-FUR (REG)- Detail'!Y119:Y121)</f>
        <v>35750000</v>
      </c>
      <c r="Y57" s="859">
        <f t="shared" si="7"/>
        <v>145673232</v>
      </c>
      <c r="Z57" s="859">
        <f>SUM('CY-FUR (REG)- Detail'!AA119:AA121)</f>
        <v>51923000</v>
      </c>
      <c r="AA57" s="859">
        <f>SUM('CY-FUR (REG)- Detail'!AB119:AB121)</f>
        <v>227872232</v>
      </c>
      <c r="AB57" s="859">
        <f>SUM('CY-FUR (REG)- Detail'!AC119:AC121)</f>
        <v>35750000</v>
      </c>
      <c r="AC57" s="859">
        <f t="shared" si="11"/>
        <v>315545232</v>
      </c>
      <c r="AD57" s="859">
        <f>SUM('CY-FUR (REG)- Detail'!AE119:AE121)</f>
        <v>47682582.600000001</v>
      </c>
      <c r="AE57" s="859">
        <f>SUM('CY-FUR (REG)- Detail'!AF119:AF121)</f>
        <v>104082131.29000002</v>
      </c>
      <c r="AF57" s="859">
        <f>SUM('CY-FUR (REG)- Detail'!AG119:AG121)</f>
        <v>0</v>
      </c>
      <c r="AG57" s="859">
        <f>SUM('CY-FUR (REG)- Detail'!AH119:AH121)</f>
        <v>151764713.89000002</v>
      </c>
      <c r="AH57" s="859">
        <f>SUM('CY-FUR (REG)- Detail'!AI119:AI121)</f>
        <v>0</v>
      </c>
      <c r="AI57" s="859">
        <f>SUM('CY-FUR (REG)- Detail'!AJ119:AJ121)</f>
        <v>97804242.659999996</v>
      </c>
      <c r="AJ57" s="859">
        <f>SUM('CY-FUR (REG)- Detail'!AK119:AK121)</f>
        <v>32069235.32</v>
      </c>
      <c r="AK57" s="859">
        <f>SUM('CY-FUR (REG)- Detail'!AL119:AL121)</f>
        <v>129873477.97999999</v>
      </c>
      <c r="AL57" s="859">
        <f>SUM('CY-FUR (REG)- Detail'!AM119:AM121)</f>
        <v>47682582.600000001</v>
      </c>
      <c r="AM57" s="859">
        <f>SUM('CY-FUR (REG)- Detail'!AN119:AN121)</f>
        <v>201886373.94999999</v>
      </c>
      <c r="AN57" s="859">
        <f>SUM('CY-FUR (REG)- Detail'!AO119:AO121)</f>
        <v>32069235.32</v>
      </c>
      <c r="AO57" s="859">
        <f t="shared" si="15"/>
        <v>281638191.87</v>
      </c>
      <c r="AP57" s="859">
        <f t="shared" si="24"/>
        <v>4240417.3999999985</v>
      </c>
      <c r="AQ57" s="859">
        <f t="shared" si="25"/>
        <v>25985858.050000012</v>
      </c>
      <c r="AR57" s="859">
        <f t="shared" si="26"/>
        <v>3680764.6799999997</v>
      </c>
      <c r="AS57" s="859">
        <f t="shared" si="19"/>
        <v>33907040.13000001</v>
      </c>
      <c r="AT57" s="1143">
        <f t="shared" si="27"/>
        <v>0.91833258093715697</v>
      </c>
      <c r="AU57" s="1143">
        <f t="shared" si="28"/>
        <v>0.88596303366177587</v>
      </c>
      <c r="AV57" s="1143">
        <f t="shared" si="29"/>
        <v>0.89704154741258746</v>
      </c>
      <c r="AW57" s="1143">
        <f t="shared" si="30"/>
        <v>0.89254459680759812</v>
      </c>
      <c r="AX57" s="22">
        <f t="shared" si="31"/>
        <v>0</v>
      </c>
      <c r="AY57" s="22">
        <f t="shared" si="32"/>
        <v>0</v>
      </c>
      <c r="AZ57" s="22">
        <f t="shared" si="33"/>
        <v>0</v>
      </c>
      <c r="BA57" s="22">
        <f t="shared" si="34"/>
        <v>0</v>
      </c>
      <c r="BF57" s="824">
        <f t="shared" si="35"/>
        <v>13866868.709999979</v>
      </c>
    </row>
    <row r="58" spans="1:58" s="16" customFormat="1">
      <c r="A58" s="899" t="s">
        <v>989</v>
      </c>
      <c r="B58" s="859">
        <f>+'CY-FUR (REG)- Detail'!C123</f>
        <v>229323000</v>
      </c>
      <c r="C58" s="859">
        <f>+'CY-FUR (REG)- Detail'!D123</f>
        <v>97777000</v>
      </c>
      <c r="D58" s="859">
        <f>+'CY-FUR (REG)- Detail'!E123</f>
        <v>0</v>
      </c>
      <c r="E58" s="859">
        <f t="shared" si="0"/>
        <v>327100000</v>
      </c>
      <c r="F58" s="859">
        <f>+'CY-FUR (REG)- Detail'!G123</f>
        <v>0</v>
      </c>
      <c r="G58" s="859">
        <f>+'CY-FUR (REG)- Detail'!H123</f>
        <v>0</v>
      </c>
      <c r="H58" s="859">
        <f>+'CY-FUR (REG)- Detail'!I123</f>
        <v>0</v>
      </c>
      <c r="I58" s="859">
        <f t="shared" ref="I58" si="172">SUM(F58:H58)</f>
        <v>0</v>
      </c>
      <c r="J58" s="859">
        <f t="shared" ref="J58" si="173">+B58+F58</f>
        <v>229323000</v>
      </c>
      <c r="K58" s="859">
        <f t="shared" ref="K58" si="174">+C58+G58</f>
        <v>97777000</v>
      </c>
      <c r="L58" s="859">
        <f t="shared" ref="L58" si="175">+D58+H58</f>
        <v>0</v>
      </c>
      <c r="M58" s="859">
        <f t="shared" ref="M58" si="176">SUM(J58:L58)</f>
        <v>327100000</v>
      </c>
      <c r="N58" s="859">
        <f>+'CY-FUR (REG)- Detail'!O123</f>
        <v>229323000</v>
      </c>
      <c r="O58" s="859">
        <f>+'CY-FUR (REG)- Detail'!P123</f>
        <v>97777000</v>
      </c>
      <c r="P58" s="859">
        <f>+'CY-FUR (REG)- Detail'!Q123</f>
        <v>0</v>
      </c>
      <c r="Q58" s="859">
        <f t="shared" si="6"/>
        <v>327100000</v>
      </c>
      <c r="R58" s="859">
        <f>+'CY-FUR (REG)- Detail'!S123</f>
        <v>0</v>
      </c>
      <c r="S58" s="859">
        <f>+'CY-FUR (REG)- Detail'!T123</f>
        <v>0</v>
      </c>
      <c r="T58" s="859">
        <f>+'CY-FUR (REG)- Detail'!U123</f>
        <v>0</v>
      </c>
      <c r="U58" s="859">
        <f t="shared" ref="U58" si="177">SUM(R58:T58)</f>
        <v>0</v>
      </c>
      <c r="V58" s="859">
        <f>+'CY-FUR (REG)- Detail'!W123</f>
        <v>0</v>
      </c>
      <c r="W58" s="859">
        <f>+'CY-FUR (REG)- Detail'!X123</f>
        <v>35560000</v>
      </c>
      <c r="X58" s="859">
        <f>+'CY-FUR (REG)- Detail'!Y123</f>
        <v>28800000</v>
      </c>
      <c r="Y58" s="859">
        <f t="shared" si="7"/>
        <v>64360000</v>
      </c>
      <c r="Z58" s="859">
        <f t="shared" ref="Z58" si="178">+N58+V58+R58</f>
        <v>229323000</v>
      </c>
      <c r="AA58" s="859">
        <f t="shared" ref="AA58" si="179">+O58+W58+S58</f>
        <v>133337000</v>
      </c>
      <c r="AB58" s="859">
        <f t="shared" ref="AB58" si="180">+P58+X58+T58</f>
        <v>28800000</v>
      </c>
      <c r="AC58" s="859">
        <f t="shared" si="11"/>
        <v>391460000</v>
      </c>
      <c r="AD58" s="859">
        <f>+'CY-FUR (REG)- Detail'!AE123</f>
        <v>213359977.38</v>
      </c>
      <c r="AE58" s="859">
        <f>+'CY-FUR (REG)- Detail'!AF123</f>
        <v>91943587.220000014</v>
      </c>
      <c r="AF58" s="859">
        <f>+'CY-FUR (REG)- Detail'!AG123</f>
        <v>0</v>
      </c>
      <c r="AG58" s="859">
        <f t="shared" ref="AG58" si="181">SUM(AD58:AF58)</f>
        <v>305303564.60000002</v>
      </c>
      <c r="AH58" s="859">
        <f>+'CY-FUR (REG)- Detail'!AI123</f>
        <v>0</v>
      </c>
      <c r="AI58" s="859">
        <f>+'CY-FUR (REG)- Detail'!AJ123</f>
        <v>32227452.66</v>
      </c>
      <c r="AJ58" s="859">
        <f>+'CY-FUR (REG)- Detail'!AK123</f>
        <v>27670570.260000002</v>
      </c>
      <c r="AK58" s="859">
        <f t="shared" ref="AK58" si="182">SUM(AH58:AJ58)</f>
        <v>59898022.920000002</v>
      </c>
      <c r="AL58" s="859">
        <f t="shared" ref="AL58" si="183">+AH58+AD58</f>
        <v>213359977.38</v>
      </c>
      <c r="AM58" s="859">
        <f t="shared" ref="AM58" si="184">+AI58+AE58</f>
        <v>124171039.88000001</v>
      </c>
      <c r="AN58" s="859">
        <f t="shared" ref="AN58" si="185">+AJ58+AF58</f>
        <v>27670570.260000002</v>
      </c>
      <c r="AO58" s="859">
        <f t="shared" si="15"/>
        <v>365201587.51999998</v>
      </c>
      <c r="AP58" s="859">
        <f t="shared" si="24"/>
        <v>15963022.620000005</v>
      </c>
      <c r="AQ58" s="859">
        <f t="shared" si="25"/>
        <v>9165960.1199999899</v>
      </c>
      <c r="AR58" s="859">
        <f t="shared" si="26"/>
        <v>1129429.7399999984</v>
      </c>
      <c r="AS58" s="859">
        <f t="shared" si="19"/>
        <v>26258412.479999993</v>
      </c>
      <c r="AT58" s="1143">
        <f t="shared" si="27"/>
        <v>0.93039066024777273</v>
      </c>
      <c r="AU58" s="1143">
        <f t="shared" si="28"/>
        <v>0.93125718952728809</v>
      </c>
      <c r="AV58" s="1143">
        <f t="shared" si="29"/>
        <v>0.96078368958333338</v>
      </c>
      <c r="AW58" s="1143">
        <f t="shared" si="30"/>
        <v>0.93292185030399011</v>
      </c>
      <c r="AX58" s="22">
        <f t="shared" si="31"/>
        <v>0</v>
      </c>
      <c r="AY58" s="22">
        <f t="shared" si="32"/>
        <v>0</v>
      </c>
      <c r="AZ58" s="22">
        <f t="shared" si="33"/>
        <v>0</v>
      </c>
      <c r="BA58" s="22">
        <f t="shared" si="34"/>
        <v>0</v>
      </c>
      <c r="BF58" s="824">
        <f t="shared" si="35"/>
        <v>5833412.7799999863</v>
      </c>
    </row>
    <row r="59" spans="1:58" s="16" customFormat="1">
      <c r="A59" s="899" t="s">
        <v>990</v>
      </c>
      <c r="B59" s="859">
        <f>+'CY-FUR (REG)- Detail'!C124</f>
        <v>26754000</v>
      </c>
      <c r="C59" s="859">
        <f>+'CY-FUR (REG)- Detail'!D124</f>
        <v>16686000</v>
      </c>
      <c r="D59" s="859">
        <f>+'CY-FUR (REG)- Detail'!E124</f>
        <v>0</v>
      </c>
      <c r="E59" s="859">
        <f t="shared" si="0"/>
        <v>43440000</v>
      </c>
      <c r="F59" s="859">
        <f>+'CY-FUR (REG)- Detail'!G124</f>
        <v>0</v>
      </c>
      <c r="G59" s="859">
        <f>+'CY-FUR (REG)- Detail'!H124</f>
        <v>0</v>
      </c>
      <c r="H59" s="859">
        <f>+'CY-FUR (REG)- Detail'!I124</f>
        <v>0</v>
      </c>
      <c r="I59" s="859">
        <f t="shared" ref="I59:I61" si="186">SUM(F59:H59)</f>
        <v>0</v>
      </c>
      <c r="J59" s="859">
        <f t="shared" ref="J59:J61" si="187">+B59+F59</f>
        <v>26754000</v>
      </c>
      <c r="K59" s="859">
        <f t="shared" ref="K59:K61" si="188">+C59+G59</f>
        <v>16686000</v>
      </c>
      <c r="L59" s="859">
        <f t="shared" ref="L59:L61" si="189">+D59+H59</f>
        <v>0</v>
      </c>
      <c r="M59" s="859">
        <f t="shared" ref="M59:M61" si="190">SUM(J59:L59)</f>
        <v>43440000</v>
      </c>
      <c r="N59" s="859">
        <f>+'CY-FUR (REG)- Detail'!O124</f>
        <v>26754000</v>
      </c>
      <c r="O59" s="859">
        <f>+'CY-FUR (REG)- Detail'!P124</f>
        <v>16686000</v>
      </c>
      <c r="P59" s="859">
        <f>+'CY-FUR (REG)- Detail'!Q124</f>
        <v>0</v>
      </c>
      <c r="Q59" s="859">
        <f t="shared" si="6"/>
        <v>43440000</v>
      </c>
      <c r="R59" s="859">
        <f>+'CY-FUR (REG)- Detail'!S124</f>
        <v>0</v>
      </c>
      <c r="S59" s="859">
        <f>+'CY-FUR (REG)- Detail'!T124</f>
        <v>0</v>
      </c>
      <c r="T59" s="859">
        <f>+'CY-FUR (REG)- Detail'!U124</f>
        <v>0</v>
      </c>
      <c r="U59" s="859">
        <f t="shared" ref="U59:U61" si="191">SUM(R59:T59)</f>
        <v>0</v>
      </c>
      <c r="V59" s="859">
        <f>+'CY-FUR (REG)- Detail'!W124</f>
        <v>0</v>
      </c>
      <c r="W59" s="859">
        <f>+'CY-FUR (REG)- Detail'!X124</f>
        <v>4190000</v>
      </c>
      <c r="X59" s="859">
        <f>+'CY-FUR (REG)- Detail'!Y124</f>
        <v>0</v>
      </c>
      <c r="Y59" s="859">
        <f t="shared" si="7"/>
        <v>4190000</v>
      </c>
      <c r="Z59" s="859">
        <f t="shared" ref="Z59:Z61" si="192">+N59+V59+R59</f>
        <v>26754000</v>
      </c>
      <c r="AA59" s="859">
        <f t="shared" ref="AA59:AA61" si="193">+O59+W59+S59</f>
        <v>20876000</v>
      </c>
      <c r="AB59" s="859">
        <f t="shared" ref="AB59:AB61" si="194">+P59+X59+T59</f>
        <v>0</v>
      </c>
      <c r="AC59" s="859">
        <f t="shared" si="11"/>
        <v>47630000</v>
      </c>
      <c r="AD59" s="859">
        <f>+'CY-FUR (REG)- Detail'!AE124</f>
        <v>25239304.550000001</v>
      </c>
      <c r="AE59" s="859">
        <f>+'CY-FUR (REG)- Detail'!AF124</f>
        <v>15745799.550000001</v>
      </c>
      <c r="AF59" s="859">
        <f>+'CY-FUR (REG)- Detail'!AG124</f>
        <v>0</v>
      </c>
      <c r="AG59" s="859">
        <f t="shared" ref="AG59:AG61" si="195">SUM(AD59:AF59)</f>
        <v>40985104.100000001</v>
      </c>
      <c r="AH59" s="859">
        <f>+'CY-FUR (REG)- Detail'!AI124</f>
        <v>0</v>
      </c>
      <c r="AI59" s="859">
        <f>+'CY-FUR (REG)- Detail'!AJ124</f>
        <v>3413817.95</v>
      </c>
      <c r="AJ59" s="859">
        <f>+'CY-FUR (REG)- Detail'!AK124</f>
        <v>0</v>
      </c>
      <c r="AK59" s="859">
        <f t="shared" ref="AK59:AK61" si="196">SUM(AH59:AJ59)</f>
        <v>3413817.95</v>
      </c>
      <c r="AL59" s="859">
        <f t="shared" ref="AL59:AL61" si="197">+AH59+AD59</f>
        <v>25239304.550000001</v>
      </c>
      <c r="AM59" s="859">
        <f t="shared" ref="AM59:AM61" si="198">+AI59+AE59</f>
        <v>19159617.5</v>
      </c>
      <c r="AN59" s="859">
        <f t="shared" ref="AN59:AN61" si="199">+AJ59+AF59</f>
        <v>0</v>
      </c>
      <c r="AO59" s="859">
        <f t="shared" si="15"/>
        <v>44398922.049999997</v>
      </c>
      <c r="AP59" s="859">
        <f t="shared" si="24"/>
        <v>1514695.4499999993</v>
      </c>
      <c r="AQ59" s="859">
        <f t="shared" si="25"/>
        <v>1716382.5</v>
      </c>
      <c r="AR59" s="859">
        <f t="shared" si="26"/>
        <v>0</v>
      </c>
      <c r="AS59" s="859">
        <f t="shared" si="19"/>
        <v>3231077.9499999993</v>
      </c>
      <c r="AT59" s="1143">
        <f t="shared" si="27"/>
        <v>0.94338433692158186</v>
      </c>
      <c r="AU59" s="1143">
        <f t="shared" si="28"/>
        <v>0.91778202241808771</v>
      </c>
      <c r="AV59" s="1143" t="str">
        <f t="shared" si="29"/>
        <v xml:space="preserve"> </v>
      </c>
      <c r="AW59" s="1143">
        <f t="shared" si="30"/>
        <v>0.93216296556791933</v>
      </c>
      <c r="AX59" s="22">
        <f t="shared" si="31"/>
        <v>0</v>
      </c>
      <c r="AY59" s="22">
        <f t="shared" si="32"/>
        <v>0</v>
      </c>
      <c r="AZ59" s="22">
        <f t="shared" si="33"/>
        <v>0</v>
      </c>
      <c r="BA59" s="22">
        <f t="shared" si="34"/>
        <v>0</v>
      </c>
      <c r="BF59" s="824">
        <f t="shared" si="35"/>
        <v>940200.44999999925</v>
      </c>
    </row>
    <row r="60" spans="1:58" s="16" customFormat="1">
      <c r="A60" s="899" t="s">
        <v>991</v>
      </c>
      <c r="B60" s="859">
        <f>+'CY-FUR (REG)- Detail'!C125</f>
        <v>11833000</v>
      </c>
      <c r="C60" s="859">
        <f>+'CY-FUR (REG)- Detail'!D125</f>
        <v>4695000</v>
      </c>
      <c r="D60" s="859">
        <f>+'CY-FUR (REG)- Detail'!E125</f>
        <v>0</v>
      </c>
      <c r="E60" s="859">
        <f t="shared" si="0"/>
        <v>16528000</v>
      </c>
      <c r="F60" s="859">
        <f>+'CY-FUR (REG)- Detail'!G125</f>
        <v>0</v>
      </c>
      <c r="G60" s="859">
        <f>+'CY-FUR (REG)- Detail'!H125</f>
        <v>0</v>
      </c>
      <c r="H60" s="859">
        <f>+'CY-FUR (REG)- Detail'!I125</f>
        <v>0</v>
      </c>
      <c r="I60" s="859">
        <f t="shared" si="186"/>
        <v>0</v>
      </c>
      <c r="J60" s="859">
        <f t="shared" si="187"/>
        <v>11833000</v>
      </c>
      <c r="K60" s="859">
        <f t="shared" si="188"/>
        <v>4695000</v>
      </c>
      <c r="L60" s="859">
        <f t="shared" si="189"/>
        <v>0</v>
      </c>
      <c r="M60" s="859">
        <f t="shared" si="190"/>
        <v>16528000</v>
      </c>
      <c r="N60" s="859">
        <f>+'CY-FUR (REG)- Detail'!O125</f>
        <v>11833000</v>
      </c>
      <c r="O60" s="859">
        <f>+'CY-FUR (REG)- Detail'!P125</f>
        <v>4695000</v>
      </c>
      <c r="P60" s="859">
        <f>+'CY-FUR (REG)- Detail'!Q125</f>
        <v>0</v>
      </c>
      <c r="Q60" s="859">
        <f t="shared" si="6"/>
        <v>16528000</v>
      </c>
      <c r="R60" s="859">
        <f>+'CY-FUR (REG)- Detail'!S125</f>
        <v>0</v>
      </c>
      <c r="S60" s="859">
        <f>+'CY-FUR (REG)- Detail'!T125</f>
        <v>0</v>
      </c>
      <c r="T60" s="859">
        <f>+'CY-FUR (REG)- Detail'!U125</f>
        <v>0</v>
      </c>
      <c r="U60" s="859">
        <f t="shared" si="191"/>
        <v>0</v>
      </c>
      <c r="V60" s="859">
        <f>+'CY-FUR (REG)- Detail'!W125</f>
        <v>0</v>
      </c>
      <c r="W60" s="859">
        <f>+'CY-FUR (REG)- Detail'!X125</f>
        <v>826000</v>
      </c>
      <c r="X60" s="859">
        <f>+'CY-FUR (REG)- Detail'!Y125</f>
        <v>0</v>
      </c>
      <c r="Y60" s="859">
        <f t="shared" si="7"/>
        <v>826000</v>
      </c>
      <c r="Z60" s="859">
        <f t="shared" si="192"/>
        <v>11833000</v>
      </c>
      <c r="AA60" s="859">
        <f t="shared" si="193"/>
        <v>5521000</v>
      </c>
      <c r="AB60" s="859">
        <f t="shared" si="194"/>
        <v>0</v>
      </c>
      <c r="AC60" s="859">
        <f t="shared" si="11"/>
        <v>17354000</v>
      </c>
      <c r="AD60" s="859">
        <f>+'CY-FUR (REG)- Detail'!AE125</f>
        <v>10355513.009999998</v>
      </c>
      <c r="AE60" s="859">
        <f>+'CY-FUR (REG)- Detail'!AF125</f>
        <v>4694154.3499999996</v>
      </c>
      <c r="AF60" s="859">
        <f>+'CY-FUR (REG)- Detail'!AG125</f>
        <v>0</v>
      </c>
      <c r="AG60" s="859">
        <f t="shared" si="195"/>
        <v>15049667.359999998</v>
      </c>
      <c r="AH60" s="859">
        <f>+'CY-FUR (REG)- Detail'!AI125</f>
        <v>0</v>
      </c>
      <c r="AI60" s="859">
        <f>+'CY-FUR (REG)- Detail'!AJ125</f>
        <v>754000</v>
      </c>
      <c r="AJ60" s="859">
        <f>+'CY-FUR (REG)- Detail'!AK125</f>
        <v>0</v>
      </c>
      <c r="AK60" s="859">
        <f t="shared" si="196"/>
        <v>754000</v>
      </c>
      <c r="AL60" s="859">
        <f t="shared" si="197"/>
        <v>10355513.009999998</v>
      </c>
      <c r="AM60" s="859">
        <f t="shared" si="198"/>
        <v>5448154.3499999996</v>
      </c>
      <c r="AN60" s="859">
        <f t="shared" si="199"/>
        <v>0</v>
      </c>
      <c r="AO60" s="859">
        <f t="shared" si="15"/>
        <v>15803667.359999998</v>
      </c>
      <c r="AP60" s="859">
        <f t="shared" si="24"/>
        <v>1477486.9900000021</v>
      </c>
      <c r="AQ60" s="859">
        <f t="shared" si="25"/>
        <v>72845.650000000373</v>
      </c>
      <c r="AR60" s="859">
        <f t="shared" si="26"/>
        <v>0</v>
      </c>
      <c r="AS60" s="859">
        <f t="shared" si="19"/>
        <v>1550332.6400000025</v>
      </c>
      <c r="AT60" s="1143">
        <f t="shared" si="27"/>
        <v>0.87513842727964153</v>
      </c>
      <c r="AU60" s="1143">
        <f t="shared" si="28"/>
        <v>0.98680571454446653</v>
      </c>
      <c r="AV60" s="1143" t="str">
        <f t="shared" si="29"/>
        <v xml:space="preserve"> </v>
      </c>
      <c r="AW60" s="1143">
        <f t="shared" si="30"/>
        <v>0.91066424801198553</v>
      </c>
      <c r="AX60" s="22">
        <f t="shared" si="31"/>
        <v>0</v>
      </c>
      <c r="AY60" s="22">
        <f t="shared" si="32"/>
        <v>0</v>
      </c>
      <c r="AZ60" s="22">
        <f t="shared" si="33"/>
        <v>0</v>
      </c>
      <c r="BA60" s="22">
        <f t="shared" si="34"/>
        <v>0</v>
      </c>
      <c r="BF60" s="824">
        <f t="shared" si="35"/>
        <v>845.65000000037253</v>
      </c>
    </row>
    <row r="61" spans="1:58" s="16" customFormat="1">
      <c r="A61" s="899" t="s">
        <v>992</v>
      </c>
      <c r="B61" s="859">
        <f>+'CY-FUR (REG)- Detail'!C126</f>
        <v>16312000</v>
      </c>
      <c r="C61" s="859">
        <f>+'CY-FUR (REG)- Detail'!D126</f>
        <v>10462000</v>
      </c>
      <c r="D61" s="859">
        <f>+'CY-FUR (REG)- Detail'!E126</f>
        <v>0</v>
      </c>
      <c r="E61" s="859">
        <f t="shared" si="0"/>
        <v>26774000</v>
      </c>
      <c r="F61" s="859">
        <f>+'CY-FUR (REG)- Detail'!G126</f>
        <v>0</v>
      </c>
      <c r="G61" s="859">
        <f>+'CY-FUR (REG)- Detail'!H126</f>
        <v>0</v>
      </c>
      <c r="H61" s="859">
        <f>+'CY-FUR (REG)- Detail'!I126</f>
        <v>0</v>
      </c>
      <c r="I61" s="859">
        <f t="shared" si="186"/>
        <v>0</v>
      </c>
      <c r="J61" s="859">
        <f t="shared" si="187"/>
        <v>16312000</v>
      </c>
      <c r="K61" s="859">
        <f t="shared" si="188"/>
        <v>10462000</v>
      </c>
      <c r="L61" s="859">
        <f t="shared" si="189"/>
        <v>0</v>
      </c>
      <c r="M61" s="859">
        <f t="shared" si="190"/>
        <v>26774000</v>
      </c>
      <c r="N61" s="859">
        <f>+'CY-FUR (REG)- Detail'!O126</f>
        <v>16312000</v>
      </c>
      <c r="O61" s="859">
        <f>+'CY-FUR (REG)- Detail'!P126</f>
        <v>10462000</v>
      </c>
      <c r="P61" s="859">
        <f>+'CY-FUR (REG)- Detail'!Q126</f>
        <v>0</v>
      </c>
      <c r="Q61" s="859">
        <f t="shared" si="6"/>
        <v>26774000</v>
      </c>
      <c r="R61" s="859">
        <f>+'CY-FUR (REG)- Detail'!S126</f>
        <v>0</v>
      </c>
      <c r="S61" s="859">
        <f>+'CY-FUR (REG)- Detail'!T126</f>
        <v>0</v>
      </c>
      <c r="T61" s="859">
        <f>+'CY-FUR (REG)- Detail'!U126</f>
        <v>0</v>
      </c>
      <c r="U61" s="859">
        <f t="shared" si="191"/>
        <v>0</v>
      </c>
      <c r="V61" s="859">
        <f>+'CY-FUR (REG)- Detail'!W126</f>
        <v>0</v>
      </c>
      <c r="W61" s="859">
        <f>+'CY-FUR (REG)- Detail'!X126</f>
        <v>2170000</v>
      </c>
      <c r="X61" s="859">
        <f>+'CY-FUR (REG)- Detail'!Y126</f>
        <v>0</v>
      </c>
      <c r="Y61" s="859">
        <f t="shared" si="7"/>
        <v>2170000</v>
      </c>
      <c r="Z61" s="859">
        <f t="shared" si="192"/>
        <v>16312000</v>
      </c>
      <c r="AA61" s="859">
        <f t="shared" si="193"/>
        <v>12632000</v>
      </c>
      <c r="AB61" s="859">
        <f t="shared" si="194"/>
        <v>0</v>
      </c>
      <c r="AC61" s="859">
        <f t="shared" si="11"/>
        <v>28944000</v>
      </c>
      <c r="AD61" s="859">
        <f>+'CY-FUR (REG)- Detail'!AE126</f>
        <v>14386155.559999999</v>
      </c>
      <c r="AE61" s="859">
        <f>+'CY-FUR (REG)- Detail'!AF126</f>
        <v>8973281.1499999985</v>
      </c>
      <c r="AF61" s="859">
        <f>+'CY-FUR (REG)- Detail'!AG126</f>
        <v>0</v>
      </c>
      <c r="AG61" s="859">
        <f t="shared" si="195"/>
        <v>23359436.709999997</v>
      </c>
      <c r="AH61" s="859">
        <f>+'CY-FUR (REG)- Detail'!AI126</f>
        <v>0</v>
      </c>
      <c r="AI61" s="859">
        <f>+'CY-FUR (REG)- Detail'!AJ126</f>
        <v>1514125</v>
      </c>
      <c r="AJ61" s="859">
        <f>+'CY-FUR (REG)- Detail'!AK126</f>
        <v>0</v>
      </c>
      <c r="AK61" s="859">
        <f t="shared" si="196"/>
        <v>1514125</v>
      </c>
      <c r="AL61" s="859">
        <f t="shared" si="197"/>
        <v>14386155.559999999</v>
      </c>
      <c r="AM61" s="859">
        <f t="shared" si="198"/>
        <v>10487406.149999999</v>
      </c>
      <c r="AN61" s="859">
        <f t="shared" si="199"/>
        <v>0</v>
      </c>
      <c r="AO61" s="859">
        <f t="shared" si="15"/>
        <v>24873561.709999997</v>
      </c>
      <c r="AP61" s="859">
        <f t="shared" si="24"/>
        <v>1925844.4400000013</v>
      </c>
      <c r="AQ61" s="859">
        <f t="shared" si="25"/>
        <v>2144593.8500000015</v>
      </c>
      <c r="AR61" s="859">
        <f t="shared" si="26"/>
        <v>0</v>
      </c>
      <c r="AS61" s="859">
        <f t="shared" si="19"/>
        <v>4070438.2900000028</v>
      </c>
      <c r="AT61" s="1143">
        <f t="shared" si="27"/>
        <v>0.8819369519372241</v>
      </c>
      <c r="AU61" s="1143">
        <f t="shared" si="28"/>
        <v>0.83022531269791</v>
      </c>
      <c r="AV61" s="1143" t="str">
        <f t="shared" si="29"/>
        <v xml:space="preserve"> </v>
      </c>
      <c r="AW61" s="1143">
        <f t="shared" si="30"/>
        <v>0.85936849467938081</v>
      </c>
      <c r="AX61" s="22">
        <f t="shared" si="31"/>
        <v>0</v>
      </c>
      <c r="AY61" s="22">
        <f t="shared" si="32"/>
        <v>0</v>
      </c>
      <c r="AZ61" s="22">
        <f t="shared" si="33"/>
        <v>0</v>
      </c>
      <c r="BA61" s="22">
        <f t="shared" si="34"/>
        <v>0</v>
      </c>
      <c r="BF61" s="824">
        <f t="shared" si="35"/>
        <v>1488718.8500000015</v>
      </c>
    </row>
    <row r="62" spans="1:58" s="16" customFormat="1">
      <c r="A62" s="592"/>
      <c r="B62" s="859"/>
      <c r="C62" s="859"/>
      <c r="D62" s="859"/>
      <c r="E62" s="860">
        <f t="shared" si="0"/>
        <v>0</v>
      </c>
      <c r="F62" s="859"/>
      <c r="G62" s="859"/>
      <c r="H62" s="859"/>
      <c r="I62" s="860"/>
      <c r="J62" s="859"/>
      <c r="K62" s="859"/>
      <c r="L62" s="859"/>
      <c r="M62" s="860"/>
      <c r="N62" s="859"/>
      <c r="O62" s="859"/>
      <c r="P62" s="859"/>
      <c r="Q62" s="860">
        <f t="shared" si="6"/>
        <v>0</v>
      </c>
      <c r="R62" s="859"/>
      <c r="S62" s="859"/>
      <c r="T62" s="859"/>
      <c r="U62" s="860"/>
      <c r="V62" s="859"/>
      <c r="W62" s="859"/>
      <c r="X62" s="859"/>
      <c r="Y62" s="860">
        <f t="shared" si="7"/>
        <v>0</v>
      </c>
      <c r="Z62" s="860"/>
      <c r="AA62" s="860"/>
      <c r="AB62" s="860"/>
      <c r="AC62" s="860">
        <f t="shared" si="11"/>
        <v>0</v>
      </c>
      <c r="AD62" s="859"/>
      <c r="AE62" s="859"/>
      <c r="AF62" s="859"/>
      <c r="AG62" s="860"/>
      <c r="AH62" s="859"/>
      <c r="AI62" s="859"/>
      <c r="AJ62" s="859"/>
      <c r="AK62" s="860"/>
      <c r="AL62" s="860"/>
      <c r="AM62" s="860"/>
      <c r="AN62" s="860"/>
      <c r="AO62" s="860">
        <f t="shared" si="15"/>
        <v>0</v>
      </c>
      <c r="AP62" s="860">
        <f t="shared" si="24"/>
        <v>0</v>
      </c>
      <c r="AQ62" s="860">
        <f t="shared" si="25"/>
        <v>0</v>
      </c>
      <c r="AR62" s="860">
        <f t="shared" si="26"/>
        <v>0</v>
      </c>
      <c r="AS62" s="860">
        <f t="shared" si="19"/>
        <v>0</v>
      </c>
      <c r="AT62" s="1143" t="str">
        <f t="shared" si="27"/>
        <v xml:space="preserve"> </v>
      </c>
      <c r="AU62" s="1143" t="str">
        <f t="shared" si="28"/>
        <v xml:space="preserve"> </v>
      </c>
      <c r="AV62" s="1143" t="str">
        <f t="shared" si="29"/>
        <v xml:space="preserve"> </v>
      </c>
      <c r="AW62" s="1143" t="str">
        <f t="shared" si="30"/>
        <v xml:space="preserve"> </v>
      </c>
      <c r="AX62" s="22">
        <f t="shared" si="31"/>
        <v>0</v>
      </c>
      <c r="AY62" s="22">
        <f t="shared" si="32"/>
        <v>0</v>
      </c>
      <c r="AZ62" s="22">
        <f t="shared" si="33"/>
        <v>0</v>
      </c>
      <c r="BA62" s="22">
        <f t="shared" si="34"/>
        <v>0</v>
      </c>
      <c r="BF62" s="824">
        <f t="shared" si="35"/>
        <v>0</v>
      </c>
    </row>
    <row r="63" spans="1:58" s="609" customFormat="1" ht="16.5">
      <c r="A63" s="1153" t="s">
        <v>994</v>
      </c>
      <c r="B63" s="1151">
        <f>SUM(B64:B67)</f>
        <v>408702000</v>
      </c>
      <c r="C63" s="1151">
        <f>SUM(C64:C67)</f>
        <v>248619000</v>
      </c>
      <c r="D63" s="1151">
        <f t="shared" ref="D63:AN63" si="200">SUM(D64:D67)</f>
        <v>0</v>
      </c>
      <c r="E63" s="1151">
        <f t="shared" si="0"/>
        <v>657321000</v>
      </c>
      <c r="F63" s="1151">
        <f t="shared" si="200"/>
        <v>0</v>
      </c>
      <c r="G63" s="1151">
        <f t="shared" si="200"/>
        <v>0</v>
      </c>
      <c r="H63" s="1151">
        <f t="shared" si="200"/>
        <v>0</v>
      </c>
      <c r="I63" s="1151">
        <f t="shared" si="200"/>
        <v>0</v>
      </c>
      <c r="J63" s="1151">
        <f t="shared" si="200"/>
        <v>408702000</v>
      </c>
      <c r="K63" s="1151">
        <f t="shared" si="200"/>
        <v>248619000</v>
      </c>
      <c r="L63" s="1151">
        <f t="shared" si="200"/>
        <v>0</v>
      </c>
      <c r="M63" s="1151">
        <f t="shared" si="200"/>
        <v>657321000</v>
      </c>
      <c r="N63" s="1151">
        <f t="shared" si="200"/>
        <v>408702000</v>
      </c>
      <c r="O63" s="1151">
        <f t="shared" si="200"/>
        <v>248619000</v>
      </c>
      <c r="P63" s="1151">
        <f t="shared" si="200"/>
        <v>0</v>
      </c>
      <c r="Q63" s="1151">
        <f t="shared" si="6"/>
        <v>657321000</v>
      </c>
      <c r="R63" s="1151">
        <f t="shared" si="200"/>
        <v>0</v>
      </c>
      <c r="S63" s="1151">
        <f t="shared" si="200"/>
        <v>0</v>
      </c>
      <c r="T63" s="1151">
        <f t="shared" si="200"/>
        <v>0</v>
      </c>
      <c r="U63" s="1151">
        <f t="shared" si="200"/>
        <v>0</v>
      </c>
      <c r="V63" s="1151">
        <f t="shared" si="200"/>
        <v>0</v>
      </c>
      <c r="W63" s="1151">
        <f t="shared" si="200"/>
        <v>217675441</v>
      </c>
      <c r="X63" s="1151">
        <f t="shared" si="200"/>
        <v>298230229</v>
      </c>
      <c r="Y63" s="1151">
        <f t="shared" si="7"/>
        <v>515905670</v>
      </c>
      <c r="Z63" s="1151">
        <f t="shared" si="200"/>
        <v>408702000</v>
      </c>
      <c r="AA63" s="1151">
        <f t="shared" si="200"/>
        <v>466294441</v>
      </c>
      <c r="AB63" s="1151">
        <f t="shared" si="200"/>
        <v>298230229</v>
      </c>
      <c r="AC63" s="1151">
        <f t="shared" si="11"/>
        <v>1173226670</v>
      </c>
      <c r="AD63" s="1151">
        <f t="shared" si="200"/>
        <v>371304829.38999999</v>
      </c>
      <c r="AE63" s="1151">
        <f t="shared" si="200"/>
        <v>206249063</v>
      </c>
      <c r="AF63" s="1151">
        <f t="shared" si="200"/>
        <v>0</v>
      </c>
      <c r="AG63" s="1151">
        <f t="shared" si="200"/>
        <v>577553892.38999999</v>
      </c>
      <c r="AH63" s="1151">
        <f t="shared" si="200"/>
        <v>0</v>
      </c>
      <c r="AI63" s="1151">
        <f t="shared" si="200"/>
        <v>181987002.38</v>
      </c>
      <c r="AJ63" s="1151">
        <f t="shared" si="200"/>
        <v>294070135.32000005</v>
      </c>
      <c r="AK63" s="1151">
        <f t="shared" si="200"/>
        <v>476057137.69999999</v>
      </c>
      <c r="AL63" s="1151">
        <f t="shared" si="200"/>
        <v>371304829.38999999</v>
      </c>
      <c r="AM63" s="1151">
        <f t="shared" si="200"/>
        <v>388236065.38</v>
      </c>
      <c r="AN63" s="1151">
        <f t="shared" si="200"/>
        <v>294070135.32000005</v>
      </c>
      <c r="AO63" s="1151">
        <f t="shared" si="15"/>
        <v>1053611030.09</v>
      </c>
      <c r="AP63" s="1151">
        <f t="shared" si="24"/>
        <v>37397170.610000014</v>
      </c>
      <c r="AQ63" s="1151">
        <f t="shared" si="25"/>
        <v>78058375.620000005</v>
      </c>
      <c r="AR63" s="1151">
        <f t="shared" si="26"/>
        <v>4160093.6799999475</v>
      </c>
      <c r="AS63" s="1151">
        <f t="shared" si="19"/>
        <v>119615639.90999997</v>
      </c>
      <c r="AT63" s="1165">
        <f t="shared" si="27"/>
        <v>0.90849770588350431</v>
      </c>
      <c r="AU63" s="1165">
        <f t="shared" si="28"/>
        <v>0.8325985284049312</v>
      </c>
      <c r="AV63" s="1165">
        <f t="shared" si="29"/>
        <v>0.98605073102767204</v>
      </c>
      <c r="AW63" s="1165">
        <f t="shared" si="30"/>
        <v>0.89804558405580737</v>
      </c>
      <c r="AX63" s="1152">
        <f t="shared" si="31"/>
        <v>0</v>
      </c>
      <c r="AY63" s="1152">
        <f t="shared" si="32"/>
        <v>0</v>
      </c>
      <c r="AZ63" s="1152">
        <f t="shared" si="33"/>
        <v>0</v>
      </c>
      <c r="BA63" s="1152">
        <f t="shared" si="34"/>
        <v>0</v>
      </c>
      <c r="BB63" s="1132">
        <f>+AS63-'CY (ALL FUNDS)'!Q301</f>
        <v>0</v>
      </c>
      <c r="BF63" s="824">
        <f t="shared" si="35"/>
        <v>42369937</v>
      </c>
    </row>
    <row r="64" spans="1:58" s="903" customFormat="1">
      <c r="A64" s="899" t="s">
        <v>993</v>
      </c>
      <c r="B64" s="859">
        <f>SUM('CY-FUR (REG)- Detail'!C110:C112)</f>
        <v>91471000</v>
      </c>
      <c r="C64" s="859">
        <f>SUM('CY-FUR (REG)- Detail'!D110:D112)</f>
        <v>141856000</v>
      </c>
      <c r="D64" s="859">
        <f>SUM('CY-FUR (REG)- Detail'!E110:E112)</f>
        <v>0</v>
      </c>
      <c r="E64" s="859">
        <f t="shared" si="0"/>
        <v>233327000</v>
      </c>
      <c r="F64" s="859">
        <f>SUM('CY-FUR (REG)- Detail'!G110:G112)</f>
        <v>0</v>
      </c>
      <c r="G64" s="859">
        <f>SUM('CY-FUR (REG)- Detail'!H110:H112)</f>
        <v>0</v>
      </c>
      <c r="H64" s="859">
        <f>SUM('CY-FUR (REG)- Detail'!I110:I112)</f>
        <v>0</v>
      </c>
      <c r="I64" s="859">
        <f>SUM('CY-FUR (REG)- Detail'!J110:J112)</f>
        <v>0</v>
      </c>
      <c r="J64" s="859">
        <f>SUM('CY-FUR (REG)- Detail'!K110:K112)</f>
        <v>91471000</v>
      </c>
      <c r="K64" s="859">
        <f>SUM('CY-FUR (REG)- Detail'!L110:L112)</f>
        <v>141856000</v>
      </c>
      <c r="L64" s="859">
        <f>SUM('CY-FUR (REG)- Detail'!M110:M112)</f>
        <v>0</v>
      </c>
      <c r="M64" s="859">
        <f>SUM('CY-FUR (REG)- Detail'!N110:N112)</f>
        <v>233327000</v>
      </c>
      <c r="N64" s="859">
        <f>SUM('CY-FUR (REG)- Detail'!O110:O112)</f>
        <v>91471000</v>
      </c>
      <c r="O64" s="859">
        <f>SUM('CY-FUR (REG)- Detail'!P110:P112)</f>
        <v>141856000</v>
      </c>
      <c r="P64" s="859">
        <f>SUM('CY-FUR (REG)- Detail'!Q110:Q112)</f>
        <v>0</v>
      </c>
      <c r="Q64" s="859">
        <f t="shared" si="6"/>
        <v>233327000</v>
      </c>
      <c r="R64" s="859">
        <f>SUM('CY-FUR (REG)- Detail'!S110:S112)</f>
        <v>0</v>
      </c>
      <c r="S64" s="859">
        <f>SUM('CY-FUR (REG)- Detail'!T110:T112)</f>
        <v>0</v>
      </c>
      <c r="T64" s="859">
        <f>SUM('CY-FUR (REG)- Detail'!U110:U112)</f>
        <v>0</v>
      </c>
      <c r="U64" s="859">
        <f>SUM('CY-FUR (REG)- Detail'!V110:V112)</f>
        <v>0</v>
      </c>
      <c r="V64" s="859">
        <f>SUM('CY-FUR (REG)- Detail'!W110:W112)</f>
        <v>0</v>
      </c>
      <c r="W64" s="859">
        <f>SUM('CY-FUR (REG)- Detail'!X110:X112)</f>
        <v>145265571</v>
      </c>
      <c r="X64" s="859">
        <f>SUM('CY-FUR (REG)- Detail'!Y110:Y112)</f>
        <v>15600000</v>
      </c>
      <c r="Y64" s="859">
        <f t="shared" si="7"/>
        <v>160865571</v>
      </c>
      <c r="Z64" s="859">
        <f>SUM('CY-FUR (REG)- Detail'!AA110:AA112)</f>
        <v>91471000</v>
      </c>
      <c r="AA64" s="859">
        <f>SUM('CY-FUR (REG)- Detail'!AB110:AB112)</f>
        <v>287121571</v>
      </c>
      <c r="AB64" s="859">
        <f>SUM('CY-FUR (REG)- Detail'!AC110:AC112)</f>
        <v>15600000</v>
      </c>
      <c r="AC64" s="859">
        <f t="shared" si="11"/>
        <v>394192571</v>
      </c>
      <c r="AD64" s="859">
        <f>SUM('CY-FUR (REG)- Detail'!AE110:AE112)</f>
        <v>79934733.930000007</v>
      </c>
      <c r="AE64" s="859">
        <f>SUM('CY-FUR (REG)- Detail'!AF110:AF112)</f>
        <v>108539086.07000001</v>
      </c>
      <c r="AF64" s="859">
        <f>SUM('CY-FUR (REG)- Detail'!AG110:AG112)</f>
        <v>0</v>
      </c>
      <c r="AG64" s="859">
        <f>SUM('CY-FUR (REG)- Detail'!AH110:AH112)</f>
        <v>188473820</v>
      </c>
      <c r="AH64" s="859">
        <f>SUM('CY-FUR (REG)- Detail'!AI110:AI112)</f>
        <v>0</v>
      </c>
      <c r="AI64" s="859">
        <f>SUM('CY-FUR (REG)- Detail'!AJ110:AJ112)</f>
        <v>119511632.09999999</v>
      </c>
      <c r="AJ64" s="859">
        <f>SUM('CY-FUR (REG)- Detail'!AK110:AK112)</f>
        <v>15206602.370000001</v>
      </c>
      <c r="AK64" s="859">
        <f>SUM('CY-FUR (REG)- Detail'!AL110:AL112)</f>
        <v>134718234.47</v>
      </c>
      <c r="AL64" s="859">
        <f>SUM('CY-FUR (REG)- Detail'!AM110:AM112)</f>
        <v>79934733.930000007</v>
      </c>
      <c r="AM64" s="859">
        <f>SUM('CY-FUR (REG)- Detail'!AN110:AN112)</f>
        <v>228050718.17000002</v>
      </c>
      <c r="AN64" s="859">
        <f>SUM('CY-FUR (REG)- Detail'!AO110:AO112)</f>
        <v>15206602.370000001</v>
      </c>
      <c r="AO64" s="859">
        <f t="shared" si="15"/>
        <v>323192054.47000003</v>
      </c>
      <c r="AP64" s="859">
        <f t="shared" si="24"/>
        <v>11536266.069999993</v>
      </c>
      <c r="AQ64" s="859">
        <f t="shared" si="25"/>
        <v>59070852.829999983</v>
      </c>
      <c r="AR64" s="859">
        <f t="shared" si="26"/>
        <v>393397.62999999896</v>
      </c>
      <c r="AS64" s="859">
        <f t="shared" si="19"/>
        <v>71000516.529999971</v>
      </c>
      <c r="AT64" s="1166">
        <f t="shared" si="27"/>
        <v>0.87388061713548559</v>
      </c>
      <c r="AU64" s="1166">
        <f t="shared" si="28"/>
        <v>0.79426536075201404</v>
      </c>
      <c r="AV64" s="1166">
        <f t="shared" si="29"/>
        <v>0.97478220320512832</v>
      </c>
      <c r="AW64" s="1166">
        <f t="shared" si="30"/>
        <v>0.81988367677786611</v>
      </c>
      <c r="AX64" s="22">
        <f t="shared" si="31"/>
        <v>0</v>
      </c>
      <c r="AY64" s="22">
        <f t="shared" si="32"/>
        <v>0</v>
      </c>
      <c r="AZ64" s="22">
        <f t="shared" si="33"/>
        <v>0</v>
      </c>
      <c r="BA64" s="22">
        <f t="shared" si="34"/>
        <v>0</v>
      </c>
      <c r="BF64" s="824">
        <f t="shared" si="35"/>
        <v>33316913.929999992</v>
      </c>
    </row>
    <row r="65" spans="1:58" s="903" customFormat="1">
      <c r="A65" s="899" t="s">
        <v>995</v>
      </c>
      <c r="B65" s="859">
        <f>+'CY-FUR (REG)- Detail'!C114</f>
        <v>80499000</v>
      </c>
      <c r="C65" s="859">
        <f>+'CY-FUR (REG)- Detail'!D114</f>
        <v>32754000</v>
      </c>
      <c r="D65" s="859">
        <f>+'CY-FUR (REG)- Detail'!E114</f>
        <v>0</v>
      </c>
      <c r="E65" s="859">
        <f t="shared" si="0"/>
        <v>113253000</v>
      </c>
      <c r="F65" s="859">
        <f>+'CY-FUR (REG)- Detail'!G114</f>
        <v>0</v>
      </c>
      <c r="G65" s="859">
        <f>+'CY-FUR (REG)- Detail'!H114</f>
        <v>0</v>
      </c>
      <c r="H65" s="859">
        <f>+'CY-FUR (REG)- Detail'!I114</f>
        <v>0</v>
      </c>
      <c r="I65" s="859">
        <f t="shared" ref="I65" si="201">SUM(F65:H65)</f>
        <v>0</v>
      </c>
      <c r="J65" s="859">
        <f t="shared" ref="J65" si="202">+B65+F65</f>
        <v>80499000</v>
      </c>
      <c r="K65" s="859">
        <f t="shared" ref="K65" si="203">+C65+G65</f>
        <v>32754000</v>
      </c>
      <c r="L65" s="859">
        <f t="shared" ref="L65" si="204">+D65+H65</f>
        <v>0</v>
      </c>
      <c r="M65" s="859">
        <f t="shared" ref="M65" si="205">SUM(J65:L65)</f>
        <v>113253000</v>
      </c>
      <c r="N65" s="859">
        <f>+'CY-FUR (REG)- Detail'!O114</f>
        <v>80499000</v>
      </c>
      <c r="O65" s="859">
        <f>+'CY-FUR (REG)- Detail'!P114</f>
        <v>32754000</v>
      </c>
      <c r="P65" s="859">
        <f>+'CY-FUR (REG)- Detail'!Q114</f>
        <v>0</v>
      </c>
      <c r="Q65" s="859">
        <f t="shared" si="6"/>
        <v>113253000</v>
      </c>
      <c r="R65" s="859">
        <f>+'CY-FUR (REG)- Detail'!S114</f>
        <v>0</v>
      </c>
      <c r="S65" s="859">
        <f>+'CY-FUR (REG)- Detail'!T114</f>
        <v>0</v>
      </c>
      <c r="T65" s="859">
        <f>+'CY-FUR (REG)- Detail'!U114</f>
        <v>0</v>
      </c>
      <c r="U65" s="859">
        <f t="shared" ref="U65" si="206">SUM(R65:T65)</f>
        <v>0</v>
      </c>
      <c r="V65" s="859">
        <f>+'CY-FUR (REG)- Detail'!W114</f>
        <v>0</v>
      </c>
      <c r="W65" s="859">
        <f>+'CY-FUR (REG)- Detail'!X114</f>
        <v>17161820</v>
      </c>
      <c r="X65" s="859">
        <f>+'CY-FUR (REG)- Detail'!Y114</f>
        <v>152810229</v>
      </c>
      <c r="Y65" s="859">
        <f t="shared" si="7"/>
        <v>169972049</v>
      </c>
      <c r="Z65" s="859">
        <f t="shared" ref="Z65" si="207">+N65+V65+R65</f>
        <v>80499000</v>
      </c>
      <c r="AA65" s="859">
        <f t="shared" ref="AA65" si="208">+O65+W65+S65</f>
        <v>49915820</v>
      </c>
      <c r="AB65" s="859">
        <f t="shared" ref="AB65" si="209">+P65+X65+T65</f>
        <v>152810229</v>
      </c>
      <c r="AC65" s="859">
        <f t="shared" si="11"/>
        <v>283225049</v>
      </c>
      <c r="AD65" s="859">
        <f>+'CY-FUR (REG)- Detail'!AE114</f>
        <v>72316478.269999996</v>
      </c>
      <c r="AE65" s="859">
        <f>+'CY-FUR (REG)- Detail'!AF114</f>
        <v>28102333.619999997</v>
      </c>
      <c r="AF65" s="859">
        <f>+'CY-FUR (REG)- Detail'!AG114</f>
        <v>0</v>
      </c>
      <c r="AG65" s="859">
        <f t="shared" ref="AG65" si="210">SUM(AD65:AF65)</f>
        <v>100418811.88999999</v>
      </c>
      <c r="AH65" s="859">
        <f>+'CY-FUR (REG)- Detail'!AI114</f>
        <v>0</v>
      </c>
      <c r="AI65" s="859">
        <f>+'CY-FUR (REG)- Detail'!AJ114</f>
        <v>15147136.390000001</v>
      </c>
      <c r="AJ65" s="859">
        <f>+'CY-FUR (REG)- Detail'!AK114</f>
        <v>152591060.67000002</v>
      </c>
      <c r="AK65" s="859">
        <f t="shared" ref="AK65" si="211">SUM(AH65:AJ65)</f>
        <v>167738197.06</v>
      </c>
      <c r="AL65" s="859">
        <f t="shared" ref="AL65" si="212">+AH65+AD65</f>
        <v>72316478.269999996</v>
      </c>
      <c r="AM65" s="859">
        <f t="shared" ref="AM65" si="213">+AI65+AE65</f>
        <v>43249470.009999998</v>
      </c>
      <c r="AN65" s="859">
        <f t="shared" ref="AN65" si="214">+AJ65+AF65</f>
        <v>152591060.67000002</v>
      </c>
      <c r="AO65" s="859">
        <f t="shared" si="15"/>
        <v>268157008.95000002</v>
      </c>
      <c r="AP65" s="859">
        <f t="shared" si="24"/>
        <v>8182521.7300000042</v>
      </c>
      <c r="AQ65" s="859">
        <f t="shared" si="25"/>
        <v>6666349.9900000021</v>
      </c>
      <c r="AR65" s="859">
        <f t="shared" si="26"/>
        <v>219168.32999998331</v>
      </c>
      <c r="AS65" s="859">
        <f t="shared" si="19"/>
        <v>15068040.04999999</v>
      </c>
      <c r="AT65" s="1166">
        <f t="shared" si="27"/>
        <v>0.89835250462738658</v>
      </c>
      <c r="AU65" s="1166">
        <f t="shared" si="28"/>
        <v>0.86644815230922778</v>
      </c>
      <c r="AV65" s="1166">
        <f t="shared" si="29"/>
        <v>0.99856574830471601</v>
      </c>
      <c r="AW65" s="1166">
        <f t="shared" si="30"/>
        <v>0.94679834956970921</v>
      </c>
      <c r="AX65" s="22">
        <f t="shared" si="31"/>
        <v>0</v>
      </c>
      <c r="AY65" s="22">
        <f t="shared" si="32"/>
        <v>0</v>
      </c>
      <c r="AZ65" s="22">
        <f t="shared" si="33"/>
        <v>0</v>
      </c>
      <c r="BA65" s="22">
        <f t="shared" si="34"/>
        <v>0</v>
      </c>
      <c r="BF65" s="824">
        <f t="shared" si="35"/>
        <v>4651666.3800000027</v>
      </c>
    </row>
    <row r="66" spans="1:58" s="903" customFormat="1">
      <c r="A66" s="899" t="s">
        <v>996</v>
      </c>
      <c r="B66" s="859">
        <f>+'CY-FUR (REG)- Detail'!C115</f>
        <v>120480000</v>
      </c>
      <c r="C66" s="859">
        <f>+'CY-FUR (REG)- Detail'!D115</f>
        <v>45549000</v>
      </c>
      <c r="D66" s="859">
        <f>+'CY-FUR (REG)- Detail'!E115</f>
        <v>0</v>
      </c>
      <c r="E66" s="859">
        <f t="shared" si="0"/>
        <v>166029000</v>
      </c>
      <c r="F66" s="859">
        <f>+'CY-FUR (REG)- Detail'!G115</f>
        <v>0</v>
      </c>
      <c r="G66" s="859">
        <f>+'CY-FUR (REG)- Detail'!H115</f>
        <v>0</v>
      </c>
      <c r="H66" s="859">
        <f>+'CY-FUR (REG)- Detail'!I115</f>
        <v>0</v>
      </c>
      <c r="I66" s="859">
        <f t="shared" ref="I66:I67" si="215">SUM(F66:H66)</f>
        <v>0</v>
      </c>
      <c r="J66" s="859">
        <f t="shared" ref="J66:J67" si="216">+B66+F66</f>
        <v>120480000</v>
      </c>
      <c r="K66" s="859">
        <f t="shared" ref="K66:K67" si="217">+C66+G66</f>
        <v>45549000</v>
      </c>
      <c r="L66" s="859">
        <f t="shared" ref="L66:L67" si="218">+D66+H66</f>
        <v>0</v>
      </c>
      <c r="M66" s="859">
        <f t="shared" ref="M66:M67" si="219">SUM(J66:L66)</f>
        <v>166029000</v>
      </c>
      <c r="N66" s="859">
        <f>+'CY-FUR (REG)- Detail'!O115</f>
        <v>120480000</v>
      </c>
      <c r="O66" s="859">
        <f>+'CY-FUR (REG)- Detail'!P115</f>
        <v>45549000</v>
      </c>
      <c r="P66" s="859">
        <f>+'CY-FUR (REG)- Detail'!Q115</f>
        <v>0</v>
      </c>
      <c r="Q66" s="859">
        <f t="shared" si="6"/>
        <v>166029000</v>
      </c>
      <c r="R66" s="859">
        <f>+'CY-FUR (REG)- Detail'!S115</f>
        <v>0</v>
      </c>
      <c r="S66" s="859">
        <f>+'CY-FUR (REG)- Detail'!T115</f>
        <v>0</v>
      </c>
      <c r="T66" s="859">
        <f>+'CY-FUR (REG)- Detail'!U115</f>
        <v>0</v>
      </c>
      <c r="U66" s="859">
        <f t="shared" ref="U66:U67" si="220">SUM(R66:T66)</f>
        <v>0</v>
      </c>
      <c r="V66" s="859">
        <f>+'CY-FUR (REG)- Detail'!W115</f>
        <v>0</v>
      </c>
      <c r="W66" s="859">
        <f>+'CY-FUR (REG)- Detail'!X115</f>
        <v>36206180</v>
      </c>
      <c r="X66" s="859">
        <f>+'CY-FUR (REG)- Detail'!Y115</f>
        <v>129820000</v>
      </c>
      <c r="Y66" s="859">
        <f t="shared" si="7"/>
        <v>166026180</v>
      </c>
      <c r="Z66" s="859">
        <f t="shared" ref="Z66:Z67" si="221">+N66+V66+R66</f>
        <v>120480000</v>
      </c>
      <c r="AA66" s="859">
        <f t="shared" ref="AA66:AA67" si="222">+O66+W66+S66</f>
        <v>81755180</v>
      </c>
      <c r="AB66" s="859">
        <f t="shared" ref="AB66:AB67" si="223">+P66+X66+T66</f>
        <v>129820000</v>
      </c>
      <c r="AC66" s="859">
        <f t="shared" si="11"/>
        <v>332055180</v>
      </c>
      <c r="AD66" s="859">
        <f>+'CY-FUR (REG)- Detail'!AE115</f>
        <v>111141874.48000003</v>
      </c>
      <c r="AE66" s="859">
        <f>+'CY-FUR (REG)- Detail'!AF115</f>
        <v>41730245.310000002</v>
      </c>
      <c r="AF66" s="859">
        <f>+'CY-FUR (REG)- Detail'!AG115</f>
        <v>0</v>
      </c>
      <c r="AG66" s="859">
        <f t="shared" ref="AG66:AG67" si="224">SUM(AD66:AF66)</f>
        <v>152872119.79000002</v>
      </c>
      <c r="AH66" s="859">
        <f>+'CY-FUR (REG)- Detail'!AI115</f>
        <v>0</v>
      </c>
      <c r="AI66" s="859">
        <f>+'CY-FUR (REG)- Detail'!AJ115</f>
        <v>31294444.890000001</v>
      </c>
      <c r="AJ66" s="859">
        <f>+'CY-FUR (REG)- Detail'!AK115</f>
        <v>126272472.28</v>
      </c>
      <c r="AK66" s="859">
        <f t="shared" ref="AK66:AK67" si="225">SUM(AH66:AJ66)</f>
        <v>157566917.17000002</v>
      </c>
      <c r="AL66" s="859">
        <f t="shared" ref="AL66:AL67" si="226">+AH66+AD66</f>
        <v>111141874.48000003</v>
      </c>
      <c r="AM66" s="859">
        <f t="shared" ref="AM66:AM67" si="227">+AI66+AE66</f>
        <v>73024690.200000003</v>
      </c>
      <c r="AN66" s="859">
        <f t="shared" ref="AN66:AN67" si="228">+AJ66+AF66</f>
        <v>126272472.28</v>
      </c>
      <c r="AO66" s="859">
        <f t="shared" si="15"/>
        <v>310439036.96000004</v>
      </c>
      <c r="AP66" s="859">
        <f t="shared" si="24"/>
        <v>9338125.519999966</v>
      </c>
      <c r="AQ66" s="859">
        <f t="shared" si="25"/>
        <v>8730489.799999997</v>
      </c>
      <c r="AR66" s="859">
        <f t="shared" si="26"/>
        <v>3547527.7199999988</v>
      </c>
      <c r="AS66" s="859">
        <f t="shared" si="19"/>
        <v>21616143.039999962</v>
      </c>
      <c r="AT66" s="1166">
        <f t="shared" si="27"/>
        <v>0.92249231806108922</v>
      </c>
      <c r="AU66" s="1166">
        <f t="shared" si="28"/>
        <v>0.8932117842563615</v>
      </c>
      <c r="AV66" s="1166">
        <f t="shared" si="29"/>
        <v>0.97267348852256974</v>
      </c>
      <c r="AW66" s="1166">
        <f t="shared" si="30"/>
        <v>0.93490195503048634</v>
      </c>
      <c r="AX66" s="22">
        <f t="shared" si="31"/>
        <v>0</v>
      </c>
      <c r="AY66" s="22">
        <f t="shared" si="32"/>
        <v>0</v>
      </c>
      <c r="AZ66" s="22">
        <f t="shared" si="33"/>
        <v>0</v>
      </c>
      <c r="BA66" s="22">
        <f t="shared" si="34"/>
        <v>0</v>
      </c>
      <c r="BF66" s="824">
        <f t="shared" si="35"/>
        <v>3818754.6899999976</v>
      </c>
    </row>
    <row r="67" spans="1:58" s="903" customFormat="1">
      <c r="A67" s="899" t="s">
        <v>997</v>
      </c>
      <c r="B67" s="859">
        <f>+'CY-FUR (REG)- Detail'!C116</f>
        <v>116252000</v>
      </c>
      <c r="C67" s="859">
        <f>+'CY-FUR (REG)- Detail'!D116</f>
        <v>28460000</v>
      </c>
      <c r="D67" s="859">
        <f>+'CY-FUR (REG)- Detail'!E116</f>
        <v>0</v>
      </c>
      <c r="E67" s="859">
        <f t="shared" si="0"/>
        <v>144712000</v>
      </c>
      <c r="F67" s="859">
        <f>+'CY-FUR (REG)- Detail'!G116</f>
        <v>0</v>
      </c>
      <c r="G67" s="859">
        <f>+'CY-FUR (REG)- Detail'!H116</f>
        <v>0</v>
      </c>
      <c r="H67" s="859">
        <f>+'CY-FUR (REG)- Detail'!I116</f>
        <v>0</v>
      </c>
      <c r="I67" s="859">
        <f t="shared" si="215"/>
        <v>0</v>
      </c>
      <c r="J67" s="859">
        <f t="shared" si="216"/>
        <v>116252000</v>
      </c>
      <c r="K67" s="859">
        <f t="shared" si="217"/>
        <v>28460000</v>
      </c>
      <c r="L67" s="859">
        <f t="shared" si="218"/>
        <v>0</v>
      </c>
      <c r="M67" s="859">
        <f t="shared" si="219"/>
        <v>144712000</v>
      </c>
      <c r="N67" s="859">
        <f>+'CY-FUR (REG)- Detail'!O116</f>
        <v>116252000</v>
      </c>
      <c r="O67" s="859">
        <f>+'CY-FUR (REG)- Detail'!P116</f>
        <v>28460000</v>
      </c>
      <c r="P67" s="859">
        <f>+'CY-FUR (REG)- Detail'!Q116</f>
        <v>0</v>
      </c>
      <c r="Q67" s="859">
        <f t="shared" si="6"/>
        <v>144712000</v>
      </c>
      <c r="R67" s="859">
        <f>+'CY-FUR (REG)- Detail'!S116</f>
        <v>0</v>
      </c>
      <c r="S67" s="859">
        <f>+'CY-FUR (REG)- Detail'!T116</f>
        <v>0</v>
      </c>
      <c r="T67" s="859">
        <f>+'CY-FUR (REG)- Detail'!U116</f>
        <v>0</v>
      </c>
      <c r="U67" s="859">
        <f t="shared" si="220"/>
        <v>0</v>
      </c>
      <c r="V67" s="859">
        <f>+'CY-FUR (REG)- Detail'!W116</f>
        <v>0</v>
      </c>
      <c r="W67" s="859">
        <f>+'CY-FUR (REG)- Detail'!X116</f>
        <v>19041870</v>
      </c>
      <c r="X67" s="859">
        <f>+'CY-FUR (REG)- Detail'!Y116</f>
        <v>0</v>
      </c>
      <c r="Y67" s="859">
        <f t="shared" si="7"/>
        <v>19041870</v>
      </c>
      <c r="Z67" s="859">
        <f t="shared" si="221"/>
        <v>116252000</v>
      </c>
      <c r="AA67" s="859">
        <f t="shared" si="222"/>
        <v>47501870</v>
      </c>
      <c r="AB67" s="859">
        <f t="shared" si="223"/>
        <v>0</v>
      </c>
      <c r="AC67" s="859">
        <f t="shared" si="11"/>
        <v>163753870</v>
      </c>
      <c r="AD67" s="859">
        <f>+'CY-FUR (REG)- Detail'!AE116</f>
        <v>107911742.70999998</v>
      </c>
      <c r="AE67" s="859">
        <f>+'CY-FUR (REG)- Detail'!AF116</f>
        <v>27877398</v>
      </c>
      <c r="AF67" s="859">
        <f>+'CY-FUR (REG)- Detail'!AG116</f>
        <v>0</v>
      </c>
      <c r="AG67" s="859">
        <f t="shared" si="224"/>
        <v>135789140.70999998</v>
      </c>
      <c r="AH67" s="859">
        <f>+'CY-FUR (REG)- Detail'!AI116</f>
        <v>0</v>
      </c>
      <c r="AI67" s="859">
        <f>+'CY-FUR (REG)- Detail'!AJ116</f>
        <v>16033789</v>
      </c>
      <c r="AJ67" s="859">
        <f>+'CY-FUR (REG)- Detail'!AK116</f>
        <v>0</v>
      </c>
      <c r="AK67" s="859">
        <f t="shared" si="225"/>
        <v>16033789</v>
      </c>
      <c r="AL67" s="859">
        <f t="shared" si="226"/>
        <v>107911742.70999998</v>
      </c>
      <c r="AM67" s="859">
        <f t="shared" si="227"/>
        <v>43911187</v>
      </c>
      <c r="AN67" s="859">
        <f t="shared" si="228"/>
        <v>0</v>
      </c>
      <c r="AO67" s="859">
        <f t="shared" si="15"/>
        <v>151822929.70999998</v>
      </c>
      <c r="AP67" s="859">
        <f t="shared" si="24"/>
        <v>8340257.2900000215</v>
      </c>
      <c r="AQ67" s="859">
        <f t="shared" si="25"/>
        <v>3590683</v>
      </c>
      <c r="AR67" s="859">
        <f t="shared" si="26"/>
        <v>0</v>
      </c>
      <c r="AS67" s="859">
        <f t="shared" si="19"/>
        <v>11930940.290000021</v>
      </c>
      <c r="AT67" s="1166">
        <f t="shared" si="27"/>
        <v>0.92825708555551711</v>
      </c>
      <c r="AU67" s="1166">
        <f t="shared" si="28"/>
        <v>0.92440964955695426</v>
      </c>
      <c r="AV67" s="1166" t="str">
        <f t="shared" si="29"/>
        <v xml:space="preserve"> </v>
      </c>
      <c r="AW67" s="1166">
        <f t="shared" si="30"/>
        <v>0.92714101785808167</v>
      </c>
      <c r="AX67" s="22">
        <f t="shared" si="31"/>
        <v>0</v>
      </c>
      <c r="AY67" s="22">
        <f t="shared" si="32"/>
        <v>0</v>
      </c>
      <c r="AZ67" s="22">
        <f t="shared" si="33"/>
        <v>0</v>
      </c>
      <c r="BA67" s="22">
        <f t="shared" si="34"/>
        <v>0</v>
      </c>
      <c r="BF67" s="824">
        <f t="shared" si="35"/>
        <v>582602</v>
      </c>
    </row>
    <row r="68" spans="1:58" s="903" customFormat="1" ht="16.5">
      <c r="A68" s="901"/>
      <c r="B68" s="868"/>
      <c r="C68" s="868"/>
      <c r="D68" s="868"/>
      <c r="E68" s="860">
        <f t="shared" si="0"/>
        <v>0</v>
      </c>
      <c r="F68" s="868"/>
      <c r="G68" s="868"/>
      <c r="H68" s="868"/>
      <c r="I68" s="860"/>
      <c r="J68" s="868"/>
      <c r="K68" s="868"/>
      <c r="L68" s="868"/>
      <c r="M68" s="860"/>
      <c r="N68" s="868"/>
      <c r="O68" s="868"/>
      <c r="P68" s="868"/>
      <c r="Q68" s="860">
        <f t="shared" si="6"/>
        <v>0</v>
      </c>
      <c r="R68" s="868"/>
      <c r="S68" s="868"/>
      <c r="T68" s="868"/>
      <c r="U68" s="860"/>
      <c r="V68" s="868"/>
      <c r="W68" s="868"/>
      <c r="X68" s="868"/>
      <c r="Y68" s="860">
        <f t="shared" si="7"/>
        <v>0</v>
      </c>
      <c r="Z68" s="860"/>
      <c r="AA68" s="860"/>
      <c r="AB68" s="860"/>
      <c r="AC68" s="860">
        <f t="shared" si="11"/>
        <v>0</v>
      </c>
      <c r="AD68" s="868"/>
      <c r="AE68" s="868"/>
      <c r="AF68" s="868"/>
      <c r="AG68" s="860"/>
      <c r="AH68" s="868"/>
      <c r="AI68" s="868"/>
      <c r="AJ68" s="868"/>
      <c r="AK68" s="860"/>
      <c r="AL68" s="860"/>
      <c r="AM68" s="860"/>
      <c r="AN68" s="860"/>
      <c r="AO68" s="860">
        <f t="shared" si="15"/>
        <v>0</v>
      </c>
      <c r="AP68" s="860">
        <f t="shared" si="24"/>
        <v>0</v>
      </c>
      <c r="AQ68" s="860">
        <f t="shared" si="25"/>
        <v>0</v>
      </c>
      <c r="AR68" s="860">
        <f t="shared" si="26"/>
        <v>0</v>
      </c>
      <c r="AS68" s="860">
        <f t="shared" si="19"/>
        <v>0</v>
      </c>
      <c r="AT68" s="1166" t="str">
        <f t="shared" si="27"/>
        <v xml:space="preserve"> </v>
      </c>
      <c r="AU68" s="1166" t="str">
        <f t="shared" si="28"/>
        <v xml:space="preserve"> </v>
      </c>
      <c r="AV68" s="1166" t="str">
        <f t="shared" si="29"/>
        <v xml:space="preserve"> </v>
      </c>
      <c r="AW68" s="1166" t="str">
        <f t="shared" si="30"/>
        <v xml:space="preserve"> </v>
      </c>
      <c r="AX68" s="22">
        <f t="shared" si="31"/>
        <v>0</v>
      </c>
      <c r="AY68" s="22">
        <f t="shared" si="32"/>
        <v>0</v>
      </c>
      <c r="AZ68" s="22">
        <f t="shared" si="33"/>
        <v>0</v>
      </c>
      <c r="BA68" s="22">
        <f t="shared" si="34"/>
        <v>0</v>
      </c>
      <c r="BF68" s="824">
        <f t="shared" si="35"/>
        <v>0</v>
      </c>
    </row>
    <row r="69" spans="1:58" s="609" customFormat="1" ht="16.5">
      <c r="A69" s="1153" t="s">
        <v>998</v>
      </c>
      <c r="B69" s="1151">
        <f>SUM(B70:B74)</f>
        <v>339824000</v>
      </c>
      <c r="C69" s="1151">
        <f>SUM(C70:C74)</f>
        <v>223470000</v>
      </c>
      <c r="D69" s="1151">
        <f t="shared" ref="D69:AN69" si="229">SUM(D70:D74)</f>
        <v>0</v>
      </c>
      <c r="E69" s="1151">
        <f t="shared" si="0"/>
        <v>563294000</v>
      </c>
      <c r="F69" s="1151">
        <f t="shared" si="229"/>
        <v>0</v>
      </c>
      <c r="G69" s="1151">
        <f t="shared" si="229"/>
        <v>0</v>
      </c>
      <c r="H69" s="1151">
        <f t="shared" si="229"/>
        <v>0</v>
      </c>
      <c r="I69" s="1151">
        <f t="shared" si="229"/>
        <v>0</v>
      </c>
      <c r="J69" s="1151">
        <f t="shared" si="229"/>
        <v>339824000</v>
      </c>
      <c r="K69" s="1151">
        <f t="shared" si="229"/>
        <v>223470000</v>
      </c>
      <c r="L69" s="1151">
        <f t="shared" si="229"/>
        <v>0</v>
      </c>
      <c r="M69" s="1151">
        <f t="shared" si="229"/>
        <v>563294000</v>
      </c>
      <c r="N69" s="1151">
        <f t="shared" si="229"/>
        <v>339824000</v>
      </c>
      <c r="O69" s="1151">
        <f t="shared" si="229"/>
        <v>223470000</v>
      </c>
      <c r="P69" s="1151">
        <f t="shared" si="229"/>
        <v>0</v>
      </c>
      <c r="Q69" s="1151">
        <f t="shared" si="6"/>
        <v>563294000</v>
      </c>
      <c r="R69" s="1151">
        <f t="shared" si="229"/>
        <v>0</v>
      </c>
      <c r="S69" s="1151">
        <f t="shared" si="229"/>
        <v>0</v>
      </c>
      <c r="T69" s="1151">
        <f t="shared" si="229"/>
        <v>0</v>
      </c>
      <c r="U69" s="1151">
        <f t="shared" si="229"/>
        <v>0</v>
      </c>
      <c r="V69" s="1151">
        <f t="shared" si="229"/>
        <v>0</v>
      </c>
      <c r="W69" s="1151">
        <f t="shared" si="229"/>
        <v>167639684</v>
      </c>
      <c r="X69" s="1151">
        <f t="shared" si="229"/>
        <v>412488500</v>
      </c>
      <c r="Y69" s="1151">
        <f t="shared" si="7"/>
        <v>580128184</v>
      </c>
      <c r="Z69" s="1151">
        <f t="shared" si="229"/>
        <v>339824000</v>
      </c>
      <c r="AA69" s="1151">
        <f t="shared" si="229"/>
        <v>391109684</v>
      </c>
      <c r="AB69" s="1151">
        <f t="shared" si="229"/>
        <v>412488500</v>
      </c>
      <c r="AC69" s="1151">
        <f t="shared" si="11"/>
        <v>1143422184</v>
      </c>
      <c r="AD69" s="1151">
        <f t="shared" si="229"/>
        <v>303830308.55000001</v>
      </c>
      <c r="AE69" s="1151">
        <f t="shared" si="229"/>
        <v>171208628.93999997</v>
      </c>
      <c r="AF69" s="1151">
        <f t="shared" si="229"/>
        <v>0</v>
      </c>
      <c r="AG69" s="1151">
        <f t="shared" si="229"/>
        <v>475038937.48999995</v>
      </c>
      <c r="AH69" s="1151">
        <f t="shared" si="229"/>
        <v>0</v>
      </c>
      <c r="AI69" s="1151">
        <f t="shared" si="229"/>
        <v>127209037.57999998</v>
      </c>
      <c r="AJ69" s="1151">
        <f t="shared" si="229"/>
        <v>401602644.66000003</v>
      </c>
      <c r="AK69" s="1151">
        <f t="shared" si="229"/>
        <v>528811682.23999995</v>
      </c>
      <c r="AL69" s="1151">
        <f t="shared" si="229"/>
        <v>303830308.55000001</v>
      </c>
      <c r="AM69" s="1151">
        <f t="shared" si="229"/>
        <v>298417666.51999998</v>
      </c>
      <c r="AN69" s="1151">
        <f t="shared" si="229"/>
        <v>401602644.66000003</v>
      </c>
      <c r="AO69" s="1151">
        <f t="shared" si="15"/>
        <v>1003850619.73</v>
      </c>
      <c r="AP69" s="1151">
        <f t="shared" si="24"/>
        <v>35993691.449999988</v>
      </c>
      <c r="AQ69" s="1151">
        <f t="shared" si="25"/>
        <v>92692017.480000019</v>
      </c>
      <c r="AR69" s="1151">
        <f t="shared" si="26"/>
        <v>10885855.339999974</v>
      </c>
      <c r="AS69" s="1151">
        <f t="shared" si="19"/>
        <v>139571564.26999998</v>
      </c>
      <c r="AT69" s="1165">
        <f t="shared" si="27"/>
        <v>0.89408137315198455</v>
      </c>
      <c r="AU69" s="1165">
        <f t="shared" si="28"/>
        <v>0.76300249962616618</v>
      </c>
      <c r="AV69" s="1165">
        <f t="shared" si="29"/>
        <v>0.97360931192021116</v>
      </c>
      <c r="AW69" s="1165">
        <f t="shared" si="30"/>
        <v>0.87793523142804442</v>
      </c>
      <c r="AX69" s="1152">
        <f t="shared" si="31"/>
        <v>0</v>
      </c>
      <c r="AY69" s="1152">
        <f t="shared" si="32"/>
        <v>0</v>
      </c>
      <c r="AZ69" s="1152">
        <f t="shared" si="33"/>
        <v>0</v>
      </c>
      <c r="BA69" s="1152">
        <f t="shared" si="34"/>
        <v>0</v>
      </c>
      <c r="BB69" s="1132">
        <f>+AS69-'CY (ALL FUNDS)'!Q396</f>
        <v>0</v>
      </c>
      <c r="BF69" s="824">
        <f t="shared" si="35"/>
        <v>52261371.060000032</v>
      </c>
    </row>
    <row r="70" spans="1:58" s="903" customFormat="1">
      <c r="A70" s="905" t="s">
        <v>999</v>
      </c>
      <c r="B70" s="859">
        <f>SUM('CY-FUR (REG)- Detail'!C129:C131)</f>
        <v>85096000</v>
      </c>
      <c r="C70" s="859">
        <f>SUM('CY-FUR (REG)- Detail'!D129:D131)</f>
        <v>115691000</v>
      </c>
      <c r="D70" s="859">
        <f>SUM('CY-FUR (REG)- Detail'!E129:E131)</f>
        <v>0</v>
      </c>
      <c r="E70" s="859">
        <f t="shared" si="0"/>
        <v>200787000</v>
      </c>
      <c r="F70" s="859">
        <f>SUM('CY-FUR (REG)- Detail'!G129:G131)</f>
        <v>0</v>
      </c>
      <c r="G70" s="859">
        <f>SUM('CY-FUR (REG)- Detail'!H129:H131)</f>
        <v>0</v>
      </c>
      <c r="H70" s="859">
        <f>SUM('CY-FUR (REG)- Detail'!I129:I131)</f>
        <v>0</v>
      </c>
      <c r="I70" s="859">
        <f>SUM('CY-FUR (REG)- Detail'!J129:J131)</f>
        <v>0</v>
      </c>
      <c r="J70" s="859">
        <f>SUM('CY-FUR (REG)- Detail'!K129:K131)</f>
        <v>85096000</v>
      </c>
      <c r="K70" s="859">
        <f>SUM('CY-FUR (REG)- Detail'!L129:L131)</f>
        <v>115691000</v>
      </c>
      <c r="L70" s="859">
        <f>SUM('CY-FUR (REG)- Detail'!M129:M131)</f>
        <v>0</v>
      </c>
      <c r="M70" s="859">
        <f>SUM('CY-FUR (REG)- Detail'!N129:N131)</f>
        <v>200787000</v>
      </c>
      <c r="N70" s="859">
        <f>SUM('CY-FUR (REG)- Detail'!O129:O131)</f>
        <v>85096000</v>
      </c>
      <c r="O70" s="859">
        <f>SUM('CY-FUR (REG)- Detail'!P129:P131)</f>
        <v>115691000</v>
      </c>
      <c r="P70" s="859">
        <f>SUM('CY-FUR (REG)- Detail'!Q129:Q131)</f>
        <v>0</v>
      </c>
      <c r="Q70" s="859">
        <f t="shared" si="6"/>
        <v>200787000</v>
      </c>
      <c r="R70" s="859">
        <f>SUM('CY-FUR (REG)- Detail'!S129:S131)</f>
        <v>0</v>
      </c>
      <c r="S70" s="859">
        <f>SUM('CY-FUR (REG)- Detail'!T129:T131)</f>
        <v>0</v>
      </c>
      <c r="T70" s="859">
        <f>SUM('CY-FUR (REG)- Detail'!U129:U131)</f>
        <v>0</v>
      </c>
      <c r="U70" s="859">
        <f>SUM('CY-FUR (REG)- Detail'!V129:V131)</f>
        <v>0</v>
      </c>
      <c r="V70" s="859">
        <f>SUM('CY-FUR (REG)- Detail'!W129:W131)</f>
        <v>0</v>
      </c>
      <c r="W70" s="859">
        <f>SUM('CY-FUR (REG)- Detail'!X129:X131)</f>
        <v>122944284</v>
      </c>
      <c r="X70" s="859">
        <f>SUM('CY-FUR (REG)- Detail'!Y129:Y131)</f>
        <v>22358500</v>
      </c>
      <c r="Y70" s="859">
        <f t="shared" si="7"/>
        <v>145302784</v>
      </c>
      <c r="Z70" s="859">
        <f>SUM('CY-FUR (REG)- Detail'!AA129:AA131)</f>
        <v>85096000</v>
      </c>
      <c r="AA70" s="859">
        <f>SUM('CY-FUR (REG)- Detail'!AB129:AB131)</f>
        <v>238635284</v>
      </c>
      <c r="AB70" s="859">
        <f>SUM('CY-FUR (REG)- Detail'!AC129:AC131)</f>
        <v>22358500</v>
      </c>
      <c r="AC70" s="859">
        <f t="shared" si="11"/>
        <v>346089784</v>
      </c>
      <c r="AD70" s="859">
        <f>SUM('CY-FUR (REG)- Detail'!AE129:AE131)</f>
        <v>72702359.780000001</v>
      </c>
      <c r="AE70" s="859">
        <f>SUM('CY-FUR (REG)- Detail'!AF129:AF131)</f>
        <v>78399278.129999995</v>
      </c>
      <c r="AF70" s="859">
        <f>SUM('CY-FUR (REG)- Detail'!AG129:AG131)</f>
        <v>0</v>
      </c>
      <c r="AG70" s="859">
        <f>SUM('CY-FUR (REG)- Detail'!AH129:AH131)</f>
        <v>151101637.91</v>
      </c>
      <c r="AH70" s="859">
        <f>SUM('CY-FUR (REG)- Detail'!AI129:AI131)</f>
        <v>0</v>
      </c>
      <c r="AI70" s="859">
        <f>SUM('CY-FUR (REG)- Detail'!AJ129:AJ131)</f>
        <v>91068860.539999992</v>
      </c>
      <c r="AJ70" s="859">
        <f>SUM('CY-FUR (REG)- Detail'!AK129:AK131)</f>
        <v>21686351.640000001</v>
      </c>
      <c r="AK70" s="859">
        <f>SUM('CY-FUR (REG)- Detail'!AL129:AL131)</f>
        <v>112755212.17999999</v>
      </c>
      <c r="AL70" s="859">
        <f>SUM('CY-FUR (REG)- Detail'!AM129:AM131)</f>
        <v>72702359.780000001</v>
      </c>
      <c r="AM70" s="859">
        <f>SUM('CY-FUR (REG)- Detail'!AN129:AN131)</f>
        <v>169468138.66999999</v>
      </c>
      <c r="AN70" s="859">
        <f>SUM('CY-FUR (REG)- Detail'!AO129:AO131)</f>
        <v>21686351.640000001</v>
      </c>
      <c r="AO70" s="859">
        <f t="shared" si="15"/>
        <v>263856850.08999997</v>
      </c>
      <c r="AP70" s="859">
        <f t="shared" si="24"/>
        <v>12393640.219999999</v>
      </c>
      <c r="AQ70" s="859">
        <f t="shared" si="25"/>
        <v>69167145.330000013</v>
      </c>
      <c r="AR70" s="859">
        <f t="shared" si="26"/>
        <v>672148.3599999994</v>
      </c>
      <c r="AS70" s="859">
        <f t="shared" si="19"/>
        <v>82232933.910000011</v>
      </c>
      <c r="AT70" s="1166">
        <f t="shared" si="27"/>
        <v>0.85435695896399366</v>
      </c>
      <c r="AU70" s="1166">
        <f t="shared" si="28"/>
        <v>0.71015541301930851</v>
      </c>
      <c r="AV70" s="1166">
        <f t="shared" si="29"/>
        <v>0.96993768097144262</v>
      </c>
      <c r="AW70" s="1166">
        <f t="shared" si="30"/>
        <v>0.76239421759412573</v>
      </c>
      <c r="AX70" s="22">
        <f t="shared" si="31"/>
        <v>0</v>
      </c>
      <c r="AY70" s="22">
        <f t="shared" si="32"/>
        <v>0</v>
      </c>
      <c r="AZ70" s="22">
        <f t="shared" si="33"/>
        <v>0</v>
      </c>
      <c r="BA70" s="22">
        <f t="shared" si="34"/>
        <v>0</v>
      </c>
      <c r="BF70" s="824">
        <f t="shared" si="35"/>
        <v>37291721.870000005</v>
      </c>
    </row>
    <row r="71" spans="1:58" s="16" customFormat="1">
      <c r="A71" s="905" t="s">
        <v>1000</v>
      </c>
      <c r="B71" s="859">
        <f>+'CY-FUR (REG)- Detail'!C133</f>
        <v>124554000</v>
      </c>
      <c r="C71" s="859">
        <f>+'CY-FUR (REG)- Detail'!D133</f>
        <v>62413000</v>
      </c>
      <c r="D71" s="859">
        <f>+'CY-FUR (REG)- Detail'!E133</f>
        <v>0</v>
      </c>
      <c r="E71" s="859">
        <f t="shared" si="0"/>
        <v>186967000</v>
      </c>
      <c r="F71" s="859">
        <f>+'CY-FUR (REG)- Detail'!G133</f>
        <v>0</v>
      </c>
      <c r="G71" s="859">
        <f>+'CY-FUR (REG)- Detail'!H133</f>
        <v>0</v>
      </c>
      <c r="H71" s="859">
        <f>+'CY-FUR (REG)- Detail'!I133</f>
        <v>0</v>
      </c>
      <c r="I71" s="859">
        <f t="shared" ref="I71" si="230">SUM(F71:H71)</f>
        <v>0</v>
      </c>
      <c r="J71" s="859">
        <f t="shared" ref="J71" si="231">+B71+F71</f>
        <v>124554000</v>
      </c>
      <c r="K71" s="859">
        <f t="shared" ref="K71" si="232">+C71+G71</f>
        <v>62413000</v>
      </c>
      <c r="L71" s="859">
        <f t="shared" ref="L71" si="233">+D71+H71</f>
        <v>0</v>
      </c>
      <c r="M71" s="859">
        <f t="shared" ref="M71" si="234">SUM(J71:L71)</f>
        <v>186967000</v>
      </c>
      <c r="N71" s="859">
        <f>+'CY-FUR (REG)- Detail'!O133</f>
        <v>124554000</v>
      </c>
      <c r="O71" s="859">
        <f>+'CY-FUR (REG)- Detail'!P133</f>
        <v>62413000</v>
      </c>
      <c r="P71" s="859">
        <f>+'CY-FUR (REG)- Detail'!Q133</f>
        <v>0</v>
      </c>
      <c r="Q71" s="859">
        <f t="shared" si="6"/>
        <v>186967000</v>
      </c>
      <c r="R71" s="859">
        <f>+'CY-FUR (REG)- Detail'!S133</f>
        <v>0</v>
      </c>
      <c r="S71" s="859">
        <f>+'CY-FUR (REG)- Detail'!T133</f>
        <v>0</v>
      </c>
      <c r="T71" s="859">
        <f>+'CY-FUR (REG)- Detail'!U133</f>
        <v>0</v>
      </c>
      <c r="U71" s="859">
        <f t="shared" ref="U71" si="235">SUM(R71:T71)</f>
        <v>0</v>
      </c>
      <c r="V71" s="859">
        <f>+'CY-FUR (REG)- Detail'!W133</f>
        <v>0</v>
      </c>
      <c r="W71" s="859">
        <f>+'CY-FUR (REG)- Detail'!X133</f>
        <v>23384000</v>
      </c>
      <c r="X71" s="859">
        <f>+'CY-FUR (REG)- Detail'!Y133</f>
        <v>44130000</v>
      </c>
      <c r="Y71" s="859">
        <f t="shared" si="7"/>
        <v>67514000</v>
      </c>
      <c r="Z71" s="859">
        <f t="shared" ref="Z71" si="236">+N71+V71+R71</f>
        <v>124554000</v>
      </c>
      <c r="AA71" s="859">
        <f t="shared" ref="AA71" si="237">+O71+W71+S71</f>
        <v>85797000</v>
      </c>
      <c r="AB71" s="859">
        <f t="shared" ref="AB71" si="238">+P71+X71+T71</f>
        <v>44130000</v>
      </c>
      <c r="AC71" s="859">
        <f t="shared" si="11"/>
        <v>254481000</v>
      </c>
      <c r="AD71" s="859">
        <f>+'CY-FUR (REG)- Detail'!AE133</f>
        <v>112718064.14</v>
      </c>
      <c r="AE71" s="859">
        <f>+'CY-FUR (REG)- Detail'!AF133</f>
        <v>58537225.75</v>
      </c>
      <c r="AF71" s="859">
        <f>+'CY-FUR (REG)- Detail'!AG133</f>
        <v>0</v>
      </c>
      <c r="AG71" s="859">
        <f t="shared" ref="AG71" si="239">SUM(AD71:AF71)</f>
        <v>171255289.88999999</v>
      </c>
      <c r="AH71" s="859">
        <f>+'CY-FUR (REG)- Detail'!AI133</f>
        <v>0</v>
      </c>
      <c r="AI71" s="859">
        <f>+'CY-FUR (REG)- Detail'!AJ133</f>
        <v>18378141.779999997</v>
      </c>
      <c r="AJ71" s="859">
        <f>+'CY-FUR (REG)- Detail'!AK133</f>
        <v>37563939.250000007</v>
      </c>
      <c r="AK71" s="859">
        <f t="shared" ref="AK71" si="240">SUM(AH71:AJ71)</f>
        <v>55942081.030000001</v>
      </c>
      <c r="AL71" s="859">
        <f t="shared" ref="AL71" si="241">+AH71+AD71</f>
        <v>112718064.14</v>
      </c>
      <c r="AM71" s="859">
        <f t="shared" ref="AM71" si="242">+AI71+AE71</f>
        <v>76915367.530000001</v>
      </c>
      <c r="AN71" s="859">
        <f t="shared" ref="AN71" si="243">+AJ71+AF71</f>
        <v>37563939.250000007</v>
      </c>
      <c r="AO71" s="859">
        <f t="shared" si="15"/>
        <v>227197370.92000002</v>
      </c>
      <c r="AP71" s="859">
        <f t="shared" si="24"/>
        <v>11835935.859999999</v>
      </c>
      <c r="AQ71" s="859">
        <f t="shared" si="25"/>
        <v>8881632.4699999988</v>
      </c>
      <c r="AR71" s="859">
        <f t="shared" si="26"/>
        <v>6566060.7499999925</v>
      </c>
      <c r="AS71" s="859">
        <f t="shared" si="19"/>
        <v>27283629.079999991</v>
      </c>
      <c r="AT71" s="1143">
        <f t="shared" si="27"/>
        <v>0.90497345841964127</v>
      </c>
      <c r="AU71" s="1143">
        <f t="shared" si="28"/>
        <v>0.89648085049593806</v>
      </c>
      <c r="AV71" s="1143">
        <f t="shared" si="29"/>
        <v>0.85121095060049867</v>
      </c>
      <c r="AW71" s="1143">
        <f t="shared" si="30"/>
        <v>0.89278716650751933</v>
      </c>
      <c r="AX71" s="22">
        <f t="shared" si="31"/>
        <v>0</v>
      </c>
      <c r="AY71" s="22">
        <f t="shared" si="32"/>
        <v>0</v>
      </c>
      <c r="AZ71" s="22">
        <f t="shared" si="33"/>
        <v>0</v>
      </c>
      <c r="BA71" s="22">
        <f t="shared" si="34"/>
        <v>0</v>
      </c>
      <c r="BF71" s="824">
        <f t="shared" si="35"/>
        <v>3875774.25</v>
      </c>
    </row>
    <row r="72" spans="1:58" s="16" customFormat="1">
      <c r="A72" s="905" t="s">
        <v>1001</v>
      </c>
      <c r="B72" s="859">
        <f>+'CY-FUR (REG)- Detail'!C134</f>
        <v>86436000</v>
      </c>
      <c r="C72" s="859">
        <f>+'CY-FUR (REG)- Detail'!D134</f>
        <v>28587000</v>
      </c>
      <c r="D72" s="859">
        <f>+'CY-FUR (REG)- Detail'!E134</f>
        <v>0</v>
      </c>
      <c r="E72" s="859">
        <f t="shared" si="0"/>
        <v>115023000</v>
      </c>
      <c r="F72" s="859">
        <f>+'CY-FUR (REG)- Detail'!G134</f>
        <v>0</v>
      </c>
      <c r="G72" s="859">
        <f>+'CY-FUR (REG)- Detail'!H134</f>
        <v>0</v>
      </c>
      <c r="H72" s="859">
        <f>+'CY-FUR (REG)- Detail'!I134</f>
        <v>0</v>
      </c>
      <c r="I72" s="859">
        <f t="shared" ref="I72:I74" si="244">SUM(F72:H72)</f>
        <v>0</v>
      </c>
      <c r="J72" s="859">
        <f t="shared" ref="J72:J74" si="245">+B72+F72</f>
        <v>86436000</v>
      </c>
      <c r="K72" s="859">
        <f t="shared" ref="K72:K74" si="246">+C72+G72</f>
        <v>28587000</v>
      </c>
      <c r="L72" s="859">
        <f t="shared" ref="L72:L74" si="247">+D72+H72</f>
        <v>0</v>
      </c>
      <c r="M72" s="859">
        <f t="shared" ref="M72:M74" si="248">SUM(J72:L72)</f>
        <v>115023000</v>
      </c>
      <c r="N72" s="859">
        <f>+'CY-FUR (REG)- Detail'!O134</f>
        <v>86436000</v>
      </c>
      <c r="O72" s="859">
        <f>+'CY-FUR (REG)- Detail'!P134</f>
        <v>28587000</v>
      </c>
      <c r="P72" s="859">
        <f>+'CY-FUR (REG)- Detail'!Q134</f>
        <v>0</v>
      </c>
      <c r="Q72" s="859">
        <f t="shared" si="6"/>
        <v>115023000</v>
      </c>
      <c r="R72" s="859">
        <f>+'CY-FUR (REG)- Detail'!S134</f>
        <v>0</v>
      </c>
      <c r="S72" s="859">
        <f>+'CY-FUR (REG)- Detail'!T134</f>
        <v>0</v>
      </c>
      <c r="T72" s="859">
        <f>+'CY-FUR (REG)- Detail'!U134</f>
        <v>0</v>
      </c>
      <c r="U72" s="859">
        <f t="shared" ref="U72:U74" si="249">SUM(R72:T72)</f>
        <v>0</v>
      </c>
      <c r="V72" s="859">
        <f>+'CY-FUR (REG)- Detail'!W134</f>
        <v>0</v>
      </c>
      <c r="W72" s="859">
        <f>+'CY-FUR (REG)- Detail'!X134</f>
        <v>13933400</v>
      </c>
      <c r="X72" s="859">
        <f>+'CY-FUR (REG)- Detail'!Y134</f>
        <v>100000000</v>
      </c>
      <c r="Y72" s="859">
        <f t="shared" si="7"/>
        <v>113933400</v>
      </c>
      <c r="Z72" s="859">
        <f t="shared" ref="Z72:Z74" si="250">+N72+V72+R72</f>
        <v>86436000</v>
      </c>
      <c r="AA72" s="859">
        <f t="shared" ref="AA72:AA74" si="251">+O72+W72+S72</f>
        <v>42520400</v>
      </c>
      <c r="AB72" s="859">
        <f t="shared" ref="AB72:AB74" si="252">+P72+X72+T72</f>
        <v>100000000</v>
      </c>
      <c r="AC72" s="859">
        <f t="shared" si="11"/>
        <v>228956400</v>
      </c>
      <c r="AD72" s="859">
        <f>+'CY-FUR (REG)- Detail'!AE134</f>
        <v>79120486.75</v>
      </c>
      <c r="AE72" s="859">
        <f>+'CY-FUR (REG)- Detail'!AF134</f>
        <v>20143649.919999998</v>
      </c>
      <c r="AF72" s="859">
        <f>+'CY-FUR (REG)- Detail'!AG134</f>
        <v>0</v>
      </c>
      <c r="AG72" s="859">
        <f t="shared" ref="AG72:AG74" si="253">SUM(AD72:AF72)</f>
        <v>99264136.670000002</v>
      </c>
      <c r="AH72" s="859">
        <f>+'CY-FUR (REG)- Detail'!AI134</f>
        <v>0</v>
      </c>
      <c r="AI72" s="859">
        <f>+'CY-FUR (REG)- Detail'!AJ134</f>
        <v>12615063.07</v>
      </c>
      <c r="AJ72" s="859">
        <f>+'CY-FUR (REG)- Detail'!AK134</f>
        <v>96715086</v>
      </c>
      <c r="AK72" s="859">
        <f t="shared" ref="AK72:AK74" si="254">SUM(AH72:AJ72)</f>
        <v>109330149.06999999</v>
      </c>
      <c r="AL72" s="859">
        <f t="shared" ref="AL72:AL74" si="255">+AH72+AD72</f>
        <v>79120486.75</v>
      </c>
      <c r="AM72" s="859">
        <f t="shared" ref="AM72:AM74" si="256">+AI72+AE72</f>
        <v>32758712.989999998</v>
      </c>
      <c r="AN72" s="859">
        <f t="shared" ref="AN72:AN74" si="257">+AJ72+AF72</f>
        <v>96715086</v>
      </c>
      <c r="AO72" s="859">
        <f t="shared" si="15"/>
        <v>208594285.74000001</v>
      </c>
      <c r="AP72" s="859">
        <f t="shared" si="24"/>
        <v>7315513.25</v>
      </c>
      <c r="AQ72" s="859">
        <f t="shared" si="25"/>
        <v>9761687.0100000016</v>
      </c>
      <c r="AR72" s="859">
        <f t="shared" si="26"/>
        <v>3284914</v>
      </c>
      <c r="AS72" s="859">
        <f t="shared" si="19"/>
        <v>20362114.260000002</v>
      </c>
      <c r="AT72" s="1143">
        <f t="shared" si="27"/>
        <v>0.915364972349484</v>
      </c>
      <c r="AU72" s="1143">
        <f t="shared" si="28"/>
        <v>0.77042344357061543</v>
      </c>
      <c r="AV72" s="1143">
        <f t="shared" si="29"/>
        <v>0.96715085999999995</v>
      </c>
      <c r="AW72" s="1143">
        <f t="shared" si="30"/>
        <v>0.91106553798015699</v>
      </c>
      <c r="AX72" s="22">
        <f t="shared" si="31"/>
        <v>0</v>
      </c>
      <c r="AY72" s="22">
        <f t="shared" si="32"/>
        <v>0</v>
      </c>
      <c r="AZ72" s="22">
        <f t="shared" si="33"/>
        <v>0</v>
      </c>
      <c r="BA72" s="22">
        <f t="shared" si="34"/>
        <v>0</v>
      </c>
      <c r="BF72" s="824">
        <f t="shared" si="35"/>
        <v>8443350.0800000019</v>
      </c>
    </row>
    <row r="73" spans="1:58" s="16" customFormat="1">
      <c r="A73" s="905" t="s">
        <v>1002</v>
      </c>
      <c r="B73" s="859">
        <f>+'CY-FUR (REG)- Detail'!C135</f>
        <v>17591000</v>
      </c>
      <c r="C73" s="859">
        <f>+'CY-FUR (REG)- Detail'!D135</f>
        <v>7003000</v>
      </c>
      <c r="D73" s="859">
        <f>+'CY-FUR (REG)- Detail'!E135</f>
        <v>0</v>
      </c>
      <c r="E73" s="859">
        <f t="shared" si="0"/>
        <v>24594000</v>
      </c>
      <c r="F73" s="859">
        <f>+'CY-FUR (REG)- Detail'!G135</f>
        <v>0</v>
      </c>
      <c r="G73" s="859">
        <f>+'CY-FUR (REG)- Detail'!H135</f>
        <v>0</v>
      </c>
      <c r="H73" s="859">
        <f>+'CY-FUR (REG)- Detail'!I135</f>
        <v>0</v>
      </c>
      <c r="I73" s="859">
        <f t="shared" si="244"/>
        <v>0</v>
      </c>
      <c r="J73" s="859">
        <f t="shared" si="245"/>
        <v>17591000</v>
      </c>
      <c r="K73" s="859">
        <f t="shared" si="246"/>
        <v>7003000</v>
      </c>
      <c r="L73" s="859">
        <f t="shared" si="247"/>
        <v>0</v>
      </c>
      <c r="M73" s="859">
        <f t="shared" si="248"/>
        <v>24594000</v>
      </c>
      <c r="N73" s="859">
        <f>+'CY-FUR (REG)- Detail'!O135</f>
        <v>17591000</v>
      </c>
      <c r="O73" s="859">
        <f>+'CY-FUR (REG)- Detail'!P135</f>
        <v>7003000</v>
      </c>
      <c r="P73" s="859">
        <f>+'CY-FUR (REG)- Detail'!Q135</f>
        <v>0</v>
      </c>
      <c r="Q73" s="859">
        <f t="shared" si="6"/>
        <v>24594000</v>
      </c>
      <c r="R73" s="859">
        <f>+'CY-FUR (REG)- Detail'!S135</f>
        <v>0</v>
      </c>
      <c r="S73" s="859">
        <f>+'CY-FUR (REG)- Detail'!T135</f>
        <v>0</v>
      </c>
      <c r="T73" s="859">
        <f>+'CY-FUR (REG)- Detail'!U135</f>
        <v>0</v>
      </c>
      <c r="U73" s="859">
        <f t="shared" si="249"/>
        <v>0</v>
      </c>
      <c r="V73" s="859">
        <f>+'CY-FUR (REG)- Detail'!W135</f>
        <v>0</v>
      </c>
      <c r="W73" s="859">
        <f>+'CY-FUR (REG)- Detail'!X135</f>
        <v>3572000</v>
      </c>
      <c r="X73" s="859">
        <f>+'CY-FUR (REG)- Detail'!Y135</f>
        <v>95000000</v>
      </c>
      <c r="Y73" s="859">
        <f t="shared" si="7"/>
        <v>98572000</v>
      </c>
      <c r="Z73" s="859">
        <f t="shared" si="250"/>
        <v>17591000</v>
      </c>
      <c r="AA73" s="859">
        <f t="shared" si="251"/>
        <v>10575000</v>
      </c>
      <c r="AB73" s="859">
        <f t="shared" si="252"/>
        <v>95000000</v>
      </c>
      <c r="AC73" s="859">
        <f t="shared" si="11"/>
        <v>123166000</v>
      </c>
      <c r="AD73" s="859">
        <f>+'CY-FUR (REG)- Detail'!AE135</f>
        <v>15901788.83</v>
      </c>
      <c r="AE73" s="859">
        <f>+'CY-FUR (REG)- Detail'!AF135</f>
        <v>5830192.04</v>
      </c>
      <c r="AF73" s="859">
        <f>+'CY-FUR (REG)- Detail'!AG135</f>
        <v>0</v>
      </c>
      <c r="AG73" s="859">
        <f t="shared" si="253"/>
        <v>21731980.870000001</v>
      </c>
      <c r="AH73" s="859">
        <f>+'CY-FUR (REG)- Detail'!AI135</f>
        <v>0</v>
      </c>
      <c r="AI73" s="859">
        <f>+'CY-FUR (REG)- Detail'!AJ135</f>
        <v>3144372.21</v>
      </c>
      <c r="AJ73" s="859">
        <f>+'CY-FUR (REG)- Detail'!AK135</f>
        <v>95000000</v>
      </c>
      <c r="AK73" s="859">
        <f t="shared" si="254"/>
        <v>98144372.209999993</v>
      </c>
      <c r="AL73" s="859">
        <f t="shared" si="255"/>
        <v>15901788.83</v>
      </c>
      <c r="AM73" s="859">
        <f t="shared" si="256"/>
        <v>8974564.25</v>
      </c>
      <c r="AN73" s="859">
        <f t="shared" si="257"/>
        <v>95000000</v>
      </c>
      <c r="AO73" s="859">
        <f t="shared" si="15"/>
        <v>119876353.08</v>
      </c>
      <c r="AP73" s="859">
        <f t="shared" si="24"/>
        <v>1689211.17</v>
      </c>
      <c r="AQ73" s="859">
        <f t="shared" si="25"/>
        <v>1600435.75</v>
      </c>
      <c r="AR73" s="859">
        <f t="shared" si="26"/>
        <v>0</v>
      </c>
      <c r="AS73" s="859">
        <f t="shared" si="19"/>
        <v>3289646.92</v>
      </c>
      <c r="AT73" s="1143">
        <f t="shared" si="27"/>
        <v>0.90397298789153546</v>
      </c>
      <c r="AU73" s="1143">
        <f t="shared" si="28"/>
        <v>0.84865855791962175</v>
      </c>
      <c r="AV73" s="1143">
        <f t="shared" si="29"/>
        <v>1</v>
      </c>
      <c r="AW73" s="1143">
        <f t="shared" si="30"/>
        <v>0.97329094945033534</v>
      </c>
      <c r="AX73" s="22">
        <f t="shared" si="31"/>
        <v>0</v>
      </c>
      <c r="AY73" s="22">
        <f t="shared" si="32"/>
        <v>0</v>
      </c>
      <c r="AZ73" s="22">
        <f t="shared" si="33"/>
        <v>0</v>
      </c>
      <c r="BA73" s="22">
        <f t="shared" si="34"/>
        <v>0</v>
      </c>
      <c r="BF73" s="824">
        <f t="shared" si="35"/>
        <v>1172807.96</v>
      </c>
    </row>
    <row r="74" spans="1:58" s="16" customFormat="1">
      <c r="A74" s="905" t="s">
        <v>1003</v>
      </c>
      <c r="B74" s="859">
        <f>+'CY-FUR (REG)- Detail'!C136</f>
        <v>26147000</v>
      </c>
      <c r="C74" s="859">
        <f>+'CY-FUR (REG)- Detail'!D136</f>
        <v>9776000</v>
      </c>
      <c r="D74" s="859">
        <f>+'CY-FUR (REG)- Detail'!E136</f>
        <v>0</v>
      </c>
      <c r="E74" s="859">
        <f t="shared" si="0"/>
        <v>35923000</v>
      </c>
      <c r="F74" s="859">
        <f>+'CY-FUR (REG)- Detail'!G136</f>
        <v>0</v>
      </c>
      <c r="G74" s="859">
        <f>+'CY-FUR (REG)- Detail'!H136</f>
        <v>0</v>
      </c>
      <c r="H74" s="859">
        <f>+'CY-FUR (REG)- Detail'!I136</f>
        <v>0</v>
      </c>
      <c r="I74" s="859">
        <f t="shared" si="244"/>
        <v>0</v>
      </c>
      <c r="J74" s="859">
        <f t="shared" si="245"/>
        <v>26147000</v>
      </c>
      <c r="K74" s="859">
        <f t="shared" si="246"/>
        <v>9776000</v>
      </c>
      <c r="L74" s="859">
        <f t="shared" si="247"/>
        <v>0</v>
      </c>
      <c r="M74" s="859">
        <f t="shared" si="248"/>
        <v>35923000</v>
      </c>
      <c r="N74" s="859">
        <f>+'CY-FUR (REG)- Detail'!O136</f>
        <v>26147000</v>
      </c>
      <c r="O74" s="859">
        <f>+'CY-FUR (REG)- Detail'!P136</f>
        <v>9776000</v>
      </c>
      <c r="P74" s="859">
        <f>+'CY-FUR (REG)- Detail'!Q136</f>
        <v>0</v>
      </c>
      <c r="Q74" s="859">
        <f t="shared" si="6"/>
        <v>35923000</v>
      </c>
      <c r="R74" s="859">
        <f>+'CY-FUR (REG)- Detail'!S136</f>
        <v>0</v>
      </c>
      <c r="S74" s="859">
        <f>+'CY-FUR (REG)- Detail'!T136</f>
        <v>0</v>
      </c>
      <c r="T74" s="859">
        <f>+'CY-FUR (REG)- Detail'!U136</f>
        <v>0</v>
      </c>
      <c r="U74" s="859">
        <f t="shared" si="249"/>
        <v>0</v>
      </c>
      <c r="V74" s="859">
        <f>+'CY-FUR (REG)- Detail'!W136</f>
        <v>0</v>
      </c>
      <c r="W74" s="859">
        <f>+'CY-FUR (REG)- Detail'!X136</f>
        <v>3806000</v>
      </c>
      <c r="X74" s="859">
        <f>+'CY-FUR (REG)- Detail'!Y136</f>
        <v>151000000</v>
      </c>
      <c r="Y74" s="859">
        <f t="shared" si="7"/>
        <v>154806000</v>
      </c>
      <c r="Z74" s="859">
        <f t="shared" si="250"/>
        <v>26147000</v>
      </c>
      <c r="AA74" s="859">
        <f t="shared" si="251"/>
        <v>13582000</v>
      </c>
      <c r="AB74" s="859">
        <f t="shared" si="252"/>
        <v>151000000</v>
      </c>
      <c r="AC74" s="859">
        <f t="shared" si="11"/>
        <v>190729000</v>
      </c>
      <c r="AD74" s="859">
        <f>+'CY-FUR (REG)- Detail'!AE136</f>
        <v>23387609.050000001</v>
      </c>
      <c r="AE74" s="859">
        <f>+'CY-FUR (REG)- Detail'!AF136</f>
        <v>8298283.1000000006</v>
      </c>
      <c r="AF74" s="859">
        <f>+'CY-FUR (REG)- Detail'!AG136</f>
        <v>0</v>
      </c>
      <c r="AG74" s="859">
        <f t="shared" si="253"/>
        <v>31685892.150000002</v>
      </c>
      <c r="AH74" s="859">
        <f>+'CY-FUR (REG)- Detail'!AI136</f>
        <v>0</v>
      </c>
      <c r="AI74" s="859">
        <f>+'CY-FUR (REG)- Detail'!AJ136</f>
        <v>2002599.98</v>
      </c>
      <c r="AJ74" s="859">
        <f>+'CY-FUR (REG)- Detail'!AK136</f>
        <v>150637267.77000001</v>
      </c>
      <c r="AK74" s="859">
        <f t="shared" si="254"/>
        <v>152639867.75</v>
      </c>
      <c r="AL74" s="859">
        <f t="shared" si="255"/>
        <v>23387609.050000001</v>
      </c>
      <c r="AM74" s="859">
        <f t="shared" si="256"/>
        <v>10300883.08</v>
      </c>
      <c r="AN74" s="859">
        <f t="shared" si="257"/>
        <v>150637267.77000001</v>
      </c>
      <c r="AO74" s="859">
        <f t="shared" si="15"/>
        <v>184325759.90000001</v>
      </c>
      <c r="AP74" s="859">
        <f t="shared" ref="AP74:AP137" si="258">+Z74-AL74</f>
        <v>2759390.9499999993</v>
      </c>
      <c r="AQ74" s="859">
        <f t="shared" ref="AQ74:AQ137" si="259">+AA74-AM74</f>
        <v>3281116.92</v>
      </c>
      <c r="AR74" s="859">
        <f t="shared" ref="AR74:AR137" si="260">+AB74-AN74</f>
        <v>362732.22999998927</v>
      </c>
      <c r="AS74" s="859">
        <f t="shared" si="19"/>
        <v>6403240.0999999885</v>
      </c>
      <c r="AT74" s="1143">
        <f t="shared" ref="AT74:AT137" si="261">IF(Z74=0," ",AL74/Z74)</f>
        <v>0.89446625043025974</v>
      </c>
      <c r="AU74" s="1143">
        <f t="shared" ref="AU74:AU137" si="262">IF(AA74=0," ",AM74/AA74)</f>
        <v>0.75842166691208956</v>
      </c>
      <c r="AV74" s="1143">
        <f t="shared" ref="AV74:AV137" si="263">IF(AB74=0," ",AN74/AB74)</f>
        <v>0.99759779980132457</v>
      </c>
      <c r="AW74" s="1143">
        <f t="shared" ref="AW74:AW137" si="264">IF(AC74=0," ",AO74/AC74)</f>
        <v>0.96642754851123847</v>
      </c>
      <c r="AX74" s="22">
        <f t="shared" ref="AX74:AX137" si="265">+J74-N74</f>
        <v>0</v>
      </c>
      <c r="AY74" s="22">
        <f t="shared" ref="AY74:AY137" si="266">+K74-O74</f>
        <v>0</v>
      </c>
      <c r="AZ74" s="22">
        <f t="shared" ref="AZ74:AZ137" si="267">+L74-P74</f>
        <v>0</v>
      </c>
      <c r="BA74" s="22">
        <f t="shared" ref="BA74:BA137" si="268">SUM(AX74:AZ74)</f>
        <v>0</v>
      </c>
      <c r="BF74" s="824">
        <f t="shared" ref="BF74:BF137" si="269">+O74-AE74</f>
        <v>1477716.8999999994</v>
      </c>
    </row>
    <row r="75" spans="1:58" s="16" customFormat="1">
      <c r="A75" s="592"/>
      <c r="B75" s="859"/>
      <c r="C75" s="859"/>
      <c r="D75" s="859"/>
      <c r="E75" s="860">
        <f t="shared" si="0"/>
        <v>0</v>
      </c>
      <c r="F75" s="859"/>
      <c r="G75" s="859"/>
      <c r="H75" s="859"/>
      <c r="I75" s="860"/>
      <c r="J75" s="859"/>
      <c r="K75" s="859"/>
      <c r="L75" s="859"/>
      <c r="M75" s="860"/>
      <c r="N75" s="859"/>
      <c r="O75" s="859"/>
      <c r="P75" s="859"/>
      <c r="Q75" s="860">
        <f t="shared" si="6"/>
        <v>0</v>
      </c>
      <c r="R75" s="859"/>
      <c r="S75" s="859"/>
      <c r="T75" s="859"/>
      <c r="U75" s="860"/>
      <c r="V75" s="859"/>
      <c r="W75" s="859"/>
      <c r="X75" s="859"/>
      <c r="Y75" s="860">
        <f t="shared" si="7"/>
        <v>0</v>
      </c>
      <c r="Z75" s="860"/>
      <c r="AA75" s="860"/>
      <c r="AB75" s="860"/>
      <c r="AC75" s="860">
        <f t="shared" si="11"/>
        <v>0</v>
      </c>
      <c r="AD75" s="859"/>
      <c r="AE75" s="859"/>
      <c r="AF75" s="859"/>
      <c r="AG75" s="860"/>
      <c r="AH75" s="859"/>
      <c r="AI75" s="859"/>
      <c r="AJ75" s="859"/>
      <c r="AK75" s="860"/>
      <c r="AL75" s="860"/>
      <c r="AM75" s="860"/>
      <c r="AN75" s="860"/>
      <c r="AO75" s="860">
        <f t="shared" si="15"/>
        <v>0</v>
      </c>
      <c r="AP75" s="860">
        <f t="shared" si="258"/>
        <v>0</v>
      </c>
      <c r="AQ75" s="860">
        <f t="shared" si="259"/>
        <v>0</v>
      </c>
      <c r="AR75" s="860">
        <f t="shared" si="260"/>
        <v>0</v>
      </c>
      <c r="AS75" s="860">
        <f t="shared" si="19"/>
        <v>0</v>
      </c>
      <c r="AT75" s="1143" t="str">
        <f t="shared" si="261"/>
        <v xml:space="preserve"> </v>
      </c>
      <c r="AU75" s="1143" t="str">
        <f t="shared" si="262"/>
        <v xml:space="preserve"> </v>
      </c>
      <c r="AV75" s="1143" t="str">
        <f t="shared" si="263"/>
        <v xml:space="preserve"> </v>
      </c>
      <c r="AW75" s="1143" t="str">
        <f t="shared" si="264"/>
        <v xml:space="preserve"> </v>
      </c>
      <c r="AX75" s="22">
        <f t="shared" si="265"/>
        <v>0</v>
      </c>
      <c r="AY75" s="22">
        <f t="shared" si="266"/>
        <v>0</v>
      </c>
      <c r="AZ75" s="22">
        <f t="shared" si="267"/>
        <v>0</v>
      </c>
      <c r="BA75" s="22">
        <f t="shared" si="268"/>
        <v>0</v>
      </c>
      <c r="BF75" s="824">
        <f t="shared" si="269"/>
        <v>0</v>
      </c>
    </row>
    <row r="76" spans="1:58" s="609" customFormat="1" ht="16.5">
      <c r="A76" s="1153" t="s">
        <v>1010</v>
      </c>
      <c r="B76" s="1151">
        <f>SUM(B77:B82)</f>
        <v>441423000</v>
      </c>
      <c r="C76" s="1151">
        <f>SUM(C77:C82)</f>
        <v>349381000</v>
      </c>
      <c r="D76" s="1151">
        <f t="shared" ref="D76:AN76" si="270">SUM(D77:D82)</f>
        <v>0</v>
      </c>
      <c r="E76" s="1151">
        <f t="shared" si="0"/>
        <v>790804000</v>
      </c>
      <c r="F76" s="1151">
        <f t="shared" si="270"/>
        <v>0</v>
      </c>
      <c r="G76" s="1151">
        <f t="shared" si="270"/>
        <v>0</v>
      </c>
      <c r="H76" s="1151">
        <f t="shared" si="270"/>
        <v>0</v>
      </c>
      <c r="I76" s="1151">
        <f t="shared" si="270"/>
        <v>0</v>
      </c>
      <c r="J76" s="1151">
        <f t="shared" si="270"/>
        <v>441423000</v>
      </c>
      <c r="K76" s="1151">
        <f t="shared" si="270"/>
        <v>349381000</v>
      </c>
      <c r="L76" s="1151">
        <f t="shared" si="270"/>
        <v>0</v>
      </c>
      <c r="M76" s="1151">
        <f t="shared" si="270"/>
        <v>790804000</v>
      </c>
      <c r="N76" s="1151">
        <f t="shared" si="270"/>
        <v>441423000</v>
      </c>
      <c r="O76" s="1151">
        <f t="shared" si="270"/>
        <v>349381000</v>
      </c>
      <c r="P76" s="1151">
        <f t="shared" si="270"/>
        <v>0</v>
      </c>
      <c r="Q76" s="1151">
        <f t="shared" si="6"/>
        <v>790804000</v>
      </c>
      <c r="R76" s="1151">
        <f t="shared" si="270"/>
        <v>0</v>
      </c>
      <c r="S76" s="1151">
        <f t="shared" si="270"/>
        <v>0</v>
      </c>
      <c r="T76" s="1151">
        <f t="shared" si="270"/>
        <v>0</v>
      </c>
      <c r="U76" s="1151">
        <f t="shared" si="270"/>
        <v>0</v>
      </c>
      <c r="V76" s="1151">
        <f t="shared" si="270"/>
        <v>827006</v>
      </c>
      <c r="W76" s="1151">
        <f t="shared" si="270"/>
        <v>255789950</v>
      </c>
      <c r="X76" s="1151">
        <f t="shared" si="270"/>
        <v>327292000</v>
      </c>
      <c r="Y76" s="1151">
        <f t="shared" si="7"/>
        <v>583908956</v>
      </c>
      <c r="Z76" s="1151">
        <f t="shared" si="270"/>
        <v>442250006</v>
      </c>
      <c r="AA76" s="1151">
        <f t="shared" si="270"/>
        <v>605170950</v>
      </c>
      <c r="AB76" s="1151">
        <f t="shared" si="270"/>
        <v>327292000</v>
      </c>
      <c r="AC76" s="1151">
        <f t="shared" si="11"/>
        <v>1374712956</v>
      </c>
      <c r="AD76" s="1151">
        <f t="shared" si="270"/>
        <v>386886712.24000001</v>
      </c>
      <c r="AE76" s="1151">
        <f t="shared" si="270"/>
        <v>218789753.56999999</v>
      </c>
      <c r="AF76" s="1151">
        <f t="shared" si="270"/>
        <v>0</v>
      </c>
      <c r="AG76" s="1151">
        <f t="shared" si="270"/>
        <v>605676465.80999994</v>
      </c>
      <c r="AH76" s="1151">
        <f t="shared" si="270"/>
        <v>763888.76999999979</v>
      </c>
      <c r="AI76" s="1151">
        <f t="shared" si="270"/>
        <v>186549292.82000002</v>
      </c>
      <c r="AJ76" s="1151">
        <f t="shared" si="270"/>
        <v>316797794.56999999</v>
      </c>
      <c r="AK76" s="1151">
        <f t="shared" si="270"/>
        <v>504110976.15999997</v>
      </c>
      <c r="AL76" s="1151">
        <f t="shared" si="270"/>
        <v>387650601.00999999</v>
      </c>
      <c r="AM76" s="1151">
        <f t="shared" si="270"/>
        <v>405339046.38999999</v>
      </c>
      <c r="AN76" s="1151">
        <f t="shared" si="270"/>
        <v>316797794.56999999</v>
      </c>
      <c r="AO76" s="1151">
        <f t="shared" si="15"/>
        <v>1109787441.97</v>
      </c>
      <c r="AP76" s="1151">
        <f t="shared" si="258"/>
        <v>54599404.99000001</v>
      </c>
      <c r="AQ76" s="1151">
        <f t="shared" si="259"/>
        <v>199831903.61000001</v>
      </c>
      <c r="AR76" s="1151">
        <f t="shared" si="260"/>
        <v>10494205.430000007</v>
      </c>
      <c r="AS76" s="1151">
        <f t="shared" si="19"/>
        <v>264925514.03000003</v>
      </c>
      <c r="AT76" s="1165">
        <f t="shared" si="261"/>
        <v>0.87654176540587769</v>
      </c>
      <c r="AU76" s="1165">
        <f t="shared" si="262"/>
        <v>0.66979263692350066</v>
      </c>
      <c r="AV76" s="1165">
        <f t="shared" si="263"/>
        <v>0.96793626049521531</v>
      </c>
      <c r="AW76" s="1165">
        <f t="shared" si="264"/>
        <v>0.80728666819227968</v>
      </c>
      <c r="AX76" s="1152">
        <f t="shared" si="265"/>
        <v>0</v>
      </c>
      <c r="AY76" s="1152">
        <f t="shared" si="266"/>
        <v>0</v>
      </c>
      <c r="AZ76" s="1152">
        <f t="shared" si="267"/>
        <v>0</v>
      </c>
      <c r="BA76" s="1152">
        <f t="shared" si="268"/>
        <v>0</v>
      </c>
      <c r="BB76" s="1132">
        <f>+AS76-'CY (ALL FUNDS)'!Q509</f>
        <v>0</v>
      </c>
      <c r="BF76" s="824">
        <f t="shared" si="269"/>
        <v>130591246.43000001</v>
      </c>
    </row>
    <row r="77" spans="1:58" s="903" customFormat="1">
      <c r="A77" s="905" t="s">
        <v>1009</v>
      </c>
      <c r="B77" s="859">
        <f>SUM('CY-FUR (REG)- Detail'!C139:C141)</f>
        <v>87622000</v>
      </c>
      <c r="C77" s="859">
        <f>SUM('CY-FUR (REG)- Detail'!D139:D141)</f>
        <v>180582000</v>
      </c>
      <c r="D77" s="859">
        <f>SUM('CY-FUR (REG)- Detail'!E139:E141)</f>
        <v>0</v>
      </c>
      <c r="E77" s="859">
        <f t="shared" si="0"/>
        <v>268204000</v>
      </c>
      <c r="F77" s="859">
        <f>SUM('CY-FUR (REG)- Detail'!G139:G141)</f>
        <v>0</v>
      </c>
      <c r="G77" s="859">
        <f>SUM('CY-FUR (REG)- Detail'!H139:H141)</f>
        <v>0</v>
      </c>
      <c r="H77" s="859">
        <f>SUM('CY-FUR (REG)- Detail'!I139:I141)</f>
        <v>0</v>
      </c>
      <c r="I77" s="859">
        <f>SUM('CY-FUR (REG)- Detail'!J139:J141)</f>
        <v>0</v>
      </c>
      <c r="J77" s="859">
        <f>SUM('CY-FUR (REG)- Detail'!K139:K141)</f>
        <v>87622000</v>
      </c>
      <c r="K77" s="859">
        <f>SUM('CY-FUR (REG)- Detail'!L139:L141)</f>
        <v>180582000</v>
      </c>
      <c r="L77" s="859">
        <f>SUM('CY-FUR (REG)- Detail'!M139:M141)</f>
        <v>0</v>
      </c>
      <c r="M77" s="859">
        <f>SUM('CY-FUR (REG)- Detail'!N139:N141)</f>
        <v>268204000</v>
      </c>
      <c r="N77" s="859">
        <f>SUM('CY-FUR (REG)- Detail'!O139:O141)</f>
        <v>87622000</v>
      </c>
      <c r="O77" s="859">
        <f>SUM('CY-FUR (REG)- Detail'!P139:P141)</f>
        <v>180582000</v>
      </c>
      <c r="P77" s="859">
        <f>SUM('CY-FUR (REG)- Detail'!Q139:Q141)</f>
        <v>0</v>
      </c>
      <c r="Q77" s="859">
        <f t="shared" si="6"/>
        <v>268204000</v>
      </c>
      <c r="R77" s="859">
        <f>SUM('CY-FUR (REG)- Detail'!S139:S141)</f>
        <v>0</v>
      </c>
      <c r="S77" s="859">
        <f>SUM('CY-FUR (REG)- Detail'!T139:T141)</f>
        <v>0</v>
      </c>
      <c r="T77" s="859">
        <f>SUM('CY-FUR (REG)- Detail'!U139:U141)</f>
        <v>0</v>
      </c>
      <c r="U77" s="859">
        <f>SUM('CY-FUR (REG)- Detail'!V139:V141)</f>
        <v>0</v>
      </c>
      <c r="V77" s="859">
        <f>SUM('CY-FUR (REG)- Detail'!W139:W141)</f>
        <v>0</v>
      </c>
      <c r="W77" s="859">
        <f>SUM('CY-FUR (REG)- Detail'!X139:X141)</f>
        <v>191506950</v>
      </c>
      <c r="X77" s="859">
        <f>SUM('CY-FUR (REG)- Detail'!Y139:Y141)</f>
        <v>3000000</v>
      </c>
      <c r="Y77" s="859">
        <f t="shared" si="7"/>
        <v>194506950</v>
      </c>
      <c r="Z77" s="859">
        <f>SUM('CY-FUR (REG)- Detail'!AA139:AA141)</f>
        <v>87622000</v>
      </c>
      <c r="AA77" s="859">
        <f>SUM('CY-FUR (REG)- Detail'!AB139:AB141)</f>
        <v>372088950</v>
      </c>
      <c r="AB77" s="859">
        <f>SUM('CY-FUR (REG)- Detail'!AC139:AC141)</f>
        <v>3000000</v>
      </c>
      <c r="AC77" s="859">
        <f t="shared" si="11"/>
        <v>462710950</v>
      </c>
      <c r="AD77" s="859">
        <f>SUM('CY-FUR (REG)- Detail'!AE139:AE141)</f>
        <v>71750097.140000001</v>
      </c>
      <c r="AE77" s="859">
        <f>SUM('CY-FUR (REG)- Detail'!AF139:AF141)</f>
        <v>96482847.400000006</v>
      </c>
      <c r="AF77" s="859">
        <f>SUM('CY-FUR (REG)- Detail'!AG139:AG141)</f>
        <v>0</v>
      </c>
      <c r="AG77" s="859">
        <f>SUM('CY-FUR (REG)- Detail'!AH139:AH141)</f>
        <v>168232944.53999999</v>
      </c>
      <c r="AH77" s="859">
        <f>SUM('CY-FUR (REG)- Detail'!AI139:AI141)</f>
        <v>0</v>
      </c>
      <c r="AI77" s="859">
        <f>SUM('CY-FUR (REG)- Detail'!AJ139:AJ141)</f>
        <v>132681824.97</v>
      </c>
      <c r="AJ77" s="859">
        <f>SUM('CY-FUR (REG)- Detail'!AK139:AK141)</f>
        <v>999094.71</v>
      </c>
      <c r="AK77" s="859">
        <f>SUM('CY-FUR (REG)- Detail'!AL139:AL141)</f>
        <v>133680919.67999999</v>
      </c>
      <c r="AL77" s="859">
        <f>SUM('CY-FUR (REG)- Detail'!AM139:AM141)</f>
        <v>71750097.140000001</v>
      </c>
      <c r="AM77" s="859">
        <f>SUM('CY-FUR (REG)- Detail'!AN139:AN141)</f>
        <v>229164672.36999997</v>
      </c>
      <c r="AN77" s="859">
        <f>SUM('CY-FUR (REG)- Detail'!AO139:AO141)</f>
        <v>999094.71</v>
      </c>
      <c r="AO77" s="859">
        <f t="shared" si="15"/>
        <v>301913864.21999997</v>
      </c>
      <c r="AP77" s="859">
        <f t="shared" si="258"/>
        <v>15871902.859999999</v>
      </c>
      <c r="AQ77" s="859">
        <f t="shared" si="259"/>
        <v>142924277.63000003</v>
      </c>
      <c r="AR77" s="859">
        <f t="shared" si="260"/>
        <v>2000905.29</v>
      </c>
      <c r="AS77" s="859">
        <f t="shared" si="19"/>
        <v>160797085.78</v>
      </c>
      <c r="AT77" s="1166">
        <f t="shared" si="261"/>
        <v>0.81885938622720322</v>
      </c>
      <c r="AU77" s="1166">
        <f t="shared" si="262"/>
        <v>0.61588679903017807</v>
      </c>
      <c r="AV77" s="1166">
        <f t="shared" si="263"/>
        <v>0.33303157</v>
      </c>
      <c r="AW77" s="1166">
        <f t="shared" si="264"/>
        <v>0.6524891278669761</v>
      </c>
      <c r="AX77" s="22">
        <f t="shared" si="265"/>
        <v>0</v>
      </c>
      <c r="AY77" s="22">
        <f t="shared" si="266"/>
        <v>0</v>
      </c>
      <c r="AZ77" s="22">
        <f t="shared" si="267"/>
        <v>0</v>
      </c>
      <c r="BA77" s="22">
        <f t="shared" si="268"/>
        <v>0</v>
      </c>
      <c r="BF77" s="824">
        <f t="shared" si="269"/>
        <v>84099152.599999994</v>
      </c>
    </row>
    <row r="78" spans="1:58" s="903" customFormat="1">
      <c r="A78" s="905" t="s">
        <v>1004</v>
      </c>
      <c r="B78" s="859">
        <f>+'CY-FUR (REG)- Detail'!C143</f>
        <v>146749000</v>
      </c>
      <c r="C78" s="859">
        <f>+'CY-FUR (REG)- Detail'!D143</f>
        <v>65891000</v>
      </c>
      <c r="D78" s="859">
        <f>+'CY-FUR (REG)- Detail'!E143</f>
        <v>0</v>
      </c>
      <c r="E78" s="859">
        <f t="shared" si="0"/>
        <v>212640000</v>
      </c>
      <c r="F78" s="859">
        <f>+'CY-FUR (REG)- Detail'!G143</f>
        <v>0</v>
      </c>
      <c r="G78" s="859">
        <f>+'CY-FUR (REG)- Detail'!H143</f>
        <v>0</v>
      </c>
      <c r="H78" s="859">
        <f>+'CY-FUR (REG)- Detail'!I143</f>
        <v>0</v>
      </c>
      <c r="I78" s="859">
        <f t="shared" ref="I78" si="271">SUM(F78:H78)</f>
        <v>0</v>
      </c>
      <c r="J78" s="859">
        <f t="shared" ref="J78" si="272">+B78+F78</f>
        <v>146749000</v>
      </c>
      <c r="K78" s="859">
        <f t="shared" ref="K78" si="273">+C78+G78</f>
        <v>65891000</v>
      </c>
      <c r="L78" s="859">
        <f t="shared" ref="L78" si="274">+D78+H78</f>
        <v>0</v>
      </c>
      <c r="M78" s="859">
        <f t="shared" ref="M78" si="275">SUM(J78:L78)</f>
        <v>212640000</v>
      </c>
      <c r="N78" s="859">
        <f>+'CY-FUR (REG)- Detail'!O143</f>
        <v>146749000</v>
      </c>
      <c r="O78" s="859">
        <f>+'CY-FUR (REG)- Detail'!P143</f>
        <v>65891000</v>
      </c>
      <c r="P78" s="859">
        <f>+'CY-FUR (REG)- Detail'!Q143</f>
        <v>0</v>
      </c>
      <c r="Q78" s="859">
        <f t="shared" si="6"/>
        <v>212640000</v>
      </c>
      <c r="R78" s="859">
        <f>+'CY-FUR (REG)- Detail'!S143</f>
        <v>0</v>
      </c>
      <c r="S78" s="859">
        <f>+'CY-FUR (REG)- Detail'!T143</f>
        <v>0</v>
      </c>
      <c r="T78" s="859">
        <f>+'CY-FUR (REG)- Detail'!U143</f>
        <v>0</v>
      </c>
      <c r="U78" s="859">
        <f t="shared" ref="U78" si="276">SUM(R78:T78)</f>
        <v>0</v>
      </c>
      <c r="V78" s="859">
        <f>+'CY-FUR (REG)- Detail'!W143</f>
        <v>0</v>
      </c>
      <c r="W78" s="859">
        <f>+'CY-FUR (REG)- Detail'!X143</f>
        <v>23095000</v>
      </c>
      <c r="X78" s="859">
        <f>+'CY-FUR (REG)- Detail'!Y143</f>
        <v>54292000</v>
      </c>
      <c r="Y78" s="859">
        <f t="shared" si="7"/>
        <v>77387000</v>
      </c>
      <c r="Z78" s="859">
        <f t="shared" ref="Z78" si="277">+N78+V78+R78</f>
        <v>146749000</v>
      </c>
      <c r="AA78" s="859">
        <f t="shared" ref="AA78" si="278">+O78+W78+S78</f>
        <v>88986000</v>
      </c>
      <c r="AB78" s="859">
        <f t="shared" ref="AB78" si="279">+P78+X78+T78</f>
        <v>54292000</v>
      </c>
      <c r="AC78" s="859">
        <f t="shared" si="11"/>
        <v>290027000</v>
      </c>
      <c r="AD78" s="859">
        <f>+'CY-FUR (REG)- Detail'!AE143</f>
        <v>128935466.89</v>
      </c>
      <c r="AE78" s="859">
        <f>+'CY-FUR (REG)- Detail'!AF143</f>
        <v>51088599.540000007</v>
      </c>
      <c r="AF78" s="859">
        <f>+'CY-FUR (REG)- Detail'!AG143</f>
        <v>0</v>
      </c>
      <c r="AG78" s="859">
        <f t="shared" ref="AG78" si="280">SUM(AD78:AF78)</f>
        <v>180024066.43000001</v>
      </c>
      <c r="AH78" s="859">
        <f>+'CY-FUR (REG)- Detail'!AI143</f>
        <v>0</v>
      </c>
      <c r="AI78" s="859">
        <f>+'CY-FUR (REG)- Detail'!AJ143</f>
        <v>19249475.559999999</v>
      </c>
      <c r="AJ78" s="859">
        <f>+'CY-FUR (REG)- Detail'!AK143</f>
        <v>53456776.759999998</v>
      </c>
      <c r="AK78" s="859">
        <f t="shared" ref="AK78" si="281">SUM(AH78:AJ78)</f>
        <v>72706252.319999993</v>
      </c>
      <c r="AL78" s="859">
        <f t="shared" ref="AL78" si="282">+AH78+AD78</f>
        <v>128935466.89</v>
      </c>
      <c r="AM78" s="859">
        <f t="shared" ref="AM78" si="283">+AI78+AE78</f>
        <v>70338075.100000009</v>
      </c>
      <c r="AN78" s="859">
        <f t="shared" ref="AN78" si="284">+AJ78+AF78</f>
        <v>53456776.759999998</v>
      </c>
      <c r="AO78" s="859">
        <f t="shared" si="15"/>
        <v>252730318.75</v>
      </c>
      <c r="AP78" s="859">
        <f t="shared" si="258"/>
        <v>17813533.109999999</v>
      </c>
      <c r="AQ78" s="859">
        <f t="shared" si="259"/>
        <v>18647924.899999991</v>
      </c>
      <c r="AR78" s="859">
        <f t="shared" si="260"/>
        <v>835223.24000000209</v>
      </c>
      <c r="AS78" s="859">
        <f t="shared" si="19"/>
        <v>37296681.249999993</v>
      </c>
      <c r="AT78" s="1143">
        <f t="shared" si="261"/>
        <v>0.8786122351089275</v>
      </c>
      <c r="AU78" s="1143">
        <f t="shared" si="262"/>
        <v>0.79043978940507509</v>
      </c>
      <c r="AV78" s="1143">
        <f t="shared" si="263"/>
        <v>0.98461609003168049</v>
      </c>
      <c r="AW78" s="1166">
        <f t="shared" si="264"/>
        <v>0.87140272715988509</v>
      </c>
      <c r="AX78" s="22">
        <f t="shared" si="265"/>
        <v>0</v>
      </c>
      <c r="AY78" s="22">
        <f t="shared" si="266"/>
        <v>0</v>
      </c>
      <c r="AZ78" s="22">
        <f t="shared" si="267"/>
        <v>0</v>
      </c>
      <c r="BA78" s="22">
        <f t="shared" si="268"/>
        <v>0</v>
      </c>
      <c r="BF78" s="824">
        <f t="shared" si="269"/>
        <v>14802400.459999993</v>
      </c>
    </row>
    <row r="79" spans="1:58" s="903" customFormat="1">
      <c r="A79" s="905" t="s">
        <v>1005</v>
      </c>
      <c r="B79" s="859">
        <f>+'CY-FUR (REG)- Detail'!C144</f>
        <v>13165000</v>
      </c>
      <c r="C79" s="859">
        <f>+'CY-FUR (REG)- Detail'!D144</f>
        <v>3633000</v>
      </c>
      <c r="D79" s="859">
        <f>+'CY-FUR (REG)- Detail'!E144</f>
        <v>0</v>
      </c>
      <c r="E79" s="859">
        <f t="shared" si="0"/>
        <v>16798000</v>
      </c>
      <c r="F79" s="859">
        <f>+'CY-FUR (REG)- Detail'!G144</f>
        <v>0</v>
      </c>
      <c r="G79" s="859">
        <f>+'CY-FUR (REG)- Detail'!H144</f>
        <v>0</v>
      </c>
      <c r="H79" s="859">
        <f>+'CY-FUR (REG)- Detail'!I144</f>
        <v>0</v>
      </c>
      <c r="I79" s="859">
        <f t="shared" ref="I79:I82" si="285">SUM(F79:H79)</f>
        <v>0</v>
      </c>
      <c r="J79" s="859">
        <f t="shared" ref="J79:J82" si="286">+B79+F79</f>
        <v>13165000</v>
      </c>
      <c r="K79" s="859">
        <f t="shared" ref="K79:K82" si="287">+C79+G79</f>
        <v>3633000</v>
      </c>
      <c r="L79" s="859">
        <f t="shared" ref="L79:L82" si="288">+D79+H79</f>
        <v>0</v>
      </c>
      <c r="M79" s="859">
        <f t="shared" ref="M79:M82" si="289">SUM(J79:L79)</f>
        <v>16798000</v>
      </c>
      <c r="N79" s="859">
        <f>+'CY-FUR (REG)- Detail'!O144</f>
        <v>13165000</v>
      </c>
      <c r="O79" s="859">
        <f>+'CY-FUR (REG)- Detail'!P144</f>
        <v>3633000</v>
      </c>
      <c r="P79" s="859">
        <f>+'CY-FUR (REG)- Detail'!Q144</f>
        <v>0</v>
      </c>
      <c r="Q79" s="859">
        <f t="shared" si="6"/>
        <v>16798000</v>
      </c>
      <c r="R79" s="859">
        <f>+'CY-FUR (REG)- Detail'!S144</f>
        <v>0</v>
      </c>
      <c r="S79" s="859">
        <f>+'CY-FUR (REG)- Detail'!T144</f>
        <v>0</v>
      </c>
      <c r="T79" s="859">
        <f>+'CY-FUR (REG)- Detail'!U144</f>
        <v>0</v>
      </c>
      <c r="U79" s="859">
        <f t="shared" ref="U79:U82" si="290">SUM(R79:T79)</f>
        <v>0</v>
      </c>
      <c r="V79" s="859">
        <f>+'CY-FUR (REG)- Detail'!W144</f>
        <v>0</v>
      </c>
      <c r="W79" s="859">
        <f>+'CY-FUR (REG)- Detail'!X144</f>
        <v>1786000</v>
      </c>
      <c r="X79" s="859">
        <f>+'CY-FUR (REG)- Detail'!Y144</f>
        <v>0</v>
      </c>
      <c r="Y79" s="859">
        <f t="shared" si="7"/>
        <v>1786000</v>
      </c>
      <c r="Z79" s="859">
        <f t="shared" ref="Z79:Z82" si="291">+N79+V79+R79</f>
        <v>13165000</v>
      </c>
      <c r="AA79" s="859">
        <f t="shared" ref="AA79:AA82" si="292">+O79+W79+S79</f>
        <v>5419000</v>
      </c>
      <c r="AB79" s="859">
        <f t="shared" ref="AB79:AB82" si="293">+P79+X79+T79</f>
        <v>0</v>
      </c>
      <c r="AC79" s="859">
        <f t="shared" si="11"/>
        <v>18584000</v>
      </c>
      <c r="AD79" s="859">
        <f>+'CY-FUR (REG)- Detail'!AE144</f>
        <v>11900577.4</v>
      </c>
      <c r="AE79" s="859">
        <f>+'CY-FUR (REG)- Detail'!AF144</f>
        <v>2176244.88</v>
      </c>
      <c r="AF79" s="859">
        <f>+'CY-FUR (REG)- Detail'!AG144</f>
        <v>0</v>
      </c>
      <c r="AG79" s="859">
        <f t="shared" ref="AG79:AG82" si="294">SUM(AD79:AF79)</f>
        <v>14076822.280000001</v>
      </c>
      <c r="AH79" s="859">
        <f>+'CY-FUR (REG)- Detail'!AI144</f>
        <v>0</v>
      </c>
      <c r="AI79" s="859">
        <f>+'CY-FUR (REG)- Detail'!AJ144</f>
        <v>1360386.05</v>
      </c>
      <c r="AJ79" s="859">
        <f>+'CY-FUR (REG)- Detail'!AK144</f>
        <v>0</v>
      </c>
      <c r="AK79" s="859">
        <f t="shared" ref="AK79:AK82" si="295">SUM(AH79:AJ79)</f>
        <v>1360386.05</v>
      </c>
      <c r="AL79" s="859">
        <f t="shared" ref="AL79:AL82" si="296">+AH79+AD79</f>
        <v>11900577.4</v>
      </c>
      <c r="AM79" s="859">
        <f t="shared" ref="AM79:AM82" si="297">+AI79+AE79</f>
        <v>3536630.9299999997</v>
      </c>
      <c r="AN79" s="859">
        <f t="shared" ref="AN79:AN82" si="298">+AJ79+AF79</f>
        <v>0</v>
      </c>
      <c r="AO79" s="859">
        <f t="shared" si="15"/>
        <v>15437208.33</v>
      </c>
      <c r="AP79" s="859">
        <f t="shared" si="258"/>
        <v>1264422.5999999996</v>
      </c>
      <c r="AQ79" s="859">
        <f t="shared" si="259"/>
        <v>1882369.0700000003</v>
      </c>
      <c r="AR79" s="859">
        <f t="shared" si="260"/>
        <v>0</v>
      </c>
      <c r="AS79" s="859">
        <f t="shared" si="19"/>
        <v>3146791.67</v>
      </c>
      <c r="AT79" s="1143">
        <f t="shared" si="261"/>
        <v>0.9039557462969996</v>
      </c>
      <c r="AU79" s="1143">
        <f t="shared" si="262"/>
        <v>0.65263534415943891</v>
      </c>
      <c r="AV79" s="1143" t="str">
        <f t="shared" si="263"/>
        <v xml:space="preserve"> </v>
      </c>
      <c r="AW79" s="1166">
        <f t="shared" si="264"/>
        <v>0.83067199365045197</v>
      </c>
      <c r="AX79" s="22">
        <f t="shared" si="265"/>
        <v>0</v>
      </c>
      <c r="AY79" s="22">
        <f t="shared" si="266"/>
        <v>0</v>
      </c>
      <c r="AZ79" s="22">
        <f t="shared" si="267"/>
        <v>0</v>
      </c>
      <c r="BA79" s="22">
        <f t="shared" si="268"/>
        <v>0</v>
      </c>
      <c r="BF79" s="824">
        <f t="shared" si="269"/>
        <v>1456755.12</v>
      </c>
    </row>
    <row r="80" spans="1:58" s="903" customFormat="1">
      <c r="A80" s="905" t="s">
        <v>1006</v>
      </c>
      <c r="B80" s="859">
        <f>+'CY-FUR (REG)- Detail'!C145</f>
        <v>116247000</v>
      </c>
      <c r="C80" s="859">
        <f>+'CY-FUR (REG)- Detail'!D145</f>
        <v>42240000</v>
      </c>
      <c r="D80" s="859">
        <f>+'CY-FUR (REG)- Detail'!E145</f>
        <v>0</v>
      </c>
      <c r="E80" s="859">
        <f t="shared" si="0"/>
        <v>158487000</v>
      </c>
      <c r="F80" s="859">
        <f>+'CY-FUR (REG)- Detail'!G145</f>
        <v>0</v>
      </c>
      <c r="G80" s="859">
        <f>+'CY-FUR (REG)- Detail'!H145</f>
        <v>0</v>
      </c>
      <c r="H80" s="859">
        <f>+'CY-FUR (REG)- Detail'!I145</f>
        <v>0</v>
      </c>
      <c r="I80" s="859">
        <f t="shared" si="285"/>
        <v>0</v>
      </c>
      <c r="J80" s="859">
        <f t="shared" si="286"/>
        <v>116247000</v>
      </c>
      <c r="K80" s="859">
        <f t="shared" si="287"/>
        <v>42240000</v>
      </c>
      <c r="L80" s="859">
        <f t="shared" si="288"/>
        <v>0</v>
      </c>
      <c r="M80" s="859">
        <f t="shared" si="289"/>
        <v>158487000</v>
      </c>
      <c r="N80" s="859">
        <f>+'CY-FUR (REG)- Detail'!O145</f>
        <v>116247000</v>
      </c>
      <c r="O80" s="859">
        <f>+'CY-FUR (REG)- Detail'!P145</f>
        <v>42240000</v>
      </c>
      <c r="P80" s="859">
        <f>+'CY-FUR (REG)- Detail'!Q145</f>
        <v>0</v>
      </c>
      <c r="Q80" s="859">
        <f t="shared" si="6"/>
        <v>158487000</v>
      </c>
      <c r="R80" s="859">
        <f>+'CY-FUR (REG)- Detail'!S145</f>
        <v>0</v>
      </c>
      <c r="S80" s="859">
        <f>+'CY-FUR (REG)- Detail'!T145</f>
        <v>0</v>
      </c>
      <c r="T80" s="859">
        <f>+'CY-FUR (REG)- Detail'!U145</f>
        <v>0</v>
      </c>
      <c r="U80" s="859">
        <f t="shared" si="290"/>
        <v>0</v>
      </c>
      <c r="V80" s="859">
        <f>+'CY-FUR (REG)- Detail'!W145</f>
        <v>0</v>
      </c>
      <c r="W80" s="859">
        <f>+'CY-FUR (REG)- Detail'!X145</f>
        <v>18972000</v>
      </c>
      <c r="X80" s="859">
        <f>+'CY-FUR (REG)- Detail'!Y145</f>
        <v>250000000</v>
      </c>
      <c r="Y80" s="859">
        <f t="shared" si="7"/>
        <v>268972000</v>
      </c>
      <c r="Z80" s="859">
        <f t="shared" si="291"/>
        <v>116247000</v>
      </c>
      <c r="AA80" s="859">
        <f t="shared" si="292"/>
        <v>61212000</v>
      </c>
      <c r="AB80" s="859">
        <f t="shared" si="293"/>
        <v>250000000</v>
      </c>
      <c r="AC80" s="859">
        <f t="shared" si="11"/>
        <v>427459000</v>
      </c>
      <c r="AD80" s="859">
        <f>+'CY-FUR (REG)- Detail'!AE145</f>
        <v>105172288.81</v>
      </c>
      <c r="AE80" s="859">
        <f>+'CY-FUR (REG)- Detail'!AF145</f>
        <v>25785276.439999998</v>
      </c>
      <c r="AF80" s="859">
        <f>+'CY-FUR (REG)- Detail'!AG145</f>
        <v>0</v>
      </c>
      <c r="AG80" s="859">
        <f t="shared" si="294"/>
        <v>130957565.25</v>
      </c>
      <c r="AH80" s="859">
        <f>+'CY-FUR (REG)- Detail'!AI145</f>
        <v>0</v>
      </c>
      <c r="AI80" s="859">
        <f>+'CY-FUR (REG)- Detail'!AJ145</f>
        <v>15312851.430000002</v>
      </c>
      <c r="AJ80" s="859">
        <f>+'CY-FUR (REG)- Detail'!AK145</f>
        <v>244815134.41999999</v>
      </c>
      <c r="AK80" s="859">
        <f t="shared" si="295"/>
        <v>260127985.84999999</v>
      </c>
      <c r="AL80" s="859">
        <f t="shared" si="296"/>
        <v>105172288.81</v>
      </c>
      <c r="AM80" s="859">
        <f t="shared" si="297"/>
        <v>41098127.869999997</v>
      </c>
      <c r="AN80" s="859">
        <f t="shared" si="298"/>
        <v>244815134.41999999</v>
      </c>
      <c r="AO80" s="859">
        <f t="shared" si="15"/>
        <v>391085551.10000002</v>
      </c>
      <c r="AP80" s="859">
        <f t="shared" si="258"/>
        <v>11074711.189999998</v>
      </c>
      <c r="AQ80" s="859">
        <f t="shared" si="259"/>
        <v>20113872.130000003</v>
      </c>
      <c r="AR80" s="859">
        <f t="shared" si="260"/>
        <v>5184865.5800000131</v>
      </c>
      <c r="AS80" s="859">
        <f t="shared" si="19"/>
        <v>36373448.900000013</v>
      </c>
      <c r="AT80" s="1143">
        <f t="shared" si="261"/>
        <v>0.90473120863334111</v>
      </c>
      <c r="AU80" s="1143">
        <f t="shared" si="262"/>
        <v>0.67140638877997771</v>
      </c>
      <c r="AV80" s="1143">
        <f t="shared" si="263"/>
        <v>0.97926053767999999</v>
      </c>
      <c r="AW80" s="1166">
        <f t="shared" si="264"/>
        <v>0.91490774811151487</v>
      </c>
      <c r="AX80" s="22">
        <f t="shared" si="265"/>
        <v>0</v>
      </c>
      <c r="AY80" s="22">
        <f t="shared" si="266"/>
        <v>0</v>
      </c>
      <c r="AZ80" s="22">
        <f t="shared" si="267"/>
        <v>0</v>
      </c>
      <c r="BA80" s="22">
        <f t="shared" si="268"/>
        <v>0</v>
      </c>
      <c r="BF80" s="824">
        <f t="shared" si="269"/>
        <v>16454723.560000002</v>
      </c>
    </row>
    <row r="81" spans="1:58" s="903" customFormat="1">
      <c r="A81" s="905" t="s">
        <v>1007</v>
      </c>
      <c r="B81" s="859">
        <f>+'CY-FUR (REG)- Detail'!C146</f>
        <v>21038000</v>
      </c>
      <c r="C81" s="859">
        <f>+'CY-FUR (REG)- Detail'!D146</f>
        <v>39648000</v>
      </c>
      <c r="D81" s="859">
        <f>+'CY-FUR (REG)- Detail'!E146</f>
        <v>0</v>
      </c>
      <c r="E81" s="859">
        <f t="shared" si="0"/>
        <v>60686000</v>
      </c>
      <c r="F81" s="859">
        <f>+'CY-FUR (REG)- Detail'!G146</f>
        <v>0</v>
      </c>
      <c r="G81" s="859">
        <f>+'CY-FUR (REG)- Detail'!H146</f>
        <v>0</v>
      </c>
      <c r="H81" s="859">
        <f>+'CY-FUR (REG)- Detail'!I146</f>
        <v>0</v>
      </c>
      <c r="I81" s="859">
        <f t="shared" si="285"/>
        <v>0</v>
      </c>
      <c r="J81" s="859">
        <f t="shared" si="286"/>
        <v>21038000</v>
      </c>
      <c r="K81" s="859">
        <f t="shared" si="287"/>
        <v>39648000</v>
      </c>
      <c r="L81" s="859">
        <f t="shared" si="288"/>
        <v>0</v>
      </c>
      <c r="M81" s="859">
        <f t="shared" si="289"/>
        <v>60686000</v>
      </c>
      <c r="N81" s="859">
        <f>+'CY-FUR (REG)- Detail'!O146</f>
        <v>21038000</v>
      </c>
      <c r="O81" s="859">
        <f>+'CY-FUR (REG)- Detail'!P146</f>
        <v>39648000</v>
      </c>
      <c r="P81" s="859">
        <f>+'CY-FUR (REG)- Detail'!Q146</f>
        <v>0</v>
      </c>
      <c r="Q81" s="859">
        <f t="shared" si="6"/>
        <v>60686000</v>
      </c>
      <c r="R81" s="859">
        <f>+'CY-FUR (REG)- Detail'!S146</f>
        <v>0</v>
      </c>
      <c r="S81" s="859">
        <f>+'CY-FUR (REG)- Detail'!T146</f>
        <v>0</v>
      </c>
      <c r="T81" s="859">
        <f>+'CY-FUR (REG)- Detail'!U146</f>
        <v>0</v>
      </c>
      <c r="U81" s="859">
        <f t="shared" si="290"/>
        <v>0</v>
      </c>
      <c r="V81" s="859">
        <f>+'CY-FUR (REG)- Detail'!W146</f>
        <v>0</v>
      </c>
      <c r="W81" s="859">
        <f>+'CY-FUR (REG)- Detail'!X146</f>
        <v>6970000</v>
      </c>
      <c r="X81" s="859">
        <f>+'CY-FUR (REG)- Detail'!Y146</f>
        <v>20000000</v>
      </c>
      <c r="Y81" s="859">
        <f t="shared" si="7"/>
        <v>26970000</v>
      </c>
      <c r="Z81" s="859">
        <f t="shared" si="291"/>
        <v>21038000</v>
      </c>
      <c r="AA81" s="859">
        <f t="shared" si="292"/>
        <v>46618000</v>
      </c>
      <c r="AB81" s="859">
        <f t="shared" si="293"/>
        <v>20000000</v>
      </c>
      <c r="AC81" s="859">
        <f t="shared" si="11"/>
        <v>87656000</v>
      </c>
      <c r="AD81" s="859">
        <f>+'CY-FUR (REG)- Detail'!AE146</f>
        <v>19154232.379999999</v>
      </c>
      <c r="AE81" s="859">
        <f>+'CY-FUR (REG)- Detail'!AF146</f>
        <v>30090472.549999997</v>
      </c>
      <c r="AF81" s="859">
        <f>+'CY-FUR (REG)- Detail'!AG146</f>
        <v>0</v>
      </c>
      <c r="AG81" s="859">
        <f t="shared" si="294"/>
        <v>49244704.929999992</v>
      </c>
      <c r="AH81" s="859">
        <f>+'CY-FUR (REG)- Detail'!AI146</f>
        <v>0</v>
      </c>
      <c r="AI81" s="859">
        <f>+'CY-FUR (REG)- Detail'!AJ146</f>
        <v>5324104.37</v>
      </c>
      <c r="AJ81" s="859">
        <f>+'CY-FUR (REG)- Detail'!AK146</f>
        <v>17526788.68</v>
      </c>
      <c r="AK81" s="859">
        <f t="shared" si="295"/>
        <v>22850893.050000001</v>
      </c>
      <c r="AL81" s="859">
        <f t="shared" si="296"/>
        <v>19154232.379999999</v>
      </c>
      <c r="AM81" s="859">
        <f t="shared" si="297"/>
        <v>35414576.919999994</v>
      </c>
      <c r="AN81" s="859">
        <f t="shared" si="298"/>
        <v>17526788.68</v>
      </c>
      <c r="AO81" s="859">
        <f t="shared" si="15"/>
        <v>72095597.979999989</v>
      </c>
      <c r="AP81" s="859">
        <f t="shared" si="258"/>
        <v>1883767.620000001</v>
      </c>
      <c r="AQ81" s="859">
        <f t="shared" si="259"/>
        <v>11203423.080000006</v>
      </c>
      <c r="AR81" s="859">
        <f t="shared" si="260"/>
        <v>2473211.3200000003</v>
      </c>
      <c r="AS81" s="859">
        <f t="shared" si="19"/>
        <v>15560402.020000007</v>
      </c>
      <c r="AT81" s="1143">
        <f t="shared" si="261"/>
        <v>0.91045880692080994</v>
      </c>
      <c r="AU81" s="1143">
        <f t="shared" si="262"/>
        <v>0.75967602471148477</v>
      </c>
      <c r="AV81" s="1143">
        <f t="shared" si="263"/>
        <v>0.87633943400000003</v>
      </c>
      <c r="AW81" s="1166">
        <f t="shared" si="264"/>
        <v>0.82248332093638754</v>
      </c>
      <c r="AX81" s="22">
        <f t="shared" si="265"/>
        <v>0</v>
      </c>
      <c r="AY81" s="22">
        <f t="shared" si="266"/>
        <v>0</v>
      </c>
      <c r="AZ81" s="22">
        <f t="shared" si="267"/>
        <v>0</v>
      </c>
      <c r="BA81" s="22">
        <f t="shared" si="268"/>
        <v>0</v>
      </c>
      <c r="BF81" s="824">
        <f t="shared" si="269"/>
        <v>9557527.450000003</v>
      </c>
    </row>
    <row r="82" spans="1:58" s="903" customFormat="1">
      <c r="A82" s="905" t="s">
        <v>1008</v>
      </c>
      <c r="B82" s="859">
        <f>+'CY-FUR (REG)- Detail'!C147</f>
        <v>56602000</v>
      </c>
      <c r="C82" s="859">
        <f>+'CY-FUR (REG)- Detail'!D147</f>
        <v>17387000</v>
      </c>
      <c r="D82" s="859">
        <f>+'CY-FUR (REG)- Detail'!E147</f>
        <v>0</v>
      </c>
      <c r="E82" s="859">
        <f t="shared" si="0"/>
        <v>73989000</v>
      </c>
      <c r="F82" s="859">
        <f>+'CY-FUR (REG)- Detail'!G147</f>
        <v>0</v>
      </c>
      <c r="G82" s="859">
        <f>+'CY-FUR (REG)- Detail'!H147</f>
        <v>0</v>
      </c>
      <c r="H82" s="859">
        <f>+'CY-FUR (REG)- Detail'!I147</f>
        <v>0</v>
      </c>
      <c r="I82" s="859">
        <f t="shared" si="285"/>
        <v>0</v>
      </c>
      <c r="J82" s="859">
        <f t="shared" si="286"/>
        <v>56602000</v>
      </c>
      <c r="K82" s="859">
        <f t="shared" si="287"/>
        <v>17387000</v>
      </c>
      <c r="L82" s="859">
        <f t="shared" si="288"/>
        <v>0</v>
      </c>
      <c r="M82" s="859">
        <f t="shared" si="289"/>
        <v>73989000</v>
      </c>
      <c r="N82" s="859">
        <f>+'CY-FUR (REG)- Detail'!O147</f>
        <v>56602000</v>
      </c>
      <c r="O82" s="859">
        <f>+'CY-FUR (REG)- Detail'!P147</f>
        <v>17387000</v>
      </c>
      <c r="P82" s="859">
        <f>+'CY-FUR (REG)- Detail'!Q147</f>
        <v>0</v>
      </c>
      <c r="Q82" s="859">
        <f t="shared" si="6"/>
        <v>73989000</v>
      </c>
      <c r="R82" s="859">
        <f>+'CY-FUR (REG)- Detail'!S147</f>
        <v>0</v>
      </c>
      <c r="S82" s="859">
        <f>+'CY-FUR (REG)- Detail'!T147</f>
        <v>0</v>
      </c>
      <c r="T82" s="859">
        <f>+'CY-FUR (REG)- Detail'!U147</f>
        <v>0</v>
      </c>
      <c r="U82" s="859">
        <f t="shared" si="290"/>
        <v>0</v>
      </c>
      <c r="V82" s="859">
        <f>+'CY-FUR (REG)- Detail'!W147</f>
        <v>827006</v>
      </c>
      <c r="W82" s="859">
        <f>+'CY-FUR (REG)- Detail'!X147</f>
        <v>13460000</v>
      </c>
      <c r="X82" s="859">
        <f>+'CY-FUR (REG)- Detail'!Y147</f>
        <v>0</v>
      </c>
      <c r="Y82" s="859">
        <f t="shared" si="7"/>
        <v>14287006</v>
      </c>
      <c r="Z82" s="859">
        <f t="shared" si="291"/>
        <v>57429006</v>
      </c>
      <c r="AA82" s="859">
        <f t="shared" si="292"/>
        <v>30847000</v>
      </c>
      <c r="AB82" s="859">
        <f t="shared" si="293"/>
        <v>0</v>
      </c>
      <c r="AC82" s="859">
        <f t="shared" si="11"/>
        <v>88276006</v>
      </c>
      <c r="AD82" s="859">
        <f>+'CY-FUR (REG)- Detail'!AE147</f>
        <v>49974049.61999999</v>
      </c>
      <c r="AE82" s="859">
        <f>+'CY-FUR (REG)- Detail'!AF147</f>
        <v>13166312.760000002</v>
      </c>
      <c r="AF82" s="859">
        <f>+'CY-FUR (REG)- Detail'!AG147</f>
        <v>0</v>
      </c>
      <c r="AG82" s="859">
        <f t="shared" si="294"/>
        <v>63140362.379999995</v>
      </c>
      <c r="AH82" s="859">
        <f>+'CY-FUR (REG)- Detail'!AI147</f>
        <v>763888.76999999979</v>
      </c>
      <c r="AI82" s="859">
        <f>+'CY-FUR (REG)- Detail'!AJ147</f>
        <v>12620650.439999999</v>
      </c>
      <c r="AJ82" s="859">
        <f>+'CY-FUR (REG)- Detail'!AK147</f>
        <v>0</v>
      </c>
      <c r="AK82" s="859">
        <f t="shared" si="295"/>
        <v>13384539.209999999</v>
      </c>
      <c r="AL82" s="859">
        <f t="shared" si="296"/>
        <v>50737938.389999993</v>
      </c>
      <c r="AM82" s="859">
        <f t="shared" si="297"/>
        <v>25786963.200000003</v>
      </c>
      <c r="AN82" s="859">
        <f t="shared" si="298"/>
        <v>0</v>
      </c>
      <c r="AO82" s="859">
        <f t="shared" si="15"/>
        <v>76524901.590000004</v>
      </c>
      <c r="AP82" s="859">
        <f t="shared" si="258"/>
        <v>6691067.6100000069</v>
      </c>
      <c r="AQ82" s="859">
        <f t="shared" si="259"/>
        <v>5060036.799999997</v>
      </c>
      <c r="AR82" s="859">
        <f t="shared" si="260"/>
        <v>0</v>
      </c>
      <c r="AS82" s="859">
        <f t="shared" si="19"/>
        <v>11751104.410000004</v>
      </c>
      <c r="AT82" s="1143">
        <f t="shared" si="261"/>
        <v>0.88348975411484565</v>
      </c>
      <c r="AU82" s="1143">
        <f t="shared" si="262"/>
        <v>0.83596340649009637</v>
      </c>
      <c r="AV82" s="1143" t="str">
        <f t="shared" si="263"/>
        <v xml:space="preserve"> </v>
      </c>
      <c r="AW82" s="1166">
        <f t="shared" si="264"/>
        <v>0.86688223739982073</v>
      </c>
      <c r="AX82" s="22">
        <f t="shared" si="265"/>
        <v>0</v>
      </c>
      <c r="AY82" s="22">
        <f t="shared" si="266"/>
        <v>0</v>
      </c>
      <c r="AZ82" s="22">
        <f t="shared" si="267"/>
        <v>0</v>
      </c>
      <c r="BA82" s="22">
        <f t="shared" si="268"/>
        <v>0</v>
      </c>
      <c r="BF82" s="824">
        <f t="shared" si="269"/>
        <v>4220687.2399999984</v>
      </c>
    </row>
    <row r="83" spans="1:58">
      <c r="A83" s="592"/>
      <c r="B83" s="862"/>
      <c r="C83" s="862"/>
      <c r="D83" s="862"/>
      <c r="E83" s="863">
        <f t="shared" si="0"/>
        <v>0</v>
      </c>
      <c r="F83" s="862"/>
      <c r="G83" s="862"/>
      <c r="H83" s="862"/>
      <c r="I83" s="863"/>
      <c r="J83" s="862">
        <f t="shared" si="168"/>
        <v>0</v>
      </c>
      <c r="K83" s="862">
        <f t="shared" si="168"/>
        <v>0</v>
      </c>
      <c r="L83" s="862">
        <f t="shared" si="168"/>
        <v>0</v>
      </c>
      <c r="M83" s="863">
        <f t="shared" si="169"/>
        <v>0</v>
      </c>
      <c r="N83" s="862"/>
      <c r="O83" s="862"/>
      <c r="P83" s="862"/>
      <c r="Q83" s="863">
        <f t="shared" si="6"/>
        <v>0</v>
      </c>
      <c r="R83" s="862"/>
      <c r="S83" s="862"/>
      <c r="T83" s="862"/>
      <c r="U83" s="863"/>
      <c r="V83" s="862"/>
      <c r="W83" s="862"/>
      <c r="X83" s="862"/>
      <c r="Y83" s="863">
        <f t="shared" si="7"/>
        <v>0</v>
      </c>
      <c r="Z83" s="863"/>
      <c r="AA83" s="863"/>
      <c r="AB83" s="863"/>
      <c r="AC83" s="863">
        <f t="shared" si="11"/>
        <v>0</v>
      </c>
      <c r="AD83" s="862"/>
      <c r="AE83" s="862"/>
      <c r="AF83" s="862"/>
      <c r="AG83" s="863">
        <f t="shared" si="36"/>
        <v>0</v>
      </c>
      <c r="AH83" s="862"/>
      <c r="AI83" s="862"/>
      <c r="AJ83" s="862"/>
      <c r="AK83" s="863">
        <f t="shared" si="37"/>
        <v>0</v>
      </c>
      <c r="AL83" s="863"/>
      <c r="AM83" s="863"/>
      <c r="AN83" s="863"/>
      <c r="AO83" s="863">
        <f t="shared" si="15"/>
        <v>0</v>
      </c>
      <c r="AP83" s="863">
        <f t="shared" si="258"/>
        <v>0</v>
      </c>
      <c r="AQ83" s="863">
        <f t="shared" si="259"/>
        <v>0</v>
      </c>
      <c r="AR83" s="863">
        <f t="shared" si="260"/>
        <v>0</v>
      </c>
      <c r="AS83" s="863">
        <f t="shared" si="19"/>
        <v>0</v>
      </c>
      <c r="AT83" s="1143" t="str">
        <f t="shared" si="261"/>
        <v xml:space="preserve"> </v>
      </c>
      <c r="AU83" s="1143" t="str">
        <f t="shared" si="262"/>
        <v xml:space="preserve"> </v>
      </c>
      <c r="AV83" s="1143" t="str">
        <f t="shared" si="263"/>
        <v xml:space="preserve"> </v>
      </c>
      <c r="AW83" s="1143" t="str">
        <f t="shared" si="264"/>
        <v xml:space="preserve"> </v>
      </c>
      <c r="AX83" s="22">
        <f t="shared" si="265"/>
        <v>0</v>
      </c>
      <c r="AY83" s="22">
        <f t="shared" si="266"/>
        <v>0</v>
      </c>
      <c r="AZ83" s="22">
        <f t="shared" si="267"/>
        <v>0</v>
      </c>
      <c r="BA83" s="22">
        <f t="shared" si="268"/>
        <v>0</v>
      </c>
      <c r="BF83" s="824">
        <f t="shared" si="269"/>
        <v>0</v>
      </c>
    </row>
    <row r="84" spans="1:58" s="1149" customFormat="1" ht="16.5">
      <c r="A84" s="1146" t="s">
        <v>445</v>
      </c>
      <c r="B84" s="1147">
        <f>+B85+B92+B101</f>
        <v>1181987000</v>
      </c>
      <c r="C84" s="1147">
        <f t="shared" ref="C84:AN84" si="299">+C85+C92+C101</f>
        <v>991925000</v>
      </c>
      <c r="D84" s="1147">
        <f t="shared" si="299"/>
        <v>0</v>
      </c>
      <c r="E84" s="1147">
        <f t="shared" si="0"/>
        <v>2173912000</v>
      </c>
      <c r="F84" s="1147">
        <f t="shared" si="299"/>
        <v>27571837</v>
      </c>
      <c r="G84" s="1147">
        <f t="shared" si="299"/>
        <v>-27571837</v>
      </c>
      <c r="H84" s="1147">
        <f t="shared" si="299"/>
        <v>0</v>
      </c>
      <c r="I84" s="1147">
        <f t="shared" si="299"/>
        <v>0</v>
      </c>
      <c r="J84" s="1147">
        <f t="shared" si="299"/>
        <v>1209558837</v>
      </c>
      <c r="K84" s="1147">
        <f t="shared" si="299"/>
        <v>964353163</v>
      </c>
      <c r="L84" s="1147">
        <f t="shared" si="299"/>
        <v>0</v>
      </c>
      <c r="M84" s="1147">
        <f t="shared" si="299"/>
        <v>2173912000</v>
      </c>
      <c r="N84" s="1147">
        <f t="shared" si="299"/>
        <v>1209558837</v>
      </c>
      <c r="O84" s="1147">
        <f t="shared" si="299"/>
        <v>964353163</v>
      </c>
      <c r="P84" s="1147">
        <f t="shared" si="299"/>
        <v>0</v>
      </c>
      <c r="Q84" s="1147">
        <f t="shared" si="6"/>
        <v>2173912000</v>
      </c>
      <c r="R84" s="1147">
        <f t="shared" si="299"/>
        <v>0</v>
      </c>
      <c r="S84" s="1147">
        <f t="shared" si="299"/>
        <v>0</v>
      </c>
      <c r="T84" s="1147">
        <f t="shared" si="299"/>
        <v>0</v>
      </c>
      <c r="U84" s="1147">
        <f t="shared" si="299"/>
        <v>0</v>
      </c>
      <c r="V84" s="1147">
        <f t="shared" si="299"/>
        <v>0</v>
      </c>
      <c r="W84" s="1147">
        <f t="shared" si="299"/>
        <v>828061632.66000009</v>
      </c>
      <c r="X84" s="1147">
        <f t="shared" si="299"/>
        <v>421589949</v>
      </c>
      <c r="Y84" s="1147">
        <f t="shared" si="7"/>
        <v>1249651581.6600001</v>
      </c>
      <c r="Z84" s="1147">
        <f t="shared" si="299"/>
        <v>1209558837</v>
      </c>
      <c r="AA84" s="1147">
        <f t="shared" si="299"/>
        <v>1792414795.6599998</v>
      </c>
      <c r="AB84" s="1147">
        <f t="shared" si="299"/>
        <v>421589949</v>
      </c>
      <c r="AC84" s="1147">
        <f t="shared" si="11"/>
        <v>3423563581.6599998</v>
      </c>
      <c r="AD84" s="1147">
        <f t="shared" si="299"/>
        <v>1080081296.71</v>
      </c>
      <c r="AE84" s="1147">
        <f t="shared" si="299"/>
        <v>722035787.75999999</v>
      </c>
      <c r="AF84" s="1147">
        <f t="shared" si="299"/>
        <v>0</v>
      </c>
      <c r="AG84" s="1147">
        <f t="shared" si="299"/>
        <v>1802117084.4700003</v>
      </c>
      <c r="AH84" s="1147">
        <f t="shared" si="299"/>
        <v>0</v>
      </c>
      <c r="AI84" s="1147">
        <f t="shared" si="299"/>
        <v>570554954.25999999</v>
      </c>
      <c r="AJ84" s="1147">
        <f t="shared" si="299"/>
        <v>281161500.81999999</v>
      </c>
      <c r="AK84" s="1147">
        <f t="shared" si="299"/>
        <v>851716455.08000016</v>
      </c>
      <c r="AL84" s="1147">
        <f t="shared" si="299"/>
        <v>1080081296.71</v>
      </c>
      <c r="AM84" s="1147">
        <f t="shared" si="299"/>
        <v>1292590742.02</v>
      </c>
      <c r="AN84" s="1147">
        <f t="shared" si="299"/>
        <v>281161500.81999999</v>
      </c>
      <c r="AO84" s="1147">
        <f t="shared" si="15"/>
        <v>2653833539.5500002</v>
      </c>
      <c r="AP84" s="1147">
        <f t="shared" si="258"/>
        <v>129477540.28999996</v>
      </c>
      <c r="AQ84" s="1147">
        <f t="shared" si="259"/>
        <v>499824053.63999987</v>
      </c>
      <c r="AR84" s="1147">
        <f t="shared" si="260"/>
        <v>140428448.18000001</v>
      </c>
      <c r="AS84" s="1147">
        <f t="shared" si="19"/>
        <v>769730042.1099999</v>
      </c>
      <c r="AT84" s="1164">
        <f t="shared" si="261"/>
        <v>0.8929547399189478</v>
      </c>
      <c r="AU84" s="1164">
        <f t="shared" si="262"/>
        <v>0.72114487402679828</v>
      </c>
      <c r="AV84" s="1164">
        <f t="shared" si="263"/>
        <v>0.6669075045240227</v>
      </c>
      <c r="AW84" s="1164">
        <f t="shared" si="264"/>
        <v>0.77516700836711872</v>
      </c>
      <c r="AX84" s="1148">
        <f t="shared" si="265"/>
        <v>0</v>
      </c>
      <c r="AY84" s="1148">
        <f t="shared" si="266"/>
        <v>0</v>
      </c>
      <c r="AZ84" s="1148">
        <f t="shared" si="267"/>
        <v>0</v>
      </c>
      <c r="BA84" s="1148">
        <f t="shared" si="268"/>
        <v>0</v>
      </c>
      <c r="BF84" s="824">
        <f t="shared" si="269"/>
        <v>242317375.24000001</v>
      </c>
    </row>
    <row r="85" spans="1:58" s="609" customFormat="1" ht="16.5">
      <c r="A85" s="1153" t="s">
        <v>1011</v>
      </c>
      <c r="B85" s="1151">
        <f>SUM(B86:B90)</f>
        <v>413566000</v>
      </c>
      <c r="C85" s="1151">
        <f>SUM(C86:C90)</f>
        <v>341822000</v>
      </c>
      <c r="D85" s="1151">
        <f t="shared" ref="D85:AN85" si="300">SUM(D86:D90)</f>
        <v>0</v>
      </c>
      <c r="E85" s="1151">
        <f t="shared" si="0"/>
        <v>755388000</v>
      </c>
      <c r="F85" s="1151">
        <f t="shared" si="300"/>
        <v>16641681</v>
      </c>
      <c r="G85" s="1151">
        <f t="shared" si="300"/>
        <v>-16641681</v>
      </c>
      <c r="H85" s="1151">
        <f t="shared" si="300"/>
        <v>0</v>
      </c>
      <c r="I85" s="1151">
        <f t="shared" si="300"/>
        <v>0</v>
      </c>
      <c r="J85" s="1151">
        <f t="shared" si="300"/>
        <v>430207681</v>
      </c>
      <c r="K85" s="1151">
        <f t="shared" si="300"/>
        <v>325180319</v>
      </c>
      <c r="L85" s="1151">
        <f t="shared" si="300"/>
        <v>0</v>
      </c>
      <c r="M85" s="1151">
        <f t="shared" si="300"/>
        <v>755388000</v>
      </c>
      <c r="N85" s="1151">
        <f t="shared" si="300"/>
        <v>430207681</v>
      </c>
      <c r="O85" s="1151">
        <f t="shared" si="300"/>
        <v>325180319</v>
      </c>
      <c r="P85" s="1151">
        <f t="shared" si="300"/>
        <v>0</v>
      </c>
      <c r="Q85" s="1151">
        <f t="shared" si="6"/>
        <v>755388000</v>
      </c>
      <c r="R85" s="1151">
        <f t="shared" si="300"/>
        <v>0</v>
      </c>
      <c r="S85" s="1151">
        <f t="shared" si="300"/>
        <v>0</v>
      </c>
      <c r="T85" s="1151">
        <f t="shared" si="300"/>
        <v>0</v>
      </c>
      <c r="U85" s="1151">
        <f t="shared" si="300"/>
        <v>0</v>
      </c>
      <c r="V85" s="1151">
        <f t="shared" si="300"/>
        <v>0</v>
      </c>
      <c r="W85" s="1151">
        <f t="shared" si="300"/>
        <v>257522900.06</v>
      </c>
      <c r="X85" s="1151">
        <f t="shared" si="300"/>
        <v>303830932</v>
      </c>
      <c r="Y85" s="1151">
        <f t="shared" si="7"/>
        <v>561353832.05999994</v>
      </c>
      <c r="Z85" s="1151">
        <f t="shared" si="300"/>
        <v>430207681</v>
      </c>
      <c r="AA85" s="1151">
        <f t="shared" si="300"/>
        <v>582703219.05999994</v>
      </c>
      <c r="AB85" s="1151">
        <f t="shared" si="300"/>
        <v>303830932</v>
      </c>
      <c r="AC85" s="1151">
        <f t="shared" si="11"/>
        <v>1316741832.0599999</v>
      </c>
      <c r="AD85" s="1151">
        <f t="shared" si="300"/>
        <v>396551613.13000005</v>
      </c>
      <c r="AE85" s="1151">
        <f t="shared" si="300"/>
        <v>214230165.46000004</v>
      </c>
      <c r="AF85" s="1151">
        <f t="shared" si="300"/>
        <v>0</v>
      </c>
      <c r="AG85" s="1151">
        <f t="shared" si="300"/>
        <v>610781778.59000003</v>
      </c>
      <c r="AH85" s="1151">
        <f t="shared" si="300"/>
        <v>0</v>
      </c>
      <c r="AI85" s="1151">
        <f t="shared" si="300"/>
        <v>180608552.14999998</v>
      </c>
      <c r="AJ85" s="1151">
        <f t="shared" si="300"/>
        <v>194779712.66</v>
      </c>
      <c r="AK85" s="1151">
        <f t="shared" si="300"/>
        <v>375388264.81000006</v>
      </c>
      <c r="AL85" s="1151">
        <f t="shared" si="300"/>
        <v>396551613.13000005</v>
      </c>
      <c r="AM85" s="1151">
        <f t="shared" si="300"/>
        <v>394838717.60999995</v>
      </c>
      <c r="AN85" s="1151">
        <f t="shared" si="300"/>
        <v>194779712.66</v>
      </c>
      <c r="AO85" s="1151">
        <f t="shared" si="15"/>
        <v>986170043.39999998</v>
      </c>
      <c r="AP85" s="1151">
        <f t="shared" si="258"/>
        <v>33656067.869999945</v>
      </c>
      <c r="AQ85" s="1151">
        <f t="shared" si="259"/>
        <v>187864501.44999999</v>
      </c>
      <c r="AR85" s="1151">
        <f t="shared" si="260"/>
        <v>109051219.34</v>
      </c>
      <c r="AS85" s="1151">
        <f t="shared" si="19"/>
        <v>330571788.65999997</v>
      </c>
      <c r="AT85" s="1165">
        <f t="shared" si="261"/>
        <v>0.92176785920751625</v>
      </c>
      <c r="AU85" s="1165">
        <f t="shared" si="262"/>
        <v>0.67759831196220677</v>
      </c>
      <c r="AV85" s="1165">
        <f t="shared" si="263"/>
        <v>0.64107927187611036</v>
      </c>
      <c r="AW85" s="1165">
        <f t="shared" si="264"/>
        <v>0.74894715075404639</v>
      </c>
      <c r="AX85" s="1152">
        <f t="shared" si="265"/>
        <v>0</v>
      </c>
      <c r="AY85" s="1152">
        <f t="shared" si="266"/>
        <v>0</v>
      </c>
      <c r="AZ85" s="1152">
        <f t="shared" si="267"/>
        <v>0</v>
      </c>
      <c r="BA85" s="1152">
        <f t="shared" si="268"/>
        <v>0</v>
      </c>
      <c r="BB85" s="1132">
        <f>+AS85-'CY (ALL FUNDS)'!Q799</f>
        <v>0</v>
      </c>
      <c r="BF85" s="824">
        <f t="shared" si="269"/>
        <v>110950153.53999996</v>
      </c>
    </row>
    <row r="86" spans="1:58" s="903" customFormat="1">
      <c r="A86" s="905" t="s">
        <v>1012</v>
      </c>
      <c r="B86" s="859">
        <f>SUM('CY-FUR (REG)- Detail'!C174:C176)</f>
        <v>82152000</v>
      </c>
      <c r="C86" s="859">
        <f>SUM('CY-FUR (REG)- Detail'!D174:D176)</f>
        <v>203497000</v>
      </c>
      <c r="D86" s="859">
        <f>SUM('CY-FUR (REG)- Detail'!E174:E176)</f>
        <v>0</v>
      </c>
      <c r="E86" s="859">
        <f t="shared" si="0"/>
        <v>285649000</v>
      </c>
      <c r="F86" s="859">
        <f>SUM('CY-FUR (REG)- Detail'!G174:G176)</f>
        <v>0</v>
      </c>
      <c r="G86" s="859">
        <f>SUM('CY-FUR (REG)- Detail'!H174:H176)</f>
        <v>0</v>
      </c>
      <c r="H86" s="859">
        <f>SUM('CY-FUR (REG)- Detail'!I174:I176)</f>
        <v>0</v>
      </c>
      <c r="I86" s="859">
        <f>SUM('CY-FUR (REG)- Detail'!J174:J176)</f>
        <v>0</v>
      </c>
      <c r="J86" s="859">
        <f>SUM('CY-FUR (REG)- Detail'!K174:K176)</f>
        <v>82152000</v>
      </c>
      <c r="K86" s="859">
        <f>SUM('CY-FUR (REG)- Detail'!L174:L176)</f>
        <v>203497000</v>
      </c>
      <c r="L86" s="859">
        <f>SUM('CY-FUR (REG)- Detail'!M174:M176)</f>
        <v>0</v>
      </c>
      <c r="M86" s="859">
        <f>SUM('CY-FUR (REG)- Detail'!N174:N176)</f>
        <v>285649000</v>
      </c>
      <c r="N86" s="859">
        <f>SUM('CY-FUR (REG)- Detail'!O174:O176)</f>
        <v>82152000</v>
      </c>
      <c r="O86" s="859">
        <f>SUM('CY-FUR (REG)- Detail'!P174:P176)</f>
        <v>203497000</v>
      </c>
      <c r="P86" s="859">
        <f>SUM('CY-FUR (REG)- Detail'!Q174:Q176)</f>
        <v>0</v>
      </c>
      <c r="Q86" s="859">
        <f t="shared" si="6"/>
        <v>285649000</v>
      </c>
      <c r="R86" s="859">
        <f>SUM('CY-FUR (REG)- Detail'!S174:S176)</f>
        <v>0</v>
      </c>
      <c r="S86" s="859">
        <f>SUM('CY-FUR (REG)- Detail'!T174:T176)</f>
        <v>0</v>
      </c>
      <c r="T86" s="859">
        <f>SUM('CY-FUR (REG)- Detail'!U174:U176)</f>
        <v>0</v>
      </c>
      <c r="U86" s="859">
        <f>SUM('CY-FUR (REG)- Detail'!V174:V176)</f>
        <v>0</v>
      </c>
      <c r="V86" s="859">
        <f>SUM('CY-FUR (REG)- Detail'!W174:W176)</f>
        <v>0</v>
      </c>
      <c r="W86" s="859">
        <f>SUM('CY-FUR (REG)- Detail'!X174:X176)</f>
        <v>179750925</v>
      </c>
      <c r="X86" s="859">
        <f>SUM('CY-FUR (REG)- Detail'!Y174:Y176)</f>
        <v>81800000</v>
      </c>
      <c r="Y86" s="859">
        <f t="shared" si="7"/>
        <v>261550925</v>
      </c>
      <c r="Z86" s="859">
        <f>SUM('CY-FUR (REG)- Detail'!AA174:AA176)</f>
        <v>82152000</v>
      </c>
      <c r="AA86" s="859">
        <f>SUM('CY-FUR (REG)- Detail'!AB174:AB176)</f>
        <v>383247925</v>
      </c>
      <c r="AB86" s="859">
        <f>SUM('CY-FUR (REG)- Detail'!AC174:AC176)</f>
        <v>81800000</v>
      </c>
      <c r="AC86" s="859">
        <f t="shared" si="11"/>
        <v>547199925</v>
      </c>
      <c r="AD86" s="859">
        <f>SUM('CY-FUR (REG)- Detail'!AE174:AE176)</f>
        <v>74071103.160000011</v>
      </c>
      <c r="AE86" s="859">
        <f>SUM('CY-FUR (REG)- Detail'!AF174:AF176)</f>
        <v>114864768.08000001</v>
      </c>
      <c r="AF86" s="859">
        <f>SUM('CY-FUR (REG)- Detail'!AG174:AG176)</f>
        <v>0</v>
      </c>
      <c r="AG86" s="859">
        <f>SUM('CY-FUR (REG)- Detail'!AH174:AH176)</f>
        <v>188935871.24000001</v>
      </c>
      <c r="AH86" s="859">
        <f>SUM('CY-FUR (REG)- Detail'!AI174:AI176)</f>
        <v>0</v>
      </c>
      <c r="AI86" s="859">
        <f>SUM('CY-FUR (REG)- Detail'!AJ174:AJ176)</f>
        <v>118567442.73999999</v>
      </c>
      <c r="AJ86" s="859">
        <f>SUM('CY-FUR (REG)- Detail'!AK174:AK176)</f>
        <v>81800000</v>
      </c>
      <c r="AK86" s="859">
        <f>SUM('CY-FUR (REG)- Detail'!AL174:AL176)</f>
        <v>200367442.74000001</v>
      </c>
      <c r="AL86" s="859">
        <f>SUM('CY-FUR (REG)- Detail'!AM174:AM176)</f>
        <v>74071103.160000011</v>
      </c>
      <c r="AM86" s="859">
        <f>SUM('CY-FUR (REG)- Detail'!AN174:AN176)</f>
        <v>233432210.81999999</v>
      </c>
      <c r="AN86" s="859">
        <f>SUM('CY-FUR (REG)- Detail'!AO174:AO176)</f>
        <v>81800000</v>
      </c>
      <c r="AO86" s="859">
        <f t="shared" si="15"/>
        <v>389303313.98000002</v>
      </c>
      <c r="AP86" s="859">
        <f t="shared" si="258"/>
        <v>8080896.8399999887</v>
      </c>
      <c r="AQ86" s="859">
        <f t="shared" si="259"/>
        <v>149815714.18000001</v>
      </c>
      <c r="AR86" s="859">
        <f t="shared" si="260"/>
        <v>0</v>
      </c>
      <c r="AS86" s="859">
        <f t="shared" si="19"/>
        <v>157896611.01999998</v>
      </c>
      <c r="AT86" s="1166">
        <f t="shared" si="261"/>
        <v>0.90163481302950643</v>
      </c>
      <c r="AU86" s="1166">
        <f t="shared" si="262"/>
        <v>0.60908930118799731</v>
      </c>
      <c r="AV86" s="1166">
        <f t="shared" si="263"/>
        <v>1</v>
      </c>
      <c r="AW86" s="1166">
        <f t="shared" si="264"/>
        <v>0.71144621224134852</v>
      </c>
      <c r="AX86" s="22">
        <f t="shared" si="265"/>
        <v>0</v>
      </c>
      <c r="AY86" s="22">
        <f t="shared" si="266"/>
        <v>0</v>
      </c>
      <c r="AZ86" s="22">
        <f t="shared" si="267"/>
        <v>0</v>
      </c>
      <c r="BA86" s="22">
        <f t="shared" si="268"/>
        <v>0</v>
      </c>
      <c r="BF86" s="824">
        <f t="shared" si="269"/>
        <v>88632231.919999987</v>
      </c>
    </row>
    <row r="87" spans="1:58" s="16" customFormat="1">
      <c r="A87" s="905" t="s">
        <v>1013</v>
      </c>
      <c r="B87" s="859">
        <f>+'CY-FUR (REG)- Detail'!C178</f>
        <v>171850000</v>
      </c>
      <c r="C87" s="859">
        <f>+'CY-FUR (REG)- Detail'!D178</f>
        <v>64470000</v>
      </c>
      <c r="D87" s="859">
        <f>+'CY-FUR (REG)- Detail'!E178</f>
        <v>0</v>
      </c>
      <c r="E87" s="859">
        <f t="shared" si="0"/>
        <v>236320000</v>
      </c>
      <c r="F87" s="859">
        <f>+'CY-FUR (REG)- Detail'!G178</f>
        <v>16641681</v>
      </c>
      <c r="G87" s="859">
        <f>+'CY-FUR (REG)- Detail'!H178</f>
        <v>-16641681</v>
      </c>
      <c r="H87" s="859">
        <f>+'CY-FUR (REG)- Detail'!I178</f>
        <v>0</v>
      </c>
      <c r="I87" s="859">
        <f t="shared" ref="I87" si="301">SUM(F87:H87)</f>
        <v>0</v>
      </c>
      <c r="J87" s="859">
        <f t="shared" ref="J87" si="302">+B87+F87</f>
        <v>188491681</v>
      </c>
      <c r="K87" s="859">
        <f t="shared" ref="K87" si="303">+C87+G87</f>
        <v>47828319</v>
      </c>
      <c r="L87" s="859">
        <f t="shared" ref="L87" si="304">+D87+H87</f>
        <v>0</v>
      </c>
      <c r="M87" s="859">
        <f t="shared" ref="M87" si="305">SUM(J87:L87)</f>
        <v>236320000</v>
      </c>
      <c r="N87" s="859">
        <f>+'CY-FUR (REG)- Detail'!O178</f>
        <v>188491681</v>
      </c>
      <c r="O87" s="859">
        <f>+'CY-FUR (REG)- Detail'!P178</f>
        <v>47828319</v>
      </c>
      <c r="P87" s="859">
        <f>+'CY-FUR (REG)- Detail'!Q178</f>
        <v>0</v>
      </c>
      <c r="Q87" s="859">
        <f t="shared" si="6"/>
        <v>236320000</v>
      </c>
      <c r="R87" s="859">
        <f>+'CY-FUR (REG)- Detail'!S178</f>
        <v>0</v>
      </c>
      <c r="S87" s="859">
        <f>+'CY-FUR (REG)- Detail'!T178</f>
        <v>0</v>
      </c>
      <c r="T87" s="859">
        <f>+'CY-FUR (REG)- Detail'!U178</f>
        <v>0</v>
      </c>
      <c r="U87" s="859">
        <f t="shared" ref="U87" si="306">SUM(R87:T87)</f>
        <v>0</v>
      </c>
      <c r="V87" s="859">
        <f>+'CY-FUR (REG)- Detail'!W178</f>
        <v>0</v>
      </c>
      <c r="W87" s="859">
        <f>+'CY-FUR (REG)- Detail'!X178</f>
        <v>39525975.060000002</v>
      </c>
      <c r="X87" s="859">
        <f>+'CY-FUR (REG)- Detail'!Y178</f>
        <v>97780932</v>
      </c>
      <c r="Y87" s="859">
        <f t="shared" si="7"/>
        <v>137306907.06</v>
      </c>
      <c r="Z87" s="859">
        <f t="shared" ref="Z87" si="307">+N87+V87+R87</f>
        <v>188491681</v>
      </c>
      <c r="AA87" s="859">
        <f t="shared" ref="AA87" si="308">+O87+W87+S87</f>
        <v>87354294.060000002</v>
      </c>
      <c r="AB87" s="859">
        <f t="shared" ref="AB87" si="309">+P87+X87+T87</f>
        <v>97780932</v>
      </c>
      <c r="AC87" s="859">
        <f t="shared" si="11"/>
        <v>373626907.06</v>
      </c>
      <c r="AD87" s="859">
        <f>+'CY-FUR (REG)- Detail'!AE178</f>
        <v>175442649.88999999</v>
      </c>
      <c r="AE87" s="859">
        <f>+'CY-FUR (REG)- Detail'!AF178</f>
        <v>41704696.619999997</v>
      </c>
      <c r="AF87" s="859">
        <f>+'CY-FUR (REG)- Detail'!AG178</f>
        <v>0</v>
      </c>
      <c r="AG87" s="859">
        <f t="shared" ref="AG87" si="310">SUM(AD87:AF87)</f>
        <v>217147346.50999999</v>
      </c>
      <c r="AH87" s="859">
        <f>+'CY-FUR (REG)- Detail'!AI178</f>
        <v>0</v>
      </c>
      <c r="AI87" s="859">
        <f>+'CY-FUR (REG)- Detail'!AJ178</f>
        <v>34784359.710000001</v>
      </c>
      <c r="AJ87" s="859">
        <f>+'CY-FUR (REG)- Detail'!AK178</f>
        <v>85202888.879999995</v>
      </c>
      <c r="AK87" s="859">
        <f t="shared" ref="AK87" si="311">SUM(AH87:AJ87)</f>
        <v>119987248.59</v>
      </c>
      <c r="AL87" s="859">
        <f t="shared" ref="AL87" si="312">+AH87+AD87</f>
        <v>175442649.88999999</v>
      </c>
      <c r="AM87" s="859">
        <f t="shared" ref="AM87" si="313">+AI87+AE87</f>
        <v>76489056.329999998</v>
      </c>
      <c r="AN87" s="859">
        <f t="shared" ref="AN87" si="314">+AJ87+AF87</f>
        <v>85202888.879999995</v>
      </c>
      <c r="AO87" s="859">
        <f t="shared" si="15"/>
        <v>337134595.09999996</v>
      </c>
      <c r="AP87" s="859">
        <f t="shared" si="258"/>
        <v>13049031.110000014</v>
      </c>
      <c r="AQ87" s="859">
        <f t="shared" si="259"/>
        <v>10865237.730000004</v>
      </c>
      <c r="AR87" s="859">
        <f t="shared" si="260"/>
        <v>12578043.120000005</v>
      </c>
      <c r="AS87" s="859">
        <f t="shared" si="19"/>
        <v>36492311.960000023</v>
      </c>
      <c r="AT87" s="1143">
        <f t="shared" si="261"/>
        <v>0.93077131552559067</v>
      </c>
      <c r="AU87" s="1143">
        <f t="shared" si="262"/>
        <v>0.87561873349308816</v>
      </c>
      <c r="AV87" s="1143">
        <f t="shared" si="263"/>
        <v>0.87136507228219096</v>
      </c>
      <c r="AW87" s="1143">
        <f t="shared" si="264"/>
        <v>0.90232953978836483</v>
      </c>
      <c r="AX87" s="22">
        <f t="shared" si="265"/>
        <v>0</v>
      </c>
      <c r="AY87" s="22">
        <f t="shared" si="266"/>
        <v>0</v>
      </c>
      <c r="AZ87" s="22">
        <f t="shared" si="267"/>
        <v>0</v>
      </c>
      <c r="BA87" s="22">
        <f t="shared" si="268"/>
        <v>0</v>
      </c>
      <c r="BF87" s="824">
        <f t="shared" si="269"/>
        <v>6123622.3800000027</v>
      </c>
    </row>
    <row r="88" spans="1:58" s="16" customFormat="1">
      <c r="A88" s="905" t="s">
        <v>1014</v>
      </c>
      <c r="B88" s="859">
        <f>+'CY-FUR (REG)- Detail'!C179</f>
        <v>135645000</v>
      </c>
      <c r="C88" s="859">
        <f>+'CY-FUR (REG)- Detail'!D179</f>
        <v>48725000</v>
      </c>
      <c r="D88" s="859">
        <f>+'CY-FUR (REG)- Detail'!E179</f>
        <v>0</v>
      </c>
      <c r="E88" s="859">
        <f t="shared" si="0"/>
        <v>184370000</v>
      </c>
      <c r="F88" s="859">
        <f>+'CY-FUR (REG)- Detail'!G179</f>
        <v>0</v>
      </c>
      <c r="G88" s="859">
        <f>+'CY-FUR (REG)- Detail'!H179</f>
        <v>0</v>
      </c>
      <c r="H88" s="859">
        <f>+'CY-FUR (REG)- Detail'!I179</f>
        <v>0</v>
      </c>
      <c r="I88" s="859">
        <f t="shared" ref="I88:I90" si="315">SUM(F88:H88)</f>
        <v>0</v>
      </c>
      <c r="J88" s="859">
        <f t="shared" ref="J88:J90" si="316">+B88+F88</f>
        <v>135645000</v>
      </c>
      <c r="K88" s="859">
        <f t="shared" ref="K88:K90" si="317">+C88+G88</f>
        <v>48725000</v>
      </c>
      <c r="L88" s="859">
        <f t="shared" ref="L88:L90" si="318">+D88+H88</f>
        <v>0</v>
      </c>
      <c r="M88" s="859">
        <f t="shared" ref="M88:M90" si="319">SUM(J88:L88)</f>
        <v>184370000</v>
      </c>
      <c r="N88" s="859">
        <f>+'CY-FUR (REG)- Detail'!O179</f>
        <v>135645000</v>
      </c>
      <c r="O88" s="859">
        <f>+'CY-FUR (REG)- Detail'!P179</f>
        <v>48725000</v>
      </c>
      <c r="P88" s="859">
        <f>+'CY-FUR (REG)- Detail'!Q179</f>
        <v>0</v>
      </c>
      <c r="Q88" s="859">
        <f t="shared" si="6"/>
        <v>184370000</v>
      </c>
      <c r="R88" s="859">
        <f>+'CY-FUR (REG)- Detail'!S179</f>
        <v>0</v>
      </c>
      <c r="S88" s="859">
        <f>+'CY-FUR (REG)- Detail'!T179</f>
        <v>0</v>
      </c>
      <c r="T88" s="859">
        <f>+'CY-FUR (REG)- Detail'!U179</f>
        <v>0</v>
      </c>
      <c r="U88" s="859">
        <f t="shared" ref="U88:U90" si="320">SUM(R88:T88)</f>
        <v>0</v>
      </c>
      <c r="V88" s="859">
        <f>+'CY-FUR (REG)- Detail'!W179</f>
        <v>0</v>
      </c>
      <c r="W88" s="859">
        <f>+'CY-FUR (REG)- Detail'!X179</f>
        <v>30082000</v>
      </c>
      <c r="X88" s="859">
        <f>+'CY-FUR (REG)- Detail'!Y179</f>
        <v>120000000</v>
      </c>
      <c r="Y88" s="859">
        <f t="shared" si="7"/>
        <v>150082000</v>
      </c>
      <c r="Z88" s="859">
        <f t="shared" ref="Z88:Z90" si="321">+N88+V88+R88</f>
        <v>135645000</v>
      </c>
      <c r="AA88" s="859">
        <f t="shared" ref="AA88:AA90" si="322">+O88+W88+S88</f>
        <v>78807000</v>
      </c>
      <c r="AB88" s="859">
        <f t="shared" ref="AB88:AB90" si="323">+P88+X88+T88</f>
        <v>120000000</v>
      </c>
      <c r="AC88" s="859">
        <f t="shared" si="11"/>
        <v>334452000</v>
      </c>
      <c r="AD88" s="859">
        <f>+'CY-FUR (REG)- Detail'!AE179</f>
        <v>125042101.80000001</v>
      </c>
      <c r="AE88" s="859">
        <f>+'CY-FUR (REG)- Detail'!AF179</f>
        <v>34922774.079999998</v>
      </c>
      <c r="AF88" s="859">
        <f>+'CY-FUR (REG)- Detail'!AG179</f>
        <v>0</v>
      </c>
      <c r="AG88" s="859">
        <f t="shared" ref="AG88:AG90" si="324">SUM(AD88:AF88)</f>
        <v>159964875.88</v>
      </c>
      <c r="AH88" s="859">
        <f>+'CY-FUR (REG)- Detail'!AI179</f>
        <v>0</v>
      </c>
      <c r="AI88" s="859">
        <f>+'CY-FUR (REG)- Detail'!AJ179</f>
        <v>23627885.059999999</v>
      </c>
      <c r="AJ88" s="859">
        <f>+'CY-FUR (REG)- Detail'!AK179</f>
        <v>23786620.66</v>
      </c>
      <c r="AK88" s="859">
        <f t="shared" ref="AK88:AK90" si="325">SUM(AH88:AJ88)</f>
        <v>47414505.719999999</v>
      </c>
      <c r="AL88" s="859">
        <f t="shared" ref="AL88:AL90" si="326">+AH88+AD88</f>
        <v>125042101.80000001</v>
      </c>
      <c r="AM88" s="859">
        <f t="shared" ref="AM88:AM90" si="327">+AI88+AE88</f>
        <v>58550659.140000001</v>
      </c>
      <c r="AN88" s="859">
        <f t="shared" ref="AN88:AN90" si="328">+AJ88+AF88</f>
        <v>23786620.66</v>
      </c>
      <c r="AO88" s="859">
        <f t="shared" si="15"/>
        <v>207379381.59999999</v>
      </c>
      <c r="AP88" s="859">
        <f t="shared" si="258"/>
        <v>10602898.199999988</v>
      </c>
      <c r="AQ88" s="859">
        <f t="shared" si="259"/>
        <v>20256340.859999999</v>
      </c>
      <c r="AR88" s="859">
        <f t="shared" si="260"/>
        <v>96213379.340000004</v>
      </c>
      <c r="AS88" s="859">
        <f t="shared" si="19"/>
        <v>127072618.39999999</v>
      </c>
      <c r="AT88" s="1143">
        <f t="shared" si="261"/>
        <v>0.92183347561649909</v>
      </c>
      <c r="AU88" s="1143">
        <f t="shared" si="262"/>
        <v>0.74296267006737982</v>
      </c>
      <c r="AV88" s="1143">
        <f t="shared" si="263"/>
        <v>0.19822183883333333</v>
      </c>
      <c r="AW88" s="1143">
        <f t="shared" si="264"/>
        <v>0.62005723272696822</v>
      </c>
      <c r="AX88" s="22">
        <f t="shared" si="265"/>
        <v>0</v>
      </c>
      <c r="AY88" s="22">
        <f t="shared" si="266"/>
        <v>0</v>
      </c>
      <c r="AZ88" s="22">
        <f t="shared" si="267"/>
        <v>0</v>
      </c>
      <c r="BA88" s="22">
        <f t="shared" si="268"/>
        <v>0</v>
      </c>
      <c r="BF88" s="824">
        <f t="shared" si="269"/>
        <v>13802225.920000002</v>
      </c>
    </row>
    <row r="89" spans="1:58" s="16" customFormat="1">
      <c r="A89" s="905" t="s">
        <v>1015</v>
      </c>
      <c r="B89" s="859">
        <f>+'CY-FUR (REG)- Detail'!C180</f>
        <v>15606000</v>
      </c>
      <c r="C89" s="859">
        <f>+'CY-FUR (REG)- Detail'!D180</f>
        <v>13105000</v>
      </c>
      <c r="D89" s="859">
        <f>+'CY-FUR (REG)- Detail'!E180</f>
        <v>0</v>
      </c>
      <c r="E89" s="859">
        <f t="shared" si="0"/>
        <v>28711000</v>
      </c>
      <c r="F89" s="859">
        <f>+'CY-FUR (REG)- Detail'!G180</f>
        <v>0</v>
      </c>
      <c r="G89" s="859">
        <f>+'CY-FUR (REG)- Detail'!H180</f>
        <v>0</v>
      </c>
      <c r="H89" s="859">
        <f>+'CY-FUR (REG)- Detail'!I180</f>
        <v>0</v>
      </c>
      <c r="I89" s="859">
        <f t="shared" si="315"/>
        <v>0</v>
      </c>
      <c r="J89" s="859">
        <f t="shared" si="316"/>
        <v>15606000</v>
      </c>
      <c r="K89" s="859">
        <f t="shared" si="317"/>
        <v>13105000</v>
      </c>
      <c r="L89" s="859">
        <f t="shared" si="318"/>
        <v>0</v>
      </c>
      <c r="M89" s="859">
        <f t="shared" si="319"/>
        <v>28711000</v>
      </c>
      <c r="N89" s="859">
        <f>+'CY-FUR (REG)- Detail'!O180</f>
        <v>15606000</v>
      </c>
      <c r="O89" s="859">
        <f>+'CY-FUR (REG)- Detail'!P180</f>
        <v>13105000</v>
      </c>
      <c r="P89" s="859">
        <f>+'CY-FUR (REG)- Detail'!Q180</f>
        <v>0</v>
      </c>
      <c r="Q89" s="859">
        <f t="shared" si="6"/>
        <v>28711000</v>
      </c>
      <c r="R89" s="859">
        <f>+'CY-FUR (REG)- Detail'!S180</f>
        <v>0</v>
      </c>
      <c r="S89" s="859">
        <f>+'CY-FUR (REG)- Detail'!T180</f>
        <v>0</v>
      </c>
      <c r="T89" s="859">
        <f>+'CY-FUR (REG)- Detail'!U180</f>
        <v>0</v>
      </c>
      <c r="U89" s="859">
        <f t="shared" si="320"/>
        <v>0</v>
      </c>
      <c r="V89" s="859">
        <f>+'CY-FUR (REG)- Detail'!W180</f>
        <v>0</v>
      </c>
      <c r="W89" s="859">
        <f>+'CY-FUR (REG)- Detail'!X180</f>
        <v>6896000</v>
      </c>
      <c r="X89" s="859">
        <f>+'CY-FUR (REG)- Detail'!Y180</f>
        <v>4250000</v>
      </c>
      <c r="Y89" s="859">
        <f t="shared" si="7"/>
        <v>11146000</v>
      </c>
      <c r="Z89" s="859">
        <f t="shared" si="321"/>
        <v>15606000</v>
      </c>
      <c r="AA89" s="859">
        <f t="shared" si="322"/>
        <v>20001000</v>
      </c>
      <c r="AB89" s="859">
        <f t="shared" si="323"/>
        <v>4250000</v>
      </c>
      <c r="AC89" s="859">
        <f t="shared" si="11"/>
        <v>39857000</v>
      </c>
      <c r="AD89" s="859">
        <f>+'CY-FUR (REG)- Detail'!AE180</f>
        <v>14462098.92</v>
      </c>
      <c r="AE89" s="859">
        <f>+'CY-FUR (REG)- Detail'!AF180</f>
        <v>11411954.800000001</v>
      </c>
      <c r="AF89" s="859">
        <f>+'CY-FUR (REG)- Detail'!AG180</f>
        <v>0</v>
      </c>
      <c r="AG89" s="859">
        <f t="shared" si="324"/>
        <v>25874053.719999999</v>
      </c>
      <c r="AH89" s="859">
        <f>+'CY-FUR (REG)- Detail'!AI180</f>
        <v>0</v>
      </c>
      <c r="AI89" s="859">
        <f>+'CY-FUR (REG)- Detail'!AJ180</f>
        <v>2645719.75</v>
      </c>
      <c r="AJ89" s="859">
        <f>+'CY-FUR (REG)- Detail'!AK180</f>
        <v>3990203.12</v>
      </c>
      <c r="AK89" s="859">
        <f t="shared" si="325"/>
        <v>6635922.8700000001</v>
      </c>
      <c r="AL89" s="859">
        <f t="shared" si="326"/>
        <v>14462098.92</v>
      </c>
      <c r="AM89" s="859">
        <f t="shared" si="327"/>
        <v>14057674.550000001</v>
      </c>
      <c r="AN89" s="859">
        <f t="shared" si="328"/>
        <v>3990203.12</v>
      </c>
      <c r="AO89" s="859">
        <f t="shared" si="15"/>
        <v>32509976.59</v>
      </c>
      <c r="AP89" s="859">
        <f t="shared" si="258"/>
        <v>1143901.08</v>
      </c>
      <c r="AQ89" s="859">
        <f t="shared" si="259"/>
        <v>5943325.4499999993</v>
      </c>
      <c r="AR89" s="859">
        <f t="shared" si="260"/>
        <v>259796.87999999989</v>
      </c>
      <c r="AS89" s="859">
        <f t="shared" si="19"/>
        <v>7347023.4099999992</v>
      </c>
      <c r="AT89" s="1143">
        <f t="shared" si="261"/>
        <v>0.92670119953863894</v>
      </c>
      <c r="AU89" s="1143">
        <f t="shared" si="262"/>
        <v>0.70284858507074655</v>
      </c>
      <c r="AV89" s="1143">
        <f t="shared" si="263"/>
        <v>0.93887132235294124</v>
      </c>
      <c r="AW89" s="1143">
        <f t="shared" si="264"/>
        <v>0.81566541862157216</v>
      </c>
      <c r="AX89" s="22">
        <f t="shared" si="265"/>
        <v>0</v>
      </c>
      <c r="AY89" s="22">
        <f t="shared" si="266"/>
        <v>0</v>
      </c>
      <c r="AZ89" s="22">
        <f t="shared" si="267"/>
        <v>0</v>
      </c>
      <c r="BA89" s="22">
        <f t="shared" si="268"/>
        <v>0</v>
      </c>
      <c r="BF89" s="824">
        <f t="shared" si="269"/>
        <v>1693045.1999999993</v>
      </c>
    </row>
    <row r="90" spans="1:58" s="16" customFormat="1">
      <c r="A90" s="905" t="s">
        <v>1016</v>
      </c>
      <c r="B90" s="859">
        <f>+'CY-FUR (REG)- Detail'!C181</f>
        <v>8313000</v>
      </c>
      <c r="C90" s="859">
        <f>+'CY-FUR (REG)- Detail'!D181</f>
        <v>12025000</v>
      </c>
      <c r="D90" s="859">
        <f>+'CY-FUR (REG)- Detail'!E181</f>
        <v>0</v>
      </c>
      <c r="E90" s="859">
        <f t="shared" si="0"/>
        <v>20338000</v>
      </c>
      <c r="F90" s="859">
        <f>+'CY-FUR (REG)- Detail'!G181</f>
        <v>0</v>
      </c>
      <c r="G90" s="859">
        <f>+'CY-FUR (REG)- Detail'!H181</f>
        <v>0</v>
      </c>
      <c r="H90" s="859">
        <f>+'CY-FUR (REG)- Detail'!I181</f>
        <v>0</v>
      </c>
      <c r="I90" s="859">
        <f t="shared" si="315"/>
        <v>0</v>
      </c>
      <c r="J90" s="859">
        <f t="shared" si="316"/>
        <v>8313000</v>
      </c>
      <c r="K90" s="859">
        <f t="shared" si="317"/>
        <v>12025000</v>
      </c>
      <c r="L90" s="859">
        <f t="shared" si="318"/>
        <v>0</v>
      </c>
      <c r="M90" s="859">
        <f t="shared" si="319"/>
        <v>20338000</v>
      </c>
      <c r="N90" s="859">
        <f>+'CY-FUR (REG)- Detail'!O181</f>
        <v>8313000</v>
      </c>
      <c r="O90" s="859">
        <f>+'CY-FUR (REG)- Detail'!P181</f>
        <v>12025000</v>
      </c>
      <c r="P90" s="859">
        <f>+'CY-FUR (REG)- Detail'!Q181</f>
        <v>0</v>
      </c>
      <c r="Q90" s="859">
        <f t="shared" si="6"/>
        <v>20338000</v>
      </c>
      <c r="R90" s="859">
        <f>+'CY-FUR (REG)- Detail'!S181</f>
        <v>0</v>
      </c>
      <c r="S90" s="859">
        <f>+'CY-FUR (REG)- Detail'!T181</f>
        <v>0</v>
      </c>
      <c r="T90" s="859">
        <f>+'CY-FUR (REG)- Detail'!U181</f>
        <v>0</v>
      </c>
      <c r="U90" s="859">
        <f t="shared" si="320"/>
        <v>0</v>
      </c>
      <c r="V90" s="859">
        <f>+'CY-FUR (REG)- Detail'!W181</f>
        <v>0</v>
      </c>
      <c r="W90" s="859">
        <f>+'CY-FUR (REG)- Detail'!X181</f>
        <v>1268000</v>
      </c>
      <c r="X90" s="859">
        <f>+'CY-FUR (REG)- Detail'!Y181</f>
        <v>0</v>
      </c>
      <c r="Y90" s="859">
        <f t="shared" si="7"/>
        <v>1268000</v>
      </c>
      <c r="Z90" s="859">
        <f t="shared" si="321"/>
        <v>8313000</v>
      </c>
      <c r="AA90" s="859">
        <f t="shared" si="322"/>
        <v>13293000</v>
      </c>
      <c r="AB90" s="859">
        <f t="shared" si="323"/>
        <v>0</v>
      </c>
      <c r="AC90" s="859">
        <f t="shared" si="11"/>
        <v>21606000</v>
      </c>
      <c r="AD90" s="859">
        <f>+'CY-FUR (REG)- Detail'!AE181</f>
        <v>7533659.3600000003</v>
      </c>
      <c r="AE90" s="859">
        <f>+'CY-FUR (REG)- Detail'!AF181</f>
        <v>11325971.879999999</v>
      </c>
      <c r="AF90" s="859">
        <f>+'CY-FUR (REG)- Detail'!AG181</f>
        <v>0</v>
      </c>
      <c r="AG90" s="859">
        <f t="shared" si="324"/>
        <v>18859631.239999998</v>
      </c>
      <c r="AH90" s="859">
        <f>+'CY-FUR (REG)- Detail'!AI181</f>
        <v>0</v>
      </c>
      <c r="AI90" s="859">
        <f>+'CY-FUR (REG)- Detail'!AJ181</f>
        <v>983144.89</v>
      </c>
      <c r="AJ90" s="859">
        <f>+'CY-FUR (REG)- Detail'!AK181</f>
        <v>0</v>
      </c>
      <c r="AK90" s="859">
        <f t="shared" si="325"/>
        <v>983144.89</v>
      </c>
      <c r="AL90" s="859">
        <f t="shared" si="326"/>
        <v>7533659.3600000003</v>
      </c>
      <c r="AM90" s="859">
        <f t="shared" si="327"/>
        <v>12309116.77</v>
      </c>
      <c r="AN90" s="859">
        <f t="shared" si="328"/>
        <v>0</v>
      </c>
      <c r="AO90" s="859">
        <f t="shared" si="15"/>
        <v>19842776.129999999</v>
      </c>
      <c r="AP90" s="859">
        <f t="shared" si="258"/>
        <v>779340.63999999966</v>
      </c>
      <c r="AQ90" s="859">
        <f t="shared" si="259"/>
        <v>983883.23000000045</v>
      </c>
      <c r="AR90" s="859">
        <f t="shared" si="260"/>
        <v>0</v>
      </c>
      <c r="AS90" s="859">
        <f t="shared" si="19"/>
        <v>1763223.87</v>
      </c>
      <c r="AT90" s="1143">
        <f t="shared" si="261"/>
        <v>0.90625037411283538</v>
      </c>
      <c r="AU90" s="1143">
        <f t="shared" si="262"/>
        <v>0.92598486195742113</v>
      </c>
      <c r="AV90" s="1143" t="str">
        <f t="shared" si="263"/>
        <v xml:space="preserve"> </v>
      </c>
      <c r="AW90" s="1143">
        <f t="shared" si="264"/>
        <v>0.91839193418494858</v>
      </c>
      <c r="AX90" s="22">
        <f t="shared" si="265"/>
        <v>0</v>
      </c>
      <c r="AY90" s="22">
        <f t="shared" si="266"/>
        <v>0</v>
      </c>
      <c r="AZ90" s="22">
        <f t="shared" si="267"/>
        <v>0</v>
      </c>
      <c r="BA90" s="22">
        <f t="shared" si="268"/>
        <v>0</v>
      </c>
      <c r="BF90" s="824">
        <f t="shared" si="269"/>
        <v>699028.12000000104</v>
      </c>
    </row>
    <row r="91" spans="1:58" s="16" customFormat="1">
      <c r="A91" s="592"/>
      <c r="B91" s="859"/>
      <c r="C91" s="859"/>
      <c r="D91" s="859"/>
      <c r="E91" s="860">
        <f t="shared" si="0"/>
        <v>0</v>
      </c>
      <c r="F91" s="859"/>
      <c r="G91" s="859"/>
      <c r="H91" s="859"/>
      <c r="I91" s="860"/>
      <c r="J91" s="859"/>
      <c r="K91" s="859"/>
      <c r="L91" s="859"/>
      <c r="M91" s="860"/>
      <c r="N91" s="859"/>
      <c r="O91" s="859"/>
      <c r="P91" s="859"/>
      <c r="Q91" s="860">
        <f t="shared" si="6"/>
        <v>0</v>
      </c>
      <c r="R91" s="859"/>
      <c r="S91" s="859"/>
      <c r="T91" s="859"/>
      <c r="U91" s="860"/>
      <c r="V91" s="859"/>
      <c r="W91" s="859"/>
      <c r="X91" s="859"/>
      <c r="Y91" s="860">
        <f t="shared" si="7"/>
        <v>0</v>
      </c>
      <c r="Z91" s="860"/>
      <c r="AA91" s="860"/>
      <c r="AB91" s="860"/>
      <c r="AC91" s="860">
        <f t="shared" si="11"/>
        <v>0</v>
      </c>
      <c r="AD91" s="859"/>
      <c r="AE91" s="859"/>
      <c r="AF91" s="859"/>
      <c r="AG91" s="860"/>
      <c r="AH91" s="859"/>
      <c r="AI91" s="859"/>
      <c r="AJ91" s="859"/>
      <c r="AK91" s="860"/>
      <c r="AL91" s="860"/>
      <c r="AM91" s="860"/>
      <c r="AN91" s="860"/>
      <c r="AO91" s="860">
        <f t="shared" si="15"/>
        <v>0</v>
      </c>
      <c r="AP91" s="860">
        <f t="shared" si="258"/>
        <v>0</v>
      </c>
      <c r="AQ91" s="860">
        <f t="shared" si="259"/>
        <v>0</v>
      </c>
      <c r="AR91" s="860">
        <f t="shared" si="260"/>
        <v>0</v>
      </c>
      <c r="AS91" s="860">
        <f t="shared" si="19"/>
        <v>0</v>
      </c>
      <c r="AT91" s="1143" t="str">
        <f t="shared" si="261"/>
        <v xml:space="preserve"> </v>
      </c>
      <c r="AU91" s="1143" t="str">
        <f t="shared" si="262"/>
        <v xml:space="preserve"> </v>
      </c>
      <c r="AV91" s="1143" t="str">
        <f t="shared" si="263"/>
        <v xml:space="preserve"> </v>
      </c>
      <c r="AW91" s="1143" t="str">
        <f t="shared" si="264"/>
        <v xml:space="preserve"> </v>
      </c>
      <c r="AX91" s="22">
        <f t="shared" si="265"/>
        <v>0</v>
      </c>
      <c r="AY91" s="22">
        <f t="shared" si="266"/>
        <v>0</v>
      </c>
      <c r="AZ91" s="22">
        <f t="shared" si="267"/>
        <v>0</v>
      </c>
      <c r="BA91" s="22">
        <f t="shared" si="268"/>
        <v>0</v>
      </c>
      <c r="BF91" s="824">
        <f t="shared" si="269"/>
        <v>0</v>
      </c>
    </row>
    <row r="92" spans="1:58" s="609" customFormat="1" ht="16.5">
      <c r="A92" s="1153" t="s">
        <v>1018</v>
      </c>
      <c r="B92" s="1151">
        <f>SUM(B93:B99)</f>
        <v>498268000</v>
      </c>
      <c r="C92" s="1151">
        <f>SUM(C93:C99)</f>
        <v>420868000</v>
      </c>
      <c r="D92" s="1151">
        <f t="shared" ref="D92:AN92" si="329">SUM(D93:D99)</f>
        <v>0</v>
      </c>
      <c r="E92" s="1151">
        <f t="shared" si="0"/>
        <v>919136000</v>
      </c>
      <c r="F92" s="1151">
        <f t="shared" si="329"/>
        <v>10930156</v>
      </c>
      <c r="G92" s="1151">
        <f t="shared" si="329"/>
        <v>-10930156</v>
      </c>
      <c r="H92" s="1151">
        <f t="shared" si="329"/>
        <v>0</v>
      </c>
      <c r="I92" s="1151">
        <f t="shared" si="329"/>
        <v>0</v>
      </c>
      <c r="J92" s="1151">
        <f t="shared" si="329"/>
        <v>509198156</v>
      </c>
      <c r="K92" s="1151">
        <f t="shared" si="329"/>
        <v>409937844</v>
      </c>
      <c r="L92" s="1151">
        <f t="shared" si="329"/>
        <v>0</v>
      </c>
      <c r="M92" s="1151">
        <f t="shared" si="329"/>
        <v>919136000</v>
      </c>
      <c r="N92" s="1151">
        <f t="shared" si="329"/>
        <v>509198156</v>
      </c>
      <c r="O92" s="1151">
        <f t="shared" si="329"/>
        <v>409937844</v>
      </c>
      <c r="P92" s="1151">
        <f t="shared" si="329"/>
        <v>0</v>
      </c>
      <c r="Q92" s="1151">
        <f t="shared" si="6"/>
        <v>919136000</v>
      </c>
      <c r="R92" s="1151">
        <f t="shared" si="329"/>
        <v>0</v>
      </c>
      <c r="S92" s="1151">
        <f t="shared" si="329"/>
        <v>0</v>
      </c>
      <c r="T92" s="1151">
        <f t="shared" si="329"/>
        <v>0</v>
      </c>
      <c r="U92" s="1151">
        <f t="shared" si="329"/>
        <v>0</v>
      </c>
      <c r="V92" s="1151">
        <f t="shared" si="329"/>
        <v>0</v>
      </c>
      <c r="W92" s="1151">
        <f t="shared" si="329"/>
        <v>307330343.60000002</v>
      </c>
      <c r="X92" s="1151">
        <f t="shared" si="329"/>
        <v>77874017</v>
      </c>
      <c r="Y92" s="1151">
        <f t="shared" si="7"/>
        <v>385204360.60000002</v>
      </c>
      <c r="Z92" s="1151">
        <f t="shared" si="329"/>
        <v>509198156</v>
      </c>
      <c r="AA92" s="1151">
        <f t="shared" si="329"/>
        <v>717268187.60000002</v>
      </c>
      <c r="AB92" s="1151">
        <f t="shared" si="329"/>
        <v>77874017</v>
      </c>
      <c r="AC92" s="1151">
        <f t="shared" si="11"/>
        <v>1304340360.5999999</v>
      </c>
      <c r="AD92" s="1151">
        <f t="shared" si="329"/>
        <v>471963150.01000005</v>
      </c>
      <c r="AE92" s="1151">
        <f t="shared" si="329"/>
        <v>337374898.74000001</v>
      </c>
      <c r="AF92" s="1151">
        <f t="shared" si="329"/>
        <v>0</v>
      </c>
      <c r="AG92" s="1151">
        <f t="shared" si="329"/>
        <v>809338048.75</v>
      </c>
      <c r="AH92" s="1151">
        <f t="shared" si="329"/>
        <v>0</v>
      </c>
      <c r="AI92" s="1151">
        <f t="shared" si="329"/>
        <v>212483854.07000002</v>
      </c>
      <c r="AJ92" s="1151">
        <f t="shared" si="329"/>
        <v>55203243.989999995</v>
      </c>
      <c r="AK92" s="1151">
        <f t="shared" si="329"/>
        <v>267687098.06</v>
      </c>
      <c r="AL92" s="1151">
        <f t="shared" si="329"/>
        <v>471963150.01000005</v>
      </c>
      <c r="AM92" s="1151">
        <f t="shared" si="329"/>
        <v>549858752.81000018</v>
      </c>
      <c r="AN92" s="1151">
        <f t="shared" si="329"/>
        <v>55203243.989999995</v>
      </c>
      <c r="AO92" s="1151">
        <f t="shared" si="15"/>
        <v>1077025146.8100002</v>
      </c>
      <c r="AP92" s="1151">
        <f t="shared" si="258"/>
        <v>37235005.98999995</v>
      </c>
      <c r="AQ92" s="1151">
        <f t="shared" si="259"/>
        <v>167409434.78999984</v>
      </c>
      <c r="AR92" s="1151">
        <f t="shared" si="260"/>
        <v>22670773.010000005</v>
      </c>
      <c r="AS92" s="1151">
        <f t="shared" si="19"/>
        <v>227315213.78999978</v>
      </c>
      <c r="AT92" s="1165">
        <f t="shared" si="261"/>
        <v>0.9268752143909964</v>
      </c>
      <c r="AU92" s="1165">
        <f t="shared" si="262"/>
        <v>0.76660133868454894</v>
      </c>
      <c r="AV92" s="1165">
        <f t="shared" si="263"/>
        <v>0.70887885480467761</v>
      </c>
      <c r="AW92" s="1165">
        <f t="shared" si="264"/>
        <v>0.82572400528537337</v>
      </c>
      <c r="AX92" s="1152">
        <f t="shared" si="265"/>
        <v>0</v>
      </c>
      <c r="AY92" s="1152">
        <f t="shared" si="266"/>
        <v>0</v>
      </c>
      <c r="AZ92" s="1152">
        <f t="shared" si="267"/>
        <v>0</v>
      </c>
      <c r="BA92" s="1152">
        <f t="shared" si="268"/>
        <v>0</v>
      </c>
      <c r="BB92" s="1132">
        <f>+AS92-'CY (ALL FUNDS)'!Q924</f>
        <v>0</v>
      </c>
      <c r="BF92" s="824">
        <f t="shared" si="269"/>
        <v>72562945.25999999</v>
      </c>
    </row>
    <row r="93" spans="1:58" s="903" customFormat="1">
      <c r="A93" s="905" t="s">
        <v>1017</v>
      </c>
      <c r="B93" s="859">
        <f>SUM('CY-FUR (REG)- Detail'!C184:C186)</f>
        <v>73865000</v>
      </c>
      <c r="C93" s="859">
        <f>SUM('CY-FUR (REG)- Detail'!D184:D186)</f>
        <v>172021000</v>
      </c>
      <c r="D93" s="859">
        <f>SUM('CY-FUR (REG)- Detail'!E184:E186)</f>
        <v>0</v>
      </c>
      <c r="E93" s="859">
        <f t="shared" si="0"/>
        <v>245886000</v>
      </c>
      <c r="F93" s="859">
        <f>SUM('CY-FUR (REG)- Detail'!G184:G186)</f>
        <v>0</v>
      </c>
      <c r="G93" s="859">
        <f>SUM('CY-FUR (REG)- Detail'!H184:H186)</f>
        <v>0</v>
      </c>
      <c r="H93" s="859">
        <f>SUM('CY-FUR (REG)- Detail'!I184:I186)</f>
        <v>0</v>
      </c>
      <c r="I93" s="859">
        <f>SUM('CY-FUR (REG)- Detail'!J184:J186)</f>
        <v>0</v>
      </c>
      <c r="J93" s="859">
        <f>SUM('CY-FUR (REG)- Detail'!K184:K186)</f>
        <v>73865000</v>
      </c>
      <c r="K93" s="859">
        <f>SUM('CY-FUR (REG)- Detail'!L184:L186)</f>
        <v>172021000</v>
      </c>
      <c r="L93" s="859">
        <f>SUM('CY-FUR (REG)- Detail'!M184:M186)</f>
        <v>0</v>
      </c>
      <c r="M93" s="859">
        <f>SUM('CY-FUR (REG)- Detail'!N184:N186)</f>
        <v>245886000</v>
      </c>
      <c r="N93" s="859">
        <f>SUM('CY-FUR (REG)- Detail'!O184:O186)</f>
        <v>73865000</v>
      </c>
      <c r="O93" s="859">
        <f>SUM('CY-FUR (REG)- Detail'!P184:P186)</f>
        <v>172021000</v>
      </c>
      <c r="P93" s="859">
        <f>SUM('CY-FUR (REG)- Detail'!Q184:Q186)</f>
        <v>0</v>
      </c>
      <c r="Q93" s="859">
        <f t="shared" si="6"/>
        <v>245886000</v>
      </c>
      <c r="R93" s="859">
        <f>SUM('CY-FUR (REG)- Detail'!S184:S186)</f>
        <v>0</v>
      </c>
      <c r="S93" s="859">
        <f>SUM('CY-FUR (REG)- Detail'!T184:T186)</f>
        <v>0</v>
      </c>
      <c r="T93" s="859">
        <f>SUM('CY-FUR (REG)- Detail'!U184:U186)</f>
        <v>0</v>
      </c>
      <c r="U93" s="859">
        <f>SUM('CY-FUR (REG)- Detail'!V184:V186)</f>
        <v>0</v>
      </c>
      <c r="V93" s="859">
        <f>SUM('CY-FUR (REG)- Detail'!W184:W186)</f>
        <v>0</v>
      </c>
      <c r="W93" s="859">
        <f>SUM('CY-FUR (REG)- Detail'!X184:X186)</f>
        <v>216991143.59999999</v>
      </c>
      <c r="X93" s="859">
        <f>SUM('CY-FUR (REG)- Detail'!Y184:Y186)</f>
        <v>64842000</v>
      </c>
      <c r="Y93" s="859">
        <f t="shared" si="7"/>
        <v>281833143.60000002</v>
      </c>
      <c r="Z93" s="859">
        <f>SUM('CY-FUR (REG)- Detail'!AA184:AA186)</f>
        <v>73865000</v>
      </c>
      <c r="AA93" s="859">
        <f>SUM('CY-FUR (REG)- Detail'!AB184:AB186)</f>
        <v>389012143.60000002</v>
      </c>
      <c r="AB93" s="859">
        <f>SUM('CY-FUR (REG)- Detail'!AC184:AC186)</f>
        <v>64842000</v>
      </c>
      <c r="AC93" s="859">
        <f t="shared" si="11"/>
        <v>527719143.60000002</v>
      </c>
      <c r="AD93" s="859">
        <f>SUM('CY-FUR (REG)- Detail'!AE184:AE186)</f>
        <v>65555990.560000002</v>
      </c>
      <c r="AE93" s="859">
        <f>SUM('CY-FUR (REG)- Detail'!AF184:AF186)</f>
        <v>123944990.14000002</v>
      </c>
      <c r="AF93" s="859">
        <f>SUM('CY-FUR (REG)- Detail'!AG184:AG186)</f>
        <v>0</v>
      </c>
      <c r="AG93" s="859">
        <f>SUM('CY-FUR (REG)- Detail'!AH184:AH186)</f>
        <v>189500980.69999999</v>
      </c>
      <c r="AH93" s="859">
        <f>SUM('CY-FUR (REG)- Detail'!AI184:AI186)</f>
        <v>0</v>
      </c>
      <c r="AI93" s="859">
        <f>SUM('CY-FUR (REG)- Detail'!AJ184:AJ186)</f>
        <v>133799923.88</v>
      </c>
      <c r="AJ93" s="859">
        <f>SUM('CY-FUR (REG)- Detail'!AK184:AK186)</f>
        <v>43168215.460000001</v>
      </c>
      <c r="AK93" s="859">
        <f>SUM('CY-FUR (REG)- Detail'!AL184:AL186)</f>
        <v>176968139.34</v>
      </c>
      <c r="AL93" s="859">
        <f>SUM('CY-FUR (REG)- Detail'!AM184:AM186)</f>
        <v>65555990.560000002</v>
      </c>
      <c r="AM93" s="859">
        <f>SUM('CY-FUR (REG)- Detail'!AN184:AN186)</f>
        <v>257744914.02000001</v>
      </c>
      <c r="AN93" s="859">
        <f>SUM('CY-FUR (REG)- Detail'!AO184:AO186)</f>
        <v>43168215.460000001</v>
      </c>
      <c r="AO93" s="859">
        <f t="shared" si="15"/>
        <v>366469120.04000002</v>
      </c>
      <c r="AP93" s="859">
        <f t="shared" si="258"/>
        <v>8309009.4399999976</v>
      </c>
      <c r="AQ93" s="859">
        <f t="shared" si="259"/>
        <v>131267229.58000001</v>
      </c>
      <c r="AR93" s="859">
        <f t="shared" si="260"/>
        <v>21673784.539999999</v>
      </c>
      <c r="AS93" s="859">
        <f t="shared" si="19"/>
        <v>161250023.56</v>
      </c>
      <c r="AT93" s="1166">
        <f t="shared" si="261"/>
        <v>0.88751087199620937</v>
      </c>
      <c r="AU93" s="1166">
        <f t="shared" si="262"/>
        <v>0.66256264299302969</v>
      </c>
      <c r="AV93" s="1166">
        <f t="shared" si="263"/>
        <v>0.66574466333549243</v>
      </c>
      <c r="AW93" s="1166">
        <f t="shared" si="264"/>
        <v>0.69443969293972763</v>
      </c>
      <c r="AX93" s="22">
        <f t="shared" si="265"/>
        <v>0</v>
      </c>
      <c r="AY93" s="22">
        <f t="shared" si="266"/>
        <v>0</v>
      </c>
      <c r="AZ93" s="22">
        <f t="shared" si="267"/>
        <v>0</v>
      </c>
      <c r="BA93" s="22">
        <f t="shared" si="268"/>
        <v>0</v>
      </c>
      <c r="BF93" s="824">
        <f t="shared" si="269"/>
        <v>48076009.859999985</v>
      </c>
    </row>
    <row r="94" spans="1:58" s="16" customFormat="1">
      <c r="A94" s="905" t="s">
        <v>1019</v>
      </c>
      <c r="B94" s="859">
        <f>+'CY-FUR (REG)- Detail'!C188</f>
        <v>240017000</v>
      </c>
      <c r="C94" s="859">
        <f>+'CY-FUR (REG)- Detail'!D188</f>
        <v>170938000</v>
      </c>
      <c r="D94" s="859">
        <f>+'CY-FUR (REG)- Detail'!E188</f>
        <v>0</v>
      </c>
      <c r="E94" s="859">
        <f t="shared" si="0"/>
        <v>410955000</v>
      </c>
      <c r="F94" s="859">
        <f>+'CY-FUR (REG)- Detail'!G188</f>
        <v>4994674</v>
      </c>
      <c r="G94" s="859">
        <f>+'CY-FUR (REG)- Detail'!H188</f>
        <v>-4994674</v>
      </c>
      <c r="H94" s="859">
        <f>+'CY-FUR (REG)- Detail'!I188</f>
        <v>0</v>
      </c>
      <c r="I94" s="859">
        <f t="shared" ref="I94" si="330">SUM(F94:H94)</f>
        <v>0</v>
      </c>
      <c r="J94" s="859">
        <f t="shared" ref="J94" si="331">+B94+F94</f>
        <v>245011674</v>
      </c>
      <c r="K94" s="859">
        <f t="shared" ref="K94" si="332">+C94+G94</f>
        <v>165943326</v>
      </c>
      <c r="L94" s="859">
        <f t="shared" ref="L94" si="333">+D94+H94</f>
        <v>0</v>
      </c>
      <c r="M94" s="859">
        <f t="shared" ref="M94" si="334">SUM(J94:L94)</f>
        <v>410955000</v>
      </c>
      <c r="N94" s="859">
        <f>+'CY-FUR (REG)- Detail'!O188</f>
        <v>245011674</v>
      </c>
      <c r="O94" s="859">
        <f>+'CY-FUR (REG)- Detail'!P188</f>
        <v>165943326</v>
      </c>
      <c r="P94" s="859">
        <f>+'CY-FUR (REG)- Detail'!Q188</f>
        <v>0</v>
      </c>
      <c r="Q94" s="859">
        <f t="shared" si="6"/>
        <v>410955000</v>
      </c>
      <c r="R94" s="859">
        <f>+'CY-FUR (REG)- Detail'!S188</f>
        <v>0</v>
      </c>
      <c r="S94" s="859">
        <f>+'CY-FUR (REG)- Detail'!T188</f>
        <v>0</v>
      </c>
      <c r="T94" s="859">
        <f>+'CY-FUR (REG)- Detail'!U188</f>
        <v>0</v>
      </c>
      <c r="U94" s="859">
        <f t="shared" ref="U94" si="335">SUM(R94:T94)</f>
        <v>0</v>
      </c>
      <c r="V94" s="859">
        <f>+'CY-FUR (REG)- Detail'!W188</f>
        <v>0</v>
      </c>
      <c r="W94" s="859">
        <f>+'CY-FUR (REG)- Detail'!X188</f>
        <v>57467420</v>
      </c>
      <c r="X94" s="859">
        <f>+'CY-FUR (REG)- Detail'!Y188</f>
        <v>10032017</v>
      </c>
      <c r="Y94" s="859">
        <f t="shared" si="7"/>
        <v>67499437</v>
      </c>
      <c r="Z94" s="859">
        <f t="shared" ref="Z94" si="336">+N94+V94+R94</f>
        <v>245011674</v>
      </c>
      <c r="AA94" s="859">
        <f t="shared" ref="AA94" si="337">+O94+W94+S94</f>
        <v>223410746</v>
      </c>
      <c r="AB94" s="859">
        <f t="shared" ref="AB94" si="338">+P94+X94+T94</f>
        <v>10032017</v>
      </c>
      <c r="AC94" s="859">
        <f t="shared" si="11"/>
        <v>478454437</v>
      </c>
      <c r="AD94" s="859">
        <f>+'CY-FUR (REG)- Detail'!AE188</f>
        <v>224542877.30000001</v>
      </c>
      <c r="AE94" s="859">
        <f>+'CY-FUR (REG)- Detail'!AF188</f>
        <v>154296478.00999999</v>
      </c>
      <c r="AF94" s="859">
        <f>+'CY-FUR (REG)- Detail'!AG188</f>
        <v>0</v>
      </c>
      <c r="AG94" s="859">
        <f t="shared" ref="AG94" si="339">SUM(AD94:AF94)</f>
        <v>378839355.31</v>
      </c>
      <c r="AH94" s="859">
        <f>+'CY-FUR (REG)- Detail'!AI188</f>
        <v>0</v>
      </c>
      <c r="AI94" s="859">
        <f>+'CY-FUR (REG)- Detail'!AJ188</f>
        <v>51171530.170000009</v>
      </c>
      <c r="AJ94" s="859">
        <f>+'CY-FUR (REG)- Detail'!AK188</f>
        <v>9079372.9499999993</v>
      </c>
      <c r="AK94" s="859">
        <f t="shared" ref="AK94" si="340">SUM(AH94:AJ94)</f>
        <v>60250903.120000005</v>
      </c>
      <c r="AL94" s="859">
        <f t="shared" ref="AL94" si="341">+AH94+AD94</f>
        <v>224542877.30000001</v>
      </c>
      <c r="AM94" s="859">
        <f t="shared" ref="AM94" si="342">+AI94+AE94</f>
        <v>205468008.18000001</v>
      </c>
      <c r="AN94" s="859">
        <f t="shared" ref="AN94" si="343">+AJ94+AF94</f>
        <v>9079372.9499999993</v>
      </c>
      <c r="AO94" s="859">
        <f t="shared" si="15"/>
        <v>439090258.43000001</v>
      </c>
      <c r="AP94" s="859">
        <f t="shared" si="258"/>
        <v>20468796.699999988</v>
      </c>
      <c r="AQ94" s="859">
        <f t="shared" si="259"/>
        <v>17942737.819999993</v>
      </c>
      <c r="AR94" s="859">
        <f t="shared" si="260"/>
        <v>952644.05000000075</v>
      </c>
      <c r="AS94" s="859">
        <f t="shared" si="19"/>
        <v>39364178.569999978</v>
      </c>
      <c r="AT94" s="1143">
        <f t="shared" si="261"/>
        <v>0.91645787171757376</v>
      </c>
      <c r="AU94" s="1143">
        <f t="shared" si="262"/>
        <v>0.91968722122256374</v>
      </c>
      <c r="AV94" s="1143">
        <f t="shared" si="263"/>
        <v>0.90503962961785245</v>
      </c>
      <c r="AW94" s="1143">
        <f t="shared" si="264"/>
        <v>0.91772637993113648</v>
      </c>
      <c r="AX94" s="22">
        <f t="shared" si="265"/>
        <v>0</v>
      </c>
      <c r="AY94" s="22">
        <f t="shared" si="266"/>
        <v>0</v>
      </c>
      <c r="AZ94" s="22">
        <f t="shared" si="267"/>
        <v>0</v>
      </c>
      <c r="BA94" s="22">
        <f t="shared" si="268"/>
        <v>0</v>
      </c>
      <c r="BF94" s="824">
        <f t="shared" si="269"/>
        <v>11646847.99000001</v>
      </c>
    </row>
    <row r="95" spans="1:58" s="16" customFormat="1">
      <c r="A95" s="905" t="s">
        <v>1020</v>
      </c>
      <c r="B95" s="859">
        <f>+'CY-FUR (REG)- Detail'!C189</f>
        <v>123195000</v>
      </c>
      <c r="C95" s="859">
        <f>+'CY-FUR (REG)- Detail'!D189</f>
        <v>43788000</v>
      </c>
      <c r="D95" s="859">
        <f>+'CY-FUR (REG)- Detail'!E189</f>
        <v>0</v>
      </c>
      <c r="E95" s="859">
        <f t="shared" si="0"/>
        <v>166983000</v>
      </c>
      <c r="F95" s="859">
        <f>+'CY-FUR (REG)- Detail'!G189</f>
        <v>5230366</v>
      </c>
      <c r="G95" s="859">
        <f>+'CY-FUR (REG)- Detail'!H189</f>
        <v>-5230366</v>
      </c>
      <c r="H95" s="859">
        <f>+'CY-FUR (REG)- Detail'!I189</f>
        <v>0</v>
      </c>
      <c r="I95" s="859">
        <f t="shared" ref="I95:I99" si="344">SUM(F95:H95)</f>
        <v>0</v>
      </c>
      <c r="J95" s="859">
        <f t="shared" ref="J95:J99" si="345">+B95+F95</f>
        <v>128425366</v>
      </c>
      <c r="K95" s="859">
        <f t="shared" ref="K95:K99" si="346">+C95+G95</f>
        <v>38557634</v>
      </c>
      <c r="L95" s="859">
        <f t="shared" ref="L95:L99" si="347">+D95+H95</f>
        <v>0</v>
      </c>
      <c r="M95" s="859">
        <f t="shared" ref="M95:M99" si="348">SUM(J95:L95)</f>
        <v>166983000</v>
      </c>
      <c r="N95" s="859">
        <f>+'CY-FUR (REG)- Detail'!O189</f>
        <v>128425366</v>
      </c>
      <c r="O95" s="859">
        <f>+'CY-FUR (REG)- Detail'!P189</f>
        <v>38557634</v>
      </c>
      <c r="P95" s="859">
        <f>+'CY-FUR (REG)- Detail'!Q189</f>
        <v>0</v>
      </c>
      <c r="Q95" s="859">
        <f t="shared" si="6"/>
        <v>166983000</v>
      </c>
      <c r="R95" s="859">
        <f>+'CY-FUR (REG)- Detail'!S189</f>
        <v>0</v>
      </c>
      <c r="S95" s="859">
        <f>+'CY-FUR (REG)- Detail'!T189</f>
        <v>0</v>
      </c>
      <c r="T95" s="859">
        <f>+'CY-FUR (REG)- Detail'!U189</f>
        <v>0</v>
      </c>
      <c r="U95" s="859">
        <f t="shared" ref="U95:U99" si="349">SUM(R95:T95)</f>
        <v>0</v>
      </c>
      <c r="V95" s="859">
        <f>+'CY-FUR (REG)- Detail'!W189</f>
        <v>0</v>
      </c>
      <c r="W95" s="859">
        <f>+'CY-FUR (REG)- Detail'!X189</f>
        <v>17540780</v>
      </c>
      <c r="X95" s="859">
        <f>+'CY-FUR (REG)- Detail'!Y189</f>
        <v>0</v>
      </c>
      <c r="Y95" s="859">
        <f t="shared" si="7"/>
        <v>17540780</v>
      </c>
      <c r="Z95" s="859">
        <f t="shared" ref="Z95:Z99" si="350">+N95+V95+R95</f>
        <v>128425366</v>
      </c>
      <c r="AA95" s="859">
        <f t="shared" ref="AA95:AA99" si="351">+O95+W95+S95</f>
        <v>56098414</v>
      </c>
      <c r="AB95" s="859">
        <f t="shared" ref="AB95:AB99" si="352">+P95+X95+T95</f>
        <v>0</v>
      </c>
      <c r="AC95" s="859">
        <f t="shared" si="11"/>
        <v>184523780</v>
      </c>
      <c r="AD95" s="859">
        <f>+'CY-FUR (REG)- Detail'!AE189</f>
        <v>123925345.52</v>
      </c>
      <c r="AE95" s="859">
        <f>+'CY-FUR (REG)- Detail'!AF189</f>
        <v>33446304.32</v>
      </c>
      <c r="AF95" s="859">
        <f>+'CY-FUR (REG)- Detail'!AG189</f>
        <v>0</v>
      </c>
      <c r="AG95" s="859">
        <f t="shared" ref="AG95:AG99" si="353">SUM(AD95:AF95)</f>
        <v>157371649.84</v>
      </c>
      <c r="AH95" s="859">
        <f>+'CY-FUR (REG)- Detail'!AI189</f>
        <v>0</v>
      </c>
      <c r="AI95" s="859">
        <f>+'CY-FUR (REG)- Detail'!AJ189</f>
        <v>14895385.02</v>
      </c>
      <c r="AJ95" s="859">
        <f>+'CY-FUR (REG)- Detail'!AK189</f>
        <v>0</v>
      </c>
      <c r="AK95" s="859">
        <f t="shared" ref="AK95:AK99" si="354">SUM(AH95:AJ95)</f>
        <v>14895385.02</v>
      </c>
      <c r="AL95" s="859">
        <f t="shared" ref="AL95:AL99" si="355">+AH95+AD95</f>
        <v>123925345.52</v>
      </c>
      <c r="AM95" s="859">
        <f t="shared" ref="AM95:AM99" si="356">+AI95+AE95</f>
        <v>48341689.340000004</v>
      </c>
      <c r="AN95" s="859">
        <f t="shared" ref="AN95:AN99" si="357">+AJ95+AF95</f>
        <v>0</v>
      </c>
      <c r="AO95" s="859">
        <f t="shared" si="15"/>
        <v>172267034.86000001</v>
      </c>
      <c r="AP95" s="859">
        <f t="shared" si="258"/>
        <v>4500020.4800000042</v>
      </c>
      <c r="AQ95" s="859">
        <f t="shared" si="259"/>
        <v>7756724.6599999964</v>
      </c>
      <c r="AR95" s="859">
        <f t="shared" si="260"/>
        <v>0</v>
      </c>
      <c r="AS95" s="859">
        <f t="shared" si="19"/>
        <v>12256745.140000001</v>
      </c>
      <c r="AT95" s="1143">
        <f t="shared" si="261"/>
        <v>0.96496003383007678</v>
      </c>
      <c r="AU95" s="1143">
        <f t="shared" si="262"/>
        <v>0.86173005425786198</v>
      </c>
      <c r="AV95" s="1143" t="str">
        <f t="shared" si="263"/>
        <v xml:space="preserve"> </v>
      </c>
      <c r="AW95" s="1143">
        <f t="shared" si="264"/>
        <v>0.9335763382909239</v>
      </c>
      <c r="AX95" s="22">
        <f t="shared" si="265"/>
        <v>0</v>
      </c>
      <c r="AY95" s="22">
        <f t="shared" si="266"/>
        <v>0</v>
      </c>
      <c r="AZ95" s="22">
        <f t="shared" si="267"/>
        <v>0</v>
      </c>
      <c r="BA95" s="22">
        <f t="shared" si="268"/>
        <v>0</v>
      </c>
      <c r="BF95" s="824">
        <f t="shared" si="269"/>
        <v>5111329.68</v>
      </c>
    </row>
    <row r="96" spans="1:58" s="16" customFormat="1">
      <c r="A96" s="905" t="s">
        <v>1021</v>
      </c>
      <c r="B96" s="859">
        <f>+'CY-FUR (REG)- Detail'!C190</f>
        <v>18228000</v>
      </c>
      <c r="C96" s="859">
        <f>+'CY-FUR (REG)- Detail'!D190</f>
        <v>6476000</v>
      </c>
      <c r="D96" s="859">
        <f>+'CY-FUR (REG)- Detail'!E190</f>
        <v>0</v>
      </c>
      <c r="E96" s="859">
        <f t="shared" si="0"/>
        <v>24704000</v>
      </c>
      <c r="F96" s="859">
        <f>+'CY-FUR (REG)- Detail'!G190</f>
        <v>545970</v>
      </c>
      <c r="G96" s="859">
        <f>+'CY-FUR (REG)- Detail'!H190</f>
        <v>-545970</v>
      </c>
      <c r="H96" s="859">
        <f>+'CY-FUR (REG)- Detail'!I190</f>
        <v>0</v>
      </c>
      <c r="I96" s="859">
        <f t="shared" si="344"/>
        <v>0</v>
      </c>
      <c r="J96" s="859">
        <f t="shared" si="345"/>
        <v>18773970</v>
      </c>
      <c r="K96" s="859">
        <f t="shared" si="346"/>
        <v>5930030</v>
      </c>
      <c r="L96" s="859">
        <f t="shared" si="347"/>
        <v>0</v>
      </c>
      <c r="M96" s="859">
        <f t="shared" si="348"/>
        <v>24704000</v>
      </c>
      <c r="N96" s="859">
        <f>+'CY-FUR (REG)- Detail'!O190</f>
        <v>18773970</v>
      </c>
      <c r="O96" s="859">
        <f>+'CY-FUR (REG)- Detail'!P190</f>
        <v>5930030</v>
      </c>
      <c r="P96" s="859">
        <f>+'CY-FUR (REG)- Detail'!Q190</f>
        <v>0</v>
      </c>
      <c r="Q96" s="859">
        <f t="shared" si="6"/>
        <v>24704000</v>
      </c>
      <c r="R96" s="859">
        <f>+'CY-FUR (REG)- Detail'!S190</f>
        <v>0</v>
      </c>
      <c r="S96" s="859">
        <f>+'CY-FUR (REG)- Detail'!T190</f>
        <v>0</v>
      </c>
      <c r="T96" s="859">
        <f>+'CY-FUR (REG)- Detail'!U190</f>
        <v>0</v>
      </c>
      <c r="U96" s="859">
        <f t="shared" si="349"/>
        <v>0</v>
      </c>
      <c r="V96" s="859">
        <f>+'CY-FUR (REG)- Detail'!W190</f>
        <v>0</v>
      </c>
      <c r="W96" s="859">
        <f>+'CY-FUR (REG)- Detail'!X190</f>
        <v>2362000</v>
      </c>
      <c r="X96" s="859">
        <f>+'CY-FUR (REG)- Detail'!Y190</f>
        <v>0</v>
      </c>
      <c r="Y96" s="859">
        <f t="shared" si="7"/>
        <v>2362000</v>
      </c>
      <c r="Z96" s="859">
        <f t="shared" si="350"/>
        <v>18773970</v>
      </c>
      <c r="AA96" s="859">
        <f t="shared" si="351"/>
        <v>8292030</v>
      </c>
      <c r="AB96" s="859">
        <f t="shared" si="352"/>
        <v>0</v>
      </c>
      <c r="AC96" s="859">
        <f t="shared" si="11"/>
        <v>27066000</v>
      </c>
      <c r="AD96" s="859">
        <f>+'CY-FUR (REG)- Detail'!AE190</f>
        <v>18054635.969999999</v>
      </c>
      <c r="AE96" s="859">
        <f>+'CY-FUR (REG)- Detail'!AF190</f>
        <v>5176228.2200000007</v>
      </c>
      <c r="AF96" s="859">
        <f>+'CY-FUR (REG)- Detail'!AG190</f>
        <v>0</v>
      </c>
      <c r="AG96" s="859">
        <f t="shared" si="353"/>
        <v>23230864.189999998</v>
      </c>
      <c r="AH96" s="859">
        <f>+'CY-FUR (REG)- Detail'!AI190</f>
        <v>0</v>
      </c>
      <c r="AI96" s="859">
        <f>+'CY-FUR (REG)- Detail'!AJ190</f>
        <v>2148017.63</v>
      </c>
      <c r="AJ96" s="859">
        <f>+'CY-FUR (REG)- Detail'!AK190</f>
        <v>0</v>
      </c>
      <c r="AK96" s="859">
        <f t="shared" si="354"/>
        <v>2148017.63</v>
      </c>
      <c r="AL96" s="859">
        <f t="shared" si="355"/>
        <v>18054635.969999999</v>
      </c>
      <c r="AM96" s="859">
        <f t="shared" si="356"/>
        <v>7324245.8500000006</v>
      </c>
      <c r="AN96" s="859">
        <f t="shared" si="357"/>
        <v>0</v>
      </c>
      <c r="AO96" s="859">
        <f t="shared" si="15"/>
        <v>25378881.82</v>
      </c>
      <c r="AP96" s="859">
        <f t="shared" si="258"/>
        <v>719334.03000000119</v>
      </c>
      <c r="AQ96" s="859">
        <f t="shared" si="259"/>
        <v>967784.14999999944</v>
      </c>
      <c r="AR96" s="859">
        <f t="shared" si="260"/>
        <v>0</v>
      </c>
      <c r="AS96" s="859">
        <f t="shared" si="19"/>
        <v>1687118.1800000006</v>
      </c>
      <c r="AT96" s="1143">
        <f t="shared" si="261"/>
        <v>0.96168450093400593</v>
      </c>
      <c r="AU96" s="1143">
        <f t="shared" si="262"/>
        <v>0.88328742780718361</v>
      </c>
      <c r="AV96" s="1143" t="str">
        <f t="shared" si="263"/>
        <v xml:space="preserve"> </v>
      </c>
      <c r="AW96" s="1143">
        <f t="shared" si="264"/>
        <v>0.93766651222936526</v>
      </c>
      <c r="AX96" s="22">
        <f t="shared" si="265"/>
        <v>0</v>
      </c>
      <c r="AY96" s="22">
        <f t="shared" si="266"/>
        <v>0</v>
      </c>
      <c r="AZ96" s="22">
        <f t="shared" si="267"/>
        <v>0</v>
      </c>
      <c r="BA96" s="22">
        <f t="shared" si="268"/>
        <v>0</v>
      </c>
      <c r="BF96" s="824">
        <f t="shared" si="269"/>
        <v>753801.77999999933</v>
      </c>
    </row>
    <row r="97" spans="1:58" s="16" customFormat="1">
      <c r="A97" s="905" t="s">
        <v>1022</v>
      </c>
      <c r="B97" s="859">
        <f>+'CY-FUR (REG)- Detail'!C191</f>
        <v>16878000</v>
      </c>
      <c r="C97" s="859">
        <f>+'CY-FUR (REG)- Detail'!D191</f>
        <v>15507000</v>
      </c>
      <c r="D97" s="859">
        <f>+'CY-FUR (REG)- Detail'!E191</f>
        <v>0</v>
      </c>
      <c r="E97" s="859">
        <f t="shared" si="0"/>
        <v>32385000</v>
      </c>
      <c r="F97" s="859">
        <f>+'CY-FUR (REG)- Detail'!G191</f>
        <v>0</v>
      </c>
      <c r="G97" s="859">
        <f>+'CY-FUR (REG)- Detail'!H191</f>
        <v>0</v>
      </c>
      <c r="H97" s="859">
        <f>+'CY-FUR (REG)- Detail'!I191</f>
        <v>0</v>
      </c>
      <c r="I97" s="859">
        <f t="shared" si="344"/>
        <v>0</v>
      </c>
      <c r="J97" s="859">
        <f t="shared" si="345"/>
        <v>16878000</v>
      </c>
      <c r="K97" s="859">
        <f t="shared" si="346"/>
        <v>15507000</v>
      </c>
      <c r="L97" s="859">
        <f t="shared" si="347"/>
        <v>0</v>
      </c>
      <c r="M97" s="859">
        <f t="shared" si="348"/>
        <v>32385000</v>
      </c>
      <c r="N97" s="859">
        <f>+'CY-FUR (REG)- Detail'!O191</f>
        <v>16878000</v>
      </c>
      <c r="O97" s="859">
        <f>+'CY-FUR (REG)- Detail'!P191</f>
        <v>15507000</v>
      </c>
      <c r="P97" s="859">
        <f>+'CY-FUR (REG)- Detail'!Q191</f>
        <v>0</v>
      </c>
      <c r="Q97" s="859">
        <f t="shared" si="6"/>
        <v>32385000</v>
      </c>
      <c r="R97" s="859">
        <f>+'CY-FUR (REG)- Detail'!S191</f>
        <v>0</v>
      </c>
      <c r="S97" s="859">
        <f>+'CY-FUR (REG)- Detail'!T191</f>
        <v>0</v>
      </c>
      <c r="T97" s="859">
        <f>+'CY-FUR (REG)- Detail'!U191</f>
        <v>0</v>
      </c>
      <c r="U97" s="859">
        <f t="shared" si="349"/>
        <v>0</v>
      </c>
      <c r="V97" s="859">
        <f>+'CY-FUR (REG)- Detail'!W191</f>
        <v>0</v>
      </c>
      <c r="W97" s="859">
        <f>+'CY-FUR (REG)- Detail'!X191</f>
        <v>8813000</v>
      </c>
      <c r="X97" s="859">
        <f>+'CY-FUR (REG)- Detail'!Y191</f>
        <v>0</v>
      </c>
      <c r="Y97" s="859">
        <f t="shared" si="7"/>
        <v>8813000</v>
      </c>
      <c r="Z97" s="859">
        <f t="shared" si="350"/>
        <v>16878000</v>
      </c>
      <c r="AA97" s="859">
        <f t="shared" si="351"/>
        <v>24320000</v>
      </c>
      <c r="AB97" s="859">
        <f t="shared" si="352"/>
        <v>0</v>
      </c>
      <c r="AC97" s="859">
        <f t="shared" si="11"/>
        <v>41198000</v>
      </c>
      <c r="AD97" s="859">
        <f>+'CY-FUR (REG)- Detail'!AE191</f>
        <v>15623903.439999999</v>
      </c>
      <c r="AE97" s="859">
        <f>+'CY-FUR (REG)- Detail'!AF191</f>
        <v>10110953.370000001</v>
      </c>
      <c r="AF97" s="859">
        <f>+'CY-FUR (REG)- Detail'!AG191</f>
        <v>0</v>
      </c>
      <c r="AG97" s="859">
        <f t="shared" si="353"/>
        <v>25734856.810000002</v>
      </c>
      <c r="AH97" s="859">
        <f>+'CY-FUR (REG)- Detail'!AI191</f>
        <v>0</v>
      </c>
      <c r="AI97" s="859">
        <f>+'CY-FUR (REG)- Detail'!AJ191</f>
        <v>7019968.3399999999</v>
      </c>
      <c r="AJ97" s="859">
        <f>+'CY-FUR (REG)- Detail'!AK191</f>
        <v>0</v>
      </c>
      <c r="AK97" s="859">
        <f t="shared" si="354"/>
        <v>7019968.3399999999</v>
      </c>
      <c r="AL97" s="859">
        <f t="shared" si="355"/>
        <v>15623903.439999999</v>
      </c>
      <c r="AM97" s="859">
        <f t="shared" si="356"/>
        <v>17130921.710000001</v>
      </c>
      <c r="AN97" s="859">
        <f t="shared" si="357"/>
        <v>0</v>
      </c>
      <c r="AO97" s="859">
        <f t="shared" si="15"/>
        <v>32754825.149999999</v>
      </c>
      <c r="AP97" s="859">
        <f t="shared" si="258"/>
        <v>1254096.5600000005</v>
      </c>
      <c r="AQ97" s="859">
        <f t="shared" si="259"/>
        <v>7189078.2899999991</v>
      </c>
      <c r="AR97" s="859">
        <f t="shared" si="260"/>
        <v>0</v>
      </c>
      <c r="AS97" s="859">
        <f t="shared" si="19"/>
        <v>8443174.8499999996</v>
      </c>
      <c r="AT97" s="1143">
        <f t="shared" si="261"/>
        <v>0.92569637634790847</v>
      </c>
      <c r="AU97" s="1143">
        <f t="shared" si="262"/>
        <v>0.70439645189144739</v>
      </c>
      <c r="AV97" s="1143" t="str">
        <f t="shared" si="263"/>
        <v xml:space="preserve"> </v>
      </c>
      <c r="AW97" s="1143">
        <f t="shared" si="264"/>
        <v>0.79505862299140728</v>
      </c>
      <c r="AX97" s="22">
        <f t="shared" si="265"/>
        <v>0</v>
      </c>
      <c r="AY97" s="22">
        <f t="shared" si="266"/>
        <v>0</v>
      </c>
      <c r="AZ97" s="22">
        <f t="shared" si="267"/>
        <v>0</v>
      </c>
      <c r="BA97" s="22">
        <f t="shared" si="268"/>
        <v>0</v>
      </c>
      <c r="BF97" s="824">
        <f t="shared" si="269"/>
        <v>5396046.629999999</v>
      </c>
    </row>
    <row r="98" spans="1:58" s="16" customFormat="1">
      <c r="A98" s="905" t="s">
        <v>1023</v>
      </c>
      <c r="B98" s="859">
        <f>+'CY-FUR (REG)- Detail'!C192</f>
        <v>11698000</v>
      </c>
      <c r="C98" s="859">
        <f>+'CY-FUR (REG)- Detail'!D192</f>
        <v>4629000</v>
      </c>
      <c r="D98" s="859">
        <f>+'CY-FUR (REG)- Detail'!E192</f>
        <v>0</v>
      </c>
      <c r="E98" s="859">
        <f t="shared" si="0"/>
        <v>16327000</v>
      </c>
      <c r="F98" s="859">
        <f>+'CY-FUR (REG)- Detail'!G192</f>
        <v>0</v>
      </c>
      <c r="G98" s="859">
        <f>+'CY-FUR (REG)- Detail'!H192</f>
        <v>0</v>
      </c>
      <c r="H98" s="859">
        <f>+'CY-FUR (REG)- Detail'!I192</f>
        <v>0</v>
      </c>
      <c r="I98" s="859">
        <f t="shared" si="344"/>
        <v>0</v>
      </c>
      <c r="J98" s="859">
        <f t="shared" si="345"/>
        <v>11698000</v>
      </c>
      <c r="K98" s="859">
        <f t="shared" si="346"/>
        <v>4629000</v>
      </c>
      <c r="L98" s="859">
        <f t="shared" si="347"/>
        <v>0</v>
      </c>
      <c r="M98" s="859">
        <f t="shared" si="348"/>
        <v>16327000</v>
      </c>
      <c r="N98" s="859">
        <f>+'CY-FUR (REG)- Detail'!O192</f>
        <v>11698000</v>
      </c>
      <c r="O98" s="859">
        <f>+'CY-FUR (REG)- Detail'!P192</f>
        <v>4629000</v>
      </c>
      <c r="P98" s="859">
        <f>+'CY-FUR (REG)- Detail'!Q192</f>
        <v>0</v>
      </c>
      <c r="Q98" s="859">
        <f t="shared" si="6"/>
        <v>16327000</v>
      </c>
      <c r="R98" s="859">
        <f>+'CY-FUR (REG)- Detail'!S192</f>
        <v>0</v>
      </c>
      <c r="S98" s="859">
        <f>+'CY-FUR (REG)- Detail'!T192</f>
        <v>0</v>
      </c>
      <c r="T98" s="859">
        <f>+'CY-FUR (REG)- Detail'!U192</f>
        <v>0</v>
      </c>
      <c r="U98" s="859">
        <f t="shared" si="349"/>
        <v>0</v>
      </c>
      <c r="V98" s="859">
        <f>+'CY-FUR (REG)- Detail'!W192</f>
        <v>0</v>
      </c>
      <c r="W98" s="859">
        <f>+'CY-FUR (REG)- Detail'!X192</f>
        <v>1310000</v>
      </c>
      <c r="X98" s="859">
        <f>+'CY-FUR (REG)- Detail'!Y192</f>
        <v>0</v>
      </c>
      <c r="Y98" s="859">
        <f t="shared" si="7"/>
        <v>1310000</v>
      </c>
      <c r="Z98" s="859">
        <f t="shared" si="350"/>
        <v>11698000</v>
      </c>
      <c r="AA98" s="859">
        <f t="shared" si="351"/>
        <v>5939000</v>
      </c>
      <c r="AB98" s="859">
        <f t="shared" si="352"/>
        <v>0</v>
      </c>
      <c r="AC98" s="859">
        <f t="shared" si="11"/>
        <v>17637000</v>
      </c>
      <c r="AD98" s="859">
        <f>+'CY-FUR (REG)- Detail'!AE192</f>
        <v>10864929.470000003</v>
      </c>
      <c r="AE98" s="859">
        <f>+'CY-FUR (REG)- Detail'!AF192</f>
        <v>3535313.0999999996</v>
      </c>
      <c r="AF98" s="859">
        <f>+'CY-FUR (REG)- Detail'!AG192</f>
        <v>0</v>
      </c>
      <c r="AG98" s="859">
        <f t="shared" si="353"/>
        <v>14400242.570000002</v>
      </c>
      <c r="AH98" s="859">
        <f>+'CY-FUR (REG)- Detail'!AI192</f>
        <v>0</v>
      </c>
      <c r="AI98" s="859">
        <f>+'CY-FUR (REG)- Detail'!AJ192</f>
        <v>1089328.6600000001</v>
      </c>
      <c r="AJ98" s="859">
        <f>+'CY-FUR (REG)- Detail'!AK192</f>
        <v>0</v>
      </c>
      <c r="AK98" s="859">
        <f t="shared" si="354"/>
        <v>1089328.6600000001</v>
      </c>
      <c r="AL98" s="859">
        <f t="shared" si="355"/>
        <v>10864929.470000003</v>
      </c>
      <c r="AM98" s="859">
        <f t="shared" si="356"/>
        <v>4624641.76</v>
      </c>
      <c r="AN98" s="859">
        <f t="shared" si="357"/>
        <v>0</v>
      </c>
      <c r="AO98" s="859">
        <f t="shared" si="15"/>
        <v>15489571.230000002</v>
      </c>
      <c r="AP98" s="859">
        <f t="shared" si="258"/>
        <v>833070.52999999747</v>
      </c>
      <c r="AQ98" s="859">
        <f t="shared" si="259"/>
        <v>1314358.2400000002</v>
      </c>
      <c r="AR98" s="859">
        <f t="shared" si="260"/>
        <v>0</v>
      </c>
      <c r="AS98" s="859">
        <f t="shared" si="19"/>
        <v>2147428.7699999977</v>
      </c>
      <c r="AT98" s="1143">
        <f t="shared" si="261"/>
        <v>0.92878521713113371</v>
      </c>
      <c r="AU98" s="1143">
        <f t="shared" si="262"/>
        <v>0.77869031150025259</v>
      </c>
      <c r="AV98" s="1143" t="str">
        <f t="shared" si="263"/>
        <v xml:space="preserve"> </v>
      </c>
      <c r="AW98" s="1143">
        <f t="shared" si="264"/>
        <v>0.87824296819186953</v>
      </c>
      <c r="AX98" s="22">
        <f t="shared" si="265"/>
        <v>0</v>
      </c>
      <c r="AY98" s="22">
        <f t="shared" si="266"/>
        <v>0</v>
      </c>
      <c r="AZ98" s="22">
        <f t="shared" si="267"/>
        <v>0</v>
      </c>
      <c r="BA98" s="22">
        <f t="shared" si="268"/>
        <v>0</v>
      </c>
      <c r="BF98" s="824">
        <f t="shared" si="269"/>
        <v>1093686.9000000004</v>
      </c>
    </row>
    <row r="99" spans="1:58" s="16" customFormat="1">
      <c r="A99" s="905" t="s">
        <v>1024</v>
      </c>
      <c r="B99" s="859">
        <f>+'CY-FUR (REG)- Detail'!C193</f>
        <v>14387000</v>
      </c>
      <c r="C99" s="859">
        <f>+'CY-FUR (REG)- Detail'!D193</f>
        <v>7509000</v>
      </c>
      <c r="D99" s="859">
        <f>+'CY-FUR (REG)- Detail'!E193</f>
        <v>0</v>
      </c>
      <c r="E99" s="859">
        <f t="shared" si="0"/>
        <v>21896000</v>
      </c>
      <c r="F99" s="859">
        <f>+'CY-FUR (REG)- Detail'!G193</f>
        <v>159146</v>
      </c>
      <c r="G99" s="859">
        <f>+'CY-FUR (REG)- Detail'!H193</f>
        <v>-159146</v>
      </c>
      <c r="H99" s="859">
        <f>+'CY-FUR (REG)- Detail'!I193</f>
        <v>0</v>
      </c>
      <c r="I99" s="859">
        <f t="shared" si="344"/>
        <v>0</v>
      </c>
      <c r="J99" s="859">
        <f t="shared" si="345"/>
        <v>14546146</v>
      </c>
      <c r="K99" s="859">
        <f t="shared" si="346"/>
        <v>7349854</v>
      </c>
      <c r="L99" s="859">
        <f t="shared" si="347"/>
        <v>0</v>
      </c>
      <c r="M99" s="859">
        <f t="shared" si="348"/>
        <v>21896000</v>
      </c>
      <c r="N99" s="859">
        <f>+'CY-FUR (REG)- Detail'!O193</f>
        <v>14546146</v>
      </c>
      <c r="O99" s="859">
        <f>+'CY-FUR (REG)- Detail'!P193</f>
        <v>7349854</v>
      </c>
      <c r="P99" s="859">
        <f>+'CY-FUR (REG)- Detail'!Q193</f>
        <v>0</v>
      </c>
      <c r="Q99" s="859">
        <f t="shared" si="6"/>
        <v>21896000</v>
      </c>
      <c r="R99" s="859">
        <f>+'CY-FUR (REG)- Detail'!S193</f>
        <v>0</v>
      </c>
      <c r="S99" s="859">
        <f>+'CY-FUR (REG)- Detail'!T193</f>
        <v>0</v>
      </c>
      <c r="T99" s="859">
        <f>+'CY-FUR (REG)- Detail'!U193</f>
        <v>0</v>
      </c>
      <c r="U99" s="859">
        <f t="shared" si="349"/>
        <v>0</v>
      </c>
      <c r="V99" s="859">
        <f>+'CY-FUR (REG)- Detail'!W193</f>
        <v>0</v>
      </c>
      <c r="W99" s="859">
        <f>+'CY-FUR (REG)- Detail'!X193</f>
        <v>2846000</v>
      </c>
      <c r="X99" s="859">
        <f>+'CY-FUR (REG)- Detail'!Y193</f>
        <v>3000000</v>
      </c>
      <c r="Y99" s="859">
        <f t="shared" si="7"/>
        <v>5846000</v>
      </c>
      <c r="Z99" s="859">
        <f t="shared" si="350"/>
        <v>14546146</v>
      </c>
      <c r="AA99" s="859">
        <f t="shared" si="351"/>
        <v>10195854</v>
      </c>
      <c r="AB99" s="859">
        <f t="shared" si="352"/>
        <v>3000000</v>
      </c>
      <c r="AC99" s="859">
        <f t="shared" si="11"/>
        <v>27742000</v>
      </c>
      <c r="AD99" s="859">
        <f>+'CY-FUR (REG)- Detail'!AE193</f>
        <v>13395467.75</v>
      </c>
      <c r="AE99" s="859">
        <f>+'CY-FUR (REG)- Detail'!AF193</f>
        <v>6864631.5800000001</v>
      </c>
      <c r="AF99" s="859">
        <f>+'CY-FUR (REG)- Detail'!AG193</f>
        <v>0</v>
      </c>
      <c r="AG99" s="859">
        <f t="shared" si="353"/>
        <v>20260099.329999998</v>
      </c>
      <c r="AH99" s="859">
        <f>+'CY-FUR (REG)- Detail'!AI193</f>
        <v>0</v>
      </c>
      <c r="AI99" s="859">
        <f>+'CY-FUR (REG)- Detail'!AJ193</f>
        <v>2359700.37</v>
      </c>
      <c r="AJ99" s="859">
        <f>+'CY-FUR (REG)- Detail'!AK193</f>
        <v>2955655.58</v>
      </c>
      <c r="AK99" s="859">
        <f t="shared" si="354"/>
        <v>5315355.95</v>
      </c>
      <c r="AL99" s="859">
        <f t="shared" si="355"/>
        <v>13395467.75</v>
      </c>
      <c r="AM99" s="859">
        <f t="shared" si="356"/>
        <v>9224331.9499999993</v>
      </c>
      <c r="AN99" s="859">
        <f t="shared" si="357"/>
        <v>2955655.58</v>
      </c>
      <c r="AO99" s="859">
        <f t="shared" si="15"/>
        <v>25575455.280000001</v>
      </c>
      <c r="AP99" s="859">
        <f t="shared" si="258"/>
        <v>1150678.25</v>
      </c>
      <c r="AQ99" s="859">
        <f t="shared" si="259"/>
        <v>971522.05000000075</v>
      </c>
      <c r="AR99" s="859">
        <f t="shared" si="260"/>
        <v>44344.419999999925</v>
      </c>
      <c r="AS99" s="859">
        <f t="shared" si="19"/>
        <v>2166544.7200000007</v>
      </c>
      <c r="AT99" s="1143">
        <f t="shared" si="261"/>
        <v>0.92089463078398914</v>
      </c>
      <c r="AU99" s="1143">
        <f t="shared" si="262"/>
        <v>0.90471400924336498</v>
      </c>
      <c r="AV99" s="1143">
        <f t="shared" si="263"/>
        <v>0.98521852666666665</v>
      </c>
      <c r="AW99" s="1143">
        <f t="shared" si="264"/>
        <v>0.92190380217720425</v>
      </c>
      <c r="AX99" s="22">
        <f t="shared" si="265"/>
        <v>0</v>
      </c>
      <c r="AY99" s="22">
        <f t="shared" si="266"/>
        <v>0</v>
      </c>
      <c r="AZ99" s="22">
        <f t="shared" si="267"/>
        <v>0</v>
      </c>
      <c r="BA99" s="22">
        <f t="shared" si="268"/>
        <v>0</v>
      </c>
      <c r="BF99" s="824">
        <f t="shared" si="269"/>
        <v>485222.41999999993</v>
      </c>
    </row>
    <row r="100" spans="1:58" s="16" customFormat="1">
      <c r="A100" s="592"/>
      <c r="B100" s="859"/>
      <c r="C100" s="859"/>
      <c r="D100" s="859"/>
      <c r="E100" s="860">
        <f t="shared" si="0"/>
        <v>0</v>
      </c>
      <c r="F100" s="859"/>
      <c r="G100" s="859"/>
      <c r="H100" s="859"/>
      <c r="I100" s="860"/>
      <c r="J100" s="859"/>
      <c r="K100" s="859"/>
      <c r="L100" s="859"/>
      <c r="M100" s="860"/>
      <c r="N100" s="859"/>
      <c r="O100" s="859"/>
      <c r="P100" s="859"/>
      <c r="Q100" s="860">
        <f t="shared" si="6"/>
        <v>0</v>
      </c>
      <c r="R100" s="859"/>
      <c r="S100" s="859"/>
      <c r="T100" s="859"/>
      <c r="U100" s="860"/>
      <c r="V100" s="859"/>
      <c r="W100" s="859"/>
      <c r="X100" s="859"/>
      <c r="Y100" s="860">
        <f t="shared" si="7"/>
        <v>0</v>
      </c>
      <c r="Z100" s="860"/>
      <c r="AA100" s="860"/>
      <c r="AB100" s="860"/>
      <c r="AC100" s="860">
        <f t="shared" si="11"/>
        <v>0</v>
      </c>
      <c r="AD100" s="859"/>
      <c r="AE100" s="859"/>
      <c r="AF100" s="859"/>
      <c r="AG100" s="860"/>
      <c r="AH100" s="859"/>
      <c r="AI100" s="859"/>
      <c r="AJ100" s="859"/>
      <c r="AK100" s="860"/>
      <c r="AL100" s="860"/>
      <c r="AM100" s="860"/>
      <c r="AN100" s="860"/>
      <c r="AO100" s="860">
        <f t="shared" si="15"/>
        <v>0</v>
      </c>
      <c r="AP100" s="861">
        <f t="shared" si="258"/>
        <v>0</v>
      </c>
      <c r="AQ100" s="860">
        <f t="shared" si="259"/>
        <v>0</v>
      </c>
      <c r="AR100" s="860">
        <f t="shared" si="260"/>
        <v>0</v>
      </c>
      <c r="AS100" s="860">
        <f t="shared" si="19"/>
        <v>0</v>
      </c>
      <c r="AT100" s="1143" t="str">
        <f t="shared" si="261"/>
        <v xml:space="preserve"> </v>
      </c>
      <c r="AU100" s="1143" t="str">
        <f t="shared" si="262"/>
        <v xml:space="preserve"> </v>
      </c>
      <c r="AV100" s="1143" t="str">
        <f t="shared" si="263"/>
        <v xml:space="preserve"> </v>
      </c>
      <c r="AW100" s="1143" t="str">
        <f t="shared" si="264"/>
        <v xml:space="preserve"> </v>
      </c>
      <c r="AX100" s="22">
        <f t="shared" si="265"/>
        <v>0</v>
      </c>
      <c r="AY100" s="22">
        <f t="shared" si="266"/>
        <v>0</v>
      </c>
      <c r="AZ100" s="22">
        <f t="shared" si="267"/>
        <v>0</v>
      </c>
      <c r="BA100" s="22">
        <f t="shared" si="268"/>
        <v>0</v>
      </c>
      <c r="BF100" s="824">
        <f t="shared" si="269"/>
        <v>0</v>
      </c>
    </row>
    <row r="101" spans="1:58" s="609" customFormat="1" ht="16.5">
      <c r="A101" s="1153" t="s">
        <v>1025</v>
      </c>
      <c r="B101" s="1151">
        <f t="shared" ref="B101:AN101" si="358">SUM(B102:B104)</f>
        <v>270153000</v>
      </c>
      <c r="C101" s="1151">
        <f t="shared" si="358"/>
        <v>229235000</v>
      </c>
      <c r="D101" s="1151">
        <f t="shared" si="358"/>
        <v>0</v>
      </c>
      <c r="E101" s="1151">
        <f t="shared" si="0"/>
        <v>499388000</v>
      </c>
      <c r="F101" s="1151">
        <f t="shared" si="358"/>
        <v>0</v>
      </c>
      <c r="G101" s="1151">
        <f t="shared" si="358"/>
        <v>0</v>
      </c>
      <c r="H101" s="1151">
        <f t="shared" si="358"/>
        <v>0</v>
      </c>
      <c r="I101" s="1151">
        <f t="shared" si="358"/>
        <v>0</v>
      </c>
      <c r="J101" s="1151">
        <f t="shared" si="358"/>
        <v>270153000</v>
      </c>
      <c r="K101" s="1151">
        <f t="shared" si="358"/>
        <v>229235000</v>
      </c>
      <c r="L101" s="1151">
        <f t="shared" si="358"/>
        <v>0</v>
      </c>
      <c r="M101" s="1151">
        <f t="shared" si="358"/>
        <v>499388000</v>
      </c>
      <c r="N101" s="1151">
        <f t="shared" si="358"/>
        <v>270153000</v>
      </c>
      <c r="O101" s="1151">
        <f t="shared" si="358"/>
        <v>229235000</v>
      </c>
      <c r="P101" s="1151">
        <f t="shared" si="358"/>
        <v>0</v>
      </c>
      <c r="Q101" s="1151">
        <f t="shared" si="6"/>
        <v>499388000</v>
      </c>
      <c r="R101" s="1151">
        <f t="shared" si="358"/>
        <v>0</v>
      </c>
      <c r="S101" s="1151">
        <f t="shared" si="358"/>
        <v>0</v>
      </c>
      <c r="T101" s="1151">
        <f t="shared" si="358"/>
        <v>0</v>
      </c>
      <c r="U101" s="1151">
        <f t="shared" si="358"/>
        <v>0</v>
      </c>
      <c r="V101" s="1151">
        <f t="shared" si="358"/>
        <v>0</v>
      </c>
      <c r="W101" s="1151">
        <f t="shared" si="358"/>
        <v>263208389</v>
      </c>
      <c r="X101" s="1151">
        <f t="shared" si="358"/>
        <v>39885000</v>
      </c>
      <c r="Y101" s="1151">
        <f t="shared" si="7"/>
        <v>303093389</v>
      </c>
      <c r="Z101" s="1151">
        <f t="shared" si="358"/>
        <v>270153000</v>
      </c>
      <c r="AA101" s="1151">
        <f t="shared" si="358"/>
        <v>492443389</v>
      </c>
      <c r="AB101" s="1151">
        <f t="shared" si="358"/>
        <v>39885000</v>
      </c>
      <c r="AC101" s="1151">
        <f t="shared" si="11"/>
        <v>802481389</v>
      </c>
      <c r="AD101" s="1151">
        <f t="shared" si="358"/>
        <v>211566533.57000002</v>
      </c>
      <c r="AE101" s="1151">
        <f t="shared" si="358"/>
        <v>170430723.56</v>
      </c>
      <c r="AF101" s="1151">
        <f t="shared" si="358"/>
        <v>0</v>
      </c>
      <c r="AG101" s="1151">
        <f t="shared" si="358"/>
        <v>381997257.13</v>
      </c>
      <c r="AH101" s="1151">
        <f t="shared" si="358"/>
        <v>0</v>
      </c>
      <c r="AI101" s="1151">
        <f t="shared" si="358"/>
        <v>177462548.03999999</v>
      </c>
      <c r="AJ101" s="1151">
        <f t="shared" si="358"/>
        <v>31178544.170000002</v>
      </c>
      <c r="AK101" s="1151">
        <f t="shared" si="358"/>
        <v>208641092.21000001</v>
      </c>
      <c r="AL101" s="1151">
        <f t="shared" si="358"/>
        <v>211566533.57000002</v>
      </c>
      <c r="AM101" s="1151">
        <f t="shared" si="358"/>
        <v>347893271.5999999</v>
      </c>
      <c r="AN101" s="1151">
        <f t="shared" si="358"/>
        <v>31178544.170000002</v>
      </c>
      <c r="AO101" s="1151">
        <f t="shared" si="15"/>
        <v>590638349.33999991</v>
      </c>
      <c r="AP101" s="1151">
        <f t="shared" si="258"/>
        <v>58586466.429999977</v>
      </c>
      <c r="AQ101" s="1151">
        <f t="shared" si="259"/>
        <v>144550117.4000001</v>
      </c>
      <c r="AR101" s="1151">
        <f t="shared" si="260"/>
        <v>8706455.8299999982</v>
      </c>
      <c r="AS101" s="1151">
        <f t="shared" si="19"/>
        <v>211843039.66000009</v>
      </c>
      <c r="AT101" s="1165">
        <f t="shared" si="261"/>
        <v>0.78313597690938108</v>
      </c>
      <c r="AU101" s="1165">
        <f t="shared" si="262"/>
        <v>0.70646348264815451</v>
      </c>
      <c r="AV101" s="1165">
        <f t="shared" si="263"/>
        <v>0.78171102344239696</v>
      </c>
      <c r="AW101" s="1165">
        <f t="shared" si="264"/>
        <v>0.73601501223101873</v>
      </c>
      <c r="AX101" s="1152">
        <f t="shared" si="265"/>
        <v>0</v>
      </c>
      <c r="AY101" s="1152">
        <f t="shared" si="266"/>
        <v>0</v>
      </c>
      <c r="AZ101" s="1152">
        <f t="shared" si="267"/>
        <v>0</v>
      </c>
      <c r="BA101" s="1152">
        <f t="shared" si="268"/>
        <v>0</v>
      </c>
      <c r="BB101" s="1132">
        <f>+AS101-'CY (ALL FUNDS)'!Q989</f>
        <v>0</v>
      </c>
      <c r="BF101" s="824">
        <f t="shared" si="269"/>
        <v>58804276.439999998</v>
      </c>
    </row>
    <row r="102" spans="1:58" s="903" customFormat="1">
      <c r="A102" s="905" t="s">
        <v>1026</v>
      </c>
      <c r="B102" s="859">
        <f>SUM('CY-FUR (REG)- Detail'!C196:C198)</f>
        <v>111091000</v>
      </c>
      <c r="C102" s="859">
        <f>SUM('CY-FUR (REG)- Detail'!D196:D198)</f>
        <v>171878000</v>
      </c>
      <c r="D102" s="859">
        <f>SUM('CY-FUR (REG)- Detail'!E196:E198)</f>
        <v>0</v>
      </c>
      <c r="E102" s="859">
        <f t="shared" si="0"/>
        <v>282969000</v>
      </c>
      <c r="F102" s="859">
        <f>SUM('CY-FUR (REG)- Detail'!G196:G198)</f>
        <v>0</v>
      </c>
      <c r="G102" s="859">
        <f>SUM('CY-FUR (REG)- Detail'!H196:H198)</f>
        <v>0</v>
      </c>
      <c r="H102" s="859">
        <f>SUM('CY-FUR (REG)- Detail'!I196:I198)</f>
        <v>0</v>
      </c>
      <c r="I102" s="859">
        <f>SUM('CY-FUR (REG)- Detail'!J196:J198)</f>
        <v>0</v>
      </c>
      <c r="J102" s="859">
        <f>SUM('CY-FUR (REG)- Detail'!K196:K198)</f>
        <v>111091000</v>
      </c>
      <c r="K102" s="859">
        <f>SUM('CY-FUR (REG)- Detail'!L196:L198)</f>
        <v>171878000</v>
      </c>
      <c r="L102" s="859">
        <f>SUM('CY-FUR (REG)- Detail'!M196:M198)</f>
        <v>0</v>
      </c>
      <c r="M102" s="859">
        <f>SUM('CY-FUR (REG)- Detail'!N196:N198)</f>
        <v>282969000</v>
      </c>
      <c r="N102" s="859">
        <f>SUM('CY-FUR (REG)- Detail'!O196:O198)</f>
        <v>111091000</v>
      </c>
      <c r="O102" s="859">
        <f>SUM('CY-FUR (REG)- Detail'!P196:P198)</f>
        <v>171878000</v>
      </c>
      <c r="P102" s="859">
        <f>SUM('CY-FUR (REG)- Detail'!Q196:Q198)</f>
        <v>0</v>
      </c>
      <c r="Q102" s="859">
        <f t="shared" si="6"/>
        <v>282969000</v>
      </c>
      <c r="R102" s="859">
        <f>SUM('CY-FUR (REG)- Detail'!S196:S198)</f>
        <v>0</v>
      </c>
      <c r="S102" s="859">
        <f>SUM('CY-FUR (REG)- Detail'!T196:T198)</f>
        <v>0</v>
      </c>
      <c r="T102" s="859">
        <f>SUM('CY-FUR (REG)- Detail'!U196:U198)</f>
        <v>0</v>
      </c>
      <c r="U102" s="859">
        <f>SUM('CY-FUR (REG)- Detail'!V196:V198)</f>
        <v>0</v>
      </c>
      <c r="V102" s="859">
        <f>SUM('CY-FUR (REG)- Detail'!W196:W198)</f>
        <v>0</v>
      </c>
      <c r="W102" s="859">
        <f>SUM('CY-FUR (REG)- Detail'!X196:X198)</f>
        <v>243811389</v>
      </c>
      <c r="X102" s="859">
        <f>SUM('CY-FUR (REG)- Detail'!Y196:Y198)</f>
        <v>27885000</v>
      </c>
      <c r="Y102" s="859">
        <f t="shared" si="7"/>
        <v>271696389</v>
      </c>
      <c r="Z102" s="859">
        <f>SUM('CY-FUR (REG)- Detail'!AA196:AA198)</f>
        <v>111091000</v>
      </c>
      <c r="AA102" s="859">
        <f>SUM('CY-FUR (REG)- Detail'!AB196:AB198)</f>
        <v>415689389</v>
      </c>
      <c r="AB102" s="859">
        <f>SUM('CY-FUR (REG)- Detail'!AC196:AC198)</f>
        <v>27885000</v>
      </c>
      <c r="AC102" s="859">
        <f t="shared" si="11"/>
        <v>554665389</v>
      </c>
      <c r="AD102" s="859">
        <f>SUM('CY-FUR (REG)- Detail'!AE196:AE198)</f>
        <v>85122484.640000001</v>
      </c>
      <c r="AE102" s="859">
        <f>SUM('CY-FUR (REG)- Detail'!AF196:AF198)</f>
        <v>123867886.97</v>
      </c>
      <c r="AF102" s="859">
        <f>SUM('CY-FUR (REG)- Detail'!AG196:AG198)</f>
        <v>0</v>
      </c>
      <c r="AG102" s="859">
        <f>SUM('CY-FUR (REG)- Detail'!AH196:AH198)</f>
        <v>208990371.61000001</v>
      </c>
      <c r="AH102" s="859">
        <f>SUM('CY-FUR (REG)- Detail'!AI196:AI198)</f>
        <v>0</v>
      </c>
      <c r="AI102" s="859">
        <f>SUM('CY-FUR (REG)- Detail'!AJ196:AJ198)</f>
        <v>158640354.88999999</v>
      </c>
      <c r="AJ102" s="859">
        <f>SUM('CY-FUR (REG)- Detail'!AK196:AK198)</f>
        <v>19178544.170000002</v>
      </c>
      <c r="AK102" s="859">
        <f>SUM('CY-FUR (REG)- Detail'!AL196:AL198)</f>
        <v>177818899.06</v>
      </c>
      <c r="AL102" s="859">
        <f>SUM('CY-FUR (REG)- Detail'!AM196:AM198)</f>
        <v>85122484.640000001</v>
      </c>
      <c r="AM102" s="859">
        <f>SUM('CY-FUR (REG)- Detail'!AN196:AN198)</f>
        <v>282508241.85999995</v>
      </c>
      <c r="AN102" s="859">
        <f>SUM('CY-FUR (REG)- Detail'!AO196:AO198)</f>
        <v>19178544.170000002</v>
      </c>
      <c r="AO102" s="859">
        <f t="shared" si="15"/>
        <v>386809270.66999996</v>
      </c>
      <c r="AP102" s="859">
        <f t="shared" si="258"/>
        <v>25968515.359999999</v>
      </c>
      <c r="AQ102" s="859">
        <f t="shared" si="259"/>
        <v>133181147.14000005</v>
      </c>
      <c r="AR102" s="859">
        <f t="shared" si="260"/>
        <v>8706455.8299999982</v>
      </c>
      <c r="AS102" s="859">
        <f t="shared" si="19"/>
        <v>167856118.33000004</v>
      </c>
      <c r="AT102" s="1166">
        <f t="shared" si="261"/>
        <v>0.76624105139030163</v>
      </c>
      <c r="AU102" s="1166">
        <f t="shared" si="262"/>
        <v>0.67961379177759085</v>
      </c>
      <c r="AV102" s="1166">
        <f t="shared" si="263"/>
        <v>0.68777278716155643</v>
      </c>
      <c r="AW102" s="1166">
        <f t="shared" si="264"/>
        <v>0.69737408957024349</v>
      </c>
      <c r="AX102" s="22">
        <f t="shared" si="265"/>
        <v>0</v>
      </c>
      <c r="AY102" s="22">
        <f t="shared" si="266"/>
        <v>0</v>
      </c>
      <c r="AZ102" s="22">
        <f t="shared" si="267"/>
        <v>0</v>
      </c>
      <c r="BA102" s="22">
        <f t="shared" si="268"/>
        <v>0</v>
      </c>
      <c r="BF102" s="824">
        <f t="shared" si="269"/>
        <v>48010113.030000001</v>
      </c>
    </row>
    <row r="103" spans="1:58" s="903" customFormat="1">
      <c r="A103" s="905" t="s">
        <v>1027</v>
      </c>
      <c r="B103" s="859">
        <f>+'CY-FUR (REG)- Detail'!C200</f>
        <v>147651000</v>
      </c>
      <c r="C103" s="859">
        <f>+'CY-FUR (REG)- Detail'!D200</f>
        <v>51037000</v>
      </c>
      <c r="D103" s="859">
        <f>+'CY-FUR (REG)- Detail'!E200</f>
        <v>0</v>
      </c>
      <c r="E103" s="859">
        <f t="shared" si="0"/>
        <v>198688000</v>
      </c>
      <c r="F103" s="859">
        <f>+'CY-FUR (REG)- Detail'!G200</f>
        <v>0</v>
      </c>
      <c r="G103" s="859">
        <f>+'CY-FUR (REG)- Detail'!H200</f>
        <v>0</v>
      </c>
      <c r="H103" s="859">
        <f>+'CY-FUR (REG)- Detail'!I200</f>
        <v>0</v>
      </c>
      <c r="I103" s="859">
        <f t="shared" ref="I103" si="359">SUM(F103:H103)</f>
        <v>0</v>
      </c>
      <c r="J103" s="859">
        <f t="shared" ref="J103" si="360">+B103+F103</f>
        <v>147651000</v>
      </c>
      <c r="K103" s="859">
        <f t="shared" ref="K103" si="361">+C103+G103</f>
        <v>51037000</v>
      </c>
      <c r="L103" s="859">
        <f t="shared" ref="L103" si="362">+D103+H103</f>
        <v>0</v>
      </c>
      <c r="M103" s="859">
        <f t="shared" ref="M103" si="363">SUM(J103:L103)</f>
        <v>198688000</v>
      </c>
      <c r="N103" s="859">
        <f>+'CY-FUR (REG)- Detail'!O200</f>
        <v>147651000</v>
      </c>
      <c r="O103" s="859">
        <f>+'CY-FUR (REG)- Detail'!P200</f>
        <v>51037000</v>
      </c>
      <c r="P103" s="859">
        <f>+'CY-FUR (REG)- Detail'!Q200</f>
        <v>0</v>
      </c>
      <c r="Q103" s="859">
        <f t="shared" si="6"/>
        <v>198688000</v>
      </c>
      <c r="R103" s="859">
        <f>+'CY-FUR (REG)- Detail'!S200</f>
        <v>0</v>
      </c>
      <c r="S103" s="859">
        <f>+'CY-FUR (REG)- Detail'!T200</f>
        <v>0</v>
      </c>
      <c r="T103" s="859">
        <f>+'CY-FUR (REG)- Detail'!U200</f>
        <v>0</v>
      </c>
      <c r="U103" s="859">
        <f t="shared" ref="U103" si="364">SUM(R103:T103)</f>
        <v>0</v>
      </c>
      <c r="V103" s="859">
        <f>+'CY-FUR (REG)- Detail'!W200</f>
        <v>0</v>
      </c>
      <c r="W103" s="859">
        <f>+'CY-FUR (REG)- Detail'!X200</f>
        <v>17995000</v>
      </c>
      <c r="X103" s="859">
        <f>+'CY-FUR (REG)- Detail'!Y200</f>
        <v>12000000</v>
      </c>
      <c r="Y103" s="859">
        <f t="shared" si="7"/>
        <v>29995000</v>
      </c>
      <c r="Z103" s="859">
        <f t="shared" ref="Z103" si="365">+N103+V103+R103</f>
        <v>147651000</v>
      </c>
      <c r="AA103" s="859">
        <f t="shared" ref="AA103" si="366">+O103+W103+S103</f>
        <v>69032000</v>
      </c>
      <c r="AB103" s="859">
        <f t="shared" ref="AB103" si="367">+P103+X103+T103</f>
        <v>12000000</v>
      </c>
      <c r="AC103" s="859">
        <f t="shared" si="11"/>
        <v>228683000</v>
      </c>
      <c r="AD103" s="859">
        <f>+'CY-FUR (REG)- Detail'!AE200</f>
        <v>115892799.78</v>
      </c>
      <c r="AE103" s="859">
        <f>+'CY-FUR (REG)- Detail'!AF200</f>
        <v>40800973.879999995</v>
      </c>
      <c r="AF103" s="859">
        <f>+'CY-FUR (REG)- Detail'!AG200</f>
        <v>0</v>
      </c>
      <c r="AG103" s="859">
        <f t="shared" ref="AG103" si="368">SUM(AD103:AF103)</f>
        <v>156693773.66</v>
      </c>
      <c r="AH103" s="859">
        <f>+'CY-FUR (REG)- Detail'!AI200</f>
        <v>0</v>
      </c>
      <c r="AI103" s="859">
        <f>+'CY-FUR (REG)- Detail'!AJ200</f>
        <v>17794175.34</v>
      </c>
      <c r="AJ103" s="859">
        <f>+'CY-FUR (REG)- Detail'!AK200</f>
        <v>12000000</v>
      </c>
      <c r="AK103" s="859">
        <f t="shared" ref="AK103" si="369">SUM(AH103:AJ103)</f>
        <v>29794175.34</v>
      </c>
      <c r="AL103" s="859">
        <f t="shared" ref="AL103" si="370">+AH103+AD103</f>
        <v>115892799.78</v>
      </c>
      <c r="AM103" s="859">
        <f t="shared" ref="AM103" si="371">+AI103+AE103</f>
        <v>58595149.219999999</v>
      </c>
      <c r="AN103" s="859">
        <f t="shared" ref="AN103" si="372">+AJ103+AF103</f>
        <v>12000000</v>
      </c>
      <c r="AO103" s="859">
        <f t="shared" si="15"/>
        <v>186487949</v>
      </c>
      <c r="AP103" s="859">
        <f t="shared" si="258"/>
        <v>31758200.219999999</v>
      </c>
      <c r="AQ103" s="859">
        <f t="shared" si="259"/>
        <v>10436850.780000001</v>
      </c>
      <c r="AR103" s="859">
        <f t="shared" si="260"/>
        <v>0</v>
      </c>
      <c r="AS103" s="859">
        <f t="shared" si="19"/>
        <v>42195051</v>
      </c>
      <c r="AT103" s="1166">
        <f t="shared" si="261"/>
        <v>0.784910361460471</v>
      </c>
      <c r="AU103" s="1166">
        <f t="shared" si="262"/>
        <v>0.84881140949125045</v>
      </c>
      <c r="AV103" s="1166">
        <f t="shared" si="263"/>
        <v>1</v>
      </c>
      <c r="AW103" s="1166">
        <f t="shared" si="264"/>
        <v>0.81548671742105883</v>
      </c>
      <c r="AX103" s="22">
        <f t="shared" si="265"/>
        <v>0</v>
      </c>
      <c r="AY103" s="22">
        <f t="shared" si="266"/>
        <v>0</v>
      </c>
      <c r="AZ103" s="22">
        <f t="shared" si="267"/>
        <v>0</v>
      </c>
      <c r="BA103" s="22">
        <f t="shared" si="268"/>
        <v>0</v>
      </c>
      <c r="BF103" s="824">
        <f t="shared" si="269"/>
        <v>10236026.120000005</v>
      </c>
    </row>
    <row r="104" spans="1:58" s="903" customFormat="1">
      <c r="A104" s="905" t="s">
        <v>1109</v>
      </c>
      <c r="B104" s="859">
        <f>+'CY-FUR (REG)- Detail'!C201</f>
        <v>11411000</v>
      </c>
      <c r="C104" s="859">
        <f>+'CY-FUR (REG)- Detail'!D201</f>
        <v>6320000</v>
      </c>
      <c r="D104" s="859">
        <f>+'CY-FUR (REG)- Detail'!E201</f>
        <v>0</v>
      </c>
      <c r="E104" s="859">
        <f t="shared" si="0"/>
        <v>17731000</v>
      </c>
      <c r="F104" s="859">
        <f>+'CY-FUR (REG)- Detail'!G201</f>
        <v>0</v>
      </c>
      <c r="G104" s="859">
        <f>+'CY-FUR (REG)- Detail'!H201</f>
        <v>0</v>
      </c>
      <c r="H104" s="859">
        <f>+'CY-FUR (REG)- Detail'!I201</f>
        <v>0</v>
      </c>
      <c r="I104" s="859">
        <f t="shared" ref="I104" si="373">SUM(F104:H104)</f>
        <v>0</v>
      </c>
      <c r="J104" s="859">
        <f t="shared" ref="J104" si="374">+B104+F104</f>
        <v>11411000</v>
      </c>
      <c r="K104" s="859">
        <f t="shared" ref="K104" si="375">+C104+G104</f>
        <v>6320000</v>
      </c>
      <c r="L104" s="859">
        <f t="shared" ref="L104" si="376">+D104+H104</f>
        <v>0</v>
      </c>
      <c r="M104" s="859">
        <f t="shared" ref="M104" si="377">SUM(J104:L104)</f>
        <v>17731000</v>
      </c>
      <c r="N104" s="859">
        <f>+'CY-FUR (REG)- Detail'!O201</f>
        <v>11411000</v>
      </c>
      <c r="O104" s="859">
        <f>+'CY-FUR (REG)- Detail'!P201</f>
        <v>6320000</v>
      </c>
      <c r="P104" s="859">
        <f>+'CY-FUR (REG)- Detail'!Q201</f>
        <v>0</v>
      </c>
      <c r="Q104" s="859">
        <f t="shared" si="6"/>
        <v>17731000</v>
      </c>
      <c r="R104" s="859">
        <f>+'CY-FUR (REG)- Detail'!S201</f>
        <v>0</v>
      </c>
      <c r="S104" s="859">
        <f>+'CY-FUR (REG)- Detail'!T201</f>
        <v>0</v>
      </c>
      <c r="T104" s="859">
        <f>+'CY-FUR (REG)- Detail'!U201</f>
        <v>0</v>
      </c>
      <c r="U104" s="859">
        <f t="shared" ref="U104" si="378">SUM(R104:T104)</f>
        <v>0</v>
      </c>
      <c r="V104" s="859">
        <f>+'CY-FUR (REG)- Detail'!W201</f>
        <v>0</v>
      </c>
      <c r="W104" s="859">
        <f>+'CY-FUR (REG)- Detail'!X201</f>
        <v>1402000</v>
      </c>
      <c r="X104" s="859">
        <f>+'CY-FUR (REG)- Detail'!Y201</f>
        <v>0</v>
      </c>
      <c r="Y104" s="859">
        <f t="shared" si="7"/>
        <v>1402000</v>
      </c>
      <c r="Z104" s="859">
        <f t="shared" ref="Z104" si="379">+N104+V104+R104</f>
        <v>11411000</v>
      </c>
      <c r="AA104" s="859">
        <f t="shared" ref="AA104" si="380">+O104+W104+S104</f>
        <v>7722000</v>
      </c>
      <c r="AB104" s="859">
        <f t="shared" ref="AB104" si="381">+P104+X104+T104</f>
        <v>0</v>
      </c>
      <c r="AC104" s="859">
        <f t="shared" si="11"/>
        <v>19133000</v>
      </c>
      <c r="AD104" s="859">
        <f>+'CY-FUR (REG)- Detail'!AE201</f>
        <v>10551249.15</v>
      </c>
      <c r="AE104" s="859">
        <f>+'CY-FUR (REG)- Detail'!AF201</f>
        <v>5761862.71</v>
      </c>
      <c r="AF104" s="859">
        <f>+'CY-FUR (REG)- Detail'!AG201</f>
        <v>0</v>
      </c>
      <c r="AG104" s="859">
        <f t="shared" ref="AG104" si="382">SUM(AD104:AF104)</f>
        <v>16313111.859999999</v>
      </c>
      <c r="AH104" s="859">
        <f>+'CY-FUR (REG)- Detail'!AI201</f>
        <v>0</v>
      </c>
      <c r="AI104" s="859">
        <f>+'CY-FUR (REG)- Detail'!AJ201</f>
        <v>1028017.81</v>
      </c>
      <c r="AJ104" s="859">
        <f>+'CY-FUR (REG)- Detail'!AK201</f>
        <v>0</v>
      </c>
      <c r="AK104" s="859">
        <f t="shared" ref="AK104" si="383">SUM(AH104:AJ104)</f>
        <v>1028017.81</v>
      </c>
      <c r="AL104" s="859">
        <f t="shared" ref="AL104" si="384">+AH104+AD104</f>
        <v>10551249.15</v>
      </c>
      <c r="AM104" s="859">
        <f t="shared" ref="AM104" si="385">+AI104+AE104</f>
        <v>6789880.5199999996</v>
      </c>
      <c r="AN104" s="859">
        <f t="shared" ref="AN104" si="386">+AJ104+AF104</f>
        <v>0</v>
      </c>
      <c r="AO104" s="859">
        <f t="shared" si="15"/>
        <v>17341129.670000002</v>
      </c>
      <c r="AP104" s="859">
        <f t="shared" si="258"/>
        <v>859750.84999999963</v>
      </c>
      <c r="AQ104" s="859">
        <f t="shared" si="259"/>
        <v>932119.48000000045</v>
      </c>
      <c r="AR104" s="859">
        <f t="shared" si="260"/>
        <v>0</v>
      </c>
      <c r="AS104" s="859">
        <f t="shared" si="19"/>
        <v>1791870.33</v>
      </c>
      <c r="AT104" s="1166">
        <f t="shared" si="261"/>
        <v>0.92465595916221188</v>
      </c>
      <c r="AU104" s="1166">
        <f t="shared" si="262"/>
        <v>0.87929040663040658</v>
      </c>
      <c r="AV104" s="1166" t="str">
        <f t="shared" si="263"/>
        <v xml:space="preserve"> </v>
      </c>
      <c r="AW104" s="1166">
        <f t="shared" si="264"/>
        <v>0.90634660900015684</v>
      </c>
      <c r="AX104" s="22">
        <f t="shared" si="265"/>
        <v>0</v>
      </c>
      <c r="AY104" s="22">
        <f t="shared" si="266"/>
        <v>0</v>
      </c>
      <c r="AZ104" s="22">
        <f t="shared" si="267"/>
        <v>0</v>
      </c>
      <c r="BA104" s="22">
        <f t="shared" si="268"/>
        <v>0</v>
      </c>
      <c r="BF104" s="824">
        <f t="shared" si="269"/>
        <v>558137.29</v>
      </c>
    </row>
    <row r="105" spans="1:58">
      <c r="A105" s="593"/>
      <c r="B105" s="862"/>
      <c r="C105" s="862"/>
      <c r="D105" s="862"/>
      <c r="E105" s="863">
        <f t="shared" si="0"/>
        <v>0</v>
      </c>
      <c r="F105" s="862"/>
      <c r="G105" s="862"/>
      <c r="H105" s="862"/>
      <c r="I105" s="863"/>
      <c r="J105" s="859">
        <f t="shared" si="168"/>
        <v>0</v>
      </c>
      <c r="K105" s="859">
        <f t="shared" si="168"/>
        <v>0</v>
      </c>
      <c r="L105" s="859">
        <f t="shared" si="168"/>
        <v>0</v>
      </c>
      <c r="M105" s="863">
        <f t="shared" si="169"/>
        <v>0</v>
      </c>
      <c r="N105" s="862"/>
      <c r="O105" s="862"/>
      <c r="P105" s="862"/>
      <c r="Q105" s="863">
        <f t="shared" si="6"/>
        <v>0</v>
      </c>
      <c r="R105" s="862"/>
      <c r="S105" s="862"/>
      <c r="T105" s="862"/>
      <c r="U105" s="863"/>
      <c r="V105" s="862"/>
      <c r="W105" s="862"/>
      <c r="X105" s="862"/>
      <c r="Y105" s="863">
        <f t="shared" si="7"/>
        <v>0</v>
      </c>
      <c r="Z105" s="863"/>
      <c r="AA105" s="863"/>
      <c r="AB105" s="863"/>
      <c r="AC105" s="863">
        <f t="shared" si="11"/>
        <v>0</v>
      </c>
      <c r="AD105" s="862"/>
      <c r="AE105" s="862"/>
      <c r="AF105" s="862"/>
      <c r="AG105" s="863">
        <f t="shared" si="36"/>
        <v>0</v>
      </c>
      <c r="AH105" s="862"/>
      <c r="AI105" s="862"/>
      <c r="AJ105" s="862"/>
      <c r="AK105" s="863">
        <f t="shared" si="37"/>
        <v>0</v>
      </c>
      <c r="AL105" s="863"/>
      <c r="AM105" s="863"/>
      <c r="AN105" s="863"/>
      <c r="AO105" s="863">
        <f t="shared" si="15"/>
        <v>0</v>
      </c>
      <c r="AP105" s="863">
        <f t="shared" si="258"/>
        <v>0</v>
      </c>
      <c r="AQ105" s="863">
        <f t="shared" si="259"/>
        <v>0</v>
      </c>
      <c r="AR105" s="863">
        <f t="shared" si="260"/>
        <v>0</v>
      </c>
      <c r="AS105" s="863">
        <f t="shared" si="19"/>
        <v>0</v>
      </c>
      <c r="AT105" s="1143" t="str">
        <f t="shared" si="261"/>
        <v xml:space="preserve"> </v>
      </c>
      <c r="AU105" s="1143" t="str">
        <f t="shared" si="262"/>
        <v xml:space="preserve"> </v>
      </c>
      <c r="AV105" s="1143" t="str">
        <f t="shared" si="263"/>
        <v xml:space="preserve"> </v>
      </c>
      <c r="AW105" s="1143" t="str">
        <f t="shared" si="264"/>
        <v xml:space="preserve"> </v>
      </c>
      <c r="AX105" s="22">
        <f t="shared" si="265"/>
        <v>0</v>
      </c>
      <c r="AY105" s="22">
        <f t="shared" si="266"/>
        <v>0</v>
      </c>
      <c r="AZ105" s="22">
        <f t="shared" si="267"/>
        <v>0</v>
      </c>
      <c r="BA105" s="22">
        <f t="shared" si="268"/>
        <v>0</v>
      </c>
      <c r="BF105" s="824">
        <f t="shared" si="269"/>
        <v>0</v>
      </c>
    </row>
    <row r="106" spans="1:58" s="1149" customFormat="1" ht="16.5">
      <c r="A106" s="1146" t="s">
        <v>449</v>
      </c>
      <c r="B106" s="1147">
        <f>+B107+B118+B124+B129+B134</f>
        <v>1505107000</v>
      </c>
      <c r="C106" s="1147">
        <f t="shared" ref="C106:AN106" si="387">+C107+C118+C124+C129+C134</f>
        <v>1307412000</v>
      </c>
      <c r="D106" s="1147">
        <f t="shared" si="387"/>
        <v>0</v>
      </c>
      <c r="E106" s="1147">
        <f t="shared" si="0"/>
        <v>2812519000</v>
      </c>
      <c r="F106" s="1147">
        <f t="shared" si="387"/>
        <v>15293570</v>
      </c>
      <c r="G106" s="1147">
        <f t="shared" si="387"/>
        <v>-16643570</v>
      </c>
      <c r="H106" s="1147">
        <f t="shared" si="387"/>
        <v>1350000</v>
      </c>
      <c r="I106" s="1147">
        <f t="shared" si="387"/>
        <v>0</v>
      </c>
      <c r="J106" s="1147">
        <f t="shared" si="387"/>
        <v>1520400570</v>
      </c>
      <c r="K106" s="1147">
        <f t="shared" si="387"/>
        <v>1290768430</v>
      </c>
      <c r="L106" s="1147">
        <f t="shared" si="387"/>
        <v>1350000</v>
      </c>
      <c r="M106" s="1147">
        <f t="shared" si="387"/>
        <v>2812519000</v>
      </c>
      <c r="N106" s="1147">
        <f t="shared" si="387"/>
        <v>1520400570</v>
      </c>
      <c r="O106" s="1147">
        <f t="shared" si="387"/>
        <v>1290768430</v>
      </c>
      <c r="P106" s="1147">
        <f t="shared" si="387"/>
        <v>1350000</v>
      </c>
      <c r="Q106" s="1147">
        <f t="shared" si="6"/>
        <v>2812519000</v>
      </c>
      <c r="R106" s="1147">
        <f t="shared" si="387"/>
        <v>0</v>
      </c>
      <c r="S106" s="1147">
        <f t="shared" si="387"/>
        <v>0</v>
      </c>
      <c r="T106" s="1147">
        <f t="shared" si="387"/>
        <v>0</v>
      </c>
      <c r="U106" s="1147">
        <f t="shared" si="387"/>
        <v>0</v>
      </c>
      <c r="V106" s="1147">
        <f t="shared" si="387"/>
        <v>0</v>
      </c>
      <c r="W106" s="1147">
        <f t="shared" si="387"/>
        <v>883890249.00999999</v>
      </c>
      <c r="X106" s="1147">
        <f t="shared" si="387"/>
        <v>1057141948</v>
      </c>
      <c r="Y106" s="1147">
        <f t="shared" si="7"/>
        <v>1941032197.01</v>
      </c>
      <c r="Z106" s="1147">
        <f t="shared" si="387"/>
        <v>1520400570</v>
      </c>
      <c r="AA106" s="1147">
        <f t="shared" si="387"/>
        <v>2174658679.0099998</v>
      </c>
      <c r="AB106" s="1147">
        <f t="shared" si="387"/>
        <v>1058491948</v>
      </c>
      <c r="AC106" s="1147">
        <f t="shared" si="11"/>
        <v>4753551197.0100002</v>
      </c>
      <c r="AD106" s="1147">
        <f t="shared" si="387"/>
        <v>1387411730.5900002</v>
      </c>
      <c r="AE106" s="1147">
        <f t="shared" si="387"/>
        <v>944177036.04999995</v>
      </c>
      <c r="AF106" s="1147">
        <f t="shared" si="387"/>
        <v>0</v>
      </c>
      <c r="AG106" s="1147">
        <f t="shared" si="387"/>
        <v>2331588766.6400003</v>
      </c>
      <c r="AH106" s="1147">
        <f t="shared" si="387"/>
        <v>0</v>
      </c>
      <c r="AI106" s="1147">
        <f t="shared" si="387"/>
        <v>579437382.02999997</v>
      </c>
      <c r="AJ106" s="1147">
        <f t="shared" si="387"/>
        <v>826400669.13</v>
      </c>
      <c r="AK106" s="1147">
        <f t="shared" si="387"/>
        <v>1405838051.1600001</v>
      </c>
      <c r="AL106" s="1147">
        <f t="shared" si="387"/>
        <v>1387411730.5900002</v>
      </c>
      <c r="AM106" s="1147">
        <f t="shared" si="387"/>
        <v>1523614418.0799997</v>
      </c>
      <c r="AN106" s="1147">
        <f t="shared" si="387"/>
        <v>826400669.13</v>
      </c>
      <c r="AO106" s="1147">
        <f t="shared" si="15"/>
        <v>3737426817.8000002</v>
      </c>
      <c r="AP106" s="1147">
        <f t="shared" si="258"/>
        <v>132988839.40999985</v>
      </c>
      <c r="AQ106" s="1147">
        <f t="shared" si="259"/>
        <v>651044260.93000007</v>
      </c>
      <c r="AR106" s="1147">
        <f t="shared" si="260"/>
        <v>232091278.87</v>
      </c>
      <c r="AS106" s="1147">
        <f t="shared" si="19"/>
        <v>1016124379.2099999</v>
      </c>
      <c r="AT106" s="1164">
        <f t="shared" si="261"/>
        <v>0.91253039361199406</v>
      </c>
      <c r="AU106" s="1164">
        <f t="shared" si="262"/>
        <v>0.70062232422313553</v>
      </c>
      <c r="AV106" s="1164">
        <f t="shared" si="263"/>
        <v>0.78073401568284773</v>
      </c>
      <c r="AW106" s="1164">
        <f t="shared" si="264"/>
        <v>0.7862388902323918</v>
      </c>
      <c r="AX106" s="1148">
        <f t="shared" si="265"/>
        <v>0</v>
      </c>
      <c r="AY106" s="1148">
        <f t="shared" si="266"/>
        <v>0</v>
      </c>
      <c r="AZ106" s="1148">
        <f t="shared" si="267"/>
        <v>0</v>
      </c>
      <c r="BA106" s="1148">
        <f t="shared" si="268"/>
        <v>0</v>
      </c>
      <c r="BF106" s="824">
        <f t="shared" si="269"/>
        <v>346591393.95000005</v>
      </c>
    </row>
    <row r="107" spans="1:58" s="609" customFormat="1" ht="16.5">
      <c r="A107" s="1153" t="s">
        <v>1029</v>
      </c>
      <c r="B107" s="1151">
        <f t="shared" ref="B107:AN107" si="388">SUM(B108:B116)</f>
        <v>338196000</v>
      </c>
      <c r="C107" s="1151">
        <f t="shared" si="388"/>
        <v>317465000</v>
      </c>
      <c r="D107" s="1151">
        <f t="shared" si="388"/>
        <v>0</v>
      </c>
      <c r="E107" s="1151">
        <f t="shared" si="0"/>
        <v>655661000</v>
      </c>
      <c r="F107" s="1151">
        <f t="shared" si="388"/>
        <v>9755113</v>
      </c>
      <c r="G107" s="1151">
        <f t="shared" si="388"/>
        <v>-11105113</v>
      </c>
      <c r="H107" s="1151">
        <f t="shared" si="388"/>
        <v>1350000</v>
      </c>
      <c r="I107" s="1151">
        <f t="shared" si="388"/>
        <v>0</v>
      </c>
      <c r="J107" s="1151">
        <f t="shared" si="388"/>
        <v>347951113</v>
      </c>
      <c r="K107" s="1151">
        <f t="shared" si="388"/>
        <v>306359887</v>
      </c>
      <c r="L107" s="1151">
        <f t="shared" si="388"/>
        <v>1350000</v>
      </c>
      <c r="M107" s="1151">
        <f t="shared" si="388"/>
        <v>655661000</v>
      </c>
      <c r="N107" s="1151">
        <f t="shared" si="388"/>
        <v>347951113</v>
      </c>
      <c r="O107" s="1151">
        <f t="shared" si="388"/>
        <v>306359887</v>
      </c>
      <c r="P107" s="1151">
        <f t="shared" si="388"/>
        <v>1350000</v>
      </c>
      <c r="Q107" s="1151">
        <f t="shared" si="6"/>
        <v>655661000</v>
      </c>
      <c r="R107" s="1151">
        <f t="shared" si="388"/>
        <v>0</v>
      </c>
      <c r="S107" s="1151">
        <f t="shared" si="388"/>
        <v>0</v>
      </c>
      <c r="T107" s="1151">
        <f t="shared" si="388"/>
        <v>0</v>
      </c>
      <c r="U107" s="1151">
        <f t="shared" si="388"/>
        <v>0</v>
      </c>
      <c r="V107" s="1151">
        <f t="shared" si="388"/>
        <v>0</v>
      </c>
      <c r="W107" s="1151">
        <f t="shared" si="388"/>
        <v>189147214</v>
      </c>
      <c r="X107" s="1151">
        <f t="shared" si="388"/>
        <v>217245000</v>
      </c>
      <c r="Y107" s="1151">
        <f t="shared" si="7"/>
        <v>406392214</v>
      </c>
      <c r="Z107" s="1151">
        <f t="shared" si="388"/>
        <v>347951113</v>
      </c>
      <c r="AA107" s="1151">
        <f t="shared" si="388"/>
        <v>495507101</v>
      </c>
      <c r="AB107" s="1151">
        <f t="shared" si="388"/>
        <v>218595000</v>
      </c>
      <c r="AC107" s="1151">
        <f t="shared" si="11"/>
        <v>1062053214</v>
      </c>
      <c r="AD107" s="1151">
        <f t="shared" si="388"/>
        <v>317884841.42000008</v>
      </c>
      <c r="AE107" s="1151">
        <f t="shared" si="388"/>
        <v>188802218.79000002</v>
      </c>
      <c r="AF107" s="1151">
        <f t="shared" si="388"/>
        <v>0</v>
      </c>
      <c r="AG107" s="1151">
        <f t="shared" si="388"/>
        <v>506687060.2100001</v>
      </c>
      <c r="AH107" s="1151">
        <f t="shared" si="388"/>
        <v>0</v>
      </c>
      <c r="AI107" s="1151">
        <f t="shared" si="388"/>
        <v>108837992.75000003</v>
      </c>
      <c r="AJ107" s="1151">
        <f t="shared" si="388"/>
        <v>192137399.43999997</v>
      </c>
      <c r="AK107" s="1151">
        <f t="shared" si="388"/>
        <v>300975392.19000006</v>
      </c>
      <c r="AL107" s="1151">
        <f t="shared" si="388"/>
        <v>317884841.42000008</v>
      </c>
      <c r="AM107" s="1151">
        <f t="shared" si="388"/>
        <v>297640211.54000002</v>
      </c>
      <c r="AN107" s="1151">
        <f t="shared" si="388"/>
        <v>192137399.43999997</v>
      </c>
      <c r="AO107" s="1151">
        <f t="shared" si="15"/>
        <v>807662452.39999998</v>
      </c>
      <c r="AP107" s="1151">
        <f t="shared" si="258"/>
        <v>30066271.579999924</v>
      </c>
      <c r="AQ107" s="1151">
        <f t="shared" si="259"/>
        <v>197866889.45999998</v>
      </c>
      <c r="AR107" s="1151">
        <f t="shared" si="260"/>
        <v>26457600.560000032</v>
      </c>
      <c r="AS107" s="1151">
        <f t="shared" si="19"/>
        <v>254390761.59999993</v>
      </c>
      <c r="AT107" s="1165">
        <f t="shared" si="261"/>
        <v>0.9135905290810209</v>
      </c>
      <c r="AU107" s="1165">
        <f t="shared" si="262"/>
        <v>0.60067799419891665</v>
      </c>
      <c r="AV107" s="1165">
        <f t="shared" si="263"/>
        <v>0.87896520707243975</v>
      </c>
      <c r="AW107" s="1165">
        <f t="shared" si="264"/>
        <v>0.76047267853755585</v>
      </c>
      <c r="AX107" s="1152">
        <f t="shared" si="265"/>
        <v>0</v>
      </c>
      <c r="AY107" s="1152">
        <f t="shared" si="266"/>
        <v>0</v>
      </c>
      <c r="AZ107" s="1152">
        <f t="shared" si="267"/>
        <v>0</v>
      </c>
      <c r="BA107" s="1152">
        <f t="shared" si="268"/>
        <v>0</v>
      </c>
      <c r="BB107" s="1132">
        <f>+AS107-'CY (ALL FUNDS)'!Q1144</f>
        <v>0</v>
      </c>
      <c r="BF107" s="824">
        <f t="shared" si="269"/>
        <v>117557668.20999998</v>
      </c>
    </row>
    <row r="108" spans="1:58" s="903" customFormat="1">
      <c r="A108" s="905" t="s">
        <v>1030</v>
      </c>
      <c r="B108" s="859">
        <f>SUM('CY-FUR (REG)- Detail'!C204:C206)</f>
        <v>84998000</v>
      </c>
      <c r="C108" s="859">
        <f>SUM('CY-FUR (REG)- Detail'!D204:D206)</f>
        <v>171405000</v>
      </c>
      <c r="D108" s="859">
        <f>SUM('CY-FUR (REG)- Detail'!E204:E206)</f>
        <v>0</v>
      </c>
      <c r="E108" s="859">
        <f t="shared" si="0"/>
        <v>256403000</v>
      </c>
      <c r="F108" s="859">
        <f>SUM('CY-FUR (REG)- Detail'!G204:G206)</f>
        <v>8332260</v>
      </c>
      <c r="G108" s="859">
        <f>SUM('CY-FUR (REG)- Detail'!H204:H206)</f>
        <v>-9682260</v>
      </c>
      <c r="H108" s="859">
        <f>SUM('CY-FUR (REG)- Detail'!I204:I206)</f>
        <v>1350000</v>
      </c>
      <c r="I108" s="859">
        <f>SUM('CY-FUR (REG)- Detail'!J204:J206)</f>
        <v>0</v>
      </c>
      <c r="J108" s="859">
        <f>SUM('CY-FUR (REG)- Detail'!K204:K206)</f>
        <v>93330260</v>
      </c>
      <c r="K108" s="859">
        <f>SUM('CY-FUR (REG)- Detail'!L204:L206)</f>
        <v>161722740</v>
      </c>
      <c r="L108" s="859">
        <f>SUM('CY-FUR (REG)- Detail'!M204:M206)</f>
        <v>1350000</v>
      </c>
      <c r="M108" s="859">
        <f>SUM('CY-FUR (REG)- Detail'!N204:N206)</f>
        <v>256403000</v>
      </c>
      <c r="N108" s="859">
        <f>SUM('CY-FUR (REG)- Detail'!O204:O206)</f>
        <v>93330260</v>
      </c>
      <c r="O108" s="859">
        <f>SUM('CY-FUR (REG)- Detail'!P204:P206)</f>
        <v>161722740</v>
      </c>
      <c r="P108" s="859">
        <f>SUM('CY-FUR (REG)- Detail'!Q204:Q206)</f>
        <v>1350000</v>
      </c>
      <c r="Q108" s="859">
        <f t="shared" si="6"/>
        <v>256403000</v>
      </c>
      <c r="R108" s="859">
        <f>SUM('CY-FUR (REG)- Detail'!S204:S206)</f>
        <v>0</v>
      </c>
      <c r="S108" s="859">
        <f>SUM('CY-FUR (REG)- Detail'!T204:T206)</f>
        <v>0</v>
      </c>
      <c r="T108" s="859">
        <f>SUM('CY-FUR (REG)- Detail'!U204:U206)</f>
        <v>0</v>
      </c>
      <c r="U108" s="859">
        <f>SUM('CY-FUR (REG)- Detail'!V204:V206)</f>
        <v>0</v>
      </c>
      <c r="V108" s="859">
        <f>SUM('CY-FUR (REG)- Detail'!W204:W206)</f>
        <v>0</v>
      </c>
      <c r="W108" s="859">
        <f>SUM('CY-FUR (REG)- Detail'!X204:X206)</f>
        <v>142357671</v>
      </c>
      <c r="X108" s="859">
        <f>SUM('CY-FUR (REG)- Detail'!Y204:Y206)</f>
        <v>15745000</v>
      </c>
      <c r="Y108" s="859">
        <f t="shared" si="7"/>
        <v>158102671</v>
      </c>
      <c r="Z108" s="859">
        <f>SUM('CY-FUR (REG)- Detail'!AA204:AA206)</f>
        <v>93330260</v>
      </c>
      <c r="AA108" s="859">
        <f>SUM('CY-FUR (REG)- Detail'!AB204:AB206)</f>
        <v>304080411</v>
      </c>
      <c r="AB108" s="859">
        <f>SUM('CY-FUR (REG)- Detail'!AC204:AC206)</f>
        <v>17095000</v>
      </c>
      <c r="AC108" s="859">
        <f t="shared" si="11"/>
        <v>414505671</v>
      </c>
      <c r="AD108" s="859">
        <f>SUM('CY-FUR (REG)- Detail'!AE204:AE206)</f>
        <v>83932162.290000021</v>
      </c>
      <c r="AE108" s="859">
        <f>SUM('CY-FUR (REG)- Detail'!AF204:AF206)</f>
        <v>70914866.079999998</v>
      </c>
      <c r="AF108" s="859">
        <f>SUM('CY-FUR (REG)- Detail'!AG204:AG206)</f>
        <v>0</v>
      </c>
      <c r="AG108" s="859">
        <f>SUM('CY-FUR (REG)- Detail'!AH204:AH206)</f>
        <v>154847028.37</v>
      </c>
      <c r="AH108" s="859">
        <f>SUM('CY-FUR (REG)- Detail'!AI204:AI206)</f>
        <v>0</v>
      </c>
      <c r="AI108" s="859">
        <f>SUM('CY-FUR (REG)- Detail'!AJ204:AJ206)</f>
        <v>76478187.140000015</v>
      </c>
      <c r="AJ108" s="859">
        <f>SUM('CY-FUR (REG)- Detail'!AK204:AK206)</f>
        <v>3882518.3200000003</v>
      </c>
      <c r="AK108" s="859">
        <f>SUM('CY-FUR (REG)- Detail'!AL204:AL206)</f>
        <v>80360705.460000008</v>
      </c>
      <c r="AL108" s="859">
        <f>SUM('CY-FUR (REG)- Detail'!AM204:AM206)</f>
        <v>83932162.290000021</v>
      </c>
      <c r="AM108" s="859">
        <f>SUM('CY-FUR (REG)- Detail'!AN204:AN206)</f>
        <v>147393053.22000003</v>
      </c>
      <c r="AN108" s="859">
        <f>SUM('CY-FUR (REG)- Detail'!AO204:AO206)</f>
        <v>3882518.3200000003</v>
      </c>
      <c r="AO108" s="859">
        <f t="shared" si="15"/>
        <v>235207733.83000004</v>
      </c>
      <c r="AP108" s="859">
        <f t="shared" si="258"/>
        <v>9398097.7099999785</v>
      </c>
      <c r="AQ108" s="859">
        <f t="shared" si="259"/>
        <v>156687357.77999997</v>
      </c>
      <c r="AR108" s="859">
        <f t="shared" si="260"/>
        <v>13212481.68</v>
      </c>
      <c r="AS108" s="859">
        <f t="shared" si="19"/>
        <v>179297937.16999996</v>
      </c>
      <c r="AT108" s="1166">
        <f t="shared" si="261"/>
        <v>0.89930278014868936</v>
      </c>
      <c r="AU108" s="1166">
        <f t="shared" si="262"/>
        <v>0.48471735727823662</v>
      </c>
      <c r="AV108" s="1166">
        <f t="shared" si="263"/>
        <v>0.22711426264989765</v>
      </c>
      <c r="AW108" s="1166">
        <f t="shared" si="264"/>
        <v>0.56744153406287179</v>
      </c>
      <c r="AX108" s="22">
        <f t="shared" si="265"/>
        <v>0</v>
      </c>
      <c r="AY108" s="22">
        <f t="shared" si="266"/>
        <v>0</v>
      </c>
      <c r="AZ108" s="22">
        <f t="shared" si="267"/>
        <v>0</v>
      </c>
      <c r="BA108" s="22">
        <f t="shared" si="268"/>
        <v>0</v>
      </c>
      <c r="BF108" s="824">
        <f t="shared" si="269"/>
        <v>90807873.920000002</v>
      </c>
    </row>
    <row r="109" spans="1:58" s="16" customFormat="1">
      <c r="A109" s="905" t="s">
        <v>1031</v>
      </c>
      <c r="B109" s="859">
        <f>+'CY-FUR (REG)- Detail'!C208</f>
        <v>150073000</v>
      </c>
      <c r="C109" s="859">
        <f>+'CY-FUR (REG)- Detail'!D208</f>
        <v>54463000</v>
      </c>
      <c r="D109" s="859">
        <f>+'CY-FUR (REG)- Detail'!E208</f>
        <v>0</v>
      </c>
      <c r="E109" s="859">
        <f t="shared" si="0"/>
        <v>204536000</v>
      </c>
      <c r="F109" s="859">
        <f>+'CY-FUR (REG)- Detail'!G208</f>
        <v>0</v>
      </c>
      <c r="G109" s="859">
        <f>+'CY-FUR (REG)- Detail'!H208</f>
        <v>0</v>
      </c>
      <c r="H109" s="859">
        <f>+'CY-FUR (REG)- Detail'!I208</f>
        <v>0</v>
      </c>
      <c r="I109" s="859">
        <f t="shared" ref="I109" si="389">SUM(F109:H109)</f>
        <v>0</v>
      </c>
      <c r="J109" s="859">
        <f t="shared" ref="J109" si="390">+B109+F109</f>
        <v>150073000</v>
      </c>
      <c r="K109" s="859">
        <f t="shared" ref="K109" si="391">+C109+G109</f>
        <v>54463000</v>
      </c>
      <c r="L109" s="859">
        <f t="shared" ref="L109" si="392">+D109+H109</f>
        <v>0</v>
      </c>
      <c r="M109" s="859">
        <f t="shared" ref="M109" si="393">SUM(J109:L109)</f>
        <v>204536000</v>
      </c>
      <c r="N109" s="859">
        <f>+'CY-FUR (REG)- Detail'!O208</f>
        <v>150073000</v>
      </c>
      <c r="O109" s="859">
        <f>+'CY-FUR (REG)- Detail'!P208</f>
        <v>54463000</v>
      </c>
      <c r="P109" s="859">
        <f>+'CY-FUR (REG)- Detail'!Q208</f>
        <v>0</v>
      </c>
      <c r="Q109" s="859">
        <f t="shared" si="6"/>
        <v>204536000</v>
      </c>
      <c r="R109" s="859">
        <f>+'CY-FUR (REG)- Detail'!S208</f>
        <v>0</v>
      </c>
      <c r="S109" s="859">
        <f>+'CY-FUR (REG)- Detail'!T208</f>
        <v>0</v>
      </c>
      <c r="T109" s="859">
        <f>+'CY-FUR (REG)- Detail'!U208</f>
        <v>0</v>
      </c>
      <c r="U109" s="859">
        <f t="shared" ref="U109" si="394">SUM(R109:T109)</f>
        <v>0</v>
      </c>
      <c r="V109" s="859">
        <f>+'CY-FUR (REG)- Detail'!W208</f>
        <v>0</v>
      </c>
      <c r="W109" s="859">
        <f>+'CY-FUR (REG)- Detail'!X208</f>
        <v>25253800</v>
      </c>
      <c r="X109" s="859">
        <f>+'CY-FUR (REG)- Detail'!Y208</f>
        <v>150000000</v>
      </c>
      <c r="Y109" s="859">
        <f t="shared" si="7"/>
        <v>175253800</v>
      </c>
      <c r="Z109" s="859">
        <f t="shared" ref="Z109" si="395">+N109+V109+R109</f>
        <v>150073000</v>
      </c>
      <c r="AA109" s="859">
        <f t="shared" ref="AA109" si="396">+O109+W109+S109</f>
        <v>79716800</v>
      </c>
      <c r="AB109" s="859">
        <f t="shared" ref="AB109" si="397">+P109+X109+T109</f>
        <v>150000000</v>
      </c>
      <c r="AC109" s="859">
        <f t="shared" si="11"/>
        <v>379789800</v>
      </c>
      <c r="AD109" s="859">
        <f>+'CY-FUR (REG)- Detail'!AE208</f>
        <v>138689701.17000005</v>
      </c>
      <c r="AE109" s="859">
        <f>+'CY-FUR (REG)- Detail'!AF208</f>
        <v>44679390.319999993</v>
      </c>
      <c r="AF109" s="859">
        <f>+'CY-FUR (REG)- Detail'!AG208</f>
        <v>0</v>
      </c>
      <c r="AG109" s="859">
        <f t="shared" ref="AG109" si="398">SUM(AD109:AF109)</f>
        <v>183369091.49000004</v>
      </c>
      <c r="AH109" s="859">
        <f>+'CY-FUR (REG)- Detail'!AI208</f>
        <v>0</v>
      </c>
      <c r="AI109" s="859">
        <f>+'CY-FUR (REG)- Detail'!AJ208</f>
        <v>18441368.519999996</v>
      </c>
      <c r="AJ109" s="859">
        <f>+'CY-FUR (REG)- Detail'!AK208</f>
        <v>148351064.53999999</v>
      </c>
      <c r="AK109" s="859">
        <f t="shared" ref="AK109" si="399">SUM(AH109:AJ109)</f>
        <v>166792433.06</v>
      </c>
      <c r="AL109" s="859">
        <f t="shared" ref="AL109" si="400">+AH109+AD109</f>
        <v>138689701.17000005</v>
      </c>
      <c r="AM109" s="859">
        <f t="shared" ref="AM109" si="401">+AI109+AE109</f>
        <v>63120758.839999989</v>
      </c>
      <c r="AN109" s="859">
        <f t="shared" ref="AN109" si="402">+AJ109+AF109</f>
        <v>148351064.53999999</v>
      </c>
      <c r="AO109" s="859">
        <f t="shared" si="15"/>
        <v>350161524.55000007</v>
      </c>
      <c r="AP109" s="859">
        <f t="shared" si="258"/>
        <v>11383298.829999954</v>
      </c>
      <c r="AQ109" s="859">
        <f t="shared" si="259"/>
        <v>16596041.160000011</v>
      </c>
      <c r="AR109" s="859">
        <f t="shared" si="260"/>
        <v>1648935.4600000083</v>
      </c>
      <c r="AS109" s="859">
        <f t="shared" si="19"/>
        <v>29628275.449999973</v>
      </c>
      <c r="AT109" s="1143">
        <f t="shared" si="261"/>
        <v>0.92414825564891778</v>
      </c>
      <c r="AU109" s="1143">
        <f t="shared" si="262"/>
        <v>0.79181250175621687</v>
      </c>
      <c r="AV109" s="1143">
        <f t="shared" si="263"/>
        <v>0.98900709693333333</v>
      </c>
      <c r="AW109" s="1143">
        <f t="shared" si="264"/>
        <v>0.92198770095984695</v>
      </c>
      <c r="AX109" s="22">
        <f t="shared" si="265"/>
        <v>0</v>
      </c>
      <c r="AY109" s="22">
        <f t="shared" si="266"/>
        <v>0</v>
      </c>
      <c r="AZ109" s="22">
        <f t="shared" si="267"/>
        <v>0</v>
      </c>
      <c r="BA109" s="22">
        <f t="shared" si="268"/>
        <v>0</v>
      </c>
      <c r="BF109" s="824">
        <f t="shared" si="269"/>
        <v>9783609.6800000072</v>
      </c>
    </row>
    <row r="110" spans="1:58" s="16" customFormat="1">
      <c r="A110" s="905" t="s">
        <v>1032</v>
      </c>
      <c r="B110" s="859">
        <f>+'CY-FUR (REG)- Detail'!C209</f>
        <v>14833000</v>
      </c>
      <c r="C110" s="859">
        <f>+'CY-FUR (REG)- Detail'!D209</f>
        <v>15799000</v>
      </c>
      <c r="D110" s="859">
        <f>+'CY-FUR (REG)- Detail'!E209</f>
        <v>0</v>
      </c>
      <c r="E110" s="859">
        <f t="shared" si="0"/>
        <v>30632000</v>
      </c>
      <c r="F110" s="859">
        <f>+'CY-FUR (REG)- Detail'!G209</f>
        <v>0</v>
      </c>
      <c r="G110" s="859">
        <f>+'CY-FUR (REG)- Detail'!H209</f>
        <v>0</v>
      </c>
      <c r="H110" s="859">
        <f>+'CY-FUR (REG)- Detail'!I209</f>
        <v>0</v>
      </c>
      <c r="I110" s="859">
        <f t="shared" ref="I110:I116" si="403">SUM(F110:H110)</f>
        <v>0</v>
      </c>
      <c r="J110" s="859">
        <f t="shared" ref="J110:J116" si="404">+B110+F110</f>
        <v>14833000</v>
      </c>
      <c r="K110" s="859">
        <f t="shared" ref="K110:K116" si="405">+C110+G110</f>
        <v>15799000</v>
      </c>
      <c r="L110" s="859">
        <f t="shared" ref="L110:L116" si="406">+D110+H110</f>
        <v>0</v>
      </c>
      <c r="M110" s="859">
        <f t="shared" ref="M110:M116" si="407">SUM(J110:L110)</f>
        <v>30632000</v>
      </c>
      <c r="N110" s="859">
        <f>+'CY-FUR (REG)- Detail'!O209</f>
        <v>14833000</v>
      </c>
      <c r="O110" s="859">
        <f>+'CY-FUR (REG)- Detail'!P209</f>
        <v>15799000</v>
      </c>
      <c r="P110" s="859">
        <f>+'CY-FUR (REG)- Detail'!Q209</f>
        <v>0</v>
      </c>
      <c r="Q110" s="859">
        <f t="shared" si="6"/>
        <v>30632000</v>
      </c>
      <c r="R110" s="859">
        <f>+'CY-FUR (REG)- Detail'!S209</f>
        <v>0</v>
      </c>
      <c r="S110" s="859">
        <f>+'CY-FUR (REG)- Detail'!T209</f>
        <v>0</v>
      </c>
      <c r="T110" s="859">
        <f>+'CY-FUR (REG)- Detail'!U209</f>
        <v>0</v>
      </c>
      <c r="U110" s="859">
        <f t="shared" ref="U110:U116" si="408">SUM(R110:T110)</f>
        <v>0</v>
      </c>
      <c r="V110" s="859">
        <f>+'CY-FUR (REG)- Detail'!W209</f>
        <v>0</v>
      </c>
      <c r="W110" s="859">
        <f>+'CY-FUR (REG)- Detail'!X209</f>
        <v>5460000</v>
      </c>
      <c r="X110" s="859">
        <f>+'CY-FUR (REG)- Detail'!Y209</f>
        <v>20000000</v>
      </c>
      <c r="Y110" s="859">
        <f t="shared" si="7"/>
        <v>25460000</v>
      </c>
      <c r="Z110" s="859">
        <f t="shared" ref="Z110:Z116" si="409">+N110+V110+R110</f>
        <v>14833000</v>
      </c>
      <c r="AA110" s="859">
        <f t="shared" ref="AA110:AA116" si="410">+O110+W110+S110</f>
        <v>21259000</v>
      </c>
      <c r="AB110" s="859">
        <f t="shared" ref="AB110:AB116" si="411">+P110+X110+T110</f>
        <v>20000000</v>
      </c>
      <c r="AC110" s="859">
        <f t="shared" si="11"/>
        <v>56092000</v>
      </c>
      <c r="AD110" s="859">
        <f>+'CY-FUR (REG)- Detail'!AE209</f>
        <v>12313003.390000001</v>
      </c>
      <c r="AE110" s="859">
        <f>+'CY-FUR (REG)- Detail'!AF209</f>
        <v>14479651.529999999</v>
      </c>
      <c r="AF110" s="859">
        <f>+'CY-FUR (REG)- Detail'!AG209</f>
        <v>0</v>
      </c>
      <c r="AG110" s="859">
        <f t="shared" ref="AG110:AG116" si="412">SUM(AD110:AF110)</f>
        <v>26792654.920000002</v>
      </c>
      <c r="AH110" s="859">
        <f>+'CY-FUR (REG)- Detail'!AI209</f>
        <v>0</v>
      </c>
      <c r="AI110" s="859">
        <f>+'CY-FUR (REG)- Detail'!AJ209</f>
        <v>1086888.93</v>
      </c>
      <c r="AJ110" s="859">
        <f>+'CY-FUR (REG)- Detail'!AK209</f>
        <v>19990407.359999999</v>
      </c>
      <c r="AK110" s="859">
        <f t="shared" ref="AK110:AK116" si="413">SUM(AH110:AJ110)</f>
        <v>21077296.289999999</v>
      </c>
      <c r="AL110" s="859">
        <f t="shared" ref="AL110:AL116" si="414">+AH110+AD110</f>
        <v>12313003.390000001</v>
      </c>
      <c r="AM110" s="859">
        <f t="shared" ref="AM110:AM116" si="415">+AI110+AE110</f>
        <v>15566540.459999999</v>
      </c>
      <c r="AN110" s="859">
        <f t="shared" ref="AN110:AN116" si="416">+AJ110+AF110</f>
        <v>19990407.359999999</v>
      </c>
      <c r="AO110" s="859">
        <f t="shared" si="15"/>
        <v>47869951.210000001</v>
      </c>
      <c r="AP110" s="859">
        <f t="shared" si="258"/>
        <v>2519996.6099999994</v>
      </c>
      <c r="AQ110" s="859">
        <f t="shared" si="259"/>
        <v>5692459.540000001</v>
      </c>
      <c r="AR110" s="859">
        <f t="shared" si="260"/>
        <v>9592.640000000596</v>
      </c>
      <c r="AS110" s="859">
        <f t="shared" si="19"/>
        <v>8222048.790000001</v>
      </c>
      <c r="AT110" s="1143">
        <f t="shared" si="261"/>
        <v>0.83010877030944519</v>
      </c>
      <c r="AU110" s="1143">
        <f t="shared" si="262"/>
        <v>0.73223295827649459</v>
      </c>
      <c r="AV110" s="1143">
        <f t="shared" si="263"/>
        <v>0.99952036799999999</v>
      </c>
      <c r="AW110" s="1143">
        <f t="shared" si="264"/>
        <v>0.85341851262212087</v>
      </c>
      <c r="AX110" s="22">
        <f t="shared" si="265"/>
        <v>0</v>
      </c>
      <c r="AY110" s="22">
        <f t="shared" si="266"/>
        <v>0</v>
      </c>
      <c r="AZ110" s="22">
        <f t="shared" si="267"/>
        <v>0</v>
      </c>
      <c r="BA110" s="22">
        <f t="shared" si="268"/>
        <v>0</v>
      </c>
      <c r="BF110" s="824">
        <f t="shared" si="269"/>
        <v>1319348.4700000007</v>
      </c>
    </row>
    <row r="111" spans="1:58" s="16" customFormat="1">
      <c r="A111" s="905" t="s">
        <v>1033</v>
      </c>
      <c r="B111" s="859">
        <f>+'CY-FUR (REG)- Detail'!C210</f>
        <v>8318000</v>
      </c>
      <c r="C111" s="859">
        <f>+'CY-FUR (REG)- Detail'!D210</f>
        <v>5667000</v>
      </c>
      <c r="D111" s="859">
        <f>+'CY-FUR (REG)- Detail'!E210</f>
        <v>0</v>
      </c>
      <c r="E111" s="859">
        <f t="shared" si="0"/>
        <v>13985000</v>
      </c>
      <c r="F111" s="859">
        <f>+'CY-FUR (REG)- Detail'!G210</f>
        <v>0</v>
      </c>
      <c r="G111" s="859">
        <f>+'CY-FUR (REG)- Detail'!H210</f>
        <v>0</v>
      </c>
      <c r="H111" s="859">
        <f>+'CY-FUR (REG)- Detail'!I210</f>
        <v>0</v>
      </c>
      <c r="I111" s="859">
        <f t="shared" si="403"/>
        <v>0</v>
      </c>
      <c r="J111" s="859">
        <f t="shared" si="404"/>
        <v>8318000</v>
      </c>
      <c r="K111" s="859">
        <f t="shared" si="405"/>
        <v>5667000</v>
      </c>
      <c r="L111" s="859">
        <f t="shared" si="406"/>
        <v>0</v>
      </c>
      <c r="M111" s="859">
        <f t="shared" si="407"/>
        <v>13985000</v>
      </c>
      <c r="N111" s="859">
        <f>+'CY-FUR (REG)- Detail'!O210</f>
        <v>8318000</v>
      </c>
      <c r="O111" s="859">
        <f>+'CY-FUR (REG)- Detail'!P210</f>
        <v>5667000</v>
      </c>
      <c r="P111" s="859">
        <f>+'CY-FUR (REG)- Detail'!Q210</f>
        <v>0</v>
      </c>
      <c r="Q111" s="859">
        <f t="shared" si="6"/>
        <v>13985000</v>
      </c>
      <c r="R111" s="859">
        <f>+'CY-FUR (REG)- Detail'!S210</f>
        <v>0</v>
      </c>
      <c r="S111" s="859">
        <f>+'CY-FUR (REG)- Detail'!T210</f>
        <v>0</v>
      </c>
      <c r="T111" s="859">
        <f>+'CY-FUR (REG)- Detail'!U210</f>
        <v>0</v>
      </c>
      <c r="U111" s="859">
        <f t="shared" si="408"/>
        <v>0</v>
      </c>
      <c r="V111" s="859">
        <f>+'CY-FUR (REG)- Detail'!W210</f>
        <v>0</v>
      </c>
      <c r="W111" s="859">
        <f>+'CY-FUR (REG)- Detail'!X210</f>
        <v>2363743</v>
      </c>
      <c r="X111" s="859">
        <f>+'CY-FUR (REG)- Detail'!Y210</f>
        <v>0</v>
      </c>
      <c r="Y111" s="859">
        <f t="shared" si="7"/>
        <v>2363743</v>
      </c>
      <c r="Z111" s="859">
        <f t="shared" si="409"/>
        <v>8318000</v>
      </c>
      <c r="AA111" s="859">
        <f t="shared" si="410"/>
        <v>8030743</v>
      </c>
      <c r="AB111" s="859">
        <f t="shared" si="411"/>
        <v>0</v>
      </c>
      <c r="AC111" s="859">
        <f t="shared" si="11"/>
        <v>16348743</v>
      </c>
      <c r="AD111" s="859">
        <f>+'CY-FUR (REG)- Detail'!AE210</f>
        <v>7658109.0000000009</v>
      </c>
      <c r="AE111" s="859">
        <f>+'CY-FUR (REG)- Detail'!AF210</f>
        <v>4671423.0299999993</v>
      </c>
      <c r="AF111" s="859">
        <f>+'CY-FUR (REG)- Detail'!AG210</f>
        <v>0</v>
      </c>
      <c r="AG111" s="859">
        <f t="shared" si="412"/>
        <v>12329532.030000001</v>
      </c>
      <c r="AH111" s="859">
        <f>+'CY-FUR (REG)- Detail'!AI210</f>
        <v>0</v>
      </c>
      <c r="AI111" s="859">
        <f>+'CY-FUR (REG)- Detail'!AJ210</f>
        <v>1841192.1199999999</v>
      </c>
      <c r="AJ111" s="859">
        <f>+'CY-FUR (REG)- Detail'!AK210</f>
        <v>0</v>
      </c>
      <c r="AK111" s="859">
        <f t="shared" si="413"/>
        <v>1841192.1199999999</v>
      </c>
      <c r="AL111" s="859">
        <f t="shared" si="414"/>
        <v>7658109.0000000009</v>
      </c>
      <c r="AM111" s="859">
        <f t="shared" si="415"/>
        <v>6512615.1499999994</v>
      </c>
      <c r="AN111" s="859">
        <f t="shared" si="416"/>
        <v>0</v>
      </c>
      <c r="AO111" s="859">
        <f t="shared" si="15"/>
        <v>14170724.15</v>
      </c>
      <c r="AP111" s="859">
        <f t="shared" si="258"/>
        <v>659890.99999999907</v>
      </c>
      <c r="AQ111" s="859">
        <f t="shared" si="259"/>
        <v>1518127.8500000006</v>
      </c>
      <c r="AR111" s="859">
        <f t="shared" si="260"/>
        <v>0</v>
      </c>
      <c r="AS111" s="859">
        <f t="shared" si="19"/>
        <v>2178018.8499999996</v>
      </c>
      <c r="AT111" s="1143">
        <f t="shared" si="261"/>
        <v>0.92066710747775915</v>
      </c>
      <c r="AU111" s="1143">
        <f t="shared" si="262"/>
        <v>0.81096047401840643</v>
      </c>
      <c r="AV111" s="1143" t="str">
        <f t="shared" si="263"/>
        <v xml:space="preserve"> </v>
      </c>
      <c r="AW111" s="1143">
        <f t="shared" si="264"/>
        <v>0.8667775956842676</v>
      </c>
      <c r="AX111" s="22">
        <f t="shared" si="265"/>
        <v>0</v>
      </c>
      <c r="AY111" s="22">
        <f t="shared" si="266"/>
        <v>0</v>
      </c>
      <c r="AZ111" s="22">
        <f t="shared" si="267"/>
        <v>0</v>
      </c>
      <c r="BA111" s="22">
        <f t="shared" si="268"/>
        <v>0</v>
      </c>
      <c r="BF111" s="824">
        <f t="shared" si="269"/>
        <v>995576.97000000067</v>
      </c>
    </row>
    <row r="112" spans="1:58" s="16" customFormat="1">
      <c r="A112" s="905" t="s">
        <v>1034</v>
      </c>
      <c r="B112" s="859">
        <f>+'CY-FUR (REG)- Detail'!C211</f>
        <v>6539000</v>
      </c>
      <c r="C112" s="859">
        <f>+'CY-FUR (REG)- Detail'!D211</f>
        <v>3643000</v>
      </c>
      <c r="D112" s="859">
        <f>+'CY-FUR (REG)- Detail'!E211</f>
        <v>0</v>
      </c>
      <c r="E112" s="859">
        <f t="shared" si="0"/>
        <v>10182000</v>
      </c>
      <c r="F112" s="859">
        <f>+'CY-FUR (REG)- Detail'!G211</f>
        <v>0</v>
      </c>
      <c r="G112" s="859">
        <f>+'CY-FUR (REG)- Detail'!H211</f>
        <v>0</v>
      </c>
      <c r="H112" s="859">
        <f>+'CY-FUR (REG)- Detail'!I211</f>
        <v>0</v>
      </c>
      <c r="I112" s="859">
        <f t="shared" si="403"/>
        <v>0</v>
      </c>
      <c r="J112" s="859">
        <f t="shared" si="404"/>
        <v>6539000</v>
      </c>
      <c r="K112" s="859">
        <f t="shared" si="405"/>
        <v>3643000</v>
      </c>
      <c r="L112" s="859">
        <f t="shared" si="406"/>
        <v>0</v>
      </c>
      <c r="M112" s="859">
        <f t="shared" si="407"/>
        <v>10182000</v>
      </c>
      <c r="N112" s="859">
        <f>+'CY-FUR (REG)- Detail'!O211</f>
        <v>6539000</v>
      </c>
      <c r="O112" s="859">
        <f>+'CY-FUR (REG)- Detail'!P211</f>
        <v>3643000</v>
      </c>
      <c r="P112" s="859">
        <f>+'CY-FUR (REG)- Detail'!Q211</f>
        <v>0</v>
      </c>
      <c r="Q112" s="859">
        <f t="shared" si="6"/>
        <v>10182000</v>
      </c>
      <c r="R112" s="859">
        <f>+'CY-FUR (REG)- Detail'!S211</f>
        <v>0</v>
      </c>
      <c r="S112" s="859">
        <f>+'CY-FUR (REG)- Detail'!T211</f>
        <v>0</v>
      </c>
      <c r="T112" s="859">
        <f>+'CY-FUR (REG)- Detail'!U211</f>
        <v>0</v>
      </c>
      <c r="U112" s="859">
        <f t="shared" si="408"/>
        <v>0</v>
      </c>
      <c r="V112" s="859">
        <f>+'CY-FUR (REG)- Detail'!W211</f>
        <v>0</v>
      </c>
      <c r="W112" s="859">
        <f>+'CY-FUR (REG)- Detail'!X211</f>
        <v>1652000</v>
      </c>
      <c r="X112" s="859">
        <f>+'CY-FUR (REG)- Detail'!Y211</f>
        <v>0</v>
      </c>
      <c r="Y112" s="859">
        <f t="shared" si="7"/>
        <v>1652000</v>
      </c>
      <c r="Z112" s="859">
        <f t="shared" si="409"/>
        <v>6539000</v>
      </c>
      <c r="AA112" s="859">
        <f t="shared" si="410"/>
        <v>5295000</v>
      </c>
      <c r="AB112" s="859">
        <f t="shared" si="411"/>
        <v>0</v>
      </c>
      <c r="AC112" s="859">
        <f t="shared" si="11"/>
        <v>11834000</v>
      </c>
      <c r="AD112" s="859">
        <f>+'CY-FUR (REG)- Detail'!AE211</f>
        <v>5991011.46</v>
      </c>
      <c r="AE112" s="859">
        <f>+'CY-FUR (REG)- Detail'!AF211</f>
        <v>3501579.61</v>
      </c>
      <c r="AF112" s="859">
        <f>+'CY-FUR (REG)- Detail'!AG211</f>
        <v>0</v>
      </c>
      <c r="AG112" s="859">
        <f t="shared" si="412"/>
        <v>9492591.0700000003</v>
      </c>
      <c r="AH112" s="859">
        <f>+'CY-FUR (REG)- Detail'!AI211</f>
        <v>0</v>
      </c>
      <c r="AI112" s="859">
        <f>+'CY-FUR (REG)- Detail'!AJ211</f>
        <v>1421528.2000000002</v>
      </c>
      <c r="AJ112" s="859">
        <f>+'CY-FUR (REG)- Detail'!AK211</f>
        <v>0</v>
      </c>
      <c r="AK112" s="859">
        <f t="shared" si="413"/>
        <v>1421528.2000000002</v>
      </c>
      <c r="AL112" s="859">
        <f t="shared" si="414"/>
        <v>5991011.46</v>
      </c>
      <c r="AM112" s="859">
        <f t="shared" si="415"/>
        <v>4923107.8100000005</v>
      </c>
      <c r="AN112" s="859">
        <f t="shared" si="416"/>
        <v>0</v>
      </c>
      <c r="AO112" s="859">
        <f t="shared" si="15"/>
        <v>10914119.27</v>
      </c>
      <c r="AP112" s="859">
        <f t="shared" si="258"/>
        <v>547988.54</v>
      </c>
      <c r="AQ112" s="859">
        <f t="shared" si="259"/>
        <v>371892.18999999948</v>
      </c>
      <c r="AR112" s="859">
        <f t="shared" si="260"/>
        <v>0</v>
      </c>
      <c r="AS112" s="859">
        <f t="shared" si="19"/>
        <v>919880.72999999952</v>
      </c>
      <c r="AT112" s="1143">
        <f t="shared" si="261"/>
        <v>0.916196889432635</v>
      </c>
      <c r="AU112" s="1143">
        <f t="shared" si="262"/>
        <v>0.9297654032105761</v>
      </c>
      <c r="AV112" s="1143" t="str">
        <f t="shared" si="263"/>
        <v xml:space="preserve"> </v>
      </c>
      <c r="AW112" s="1143">
        <f t="shared" si="264"/>
        <v>0.92226797955044781</v>
      </c>
      <c r="AX112" s="22">
        <f t="shared" si="265"/>
        <v>0</v>
      </c>
      <c r="AY112" s="22">
        <f t="shared" si="266"/>
        <v>0</v>
      </c>
      <c r="AZ112" s="22">
        <f t="shared" si="267"/>
        <v>0</v>
      </c>
      <c r="BA112" s="22">
        <f t="shared" si="268"/>
        <v>0</v>
      </c>
      <c r="BF112" s="824">
        <f t="shared" si="269"/>
        <v>141420.39000000013</v>
      </c>
    </row>
    <row r="113" spans="1:58" s="16" customFormat="1">
      <c r="A113" s="905" t="s">
        <v>1035</v>
      </c>
      <c r="B113" s="859">
        <f>+'CY-FUR (REG)- Detail'!C212</f>
        <v>18361000</v>
      </c>
      <c r="C113" s="859">
        <f>+'CY-FUR (REG)- Detail'!D212</f>
        <v>11473000</v>
      </c>
      <c r="D113" s="859">
        <f>+'CY-FUR (REG)- Detail'!E212</f>
        <v>0</v>
      </c>
      <c r="E113" s="859">
        <f t="shared" si="0"/>
        <v>29834000</v>
      </c>
      <c r="F113" s="859">
        <f>+'CY-FUR (REG)- Detail'!G212</f>
        <v>0</v>
      </c>
      <c r="G113" s="859">
        <f>+'CY-FUR (REG)- Detail'!H212</f>
        <v>0</v>
      </c>
      <c r="H113" s="859">
        <f>+'CY-FUR (REG)- Detail'!I212</f>
        <v>0</v>
      </c>
      <c r="I113" s="859">
        <f t="shared" si="403"/>
        <v>0</v>
      </c>
      <c r="J113" s="859">
        <f t="shared" si="404"/>
        <v>18361000</v>
      </c>
      <c r="K113" s="859">
        <f t="shared" si="405"/>
        <v>11473000</v>
      </c>
      <c r="L113" s="859">
        <f t="shared" si="406"/>
        <v>0</v>
      </c>
      <c r="M113" s="859">
        <f t="shared" si="407"/>
        <v>29834000</v>
      </c>
      <c r="N113" s="859">
        <f>+'CY-FUR (REG)- Detail'!O212</f>
        <v>18361000</v>
      </c>
      <c r="O113" s="859">
        <f>+'CY-FUR (REG)- Detail'!P212</f>
        <v>11473000</v>
      </c>
      <c r="P113" s="859">
        <f>+'CY-FUR (REG)- Detail'!Q212</f>
        <v>0</v>
      </c>
      <c r="Q113" s="859">
        <f t="shared" si="6"/>
        <v>29834000</v>
      </c>
      <c r="R113" s="859">
        <f>+'CY-FUR (REG)- Detail'!S212</f>
        <v>0</v>
      </c>
      <c r="S113" s="859">
        <f>+'CY-FUR (REG)- Detail'!T212</f>
        <v>0</v>
      </c>
      <c r="T113" s="859">
        <f>+'CY-FUR (REG)- Detail'!U212</f>
        <v>0</v>
      </c>
      <c r="U113" s="859">
        <f t="shared" si="408"/>
        <v>0</v>
      </c>
      <c r="V113" s="859">
        <f>+'CY-FUR (REG)- Detail'!W212</f>
        <v>0</v>
      </c>
      <c r="W113" s="859">
        <f>+'CY-FUR (REG)- Detail'!X212</f>
        <v>2420000</v>
      </c>
      <c r="X113" s="859">
        <f>+'CY-FUR (REG)- Detail'!Y212</f>
        <v>11000000</v>
      </c>
      <c r="Y113" s="859">
        <f t="shared" si="7"/>
        <v>13420000</v>
      </c>
      <c r="Z113" s="859">
        <f t="shared" si="409"/>
        <v>18361000</v>
      </c>
      <c r="AA113" s="859">
        <f t="shared" si="410"/>
        <v>13893000</v>
      </c>
      <c r="AB113" s="859">
        <f t="shared" si="411"/>
        <v>11000000</v>
      </c>
      <c r="AC113" s="859">
        <f t="shared" si="11"/>
        <v>43254000</v>
      </c>
      <c r="AD113" s="859">
        <f>+'CY-FUR (REG)- Detail'!AE212</f>
        <v>16379073.210000001</v>
      </c>
      <c r="AE113" s="859">
        <f>+'CY-FUR (REG)- Detail'!AF212</f>
        <v>9387248.8000000007</v>
      </c>
      <c r="AF113" s="859">
        <f>+'CY-FUR (REG)- Detail'!AG212</f>
        <v>0</v>
      </c>
      <c r="AG113" s="859">
        <f t="shared" si="412"/>
        <v>25766322.010000002</v>
      </c>
      <c r="AH113" s="859">
        <f>+'CY-FUR (REG)- Detail'!AI212</f>
        <v>0</v>
      </c>
      <c r="AI113" s="859">
        <f>+'CY-FUR (REG)- Detail'!AJ212</f>
        <v>1758946.04</v>
      </c>
      <c r="AJ113" s="859">
        <f>+'CY-FUR (REG)- Detail'!AK212</f>
        <v>175000</v>
      </c>
      <c r="AK113" s="859">
        <f t="shared" si="413"/>
        <v>1933946.04</v>
      </c>
      <c r="AL113" s="859">
        <f t="shared" si="414"/>
        <v>16379073.210000001</v>
      </c>
      <c r="AM113" s="859">
        <f t="shared" si="415"/>
        <v>11146194.84</v>
      </c>
      <c r="AN113" s="859">
        <f t="shared" si="416"/>
        <v>175000</v>
      </c>
      <c r="AO113" s="859">
        <f t="shared" si="15"/>
        <v>27700268.050000001</v>
      </c>
      <c r="AP113" s="859">
        <f t="shared" si="258"/>
        <v>1981926.7899999991</v>
      </c>
      <c r="AQ113" s="859">
        <f t="shared" si="259"/>
        <v>2746805.16</v>
      </c>
      <c r="AR113" s="859">
        <f t="shared" si="260"/>
        <v>10825000</v>
      </c>
      <c r="AS113" s="859">
        <f t="shared" si="19"/>
        <v>15553731.949999999</v>
      </c>
      <c r="AT113" s="1143">
        <f t="shared" si="261"/>
        <v>0.89205779696094989</v>
      </c>
      <c r="AU113" s="1143">
        <f t="shared" si="262"/>
        <v>0.80228855106888364</v>
      </c>
      <c r="AV113" s="1143">
        <f t="shared" si="263"/>
        <v>1.5909090909090907E-2</v>
      </c>
      <c r="AW113" s="1143">
        <f t="shared" si="264"/>
        <v>0.64040939681879139</v>
      </c>
      <c r="AX113" s="22">
        <f t="shared" si="265"/>
        <v>0</v>
      </c>
      <c r="AY113" s="22">
        <f t="shared" si="266"/>
        <v>0</v>
      </c>
      <c r="AZ113" s="22">
        <f t="shared" si="267"/>
        <v>0</v>
      </c>
      <c r="BA113" s="22">
        <f t="shared" si="268"/>
        <v>0</v>
      </c>
      <c r="BF113" s="824">
        <f t="shared" si="269"/>
        <v>2085751.1999999993</v>
      </c>
    </row>
    <row r="114" spans="1:58" s="16" customFormat="1">
      <c r="A114" s="905" t="s">
        <v>1036</v>
      </c>
      <c r="B114" s="859">
        <f>+'CY-FUR (REG)- Detail'!C213</f>
        <v>37392000</v>
      </c>
      <c r="C114" s="859">
        <f>+'CY-FUR (REG)- Detail'!D213</f>
        <v>29427000</v>
      </c>
      <c r="D114" s="859">
        <f>+'CY-FUR (REG)- Detail'!E213</f>
        <v>0</v>
      </c>
      <c r="E114" s="859">
        <f t="shared" si="0"/>
        <v>66819000</v>
      </c>
      <c r="F114" s="859">
        <f>+'CY-FUR (REG)- Detail'!G213</f>
        <v>1422853</v>
      </c>
      <c r="G114" s="859">
        <f>+'CY-FUR (REG)- Detail'!H213</f>
        <v>-1422853</v>
      </c>
      <c r="H114" s="859">
        <f>+'CY-FUR (REG)- Detail'!I213</f>
        <v>0</v>
      </c>
      <c r="I114" s="859">
        <f t="shared" si="403"/>
        <v>0</v>
      </c>
      <c r="J114" s="859">
        <f t="shared" si="404"/>
        <v>38814853</v>
      </c>
      <c r="K114" s="859">
        <f t="shared" si="405"/>
        <v>28004147</v>
      </c>
      <c r="L114" s="859">
        <f t="shared" si="406"/>
        <v>0</v>
      </c>
      <c r="M114" s="859">
        <f t="shared" si="407"/>
        <v>66819000</v>
      </c>
      <c r="N114" s="859">
        <f>+'CY-FUR (REG)- Detail'!O213</f>
        <v>38814853</v>
      </c>
      <c r="O114" s="859">
        <f>+'CY-FUR (REG)- Detail'!P213</f>
        <v>28004147</v>
      </c>
      <c r="P114" s="859">
        <f>+'CY-FUR (REG)- Detail'!Q213</f>
        <v>0</v>
      </c>
      <c r="Q114" s="859">
        <f t="shared" si="6"/>
        <v>66819000</v>
      </c>
      <c r="R114" s="859">
        <f>+'CY-FUR (REG)- Detail'!S213</f>
        <v>0</v>
      </c>
      <c r="S114" s="859">
        <f>+'CY-FUR (REG)- Detail'!T213</f>
        <v>0</v>
      </c>
      <c r="T114" s="859">
        <f>+'CY-FUR (REG)- Detail'!U213</f>
        <v>0</v>
      </c>
      <c r="U114" s="859">
        <f t="shared" si="408"/>
        <v>0</v>
      </c>
      <c r="V114" s="859">
        <f>+'CY-FUR (REG)- Detail'!W213</f>
        <v>0</v>
      </c>
      <c r="W114" s="859">
        <f>+'CY-FUR (REG)- Detail'!X213</f>
        <v>7220000</v>
      </c>
      <c r="X114" s="859">
        <f>+'CY-FUR (REG)- Detail'!Y213</f>
        <v>20500000</v>
      </c>
      <c r="Y114" s="859">
        <f t="shared" si="7"/>
        <v>27720000</v>
      </c>
      <c r="Z114" s="859">
        <f t="shared" si="409"/>
        <v>38814853</v>
      </c>
      <c r="AA114" s="859">
        <f t="shared" si="410"/>
        <v>35224147</v>
      </c>
      <c r="AB114" s="859">
        <f t="shared" si="411"/>
        <v>20500000</v>
      </c>
      <c r="AC114" s="859">
        <f t="shared" si="11"/>
        <v>94539000</v>
      </c>
      <c r="AD114" s="859">
        <f>+'CY-FUR (REG)- Detail'!AE213</f>
        <v>36411638</v>
      </c>
      <c r="AE114" s="859">
        <f>+'CY-FUR (REG)- Detail'!AF213</f>
        <v>22376889.650000002</v>
      </c>
      <c r="AF114" s="859">
        <f>+'CY-FUR (REG)- Detail'!AG213</f>
        <v>0</v>
      </c>
      <c r="AG114" s="859">
        <f t="shared" si="412"/>
        <v>58788527.650000006</v>
      </c>
      <c r="AH114" s="859">
        <f>+'CY-FUR (REG)- Detail'!AI213</f>
        <v>0</v>
      </c>
      <c r="AI114" s="859">
        <f>+'CY-FUR (REG)- Detail'!AJ213</f>
        <v>5948855.8100000005</v>
      </c>
      <c r="AJ114" s="859">
        <f>+'CY-FUR (REG)- Detail'!AK213</f>
        <v>19738409.219999999</v>
      </c>
      <c r="AK114" s="859">
        <f t="shared" si="413"/>
        <v>25687265.030000001</v>
      </c>
      <c r="AL114" s="859">
        <f t="shared" si="414"/>
        <v>36411638</v>
      </c>
      <c r="AM114" s="859">
        <f t="shared" si="415"/>
        <v>28325745.460000001</v>
      </c>
      <c r="AN114" s="859">
        <f t="shared" si="416"/>
        <v>19738409.219999999</v>
      </c>
      <c r="AO114" s="859">
        <f t="shared" si="15"/>
        <v>84475792.680000007</v>
      </c>
      <c r="AP114" s="859">
        <f t="shared" si="258"/>
        <v>2403215</v>
      </c>
      <c r="AQ114" s="859">
        <f t="shared" si="259"/>
        <v>6898401.5399999991</v>
      </c>
      <c r="AR114" s="859">
        <f t="shared" si="260"/>
        <v>761590.78000000119</v>
      </c>
      <c r="AS114" s="859">
        <f t="shared" si="19"/>
        <v>10063207.32</v>
      </c>
      <c r="AT114" s="1143">
        <f t="shared" si="261"/>
        <v>0.93808517064331021</v>
      </c>
      <c r="AU114" s="1143">
        <f t="shared" si="262"/>
        <v>0.8041570306869319</v>
      </c>
      <c r="AV114" s="1143">
        <f t="shared" si="263"/>
        <v>0.96284923024390234</v>
      </c>
      <c r="AW114" s="1143">
        <f t="shared" si="264"/>
        <v>0.89355496334845941</v>
      </c>
      <c r="AX114" s="22">
        <f t="shared" si="265"/>
        <v>0</v>
      </c>
      <c r="AY114" s="22">
        <f t="shared" si="266"/>
        <v>0</v>
      </c>
      <c r="AZ114" s="22">
        <f t="shared" si="267"/>
        <v>0</v>
      </c>
      <c r="BA114" s="22">
        <f t="shared" si="268"/>
        <v>0</v>
      </c>
      <c r="BF114" s="824">
        <f t="shared" si="269"/>
        <v>5627257.3499999978</v>
      </c>
    </row>
    <row r="115" spans="1:58" s="16" customFormat="1">
      <c r="A115" s="905" t="s">
        <v>1037</v>
      </c>
      <c r="B115" s="859">
        <f>+'CY-FUR (REG)- Detail'!C214</f>
        <v>17682000</v>
      </c>
      <c r="C115" s="859">
        <f>+'CY-FUR (REG)- Detail'!D214</f>
        <v>24897000</v>
      </c>
      <c r="D115" s="859">
        <f>+'CY-FUR (REG)- Detail'!E214</f>
        <v>0</v>
      </c>
      <c r="E115" s="859">
        <f t="shared" si="0"/>
        <v>42579000</v>
      </c>
      <c r="F115" s="859">
        <f>+'CY-FUR (REG)- Detail'!G214</f>
        <v>0</v>
      </c>
      <c r="G115" s="859">
        <f>+'CY-FUR (REG)- Detail'!H214</f>
        <v>0</v>
      </c>
      <c r="H115" s="859">
        <f>+'CY-FUR (REG)- Detail'!I214</f>
        <v>0</v>
      </c>
      <c r="I115" s="859">
        <f t="shared" si="403"/>
        <v>0</v>
      </c>
      <c r="J115" s="859">
        <f t="shared" si="404"/>
        <v>17682000</v>
      </c>
      <c r="K115" s="859">
        <f t="shared" si="405"/>
        <v>24897000</v>
      </c>
      <c r="L115" s="859">
        <f t="shared" si="406"/>
        <v>0</v>
      </c>
      <c r="M115" s="859">
        <f t="shared" si="407"/>
        <v>42579000</v>
      </c>
      <c r="N115" s="859">
        <f>+'CY-FUR (REG)- Detail'!O214</f>
        <v>17682000</v>
      </c>
      <c r="O115" s="859">
        <f>+'CY-FUR (REG)- Detail'!P214</f>
        <v>24897000</v>
      </c>
      <c r="P115" s="859">
        <f>+'CY-FUR (REG)- Detail'!Q214</f>
        <v>0</v>
      </c>
      <c r="Q115" s="859">
        <f t="shared" si="6"/>
        <v>42579000</v>
      </c>
      <c r="R115" s="859">
        <f>+'CY-FUR (REG)- Detail'!S214</f>
        <v>0</v>
      </c>
      <c r="S115" s="859">
        <f>+'CY-FUR (REG)- Detail'!T214</f>
        <v>0</v>
      </c>
      <c r="T115" s="859">
        <f>+'CY-FUR (REG)- Detail'!U214</f>
        <v>0</v>
      </c>
      <c r="U115" s="859">
        <f t="shared" si="408"/>
        <v>0</v>
      </c>
      <c r="V115" s="859">
        <f>+'CY-FUR (REG)- Detail'!W214</f>
        <v>0</v>
      </c>
      <c r="W115" s="859">
        <f>+'CY-FUR (REG)- Detail'!X214</f>
        <v>2420000</v>
      </c>
      <c r="X115" s="859">
        <f>+'CY-FUR (REG)- Detail'!Y214</f>
        <v>0</v>
      </c>
      <c r="Y115" s="859">
        <f t="shared" si="7"/>
        <v>2420000</v>
      </c>
      <c r="Z115" s="859">
        <f t="shared" si="409"/>
        <v>17682000</v>
      </c>
      <c r="AA115" s="859">
        <f t="shared" si="410"/>
        <v>27317000</v>
      </c>
      <c r="AB115" s="859">
        <f t="shared" si="411"/>
        <v>0</v>
      </c>
      <c r="AC115" s="859">
        <f t="shared" si="11"/>
        <v>44999000</v>
      </c>
      <c r="AD115" s="859">
        <f>+'CY-FUR (REG)- Detail'!AE214</f>
        <v>16510142.9</v>
      </c>
      <c r="AE115" s="859">
        <f>+'CY-FUR (REG)- Detail'!AF214</f>
        <v>18791169.77</v>
      </c>
      <c r="AF115" s="859">
        <f>+'CY-FUR (REG)- Detail'!AG214</f>
        <v>0</v>
      </c>
      <c r="AG115" s="859">
        <f t="shared" si="412"/>
        <v>35301312.670000002</v>
      </c>
      <c r="AH115" s="859">
        <f>+'CY-FUR (REG)- Detail'!AI214</f>
        <v>0</v>
      </c>
      <c r="AI115" s="859">
        <f>+'CY-FUR (REG)- Detail'!AJ214</f>
        <v>1861025.99</v>
      </c>
      <c r="AJ115" s="859">
        <f>+'CY-FUR (REG)- Detail'!AK214</f>
        <v>0</v>
      </c>
      <c r="AK115" s="859">
        <f t="shared" si="413"/>
        <v>1861025.99</v>
      </c>
      <c r="AL115" s="859">
        <f t="shared" si="414"/>
        <v>16510142.9</v>
      </c>
      <c r="AM115" s="859">
        <f t="shared" si="415"/>
        <v>20652195.759999998</v>
      </c>
      <c r="AN115" s="859">
        <f t="shared" si="416"/>
        <v>0</v>
      </c>
      <c r="AO115" s="859">
        <f t="shared" si="15"/>
        <v>37162338.659999996</v>
      </c>
      <c r="AP115" s="859">
        <f t="shared" si="258"/>
        <v>1171857.0999999996</v>
      </c>
      <c r="AQ115" s="859">
        <f t="shared" si="259"/>
        <v>6664804.2400000021</v>
      </c>
      <c r="AR115" s="859">
        <f t="shared" si="260"/>
        <v>0</v>
      </c>
      <c r="AS115" s="859">
        <f t="shared" si="19"/>
        <v>7836661.3400000017</v>
      </c>
      <c r="AT115" s="1143">
        <f t="shared" si="261"/>
        <v>0.9337259868793123</v>
      </c>
      <c r="AU115" s="1143">
        <f t="shared" si="262"/>
        <v>0.75601990555331833</v>
      </c>
      <c r="AV115" s="1143" t="str">
        <f t="shared" si="263"/>
        <v xml:space="preserve"> </v>
      </c>
      <c r="AW115" s="1143">
        <f t="shared" si="264"/>
        <v>0.82584810018000387</v>
      </c>
      <c r="AX115" s="22">
        <f t="shared" si="265"/>
        <v>0</v>
      </c>
      <c r="AY115" s="22">
        <f t="shared" si="266"/>
        <v>0</v>
      </c>
      <c r="AZ115" s="22">
        <f t="shared" si="267"/>
        <v>0</v>
      </c>
      <c r="BA115" s="22">
        <f t="shared" si="268"/>
        <v>0</v>
      </c>
      <c r="BF115" s="824">
        <f t="shared" si="269"/>
        <v>6105830.2300000004</v>
      </c>
    </row>
    <row r="116" spans="1:58" s="16" customFormat="1">
      <c r="A116" s="905" t="s">
        <v>1038</v>
      </c>
      <c r="B116" s="859">
        <f>+'CY-FUR (REG)- Detail'!C215</f>
        <v>0</v>
      </c>
      <c r="C116" s="859">
        <f>+'CY-FUR (REG)- Detail'!D215</f>
        <v>691000</v>
      </c>
      <c r="D116" s="859">
        <f>+'CY-FUR (REG)- Detail'!E215</f>
        <v>0</v>
      </c>
      <c r="E116" s="859">
        <f t="shared" si="0"/>
        <v>691000</v>
      </c>
      <c r="F116" s="859">
        <f>+'CY-FUR (REG)- Detail'!G215</f>
        <v>0</v>
      </c>
      <c r="G116" s="859">
        <f>+'CY-FUR (REG)- Detail'!H215</f>
        <v>0</v>
      </c>
      <c r="H116" s="859">
        <f>+'CY-FUR (REG)- Detail'!I215</f>
        <v>0</v>
      </c>
      <c r="I116" s="859">
        <f t="shared" si="403"/>
        <v>0</v>
      </c>
      <c r="J116" s="859">
        <f t="shared" si="404"/>
        <v>0</v>
      </c>
      <c r="K116" s="859">
        <f t="shared" si="405"/>
        <v>691000</v>
      </c>
      <c r="L116" s="859">
        <f t="shared" si="406"/>
        <v>0</v>
      </c>
      <c r="M116" s="859">
        <f t="shared" si="407"/>
        <v>691000</v>
      </c>
      <c r="N116" s="859">
        <f>+'CY-FUR (REG)- Detail'!O215</f>
        <v>0</v>
      </c>
      <c r="O116" s="859">
        <f>+'CY-FUR (REG)- Detail'!P215</f>
        <v>691000</v>
      </c>
      <c r="P116" s="859">
        <f>+'CY-FUR (REG)- Detail'!Q215</f>
        <v>0</v>
      </c>
      <c r="Q116" s="859">
        <f t="shared" si="6"/>
        <v>691000</v>
      </c>
      <c r="R116" s="859">
        <f>+'CY-FUR (REG)- Detail'!S215</f>
        <v>0</v>
      </c>
      <c r="S116" s="859">
        <f>+'CY-FUR (REG)- Detail'!T215</f>
        <v>0</v>
      </c>
      <c r="T116" s="859">
        <f>+'CY-FUR (REG)- Detail'!U215</f>
        <v>0</v>
      </c>
      <c r="U116" s="859">
        <f t="shared" si="408"/>
        <v>0</v>
      </c>
      <c r="V116" s="859">
        <f>+'CY-FUR (REG)- Detail'!W215</f>
        <v>0</v>
      </c>
      <c r="W116" s="859">
        <f>+'CY-FUR (REG)- Detail'!X215</f>
        <v>0</v>
      </c>
      <c r="X116" s="859">
        <f>+'CY-FUR (REG)- Detail'!Y215</f>
        <v>0</v>
      </c>
      <c r="Y116" s="859">
        <f t="shared" si="7"/>
        <v>0</v>
      </c>
      <c r="Z116" s="859">
        <f t="shared" si="409"/>
        <v>0</v>
      </c>
      <c r="AA116" s="859">
        <f t="shared" si="410"/>
        <v>691000</v>
      </c>
      <c r="AB116" s="859">
        <f t="shared" si="411"/>
        <v>0</v>
      </c>
      <c r="AC116" s="859">
        <f t="shared" si="11"/>
        <v>691000</v>
      </c>
      <c r="AD116" s="859">
        <f>+'CY-FUR (REG)- Detail'!AE215</f>
        <v>0</v>
      </c>
      <c r="AE116" s="859">
        <f>+'CY-FUR (REG)- Detail'!AF215</f>
        <v>0</v>
      </c>
      <c r="AF116" s="859">
        <f>+'CY-FUR (REG)- Detail'!AG215</f>
        <v>0</v>
      </c>
      <c r="AG116" s="859">
        <f t="shared" si="412"/>
        <v>0</v>
      </c>
      <c r="AH116" s="859">
        <f>+'CY-FUR (REG)- Detail'!AI215</f>
        <v>0</v>
      </c>
      <c r="AI116" s="859">
        <f>+'CY-FUR (REG)- Detail'!AJ215</f>
        <v>0</v>
      </c>
      <c r="AJ116" s="859">
        <f>+'CY-FUR (REG)- Detail'!AK215</f>
        <v>0</v>
      </c>
      <c r="AK116" s="859">
        <f t="shared" si="413"/>
        <v>0</v>
      </c>
      <c r="AL116" s="859">
        <f t="shared" si="414"/>
        <v>0</v>
      </c>
      <c r="AM116" s="859">
        <f t="shared" si="415"/>
        <v>0</v>
      </c>
      <c r="AN116" s="859">
        <f t="shared" si="416"/>
        <v>0</v>
      </c>
      <c r="AO116" s="859">
        <f t="shared" si="15"/>
        <v>0</v>
      </c>
      <c r="AP116" s="859">
        <f t="shared" si="258"/>
        <v>0</v>
      </c>
      <c r="AQ116" s="859">
        <f t="shared" si="259"/>
        <v>691000</v>
      </c>
      <c r="AR116" s="859">
        <f t="shared" si="260"/>
        <v>0</v>
      </c>
      <c r="AS116" s="859">
        <f t="shared" si="19"/>
        <v>691000</v>
      </c>
      <c r="AT116" s="1143" t="str">
        <f t="shared" si="261"/>
        <v xml:space="preserve"> </v>
      </c>
      <c r="AU116" s="1143">
        <f t="shared" si="262"/>
        <v>0</v>
      </c>
      <c r="AV116" s="1143" t="str">
        <f t="shared" si="263"/>
        <v xml:space="preserve"> </v>
      </c>
      <c r="AW116" s="1143">
        <f t="shared" si="264"/>
        <v>0</v>
      </c>
      <c r="AX116" s="22">
        <f t="shared" si="265"/>
        <v>0</v>
      </c>
      <c r="AY116" s="22">
        <f t="shared" si="266"/>
        <v>0</v>
      </c>
      <c r="AZ116" s="22">
        <f t="shared" si="267"/>
        <v>0</v>
      </c>
      <c r="BA116" s="22">
        <f t="shared" si="268"/>
        <v>0</v>
      </c>
      <c r="BF116" s="824">
        <f t="shared" si="269"/>
        <v>691000</v>
      </c>
    </row>
    <row r="117" spans="1:58" s="16" customFormat="1">
      <c r="A117" s="592"/>
      <c r="B117" s="859"/>
      <c r="C117" s="859"/>
      <c r="D117" s="859"/>
      <c r="E117" s="860">
        <f t="shared" si="0"/>
        <v>0</v>
      </c>
      <c r="F117" s="859"/>
      <c r="G117" s="859"/>
      <c r="H117" s="859"/>
      <c r="I117" s="860"/>
      <c r="J117" s="859"/>
      <c r="K117" s="859"/>
      <c r="L117" s="859"/>
      <c r="M117" s="860"/>
      <c r="N117" s="859"/>
      <c r="O117" s="859"/>
      <c r="P117" s="859"/>
      <c r="Q117" s="860">
        <f t="shared" si="6"/>
        <v>0</v>
      </c>
      <c r="R117" s="859"/>
      <c r="S117" s="859"/>
      <c r="T117" s="859"/>
      <c r="U117" s="860"/>
      <c r="V117" s="859"/>
      <c r="W117" s="859"/>
      <c r="X117" s="859"/>
      <c r="Y117" s="860">
        <f t="shared" si="7"/>
        <v>0</v>
      </c>
      <c r="Z117" s="860"/>
      <c r="AA117" s="860"/>
      <c r="AB117" s="860"/>
      <c r="AC117" s="860">
        <f t="shared" si="11"/>
        <v>0</v>
      </c>
      <c r="AD117" s="859"/>
      <c r="AE117" s="859"/>
      <c r="AF117" s="859"/>
      <c r="AG117" s="860"/>
      <c r="AH117" s="859"/>
      <c r="AI117" s="859"/>
      <c r="AJ117" s="859"/>
      <c r="AK117" s="860"/>
      <c r="AL117" s="860"/>
      <c r="AM117" s="860"/>
      <c r="AN117" s="860"/>
      <c r="AO117" s="860">
        <f t="shared" si="15"/>
        <v>0</v>
      </c>
      <c r="AP117" s="860">
        <f t="shared" si="258"/>
        <v>0</v>
      </c>
      <c r="AQ117" s="860">
        <f t="shared" si="259"/>
        <v>0</v>
      </c>
      <c r="AR117" s="860">
        <f t="shared" si="260"/>
        <v>0</v>
      </c>
      <c r="AS117" s="860">
        <f t="shared" si="19"/>
        <v>0</v>
      </c>
      <c r="AT117" s="1143" t="str">
        <f t="shared" si="261"/>
        <v xml:space="preserve"> </v>
      </c>
      <c r="AU117" s="1143" t="str">
        <f t="shared" si="262"/>
        <v xml:space="preserve"> </v>
      </c>
      <c r="AV117" s="1143" t="str">
        <f t="shared" si="263"/>
        <v xml:space="preserve"> </v>
      </c>
      <c r="AW117" s="1143" t="str">
        <f t="shared" si="264"/>
        <v xml:space="preserve"> </v>
      </c>
      <c r="AX117" s="22">
        <f t="shared" si="265"/>
        <v>0</v>
      </c>
      <c r="AY117" s="22">
        <f t="shared" si="266"/>
        <v>0</v>
      </c>
      <c r="AZ117" s="22">
        <f t="shared" si="267"/>
        <v>0</v>
      </c>
      <c r="BA117" s="22">
        <f t="shared" si="268"/>
        <v>0</v>
      </c>
      <c r="BF117" s="824">
        <f t="shared" si="269"/>
        <v>0</v>
      </c>
    </row>
    <row r="118" spans="1:58" s="609" customFormat="1" ht="16.5">
      <c r="A118" s="1153" t="s">
        <v>1039</v>
      </c>
      <c r="B118" s="1151">
        <f t="shared" ref="B118:AN118" si="417">SUM(B119:B122)</f>
        <v>370281000</v>
      </c>
      <c r="C118" s="1151">
        <f t="shared" si="417"/>
        <v>304245000</v>
      </c>
      <c r="D118" s="1151">
        <f t="shared" si="417"/>
        <v>0</v>
      </c>
      <c r="E118" s="1151">
        <f t="shared" si="0"/>
        <v>674526000</v>
      </c>
      <c r="F118" s="1151">
        <f t="shared" si="417"/>
        <v>0</v>
      </c>
      <c r="G118" s="1151">
        <f t="shared" si="417"/>
        <v>0</v>
      </c>
      <c r="H118" s="1151">
        <f t="shared" si="417"/>
        <v>0</v>
      </c>
      <c r="I118" s="1151">
        <f t="shared" si="417"/>
        <v>0</v>
      </c>
      <c r="J118" s="1151">
        <f t="shared" si="417"/>
        <v>370281000</v>
      </c>
      <c r="K118" s="1151">
        <f t="shared" si="417"/>
        <v>304245000</v>
      </c>
      <c r="L118" s="1151">
        <f t="shared" si="417"/>
        <v>0</v>
      </c>
      <c r="M118" s="1151">
        <f t="shared" si="417"/>
        <v>674526000</v>
      </c>
      <c r="N118" s="1151">
        <f t="shared" si="417"/>
        <v>370281000</v>
      </c>
      <c r="O118" s="1151">
        <f t="shared" si="417"/>
        <v>304245000</v>
      </c>
      <c r="P118" s="1151">
        <f t="shared" si="417"/>
        <v>0</v>
      </c>
      <c r="Q118" s="1151">
        <f t="shared" si="6"/>
        <v>674526000</v>
      </c>
      <c r="R118" s="1151">
        <f t="shared" si="417"/>
        <v>0</v>
      </c>
      <c r="S118" s="1151">
        <f t="shared" si="417"/>
        <v>0</v>
      </c>
      <c r="T118" s="1151">
        <f t="shared" si="417"/>
        <v>0</v>
      </c>
      <c r="U118" s="1151">
        <f t="shared" si="417"/>
        <v>0</v>
      </c>
      <c r="V118" s="1151">
        <f t="shared" si="417"/>
        <v>0</v>
      </c>
      <c r="W118" s="1151">
        <f t="shared" si="417"/>
        <v>214241681.66</v>
      </c>
      <c r="X118" s="1151">
        <f t="shared" si="417"/>
        <v>367765968</v>
      </c>
      <c r="Y118" s="1151">
        <f t="shared" si="7"/>
        <v>582007649.65999997</v>
      </c>
      <c r="Z118" s="1151">
        <f t="shared" si="417"/>
        <v>370281000</v>
      </c>
      <c r="AA118" s="1151">
        <f t="shared" si="417"/>
        <v>518486681.65999997</v>
      </c>
      <c r="AB118" s="1151">
        <f t="shared" si="417"/>
        <v>367765968</v>
      </c>
      <c r="AC118" s="1151">
        <f t="shared" si="11"/>
        <v>1256533649.6599998</v>
      </c>
      <c r="AD118" s="1151">
        <f t="shared" si="417"/>
        <v>342464431.40000004</v>
      </c>
      <c r="AE118" s="1151">
        <f t="shared" si="417"/>
        <v>236822968.73999998</v>
      </c>
      <c r="AF118" s="1151">
        <f t="shared" si="417"/>
        <v>0</v>
      </c>
      <c r="AG118" s="1151">
        <f t="shared" si="417"/>
        <v>579287400.1400001</v>
      </c>
      <c r="AH118" s="1151">
        <f t="shared" si="417"/>
        <v>0</v>
      </c>
      <c r="AI118" s="1151">
        <f t="shared" si="417"/>
        <v>150138349.23999998</v>
      </c>
      <c r="AJ118" s="1151">
        <f t="shared" si="417"/>
        <v>217026257.72999999</v>
      </c>
      <c r="AK118" s="1151">
        <f t="shared" si="417"/>
        <v>367164606.96999997</v>
      </c>
      <c r="AL118" s="1151">
        <f t="shared" si="417"/>
        <v>342464431.40000004</v>
      </c>
      <c r="AM118" s="1151">
        <f t="shared" si="417"/>
        <v>386961317.97999996</v>
      </c>
      <c r="AN118" s="1151">
        <f t="shared" si="417"/>
        <v>217026257.72999999</v>
      </c>
      <c r="AO118" s="1151">
        <f t="shared" si="15"/>
        <v>946452007.11000001</v>
      </c>
      <c r="AP118" s="1151">
        <f t="shared" si="258"/>
        <v>27816568.599999964</v>
      </c>
      <c r="AQ118" s="1151">
        <f t="shared" si="259"/>
        <v>131525363.68000001</v>
      </c>
      <c r="AR118" s="1151">
        <f t="shared" si="260"/>
        <v>150739710.27000001</v>
      </c>
      <c r="AS118" s="1151">
        <f t="shared" si="19"/>
        <v>310081642.54999995</v>
      </c>
      <c r="AT118" s="1165">
        <f t="shared" si="261"/>
        <v>0.92487713763331103</v>
      </c>
      <c r="AU118" s="1165">
        <f t="shared" si="262"/>
        <v>0.74632836612330122</v>
      </c>
      <c r="AV118" s="1165">
        <f t="shared" si="263"/>
        <v>0.59012055658722606</v>
      </c>
      <c r="AW118" s="1165">
        <f t="shared" si="264"/>
        <v>0.75322456136856863</v>
      </c>
      <c r="AX118" s="1152">
        <f t="shared" si="265"/>
        <v>0</v>
      </c>
      <c r="AY118" s="1152">
        <f t="shared" si="266"/>
        <v>0</v>
      </c>
      <c r="AZ118" s="1152">
        <f t="shared" si="267"/>
        <v>0</v>
      </c>
      <c r="BA118" s="1152">
        <f t="shared" si="268"/>
        <v>0</v>
      </c>
      <c r="BB118" s="1132">
        <f>+AS118-'CY (ALL FUNDS)'!Q1224</f>
        <v>0</v>
      </c>
      <c r="BF118" s="824">
        <f t="shared" si="269"/>
        <v>67422031.26000002</v>
      </c>
    </row>
    <row r="119" spans="1:58" s="903" customFormat="1">
      <c r="A119" s="905" t="s">
        <v>1040</v>
      </c>
      <c r="B119" s="859">
        <f>SUM('CY-FUR (REG)- Detail'!C218:C220)</f>
        <v>91437000</v>
      </c>
      <c r="C119" s="859">
        <f>SUM('CY-FUR (REG)- Detail'!D218:D220)</f>
        <v>168249000</v>
      </c>
      <c r="D119" s="859">
        <f>SUM('CY-FUR (REG)- Detail'!E218:E220)</f>
        <v>0</v>
      </c>
      <c r="E119" s="859">
        <f t="shared" ref="E119:E137" si="418">SUM(B119:D119)</f>
        <v>259686000</v>
      </c>
      <c r="F119" s="859">
        <f>SUM('CY-FUR (REG)- Detail'!G218:G220)</f>
        <v>0</v>
      </c>
      <c r="G119" s="859">
        <f>SUM('CY-FUR (REG)- Detail'!H218:H220)</f>
        <v>0</v>
      </c>
      <c r="H119" s="859">
        <f>SUM('CY-FUR (REG)- Detail'!I218:I220)</f>
        <v>0</v>
      </c>
      <c r="I119" s="859">
        <f>SUM('CY-FUR (REG)- Detail'!J218:J220)</f>
        <v>0</v>
      </c>
      <c r="J119" s="859">
        <f>SUM('CY-FUR (REG)- Detail'!K218:K220)</f>
        <v>91437000</v>
      </c>
      <c r="K119" s="859">
        <f>SUM('CY-FUR (REG)- Detail'!L218:L220)</f>
        <v>168249000</v>
      </c>
      <c r="L119" s="859">
        <f>SUM('CY-FUR (REG)- Detail'!M218:M220)</f>
        <v>0</v>
      </c>
      <c r="M119" s="859">
        <f>SUM('CY-FUR (REG)- Detail'!N218:N220)</f>
        <v>259686000</v>
      </c>
      <c r="N119" s="859">
        <f>SUM('CY-FUR (REG)- Detail'!O218:O220)</f>
        <v>91437000</v>
      </c>
      <c r="O119" s="859">
        <f>SUM('CY-FUR (REG)- Detail'!P218:P220)</f>
        <v>168249000</v>
      </c>
      <c r="P119" s="859">
        <f>SUM('CY-FUR (REG)- Detail'!Q218:Q220)</f>
        <v>0</v>
      </c>
      <c r="Q119" s="859">
        <f t="shared" ref="Q119:Q137" si="419">SUM(N119:P119)</f>
        <v>259686000</v>
      </c>
      <c r="R119" s="859">
        <f>SUM('CY-FUR (REG)- Detail'!S218:S220)</f>
        <v>0</v>
      </c>
      <c r="S119" s="859">
        <f>SUM('CY-FUR (REG)- Detail'!T218:T220)</f>
        <v>0</v>
      </c>
      <c r="T119" s="859">
        <f>SUM('CY-FUR (REG)- Detail'!U218:U220)</f>
        <v>0</v>
      </c>
      <c r="U119" s="859">
        <f>SUM('CY-FUR (REG)- Detail'!V218:V220)</f>
        <v>0</v>
      </c>
      <c r="V119" s="859">
        <f>SUM('CY-FUR (REG)- Detail'!W218:W220)</f>
        <v>0</v>
      </c>
      <c r="W119" s="859">
        <f>SUM('CY-FUR (REG)- Detail'!X218:X220)</f>
        <v>167546681.66</v>
      </c>
      <c r="X119" s="859">
        <f>SUM('CY-FUR (REG)- Detail'!Y218:Y220)</f>
        <v>56285968</v>
      </c>
      <c r="Y119" s="859">
        <f t="shared" ref="Y119:Y137" si="420">SUM(V119:X119)</f>
        <v>223832649.66</v>
      </c>
      <c r="Z119" s="859">
        <f>SUM('CY-FUR (REG)- Detail'!AA218:AA220)</f>
        <v>91437000</v>
      </c>
      <c r="AA119" s="859">
        <f>SUM('CY-FUR (REG)- Detail'!AB218:AB220)</f>
        <v>335795681.65999997</v>
      </c>
      <c r="AB119" s="859">
        <f>SUM('CY-FUR (REG)- Detail'!AC218:AC220)</f>
        <v>56285968</v>
      </c>
      <c r="AC119" s="859">
        <f t="shared" ref="AC119:AC137" si="421">SUM(Z119:AB119)</f>
        <v>483518649.65999997</v>
      </c>
      <c r="AD119" s="859">
        <f>SUM('CY-FUR (REG)- Detail'!AE218:AE220)</f>
        <v>83004298.370000005</v>
      </c>
      <c r="AE119" s="859">
        <f>SUM('CY-FUR (REG)- Detail'!AF218:AF220)</f>
        <v>117979187.27</v>
      </c>
      <c r="AF119" s="859">
        <f>SUM('CY-FUR (REG)- Detail'!AG218:AG220)</f>
        <v>0</v>
      </c>
      <c r="AG119" s="859">
        <f>SUM('CY-FUR (REG)- Detail'!AH218:AH220)</f>
        <v>200983485.64000002</v>
      </c>
      <c r="AH119" s="859">
        <f>SUM('CY-FUR (REG)- Detail'!AI218:AI220)</f>
        <v>0</v>
      </c>
      <c r="AI119" s="859">
        <f>SUM('CY-FUR (REG)- Detail'!AJ218:AJ220)</f>
        <v>110065596.33999999</v>
      </c>
      <c r="AJ119" s="859">
        <f>SUM('CY-FUR (REG)- Detail'!AK218:AK220)</f>
        <v>52012389.670000002</v>
      </c>
      <c r="AK119" s="859">
        <f>SUM('CY-FUR (REG)- Detail'!AL218:AL220)</f>
        <v>162077986.00999999</v>
      </c>
      <c r="AL119" s="859">
        <f>SUM('CY-FUR (REG)- Detail'!AM218:AM220)</f>
        <v>83004298.370000005</v>
      </c>
      <c r="AM119" s="859">
        <f>SUM('CY-FUR (REG)- Detail'!AN218:AN220)</f>
        <v>228044783.61000001</v>
      </c>
      <c r="AN119" s="859">
        <f>SUM('CY-FUR (REG)- Detail'!AO218:AO220)</f>
        <v>52012389.670000002</v>
      </c>
      <c r="AO119" s="859">
        <f t="shared" ref="AO119:AO137" si="422">SUM(AL119:AN119)</f>
        <v>363061471.65000004</v>
      </c>
      <c r="AP119" s="859">
        <f t="shared" si="258"/>
        <v>8432701.6299999952</v>
      </c>
      <c r="AQ119" s="859">
        <f t="shared" si="259"/>
        <v>107750898.04999995</v>
      </c>
      <c r="AR119" s="859">
        <f t="shared" si="260"/>
        <v>4273578.3299999982</v>
      </c>
      <c r="AS119" s="859">
        <f t="shared" ref="AS119:AS137" si="423">SUM(AP119:AR119)</f>
        <v>120457178.00999995</v>
      </c>
      <c r="AT119" s="1166">
        <f t="shared" si="261"/>
        <v>0.90777582783774624</v>
      </c>
      <c r="AU119" s="1166">
        <f t="shared" si="262"/>
        <v>0.67911767799593104</v>
      </c>
      <c r="AV119" s="1166">
        <f t="shared" si="263"/>
        <v>0.92407382369261204</v>
      </c>
      <c r="AW119" s="1166">
        <f t="shared" si="264"/>
        <v>0.75087377065041261</v>
      </c>
      <c r="AX119" s="22">
        <f t="shared" si="265"/>
        <v>0</v>
      </c>
      <c r="AY119" s="22">
        <f t="shared" si="266"/>
        <v>0</v>
      </c>
      <c r="AZ119" s="22">
        <f t="shared" si="267"/>
        <v>0</v>
      </c>
      <c r="BA119" s="22">
        <f t="shared" si="268"/>
        <v>0</v>
      </c>
      <c r="BF119" s="824">
        <f t="shared" si="269"/>
        <v>50269812.730000004</v>
      </c>
    </row>
    <row r="120" spans="1:58" s="903" customFormat="1">
      <c r="A120" s="905" t="s">
        <v>1041</v>
      </c>
      <c r="B120" s="859">
        <f>+'CY-FUR (REG)- Detail'!C222</f>
        <v>154484000</v>
      </c>
      <c r="C120" s="859">
        <f>+'CY-FUR (REG)- Detail'!D222</f>
        <v>85131000</v>
      </c>
      <c r="D120" s="859">
        <f>+'CY-FUR (REG)- Detail'!E222</f>
        <v>0</v>
      </c>
      <c r="E120" s="859">
        <f t="shared" si="418"/>
        <v>239615000</v>
      </c>
      <c r="F120" s="859">
        <f>+'CY-FUR (REG)- Detail'!G222</f>
        <v>0</v>
      </c>
      <c r="G120" s="859">
        <f>+'CY-FUR (REG)- Detail'!H222</f>
        <v>0</v>
      </c>
      <c r="H120" s="859">
        <f>+'CY-FUR (REG)- Detail'!I222</f>
        <v>0</v>
      </c>
      <c r="I120" s="859">
        <f t="shared" ref="I120" si="424">SUM(F120:H120)</f>
        <v>0</v>
      </c>
      <c r="J120" s="859">
        <f t="shared" ref="J120" si="425">+B120+F120</f>
        <v>154484000</v>
      </c>
      <c r="K120" s="859">
        <f t="shared" ref="K120" si="426">+C120+G120</f>
        <v>85131000</v>
      </c>
      <c r="L120" s="859">
        <f t="shared" ref="L120" si="427">+D120+H120</f>
        <v>0</v>
      </c>
      <c r="M120" s="859">
        <f t="shared" ref="M120" si="428">SUM(J120:L120)</f>
        <v>239615000</v>
      </c>
      <c r="N120" s="859">
        <f>+'CY-FUR (REG)- Detail'!O222</f>
        <v>154484000</v>
      </c>
      <c r="O120" s="859">
        <f>+'CY-FUR (REG)- Detail'!P222</f>
        <v>85131000</v>
      </c>
      <c r="P120" s="859">
        <f>+'CY-FUR (REG)- Detail'!Q222</f>
        <v>0</v>
      </c>
      <c r="Q120" s="859">
        <f t="shared" si="419"/>
        <v>239615000</v>
      </c>
      <c r="R120" s="859">
        <f>+'CY-FUR (REG)- Detail'!S222</f>
        <v>0</v>
      </c>
      <c r="S120" s="859">
        <f>+'CY-FUR (REG)- Detail'!T222</f>
        <v>0</v>
      </c>
      <c r="T120" s="859">
        <f>+'CY-FUR (REG)- Detail'!U222</f>
        <v>0</v>
      </c>
      <c r="U120" s="859">
        <f t="shared" ref="U120" si="429">SUM(R120:T120)</f>
        <v>0</v>
      </c>
      <c r="V120" s="859">
        <f>+'CY-FUR (REG)- Detail'!W222</f>
        <v>0</v>
      </c>
      <c r="W120" s="859">
        <f>+'CY-FUR (REG)- Detail'!X222</f>
        <v>28031000</v>
      </c>
      <c r="X120" s="859">
        <f>+'CY-FUR (REG)- Detail'!Y222</f>
        <v>185000000</v>
      </c>
      <c r="Y120" s="859">
        <f t="shared" si="420"/>
        <v>213031000</v>
      </c>
      <c r="Z120" s="859">
        <f t="shared" ref="Z120" si="430">+N120+V120+R120</f>
        <v>154484000</v>
      </c>
      <c r="AA120" s="859">
        <f t="shared" ref="AA120" si="431">+O120+W120+S120</f>
        <v>113162000</v>
      </c>
      <c r="AB120" s="859">
        <f t="shared" ref="AB120" si="432">+P120+X120+T120</f>
        <v>185000000</v>
      </c>
      <c r="AC120" s="859">
        <f t="shared" si="421"/>
        <v>452646000</v>
      </c>
      <c r="AD120" s="859">
        <f>+'CY-FUR (REG)- Detail'!AE222</f>
        <v>145994854.17000005</v>
      </c>
      <c r="AE120" s="859">
        <f>+'CY-FUR (REG)- Detail'!AF222</f>
        <v>72613813.499999985</v>
      </c>
      <c r="AF120" s="859">
        <f>+'CY-FUR (REG)- Detail'!AG222</f>
        <v>0</v>
      </c>
      <c r="AG120" s="859">
        <f t="shared" ref="AG120" si="433">SUM(AD120:AF120)</f>
        <v>218608667.67000002</v>
      </c>
      <c r="AH120" s="859">
        <f>+'CY-FUR (REG)- Detail'!AI222</f>
        <v>0</v>
      </c>
      <c r="AI120" s="859">
        <f>+'CY-FUR (REG)- Detail'!AJ222</f>
        <v>24615393.029999994</v>
      </c>
      <c r="AJ120" s="859">
        <f>+'CY-FUR (REG)- Detail'!AK222</f>
        <v>43251746.239999995</v>
      </c>
      <c r="AK120" s="859">
        <f t="shared" ref="AK120" si="434">SUM(AH120:AJ120)</f>
        <v>67867139.269999981</v>
      </c>
      <c r="AL120" s="859">
        <f t="shared" ref="AL120" si="435">+AH120+AD120</f>
        <v>145994854.17000005</v>
      </c>
      <c r="AM120" s="859">
        <f t="shared" ref="AM120" si="436">+AI120+AE120</f>
        <v>97229206.529999971</v>
      </c>
      <c r="AN120" s="859">
        <f t="shared" ref="AN120" si="437">+AJ120+AF120</f>
        <v>43251746.239999995</v>
      </c>
      <c r="AO120" s="859">
        <f t="shared" si="422"/>
        <v>286475806.94</v>
      </c>
      <c r="AP120" s="859">
        <f t="shared" si="258"/>
        <v>8489145.8299999535</v>
      </c>
      <c r="AQ120" s="859">
        <f t="shared" si="259"/>
        <v>15932793.470000029</v>
      </c>
      <c r="AR120" s="859">
        <f t="shared" si="260"/>
        <v>141748253.75999999</v>
      </c>
      <c r="AS120" s="859">
        <f t="shared" si="423"/>
        <v>166170193.05999997</v>
      </c>
      <c r="AT120" s="1166">
        <f t="shared" si="261"/>
        <v>0.94504838151523818</v>
      </c>
      <c r="AU120" s="1166">
        <f t="shared" si="262"/>
        <v>0.85920367729449787</v>
      </c>
      <c r="AV120" s="1166">
        <f t="shared" si="263"/>
        <v>0.23379322291891888</v>
      </c>
      <c r="AW120" s="1166">
        <f t="shared" si="264"/>
        <v>0.63289150227771818</v>
      </c>
      <c r="AX120" s="22">
        <f t="shared" si="265"/>
        <v>0</v>
      </c>
      <c r="AY120" s="22">
        <f t="shared" si="266"/>
        <v>0</v>
      </c>
      <c r="AZ120" s="22">
        <f t="shared" si="267"/>
        <v>0</v>
      </c>
      <c r="BA120" s="22">
        <f t="shared" si="268"/>
        <v>0</v>
      </c>
      <c r="BF120" s="824">
        <f t="shared" si="269"/>
        <v>12517186.500000015</v>
      </c>
    </row>
    <row r="121" spans="1:58" s="903" customFormat="1">
      <c r="A121" s="905" t="s">
        <v>1042</v>
      </c>
      <c r="B121" s="859">
        <f>+'CY-FUR (REG)- Detail'!C223</f>
        <v>78777000</v>
      </c>
      <c r="C121" s="859">
        <f>+'CY-FUR (REG)- Detail'!D223</f>
        <v>26520000</v>
      </c>
      <c r="D121" s="859">
        <f>+'CY-FUR (REG)- Detail'!E223</f>
        <v>0</v>
      </c>
      <c r="E121" s="859">
        <f t="shared" si="418"/>
        <v>105297000</v>
      </c>
      <c r="F121" s="859">
        <f>+'CY-FUR (REG)- Detail'!G223</f>
        <v>0</v>
      </c>
      <c r="G121" s="859">
        <f>+'CY-FUR (REG)- Detail'!H223</f>
        <v>0</v>
      </c>
      <c r="H121" s="859">
        <f>+'CY-FUR (REG)- Detail'!I223</f>
        <v>0</v>
      </c>
      <c r="I121" s="859">
        <f t="shared" ref="I121:I122" si="438">SUM(F121:H121)</f>
        <v>0</v>
      </c>
      <c r="J121" s="859">
        <f t="shared" ref="J121:J122" si="439">+B121+F121</f>
        <v>78777000</v>
      </c>
      <c r="K121" s="859">
        <f t="shared" ref="K121:K122" si="440">+C121+G121</f>
        <v>26520000</v>
      </c>
      <c r="L121" s="859">
        <f t="shared" ref="L121:L122" si="441">+D121+H121</f>
        <v>0</v>
      </c>
      <c r="M121" s="859">
        <f t="shared" ref="M121:M122" si="442">SUM(J121:L121)</f>
        <v>105297000</v>
      </c>
      <c r="N121" s="859">
        <f>+'CY-FUR (REG)- Detail'!O223</f>
        <v>78777000</v>
      </c>
      <c r="O121" s="859">
        <f>+'CY-FUR (REG)- Detail'!P223</f>
        <v>26520000</v>
      </c>
      <c r="P121" s="859">
        <f>+'CY-FUR (REG)- Detail'!Q223</f>
        <v>0</v>
      </c>
      <c r="Q121" s="859">
        <f t="shared" si="419"/>
        <v>105297000</v>
      </c>
      <c r="R121" s="859">
        <f>+'CY-FUR (REG)- Detail'!S223</f>
        <v>0</v>
      </c>
      <c r="S121" s="859">
        <f>+'CY-FUR (REG)- Detail'!T223</f>
        <v>0</v>
      </c>
      <c r="T121" s="859">
        <f>+'CY-FUR (REG)- Detail'!U223</f>
        <v>0</v>
      </c>
      <c r="U121" s="859">
        <f t="shared" ref="U121:U122" si="443">SUM(R121:T121)</f>
        <v>0</v>
      </c>
      <c r="V121" s="859">
        <f>+'CY-FUR (REG)- Detail'!W223</f>
        <v>0</v>
      </c>
      <c r="W121" s="859">
        <f>+'CY-FUR (REG)- Detail'!X223</f>
        <v>12212000</v>
      </c>
      <c r="X121" s="859">
        <f>+'CY-FUR (REG)- Detail'!Y223</f>
        <v>100000000</v>
      </c>
      <c r="Y121" s="859">
        <f t="shared" si="420"/>
        <v>112212000</v>
      </c>
      <c r="Z121" s="859">
        <f t="shared" ref="Z121:Z122" si="444">+N121+V121+R121</f>
        <v>78777000</v>
      </c>
      <c r="AA121" s="859">
        <f t="shared" ref="AA121:AA122" si="445">+O121+W121+S121</f>
        <v>38732000</v>
      </c>
      <c r="AB121" s="859">
        <f t="shared" ref="AB121:AB122" si="446">+P121+X121+T121</f>
        <v>100000000</v>
      </c>
      <c r="AC121" s="859">
        <f t="shared" si="421"/>
        <v>217509000</v>
      </c>
      <c r="AD121" s="859">
        <f>+'CY-FUR (REG)- Detail'!AE223</f>
        <v>71400655.399999991</v>
      </c>
      <c r="AE121" s="859">
        <f>+'CY-FUR (REG)- Detail'!AF223</f>
        <v>24484625.690000005</v>
      </c>
      <c r="AF121" s="859">
        <f>+'CY-FUR (REG)- Detail'!AG223</f>
        <v>0</v>
      </c>
      <c r="AG121" s="859">
        <f t="shared" ref="AG121:AG122" si="447">SUM(AD121:AF121)</f>
        <v>95885281.090000004</v>
      </c>
      <c r="AH121" s="859">
        <f>+'CY-FUR (REG)- Detail'!AI223</f>
        <v>0</v>
      </c>
      <c r="AI121" s="859">
        <f>+'CY-FUR (REG)- Detail'!AJ223</f>
        <v>9431586.75</v>
      </c>
      <c r="AJ121" s="859">
        <f>+'CY-FUR (REG)- Detail'!AK223</f>
        <v>99791217.060000002</v>
      </c>
      <c r="AK121" s="859">
        <f t="shared" ref="AK121:AK122" si="448">SUM(AH121:AJ121)</f>
        <v>109222803.81</v>
      </c>
      <c r="AL121" s="859">
        <f t="shared" ref="AL121:AL122" si="449">+AH121+AD121</f>
        <v>71400655.399999991</v>
      </c>
      <c r="AM121" s="859">
        <f t="shared" ref="AM121:AM122" si="450">+AI121+AE121</f>
        <v>33916212.440000005</v>
      </c>
      <c r="AN121" s="859">
        <f t="shared" ref="AN121:AN122" si="451">+AJ121+AF121</f>
        <v>99791217.060000002</v>
      </c>
      <c r="AO121" s="859">
        <f t="shared" si="422"/>
        <v>205108084.90000001</v>
      </c>
      <c r="AP121" s="859">
        <f t="shared" si="258"/>
        <v>7376344.6000000089</v>
      </c>
      <c r="AQ121" s="859">
        <f t="shared" si="259"/>
        <v>4815787.5599999949</v>
      </c>
      <c r="AR121" s="859">
        <f t="shared" si="260"/>
        <v>208782.93999999762</v>
      </c>
      <c r="AS121" s="859">
        <f t="shared" si="423"/>
        <v>12400915.100000001</v>
      </c>
      <c r="AT121" s="1166">
        <f t="shared" si="261"/>
        <v>0.90636423575409053</v>
      </c>
      <c r="AU121" s="1166">
        <f t="shared" si="262"/>
        <v>0.87566385521016232</v>
      </c>
      <c r="AV121" s="1166">
        <f t="shared" si="263"/>
        <v>0.99791217060000004</v>
      </c>
      <c r="AW121" s="1166">
        <f t="shared" si="264"/>
        <v>0.94298665756359512</v>
      </c>
      <c r="AX121" s="22">
        <f t="shared" si="265"/>
        <v>0</v>
      </c>
      <c r="AY121" s="22">
        <f t="shared" si="266"/>
        <v>0</v>
      </c>
      <c r="AZ121" s="22">
        <f t="shared" si="267"/>
        <v>0</v>
      </c>
      <c r="BA121" s="22">
        <f t="shared" si="268"/>
        <v>0</v>
      </c>
      <c r="BF121" s="824">
        <f t="shared" si="269"/>
        <v>2035374.3099999949</v>
      </c>
    </row>
    <row r="122" spans="1:58" s="903" customFormat="1">
      <c r="A122" s="905" t="s">
        <v>1043</v>
      </c>
      <c r="B122" s="859">
        <f>+'CY-FUR (REG)- Detail'!C224</f>
        <v>45583000</v>
      </c>
      <c r="C122" s="859">
        <f>+'CY-FUR (REG)- Detail'!D224</f>
        <v>24345000</v>
      </c>
      <c r="D122" s="859">
        <f>+'CY-FUR (REG)- Detail'!E224</f>
        <v>0</v>
      </c>
      <c r="E122" s="859">
        <f t="shared" si="418"/>
        <v>69928000</v>
      </c>
      <c r="F122" s="859">
        <f>+'CY-FUR (REG)- Detail'!G224</f>
        <v>0</v>
      </c>
      <c r="G122" s="859">
        <f>+'CY-FUR (REG)- Detail'!H224</f>
        <v>0</v>
      </c>
      <c r="H122" s="859">
        <f>+'CY-FUR (REG)- Detail'!I224</f>
        <v>0</v>
      </c>
      <c r="I122" s="859">
        <f t="shared" si="438"/>
        <v>0</v>
      </c>
      <c r="J122" s="859">
        <f t="shared" si="439"/>
        <v>45583000</v>
      </c>
      <c r="K122" s="859">
        <f t="shared" si="440"/>
        <v>24345000</v>
      </c>
      <c r="L122" s="859">
        <f t="shared" si="441"/>
        <v>0</v>
      </c>
      <c r="M122" s="859">
        <f t="shared" si="442"/>
        <v>69928000</v>
      </c>
      <c r="N122" s="859">
        <f>+'CY-FUR (REG)- Detail'!O224</f>
        <v>45583000</v>
      </c>
      <c r="O122" s="859">
        <f>+'CY-FUR (REG)- Detail'!P224</f>
        <v>24345000</v>
      </c>
      <c r="P122" s="859">
        <f>+'CY-FUR (REG)- Detail'!Q224</f>
        <v>0</v>
      </c>
      <c r="Q122" s="859">
        <f t="shared" si="419"/>
        <v>69928000</v>
      </c>
      <c r="R122" s="859">
        <f>+'CY-FUR (REG)- Detail'!S224</f>
        <v>0</v>
      </c>
      <c r="S122" s="859">
        <f>+'CY-FUR (REG)- Detail'!T224</f>
        <v>0</v>
      </c>
      <c r="T122" s="859">
        <f>+'CY-FUR (REG)- Detail'!U224</f>
        <v>0</v>
      </c>
      <c r="U122" s="859">
        <f t="shared" si="443"/>
        <v>0</v>
      </c>
      <c r="V122" s="859">
        <f>+'CY-FUR (REG)- Detail'!W224</f>
        <v>0</v>
      </c>
      <c r="W122" s="859">
        <f>+'CY-FUR (REG)- Detail'!X224</f>
        <v>6452000</v>
      </c>
      <c r="X122" s="859">
        <f>+'CY-FUR (REG)- Detail'!Y224</f>
        <v>26480000</v>
      </c>
      <c r="Y122" s="859">
        <f t="shared" si="420"/>
        <v>32932000</v>
      </c>
      <c r="Z122" s="859">
        <f t="shared" si="444"/>
        <v>45583000</v>
      </c>
      <c r="AA122" s="859">
        <f t="shared" si="445"/>
        <v>30797000</v>
      </c>
      <c r="AB122" s="859">
        <f t="shared" si="446"/>
        <v>26480000</v>
      </c>
      <c r="AC122" s="859">
        <f t="shared" si="421"/>
        <v>102860000</v>
      </c>
      <c r="AD122" s="859">
        <f>+'CY-FUR (REG)- Detail'!AE224</f>
        <v>42064623.460000001</v>
      </c>
      <c r="AE122" s="859">
        <f>+'CY-FUR (REG)- Detail'!AF224</f>
        <v>21745342.280000001</v>
      </c>
      <c r="AF122" s="859">
        <f>+'CY-FUR (REG)- Detail'!AG224</f>
        <v>0</v>
      </c>
      <c r="AG122" s="859">
        <f t="shared" si="447"/>
        <v>63809965.740000002</v>
      </c>
      <c r="AH122" s="859">
        <f>+'CY-FUR (REG)- Detail'!AI224</f>
        <v>0</v>
      </c>
      <c r="AI122" s="859">
        <f>+'CY-FUR (REG)- Detail'!AJ224</f>
        <v>6025773.1200000001</v>
      </c>
      <c r="AJ122" s="859">
        <f>+'CY-FUR (REG)- Detail'!AK224</f>
        <v>21970904.759999998</v>
      </c>
      <c r="AK122" s="859">
        <f t="shared" si="448"/>
        <v>27996677.879999999</v>
      </c>
      <c r="AL122" s="859">
        <f t="shared" si="449"/>
        <v>42064623.460000001</v>
      </c>
      <c r="AM122" s="859">
        <f t="shared" si="450"/>
        <v>27771115.400000002</v>
      </c>
      <c r="AN122" s="859">
        <f t="shared" si="451"/>
        <v>21970904.759999998</v>
      </c>
      <c r="AO122" s="859">
        <f t="shared" si="422"/>
        <v>91806643.620000005</v>
      </c>
      <c r="AP122" s="859">
        <f t="shared" si="258"/>
        <v>3518376.5399999991</v>
      </c>
      <c r="AQ122" s="859">
        <f t="shared" si="259"/>
        <v>3025884.5999999978</v>
      </c>
      <c r="AR122" s="859">
        <f t="shared" si="260"/>
        <v>4509095.2400000021</v>
      </c>
      <c r="AS122" s="859">
        <f t="shared" si="423"/>
        <v>11053356.379999999</v>
      </c>
      <c r="AT122" s="1166">
        <f t="shared" si="261"/>
        <v>0.9228138441963013</v>
      </c>
      <c r="AU122" s="1166">
        <f t="shared" si="262"/>
        <v>0.90174742345033609</v>
      </c>
      <c r="AV122" s="1166">
        <f t="shared" si="263"/>
        <v>0.82971694712990929</v>
      </c>
      <c r="AW122" s="1166">
        <f t="shared" si="264"/>
        <v>0.892539797977834</v>
      </c>
      <c r="AX122" s="22">
        <f t="shared" si="265"/>
        <v>0</v>
      </c>
      <c r="AY122" s="22">
        <f t="shared" si="266"/>
        <v>0</v>
      </c>
      <c r="AZ122" s="22">
        <f t="shared" si="267"/>
        <v>0</v>
      </c>
      <c r="BA122" s="22">
        <f t="shared" si="268"/>
        <v>0</v>
      </c>
      <c r="BF122" s="824">
        <f t="shared" si="269"/>
        <v>2599657.7199999988</v>
      </c>
    </row>
    <row r="123" spans="1:58" s="903" customFormat="1" ht="16.5">
      <c r="A123" s="901"/>
      <c r="B123" s="868"/>
      <c r="C123" s="868"/>
      <c r="D123" s="868"/>
      <c r="E123" s="860">
        <f t="shared" si="418"/>
        <v>0</v>
      </c>
      <c r="F123" s="868"/>
      <c r="G123" s="868"/>
      <c r="H123" s="868"/>
      <c r="I123" s="860"/>
      <c r="J123" s="868"/>
      <c r="K123" s="868"/>
      <c r="L123" s="868"/>
      <c r="M123" s="860"/>
      <c r="N123" s="868"/>
      <c r="O123" s="868"/>
      <c r="P123" s="868"/>
      <c r="Q123" s="860">
        <f t="shared" si="419"/>
        <v>0</v>
      </c>
      <c r="R123" s="868"/>
      <c r="S123" s="868"/>
      <c r="T123" s="868"/>
      <c r="U123" s="860"/>
      <c r="V123" s="868"/>
      <c r="W123" s="868"/>
      <c r="X123" s="868"/>
      <c r="Y123" s="860">
        <f t="shared" si="420"/>
        <v>0</v>
      </c>
      <c r="Z123" s="860"/>
      <c r="AA123" s="860"/>
      <c r="AB123" s="860"/>
      <c r="AC123" s="860">
        <f t="shared" si="421"/>
        <v>0</v>
      </c>
      <c r="AD123" s="868"/>
      <c r="AE123" s="868"/>
      <c r="AF123" s="868"/>
      <c r="AG123" s="860"/>
      <c r="AH123" s="868"/>
      <c r="AI123" s="868"/>
      <c r="AJ123" s="868"/>
      <c r="AK123" s="860"/>
      <c r="AL123" s="860"/>
      <c r="AM123" s="860"/>
      <c r="AN123" s="860"/>
      <c r="AO123" s="860">
        <f t="shared" si="422"/>
        <v>0</v>
      </c>
      <c r="AP123" s="860">
        <f t="shared" si="258"/>
        <v>0</v>
      </c>
      <c r="AQ123" s="860">
        <f t="shared" si="259"/>
        <v>0</v>
      </c>
      <c r="AR123" s="860">
        <f t="shared" si="260"/>
        <v>0</v>
      </c>
      <c r="AS123" s="860">
        <f t="shared" si="423"/>
        <v>0</v>
      </c>
      <c r="AT123" s="1166" t="str">
        <f t="shared" si="261"/>
        <v xml:space="preserve"> </v>
      </c>
      <c r="AU123" s="1166" t="str">
        <f t="shared" si="262"/>
        <v xml:space="preserve"> </v>
      </c>
      <c r="AV123" s="1166" t="str">
        <f t="shared" si="263"/>
        <v xml:space="preserve"> </v>
      </c>
      <c r="AW123" s="1166" t="str">
        <f t="shared" si="264"/>
        <v xml:space="preserve"> </v>
      </c>
      <c r="AX123" s="22">
        <f t="shared" si="265"/>
        <v>0</v>
      </c>
      <c r="AY123" s="22">
        <f t="shared" si="266"/>
        <v>0</v>
      </c>
      <c r="AZ123" s="22">
        <f t="shared" si="267"/>
        <v>0</v>
      </c>
      <c r="BA123" s="22">
        <f t="shared" si="268"/>
        <v>0</v>
      </c>
      <c r="BF123" s="824">
        <f t="shared" si="269"/>
        <v>0</v>
      </c>
    </row>
    <row r="124" spans="1:58" s="609" customFormat="1" ht="16.5">
      <c r="A124" s="1153" t="s">
        <v>1044</v>
      </c>
      <c r="B124" s="1151">
        <f t="shared" ref="B124:AN124" si="452">SUM(B125:B127)</f>
        <v>424206000</v>
      </c>
      <c r="C124" s="1151">
        <f t="shared" si="452"/>
        <v>273244000</v>
      </c>
      <c r="D124" s="1151">
        <f t="shared" si="452"/>
        <v>0</v>
      </c>
      <c r="E124" s="1151">
        <f t="shared" si="418"/>
        <v>697450000</v>
      </c>
      <c r="F124" s="1151">
        <f t="shared" si="452"/>
        <v>0</v>
      </c>
      <c r="G124" s="1151">
        <f t="shared" si="452"/>
        <v>0</v>
      </c>
      <c r="H124" s="1151">
        <f t="shared" si="452"/>
        <v>0</v>
      </c>
      <c r="I124" s="1151">
        <f t="shared" si="452"/>
        <v>0</v>
      </c>
      <c r="J124" s="1151">
        <f t="shared" si="452"/>
        <v>424206000</v>
      </c>
      <c r="K124" s="1151">
        <f t="shared" si="452"/>
        <v>273244000</v>
      </c>
      <c r="L124" s="1151">
        <f t="shared" si="452"/>
        <v>0</v>
      </c>
      <c r="M124" s="1151">
        <f t="shared" si="452"/>
        <v>697450000</v>
      </c>
      <c r="N124" s="1151">
        <f t="shared" si="452"/>
        <v>424206000</v>
      </c>
      <c r="O124" s="1151">
        <f t="shared" si="452"/>
        <v>273244000</v>
      </c>
      <c r="P124" s="1151">
        <f t="shared" si="452"/>
        <v>0</v>
      </c>
      <c r="Q124" s="1151">
        <f t="shared" si="419"/>
        <v>697450000</v>
      </c>
      <c r="R124" s="1151">
        <f t="shared" si="452"/>
        <v>0</v>
      </c>
      <c r="S124" s="1151">
        <f t="shared" si="452"/>
        <v>0</v>
      </c>
      <c r="T124" s="1151">
        <f t="shared" si="452"/>
        <v>0</v>
      </c>
      <c r="U124" s="1151">
        <f t="shared" si="452"/>
        <v>0</v>
      </c>
      <c r="V124" s="1151">
        <f t="shared" si="452"/>
        <v>0</v>
      </c>
      <c r="W124" s="1151">
        <f t="shared" si="452"/>
        <v>191553986.76999998</v>
      </c>
      <c r="X124" s="1151">
        <f t="shared" si="452"/>
        <v>228100000</v>
      </c>
      <c r="Y124" s="1151">
        <f t="shared" si="420"/>
        <v>419653986.76999998</v>
      </c>
      <c r="Z124" s="1151">
        <f t="shared" si="452"/>
        <v>424206000</v>
      </c>
      <c r="AA124" s="1151">
        <f t="shared" si="452"/>
        <v>464797986.76999998</v>
      </c>
      <c r="AB124" s="1151">
        <f t="shared" si="452"/>
        <v>228100000</v>
      </c>
      <c r="AC124" s="1151">
        <f t="shared" si="421"/>
        <v>1117103986.77</v>
      </c>
      <c r="AD124" s="1151">
        <f t="shared" si="452"/>
        <v>382258504.67000002</v>
      </c>
      <c r="AE124" s="1151">
        <f t="shared" si="452"/>
        <v>197041996.25999999</v>
      </c>
      <c r="AF124" s="1151">
        <f t="shared" si="452"/>
        <v>0</v>
      </c>
      <c r="AG124" s="1151">
        <f t="shared" si="452"/>
        <v>579300500.93000007</v>
      </c>
      <c r="AH124" s="1151">
        <f t="shared" si="452"/>
        <v>0</v>
      </c>
      <c r="AI124" s="1151">
        <f t="shared" si="452"/>
        <v>126531744.58999999</v>
      </c>
      <c r="AJ124" s="1151">
        <f t="shared" si="452"/>
        <v>213606240.40000001</v>
      </c>
      <c r="AK124" s="1151">
        <f t="shared" si="452"/>
        <v>340137984.98999995</v>
      </c>
      <c r="AL124" s="1151">
        <f t="shared" si="452"/>
        <v>382258504.67000002</v>
      </c>
      <c r="AM124" s="1151">
        <f t="shared" si="452"/>
        <v>323573740.84999996</v>
      </c>
      <c r="AN124" s="1151">
        <f t="shared" si="452"/>
        <v>213606240.40000001</v>
      </c>
      <c r="AO124" s="1151">
        <f t="shared" si="422"/>
        <v>919438485.91999996</v>
      </c>
      <c r="AP124" s="1151">
        <f t="shared" si="258"/>
        <v>41947495.329999983</v>
      </c>
      <c r="AQ124" s="1151">
        <f t="shared" si="259"/>
        <v>141224245.92000002</v>
      </c>
      <c r="AR124" s="1151">
        <f t="shared" si="260"/>
        <v>14493759.599999994</v>
      </c>
      <c r="AS124" s="1151">
        <f t="shared" si="423"/>
        <v>197665500.84999999</v>
      </c>
      <c r="AT124" s="1165">
        <f t="shared" si="261"/>
        <v>0.90111527104755718</v>
      </c>
      <c r="AU124" s="1165">
        <f t="shared" si="262"/>
        <v>0.69615994487970267</v>
      </c>
      <c r="AV124" s="1165">
        <f t="shared" si="263"/>
        <v>0.93645874791757999</v>
      </c>
      <c r="AW124" s="1165">
        <f t="shared" si="264"/>
        <v>0.82305541543940686</v>
      </c>
      <c r="AX124" s="1152">
        <f t="shared" si="265"/>
        <v>0</v>
      </c>
      <c r="AY124" s="1152">
        <f t="shared" si="266"/>
        <v>0</v>
      </c>
      <c r="AZ124" s="1152">
        <f t="shared" si="267"/>
        <v>0</v>
      </c>
      <c r="BA124" s="1152">
        <f t="shared" si="268"/>
        <v>0</v>
      </c>
      <c r="BB124" s="1132">
        <f>+AS124-'CY (ALL FUNDS)'!Q1289</f>
        <v>0</v>
      </c>
      <c r="BF124" s="824">
        <f t="shared" si="269"/>
        <v>76202003.74000001</v>
      </c>
    </row>
    <row r="125" spans="1:58" s="903" customFormat="1">
      <c r="A125" s="905" t="s">
        <v>1045</v>
      </c>
      <c r="B125" s="859">
        <f>SUM('CY-FUR (REG)- Detail'!C227:C229)</f>
        <v>77255000</v>
      </c>
      <c r="C125" s="859">
        <f>SUM('CY-FUR (REG)- Detail'!D227:D229)</f>
        <v>173271000</v>
      </c>
      <c r="D125" s="859">
        <f>SUM('CY-FUR (REG)- Detail'!E227:E229)</f>
        <v>0</v>
      </c>
      <c r="E125" s="859">
        <f t="shared" si="418"/>
        <v>250526000</v>
      </c>
      <c r="F125" s="859">
        <f>SUM('CY-FUR (REG)- Detail'!G227:G229)</f>
        <v>0</v>
      </c>
      <c r="G125" s="859">
        <f>SUM('CY-FUR (REG)- Detail'!H227:H229)</f>
        <v>0</v>
      </c>
      <c r="H125" s="859">
        <f>SUM('CY-FUR (REG)- Detail'!I227:I229)</f>
        <v>0</v>
      </c>
      <c r="I125" s="859">
        <f>SUM('CY-FUR (REG)- Detail'!J227:J229)</f>
        <v>0</v>
      </c>
      <c r="J125" s="859">
        <f>SUM('CY-FUR (REG)- Detail'!K227:K229)</f>
        <v>77255000</v>
      </c>
      <c r="K125" s="859">
        <f>SUM('CY-FUR (REG)- Detail'!L227:L229)</f>
        <v>173271000</v>
      </c>
      <c r="L125" s="859">
        <f>SUM('CY-FUR (REG)- Detail'!M227:M229)</f>
        <v>0</v>
      </c>
      <c r="M125" s="859">
        <f>SUM('CY-FUR (REG)- Detail'!N227:N229)</f>
        <v>250526000</v>
      </c>
      <c r="N125" s="859">
        <f>SUM('CY-FUR (REG)- Detail'!O227:O229)</f>
        <v>77255000</v>
      </c>
      <c r="O125" s="859">
        <f>SUM('CY-FUR (REG)- Detail'!P227:P229)</f>
        <v>173271000</v>
      </c>
      <c r="P125" s="859">
        <f>SUM('CY-FUR (REG)- Detail'!Q227:Q229)</f>
        <v>0</v>
      </c>
      <c r="Q125" s="859">
        <f t="shared" si="419"/>
        <v>250526000</v>
      </c>
      <c r="R125" s="859">
        <f>SUM('CY-FUR (REG)- Detail'!S227:S229)</f>
        <v>0</v>
      </c>
      <c r="S125" s="859">
        <f>SUM('CY-FUR (REG)- Detail'!T227:T229)</f>
        <v>0</v>
      </c>
      <c r="T125" s="859">
        <f>SUM('CY-FUR (REG)- Detail'!U227:U229)</f>
        <v>0</v>
      </c>
      <c r="U125" s="859">
        <f>SUM('CY-FUR (REG)- Detail'!V227:V229)</f>
        <v>0</v>
      </c>
      <c r="V125" s="859">
        <f>SUM('CY-FUR (REG)- Detail'!W227:W229)</f>
        <v>0</v>
      </c>
      <c r="W125" s="859">
        <f>SUM('CY-FUR (REG)- Detail'!X227:X229)</f>
        <v>107856391.77</v>
      </c>
      <c r="X125" s="859">
        <f>SUM('CY-FUR (REG)- Detail'!Y227:Y229)</f>
        <v>72100000</v>
      </c>
      <c r="Y125" s="859">
        <f t="shared" si="420"/>
        <v>179956391.76999998</v>
      </c>
      <c r="Z125" s="859">
        <f>SUM('CY-FUR (REG)- Detail'!AA227:AA229)</f>
        <v>77255000</v>
      </c>
      <c r="AA125" s="859">
        <f>SUM('CY-FUR (REG)- Detail'!AB227:AB229)</f>
        <v>281127391.76999998</v>
      </c>
      <c r="AB125" s="859">
        <f>SUM('CY-FUR (REG)- Detail'!AC227:AC229)</f>
        <v>72100000</v>
      </c>
      <c r="AC125" s="859">
        <f t="shared" si="421"/>
        <v>430482391.76999998</v>
      </c>
      <c r="AD125" s="859">
        <f>SUM('CY-FUR (REG)- Detail'!AE227:AE229)</f>
        <v>62205069.679999992</v>
      </c>
      <c r="AE125" s="859">
        <f>SUM('CY-FUR (REG)- Detail'!AF227:AF229)</f>
        <v>117966813.33</v>
      </c>
      <c r="AF125" s="859">
        <f>SUM('CY-FUR (REG)- Detail'!AG227:AG229)</f>
        <v>0</v>
      </c>
      <c r="AG125" s="859">
        <f>SUM('CY-FUR (REG)- Detail'!AH227:AH229)</f>
        <v>180171883.00999999</v>
      </c>
      <c r="AH125" s="859">
        <f>SUM('CY-FUR (REG)- Detail'!AI227:AI229)</f>
        <v>0</v>
      </c>
      <c r="AI125" s="859">
        <f>SUM('CY-FUR (REG)- Detail'!AJ227:AJ229)</f>
        <v>65139989.75999999</v>
      </c>
      <c r="AJ125" s="859">
        <f>SUM('CY-FUR (REG)- Detail'!AK227:AK229)</f>
        <v>59548445.82</v>
      </c>
      <c r="AK125" s="859">
        <f>SUM('CY-FUR (REG)- Detail'!AL227:AL229)</f>
        <v>124688435.57999998</v>
      </c>
      <c r="AL125" s="859">
        <f>SUM('CY-FUR (REG)- Detail'!AM227:AM229)</f>
        <v>62205069.679999992</v>
      </c>
      <c r="AM125" s="859">
        <f>SUM('CY-FUR (REG)- Detail'!AN227:AN229)</f>
        <v>183106803.08999997</v>
      </c>
      <c r="AN125" s="859">
        <f>SUM('CY-FUR (REG)- Detail'!AO227:AO229)</f>
        <v>59548445.82</v>
      </c>
      <c r="AO125" s="859">
        <f t="shared" si="422"/>
        <v>304860318.58999997</v>
      </c>
      <c r="AP125" s="859">
        <f t="shared" si="258"/>
        <v>15049930.320000008</v>
      </c>
      <c r="AQ125" s="859">
        <f t="shared" si="259"/>
        <v>98020588.680000007</v>
      </c>
      <c r="AR125" s="859">
        <f t="shared" si="260"/>
        <v>12551554.18</v>
      </c>
      <c r="AS125" s="859">
        <f t="shared" si="423"/>
        <v>125622073.18000001</v>
      </c>
      <c r="AT125" s="1166">
        <f t="shared" si="261"/>
        <v>0.80519150449809063</v>
      </c>
      <c r="AU125" s="1166">
        <f t="shared" si="262"/>
        <v>0.65133035218356083</v>
      </c>
      <c r="AV125" s="1166">
        <f t="shared" si="263"/>
        <v>0.8259146438280166</v>
      </c>
      <c r="AW125" s="1166">
        <f t="shared" si="264"/>
        <v>0.70818301611946555</v>
      </c>
      <c r="AX125" s="22">
        <f t="shared" si="265"/>
        <v>0</v>
      </c>
      <c r="AY125" s="22">
        <f t="shared" si="266"/>
        <v>0</v>
      </c>
      <c r="AZ125" s="22">
        <f t="shared" si="267"/>
        <v>0</v>
      </c>
      <c r="BA125" s="22">
        <f t="shared" si="268"/>
        <v>0</v>
      </c>
      <c r="BF125" s="824">
        <f t="shared" si="269"/>
        <v>55304186.670000002</v>
      </c>
    </row>
    <row r="126" spans="1:58" s="903" customFormat="1">
      <c r="A126" s="905" t="s">
        <v>1046</v>
      </c>
      <c r="B126" s="859">
        <f>+'CY-FUR (REG)- Detail'!C231</f>
        <v>233325000</v>
      </c>
      <c r="C126" s="859">
        <f>+'CY-FUR (REG)- Detail'!D231</f>
        <v>63208000</v>
      </c>
      <c r="D126" s="859">
        <f>+'CY-FUR (REG)- Detail'!E231</f>
        <v>0</v>
      </c>
      <c r="E126" s="859">
        <f t="shared" si="418"/>
        <v>296533000</v>
      </c>
      <c r="F126" s="859">
        <f>+'CY-FUR (REG)- Detail'!G231</f>
        <v>0</v>
      </c>
      <c r="G126" s="859">
        <f>+'CY-FUR (REG)- Detail'!H231</f>
        <v>0</v>
      </c>
      <c r="H126" s="859">
        <f>+'CY-FUR (REG)- Detail'!I231</f>
        <v>0</v>
      </c>
      <c r="I126" s="859">
        <f t="shared" ref="I126" si="453">SUM(F126:H126)</f>
        <v>0</v>
      </c>
      <c r="J126" s="859">
        <f t="shared" ref="J126" si="454">+B126+F126</f>
        <v>233325000</v>
      </c>
      <c r="K126" s="859">
        <f t="shared" ref="K126" si="455">+C126+G126</f>
        <v>63208000</v>
      </c>
      <c r="L126" s="859">
        <f t="shared" ref="L126" si="456">+D126+H126</f>
        <v>0</v>
      </c>
      <c r="M126" s="859">
        <f t="shared" ref="M126" si="457">SUM(J126:L126)</f>
        <v>296533000</v>
      </c>
      <c r="N126" s="859">
        <f>+'CY-FUR (REG)- Detail'!O231</f>
        <v>233325000</v>
      </c>
      <c r="O126" s="859">
        <f>+'CY-FUR (REG)- Detail'!P231</f>
        <v>63208000</v>
      </c>
      <c r="P126" s="859">
        <f>+'CY-FUR (REG)- Detail'!Q231</f>
        <v>0</v>
      </c>
      <c r="Q126" s="859">
        <f t="shared" si="419"/>
        <v>296533000</v>
      </c>
      <c r="R126" s="859">
        <f>+'CY-FUR (REG)- Detail'!S231</f>
        <v>0</v>
      </c>
      <c r="S126" s="859">
        <f>+'CY-FUR (REG)- Detail'!T231</f>
        <v>0</v>
      </c>
      <c r="T126" s="859">
        <f>+'CY-FUR (REG)- Detail'!U231</f>
        <v>0</v>
      </c>
      <c r="U126" s="859">
        <f t="shared" ref="U126" si="458">SUM(R126:T126)</f>
        <v>0</v>
      </c>
      <c r="V126" s="859">
        <f>+'CY-FUR (REG)- Detail'!W231</f>
        <v>0</v>
      </c>
      <c r="W126" s="859">
        <f>+'CY-FUR (REG)- Detail'!X231</f>
        <v>44993830</v>
      </c>
      <c r="X126" s="859">
        <f>+'CY-FUR (REG)- Detail'!Y231</f>
        <v>52000000</v>
      </c>
      <c r="Y126" s="859">
        <f t="shared" si="420"/>
        <v>96993830</v>
      </c>
      <c r="Z126" s="859">
        <f t="shared" ref="Z126" si="459">+N126+V126+R126</f>
        <v>233325000</v>
      </c>
      <c r="AA126" s="859">
        <f t="shared" ref="AA126" si="460">+O126+W126+S126</f>
        <v>108201830</v>
      </c>
      <c r="AB126" s="859">
        <f t="shared" ref="AB126" si="461">+P126+X126+T126</f>
        <v>52000000</v>
      </c>
      <c r="AC126" s="859">
        <f t="shared" si="421"/>
        <v>393526830</v>
      </c>
      <c r="AD126" s="859">
        <f>+'CY-FUR (REG)- Detail'!AE231</f>
        <v>214702095.16000003</v>
      </c>
      <c r="AE126" s="859">
        <f>+'CY-FUR (REG)- Detail'!AF231</f>
        <v>47845949.980000004</v>
      </c>
      <c r="AF126" s="859">
        <f>+'CY-FUR (REG)- Detail'!AG231</f>
        <v>0</v>
      </c>
      <c r="AG126" s="859">
        <f t="shared" ref="AG126" si="462">SUM(AD126:AF126)</f>
        <v>262548045.14000005</v>
      </c>
      <c r="AH126" s="859">
        <f>+'CY-FUR (REG)- Detail'!AI231</f>
        <v>0</v>
      </c>
      <c r="AI126" s="859">
        <f>+'CY-FUR (REG)- Detail'!AJ231</f>
        <v>32979333.119999997</v>
      </c>
      <c r="AJ126" s="859">
        <f>+'CY-FUR (REG)- Detail'!AK231</f>
        <v>50057794.579999998</v>
      </c>
      <c r="AK126" s="859">
        <f t="shared" ref="AK126" si="463">SUM(AH126:AJ126)</f>
        <v>83037127.699999988</v>
      </c>
      <c r="AL126" s="859">
        <f t="shared" ref="AL126" si="464">+AH126+AD126</f>
        <v>214702095.16000003</v>
      </c>
      <c r="AM126" s="859">
        <f t="shared" ref="AM126" si="465">+AI126+AE126</f>
        <v>80825283.099999994</v>
      </c>
      <c r="AN126" s="859">
        <f t="shared" ref="AN126" si="466">+AJ126+AF126</f>
        <v>50057794.579999998</v>
      </c>
      <c r="AO126" s="859">
        <f t="shared" si="422"/>
        <v>345585172.83999997</v>
      </c>
      <c r="AP126" s="859">
        <f t="shared" si="258"/>
        <v>18622904.839999974</v>
      </c>
      <c r="AQ126" s="859">
        <f t="shared" si="259"/>
        <v>27376546.900000006</v>
      </c>
      <c r="AR126" s="859">
        <f t="shared" si="260"/>
        <v>1942205.4200000018</v>
      </c>
      <c r="AS126" s="859">
        <f t="shared" si="423"/>
        <v>47941657.159999982</v>
      </c>
      <c r="AT126" s="1166">
        <f t="shared" si="261"/>
        <v>0.92018470013929077</v>
      </c>
      <c r="AU126" s="1166">
        <f t="shared" si="262"/>
        <v>0.74698628572178483</v>
      </c>
      <c r="AV126" s="1166">
        <f t="shared" si="263"/>
        <v>0.96264989576923077</v>
      </c>
      <c r="AW126" s="1166">
        <f t="shared" si="264"/>
        <v>0.87817436193613529</v>
      </c>
      <c r="AX126" s="22">
        <f t="shared" si="265"/>
        <v>0</v>
      </c>
      <c r="AY126" s="22">
        <f t="shared" si="266"/>
        <v>0</v>
      </c>
      <c r="AZ126" s="22">
        <f t="shared" si="267"/>
        <v>0</v>
      </c>
      <c r="BA126" s="22">
        <f t="shared" si="268"/>
        <v>0</v>
      </c>
      <c r="BB126" s="609"/>
      <c r="BF126" s="824">
        <f t="shared" si="269"/>
        <v>15362050.019999996</v>
      </c>
    </row>
    <row r="127" spans="1:58" s="903" customFormat="1">
      <c r="A127" s="905" t="s">
        <v>1047</v>
      </c>
      <c r="B127" s="859">
        <f>+'CY-FUR (REG)- Detail'!C232</f>
        <v>113626000</v>
      </c>
      <c r="C127" s="859">
        <f>+'CY-FUR (REG)- Detail'!D232</f>
        <v>36765000</v>
      </c>
      <c r="D127" s="859">
        <f>+'CY-FUR (REG)- Detail'!E232</f>
        <v>0</v>
      </c>
      <c r="E127" s="859">
        <f t="shared" si="418"/>
        <v>150391000</v>
      </c>
      <c r="F127" s="859">
        <f>+'CY-FUR (REG)- Detail'!G232</f>
        <v>0</v>
      </c>
      <c r="G127" s="859">
        <f>+'CY-FUR (REG)- Detail'!H232</f>
        <v>0</v>
      </c>
      <c r="H127" s="859">
        <f>+'CY-FUR (REG)- Detail'!I232</f>
        <v>0</v>
      </c>
      <c r="I127" s="859">
        <f t="shared" ref="I127" si="467">SUM(F127:H127)</f>
        <v>0</v>
      </c>
      <c r="J127" s="859">
        <f t="shared" ref="J127" si="468">+B127+F127</f>
        <v>113626000</v>
      </c>
      <c r="K127" s="859">
        <f t="shared" ref="K127" si="469">+C127+G127</f>
        <v>36765000</v>
      </c>
      <c r="L127" s="859">
        <f t="shared" ref="L127" si="470">+D127+H127</f>
        <v>0</v>
      </c>
      <c r="M127" s="859">
        <f t="shared" ref="M127" si="471">SUM(J127:L127)</f>
        <v>150391000</v>
      </c>
      <c r="N127" s="859">
        <f>+'CY-FUR (REG)- Detail'!O232</f>
        <v>113626000</v>
      </c>
      <c r="O127" s="859">
        <f>+'CY-FUR (REG)- Detail'!P232</f>
        <v>36765000</v>
      </c>
      <c r="P127" s="859">
        <f>+'CY-FUR (REG)- Detail'!Q232</f>
        <v>0</v>
      </c>
      <c r="Q127" s="859">
        <f t="shared" si="419"/>
        <v>150391000</v>
      </c>
      <c r="R127" s="859">
        <f>+'CY-FUR (REG)- Detail'!S232</f>
        <v>0</v>
      </c>
      <c r="S127" s="859">
        <f>+'CY-FUR (REG)- Detail'!T232</f>
        <v>0</v>
      </c>
      <c r="T127" s="859">
        <f>+'CY-FUR (REG)- Detail'!U232</f>
        <v>0</v>
      </c>
      <c r="U127" s="859">
        <f t="shared" ref="U127" si="472">SUM(R127:T127)</f>
        <v>0</v>
      </c>
      <c r="V127" s="859">
        <f>+'CY-FUR (REG)- Detail'!W232</f>
        <v>0</v>
      </c>
      <c r="W127" s="859">
        <f>+'CY-FUR (REG)- Detail'!X232</f>
        <v>38703765</v>
      </c>
      <c r="X127" s="859">
        <f>+'CY-FUR (REG)- Detail'!Y232</f>
        <v>104000000</v>
      </c>
      <c r="Y127" s="859">
        <f t="shared" si="420"/>
        <v>142703765</v>
      </c>
      <c r="Z127" s="859">
        <f t="shared" ref="Z127" si="473">+N127+V127+R127</f>
        <v>113626000</v>
      </c>
      <c r="AA127" s="859">
        <f t="shared" ref="AA127" si="474">+O127+W127+S127</f>
        <v>75468765</v>
      </c>
      <c r="AB127" s="859">
        <f t="shared" ref="AB127" si="475">+P127+X127+T127</f>
        <v>104000000</v>
      </c>
      <c r="AC127" s="859">
        <f t="shared" si="421"/>
        <v>293094765</v>
      </c>
      <c r="AD127" s="859">
        <f>+'CY-FUR (REG)- Detail'!AE232</f>
        <v>105351339.83</v>
      </c>
      <c r="AE127" s="859">
        <f>+'CY-FUR (REG)- Detail'!AF232</f>
        <v>31229232.949999999</v>
      </c>
      <c r="AF127" s="859">
        <f>+'CY-FUR (REG)- Detail'!AG232</f>
        <v>0</v>
      </c>
      <c r="AG127" s="859">
        <f t="shared" ref="AG127" si="476">SUM(AD127:AF127)</f>
        <v>136580572.78</v>
      </c>
      <c r="AH127" s="859">
        <f>+'CY-FUR (REG)- Detail'!AI232</f>
        <v>0</v>
      </c>
      <c r="AI127" s="859">
        <f>+'CY-FUR (REG)- Detail'!AJ232</f>
        <v>28412421.709999997</v>
      </c>
      <c r="AJ127" s="859">
        <f>+'CY-FUR (REG)- Detail'!AK232</f>
        <v>104000000</v>
      </c>
      <c r="AK127" s="859">
        <f t="shared" ref="AK127" si="477">SUM(AH127:AJ127)</f>
        <v>132412421.70999999</v>
      </c>
      <c r="AL127" s="859">
        <f t="shared" ref="AL127" si="478">+AH127+AD127</f>
        <v>105351339.83</v>
      </c>
      <c r="AM127" s="859">
        <f t="shared" ref="AM127" si="479">+AI127+AE127</f>
        <v>59641654.659999996</v>
      </c>
      <c r="AN127" s="859">
        <f t="shared" ref="AN127" si="480">+AJ127+AF127</f>
        <v>104000000</v>
      </c>
      <c r="AO127" s="859">
        <f t="shared" si="422"/>
        <v>268992994.49000001</v>
      </c>
      <c r="AP127" s="859">
        <f t="shared" si="258"/>
        <v>8274660.1700000018</v>
      </c>
      <c r="AQ127" s="859">
        <f t="shared" si="259"/>
        <v>15827110.340000004</v>
      </c>
      <c r="AR127" s="859">
        <f t="shared" si="260"/>
        <v>0</v>
      </c>
      <c r="AS127" s="859">
        <f t="shared" si="423"/>
        <v>24101770.510000005</v>
      </c>
      <c r="AT127" s="1166">
        <f t="shared" si="261"/>
        <v>0.92717634898702761</v>
      </c>
      <c r="AU127" s="1166">
        <f t="shared" si="262"/>
        <v>0.79028263759185668</v>
      </c>
      <c r="AV127" s="1166">
        <f t="shared" si="263"/>
        <v>1</v>
      </c>
      <c r="AW127" s="1166">
        <f t="shared" si="264"/>
        <v>0.91776799387733865</v>
      </c>
      <c r="AX127" s="22">
        <f t="shared" si="265"/>
        <v>0</v>
      </c>
      <c r="AY127" s="22">
        <f t="shared" si="266"/>
        <v>0</v>
      </c>
      <c r="AZ127" s="22">
        <f t="shared" si="267"/>
        <v>0</v>
      </c>
      <c r="BA127" s="22">
        <f t="shared" si="268"/>
        <v>0</v>
      </c>
      <c r="BB127" s="609"/>
      <c r="BF127" s="824">
        <f t="shared" si="269"/>
        <v>5535767.0500000007</v>
      </c>
    </row>
    <row r="128" spans="1:58" s="903" customFormat="1" ht="16.5">
      <c r="A128" s="901"/>
      <c r="B128" s="868"/>
      <c r="C128" s="868"/>
      <c r="D128" s="868"/>
      <c r="E128" s="860">
        <f t="shared" si="418"/>
        <v>0</v>
      </c>
      <c r="F128" s="868"/>
      <c r="G128" s="868"/>
      <c r="H128" s="868"/>
      <c r="I128" s="860"/>
      <c r="J128" s="868"/>
      <c r="K128" s="868"/>
      <c r="L128" s="868"/>
      <c r="M128" s="860"/>
      <c r="N128" s="868"/>
      <c r="O128" s="868"/>
      <c r="P128" s="868"/>
      <c r="Q128" s="860">
        <f t="shared" si="419"/>
        <v>0</v>
      </c>
      <c r="R128" s="868"/>
      <c r="S128" s="868"/>
      <c r="T128" s="868"/>
      <c r="U128" s="860"/>
      <c r="V128" s="868"/>
      <c r="W128" s="868"/>
      <c r="X128" s="868"/>
      <c r="Y128" s="860">
        <f t="shared" si="420"/>
        <v>0</v>
      </c>
      <c r="Z128" s="860"/>
      <c r="AA128" s="860"/>
      <c r="AB128" s="860"/>
      <c r="AC128" s="860">
        <f t="shared" si="421"/>
        <v>0</v>
      </c>
      <c r="AD128" s="868"/>
      <c r="AE128" s="868"/>
      <c r="AF128" s="868"/>
      <c r="AG128" s="860"/>
      <c r="AH128" s="868"/>
      <c r="AI128" s="868"/>
      <c r="AJ128" s="868"/>
      <c r="AK128" s="860"/>
      <c r="AL128" s="860"/>
      <c r="AM128" s="860"/>
      <c r="AN128" s="860"/>
      <c r="AO128" s="860">
        <f t="shared" si="422"/>
        <v>0</v>
      </c>
      <c r="AP128" s="860">
        <f t="shared" si="258"/>
        <v>0</v>
      </c>
      <c r="AQ128" s="860">
        <f t="shared" si="259"/>
        <v>0</v>
      </c>
      <c r="AR128" s="860">
        <f t="shared" si="260"/>
        <v>0</v>
      </c>
      <c r="AS128" s="860">
        <f t="shared" si="423"/>
        <v>0</v>
      </c>
      <c r="AT128" s="1166" t="str">
        <f t="shared" si="261"/>
        <v xml:space="preserve"> </v>
      </c>
      <c r="AU128" s="1166" t="str">
        <f t="shared" si="262"/>
        <v xml:space="preserve"> </v>
      </c>
      <c r="AV128" s="1166" t="str">
        <f t="shared" si="263"/>
        <v xml:space="preserve"> </v>
      </c>
      <c r="AW128" s="1166" t="str">
        <f t="shared" si="264"/>
        <v xml:space="preserve"> </v>
      </c>
      <c r="AX128" s="22">
        <f t="shared" si="265"/>
        <v>0</v>
      </c>
      <c r="AY128" s="22">
        <f t="shared" si="266"/>
        <v>0</v>
      </c>
      <c r="AZ128" s="22">
        <f t="shared" si="267"/>
        <v>0</v>
      </c>
      <c r="BA128" s="22">
        <f t="shared" si="268"/>
        <v>0</v>
      </c>
      <c r="BB128" s="609"/>
      <c r="BF128" s="824">
        <f t="shared" si="269"/>
        <v>0</v>
      </c>
    </row>
    <row r="129" spans="1:58" s="609" customFormat="1" ht="16.5">
      <c r="A129" s="1153" t="s">
        <v>1048</v>
      </c>
      <c r="B129" s="1151">
        <f t="shared" ref="B129:AN129" si="481">SUM(B130:B132)</f>
        <v>193528000</v>
      </c>
      <c r="C129" s="1151">
        <f t="shared" si="481"/>
        <v>209274000</v>
      </c>
      <c r="D129" s="1151">
        <f t="shared" si="481"/>
        <v>0</v>
      </c>
      <c r="E129" s="1151">
        <f t="shared" si="418"/>
        <v>402802000</v>
      </c>
      <c r="F129" s="1151">
        <f t="shared" si="481"/>
        <v>0</v>
      </c>
      <c r="G129" s="1151">
        <f t="shared" si="481"/>
        <v>0</v>
      </c>
      <c r="H129" s="1151">
        <f t="shared" si="481"/>
        <v>0</v>
      </c>
      <c r="I129" s="1151">
        <f t="shared" si="481"/>
        <v>0</v>
      </c>
      <c r="J129" s="1151">
        <f t="shared" si="481"/>
        <v>193528000</v>
      </c>
      <c r="K129" s="1151">
        <f t="shared" si="481"/>
        <v>209274000</v>
      </c>
      <c r="L129" s="1151">
        <f t="shared" si="481"/>
        <v>0</v>
      </c>
      <c r="M129" s="1151">
        <f t="shared" si="481"/>
        <v>402802000</v>
      </c>
      <c r="N129" s="1151">
        <f t="shared" si="481"/>
        <v>193528000</v>
      </c>
      <c r="O129" s="1151">
        <f t="shared" si="481"/>
        <v>209274000</v>
      </c>
      <c r="P129" s="1151">
        <f t="shared" si="481"/>
        <v>0</v>
      </c>
      <c r="Q129" s="1151">
        <f t="shared" si="419"/>
        <v>402802000</v>
      </c>
      <c r="R129" s="1151">
        <f t="shared" si="481"/>
        <v>0</v>
      </c>
      <c r="S129" s="1151">
        <f t="shared" si="481"/>
        <v>0</v>
      </c>
      <c r="T129" s="1151">
        <f t="shared" si="481"/>
        <v>0</v>
      </c>
      <c r="U129" s="1151">
        <f t="shared" si="481"/>
        <v>0</v>
      </c>
      <c r="V129" s="1151">
        <f t="shared" si="481"/>
        <v>0</v>
      </c>
      <c r="W129" s="1151">
        <f t="shared" si="481"/>
        <v>137856297.57999998</v>
      </c>
      <c r="X129" s="1151">
        <f t="shared" si="481"/>
        <v>128257980</v>
      </c>
      <c r="Y129" s="1151">
        <f t="shared" si="420"/>
        <v>266114277.57999998</v>
      </c>
      <c r="Z129" s="1151">
        <f t="shared" si="481"/>
        <v>193528000</v>
      </c>
      <c r="AA129" s="1151">
        <f t="shared" si="481"/>
        <v>347130297.57999998</v>
      </c>
      <c r="AB129" s="1151">
        <f t="shared" si="481"/>
        <v>128257980</v>
      </c>
      <c r="AC129" s="1151">
        <f t="shared" si="421"/>
        <v>668916277.57999992</v>
      </c>
      <c r="AD129" s="1151">
        <f t="shared" si="481"/>
        <v>176529892.00000003</v>
      </c>
      <c r="AE129" s="1151">
        <f t="shared" si="481"/>
        <v>148161439.72999999</v>
      </c>
      <c r="AF129" s="1151">
        <f t="shared" si="481"/>
        <v>0</v>
      </c>
      <c r="AG129" s="1151">
        <f t="shared" si="481"/>
        <v>324691331.72999996</v>
      </c>
      <c r="AH129" s="1151">
        <f t="shared" si="481"/>
        <v>0</v>
      </c>
      <c r="AI129" s="1151">
        <f t="shared" si="481"/>
        <v>79685626.910000011</v>
      </c>
      <c r="AJ129" s="1151">
        <f t="shared" si="481"/>
        <v>108471610.72999999</v>
      </c>
      <c r="AK129" s="1151">
        <f t="shared" si="481"/>
        <v>188157237.63999999</v>
      </c>
      <c r="AL129" s="1151">
        <f t="shared" si="481"/>
        <v>176529892.00000003</v>
      </c>
      <c r="AM129" s="1151">
        <f t="shared" si="481"/>
        <v>227847066.63999999</v>
      </c>
      <c r="AN129" s="1151">
        <f t="shared" si="481"/>
        <v>108471610.72999999</v>
      </c>
      <c r="AO129" s="1151">
        <f t="shared" si="422"/>
        <v>512848569.37</v>
      </c>
      <c r="AP129" s="1151">
        <f t="shared" si="258"/>
        <v>16998107.99999997</v>
      </c>
      <c r="AQ129" s="1151">
        <f t="shared" si="259"/>
        <v>119283230.94</v>
      </c>
      <c r="AR129" s="1151">
        <f t="shared" si="260"/>
        <v>19786369.270000011</v>
      </c>
      <c r="AS129" s="1151">
        <f t="shared" si="423"/>
        <v>156067708.20999998</v>
      </c>
      <c r="AT129" s="1165">
        <f t="shared" si="261"/>
        <v>0.91216719027737603</v>
      </c>
      <c r="AU129" s="1165">
        <f t="shared" si="262"/>
        <v>0.65637332214567101</v>
      </c>
      <c r="AV129" s="1165">
        <f t="shared" si="263"/>
        <v>0.84572991661025687</v>
      </c>
      <c r="AW129" s="1165">
        <f t="shared" si="264"/>
        <v>0.76668573715290578</v>
      </c>
      <c r="AX129" s="1152">
        <f t="shared" si="265"/>
        <v>0</v>
      </c>
      <c r="AY129" s="1152">
        <f t="shared" si="266"/>
        <v>0</v>
      </c>
      <c r="AZ129" s="1152">
        <f t="shared" si="267"/>
        <v>0</v>
      </c>
      <c r="BA129" s="1152">
        <f t="shared" si="268"/>
        <v>0</v>
      </c>
      <c r="BB129" s="1132">
        <f>+AS129-'CY (ALL FUNDS)'!Q1354</f>
        <v>0</v>
      </c>
      <c r="BF129" s="824">
        <f t="shared" si="269"/>
        <v>61112560.270000011</v>
      </c>
    </row>
    <row r="130" spans="1:58" s="16" customFormat="1">
      <c r="A130" s="905" t="s">
        <v>1049</v>
      </c>
      <c r="B130" s="859">
        <f>SUM('CY-FUR (REG)- Detail'!C235:C237)</f>
        <v>67022000</v>
      </c>
      <c r="C130" s="859">
        <f>SUM('CY-FUR (REG)- Detail'!D235:D237)</f>
        <v>160267000</v>
      </c>
      <c r="D130" s="859">
        <f>SUM('CY-FUR (REG)- Detail'!E235:E237)</f>
        <v>0</v>
      </c>
      <c r="E130" s="859">
        <f t="shared" si="418"/>
        <v>227289000</v>
      </c>
      <c r="F130" s="859">
        <f>SUM('CY-FUR (REG)- Detail'!G235:G237)</f>
        <v>0</v>
      </c>
      <c r="G130" s="859">
        <f>SUM('CY-FUR (REG)- Detail'!H235:H237)</f>
        <v>0</v>
      </c>
      <c r="H130" s="859">
        <f>SUM('CY-FUR (REG)- Detail'!I235:I237)</f>
        <v>0</v>
      </c>
      <c r="I130" s="859">
        <f>SUM('CY-FUR (REG)- Detail'!J235:J237)</f>
        <v>0</v>
      </c>
      <c r="J130" s="859">
        <f>SUM('CY-FUR (REG)- Detail'!K235:K237)</f>
        <v>67022000</v>
      </c>
      <c r="K130" s="859">
        <f>SUM('CY-FUR (REG)- Detail'!L235:L237)</f>
        <v>160267000</v>
      </c>
      <c r="L130" s="859">
        <f>SUM('CY-FUR (REG)- Detail'!M235:M237)</f>
        <v>0</v>
      </c>
      <c r="M130" s="859">
        <f>SUM('CY-FUR (REG)- Detail'!N235:N237)</f>
        <v>227289000</v>
      </c>
      <c r="N130" s="859">
        <f>SUM('CY-FUR (REG)- Detail'!O235:O237)</f>
        <v>67022000</v>
      </c>
      <c r="O130" s="859">
        <f>SUM('CY-FUR (REG)- Detail'!P235:P237)</f>
        <v>160267000</v>
      </c>
      <c r="P130" s="859">
        <f>SUM('CY-FUR (REG)- Detail'!Q235:Q237)</f>
        <v>0</v>
      </c>
      <c r="Q130" s="859">
        <f t="shared" si="419"/>
        <v>227289000</v>
      </c>
      <c r="R130" s="859">
        <f>SUM('CY-FUR (REG)- Detail'!S235:S237)</f>
        <v>0</v>
      </c>
      <c r="S130" s="859">
        <f>SUM('CY-FUR (REG)- Detail'!T235:T237)</f>
        <v>0</v>
      </c>
      <c r="T130" s="859">
        <f>SUM('CY-FUR (REG)- Detail'!U235:U237)</f>
        <v>0</v>
      </c>
      <c r="U130" s="859">
        <f>SUM('CY-FUR (REG)- Detail'!V235:V237)</f>
        <v>0</v>
      </c>
      <c r="V130" s="859">
        <f>SUM('CY-FUR (REG)- Detail'!W235:W237)</f>
        <v>0</v>
      </c>
      <c r="W130" s="859">
        <f>SUM('CY-FUR (REG)- Detail'!X235:X237)</f>
        <v>115654297.58</v>
      </c>
      <c r="X130" s="859">
        <f>SUM('CY-FUR (REG)- Detail'!Y235:Y237)</f>
        <v>104357980</v>
      </c>
      <c r="Y130" s="859">
        <f t="shared" si="420"/>
        <v>220012277.57999998</v>
      </c>
      <c r="Z130" s="859">
        <f>SUM('CY-FUR (REG)- Detail'!AA235:AA237)</f>
        <v>67022000</v>
      </c>
      <c r="AA130" s="859">
        <f>SUM('CY-FUR (REG)- Detail'!AB235:AB237)</f>
        <v>275921297.57999998</v>
      </c>
      <c r="AB130" s="859">
        <f>SUM('CY-FUR (REG)- Detail'!AC235:AC237)</f>
        <v>104357980</v>
      </c>
      <c r="AC130" s="859">
        <f t="shared" si="421"/>
        <v>447301277.57999998</v>
      </c>
      <c r="AD130" s="859">
        <f>SUM('CY-FUR (REG)- Detail'!AE235:AE237)</f>
        <v>56892590.170000002</v>
      </c>
      <c r="AE130" s="859">
        <f>SUM('CY-FUR (REG)- Detail'!AF235:AF237)</f>
        <v>105638191.8</v>
      </c>
      <c r="AF130" s="859">
        <f>SUM('CY-FUR (REG)- Detail'!AG235:AG237)</f>
        <v>0</v>
      </c>
      <c r="AG130" s="859">
        <f>SUM('CY-FUR (REG)- Detail'!AH235:AH237)</f>
        <v>162530781.97</v>
      </c>
      <c r="AH130" s="859">
        <f>SUM('CY-FUR (REG)- Detail'!AI235:AI237)</f>
        <v>0</v>
      </c>
      <c r="AI130" s="859">
        <f>SUM('CY-FUR (REG)- Detail'!AJ235:AJ237)</f>
        <v>59874194.969999999</v>
      </c>
      <c r="AJ130" s="859">
        <f>SUM('CY-FUR (REG)- Detail'!AK235:AK237)</f>
        <v>84572524.929999992</v>
      </c>
      <c r="AK130" s="859">
        <f>SUM('CY-FUR (REG)- Detail'!AL235:AL237)</f>
        <v>144446719.89999998</v>
      </c>
      <c r="AL130" s="859">
        <f>SUM('CY-FUR (REG)- Detail'!AM235:AM237)</f>
        <v>56892590.170000002</v>
      </c>
      <c r="AM130" s="859">
        <f>SUM('CY-FUR (REG)- Detail'!AN235:AN237)</f>
        <v>165512386.77000001</v>
      </c>
      <c r="AN130" s="859">
        <f>SUM('CY-FUR (REG)- Detail'!AO235:AO237)</f>
        <v>84572524.929999992</v>
      </c>
      <c r="AO130" s="859">
        <f t="shared" si="422"/>
        <v>306977501.87</v>
      </c>
      <c r="AP130" s="859">
        <f t="shared" si="258"/>
        <v>10129409.829999998</v>
      </c>
      <c r="AQ130" s="859">
        <f t="shared" si="259"/>
        <v>110408910.80999997</v>
      </c>
      <c r="AR130" s="859">
        <f t="shared" si="260"/>
        <v>19785455.070000008</v>
      </c>
      <c r="AS130" s="859">
        <f t="shared" si="423"/>
        <v>140323775.70999998</v>
      </c>
      <c r="AT130" s="1143">
        <f t="shared" si="261"/>
        <v>0.84886440526991136</v>
      </c>
      <c r="AU130" s="1143">
        <f t="shared" si="262"/>
        <v>0.59985361123496361</v>
      </c>
      <c r="AV130" s="1143">
        <f t="shared" si="263"/>
        <v>0.81040783780981573</v>
      </c>
      <c r="AW130" s="1143">
        <f t="shared" si="264"/>
        <v>0.68628800599635442</v>
      </c>
      <c r="AX130" s="22">
        <f t="shared" si="265"/>
        <v>0</v>
      </c>
      <c r="AY130" s="22">
        <f t="shared" si="266"/>
        <v>0</v>
      </c>
      <c r="AZ130" s="22">
        <f t="shared" si="267"/>
        <v>0</v>
      </c>
      <c r="BA130" s="22">
        <f t="shared" si="268"/>
        <v>0</v>
      </c>
      <c r="BB130" s="39"/>
      <c r="BF130" s="824">
        <f t="shared" si="269"/>
        <v>54628808.200000003</v>
      </c>
    </row>
    <row r="131" spans="1:58" s="16" customFormat="1">
      <c r="A131" s="905" t="s">
        <v>1050</v>
      </c>
      <c r="B131" s="859">
        <f>+'CY-FUR (REG)- Detail'!C239</f>
        <v>117947000</v>
      </c>
      <c r="C131" s="859">
        <f>+'CY-FUR (REG)- Detail'!D239</f>
        <v>41998000</v>
      </c>
      <c r="D131" s="859">
        <f>+'CY-FUR (REG)- Detail'!E239</f>
        <v>0</v>
      </c>
      <c r="E131" s="859">
        <f t="shared" si="418"/>
        <v>159945000</v>
      </c>
      <c r="F131" s="859">
        <f>+'CY-FUR (REG)- Detail'!G239</f>
        <v>0</v>
      </c>
      <c r="G131" s="859">
        <f>+'CY-FUR (REG)- Detail'!H239</f>
        <v>0</v>
      </c>
      <c r="H131" s="859">
        <f>+'CY-FUR (REG)- Detail'!I239</f>
        <v>0</v>
      </c>
      <c r="I131" s="859">
        <f t="shared" ref="I131" si="482">SUM(F131:H131)</f>
        <v>0</v>
      </c>
      <c r="J131" s="859">
        <f t="shared" ref="J131" si="483">+B131+F131</f>
        <v>117947000</v>
      </c>
      <c r="K131" s="859">
        <f t="shared" ref="K131" si="484">+C131+G131</f>
        <v>41998000</v>
      </c>
      <c r="L131" s="859">
        <f t="shared" ref="L131" si="485">+D131+H131</f>
        <v>0</v>
      </c>
      <c r="M131" s="859">
        <f t="shared" ref="M131" si="486">SUM(J131:L131)</f>
        <v>159945000</v>
      </c>
      <c r="N131" s="859">
        <f>+'CY-FUR (REG)- Detail'!O239</f>
        <v>117947000</v>
      </c>
      <c r="O131" s="859">
        <f>+'CY-FUR (REG)- Detail'!P239</f>
        <v>41998000</v>
      </c>
      <c r="P131" s="859">
        <f>+'CY-FUR (REG)- Detail'!Q239</f>
        <v>0</v>
      </c>
      <c r="Q131" s="859">
        <f t="shared" si="419"/>
        <v>159945000</v>
      </c>
      <c r="R131" s="859">
        <f>+'CY-FUR (REG)- Detail'!S239</f>
        <v>0</v>
      </c>
      <c r="S131" s="859">
        <f>+'CY-FUR (REG)- Detail'!T239</f>
        <v>0</v>
      </c>
      <c r="T131" s="859">
        <f>+'CY-FUR (REG)- Detail'!U239</f>
        <v>0</v>
      </c>
      <c r="U131" s="859">
        <f t="shared" ref="U131" si="487">SUM(R131:T131)</f>
        <v>0</v>
      </c>
      <c r="V131" s="859">
        <f>+'CY-FUR (REG)- Detail'!W239</f>
        <v>0</v>
      </c>
      <c r="W131" s="859">
        <f>+'CY-FUR (REG)- Detail'!X239</f>
        <v>20084000</v>
      </c>
      <c r="X131" s="859">
        <f>+'CY-FUR (REG)- Detail'!Y239</f>
        <v>0</v>
      </c>
      <c r="Y131" s="859">
        <f t="shared" si="420"/>
        <v>20084000</v>
      </c>
      <c r="Z131" s="859">
        <f t="shared" ref="Z131" si="488">+N131+V131+R131</f>
        <v>117947000</v>
      </c>
      <c r="AA131" s="859">
        <f t="shared" ref="AA131" si="489">+O131+W131+S131</f>
        <v>62082000</v>
      </c>
      <c r="AB131" s="859">
        <f t="shared" ref="AB131" si="490">+P131+X131+T131</f>
        <v>0</v>
      </c>
      <c r="AC131" s="859">
        <f t="shared" si="421"/>
        <v>180029000</v>
      </c>
      <c r="AD131" s="859">
        <f>+'CY-FUR (REG)- Detail'!AE239</f>
        <v>111642052.28000002</v>
      </c>
      <c r="AE131" s="859">
        <f>+'CY-FUR (REG)- Detail'!AF239</f>
        <v>36490804.649999999</v>
      </c>
      <c r="AF131" s="859">
        <f>+'CY-FUR (REG)- Detail'!AG239</f>
        <v>0</v>
      </c>
      <c r="AG131" s="859">
        <f t="shared" ref="AG131" si="491">SUM(AD131:AF131)</f>
        <v>148132856.93000001</v>
      </c>
      <c r="AH131" s="859">
        <f>+'CY-FUR (REG)- Detail'!AI239</f>
        <v>0</v>
      </c>
      <c r="AI131" s="859">
        <f>+'CY-FUR (REG)- Detail'!AJ239</f>
        <v>18570259.149999999</v>
      </c>
      <c r="AJ131" s="859">
        <f>+'CY-FUR (REG)- Detail'!AK239</f>
        <v>0</v>
      </c>
      <c r="AK131" s="859">
        <f t="shared" ref="AK131" si="492">SUM(AH131:AJ131)</f>
        <v>18570259.149999999</v>
      </c>
      <c r="AL131" s="859">
        <f t="shared" ref="AL131" si="493">+AH131+AD131</f>
        <v>111642052.28000002</v>
      </c>
      <c r="AM131" s="859">
        <f t="shared" ref="AM131" si="494">+AI131+AE131</f>
        <v>55061063.799999997</v>
      </c>
      <c r="AN131" s="859">
        <f t="shared" ref="AN131" si="495">+AJ131+AF131</f>
        <v>0</v>
      </c>
      <c r="AO131" s="859">
        <f t="shared" si="422"/>
        <v>166703116.08000001</v>
      </c>
      <c r="AP131" s="859">
        <f t="shared" si="258"/>
        <v>6304947.7199999839</v>
      </c>
      <c r="AQ131" s="859">
        <f t="shared" si="259"/>
        <v>7020936.200000003</v>
      </c>
      <c r="AR131" s="859">
        <f t="shared" si="260"/>
        <v>0</v>
      </c>
      <c r="AS131" s="859">
        <f t="shared" si="423"/>
        <v>13325883.919999987</v>
      </c>
      <c r="AT131" s="1143">
        <f t="shared" si="261"/>
        <v>0.94654422986595688</v>
      </c>
      <c r="AU131" s="1143">
        <f t="shared" si="262"/>
        <v>0.88690866595792661</v>
      </c>
      <c r="AV131" s="1143" t="str">
        <f t="shared" si="263"/>
        <v xml:space="preserve"> </v>
      </c>
      <c r="AW131" s="1143">
        <f t="shared" si="264"/>
        <v>0.92597923712290808</v>
      </c>
      <c r="AX131" s="22">
        <f t="shared" si="265"/>
        <v>0</v>
      </c>
      <c r="AY131" s="22">
        <f t="shared" si="266"/>
        <v>0</v>
      </c>
      <c r="AZ131" s="22">
        <f t="shared" si="267"/>
        <v>0</v>
      </c>
      <c r="BA131" s="22">
        <f t="shared" si="268"/>
        <v>0</v>
      </c>
      <c r="BB131" s="39"/>
      <c r="BF131" s="824">
        <f t="shared" si="269"/>
        <v>5507195.3500000015</v>
      </c>
    </row>
    <row r="132" spans="1:58" s="16" customFormat="1">
      <c r="A132" s="905" t="s">
        <v>1051</v>
      </c>
      <c r="B132" s="859">
        <f>+'CY-FUR (REG)- Detail'!C240</f>
        <v>8559000</v>
      </c>
      <c r="C132" s="859">
        <f>+'CY-FUR (REG)- Detail'!D240</f>
        <v>7009000</v>
      </c>
      <c r="D132" s="859">
        <f>+'CY-FUR (REG)- Detail'!E240</f>
        <v>0</v>
      </c>
      <c r="E132" s="859">
        <f t="shared" si="418"/>
        <v>15568000</v>
      </c>
      <c r="F132" s="859">
        <f>+'CY-FUR (REG)- Detail'!G240</f>
        <v>0</v>
      </c>
      <c r="G132" s="859">
        <f>+'CY-FUR (REG)- Detail'!H240</f>
        <v>0</v>
      </c>
      <c r="H132" s="859">
        <f>+'CY-FUR (REG)- Detail'!I240</f>
        <v>0</v>
      </c>
      <c r="I132" s="859">
        <f t="shared" ref="I132" si="496">SUM(F132:H132)</f>
        <v>0</v>
      </c>
      <c r="J132" s="859">
        <f t="shared" ref="J132" si="497">+B132+F132</f>
        <v>8559000</v>
      </c>
      <c r="K132" s="859">
        <f t="shared" ref="K132" si="498">+C132+G132</f>
        <v>7009000</v>
      </c>
      <c r="L132" s="859">
        <f t="shared" ref="L132" si="499">+D132+H132</f>
        <v>0</v>
      </c>
      <c r="M132" s="859">
        <f t="shared" ref="M132" si="500">SUM(J132:L132)</f>
        <v>15568000</v>
      </c>
      <c r="N132" s="859">
        <f>+'CY-FUR (REG)- Detail'!O240</f>
        <v>8559000</v>
      </c>
      <c r="O132" s="859">
        <f>+'CY-FUR (REG)- Detail'!P240</f>
        <v>7009000</v>
      </c>
      <c r="P132" s="859">
        <f>+'CY-FUR (REG)- Detail'!Q240</f>
        <v>0</v>
      </c>
      <c r="Q132" s="859">
        <f t="shared" si="419"/>
        <v>15568000</v>
      </c>
      <c r="R132" s="859">
        <f>+'CY-FUR (REG)- Detail'!S240</f>
        <v>0</v>
      </c>
      <c r="S132" s="859">
        <f>+'CY-FUR (REG)- Detail'!T240</f>
        <v>0</v>
      </c>
      <c r="T132" s="859">
        <f>+'CY-FUR (REG)- Detail'!U240</f>
        <v>0</v>
      </c>
      <c r="U132" s="859">
        <f t="shared" ref="U132" si="501">SUM(R132:T132)</f>
        <v>0</v>
      </c>
      <c r="V132" s="859">
        <f>+'CY-FUR (REG)- Detail'!W240</f>
        <v>0</v>
      </c>
      <c r="W132" s="859">
        <f>+'CY-FUR (REG)- Detail'!X240</f>
        <v>2118000</v>
      </c>
      <c r="X132" s="859">
        <f>+'CY-FUR (REG)- Detail'!Y240</f>
        <v>23900000</v>
      </c>
      <c r="Y132" s="859">
        <f t="shared" si="420"/>
        <v>26018000</v>
      </c>
      <c r="Z132" s="859">
        <f t="shared" ref="Z132" si="502">+N132+V132+R132</f>
        <v>8559000</v>
      </c>
      <c r="AA132" s="859">
        <f t="shared" ref="AA132" si="503">+O132+W132+S132</f>
        <v>9127000</v>
      </c>
      <c r="AB132" s="859">
        <f t="shared" ref="AB132" si="504">+P132+X132+T132</f>
        <v>23900000</v>
      </c>
      <c r="AC132" s="859">
        <f t="shared" si="421"/>
        <v>41586000</v>
      </c>
      <c r="AD132" s="859">
        <f>+'CY-FUR (REG)- Detail'!AE240</f>
        <v>7995249.5499999998</v>
      </c>
      <c r="AE132" s="859">
        <f>+'CY-FUR (REG)- Detail'!AF240</f>
        <v>6032443.2800000003</v>
      </c>
      <c r="AF132" s="859">
        <f>+'CY-FUR (REG)- Detail'!AG240</f>
        <v>0</v>
      </c>
      <c r="AG132" s="859">
        <f t="shared" ref="AG132" si="505">SUM(AD132:AF132)</f>
        <v>14027692.83</v>
      </c>
      <c r="AH132" s="859">
        <f>+'CY-FUR (REG)- Detail'!AI240</f>
        <v>0</v>
      </c>
      <c r="AI132" s="859">
        <f>+'CY-FUR (REG)- Detail'!AJ240</f>
        <v>1241172.79</v>
      </c>
      <c r="AJ132" s="859">
        <f>+'CY-FUR (REG)- Detail'!AK240</f>
        <v>23899085.800000001</v>
      </c>
      <c r="AK132" s="859">
        <f t="shared" ref="AK132" si="506">SUM(AH132:AJ132)</f>
        <v>25140258.59</v>
      </c>
      <c r="AL132" s="859">
        <f t="shared" ref="AL132" si="507">+AH132+AD132</f>
        <v>7995249.5499999998</v>
      </c>
      <c r="AM132" s="859">
        <f t="shared" ref="AM132" si="508">+AI132+AE132</f>
        <v>7273616.0700000003</v>
      </c>
      <c r="AN132" s="859">
        <f t="shared" ref="AN132" si="509">+AJ132+AF132</f>
        <v>23899085.800000001</v>
      </c>
      <c r="AO132" s="859">
        <f t="shared" si="422"/>
        <v>39167951.420000002</v>
      </c>
      <c r="AP132" s="859">
        <f t="shared" si="258"/>
        <v>563750.45000000019</v>
      </c>
      <c r="AQ132" s="859">
        <f t="shared" si="259"/>
        <v>1853383.9299999997</v>
      </c>
      <c r="AR132" s="859">
        <f t="shared" si="260"/>
        <v>914.19999999925494</v>
      </c>
      <c r="AS132" s="859">
        <f t="shared" si="423"/>
        <v>2418048.5799999991</v>
      </c>
      <c r="AT132" s="1143">
        <f t="shared" si="261"/>
        <v>0.93413360789811895</v>
      </c>
      <c r="AU132" s="1143">
        <f t="shared" si="262"/>
        <v>0.79693393995836537</v>
      </c>
      <c r="AV132" s="1143">
        <f t="shared" si="263"/>
        <v>0.99996174895397494</v>
      </c>
      <c r="AW132" s="1143">
        <f t="shared" si="264"/>
        <v>0.94185426393497818</v>
      </c>
      <c r="AX132" s="22">
        <f t="shared" si="265"/>
        <v>0</v>
      </c>
      <c r="AY132" s="22">
        <f t="shared" si="266"/>
        <v>0</v>
      </c>
      <c r="AZ132" s="22">
        <f t="shared" si="267"/>
        <v>0</v>
      </c>
      <c r="BA132" s="22">
        <f t="shared" si="268"/>
        <v>0</v>
      </c>
      <c r="BB132" s="39"/>
      <c r="BF132" s="824">
        <f t="shared" si="269"/>
        <v>976556.71999999974</v>
      </c>
    </row>
    <row r="133" spans="1:58" s="16" customFormat="1">
      <c r="A133" s="592"/>
      <c r="B133" s="859"/>
      <c r="C133" s="859"/>
      <c r="D133" s="859"/>
      <c r="E133" s="860">
        <f t="shared" si="418"/>
        <v>0</v>
      </c>
      <c r="F133" s="859"/>
      <c r="G133" s="859"/>
      <c r="H133" s="859"/>
      <c r="I133" s="860"/>
      <c r="J133" s="859"/>
      <c r="K133" s="859"/>
      <c r="L133" s="859"/>
      <c r="M133" s="860"/>
      <c r="N133" s="859"/>
      <c r="O133" s="859"/>
      <c r="P133" s="859"/>
      <c r="Q133" s="860">
        <f t="shared" si="419"/>
        <v>0</v>
      </c>
      <c r="R133" s="859"/>
      <c r="S133" s="859"/>
      <c r="T133" s="859"/>
      <c r="U133" s="860"/>
      <c r="V133" s="859"/>
      <c r="W133" s="859"/>
      <c r="X133" s="859"/>
      <c r="Y133" s="860">
        <f t="shared" si="420"/>
        <v>0</v>
      </c>
      <c r="Z133" s="860"/>
      <c r="AA133" s="860"/>
      <c r="AB133" s="860"/>
      <c r="AC133" s="860">
        <f t="shared" si="421"/>
        <v>0</v>
      </c>
      <c r="AD133" s="859"/>
      <c r="AE133" s="859"/>
      <c r="AF133" s="859"/>
      <c r="AG133" s="860"/>
      <c r="AH133" s="859"/>
      <c r="AI133" s="859"/>
      <c r="AJ133" s="859"/>
      <c r="AK133" s="860"/>
      <c r="AL133" s="860"/>
      <c r="AM133" s="860"/>
      <c r="AN133" s="860"/>
      <c r="AO133" s="860">
        <f t="shared" si="422"/>
        <v>0</v>
      </c>
      <c r="AP133" s="860">
        <f t="shared" si="258"/>
        <v>0</v>
      </c>
      <c r="AQ133" s="860">
        <f t="shared" si="259"/>
        <v>0</v>
      </c>
      <c r="AR133" s="860">
        <f t="shared" si="260"/>
        <v>0</v>
      </c>
      <c r="AS133" s="860">
        <f t="shared" si="423"/>
        <v>0</v>
      </c>
      <c r="AT133" s="1143" t="str">
        <f t="shared" si="261"/>
        <v xml:space="preserve"> </v>
      </c>
      <c r="AU133" s="1143" t="str">
        <f t="shared" si="262"/>
        <v xml:space="preserve"> </v>
      </c>
      <c r="AV133" s="1143" t="str">
        <f t="shared" si="263"/>
        <v xml:space="preserve"> </v>
      </c>
      <c r="AW133" s="1143" t="str">
        <f t="shared" si="264"/>
        <v xml:space="preserve"> </v>
      </c>
      <c r="AX133" s="22">
        <f t="shared" si="265"/>
        <v>0</v>
      </c>
      <c r="AY133" s="22">
        <f t="shared" si="266"/>
        <v>0</v>
      </c>
      <c r="AZ133" s="22">
        <f t="shared" si="267"/>
        <v>0</v>
      </c>
      <c r="BA133" s="22">
        <f t="shared" si="268"/>
        <v>0</v>
      </c>
      <c r="BB133" s="39"/>
      <c r="BF133" s="824">
        <f t="shared" si="269"/>
        <v>0</v>
      </c>
    </row>
    <row r="134" spans="1:58" s="609" customFormat="1" ht="16.5">
      <c r="A134" s="1150" t="s">
        <v>57</v>
      </c>
      <c r="B134" s="1151">
        <f t="shared" ref="B134:AN134" si="510">SUM(B135:B137)</f>
        <v>178896000</v>
      </c>
      <c r="C134" s="1151">
        <f t="shared" si="510"/>
        <v>203184000</v>
      </c>
      <c r="D134" s="1151">
        <f t="shared" si="510"/>
        <v>0</v>
      </c>
      <c r="E134" s="1151">
        <f t="shared" si="418"/>
        <v>382080000</v>
      </c>
      <c r="F134" s="1151">
        <f t="shared" si="510"/>
        <v>5538457</v>
      </c>
      <c r="G134" s="1151">
        <f t="shared" si="510"/>
        <v>-5538457</v>
      </c>
      <c r="H134" s="1151">
        <f t="shared" si="510"/>
        <v>0</v>
      </c>
      <c r="I134" s="1151">
        <f t="shared" si="510"/>
        <v>0</v>
      </c>
      <c r="J134" s="1151">
        <f t="shared" si="510"/>
        <v>184434457</v>
      </c>
      <c r="K134" s="1151">
        <f t="shared" si="510"/>
        <v>197645543</v>
      </c>
      <c r="L134" s="1151">
        <f t="shared" si="510"/>
        <v>0</v>
      </c>
      <c r="M134" s="1151">
        <f t="shared" si="510"/>
        <v>382080000</v>
      </c>
      <c r="N134" s="1151">
        <f t="shared" si="510"/>
        <v>184434457</v>
      </c>
      <c r="O134" s="1151">
        <f t="shared" si="510"/>
        <v>197645543</v>
      </c>
      <c r="P134" s="1151">
        <f t="shared" si="510"/>
        <v>0</v>
      </c>
      <c r="Q134" s="1151">
        <f t="shared" si="419"/>
        <v>382080000</v>
      </c>
      <c r="R134" s="1151">
        <f t="shared" si="510"/>
        <v>0</v>
      </c>
      <c r="S134" s="1151">
        <f t="shared" si="510"/>
        <v>0</v>
      </c>
      <c r="T134" s="1151">
        <f t="shared" si="510"/>
        <v>0</v>
      </c>
      <c r="U134" s="1151">
        <f t="shared" si="510"/>
        <v>0</v>
      </c>
      <c r="V134" s="1151">
        <f t="shared" si="510"/>
        <v>0</v>
      </c>
      <c r="W134" s="1151">
        <f t="shared" si="510"/>
        <v>151091069</v>
      </c>
      <c r="X134" s="1151">
        <f t="shared" si="510"/>
        <v>115773000</v>
      </c>
      <c r="Y134" s="1151">
        <f t="shared" si="420"/>
        <v>266864069</v>
      </c>
      <c r="Z134" s="1151">
        <f t="shared" si="510"/>
        <v>184434457</v>
      </c>
      <c r="AA134" s="1151">
        <f t="shared" si="510"/>
        <v>348736612</v>
      </c>
      <c r="AB134" s="1151">
        <f t="shared" si="510"/>
        <v>115773000</v>
      </c>
      <c r="AC134" s="1151">
        <f t="shared" si="421"/>
        <v>648944069</v>
      </c>
      <c r="AD134" s="1151">
        <f t="shared" si="510"/>
        <v>168274061.09999999</v>
      </c>
      <c r="AE134" s="1151">
        <f t="shared" si="510"/>
        <v>173348412.53</v>
      </c>
      <c r="AF134" s="1151">
        <f t="shared" si="510"/>
        <v>0</v>
      </c>
      <c r="AG134" s="1151">
        <f t="shared" si="510"/>
        <v>341622473.63</v>
      </c>
      <c r="AH134" s="1151">
        <f t="shared" si="510"/>
        <v>0</v>
      </c>
      <c r="AI134" s="1151">
        <f t="shared" si="510"/>
        <v>114243668.54000001</v>
      </c>
      <c r="AJ134" s="1151">
        <f t="shared" si="510"/>
        <v>95159160.830000013</v>
      </c>
      <c r="AK134" s="1151">
        <f t="shared" si="510"/>
        <v>209402829.37000003</v>
      </c>
      <c r="AL134" s="1151">
        <f t="shared" si="510"/>
        <v>168274061.09999999</v>
      </c>
      <c r="AM134" s="1151">
        <f t="shared" si="510"/>
        <v>287592081.06999999</v>
      </c>
      <c r="AN134" s="1151">
        <f t="shared" si="510"/>
        <v>95159160.830000013</v>
      </c>
      <c r="AO134" s="1151">
        <f t="shared" si="422"/>
        <v>551025303</v>
      </c>
      <c r="AP134" s="1151">
        <f t="shared" si="258"/>
        <v>16160395.900000006</v>
      </c>
      <c r="AQ134" s="1151">
        <f t="shared" si="259"/>
        <v>61144530.930000007</v>
      </c>
      <c r="AR134" s="1151">
        <f t="shared" si="260"/>
        <v>20613839.169999987</v>
      </c>
      <c r="AS134" s="1151">
        <f t="shared" si="423"/>
        <v>97918766</v>
      </c>
      <c r="AT134" s="1165">
        <f t="shared" si="261"/>
        <v>0.91237865113241823</v>
      </c>
      <c r="AU134" s="1165">
        <f t="shared" si="262"/>
        <v>0.82466844940846074</v>
      </c>
      <c r="AV134" s="1165">
        <f t="shared" si="263"/>
        <v>0.8219460567662582</v>
      </c>
      <c r="AW134" s="1165">
        <f t="shared" si="264"/>
        <v>0.84911062343032218</v>
      </c>
      <c r="AX134" s="1152">
        <f t="shared" si="265"/>
        <v>0</v>
      </c>
      <c r="AY134" s="1152">
        <f t="shared" si="266"/>
        <v>0</v>
      </c>
      <c r="AZ134" s="1152">
        <f t="shared" si="267"/>
        <v>0</v>
      </c>
      <c r="BA134" s="1152">
        <f t="shared" si="268"/>
        <v>0</v>
      </c>
      <c r="BB134" s="1132">
        <f>+AS134-'CY (ALL FUNDS)'!Q1419</f>
        <v>0</v>
      </c>
      <c r="BF134" s="824">
        <f t="shared" si="269"/>
        <v>24297130.469999999</v>
      </c>
    </row>
    <row r="135" spans="1:58" s="16" customFormat="1">
      <c r="A135" s="905" t="s">
        <v>1052</v>
      </c>
      <c r="B135" s="859">
        <f>SUM('CY-FUR (REG)- Detail'!C243:C245)</f>
        <v>66748000</v>
      </c>
      <c r="C135" s="859">
        <f>SUM('CY-FUR (REG)- Detail'!D243:D245)</f>
        <v>148420000</v>
      </c>
      <c r="D135" s="859">
        <f>SUM('CY-FUR (REG)- Detail'!E243:E245)</f>
        <v>0</v>
      </c>
      <c r="E135" s="859">
        <f t="shared" si="418"/>
        <v>215168000</v>
      </c>
      <c r="F135" s="859">
        <f>SUM('CY-FUR (REG)- Detail'!G243:G245)</f>
        <v>5538457</v>
      </c>
      <c r="G135" s="859">
        <f>SUM('CY-FUR (REG)- Detail'!H243:H245)</f>
        <v>-5538457</v>
      </c>
      <c r="H135" s="859">
        <f>SUM('CY-FUR (REG)- Detail'!I243:I245)</f>
        <v>0</v>
      </c>
      <c r="I135" s="859">
        <f>SUM('CY-FUR (REG)- Detail'!J243:J245)</f>
        <v>0</v>
      </c>
      <c r="J135" s="859">
        <f>SUM('CY-FUR (REG)- Detail'!K243:K245)</f>
        <v>72286457</v>
      </c>
      <c r="K135" s="859">
        <f>SUM('CY-FUR (REG)- Detail'!L243:L245)</f>
        <v>142881543</v>
      </c>
      <c r="L135" s="859">
        <f>SUM('CY-FUR (REG)- Detail'!M243:M245)</f>
        <v>0</v>
      </c>
      <c r="M135" s="859">
        <f>SUM('CY-FUR (REG)- Detail'!N243:N245)</f>
        <v>215168000</v>
      </c>
      <c r="N135" s="859">
        <f>SUM('CY-FUR (REG)- Detail'!O243:O245)</f>
        <v>72286457</v>
      </c>
      <c r="O135" s="859">
        <f>SUM('CY-FUR (REG)- Detail'!P243:P245)</f>
        <v>142881543</v>
      </c>
      <c r="P135" s="859">
        <f>SUM('CY-FUR (REG)- Detail'!Q243:Q245)</f>
        <v>0</v>
      </c>
      <c r="Q135" s="859">
        <f t="shared" si="419"/>
        <v>215168000</v>
      </c>
      <c r="R135" s="859">
        <f>SUM('CY-FUR (REG)- Detail'!S243:S245)</f>
        <v>0</v>
      </c>
      <c r="S135" s="859">
        <f>SUM('CY-FUR (REG)- Detail'!T243:T245)</f>
        <v>0</v>
      </c>
      <c r="T135" s="859">
        <f>SUM('CY-FUR (REG)- Detail'!U243:U245)</f>
        <v>0</v>
      </c>
      <c r="U135" s="859">
        <f>SUM('CY-FUR (REG)- Detail'!V243:V245)</f>
        <v>0</v>
      </c>
      <c r="V135" s="859">
        <f>SUM('CY-FUR (REG)- Detail'!W243:W245)</f>
        <v>0</v>
      </c>
      <c r="W135" s="859">
        <f>SUM('CY-FUR (REG)- Detail'!X243:X245)</f>
        <v>131752069</v>
      </c>
      <c r="X135" s="859">
        <f>SUM('CY-FUR (REG)- Detail'!Y243:Y245)</f>
        <v>8543000</v>
      </c>
      <c r="Y135" s="859">
        <f t="shared" si="420"/>
        <v>140295069</v>
      </c>
      <c r="Z135" s="859">
        <f>SUM('CY-FUR (REG)- Detail'!AA243:AA245)</f>
        <v>72286457</v>
      </c>
      <c r="AA135" s="859">
        <f>SUM('CY-FUR (REG)- Detail'!AB243:AB245)</f>
        <v>274633612</v>
      </c>
      <c r="AB135" s="859">
        <f>SUM('CY-FUR (REG)- Detail'!AC243:AC245)</f>
        <v>8543000</v>
      </c>
      <c r="AC135" s="859">
        <f t="shared" si="421"/>
        <v>355463069</v>
      </c>
      <c r="AD135" s="859">
        <f>SUM('CY-FUR (REG)- Detail'!AE243:AE245)</f>
        <v>63775743.059999987</v>
      </c>
      <c r="AE135" s="859">
        <f>SUM('CY-FUR (REG)- Detail'!AF243:AF245)</f>
        <v>128424122.17</v>
      </c>
      <c r="AF135" s="859">
        <f>SUM('CY-FUR (REG)- Detail'!AG243:AG245)</f>
        <v>0</v>
      </c>
      <c r="AG135" s="859">
        <f>SUM('CY-FUR (REG)- Detail'!AH243:AH245)</f>
        <v>192199865.22999999</v>
      </c>
      <c r="AH135" s="859">
        <f>SUM('CY-FUR (REG)- Detail'!AI243:AI245)</f>
        <v>0</v>
      </c>
      <c r="AI135" s="859">
        <f>SUM('CY-FUR (REG)- Detail'!AJ243:AJ245)</f>
        <v>99760848.890000001</v>
      </c>
      <c r="AJ135" s="859">
        <f>SUM('CY-FUR (REG)- Detail'!AK243:AK245)</f>
        <v>8539701.8100000005</v>
      </c>
      <c r="AK135" s="859">
        <f>SUM('CY-FUR (REG)- Detail'!AL243:AL245)</f>
        <v>108300550.7</v>
      </c>
      <c r="AL135" s="859">
        <f>SUM('CY-FUR (REG)- Detail'!AM243:AM245)</f>
        <v>63775743.059999987</v>
      </c>
      <c r="AM135" s="859">
        <f>SUM('CY-FUR (REG)- Detail'!AN243:AN245)</f>
        <v>228184971.05999997</v>
      </c>
      <c r="AN135" s="859">
        <f>SUM('CY-FUR (REG)- Detail'!AO243:AO245)</f>
        <v>8539701.8100000005</v>
      </c>
      <c r="AO135" s="859">
        <f t="shared" si="422"/>
        <v>300500415.92999995</v>
      </c>
      <c r="AP135" s="859">
        <f t="shared" si="258"/>
        <v>8510713.9400000125</v>
      </c>
      <c r="AQ135" s="859">
        <f t="shared" si="259"/>
        <v>46448640.940000027</v>
      </c>
      <c r="AR135" s="859">
        <f t="shared" si="260"/>
        <v>3298.1899999994785</v>
      </c>
      <c r="AS135" s="859">
        <f t="shared" si="423"/>
        <v>54962653.070000038</v>
      </c>
      <c r="AT135" s="1143">
        <f t="shared" si="261"/>
        <v>0.88226406033428895</v>
      </c>
      <c r="AU135" s="1143">
        <f t="shared" si="262"/>
        <v>0.83087051653386101</v>
      </c>
      <c r="AV135" s="1143">
        <f t="shared" si="263"/>
        <v>0.99961393070350002</v>
      </c>
      <c r="AW135" s="1143">
        <f t="shared" si="264"/>
        <v>0.84537731803018878</v>
      </c>
      <c r="AX135" s="22">
        <f t="shared" si="265"/>
        <v>0</v>
      </c>
      <c r="AY135" s="22">
        <f t="shared" si="266"/>
        <v>0</v>
      </c>
      <c r="AZ135" s="22">
        <f t="shared" si="267"/>
        <v>0</v>
      </c>
      <c r="BA135" s="22">
        <f t="shared" si="268"/>
        <v>0</v>
      </c>
      <c r="BF135" s="824">
        <f t="shared" si="269"/>
        <v>14457420.829999998</v>
      </c>
    </row>
    <row r="136" spans="1:58" s="16" customFormat="1">
      <c r="A136" s="907" t="s">
        <v>1053</v>
      </c>
      <c r="B136" s="859">
        <f>+'CY-FUR (REG)- Detail'!C247</f>
        <v>78144000</v>
      </c>
      <c r="C136" s="859">
        <f>+'CY-FUR (REG)- Detail'!D247</f>
        <v>37869000</v>
      </c>
      <c r="D136" s="859">
        <f>+'CY-FUR (REG)- Detail'!E247</f>
        <v>0</v>
      </c>
      <c r="E136" s="859">
        <f t="shared" si="418"/>
        <v>116013000</v>
      </c>
      <c r="F136" s="859">
        <f>+'CY-FUR (REG)- Detail'!G247</f>
        <v>0</v>
      </c>
      <c r="G136" s="859">
        <f>+'CY-FUR (REG)- Detail'!H247</f>
        <v>0</v>
      </c>
      <c r="H136" s="859">
        <f>+'CY-FUR (REG)- Detail'!I247</f>
        <v>0</v>
      </c>
      <c r="I136" s="859">
        <f t="shared" ref="I136" si="511">SUM(F136:H136)</f>
        <v>0</v>
      </c>
      <c r="J136" s="859">
        <f t="shared" ref="J136" si="512">+B136+F136</f>
        <v>78144000</v>
      </c>
      <c r="K136" s="859">
        <f t="shared" ref="K136" si="513">+C136+G136</f>
        <v>37869000</v>
      </c>
      <c r="L136" s="859">
        <f t="shared" ref="L136" si="514">+D136+H136</f>
        <v>0</v>
      </c>
      <c r="M136" s="859">
        <f t="shared" ref="M136" si="515">SUM(J136:L136)</f>
        <v>116013000</v>
      </c>
      <c r="N136" s="859">
        <f>+'CY-FUR (REG)- Detail'!O247</f>
        <v>78144000</v>
      </c>
      <c r="O136" s="859">
        <f>+'CY-FUR (REG)- Detail'!P247</f>
        <v>37869000</v>
      </c>
      <c r="P136" s="859">
        <f>+'CY-FUR (REG)- Detail'!Q247</f>
        <v>0</v>
      </c>
      <c r="Q136" s="859">
        <f t="shared" si="419"/>
        <v>116013000</v>
      </c>
      <c r="R136" s="859">
        <f>+'CY-FUR (REG)- Detail'!S247</f>
        <v>0</v>
      </c>
      <c r="S136" s="859">
        <f>+'CY-FUR (REG)- Detail'!T247</f>
        <v>0</v>
      </c>
      <c r="T136" s="859">
        <f>+'CY-FUR (REG)- Detail'!U247</f>
        <v>0</v>
      </c>
      <c r="U136" s="859">
        <f t="shared" ref="U136" si="516">SUM(R136:T136)</f>
        <v>0</v>
      </c>
      <c r="V136" s="859">
        <f>+'CY-FUR (REG)- Detail'!W247</f>
        <v>0</v>
      </c>
      <c r="W136" s="859">
        <f>+'CY-FUR (REG)- Detail'!X247</f>
        <v>14999000</v>
      </c>
      <c r="X136" s="859">
        <f>+'CY-FUR (REG)- Detail'!Y247</f>
        <v>80000000</v>
      </c>
      <c r="Y136" s="859">
        <f t="shared" si="420"/>
        <v>94999000</v>
      </c>
      <c r="Z136" s="859">
        <f t="shared" ref="Z136" si="517">+N136+V136+R136</f>
        <v>78144000</v>
      </c>
      <c r="AA136" s="859">
        <f t="shared" ref="AA136" si="518">+O136+W136+S136</f>
        <v>52868000</v>
      </c>
      <c r="AB136" s="859">
        <f t="shared" ref="AB136" si="519">+P136+X136+T136</f>
        <v>80000000</v>
      </c>
      <c r="AC136" s="859">
        <f t="shared" si="421"/>
        <v>211012000</v>
      </c>
      <c r="AD136" s="859">
        <f>+'CY-FUR (REG)- Detail'!AE247</f>
        <v>74250528.850000009</v>
      </c>
      <c r="AE136" s="859">
        <f>+'CY-FUR (REG)- Detail'!AF247</f>
        <v>31369782.43</v>
      </c>
      <c r="AF136" s="859">
        <f>+'CY-FUR (REG)- Detail'!AG247</f>
        <v>0</v>
      </c>
      <c r="AG136" s="859">
        <f t="shared" ref="AG136" si="520">SUM(AD136:AF136)</f>
        <v>105620311.28</v>
      </c>
      <c r="AH136" s="859">
        <f>+'CY-FUR (REG)- Detail'!AI247</f>
        <v>0</v>
      </c>
      <c r="AI136" s="859">
        <f>+'CY-FUR (REG)- Detail'!AJ247</f>
        <v>11013196.09</v>
      </c>
      <c r="AJ136" s="859">
        <f>+'CY-FUR (REG)- Detail'!AK247</f>
        <v>79939489.620000005</v>
      </c>
      <c r="AK136" s="859">
        <f t="shared" ref="AK136" si="521">SUM(AH136:AJ136)</f>
        <v>90952685.710000008</v>
      </c>
      <c r="AL136" s="859">
        <f t="shared" ref="AL136" si="522">+AH136+AD136</f>
        <v>74250528.850000009</v>
      </c>
      <c r="AM136" s="859">
        <f t="shared" ref="AM136" si="523">+AI136+AE136</f>
        <v>42382978.519999996</v>
      </c>
      <c r="AN136" s="859">
        <f t="shared" ref="AN136" si="524">+AJ136+AF136</f>
        <v>79939489.620000005</v>
      </c>
      <c r="AO136" s="859">
        <f t="shared" si="422"/>
        <v>196572996.99000001</v>
      </c>
      <c r="AP136" s="859">
        <f t="shared" si="258"/>
        <v>3893471.1499999911</v>
      </c>
      <c r="AQ136" s="859">
        <f t="shared" si="259"/>
        <v>10485021.480000004</v>
      </c>
      <c r="AR136" s="859">
        <f t="shared" si="260"/>
        <v>60510.379999995232</v>
      </c>
      <c r="AS136" s="859">
        <f t="shared" si="423"/>
        <v>14439003.00999999</v>
      </c>
      <c r="AT136" s="1143">
        <f t="shared" si="261"/>
        <v>0.95017568655303042</v>
      </c>
      <c r="AU136" s="1143">
        <f t="shared" si="262"/>
        <v>0.80167546568812886</v>
      </c>
      <c r="AV136" s="1143">
        <f t="shared" si="263"/>
        <v>0.99924362025000002</v>
      </c>
      <c r="AW136" s="1143">
        <f t="shared" si="264"/>
        <v>0.93157259771956102</v>
      </c>
      <c r="AX136" s="22">
        <f t="shared" si="265"/>
        <v>0</v>
      </c>
      <c r="AY136" s="22">
        <f t="shared" si="266"/>
        <v>0</v>
      </c>
      <c r="AZ136" s="22">
        <f t="shared" si="267"/>
        <v>0</v>
      </c>
      <c r="BA136" s="22">
        <f t="shared" si="268"/>
        <v>0</v>
      </c>
      <c r="BF136" s="824">
        <f t="shared" si="269"/>
        <v>6499217.5700000003</v>
      </c>
    </row>
    <row r="137" spans="1:58" s="16" customFormat="1">
      <c r="A137" s="907" t="s">
        <v>1054</v>
      </c>
      <c r="B137" s="859">
        <f>+'CY-FUR (REG)- Detail'!C248</f>
        <v>34004000</v>
      </c>
      <c r="C137" s="859">
        <f>+'CY-FUR (REG)- Detail'!D248</f>
        <v>16895000</v>
      </c>
      <c r="D137" s="859">
        <f>+'CY-FUR (REG)- Detail'!E248</f>
        <v>0</v>
      </c>
      <c r="E137" s="859">
        <f t="shared" si="418"/>
        <v>50899000</v>
      </c>
      <c r="F137" s="859">
        <f>+'CY-FUR (REG)- Detail'!G248</f>
        <v>0</v>
      </c>
      <c r="G137" s="859">
        <f>+'CY-FUR (REG)- Detail'!H248</f>
        <v>0</v>
      </c>
      <c r="H137" s="859">
        <f>+'CY-FUR (REG)- Detail'!I248</f>
        <v>0</v>
      </c>
      <c r="I137" s="859">
        <f t="shared" ref="I137" si="525">SUM(F137:H137)</f>
        <v>0</v>
      </c>
      <c r="J137" s="859">
        <f t="shared" ref="J137" si="526">+B137+F137</f>
        <v>34004000</v>
      </c>
      <c r="K137" s="859">
        <f t="shared" ref="K137" si="527">+C137+G137</f>
        <v>16895000</v>
      </c>
      <c r="L137" s="859">
        <f t="shared" ref="L137" si="528">+D137+H137</f>
        <v>0</v>
      </c>
      <c r="M137" s="859">
        <f t="shared" ref="M137" si="529">SUM(J137:L137)</f>
        <v>50899000</v>
      </c>
      <c r="N137" s="859">
        <f>+'CY-FUR (REG)- Detail'!O248</f>
        <v>34004000</v>
      </c>
      <c r="O137" s="859">
        <f>+'CY-FUR (REG)- Detail'!P248</f>
        <v>16895000</v>
      </c>
      <c r="P137" s="859">
        <f>+'CY-FUR (REG)- Detail'!Q248</f>
        <v>0</v>
      </c>
      <c r="Q137" s="859">
        <f t="shared" si="419"/>
        <v>50899000</v>
      </c>
      <c r="R137" s="859">
        <f>+'CY-FUR (REG)- Detail'!S248</f>
        <v>0</v>
      </c>
      <c r="S137" s="859">
        <f>+'CY-FUR (REG)- Detail'!T248</f>
        <v>0</v>
      </c>
      <c r="T137" s="859">
        <f>+'CY-FUR (REG)- Detail'!U248</f>
        <v>0</v>
      </c>
      <c r="U137" s="859">
        <f t="shared" ref="U137" si="530">SUM(R137:T137)</f>
        <v>0</v>
      </c>
      <c r="V137" s="859">
        <f>+'CY-FUR (REG)- Detail'!W248</f>
        <v>0</v>
      </c>
      <c r="W137" s="859">
        <f>+'CY-FUR (REG)- Detail'!X248</f>
        <v>4340000</v>
      </c>
      <c r="X137" s="859">
        <f>+'CY-FUR (REG)- Detail'!Y248</f>
        <v>27230000</v>
      </c>
      <c r="Y137" s="859">
        <f t="shared" si="420"/>
        <v>31570000</v>
      </c>
      <c r="Z137" s="859">
        <f t="shared" ref="Z137" si="531">+N137+V137+R137</f>
        <v>34004000</v>
      </c>
      <c r="AA137" s="859">
        <f t="shared" ref="AA137" si="532">+O137+W137+S137</f>
        <v>21235000</v>
      </c>
      <c r="AB137" s="859">
        <f t="shared" ref="AB137" si="533">+P137+X137+T137</f>
        <v>27230000</v>
      </c>
      <c r="AC137" s="859">
        <f t="shared" si="421"/>
        <v>82469000</v>
      </c>
      <c r="AD137" s="859">
        <f>+'CY-FUR (REG)- Detail'!AE248</f>
        <v>30247789.190000005</v>
      </c>
      <c r="AE137" s="859">
        <f>+'CY-FUR (REG)- Detail'!AF248</f>
        <v>13554507.93</v>
      </c>
      <c r="AF137" s="859">
        <f>+'CY-FUR (REG)- Detail'!AG248</f>
        <v>0</v>
      </c>
      <c r="AG137" s="859">
        <f t="shared" ref="AG137" si="534">SUM(AD137:AF137)</f>
        <v>43802297.120000005</v>
      </c>
      <c r="AH137" s="859">
        <f>+'CY-FUR (REG)- Detail'!AI248</f>
        <v>0</v>
      </c>
      <c r="AI137" s="859">
        <f>+'CY-FUR (REG)- Detail'!AJ248</f>
        <v>3469623.56</v>
      </c>
      <c r="AJ137" s="859">
        <f>+'CY-FUR (REG)- Detail'!AK248</f>
        <v>6679969.4000000004</v>
      </c>
      <c r="AK137" s="859">
        <f t="shared" ref="AK137" si="535">SUM(AH137:AJ137)</f>
        <v>10149592.960000001</v>
      </c>
      <c r="AL137" s="859">
        <f t="shared" ref="AL137" si="536">+AH137+AD137</f>
        <v>30247789.190000005</v>
      </c>
      <c r="AM137" s="859">
        <f t="shared" ref="AM137" si="537">+AI137+AE137</f>
        <v>17024131.489999998</v>
      </c>
      <c r="AN137" s="859">
        <f t="shared" ref="AN137" si="538">+AJ137+AF137</f>
        <v>6679969.4000000004</v>
      </c>
      <c r="AO137" s="859">
        <f t="shared" si="422"/>
        <v>53951890.080000006</v>
      </c>
      <c r="AP137" s="859">
        <f t="shared" si="258"/>
        <v>3756210.8099999949</v>
      </c>
      <c r="AQ137" s="859">
        <f t="shared" si="259"/>
        <v>4210868.5100000016</v>
      </c>
      <c r="AR137" s="859">
        <f t="shared" si="260"/>
        <v>20550030.600000001</v>
      </c>
      <c r="AS137" s="859">
        <f t="shared" si="423"/>
        <v>28517109.919999998</v>
      </c>
      <c r="AT137" s="1143">
        <f t="shared" si="261"/>
        <v>0.88953620721091653</v>
      </c>
      <c r="AU137" s="1143">
        <f t="shared" si="262"/>
        <v>0.80170150647515881</v>
      </c>
      <c r="AV137" s="1143">
        <f t="shared" si="263"/>
        <v>0.24531654058024238</v>
      </c>
      <c r="AW137" s="1143">
        <f t="shared" si="264"/>
        <v>0.65420812766009051</v>
      </c>
      <c r="AX137" s="22">
        <f t="shared" si="265"/>
        <v>0</v>
      </c>
      <c r="AY137" s="22">
        <f t="shared" si="266"/>
        <v>0</v>
      </c>
      <c r="AZ137" s="22">
        <f t="shared" si="267"/>
        <v>0</v>
      </c>
      <c r="BA137" s="22">
        <f t="shared" si="268"/>
        <v>0</v>
      </c>
      <c r="BF137" s="824">
        <f t="shared" si="269"/>
        <v>3340492.0700000003</v>
      </c>
    </row>
    <row r="138" spans="1:58" s="70" customFormat="1" ht="21.75" customHeight="1">
      <c r="A138" s="13" t="s">
        <v>454</v>
      </c>
      <c r="B138" s="864">
        <f t="shared" ref="B138:AS138" si="539">+B17+B11+B9+B13+B15</f>
        <v>8866448000</v>
      </c>
      <c r="C138" s="864">
        <f t="shared" si="539"/>
        <v>17861900000</v>
      </c>
      <c r="D138" s="864">
        <f t="shared" si="539"/>
        <v>11086068000</v>
      </c>
      <c r="E138" s="864">
        <f t="shared" si="539"/>
        <v>37814416000</v>
      </c>
      <c r="F138" s="864">
        <f t="shared" si="539"/>
        <v>100299274</v>
      </c>
      <c r="G138" s="864">
        <f t="shared" si="539"/>
        <v>-101649274</v>
      </c>
      <c r="H138" s="864">
        <f t="shared" si="539"/>
        <v>1350000</v>
      </c>
      <c r="I138" s="864">
        <f t="shared" si="539"/>
        <v>0</v>
      </c>
      <c r="J138" s="864">
        <f t="shared" si="539"/>
        <v>8966747274</v>
      </c>
      <c r="K138" s="864">
        <f t="shared" si="539"/>
        <v>17760250726</v>
      </c>
      <c r="L138" s="864">
        <f t="shared" si="539"/>
        <v>11087418000</v>
      </c>
      <c r="M138" s="864">
        <f t="shared" si="539"/>
        <v>37814416000</v>
      </c>
      <c r="N138" s="864">
        <f t="shared" si="539"/>
        <v>8966747274</v>
      </c>
      <c r="O138" s="864">
        <f t="shared" si="539"/>
        <v>17760250726</v>
      </c>
      <c r="P138" s="864">
        <f t="shared" si="539"/>
        <v>11087418000</v>
      </c>
      <c r="Q138" s="864">
        <f t="shared" si="539"/>
        <v>37814416000</v>
      </c>
      <c r="R138" s="864">
        <f t="shared" si="539"/>
        <v>0</v>
      </c>
      <c r="S138" s="864">
        <f t="shared" si="539"/>
        <v>0</v>
      </c>
      <c r="T138" s="864">
        <f t="shared" si="539"/>
        <v>0</v>
      </c>
      <c r="U138" s="864">
        <f t="shared" si="539"/>
        <v>0</v>
      </c>
      <c r="V138" s="864">
        <f t="shared" si="539"/>
        <v>0</v>
      </c>
      <c r="W138" s="864">
        <f t="shared" si="539"/>
        <v>0</v>
      </c>
      <c r="X138" s="864">
        <f t="shared" si="539"/>
        <v>0</v>
      </c>
      <c r="Y138" s="864">
        <f t="shared" si="539"/>
        <v>0</v>
      </c>
      <c r="Z138" s="864">
        <f t="shared" si="539"/>
        <v>8966747274</v>
      </c>
      <c r="AA138" s="864">
        <f t="shared" si="539"/>
        <v>17760250726</v>
      </c>
      <c r="AB138" s="864">
        <f t="shared" si="539"/>
        <v>11087418000</v>
      </c>
      <c r="AC138" s="864">
        <f t="shared" si="539"/>
        <v>37814416000</v>
      </c>
      <c r="AD138" s="864">
        <f t="shared" si="539"/>
        <v>8178413051.3200006</v>
      </c>
      <c r="AE138" s="864">
        <f t="shared" si="539"/>
        <v>10115832939.5</v>
      </c>
      <c r="AF138" s="864">
        <f t="shared" si="539"/>
        <v>1218729883.249999</v>
      </c>
      <c r="AG138" s="864">
        <f t="shared" si="539"/>
        <v>19512975874.070004</v>
      </c>
      <c r="AH138" s="864">
        <f t="shared" si="539"/>
        <v>763888.76999999979</v>
      </c>
      <c r="AI138" s="864">
        <f t="shared" si="539"/>
        <v>2949488999.0600004</v>
      </c>
      <c r="AJ138" s="864">
        <f t="shared" si="539"/>
        <v>3877002061.4500003</v>
      </c>
      <c r="AK138" s="864">
        <f t="shared" si="539"/>
        <v>6827254949.2800007</v>
      </c>
      <c r="AL138" s="864">
        <f t="shared" si="539"/>
        <v>8179176940.0900011</v>
      </c>
      <c r="AM138" s="864">
        <f t="shared" si="539"/>
        <v>13065321938.560001</v>
      </c>
      <c r="AN138" s="864">
        <f t="shared" si="539"/>
        <v>5095731944.6999989</v>
      </c>
      <c r="AO138" s="864">
        <f t="shared" si="539"/>
        <v>26340230823.350002</v>
      </c>
      <c r="AP138" s="864">
        <f t="shared" si="539"/>
        <v>787570333.90999866</v>
      </c>
      <c r="AQ138" s="864">
        <f t="shared" si="539"/>
        <v>4694928787.4399986</v>
      </c>
      <c r="AR138" s="864">
        <f t="shared" si="539"/>
        <v>5991686055.3000011</v>
      </c>
      <c r="AS138" s="864">
        <f t="shared" si="539"/>
        <v>11474185176.65</v>
      </c>
      <c r="AT138" s="1167">
        <f t="shared" ref="AT138" si="540">IF(Z138=0," ",AL138/Z138)</f>
        <v>0.9121676668423967</v>
      </c>
      <c r="AU138" s="1167">
        <f t="shared" ref="AU138" si="541">IF(AA138=0," ",AM138/AA138)</f>
        <v>0.73564963356249868</v>
      </c>
      <c r="AV138" s="1167">
        <f t="shared" ref="AV138" si="542">IF(AB138=0," ",AN138/AB138)</f>
        <v>0.45959590814561141</v>
      </c>
      <c r="AW138" s="1167">
        <f t="shared" ref="AW138" si="543">IF(AC138=0," ",AO138/AC138)</f>
        <v>0.69656585000149152</v>
      </c>
      <c r="AX138" s="864">
        <f>+AX17+AX11+AX9+AX13+AX15</f>
        <v>0</v>
      </c>
      <c r="AY138" s="864">
        <f>+AY17+AY11+AY9+AY13+AY15</f>
        <v>0</v>
      </c>
      <c r="AZ138" s="864">
        <f>+AZ17+AZ11+AZ9+AZ13+AZ15</f>
        <v>0</v>
      </c>
      <c r="BA138" s="864">
        <f>+BA17+BA11+BA9+BA13+BA15</f>
        <v>0</v>
      </c>
      <c r="BB138" s="825">
        <f>+AS138-'CY (ALL FUNDS)'!Q1831</f>
        <v>0</v>
      </c>
      <c r="BC138" s="825">
        <f>+AS138-'CY (ALL FUNDS)'!Q1737</f>
        <v>0</v>
      </c>
      <c r="BD138" s="34"/>
      <c r="BE138" s="34"/>
      <c r="BF138" s="824">
        <f t="shared" ref="BF138" si="544">+O138-AE138</f>
        <v>7644417786.5</v>
      </c>
    </row>
    <row r="139" spans="1:58" s="160" customFormat="1" ht="15" customHeight="1">
      <c r="B139" s="865">
        <f>+B138-'CY-FUR (REG)- Detail'!C267</f>
        <v>0</v>
      </c>
      <c r="C139" s="865"/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865"/>
      <c r="V139" s="865"/>
      <c r="W139" s="865"/>
      <c r="X139" s="865"/>
      <c r="Y139" s="865"/>
      <c r="Z139" s="865"/>
      <c r="AA139" s="865"/>
      <c r="AB139" s="865"/>
      <c r="AC139" s="865"/>
      <c r="AD139" s="865"/>
      <c r="AE139" s="865"/>
      <c r="AF139" s="865"/>
      <c r="AG139" s="865"/>
      <c r="AH139" s="865"/>
      <c r="AI139" s="865"/>
      <c r="AJ139" s="865"/>
      <c r="AK139" s="865"/>
      <c r="AL139" s="865"/>
      <c r="AM139" s="865"/>
      <c r="AN139" s="865"/>
      <c r="AO139" s="865"/>
      <c r="AP139" s="865"/>
      <c r="AQ139" s="865"/>
      <c r="AR139" s="865"/>
      <c r="AS139" s="865">
        <f>+AS138-'CY-FUR (REG)- Detail'!AT267</f>
        <v>0</v>
      </c>
      <c r="AT139" s="163"/>
      <c r="AU139" s="163"/>
      <c r="AV139" s="163"/>
      <c r="AW139" s="163">
        <f>+AW138-'CY-FUR (REG)- Detail'!AX267</f>
        <v>0</v>
      </c>
    </row>
    <row r="140" spans="1:58" s="160" customFormat="1" ht="15" hidden="1" customHeight="1">
      <c r="B140" s="865">
        <f>+B138-'CY-FUR (REG)- Detail'!C267</f>
        <v>0</v>
      </c>
      <c r="C140" s="865">
        <f>+C138-'CY-FUR (REG)- Detail'!D267</f>
        <v>0</v>
      </c>
      <c r="D140" s="865">
        <f>+D138-'CY-FUR (REG)- Detail'!E267</f>
        <v>0</v>
      </c>
      <c r="E140" s="865">
        <f>+E138-'CY-FUR (REG)- Detail'!F267</f>
        <v>0</v>
      </c>
      <c r="F140" s="865">
        <f>+F138-'CY-FUR (REG)- Detail'!G267</f>
        <v>0</v>
      </c>
      <c r="G140" s="865">
        <f>+G138-'CY-FUR (REG)- Detail'!H267</f>
        <v>0</v>
      </c>
      <c r="H140" s="865">
        <f>+H138-'CY-FUR (REG)- Detail'!I267</f>
        <v>0</v>
      </c>
      <c r="I140" s="865">
        <f>+I138-'CY-FUR (REG)- Detail'!J267</f>
        <v>0</v>
      </c>
      <c r="J140" s="865">
        <f>+J138-'CY-FUR (REG)- Detail'!K267</f>
        <v>0</v>
      </c>
      <c r="K140" s="865">
        <f>+K138-'CY-FUR (REG)- Detail'!L267</f>
        <v>0</v>
      </c>
      <c r="L140" s="865">
        <f>+L138-'CY-FUR (REG)- Detail'!M267</f>
        <v>0</v>
      </c>
      <c r="M140" s="865">
        <f>+M138-'CY-FUR (REG)- Detail'!N267</f>
        <v>0</v>
      </c>
      <c r="N140" s="865">
        <f>+N138-'CY-FUR (REG)- Detail'!O267</f>
        <v>0</v>
      </c>
      <c r="O140" s="865">
        <f>+O138-'CY-FUR (REG)- Detail'!P267</f>
        <v>0</v>
      </c>
      <c r="P140" s="865">
        <f>+P138-'CY-FUR (REG)- Detail'!Q267</f>
        <v>0</v>
      </c>
      <c r="Q140" s="865">
        <f>+Q138-'CY-FUR (REG)- Detail'!R267</f>
        <v>0</v>
      </c>
      <c r="R140" s="865">
        <f>+R138-'CY-FUR (REG)- Detail'!S267</f>
        <v>0</v>
      </c>
      <c r="S140" s="865">
        <f>+S138-'CY-FUR (REG)- Detail'!T267</f>
        <v>0</v>
      </c>
      <c r="T140" s="865">
        <f>+T138-'CY-FUR (REG)- Detail'!U267</f>
        <v>0</v>
      </c>
      <c r="U140" s="865">
        <f>+U138-'CY-FUR (REG)- Detail'!V267</f>
        <v>0</v>
      </c>
      <c r="V140" s="865">
        <f>+V138-'CY-FUR (REG)- Detail'!W267</f>
        <v>0</v>
      </c>
      <c r="W140" s="865">
        <f>+W138-'CY-FUR (REG)- Detail'!X267</f>
        <v>4.76837158203125E-7</v>
      </c>
      <c r="X140" s="865">
        <f>+X138-'CY-FUR (REG)- Detail'!Y267</f>
        <v>4.76837158203125E-7</v>
      </c>
      <c r="Y140" s="865">
        <f>+Y138-'CY-FUR (REG)- Detail'!Z267</f>
        <v>9.5367431640625E-7</v>
      </c>
      <c r="Z140" s="865">
        <f>+Z138-'CY-FUR (REG)- Detail'!AA267</f>
        <v>0</v>
      </c>
      <c r="AA140" s="865">
        <f>+AA138-'CY-FUR (REG)- Detail'!AB267</f>
        <v>0</v>
      </c>
      <c r="AB140" s="865">
        <f>+AB138-'CY-FUR (REG)- Detail'!AC267</f>
        <v>0</v>
      </c>
      <c r="AC140" s="865">
        <f>+AC138-'CY-FUR (REG)- Detail'!AD267</f>
        <v>0</v>
      </c>
      <c r="AD140" s="865">
        <f>+AD138-'CY-FUR (REG)- Detail'!AE267</f>
        <v>0</v>
      </c>
      <c r="AE140" s="865">
        <f>+AE138-'CY-FUR (REG)- Detail'!AF267</f>
        <v>0</v>
      </c>
      <c r="AF140" s="865">
        <f>+AF138-'CY-FUR (REG)- Detail'!AG267</f>
        <v>0</v>
      </c>
      <c r="AG140" s="865">
        <f>+AG138-'CY-FUR (REG)- Detail'!AH267</f>
        <v>0</v>
      </c>
      <c r="AH140" s="865">
        <f>+AH138-'CY-FUR (REG)- Detail'!AI267</f>
        <v>0</v>
      </c>
      <c r="AI140" s="865">
        <f>+AI138-'CY-FUR (REG)- Detail'!AJ267</f>
        <v>0</v>
      </c>
      <c r="AJ140" s="865">
        <f>+AJ138-'CY-FUR (REG)- Detail'!AK267</f>
        <v>0</v>
      </c>
      <c r="AK140" s="865">
        <f>+AK138-'CY-FUR (REG)- Detail'!AL267</f>
        <v>0</v>
      </c>
      <c r="AL140" s="865">
        <f>+AL138-'CY-FUR (REG)- Detail'!AM267</f>
        <v>0</v>
      </c>
      <c r="AM140" s="865">
        <f>+AM138-'CY-FUR (REG)- Detail'!AN267</f>
        <v>0</v>
      </c>
      <c r="AN140" s="865">
        <f>+AN138-'CY-FUR (REG)- Detail'!AO267</f>
        <v>0</v>
      </c>
      <c r="AO140" s="865">
        <f>+AO138-'CY-FUR (REG)- Detail'!AP267</f>
        <v>0</v>
      </c>
      <c r="AP140" s="865">
        <f>+AP138-'CY-FUR (REG)- Detail'!AQ267</f>
        <v>0</v>
      </c>
      <c r="AQ140" s="865">
        <f>+AQ138-'CY-FUR (REG)- Detail'!AR267</f>
        <v>0</v>
      </c>
      <c r="AR140" s="865">
        <f>+AR138-'CY-FUR (REG)- Detail'!AS267</f>
        <v>0</v>
      </c>
      <c r="AS140" s="865">
        <f>+AS138-'CY-FUR (REG)- Detail'!AT267</f>
        <v>0</v>
      </c>
      <c r="AT140" s="865">
        <f>+AT138-'CY-FUR (REG)- Detail'!AU267</f>
        <v>0</v>
      </c>
      <c r="AU140" s="865">
        <f>+AU138-'CY-FUR (REG)- Detail'!AV267</f>
        <v>0</v>
      </c>
      <c r="AV140" s="865">
        <f>+AV138-'CY-FUR (REG)- Detail'!AW267</f>
        <v>0</v>
      </c>
      <c r="AW140" s="865">
        <f>+AW138-'CY-FUR (REG)- Detail'!AX267</f>
        <v>0</v>
      </c>
      <c r="AX140" s="161">
        <f>+AX138-'CY-FUR (REG)- Detail'!AY267</f>
        <v>0</v>
      </c>
      <c r="AY140" s="161">
        <f>+AY138-'CY-FUR (REG)- Detail'!AZ267</f>
        <v>0</v>
      </c>
      <c r="AZ140" s="161">
        <f>+AZ138-'CY-FUR (REG)- Detail'!BA267</f>
        <v>0</v>
      </c>
      <c r="BA140" s="161">
        <f>+BA138-'CY-FUR (REG)- Detail'!BB267</f>
        <v>0</v>
      </c>
    </row>
    <row r="141" spans="1:58" s="160" customFormat="1" hidden="1">
      <c r="B141" s="865">
        <f>+B138-'CY-FUR (REG)- Detail'!C267</f>
        <v>0</v>
      </c>
      <c r="C141" s="865">
        <f>+C138-'CY-FUR (REG)- Detail'!D267</f>
        <v>0</v>
      </c>
      <c r="D141" s="865">
        <f>+D138-'CY-FUR (REG)- Detail'!E267</f>
        <v>0</v>
      </c>
      <c r="E141" s="865">
        <f>+E138-'CY-FUR (REG)- Detail'!F267</f>
        <v>0</v>
      </c>
      <c r="F141" s="865">
        <f>+F138-'CY-FUR (REG)- Detail'!G267</f>
        <v>0</v>
      </c>
      <c r="G141" s="865">
        <f>+G138-'CY-FUR (REG)- Detail'!H267</f>
        <v>0</v>
      </c>
      <c r="H141" s="865">
        <f>+H138-'CY-FUR (REG)- Detail'!I267</f>
        <v>0</v>
      </c>
      <c r="I141" s="865">
        <f>+I138-'CY-FUR (REG)- Detail'!J267</f>
        <v>0</v>
      </c>
      <c r="J141" s="865">
        <f>+J138-'CY-FUR (REG)- Detail'!K267</f>
        <v>0</v>
      </c>
      <c r="K141" s="865">
        <f>+K138-'CY-FUR (REG)- Detail'!L267</f>
        <v>0</v>
      </c>
      <c r="L141" s="865">
        <f>+L138-'CY-FUR (REG)- Detail'!M267</f>
        <v>0</v>
      </c>
      <c r="M141" s="865">
        <f>+M138-'CY-FUR (REG)- Detail'!N267</f>
        <v>0</v>
      </c>
      <c r="N141" s="865">
        <f>+N138-'CY-FUR (REG)- Detail'!O267</f>
        <v>0</v>
      </c>
      <c r="O141" s="865">
        <f>+O138-'CY-FUR (REG)- Detail'!P267</f>
        <v>0</v>
      </c>
      <c r="P141" s="865">
        <f>+P138-'CY-FUR (REG)- Detail'!Q267</f>
        <v>0</v>
      </c>
      <c r="Q141" s="865">
        <f>+Q138-'CY-FUR (REG)- Detail'!R267</f>
        <v>0</v>
      </c>
      <c r="R141" s="865">
        <f>+R138-'CY-FUR (REG)- Detail'!S267</f>
        <v>0</v>
      </c>
      <c r="S141" s="865">
        <f>+S138-'CY-FUR (REG)- Detail'!T267</f>
        <v>0</v>
      </c>
      <c r="T141" s="865">
        <f>+T138-'CY-FUR (REG)- Detail'!U267</f>
        <v>0</v>
      </c>
      <c r="U141" s="865">
        <f>+U138-'CY-FUR (REG)- Detail'!V267</f>
        <v>0</v>
      </c>
      <c r="V141" s="865">
        <f>+V138-'CY-FUR (REG)- Detail'!W267</f>
        <v>0</v>
      </c>
      <c r="W141" s="865">
        <f>+W138-'CY-FUR (REG)- Detail'!X267</f>
        <v>4.76837158203125E-7</v>
      </c>
      <c r="X141" s="865">
        <f>+X138-'CY-FUR (REG)- Detail'!Y267</f>
        <v>4.76837158203125E-7</v>
      </c>
      <c r="Y141" s="865">
        <f>+Y138-'CY-FUR (REG)- Detail'!Z267</f>
        <v>9.5367431640625E-7</v>
      </c>
      <c r="Z141" s="865">
        <f>+Z138-'CY-FUR (REG)- Detail'!AA267</f>
        <v>0</v>
      </c>
      <c r="AA141" s="865">
        <f>+AA138-'CY-FUR (REG)- Detail'!AB267</f>
        <v>0</v>
      </c>
      <c r="AB141" s="865">
        <f>+AB138-'CY-FUR (REG)- Detail'!AC267</f>
        <v>0</v>
      </c>
      <c r="AC141" s="865">
        <f>+AC138-'CY-FUR (REG)- Detail'!AD267</f>
        <v>0</v>
      </c>
      <c r="AD141" s="865">
        <f>+AD138-'CY-FUR (REG)- Detail'!AE267</f>
        <v>0</v>
      </c>
      <c r="AE141" s="865">
        <f>+AE138-'CY-FUR (REG)- Detail'!AF267</f>
        <v>0</v>
      </c>
      <c r="AF141" s="865">
        <f>+AF138-'CY-FUR (REG)- Detail'!AG267</f>
        <v>0</v>
      </c>
      <c r="AG141" s="865">
        <f>+AG138-'CY-FUR (REG)- Detail'!AH267</f>
        <v>0</v>
      </c>
      <c r="AH141" s="865">
        <f>+AH138-'CY-FUR (REG)- Detail'!AI267</f>
        <v>0</v>
      </c>
      <c r="AI141" s="865">
        <f>+AI138-'CY-FUR (REG)- Detail'!AJ267</f>
        <v>0</v>
      </c>
      <c r="AJ141" s="865">
        <f>+AJ138-'CY-FUR (REG)- Detail'!AK267</f>
        <v>0</v>
      </c>
      <c r="AK141" s="865">
        <f>+AK138-'CY-FUR (REG)- Detail'!AL267</f>
        <v>0</v>
      </c>
      <c r="AL141" s="865">
        <f>+AL138-'CY-FUR (REG)- Detail'!AM267</f>
        <v>0</v>
      </c>
      <c r="AM141" s="865">
        <f>+AM138-'CY-FUR (REG)- Detail'!AN267</f>
        <v>0</v>
      </c>
      <c r="AN141" s="865">
        <f>+AN138-'CY-FUR (REG)- Detail'!AO267</f>
        <v>0</v>
      </c>
      <c r="AO141" s="865">
        <f>+AO138-'CY-FUR (REG)- Detail'!AP267</f>
        <v>0</v>
      </c>
      <c r="AP141" s="865">
        <f>+AP138-'CY-FUR (REG)- Detail'!AQ267</f>
        <v>0</v>
      </c>
      <c r="AQ141" s="865">
        <f>+AQ138-'CY-FUR (REG)- Detail'!AR267</f>
        <v>0</v>
      </c>
      <c r="AR141" s="865">
        <f>+AR138-'CY-FUR (REG)- Detail'!AS267</f>
        <v>0</v>
      </c>
      <c r="AS141" s="865">
        <f>+AS138-'CY-FUR (REG)- Detail'!AT267</f>
        <v>0</v>
      </c>
      <c r="AT141" s="865">
        <f>+AT138-'CY-FUR (REG)- Detail'!AU267</f>
        <v>0</v>
      </c>
      <c r="AU141" s="865">
        <f>+AU138-'CY-FUR (REG)- Detail'!AV267</f>
        <v>0</v>
      </c>
      <c r="AV141" s="865">
        <f>+AV138-'CY-FUR (REG)- Detail'!AW267</f>
        <v>0</v>
      </c>
      <c r="AW141" s="865">
        <f>+AW138-'CY-FUR (REG)- Detail'!AX267</f>
        <v>0</v>
      </c>
      <c r="AX141" s="865">
        <f>+AX138-'CY-FUR (REG)- Detail'!AY267</f>
        <v>0</v>
      </c>
      <c r="AY141" s="865">
        <f>+AY138-'CY-FUR (REG)- Detail'!AZ267</f>
        <v>0</v>
      </c>
      <c r="AZ141" s="865">
        <f>+AZ138-'CY-FUR (REG)- Detail'!BA267</f>
        <v>0</v>
      </c>
      <c r="BA141" s="865">
        <f>+BA138-'CY-FUR (REG)- Detail'!BB267</f>
        <v>0</v>
      </c>
    </row>
    <row r="142" spans="1:58" s="160" customFormat="1">
      <c r="A142" s="578" t="s">
        <v>881</v>
      </c>
      <c r="B142" s="865"/>
      <c r="C142" s="865"/>
      <c r="D142" s="865"/>
      <c r="E142" s="865"/>
      <c r="F142" s="865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865"/>
      <c r="V142" s="865"/>
      <c r="W142" s="865"/>
      <c r="X142" s="865"/>
      <c r="Y142" s="865"/>
      <c r="Z142" s="865"/>
      <c r="AA142" s="865"/>
      <c r="AB142" s="865"/>
      <c r="AC142" s="865"/>
      <c r="AD142" s="865"/>
      <c r="AE142" s="865"/>
      <c r="AF142" s="865"/>
      <c r="AG142" s="865"/>
      <c r="AH142" s="865"/>
      <c r="AI142" s="865"/>
      <c r="AJ142" s="865"/>
      <c r="AK142" s="865"/>
      <c r="AL142" s="865"/>
      <c r="AS142" s="161">
        <f>+AS138-'CY (ALL FUNDS)'!Q1831</f>
        <v>0</v>
      </c>
      <c r="AT142" s="1145"/>
      <c r="AU142" s="1145"/>
      <c r="AV142" s="1145"/>
      <c r="AW142" s="1145"/>
      <c r="BA142" s="890"/>
    </row>
    <row r="143" spans="1:58">
      <c r="A143" s="108" t="s">
        <v>873</v>
      </c>
      <c r="B143" s="166"/>
      <c r="C143" s="166"/>
    </row>
    <row r="144" spans="1:58">
      <c r="A144" s="513" t="s">
        <v>874</v>
      </c>
      <c r="B144" s="228"/>
      <c r="C144" s="166">
        <v>15600000</v>
      </c>
    </row>
    <row r="145" spans="1:3">
      <c r="A145" s="514" t="s">
        <v>875</v>
      </c>
      <c r="B145" s="166"/>
      <c r="C145" s="166">
        <v>12612283000</v>
      </c>
    </row>
    <row r="146" spans="1:3" ht="15.75" thickBot="1">
      <c r="A146" s="515" t="s">
        <v>876</v>
      </c>
      <c r="B146" s="109"/>
      <c r="C146" s="229">
        <f>SUM(C144:C145)</f>
        <v>12627883000</v>
      </c>
    </row>
    <row r="147" spans="1:3" ht="15.75" thickTop="1">
      <c r="A147" s="515"/>
      <c r="B147" s="109"/>
      <c r="C147" s="109"/>
    </row>
    <row r="148" spans="1:3">
      <c r="A148" s="1253" t="s">
        <v>1121</v>
      </c>
    </row>
    <row r="149" spans="1:3">
      <c r="A149" s="108"/>
    </row>
    <row r="161" spans="39:49" ht="15.75" hidden="1" thickBot="1">
      <c r="AM161" s="865"/>
      <c r="AN161" s="865"/>
      <c r="AO161" s="865"/>
      <c r="AP161" s="865"/>
      <c r="AQ161" s="865"/>
      <c r="AR161" s="865"/>
      <c r="AS161" s="865"/>
      <c r="AT161" s="1144"/>
      <c r="AU161" s="1144"/>
      <c r="AV161" s="1144"/>
      <c r="AW161" s="1144"/>
    </row>
    <row r="162" spans="39:49" ht="16.5" hidden="1">
      <c r="AM162" s="875">
        <v>81786</v>
      </c>
      <c r="AN162" s="875">
        <v>4466</v>
      </c>
      <c r="AO162" s="876">
        <f>+AM162-AN162</f>
        <v>77320</v>
      </c>
      <c r="AQ162" s="878">
        <f>+AN162/AM162</f>
        <v>5.4605922774068914E-2</v>
      </c>
      <c r="AR162" s="878">
        <f>+AO162/AM162</f>
        <v>0.94539407722593105</v>
      </c>
      <c r="AS162" s="852">
        <f>+AS138-'[5]SUMM BY CLUSTER-CY2013'!$AS$43</f>
        <v>-11442221239.104006</v>
      </c>
    </row>
    <row r="163" spans="39:49" ht="16.5" hidden="1">
      <c r="AM163" s="877">
        <v>17843</v>
      </c>
      <c r="AN163" s="877">
        <v>7167</v>
      </c>
      <c r="AO163" s="876">
        <f>+AM163-AN163</f>
        <v>10676</v>
      </c>
      <c r="AQ163" s="878">
        <f>+AN163/AM163</f>
        <v>0.40167012273720787</v>
      </c>
      <c r="AR163" s="878">
        <f>+AO163/AM163</f>
        <v>0.59832987726279208</v>
      </c>
    </row>
    <row r="164" spans="39:49" ht="16.5" hidden="1">
      <c r="AM164" s="877">
        <v>110178</v>
      </c>
      <c r="AN164" s="877">
        <v>3425</v>
      </c>
      <c r="AO164" s="876">
        <f>+AM164-AN164</f>
        <v>106753</v>
      </c>
      <c r="AQ164" s="878">
        <f>+AN164/AM164</f>
        <v>3.1086060738078382E-2</v>
      </c>
      <c r="AR164" s="878">
        <f>+AO164/AM164</f>
        <v>0.9689139392619216</v>
      </c>
    </row>
    <row r="165" spans="39:49" ht="16.5" hidden="1">
      <c r="AM165" s="876">
        <f>SUM(AM162:AM164)</f>
        <v>209807</v>
      </c>
      <c r="AN165" s="876">
        <f>SUM(AN162:AN164)</f>
        <v>15058</v>
      </c>
      <c r="AO165" s="876">
        <f>SUM(AO162:AO164)</f>
        <v>194749</v>
      </c>
      <c r="AQ165" s="878">
        <f>+AN165/AM165</f>
        <v>7.177072261649993E-2</v>
      </c>
      <c r="AR165" s="878">
        <f>+AO165/AM165</f>
        <v>0.92822927738350003</v>
      </c>
    </row>
    <row r="166" spans="39:49" hidden="1">
      <c r="AM166" s="874"/>
      <c r="AN166" s="874"/>
      <c r="AO166" s="874"/>
    </row>
    <row r="167" spans="39:49" hidden="1"/>
    <row r="168" spans="39:49" hidden="1"/>
    <row r="169" spans="39:49" hidden="1"/>
    <row r="170" spans="39:49" hidden="1"/>
    <row r="171" spans="39:49" hidden="1"/>
    <row r="172" spans="39:49" hidden="1"/>
    <row r="173" spans="39:49" hidden="1"/>
    <row r="174" spans="39:49" hidden="1"/>
    <row r="175" spans="39:49" hidden="1"/>
    <row r="176" spans="39:49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1.1000000000000001" right="0.2" top="0.75" bottom="0.75" header="0.3" footer="0.3"/>
  <pageSetup paperSize="5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9">
    <tabColor rgb="FF00B0F0"/>
    <pageSetUpPr fitToPage="1"/>
  </sheetPr>
  <dimension ref="A1:BL145"/>
  <sheetViews>
    <sheetView workbookViewId="0">
      <pane xSplit="1" ySplit="7" topLeftCell="AJ97" activePane="bottomRight" state="frozen"/>
      <selection pane="topRight" activeCell="B1" sqref="B1"/>
      <selection pane="bottomLeft" activeCell="A8" sqref="A8"/>
      <selection pane="bottomRight" activeCell="AK108" sqref="AK108"/>
    </sheetView>
  </sheetViews>
  <sheetFormatPr defaultRowHeight="15"/>
  <cols>
    <col min="1" max="1" width="70.7109375" style="17" bestFit="1" customWidth="1"/>
    <col min="2" max="2" width="5.7109375" style="17" hidden="1" customWidth="1"/>
    <col min="3" max="3" width="15.85546875" style="17" bestFit="1" customWidth="1"/>
    <col min="4" max="5" width="17.5703125" style="17" bestFit="1" customWidth="1"/>
    <col min="6" max="6" width="5.7109375" style="17" hidden="1" customWidth="1"/>
    <col min="7" max="7" width="15.5703125" style="17" hidden="1" customWidth="1"/>
    <col min="8" max="9" width="16.5703125" style="17" hidden="1" customWidth="1"/>
    <col min="10" max="10" width="5.7109375" style="17" hidden="1" customWidth="1"/>
    <col min="11" max="12" width="15.85546875" style="17" hidden="1" customWidth="1"/>
    <col min="13" max="13" width="17.5703125" style="17" hidden="1" customWidth="1"/>
    <col min="14" max="14" width="5.7109375" style="17" customWidth="1"/>
    <col min="15" max="15" width="15.85546875" style="17" bestFit="1" customWidth="1"/>
    <col min="16" max="16" width="16.5703125" style="17" bestFit="1" customWidth="1"/>
    <col min="17" max="17" width="17.5703125" style="17" bestFit="1" customWidth="1"/>
    <col min="18" max="18" width="5.7109375" style="17" hidden="1" customWidth="1"/>
    <col min="19" max="21" width="17.5703125" style="17" bestFit="1" customWidth="1"/>
    <col min="22" max="22" width="5.7109375" style="17" hidden="1" customWidth="1"/>
    <col min="23" max="25" width="15.85546875" style="17" hidden="1" customWidth="1"/>
    <col min="26" max="26" width="5.7109375" style="17" hidden="1" customWidth="1"/>
    <col min="27" max="29" width="15.85546875" style="17" hidden="1" customWidth="1"/>
    <col min="30" max="30" width="5.7109375" style="17" hidden="1" customWidth="1"/>
    <col min="31" max="31" width="15.85546875" style="17" bestFit="1" customWidth="1"/>
    <col min="32" max="33" width="17.5703125" style="17" bestFit="1" customWidth="1"/>
    <col min="34" max="34" width="5.7109375" style="17" hidden="1" customWidth="1"/>
    <col min="35" max="35" width="15.85546875" style="17" bestFit="1" customWidth="1"/>
    <col min="36" max="37" width="17.5703125" style="17" bestFit="1" customWidth="1"/>
    <col min="38" max="38" width="3.5703125" style="9" hidden="1" customWidth="1"/>
    <col min="39" max="39" width="6.5703125" style="879" bestFit="1" customWidth="1"/>
    <col min="40" max="40" width="5.7109375" style="879" bestFit="1" customWidth="1"/>
    <col min="41" max="41" width="7.140625" style="879" bestFit="1" customWidth="1"/>
    <col min="42" max="42" width="6.140625" style="852" bestFit="1" customWidth="1"/>
    <col min="43" max="43" width="5.140625" style="17" bestFit="1" customWidth="1"/>
    <col min="44" max="54" width="19.140625" style="17" customWidth="1"/>
    <col min="55" max="16384" width="9.140625" style="17"/>
  </cols>
  <sheetData>
    <row r="1" spans="1:64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64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64">
      <c r="A3" s="15" t="s">
        <v>1117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64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64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  <c r="AP5" s="1168"/>
    </row>
    <row r="6" spans="1:64" s="18" customFormat="1">
      <c r="A6" s="1494"/>
      <c r="B6" s="829"/>
      <c r="C6" s="830"/>
      <c r="D6" s="830"/>
      <c r="E6" s="831"/>
      <c r="F6" s="832"/>
      <c r="G6" s="832"/>
      <c r="H6" s="832"/>
      <c r="I6" s="832"/>
      <c r="J6" s="832"/>
      <c r="K6" s="832"/>
      <c r="L6" s="832"/>
      <c r="M6" s="832"/>
      <c r="N6" s="829"/>
      <c r="O6" s="830"/>
      <c r="P6" s="830"/>
      <c r="Q6" s="831"/>
      <c r="R6" s="86"/>
      <c r="S6" s="134"/>
      <c r="T6" s="134"/>
      <c r="U6" s="135"/>
      <c r="V6" s="86"/>
      <c r="W6" s="134"/>
      <c r="X6" s="134"/>
      <c r="Y6" s="135"/>
      <c r="Z6" s="829"/>
      <c r="AA6" s="830"/>
      <c r="AB6" s="830"/>
      <c r="AC6" s="831"/>
      <c r="AD6" s="829"/>
      <c r="AE6" s="830"/>
      <c r="AF6" s="830"/>
      <c r="AG6" s="135"/>
      <c r="AH6" s="829"/>
      <c r="AI6" s="830"/>
      <c r="AJ6" s="830"/>
      <c r="AK6" s="831"/>
      <c r="AL6" s="82"/>
      <c r="AM6" s="881"/>
      <c r="AN6" s="881"/>
      <c r="AO6" s="882"/>
      <c r="AP6" s="1168"/>
    </row>
    <row r="7" spans="1:64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  <c r="AP7" s="1168"/>
    </row>
    <row r="8" spans="1:64">
      <c r="A8" s="7"/>
      <c r="B8" s="7"/>
      <c r="C8" s="20"/>
      <c r="D8" s="20"/>
      <c r="E8" s="19"/>
      <c r="F8" s="19"/>
      <c r="G8" s="19"/>
      <c r="H8" s="19"/>
      <c r="I8" s="19"/>
      <c r="J8" s="19"/>
      <c r="K8" s="19"/>
      <c r="L8" s="19"/>
      <c r="M8" s="19"/>
      <c r="N8" s="20"/>
      <c r="O8" s="20"/>
      <c r="P8" s="20"/>
      <c r="Q8" s="19"/>
      <c r="R8" s="20"/>
      <c r="S8" s="20"/>
      <c r="T8" s="20"/>
      <c r="U8" s="19"/>
      <c r="V8" s="20"/>
      <c r="W8" s="20"/>
      <c r="X8" s="20"/>
      <c r="Y8" s="19"/>
      <c r="Z8" s="20"/>
      <c r="AA8" s="20"/>
      <c r="AB8" s="20"/>
      <c r="AC8" s="19"/>
      <c r="AD8" s="20"/>
      <c r="AE8" s="20"/>
      <c r="AF8" s="20"/>
      <c r="AG8" s="19"/>
      <c r="AH8" s="20"/>
      <c r="AI8" s="20"/>
      <c r="AJ8" s="20"/>
      <c r="AK8" s="19"/>
      <c r="AL8" s="11"/>
      <c r="AM8" s="884"/>
      <c r="AN8" s="884"/>
      <c r="AO8" s="884"/>
      <c r="AP8" s="116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</row>
    <row r="9" spans="1:64" s="24" customFormat="1" ht="18">
      <c r="A9" s="851" t="s">
        <v>953</v>
      </c>
      <c r="B9" s="855">
        <f>+'CONAP-FUR (REG)-Detail'!C59</f>
        <v>0</v>
      </c>
      <c r="C9" s="855">
        <f>+'CONAP-FUR (REG)-Detail'!D59</f>
        <v>313914442.91999972</v>
      </c>
      <c r="D9" s="855">
        <f>+'CONAP-FUR (REG)-Detail'!E59</f>
        <v>3585691671.0500002</v>
      </c>
      <c r="E9" s="855">
        <f t="shared" ref="E9" si="0">SUM(B9:D9)</f>
        <v>3899606113.9699998</v>
      </c>
      <c r="F9" s="855">
        <f>+'CONAP-FUR (REG)-Detail'!G59</f>
        <v>0</v>
      </c>
      <c r="G9" s="855">
        <f>+'CONAP-FUR (REG)-Detail'!H59</f>
        <v>49296080.370000005</v>
      </c>
      <c r="H9" s="855">
        <f>+'CONAP-FUR (REG)-Detail'!I59</f>
        <v>-96454837</v>
      </c>
      <c r="I9" s="855">
        <f>SUM(F9:H9)</f>
        <v>-47158756.629999995</v>
      </c>
      <c r="J9" s="855">
        <f>+'CONAP-FUR (REG)-Detail'!K59</f>
        <v>0</v>
      </c>
      <c r="K9" s="855">
        <f>+'CONAP-FUR (REG)-Detail'!L59</f>
        <v>0</v>
      </c>
      <c r="L9" s="855">
        <f>+'CONAP-FUR (REG)-Detail'!M59</f>
        <v>0</v>
      </c>
      <c r="M9" s="855">
        <f>SUM(J9:L9)</f>
        <v>0</v>
      </c>
      <c r="N9" s="855">
        <f>+F9+J9</f>
        <v>0</v>
      </c>
      <c r="O9" s="855">
        <f t="shared" ref="O9:P9" si="1">+G9+K9</f>
        <v>49296080.370000005</v>
      </c>
      <c r="P9" s="855">
        <f t="shared" si="1"/>
        <v>-96454837</v>
      </c>
      <c r="Q9" s="855">
        <f>SUM(N9:P9)</f>
        <v>-47158756.629999995</v>
      </c>
      <c r="R9" s="855">
        <f t="shared" ref="R9" si="2">+B9+N9</f>
        <v>0</v>
      </c>
      <c r="S9" s="855">
        <f t="shared" ref="S9" si="3">+C9+O9</f>
        <v>363210523.28999972</v>
      </c>
      <c r="T9" s="855">
        <f t="shared" ref="T9" si="4">+D9+P9</f>
        <v>3489236834.0500002</v>
      </c>
      <c r="U9" s="855">
        <f t="shared" ref="U9" si="5">SUM(R9:T9)</f>
        <v>3852447357.3400002</v>
      </c>
      <c r="V9" s="855">
        <f>+'CONAP-FUR (REG)-Detail'!W59</f>
        <v>0</v>
      </c>
      <c r="W9" s="855">
        <f>+'CONAP-FUR (REG)-Detail'!X59</f>
        <v>237376110.85000002</v>
      </c>
      <c r="X9" s="855">
        <f>+'CONAP-FUR (REG)-Detail'!Y59</f>
        <v>1623216053.24</v>
      </c>
      <c r="Y9" s="855">
        <f t="shared" ref="Y9:Y108" si="6">SUM(V9:X9)</f>
        <v>1860592164.0900002</v>
      </c>
      <c r="Z9" s="855">
        <f>+'CONAP-FUR (REG)-Detail'!AA59</f>
        <v>0</v>
      </c>
      <c r="AA9" s="855">
        <f>+'CONAP-FUR (REG)-Detail'!AB59</f>
        <v>0</v>
      </c>
      <c r="AB9" s="855">
        <f>+'CONAP-FUR (REG)-Detail'!AC59</f>
        <v>0</v>
      </c>
      <c r="AC9" s="855">
        <f t="shared" ref="AC9:AC133" si="7">SUM(Z9:AB9)</f>
        <v>0</v>
      </c>
      <c r="AD9" s="855">
        <f t="shared" ref="AD9" si="8">+V9+Z9</f>
        <v>0</v>
      </c>
      <c r="AE9" s="855">
        <f t="shared" ref="AE9" si="9">+W9+AA9</f>
        <v>237376110.85000002</v>
      </c>
      <c r="AF9" s="855">
        <f t="shared" ref="AF9" si="10">+X9+AB9</f>
        <v>1623216053.24</v>
      </c>
      <c r="AG9" s="855">
        <f t="shared" ref="AG9" si="11">SUM(AD9:AF9)</f>
        <v>1860592164.0900002</v>
      </c>
      <c r="AH9" s="855">
        <f>+R9-AD9</f>
        <v>0</v>
      </c>
      <c r="AI9" s="855">
        <f t="shared" ref="AI9:AJ9" si="12">+S9-AE9</f>
        <v>125834412.4399997</v>
      </c>
      <c r="AJ9" s="855">
        <f t="shared" si="12"/>
        <v>1866020780.8100002</v>
      </c>
      <c r="AK9" s="855">
        <f t="shared" ref="AK9" si="13">SUM(AH9:AJ9)</f>
        <v>1991855193.25</v>
      </c>
      <c r="AL9" s="604" t="str">
        <f>IF(R9=0," ",AD9/R9)</f>
        <v xml:space="preserve"> </v>
      </c>
      <c r="AM9" s="604">
        <f>IF(S9=0," ",AE9/S9)</f>
        <v>0.65354965131467513</v>
      </c>
      <c r="AN9" s="604">
        <f>IF(T9=0," ",AF9/T9)</f>
        <v>0.46520661406520608</v>
      </c>
      <c r="AO9" s="604">
        <f>IF(U9=0," ",AG9/U9)</f>
        <v>0.48296368295469283</v>
      </c>
      <c r="AP9" s="1168">
        <f>+AK9-'CONAP (ALL FUNDS)'!Q12</f>
        <v>0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</row>
    <row r="10" spans="1:64" s="24" customFormat="1" ht="18">
      <c r="A10" s="582"/>
      <c r="B10" s="855"/>
      <c r="C10" s="855"/>
      <c r="D10" s="855"/>
      <c r="E10" s="855">
        <f t="shared" ref="E10:E73" si="14">SUM(B10:D10)</f>
        <v>0</v>
      </c>
      <c r="F10" s="855"/>
      <c r="G10" s="855"/>
      <c r="H10" s="855"/>
      <c r="I10" s="855">
        <f t="shared" ref="I10:I73" si="15">SUM(F10:H10)</f>
        <v>0</v>
      </c>
      <c r="J10" s="855"/>
      <c r="K10" s="855"/>
      <c r="L10" s="855"/>
      <c r="M10" s="855">
        <f t="shared" ref="M10:M73" si="16">SUM(J10:L10)</f>
        <v>0</v>
      </c>
      <c r="N10" s="855">
        <f t="shared" ref="N10:N73" si="17">+F10+J10</f>
        <v>0</v>
      </c>
      <c r="O10" s="855">
        <f t="shared" ref="O10:O73" si="18">+G10+K10</f>
        <v>0</v>
      </c>
      <c r="P10" s="855">
        <f t="shared" ref="P10:P73" si="19">+H10+L10</f>
        <v>0</v>
      </c>
      <c r="Q10" s="855">
        <f t="shared" ref="Q10:Q73" si="20">SUM(N10:P10)</f>
        <v>0</v>
      </c>
      <c r="R10" s="855">
        <f t="shared" ref="R10:R73" si="21">+B10+N10</f>
        <v>0</v>
      </c>
      <c r="S10" s="855">
        <f t="shared" ref="S10:S73" si="22">+C10+O10</f>
        <v>0</v>
      </c>
      <c r="T10" s="855">
        <f t="shared" ref="T10:T73" si="23">+D10+P10</f>
        <v>0</v>
      </c>
      <c r="U10" s="855">
        <f t="shared" ref="U10:U73" si="24">SUM(R10:T10)</f>
        <v>0</v>
      </c>
      <c r="V10" s="855"/>
      <c r="W10" s="855"/>
      <c r="X10" s="855"/>
      <c r="Y10" s="855">
        <f t="shared" si="6"/>
        <v>0</v>
      </c>
      <c r="Z10" s="855"/>
      <c r="AA10" s="855"/>
      <c r="AB10" s="855"/>
      <c r="AC10" s="855">
        <f t="shared" si="7"/>
        <v>0</v>
      </c>
      <c r="AD10" s="855">
        <f t="shared" ref="AD10:AD73" si="25">+V10+Z10</f>
        <v>0</v>
      </c>
      <c r="AE10" s="855">
        <f t="shared" ref="AE10:AE73" si="26">+W10+AA10</f>
        <v>0</v>
      </c>
      <c r="AF10" s="855">
        <f t="shared" ref="AF10:AF73" si="27">+X10+AB10</f>
        <v>0</v>
      </c>
      <c r="AG10" s="855">
        <f t="shared" ref="AG10:AG73" si="28">SUM(AD10:AF10)</f>
        <v>0</v>
      </c>
      <c r="AH10" s="855">
        <f t="shared" ref="AH10:AH73" si="29">+R10-AD10</f>
        <v>0</v>
      </c>
      <c r="AI10" s="855">
        <f t="shared" ref="AI10:AI73" si="30">+S10-AE10</f>
        <v>0</v>
      </c>
      <c r="AJ10" s="855">
        <f t="shared" ref="AJ10:AJ73" si="31">+T10-AF10</f>
        <v>0</v>
      </c>
      <c r="AK10" s="855">
        <f t="shared" ref="AK10:AK73" si="32">SUM(AH10:AJ10)</f>
        <v>0</v>
      </c>
      <c r="AL10" s="871" t="str">
        <f t="shared" ref="AL10:AL138" si="33">IF(R10=0," ",AD10/R10)</f>
        <v xml:space="preserve"> </v>
      </c>
      <c r="AM10" s="871" t="str">
        <f t="shared" ref="AM10:AM73" si="34">IF(S10=0," ",AE10/S10)</f>
        <v xml:space="preserve"> </v>
      </c>
      <c r="AN10" s="871" t="str">
        <f t="shared" ref="AN10:AN73" si="35">IF(T10=0," ",AF10/T10)</f>
        <v xml:space="preserve"> </v>
      </c>
      <c r="AO10" s="871" t="str">
        <f t="shared" ref="AO10:AO73" si="36">IF(U10=0," ",AG10/U10)</f>
        <v xml:space="preserve"> </v>
      </c>
      <c r="AP10" s="116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</row>
    <row r="11" spans="1:64" s="24" customFormat="1" ht="18">
      <c r="A11" s="594" t="s">
        <v>952</v>
      </c>
      <c r="B11" s="22">
        <f>+'CONAP-FUR (REG)-Detail'!C70</f>
        <v>0</v>
      </c>
      <c r="C11" s="22">
        <f>+'CONAP-FUR (REG)-Detail'!D70</f>
        <v>87991891.479999989</v>
      </c>
      <c r="D11" s="22">
        <f>+'CONAP-FUR (REG)-Detail'!E70</f>
        <v>0</v>
      </c>
      <c r="E11" s="22">
        <f t="shared" si="14"/>
        <v>87991891.479999989</v>
      </c>
      <c r="F11" s="22">
        <f>+'CONAP-FUR (REG)-Detail'!G70</f>
        <v>0</v>
      </c>
      <c r="G11" s="22">
        <f>+'CONAP-FUR (REG)-Detail'!H70</f>
        <v>0</v>
      </c>
      <c r="H11" s="22">
        <f>+'CONAP-FUR (REG)-Detail'!I70</f>
        <v>0</v>
      </c>
      <c r="I11" s="22">
        <f t="shared" si="15"/>
        <v>0</v>
      </c>
      <c r="J11" s="22">
        <f>+'CONAP-FUR (REG)-Detail'!K70</f>
        <v>0</v>
      </c>
      <c r="K11" s="22">
        <f>+'CONAP-FUR (REG)-Detail'!L70</f>
        <v>0</v>
      </c>
      <c r="L11" s="22">
        <f>+'CONAP-FUR (REG)-Detail'!M70</f>
        <v>0</v>
      </c>
      <c r="M11" s="22">
        <f t="shared" si="16"/>
        <v>0</v>
      </c>
      <c r="N11" s="22">
        <f t="shared" si="17"/>
        <v>0</v>
      </c>
      <c r="O11" s="22">
        <f t="shared" si="18"/>
        <v>0</v>
      </c>
      <c r="P11" s="22">
        <f t="shared" si="19"/>
        <v>0</v>
      </c>
      <c r="Q11" s="22">
        <f t="shared" si="20"/>
        <v>0</v>
      </c>
      <c r="R11" s="22">
        <f t="shared" si="21"/>
        <v>0</v>
      </c>
      <c r="S11" s="22">
        <f t="shared" si="22"/>
        <v>87991891.479999989</v>
      </c>
      <c r="T11" s="22">
        <f t="shared" si="23"/>
        <v>0</v>
      </c>
      <c r="U11" s="22">
        <f t="shared" si="24"/>
        <v>87991891.479999989</v>
      </c>
      <c r="V11" s="22">
        <f>+'CONAP-FUR (REG)-Detail'!W70</f>
        <v>0</v>
      </c>
      <c r="W11" s="22">
        <f>+'CONAP-FUR (REG)-Detail'!X70</f>
        <v>61057203.469999991</v>
      </c>
      <c r="X11" s="22">
        <f>+'CONAP-FUR (REG)-Detail'!Y70</f>
        <v>0</v>
      </c>
      <c r="Y11" s="22">
        <f t="shared" si="6"/>
        <v>61057203.469999991</v>
      </c>
      <c r="Z11" s="22">
        <f>+'CONAP-FUR (REG)-Detail'!AA70</f>
        <v>0</v>
      </c>
      <c r="AA11" s="22">
        <f>+'CONAP-FUR (REG)-Detail'!AB70</f>
        <v>0</v>
      </c>
      <c r="AB11" s="22">
        <f>+'CONAP-FUR (REG)-Detail'!AC70</f>
        <v>0</v>
      </c>
      <c r="AC11" s="22">
        <f t="shared" si="7"/>
        <v>0</v>
      </c>
      <c r="AD11" s="22">
        <f t="shared" si="25"/>
        <v>0</v>
      </c>
      <c r="AE11" s="22">
        <f t="shared" si="26"/>
        <v>61057203.469999991</v>
      </c>
      <c r="AF11" s="22">
        <f t="shared" si="27"/>
        <v>0</v>
      </c>
      <c r="AG11" s="22">
        <f t="shared" si="28"/>
        <v>61057203.469999991</v>
      </c>
      <c r="AH11" s="22">
        <f t="shared" si="29"/>
        <v>0</v>
      </c>
      <c r="AI11" s="22">
        <f t="shared" si="30"/>
        <v>26934688.009999998</v>
      </c>
      <c r="AJ11" s="22">
        <f t="shared" si="31"/>
        <v>0</v>
      </c>
      <c r="AK11" s="22">
        <f t="shared" si="32"/>
        <v>26934688.009999998</v>
      </c>
      <c r="AL11" s="606" t="str">
        <f t="shared" si="33"/>
        <v xml:space="preserve"> </v>
      </c>
      <c r="AM11" s="606">
        <f t="shared" si="34"/>
        <v>0.69389579474920049</v>
      </c>
      <c r="AN11" s="606" t="str">
        <f t="shared" si="35"/>
        <v xml:space="preserve"> </v>
      </c>
      <c r="AO11" s="606">
        <f t="shared" si="36"/>
        <v>0.69389579474920049</v>
      </c>
      <c r="AP11" s="1168">
        <f>+AK11-'CONAP (ALL FUNDS)'!Q25</f>
        <v>0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</row>
    <row r="12" spans="1:64" s="24" customFormat="1" ht="18">
      <c r="A12" s="21"/>
      <c r="B12" s="22"/>
      <c r="C12" s="22"/>
      <c r="D12" s="22"/>
      <c r="E12" s="22">
        <f t="shared" si="14"/>
        <v>0</v>
      </c>
      <c r="F12" s="22"/>
      <c r="G12" s="22"/>
      <c r="H12" s="22"/>
      <c r="I12" s="22">
        <f t="shared" si="15"/>
        <v>0</v>
      </c>
      <c r="J12" s="22"/>
      <c r="K12" s="22"/>
      <c r="L12" s="22"/>
      <c r="M12" s="22">
        <f t="shared" si="16"/>
        <v>0</v>
      </c>
      <c r="N12" s="22">
        <f t="shared" si="17"/>
        <v>0</v>
      </c>
      <c r="O12" s="22">
        <f t="shared" si="18"/>
        <v>0</v>
      </c>
      <c r="P12" s="22">
        <f t="shared" si="19"/>
        <v>0</v>
      </c>
      <c r="Q12" s="22">
        <f t="shared" si="20"/>
        <v>0</v>
      </c>
      <c r="R12" s="22">
        <f t="shared" si="21"/>
        <v>0</v>
      </c>
      <c r="S12" s="22">
        <f t="shared" si="22"/>
        <v>0</v>
      </c>
      <c r="T12" s="22">
        <f t="shared" si="23"/>
        <v>0</v>
      </c>
      <c r="U12" s="22">
        <f t="shared" si="24"/>
        <v>0</v>
      </c>
      <c r="V12" s="22"/>
      <c r="W12" s="22"/>
      <c r="X12" s="22"/>
      <c r="Y12" s="22">
        <f t="shared" si="6"/>
        <v>0</v>
      </c>
      <c r="Z12" s="22"/>
      <c r="AA12" s="22"/>
      <c r="AB12" s="22"/>
      <c r="AC12" s="22">
        <f t="shared" si="7"/>
        <v>0</v>
      </c>
      <c r="AD12" s="22">
        <f t="shared" si="25"/>
        <v>0</v>
      </c>
      <c r="AE12" s="22">
        <f t="shared" si="26"/>
        <v>0</v>
      </c>
      <c r="AF12" s="22">
        <f t="shared" si="27"/>
        <v>0</v>
      </c>
      <c r="AG12" s="22">
        <f t="shared" si="28"/>
        <v>0</v>
      </c>
      <c r="AH12" s="22">
        <f t="shared" si="29"/>
        <v>0</v>
      </c>
      <c r="AI12" s="22">
        <f t="shared" si="30"/>
        <v>0</v>
      </c>
      <c r="AJ12" s="22">
        <f t="shared" si="31"/>
        <v>0</v>
      </c>
      <c r="AK12" s="22">
        <f t="shared" si="32"/>
        <v>0</v>
      </c>
      <c r="AL12" s="872" t="str">
        <f t="shared" si="33"/>
        <v xml:space="preserve"> </v>
      </c>
      <c r="AM12" s="872" t="str">
        <f t="shared" si="34"/>
        <v xml:space="preserve"> </v>
      </c>
      <c r="AN12" s="872" t="str">
        <f t="shared" si="35"/>
        <v xml:space="preserve"> </v>
      </c>
      <c r="AO12" s="872" t="str">
        <f t="shared" si="36"/>
        <v xml:space="preserve"> </v>
      </c>
      <c r="AP12" s="116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</row>
    <row r="13" spans="1:64" s="607" customFormat="1" ht="18">
      <c r="A13" s="575" t="s">
        <v>954</v>
      </c>
      <c r="B13" s="855">
        <f>+'CONAP-FUR (REG)-Detail'!C78+'CONAP-FUR (REG)-Detail'!C79+'CONAP-FUR (REG)-Detail'!C80</f>
        <v>0</v>
      </c>
      <c r="C13" s="855">
        <f>+'CONAP-FUR (REG)-Detail'!D78+'CONAP-FUR (REG)-Detail'!D79+'CONAP-FUR (REG)-Detail'!D80</f>
        <v>17498074.260000002</v>
      </c>
      <c r="D13" s="855">
        <f>+'CONAP-FUR (REG)-Detail'!E78+'CONAP-FUR (REG)-Detail'!E79+'CONAP-FUR (REG)-Detail'!E80</f>
        <v>1154652</v>
      </c>
      <c r="E13" s="855">
        <f t="shared" si="14"/>
        <v>18652726.260000002</v>
      </c>
      <c r="F13" s="855">
        <f>+'CONAP-FUR (REG)-Detail'!G78+'CONAP-FUR (REG)-Detail'!G79+'CONAP-FUR (REG)-Detail'!G80</f>
        <v>0</v>
      </c>
      <c r="G13" s="855">
        <f>+'CONAP-FUR (REG)-Detail'!H78+'CONAP-FUR (REG)-Detail'!H79+'CONAP-FUR (REG)-Detail'!H80</f>
        <v>0</v>
      </c>
      <c r="H13" s="855">
        <f>+'CONAP-FUR (REG)-Detail'!I78+'CONAP-FUR (REG)-Detail'!I79+'CONAP-FUR (REG)-Detail'!I80</f>
        <v>0</v>
      </c>
      <c r="I13" s="855">
        <f t="shared" si="15"/>
        <v>0</v>
      </c>
      <c r="J13" s="855">
        <f>+'CONAP-FUR (REG)-Detail'!K78+'CONAP-FUR (REG)-Detail'!K79+'CONAP-FUR (REG)-Detail'!K80</f>
        <v>0</v>
      </c>
      <c r="K13" s="855">
        <f>+'CONAP-FUR (REG)-Detail'!L78+'CONAP-FUR (REG)-Detail'!L79+'CONAP-FUR (REG)-Detail'!L80</f>
        <v>0</v>
      </c>
      <c r="L13" s="855">
        <f>+'CONAP-FUR (REG)-Detail'!M78+'CONAP-FUR (REG)-Detail'!M79+'CONAP-FUR (REG)-Detail'!M80</f>
        <v>0</v>
      </c>
      <c r="M13" s="855">
        <f t="shared" si="16"/>
        <v>0</v>
      </c>
      <c r="N13" s="855">
        <f t="shared" si="17"/>
        <v>0</v>
      </c>
      <c r="O13" s="855">
        <f t="shared" si="18"/>
        <v>0</v>
      </c>
      <c r="P13" s="855">
        <f t="shared" si="19"/>
        <v>0</v>
      </c>
      <c r="Q13" s="855">
        <f t="shared" si="20"/>
        <v>0</v>
      </c>
      <c r="R13" s="855">
        <f t="shared" si="21"/>
        <v>0</v>
      </c>
      <c r="S13" s="855">
        <f t="shared" si="22"/>
        <v>17498074.260000002</v>
      </c>
      <c r="T13" s="855">
        <f t="shared" si="23"/>
        <v>1154652</v>
      </c>
      <c r="U13" s="855">
        <f t="shared" si="24"/>
        <v>18652726.260000002</v>
      </c>
      <c r="V13" s="855">
        <f>+'CONAP-FUR (REG)-Detail'!W78+'CONAP-FUR (REG)-Detail'!W79+'CONAP-FUR (REG)-Detail'!W80</f>
        <v>0</v>
      </c>
      <c r="W13" s="855">
        <f>+'CONAP-FUR (REG)-Detail'!X78+'CONAP-FUR (REG)-Detail'!X79+'CONAP-FUR (REG)-Detail'!X80</f>
        <v>6125719.0800000001</v>
      </c>
      <c r="X13" s="855">
        <f>+'CONAP-FUR (REG)-Detail'!Y78+'CONAP-FUR (REG)-Detail'!Y79+'CONAP-FUR (REG)-Detail'!Y80</f>
        <v>0</v>
      </c>
      <c r="Y13" s="855">
        <f t="shared" si="6"/>
        <v>6125719.0800000001</v>
      </c>
      <c r="Z13" s="855">
        <f>+'CONAP-FUR (REG)-Detail'!AA78+'CONAP-FUR (REG)-Detail'!AA79+'CONAP-FUR (REG)-Detail'!AA80</f>
        <v>0</v>
      </c>
      <c r="AA13" s="855">
        <f>+'CONAP-FUR (REG)-Detail'!AB78+'CONAP-FUR (REG)-Detail'!AB79+'CONAP-FUR (REG)-Detail'!AB80</f>
        <v>0</v>
      </c>
      <c r="AB13" s="855">
        <f>+'CONAP-FUR (REG)-Detail'!AC78+'CONAP-FUR (REG)-Detail'!AC79+'CONAP-FUR (REG)-Detail'!AC80</f>
        <v>0</v>
      </c>
      <c r="AC13" s="855">
        <f t="shared" si="7"/>
        <v>0</v>
      </c>
      <c r="AD13" s="855">
        <f t="shared" si="25"/>
        <v>0</v>
      </c>
      <c r="AE13" s="855">
        <f t="shared" si="26"/>
        <v>6125719.0800000001</v>
      </c>
      <c r="AF13" s="855">
        <f t="shared" si="27"/>
        <v>0</v>
      </c>
      <c r="AG13" s="855">
        <f t="shared" si="28"/>
        <v>6125719.0800000001</v>
      </c>
      <c r="AH13" s="855">
        <f t="shared" si="29"/>
        <v>0</v>
      </c>
      <c r="AI13" s="855">
        <f t="shared" si="30"/>
        <v>11372355.180000002</v>
      </c>
      <c r="AJ13" s="855">
        <f t="shared" si="31"/>
        <v>1154652</v>
      </c>
      <c r="AK13" s="855">
        <f t="shared" si="32"/>
        <v>12527007.180000002</v>
      </c>
      <c r="AL13" s="606" t="str">
        <f t="shared" si="33"/>
        <v xml:space="preserve"> </v>
      </c>
      <c r="AM13" s="606">
        <f t="shared" si="34"/>
        <v>0.35007961384660391</v>
      </c>
      <c r="AN13" s="606">
        <f t="shared" si="35"/>
        <v>0</v>
      </c>
      <c r="AO13" s="606">
        <f t="shared" si="36"/>
        <v>0.32840878028303833</v>
      </c>
      <c r="AP13" s="1168">
        <f>+AK13-'CONAP (ALL FUNDS)'!Q1280</f>
        <v>0</v>
      </c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</row>
    <row r="14" spans="1:64" s="607" customFormat="1" ht="18">
      <c r="A14" s="575"/>
      <c r="B14" s="855"/>
      <c r="C14" s="855"/>
      <c r="D14" s="855"/>
      <c r="E14" s="855">
        <f t="shared" si="14"/>
        <v>0</v>
      </c>
      <c r="F14" s="855"/>
      <c r="G14" s="855"/>
      <c r="H14" s="855"/>
      <c r="I14" s="855">
        <f t="shared" si="15"/>
        <v>0</v>
      </c>
      <c r="J14" s="855"/>
      <c r="K14" s="855"/>
      <c r="L14" s="855"/>
      <c r="M14" s="855">
        <f t="shared" si="16"/>
        <v>0</v>
      </c>
      <c r="N14" s="855">
        <f t="shared" si="17"/>
        <v>0</v>
      </c>
      <c r="O14" s="855">
        <f t="shared" si="18"/>
        <v>0</v>
      </c>
      <c r="P14" s="855">
        <f t="shared" si="19"/>
        <v>0</v>
      </c>
      <c r="Q14" s="855">
        <f t="shared" si="20"/>
        <v>0</v>
      </c>
      <c r="R14" s="855">
        <f t="shared" si="21"/>
        <v>0</v>
      </c>
      <c r="S14" s="855">
        <f t="shared" si="22"/>
        <v>0</v>
      </c>
      <c r="T14" s="855">
        <f t="shared" si="23"/>
        <v>0</v>
      </c>
      <c r="U14" s="855">
        <f t="shared" si="24"/>
        <v>0</v>
      </c>
      <c r="V14" s="855"/>
      <c r="W14" s="855"/>
      <c r="X14" s="855"/>
      <c r="Y14" s="855">
        <f t="shared" si="6"/>
        <v>0</v>
      </c>
      <c r="Z14" s="855"/>
      <c r="AA14" s="855"/>
      <c r="AB14" s="855"/>
      <c r="AC14" s="855">
        <f t="shared" si="7"/>
        <v>0</v>
      </c>
      <c r="AD14" s="855">
        <f t="shared" si="25"/>
        <v>0</v>
      </c>
      <c r="AE14" s="855">
        <f t="shared" si="26"/>
        <v>0</v>
      </c>
      <c r="AF14" s="855">
        <f t="shared" si="27"/>
        <v>0</v>
      </c>
      <c r="AG14" s="855">
        <f t="shared" si="28"/>
        <v>0</v>
      </c>
      <c r="AH14" s="855">
        <f t="shared" si="29"/>
        <v>0</v>
      </c>
      <c r="AI14" s="855">
        <f t="shared" si="30"/>
        <v>0</v>
      </c>
      <c r="AJ14" s="855">
        <f t="shared" si="31"/>
        <v>0</v>
      </c>
      <c r="AK14" s="855">
        <f t="shared" si="32"/>
        <v>0</v>
      </c>
      <c r="AL14" s="872" t="str">
        <f t="shared" si="33"/>
        <v xml:space="preserve"> </v>
      </c>
      <c r="AM14" s="872" t="str">
        <f t="shared" si="34"/>
        <v xml:space="preserve"> </v>
      </c>
      <c r="AN14" s="872" t="str">
        <f t="shared" si="35"/>
        <v xml:space="preserve"> </v>
      </c>
      <c r="AO14" s="872" t="str">
        <f t="shared" si="36"/>
        <v xml:space="preserve"> </v>
      </c>
      <c r="AP14" s="116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</row>
    <row r="15" spans="1:64" s="607" customFormat="1" ht="18">
      <c r="A15" s="575" t="s">
        <v>750</v>
      </c>
      <c r="B15" s="855">
        <f>+'CONAP-FUR (REG)-Detail'!C81</f>
        <v>0</v>
      </c>
      <c r="C15" s="855">
        <f>+'CONAP-FUR (REG)-Detail'!D81</f>
        <v>23959.56</v>
      </c>
      <c r="D15" s="855">
        <f>+'CONAP-FUR (REG)-Detail'!E81</f>
        <v>0</v>
      </c>
      <c r="E15" s="855">
        <f t="shared" si="14"/>
        <v>23959.56</v>
      </c>
      <c r="F15" s="855">
        <f>+'CONAP-FUR (REG)-Detail'!G81</f>
        <v>0</v>
      </c>
      <c r="G15" s="855">
        <f>+'CONAP-FUR (REG)-Detail'!H81</f>
        <v>0</v>
      </c>
      <c r="H15" s="855">
        <f>+'CONAP-FUR (REG)-Detail'!I81</f>
        <v>0</v>
      </c>
      <c r="I15" s="855">
        <f t="shared" si="15"/>
        <v>0</v>
      </c>
      <c r="J15" s="855">
        <f>+'CONAP-FUR (REG)-Detail'!K81</f>
        <v>0</v>
      </c>
      <c r="K15" s="855">
        <f>+'CONAP-FUR (REG)-Detail'!L81</f>
        <v>2621061.09</v>
      </c>
      <c r="L15" s="855">
        <f>+'CONAP-FUR (REG)-Detail'!M81</f>
        <v>0</v>
      </c>
      <c r="M15" s="855">
        <f t="shared" si="16"/>
        <v>2621061.09</v>
      </c>
      <c r="N15" s="855">
        <f t="shared" si="17"/>
        <v>0</v>
      </c>
      <c r="O15" s="855">
        <f t="shared" si="18"/>
        <v>2621061.09</v>
      </c>
      <c r="P15" s="855">
        <f t="shared" si="19"/>
        <v>0</v>
      </c>
      <c r="Q15" s="855">
        <f t="shared" si="20"/>
        <v>2621061.09</v>
      </c>
      <c r="R15" s="855">
        <f t="shared" si="21"/>
        <v>0</v>
      </c>
      <c r="S15" s="855">
        <f t="shared" si="22"/>
        <v>2645020.65</v>
      </c>
      <c r="T15" s="855">
        <f t="shared" si="23"/>
        <v>0</v>
      </c>
      <c r="U15" s="855">
        <f t="shared" si="24"/>
        <v>2645020.65</v>
      </c>
      <c r="V15" s="855">
        <f>+'CONAP-FUR (REG)-Detail'!W81</f>
        <v>0</v>
      </c>
      <c r="W15" s="855">
        <f>+'CONAP-FUR (REG)-Detail'!X81</f>
        <v>20000</v>
      </c>
      <c r="X15" s="855">
        <f>+'CONAP-FUR (REG)-Detail'!Y81</f>
        <v>0</v>
      </c>
      <c r="Y15" s="855">
        <f t="shared" si="6"/>
        <v>20000</v>
      </c>
      <c r="Z15" s="855">
        <f>+'CONAP-FUR (REG)-Detail'!AA81</f>
        <v>0</v>
      </c>
      <c r="AA15" s="855">
        <f>+'CONAP-FUR (REG)-Detail'!AB81</f>
        <v>2619570.0599999996</v>
      </c>
      <c r="AB15" s="855">
        <f>+'CONAP-FUR (REG)-Detail'!AC81</f>
        <v>0</v>
      </c>
      <c r="AC15" s="855">
        <f t="shared" si="7"/>
        <v>2619570.0599999996</v>
      </c>
      <c r="AD15" s="855">
        <f t="shared" si="25"/>
        <v>0</v>
      </c>
      <c r="AE15" s="855">
        <f t="shared" si="26"/>
        <v>2639570.0599999996</v>
      </c>
      <c r="AF15" s="855">
        <f t="shared" si="27"/>
        <v>0</v>
      </c>
      <c r="AG15" s="855">
        <f t="shared" si="28"/>
        <v>2639570.0599999996</v>
      </c>
      <c r="AH15" s="855">
        <f t="shared" si="29"/>
        <v>0</v>
      </c>
      <c r="AI15" s="855">
        <f t="shared" si="30"/>
        <v>5450.5900000003166</v>
      </c>
      <c r="AJ15" s="855">
        <f t="shared" si="31"/>
        <v>0</v>
      </c>
      <c r="AK15" s="855">
        <f t="shared" si="32"/>
        <v>5450.5900000003166</v>
      </c>
      <c r="AL15" s="606" t="str">
        <f t="shared" si="33"/>
        <v xml:space="preserve"> </v>
      </c>
      <c r="AM15" s="606">
        <f t="shared" si="34"/>
        <v>0.99793930153248511</v>
      </c>
      <c r="AN15" s="606" t="str">
        <f t="shared" si="35"/>
        <v xml:space="preserve"> </v>
      </c>
      <c r="AO15" s="606">
        <f t="shared" si="36"/>
        <v>0.99793930153248511</v>
      </c>
      <c r="AP15" s="1168">
        <f>+AK15-'CONAP (ALL FUNDS)'!Q1286</f>
        <v>5.4569682106375694E-11</v>
      </c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</row>
    <row r="16" spans="1:64" s="24" customFormat="1" ht="18">
      <c r="A16" s="575"/>
      <c r="B16" s="855"/>
      <c r="C16" s="855"/>
      <c r="D16" s="855"/>
      <c r="E16" s="855">
        <f t="shared" si="14"/>
        <v>0</v>
      </c>
      <c r="F16" s="855"/>
      <c r="G16" s="855"/>
      <c r="H16" s="855"/>
      <c r="I16" s="855">
        <f t="shared" si="15"/>
        <v>0</v>
      </c>
      <c r="J16" s="855"/>
      <c r="K16" s="855"/>
      <c r="L16" s="855"/>
      <c r="M16" s="855">
        <f t="shared" si="16"/>
        <v>0</v>
      </c>
      <c r="N16" s="855">
        <f t="shared" si="17"/>
        <v>0</v>
      </c>
      <c r="O16" s="855">
        <f t="shared" si="18"/>
        <v>0</v>
      </c>
      <c r="P16" s="855">
        <f t="shared" si="19"/>
        <v>0</v>
      </c>
      <c r="Q16" s="855">
        <f t="shared" si="20"/>
        <v>0</v>
      </c>
      <c r="R16" s="855">
        <f t="shared" si="21"/>
        <v>0</v>
      </c>
      <c r="S16" s="855">
        <f t="shared" si="22"/>
        <v>0</v>
      </c>
      <c r="T16" s="855">
        <f t="shared" si="23"/>
        <v>0</v>
      </c>
      <c r="U16" s="855">
        <f t="shared" si="24"/>
        <v>0</v>
      </c>
      <c r="V16" s="855"/>
      <c r="W16" s="855"/>
      <c r="X16" s="855"/>
      <c r="Y16" s="855">
        <f t="shared" si="6"/>
        <v>0</v>
      </c>
      <c r="Z16" s="855"/>
      <c r="AA16" s="855"/>
      <c r="AB16" s="855"/>
      <c r="AC16" s="855">
        <f t="shared" si="7"/>
        <v>0</v>
      </c>
      <c r="AD16" s="855">
        <f t="shared" si="25"/>
        <v>0</v>
      </c>
      <c r="AE16" s="855">
        <f t="shared" si="26"/>
        <v>0</v>
      </c>
      <c r="AF16" s="855">
        <f t="shared" si="27"/>
        <v>0</v>
      </c>
      <c r="AG16" s="855">
        <f t="shared" si="28"/>
        <v>0</v>
      </c>
      <c r="AH16" s="855">
        <f t="shared" si="29"/>
        <v>0</v>
      </c>
      <c r="AI16" s="855">
        <f t="shared" si="30"/>
        <v>0</v>
      </c>
      <c r="AJ16" s="855">
        <f t="shared" si="31"/>
        <v>0</v>
      </c>
      <c r="AK16" s="855">
        <f t="shared" si="32"/>
        <v>0</v>
      </c>
      <c r="AL16" s="872" t="str">
        <f t="shared" si="33"/>
        <v xml:space="preserve"> </v>
      </c>
      <c r="AM16" s="872" t="str">
        <f t="shared" si="34"/>
        <v xml:space="preserve"> </v>
      </c>
      <c r="AN16" s="872" t="str">
        <f t="shared" si="35"/>
        <v xml:space="preserve"> </v>
      </c>
      <c r="AO16" s="872" t="str">
        <f t="shared" si="36"/>
        <v xml:space="preserve"> </v>
      </c>
      <c r="AP16" s="116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</row>
    <row r="17" spans="1:64" s="607" customFormat="1" ht="18">
      <c r="A17" s="25" t="s">
        <v>435</v>
      </c>
      <c r="B17" s="22">
        <f>+B18+B55+B84+B106</f>
        <v>0</v>
      </c>
      <c r="C17" s="22">
        <f>+C18+C55+C84+C106</f>
        <v>76919257.319999993</v>
      </c>
      <c r="D17" s="22">
        <f>+D18+D55+D84+D106</f>
        <v>196542960</v>
      </c>
      <c r="E17" s="22">
        <f t="shared" si="14"/>
        <v>273462217.31999999</v>
      </c>
      <c r="F17" s="22">
        <f>+F18+F55+F84+F106</f>
        <v>0</v>
      </c>
      <c r="G17" s="22">
        <f>+G18+G55+G84+G106</f>
        <v>-49296080.369999997</v>
      </c>
      <c r="H17" s="22">
        <f>+H18+H55+H84+H106</f>
        <v>96454837</v>
      </c>
      <c r="I17" s="22">
        <f t="shared" si="15"/>
        <v>47158756.630000003</v>
      </c>
      <c r="J17" s="22">
        <f>+J18+J55+J84+J106</f>
        <v>0</v>
      </c>
      <c r="K17" s="22">
        <f>+K18+K55+K84+K106</f>
        <v>759940379.13</v>
      </c>
      <c r="L17" s="22">
        <f>+L18+L55+L84+L106</f>
        <v>687253050.56999993</v>
      </c>
      <c r="M17" s="22">
        <f t="shared" si="16"/>
        <v>1447193429.6999998</v>
      </c>
      <c r="N17" s="22">
        <f t="shared" si="17"/>
        <v>0</v>
      </c>
      <c r="O17" s="22">
        <f t="shared" si="18"/>
        <v>710644298.75999999</v>
      </c>
      <c r="P17" s="22">
        <f t="shared" si="19"/>
        <v>783707887.56999993</v>
      </c>
      <c r="Q17" s="22">
        <f t="shared" si="20"/>
        <v>1494352186.3299999</v>
      </c>
      <c r="R17" s="22">
        <f t="shared" si="21"/>
        <v>0</v>
      </c>
      <c r="S17" s="22">
        <f t="shared" si="22"/>
        <v>787563556.07999992</v>
      </c>
      <c r="T17" s="22">
        <f t="shared" si="23"/>
        <v>980250847.56999993</v>
      </c>
      <c r="U17" s="22">
        <f t="shared" si="24"/>
        <v>1767814403.6499999</v>
      </c>
      <c r="V17" s="22">
        <f>+V18+V55+V84+V106</f>
        <v>0</v>
      </c>
      <c r="W17" s="22">
        <f>+W18+W55+W84+W106</f>
        <v>54482880.839999996</v>
      </c>
      <c r="X17" s="22">
        <f>+X18+X55+X84+X106</f>
        <v>77695023.030000001</v>
      </c>
      <c r="Y17" s="22">
        <f t="shared" si="6"/>
        <v>132177903.87</v>
      </c>
      <c r="Z17" s="22">
        <f>+Z18+Z55+Z84+Z106</f>
        <v>0</v>
      </c>
      <c r="AA17" s="22">
        <f>+AA18+AA55+AA84+AA106</f>
        <v>565091399.93000007</v>
      </c>
      <c r="AB17" s="22">
        <f>+AB18+AB55+AB84+AB106</f>
        <v>497649168.84000003</v>
      </c>
      <c r="AC17" s="22">
        <f t="shared" si="7"/>
        <v>1062740568.7700001</v>
      </c>
      <c r="AD17" s="22">
        <f t="shared" si="25"/>
        <v>0</v>
      </c>
      <c r="AE17" s="22">
        <f t="shared" si="26"/>
        <v>619574280.7700001</v>
      </c>
      <c r="AF17" s="22">
        <f t="shared" si="27"/>
        <v>575344191.87</v>
      </c>
      <c r="AG17" s="22">
        <f t="shared" si="28"/>
        <v>1194918472.6400001</v>
      </c>
      <c r="AH17" s="22">
        <f t="shared" si="29"/>
        <v>0</v>
      </c>
      <c r="AI17" s="22">
        <f t="shared" si="30"/>
        <v>167989275.30999982</v>
      </c>
      <c r="AJ17" s="22">
        <f t="shared" si="31"/>
        <v>404906655.69999993</v>
      </c>
      <c r="AK17" s="22">
        <f t="shared" si="32"/>
        <v>572895931.00999975</v>
      </c>
      <c r="AL17" s="606" t="str">
        <f t="shared" si="33"/>
        <v xml:space="preserve"> </v>
      </c>
      <c r="AM17" s="606">
        <f t="shared" si="34"/>
        <v>0.78669750014062911</v>
      </c>
      <c r="AN17" s="606">
        <f t="shared" si="35"/>
        <v>0.5869356739616739</v>
      </c>
      <c r="AO17" s="606">
        <f t="shared" si="36"/>
        <v>0.6759298205585702</v>
      </c>
      <c r="AP17" s="116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</row>
    <row r="18" spans="1:64" s="1159" customFormat="1" ht="16.5">
      <c r="A18" s="1154" t="s">
        <v>436</v>
      </c>
      <c r="B18" s="1155">
        <f>SUM(B19:B49)</f>
        <v>0</v>
      </c>
      <c r="C18" s="1155">
        <f>+C19+C33+C40+C44+C49</f>
        <v>12898311.749999991</v>
      </c>
      <c r="D18" s="1155">
        <f t="shared" ref="D18:AK18" si="37">+D19+D33+D40+D44+D49</f>
        <v>95305000</v>
      </c>
      <c r="E18" s="1155">
        <f t="shared" si="37"/>
        <v>108203311.74999999</v>
      </c>
      <c r="F18" s="1155">
        <f t="shared" si="37"/>
        <v>0</v>
      </c>
      <c r="G18" s="1155">
        <f t="shared" si="37"/>
        <v>-1824254.9299999997</v>
      </c>
      <c r="H18" s="1155">
        <f t="shared" si="37"/>
        <v>75687375</v>
      </c>
      <c r="I18" s="1155">
        <f t="shared" si="37"/>
        <v>73863120.070000008</v>
      </c>
      <c r="J18" s="1155">
        <f t="shared" si="37"/>
        <v>0</v>
      </c>
      <c r="K18" s="1155">
        <f t="shared" si="37"/>
        <v>272549043.60000002</v>
      </c>
      <c r="L18" s="1155">
        <f t="shared" si="37"/>
        <v>35331185.030000001</v>
      </c>
      <c r="M18" s="1155">
        <f t="shared" si="37"/>
        <v>307880228.63</v>
      </c>
      <c r="N18" s="1155">
        <f t="shared" si="37"/>
        <v>0</v>
      </c>
      <c r="O18" s="1155">
        <f t="shared" si="37"/>
        <v>270724788.66999996</v>
      </c>
      <c r="P18" s="1155">
        <f t="shared" si="37"/>
        <v>111018560.03</v>
      </c>
      <c r="Q18" s="1155">
        <f t="shared" si="37"/>
        <v>381743348.70000005</v>
      </c>
      <c r="R18" s="1155">
        <f t="shared" si="37"/>
        <v>0</v>
      </c>
      <c r="S18" s="1155">
        <f t="shared" si="37"/>
        <v>283623100.41999996</v>
      </c>
      <c r="T18" s="1155">
        <f t="shared" si="37"/>
        <v>206323560.03</v>
      </c>
      <c r="U18" s="1155">
        <f t="shared" si="37"/>
        <v>489946660.45000005</v>
      </c>
      <c r="V18" s="1155">
        <f t="shared" si="37"/>
        <v>0</v>
      </c>
      <c r="W18" s="1155">
        <f t="shared" si="37"/>
        <v>12310634.950000001</v>
      </c>
      <c r="X18" s="1155">
        <f t="shared" si="37"/>
        <v>45150623</v>
      </c>
      <c r="Y18" s="1155">
        <f t="shared" si="37"/>
        <v>57461257.950000003</v>
      </c>
      <c r="Z18" s="1155">
        <f t="shared" si="37"/>
        <v>0</v>
      </c>
      <c r="AA18" s="1155">
        <f t="shared" si="37"/>
        <v>235606489.61000001</v>
      </c>
      <c r="AB18" s="1155">
        <f t="shared" si="37"/>
        <v>60341776.439999998</v>
      </c>
      <c r="AC18" s="1155">
        <f t="shared" si="37"/>
        <v>295948266.05000001</v>
      </c>
      <c r="AD18" s="1155">
        <f t="shared" si="37"/>
        <v>0</v>
      </c>
      <c r="AE18" s="1155">
        <f t="shared" si="37"/>
        <v>247917124.56</v>
      </c>
      <c r="AF18" s="1155">
        <f t="shared" si="37"/>
        <v>105492399.44</v>
      </c>
      <c r="AG18" s="1155">
        <f t="shared" si="37"/>
        <v>353409524</v>
      </c>
      <c r="AH18" s="1155">
        <f t="shared" si="37"/>
        <v>0</v>
      </c>
      <c r="AI18" s="1155">
        <f t="shared" si="37"/>
        <v>35705975.859999999</v>
      </c>
      <c r="AJ18" s="1155">
        <f t="shared" si="37"/>
        <v>100831160.59</v>
      </c>
      <c r="AK18" s="1155">
        <f t="shared" si="37"/>
        <v>136537136.44999999</v>
      </c>
      <c r="AL18" s="1156" t="str">
        <f t="shared" si="33"/>
        <v xml:space="preserve"> </v>
      </c>
      <c r="AM18" s="1157">
        <f t="shared" si="34"/>
        <v>0.87410765975294258</v>
      </c>
      <c r="AN18" s="1157">
        <f t="shared" si="35"/>
        <v>0.51129594421820324</v>
      </c>
      <c r="AO18" s="1157">
        <f t="shared" si="36"/>
        <v>0.72132244696882897</v>
      </c>
      <c r="AP18" s="1169"/>
      <c r="AQ18" s="1158"/>
      <c r="AR18" s="1158"/>
      <c r="AS18" s="1158"/>
      <c r="AT18" s="1158"/>
      <c r="AU18" s="1158"/>
      <c r="AV18" s="1158"/>
      <c r="AW18" s="1158"/>
      <c r="AX18" s="1158"/>
      <c r="AY18" s="1158"/>
      <c r="AZ18" s="1158"/>
      <c r="BA18" s="1158"/>
      <c r="BB18" s="1158"/>
      <c r="BC18" s="1158"/>
      <c r="BD18" s="1158"/>
      <c r="BE18" s="1158"/>
      <c r="BF18" s="1158"/>
      <c r="BG18" s="1158"/>
      <c r="BH18" s="1158"/>
      <c r="BI18" s="1158"/>
      <c r="BJ18" s="1158"/>
      <c r="BK18" s="1158"/>
      <c r="BL18" s="1158"/>
    </row>
    <row r="19" spans="1:64" s="609" customFormat="1" ht="16.5">
      <c r="A19" s="1153" t="s">
        <v>441</v>
      </c>
      <c r="B19" s="1161">
        <f>+'CONAP-FUR (REG)-Detail'!C83</f>
        <v>0</v>
      </c>
      <c r="C19" s="1161">
        <f>SUM(C20:C31)</f>
        <v>6123853.1400000006</v>
      </c>
      <c r="D19" s="1161">
        <f t="shared" ref="D19:AK19" si="38">SUM(D20:D31)</f>
        <v>95305000</v>
      </c>
      <c r="E19" s="1161">
        <f t="shared" si="38"/>
        <v>101428853.14</v>
      </c>
      <c r="F19" s="1161">
        <f t="shared" si="38"/>
        <v>0</v>
      </c>
      <c r="G19" s="1161">
        <f t="shared" si="38"/>
        <v>6749570.5700000003</v>
      </c>
      <c r="H19" s="1161">
        <f t="shared" si="38"/>
        <v>12962675</v>
      </c>
      <c r="I19" s="1161">
        <f t="shared" si="38"/>
        <v>19712245.57</v>
      </c>
      <c r="J19" s="1161">
        <f t="shared" si="38"/>
        <v>0</v>
      </c>
      <c r="K19" s="1161">
        <f t="shared" si="38"/>
        <v>105665710.47000001</v>
      </c>
      <c r="L19" s="1161">
        <f t="shared" si="38"/>
        <v>0</v>
      </c>
      <c r="M19" s="1161">
        <f t="shared" si="38"/>
        <v>105665710.47000001</v>
      </c>
      <c r="N19" s="1161">
        <f t="shared" si="38"/>
        <v>0</v>
      </c>
      <c r="O19" s="1161">
        <f t="shared" si="38"/>
        <v>112415281.04000001</v>
      </c>
      <c r="P19" s="1161">
        <f t="shared" si="38"/>
        <v>12962675</v>
      </c>
      <c r="Q19" s="1161">
        <f t="shared" si="38"/>
        <v>125377956.04000001</v>
      </c>
      <c r="R19" s="1161">
        <f t="shared" si="38"/>
        <v>0</v>
      </c>
      <c r="S19" s="1161">
        <f t="shared" si="38"/>
        <v>118539134.18000001</v>
      </c>
      <c r="T19" s="1161">
        <f t="shared" si="38"/>
        <v>108267675</v>
      </c>
      <c r="U19" s="1161">
        <f t="shared" si="38"/>
        <v>226806809.18000001</v>
      </c>
      <c r="V19" s="1161">
        <f t="shared" si="38"/>
        <v>0</v>
      </c>
      <c r="W19" s="1161">
        <f t="shared" si="38"/>
        <v>6121486.0300000003</v>
      </c>
      <c r="X19" s="1161">
        <f t="shared" si="38"/>
        <v>45150623</v>
      </c>
      <c r="Y19" s="1161">
        <f t="shared" si="38"/>
        <v>51272109.030000001</v>
      </c>
      <c r="Z19" s="1161">
        <f t="shared" si="38"/>
        <v>0</v>
      </c>
      <c r="AA19" s="1161">
        <f t="shared" si="38"/>
        <v>98959914.810000002</v>
      </c>
      <c r="AB19" s="1161">
        <f t="shared" si="38"/>
        <v>12952075</v>
      </c>
      <c r="AC19" s="1161">
        <f t="shared" si="38"/>
        <v>111911989.81</v>
      </c>
      <c r="AD19" s="1161">
        <f t="shared" si="38"/>
        <v>0</v>
      </c>
      <c r="AE19" s="1161">
        <f t="shared" si="38"/>
        <v>105081400.84</v>
      </c>
      <c r="AF19" s="1161">
        <f t="shared" si="38"/>
        <v>58102698</v>
      </c>
      <c r="AG19" s="1161">
        <f t="shared" si="38"/>
        <v>163184098.84</v>
      </c>
      <c r="AH19" s="1161">
        <f t="shared" si="38"/>
        <v>0</v>
      </c>
      <c r="AI19" s="1161">
        <f t="shared" si="38"/>
        <v>13457733.340000004</v>
      </c>
      <c r="AJ19" s="1161">
        <f t="shared" si="38"/>
        <v>50164977</v>
      </c>
      <c r="AK19" s="1161">
        <f t="shared" si="38"/>
        <v>63622710.339999996</v>
      </c>
      <c r="AL19" s="608" t="str">
        <f t="shared" si="33"/>
        <v xml:space="preserve"> </v>
      </c>
      <c r="AM19" s="608">
        <f t="shared" si="34"/>
        <v>0.88647012285778448</v>
      </c>
      <c r="AN19" s="608">
        <f t="shared" si="35"/>
        <v>0.53665785286328538</v>
      </c>
      <c r="AO19" s="608">
        <f t="shared" si="36"/>
        <v>0.7194850076590632</v>
      </c>
      <c r="AP19" s="1170">
        <f>+AK19-'CONAP (ALL FUNDS)'!Q1293</f>
        <v>0</v>
      </c>
      <c r="AQ19" s="1162"/>
      <c r="AR19" s="1162"/>
      <c r="AS19" s="1162"/>
      <c r="AT19" s="1162"/>
      <c r="AU19" s="1162"/>
      <c r="AV19" s="1162"/>
      <c r="AW19" s="1162"/>
      <c r="AX19" s="1162"/>
      <c r="AY19" s="1162"/>
      <c r="AZ19" s="1162"/>
      <c r="BA19" s="1162"/>
      <c r="BB19" s="1162"/>
      <c r="BC19" s="1162"/>
      <c r="BD19" s="1162"/>
      <c r="BE19" s="1162"/>
      <c r="BF19" s="1162"/>
      <c r="BG19" s="1162"/>
      <c r="BH19" s="1162"/>
      <c r="BI19" s="1162"/>
      <c r="BJ19" s="1162"/>
      <c r="BK19" s="1162"/>
      <c r="BL19" s="1162"/>
    </row>
    <row r="20" spans="1:64" s="16" customFormat="1">
      <c r="A20" s="900" t="s">
        <v>960</v>
      </c>
      <c r="B20" s="40"/>
      <c r="C20" s="40">
        <f>+'CONAP-FUR (REG)-Detail'!D84</f>
        <v>0</v>
      </c>
      <c r="D20" s="40">
        <f>+'CONAP-FUR (REG)-Detail'!E84</f>
        <v>0</v>
      </c>
      <c r="E20" s="40">
        <f t="shared" si="14"/>
        <v>0</v>
      </c>
      <c r="F20" s="40">
        <f>+'CONAP-FUR (REG)-Detail'!G84</f>
        <v>0</v>
      </c>
      <c r="G20" s="40">
        <f>+'CONAP-FUR (REG)-Detail'!H84</f>
        <v>1744908.9500000002</v>
      </c>
      <c r="H20" s="40">
        <f>+'CONAP-FUR (REG)-Detail'!I84</f>
        <v>0</v>
      </c>
      <c r="I20" s="40">
        <f t="shared" si="15"/>
        <v>1744908.9500000002</v>
      </c>
      <c r="J20" s="40">
        <f>+'CONAP-FUR (REG)-Detail'!K84</f>
        <v>0</v>
      </c>
      <c r="K20" s="40">
        <f>+'CONAP-FUR (REG)-Detail'!L84</f>
        <v>12419867.17</v>
      </c>
      <c r="L20" s="40">
        <f>+'CONAP-FUR (REG)-Detail'!M84</f>
        <v>0</v>
      </c>
      <c r="M20" s="40">
        <f t="shared" si="16"/>
        <v>12419867.17</v>
      </c>
      <c r="N20" s="40">
        <f t="shared" si="17"/>
        <v>0</v>
      </c>
      <c r="O20" s="40">
        <f t="shared" si="18"/>
        <v>14164776.120000001</v>
      </c>
      <c r="P20" s="40">
        <f t="shared" si="19"/>
        <v>0</v>
      </c>
      <c r="Q20" s="40">
        <f t="shared" si="20"/>
        <v>14164776.120000001</v>
      </c>
      <c r="R20" s="40">
        <f t="shared" si="21"/>
        <v>0</v>
      </c>
      <c r="S20" s="40">
        <f t="shared" si="22"/>
        <v>14164776.120000001</v>
      </c>
      <c r="T20" s="40">
        <f t="shared" si="23"/>
        <v>0</v>
      </c>
      <c r="U20" s="40">
        <f t="shared" si="24"/>
        <v>14164776.120000001</v>
      </c>
      <c r="V20" s="40">
        <f>+'CONAP-FUR (REG)-Detail'!W84</f>
        <v>0</v>
      </c>
      <c r="W20" s="40">
        <f>+'CONAP-FUR (REG)-Detail'!X84</f>
        <v>0</v>
      </c>
      <c r="X20" s="40">
        <f>+'CONAP-FUR (REG)-Detail'!Y84</f>
        <v>0</v>
      </c>
      <c r="Y20" s="40">
        <f t="shared" si="6"/>
        <v>0</v>
      </c>
      <c r="Z20" s="40">
        <f>+'CONAP-FUR (REG)-Detail'!AA84</f>
        <v>0</v>
      </c>
      <c r="AA20" s="40">
        <f>+'CONAP-FUR (REG)-Detail'!AB84</f>
        <v>12781006.48</v>
      </c>
      <c r="AB20" s="40">
        <f>+'CONAP-FUR (REG)-Detail'!AC84</f>
        <v>0</v>
      </c>
      <c r="AC20" s="40">
        <f t="shared" si="7"/>
        <v>12781006.48</v>
      </c>
      <c r="AD20" s="40">
        <f t="shared" si="25"/>
        <v>0</v>
      </c>
      <c r="AE20" s="40">
        <f t="shared" si="26"/>
        <v>12781006.48</v>
      </c>
      <c r="AF20" s="40">
        <f t="shared" si="27"/>
        <v>0</v>
      </c>
      <c r="AG20" s="40">
        <f t="shared" si="28"/>
        <v>12781006.48</v>
      </c>
      <c r="AH20" s="40">
        <f t="shared" si="29"/>
        <v>0</v>
      </c>
      <c r="AI20" s="40">
        <f t="shared" si="30"/>
        <v>1383769.6400000006</v>
      </c>
      <c r="AJ20" s="40">
        <f t="shared" si="31"/>
        <v>0</v>
      </c>
      <c r="AK20" s="40">
        <f t="shared" si="32"/>
        <v>1383769.6400000006</v>
      </c>
      <c r="AL20" s="600" t="str">
        <f t="shared" ref="AL20" si="39">IF(R20=0," ",AD20/R20)</f>
        <v xml:space="preserve"> </v>
      </c>
      <c r="AM20" s="600">
        <f t="shared" si="34"/>
        <v>0.90230910617456339</v>
      </c>
      <c r="AN20" s="600" t="str">
        <f t="shared" si="35"/>
        <v xml:space="preserve"> </v>
      </c>
      <c r="AO20" s="600">
        <f t="shared" si="36"/>
        <v>0.90230910617456339</v>
      </c>
      <c r="AP20" s="116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</row>
    <row r="21" spans="1:64" s="16" customFormat="1">
      <c r="A21" s="900" t="s">
        <v>961</v>
      </c>
      <c r="B21" s="40"/>
      <c r="C21" s="40">
        <f>+'CONAP-FUR (REG)-Detail'!D85</f>
        <v>156497.71</v>
      </c>
      <c r="D21" s="40">
        <f>+'CONAP-FUR (REG)-Detail'!E85</f>
        <v>0</v>
      </c>
      <c r="E21" s="40">
        <f t="shared" si="14"/>
        <v>156497.71</v>
      </c>
      <c r="F21" s="40">
        <f>+'CONAP-FUR (REG)-Detail'!G85</f>
        <v>0</v>
      </c>
      <c r="G21" s="40">
        <f>+'CONAP-FUR (REG)-Detail'!H85</f>
        <v>-284281.81</v>
      </c>
      <c r="H21" s="40">
        <f>+'CONAP-FUR (REG)-Detail'!I85</f>
        <v>0</v>
      </c>
      <c r="I21" s="40">
        <f t="shared" si="15"/>
        <v>-284281.81</v>
      </c>
      <c r="J21" s="40">
        <f>+'CONAP-FUR (REG)-Detail'!K85</f>
        <v>0</v>
      </c>
      <c r="K21" s="40">
        <f>+'CONAP-FUR (REG)-Detail'!L85</f>
        <v>2772662.5300000003</v>
      </c>
      <c r="L21" s="40">
        <f>+'CONAP-FUR (REG)-Detail'!M85</f>
        <v>0</v>
      </c>
      <c r="M21" s="40">
        <f t="shared" si="16"/>
        <v>2772662.5300000003</v>
      </c>
      <c r="N21" s="40">
        <f t="shared" si="17"/>
        <v>0</v>
      </c>
      <c r="O21" s="40">
        <f t="shared" si="18"/>
        <v>2488380.7200000002</v>
      </c>
      <c r="P21" s="40">
        <f t="shared" si="19"/>
        <v>0</v>
      </c>
      <c r="Q21" s="40">
        <f t="shared" si="20"/>
        <v>2488380.7200000002</v>
      </c>
      <c r="R21" s="40">
        <f t="shared" si="21"/>
        <v>0</v>
      </c>
      <c r="S21" s="40">
        <f t="shared" si="22"/>
        <v>2644878.4300000002</v>
      </c>
      <c r="T21" s="40">
        <f t="shared" si="23"/>
        <v>0</v>
      </c>
      <c r="U21" s="40">
        <f t="shared" si="24"/>
        <v>2644878.4300000002</v>
      </c>
      <c r="V21" s="40">
        <f>+'CONAP-FUR (REG)-Detail'!W85</f>
        <v>0</v>
      </c>
      <c r="W21" s="40">
        <f>+'CONAP-FUR (REG)-Detail'!X85</f>
        <v>155692.15</v>
      </c>
      <c r="X21" s="40">
        <f>+'CONAP-FUR (REG)-Detail'!Y85</f>
        <v>0</v>
      </c>
      <c r="Y21" s="40">
        <f t="shared" si="6"/>
        <v>155692.15</v>
      </c>
      <c r="Z21" s="40">
        <f>+'CONAP-FUR (REG)-Detail'!AA85</f>
        <v>0</v>
      </c>
      <c r="AA21" s="40">
        <f>+'CONAP-FUR (REG)-Detail'!AB85</f>
        <v>2115708.52</v>
      </c>
      <c r="AB21" s="40">
        <f>+'CONAP-FUR (REG)-Detail'!AC85</f>
        <v>0</v>
      </c>
      <c r="AC21" s="40">
        <f t="shared" si="7"/>
        <v>2115708.52</v>
      </c>
      <c r="AD21" s="40">
        <f t="shared" si="25"/>
        <v>0</v>
      </c>
      <c r="AE21" s="40">
        <f t="shared" si="26"/>
        <v>2271400.67</v>
      </c>
      <c r="AF21" s="40">
        <f t="shared" si="27"/>
        <v>0</v>
      </c>
      <c r="AG21" s="40">
        <f t="shared" si="28"/>
        <v>2271400.67</v>
      </c>
      <c r="AH21" s="40">
        <f t="shared" si="29"/>
        <v>0</v>
      </c>
      <c r="AI21" s="40">
        <f t="shared" si="30"/>
        <v>373477.76000000024</v>
      </c>
      <c r="AJ21" s="40">
        <f t="shared" si="31"/>
        <v>0</v>
      </c>
      <c r="AK21" s="40">
        <f t="shared" si="32"/>
        <v>373477.76000000024</v>
      </c>
      <c r="AL21" s="600" t="str">
        <f t="shared" ref="AL21:AL31" si="40">IF(R21=0," ",AD21/R21)</f>
        <v xml:space="preserve"> </v>
      </c>
      <c r="AM21" s="600">
        <f t="shared" si="34"/>
        <v>0.85879208822463715</v>
      </c>
      <c r="AN21" s="600" t="str">
        <f t="shared" si="35"/>
        <v xml:space="preserve"> </v>
      </c>
      <c r="AO21" s="600">
        <f t="shared" si="36"/>
        <v>0.85879208822463715</v>
      </c>
      <c r="AP21" s="116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</row>
    <row r="22" spans="1:64" s="16" customFormat="1">
      <c r="A22" s="900" t="s">
        <v>962</v>
      </c>
      <c r="B22" s="40"/>
      <c r="C22" s="40">
        <f>+'CONAP-FUR (REG)-Detail'!D86</f>
        <v>117921.94</v>
      </c>
      <c r="D22" s="40">
        <f>+'CONAP-FUR (REG)-Detail'!E86</f>
        <v>0</v>
      </c>
      <c r="E22" s="40">
        <f t="shared" si="14"/>
        <v>117921.94</v>
      </c>
      <c r="F22" s="40">
        <f>+'CONAP-FUR (REG)-Detail'!G86</f>
        <v>0</v>
      </c>
      <c r="G22" s="40">
        <f>+'CONAP-FUR (REG)-Detail'!H86</f>
        <v>10000000</v>
      </c>
      <c r="H22" s="40">
        <f>+'CONAP-FUR (REG)-Detail'!I86</f>
        <v>656000</v>
      </c>
      <c r="I22" s="40">
        <f t="shared" si="15"/>
        <v>10656000</v>
      </c>
      <c r="J22" s="40">
        <f>+'CONAP-FUR (REG)-Detail'!K86</f>
        <v>0</v>
      </c>
      <c r="K22" s="40">
        <f>+'CONAP-FUR (REG)-Detail'!L86</f>
        <v>18043995.640000001</v>
      </c>
      <c r="L22" s="40">
        <f>+'CONAP-FUR (REG)-Detail'!M86</f>
        <v>0</v>
      </c>
      <c r="M22" s="40">
        <f t="shared" si="16"/>
        <v>18043995.640000001</v>
      </c>
      <c r="N22" s="40">
        <f t="shared" si="17"/>
        <v>0</v>
      </c>
      <c r="O22" s="40">
        <f t="shared" si="18"/>
        <v>28043995.640000001</v>
      </c>
      <c r="P22" s="40">
        <f t="shared" si="19"/>
        <v>656000</v>
      </c>
      <c r="Q22" s="40">
        <f t="shared" si="20"/>
        <v>28699995.640000001</v>
      </c>
      <c r="R22" s="40">
        <f t="shared" si="21"/>
        <v>0</v>
      </c>
      <c r="S22" s="40">
        <f t="shared" si="22"/>
        <v>28161917.580000002</v>
      </c>
      <c r="T22" s="40">
        <f t="shared" si="23"/>
        <v>656000</v>
      </c>
      <c r="U22" s="40">
        <f t="shared" si="24"/>
        <v>28817917.580000002</v>
      </c>
      <c r="V22" s="40">
        <f>+'CONAP-FUR (REG)-Detail'!W86</f>
        <v>0</v>
      </c>
      <c r="W22" s="40">
        <f>+'CONAP-FUR (REG)-Detail'!X86</f>
        <v>116360.38999999998</v>
      </c>
      <c r="X22" s="40">
        <f>+'CONAP-FUR (REG)-Detail'!Y86</f>
        <v>0</v>
      </c>
      <c r="Y22" s="40">
        <f t="shared" si="6"/>
        <v>116360.38999999998</v>
      </c>
      <c r="Z22" s="40">
        <f>+'CONAP-FUR (REG)-Detail'!AA86</f>
        <v>0</v>
      </c>
      <c r="AA22" s="40">
        <f>+'CONAP-FUR (REG)-Detail'!AB86</f>
        <v>27150244.589999996</v>
      </c>
      <c r="AB22" s="40">
        <f>+'CONAP-FUR (REG)-Detail'!AC86</f>
        <v>645400</v>
      </c>
      <c r="AC22" s="40">
        <f t="shared" si="7"/>
        <v>27795644.589999996</v>
      </c>
      <c r="AD22" s="40">
        <f t="shared" si="25"/>
        <v>0</v>
      </c>
      <c r="AE22" s="40">
        <f t="shared" si="26"/>
        <v>27266604.979999997</v>
      </c>
      <c r="AF22" s="40">
        <f t="shared" si="27"/>
        <v>645400</v>
      </c>
      <c r="AG22" s="40">
        <f t="shared" si="28"/>
        <v>27912004.979999997</v>
      </c>
      <c r="AH22" s="40">
        <f t="shared" si="29"/>
        <v>0</v>
      </c>
      <c r="AI22" s="40">
        <f t="shared" si="30"/>
        <v>895312.60000000522</v>
      </c>
      <c r="AJ22" s="40">
        <f t="shared" si="31"/>
        <v>10600</v>
      </c>
      <c r="AK22" s="40">
        <f t="shared" si="32"/>
        <v>905912.60000000522</v>
      </c>
      <c r="AL22" s="600" t="str">
        <f t="shared" si="40"/>
        <v xml:space="preserve"> </v>
      </c>
      <c r="AM22" s="600">
        <f t="shared" si="34"/>
        <v>0.96820839357061972</v>
      </c>
      <c r="AN22" s="600">
        <f t="shared" si="35"/>
        <v>0.98384146341463419</v>
      </c>
      <c r="AO22" s="600">
        <f t="shared" si="36"/>
        <v>0.96856425876418217</v>
      </c>
      <c r="AP22" s="116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</row>
    <row r="23" spans="1:64" s="16" customFormat="1">
      <c r="A23" s="900" t="s">
        <v>963</v>
      </c>
      <c r="B23" s="40"/>
      <c r="C23" s="40">
        <f>+'CONAP-FUR (REG)-Detail'!D87</f>
        <v>0</v>
      </c>
      <c r="D23" s="40">
        <f>+'CONAP-FUR (REG)-Detail'!E87</f>
        <v>0</v>
      </c>
      <c r="E23" s="40">
        <f t="shared" si="14"/>
        <v>0</v>
      </c>
      <c r="F23" s="40">
        <f>+'CONAP-FUR (REG)-Detail'!G87</f>
        <v>0</v>
      </c>
      <c r="G23" s="40">
        <f>+'CONAP-FUR (REG)-Detail'!H87</f>
        <v>-283181.32</v>
      </c>
      <c r="H23" s="40">
        <f>+'CONAP-FUR (REG)-Detail'!I87</f>
        <v>0</v>
      </c>
      <c r="I23" s="40">
        <f t="shared" si="15"/>
        <v>-283181.32</v>
      </c>
      <c r="J23" s="40">
        <f>+'CONAP-FUR (REG)-Detail'!K87</f>
        <v>0</v>
      </c>
      <c r="K23" s="40">
        <f>+'CONAP-FUR (REG)-Detail'!L87</f>
        <v>283181.32</v>
      </c>
      <c r="L23" s="40">
        <f>+'CONAP-FUR (REG)-Detail'!M87</f>
        <v>0</v>
      </c>
      <c r="M23" s="40">
        <f t="shared" si="16"/>
        <v>283181.32</v>
      </c>
      <c r="N23" s="40">
        <f t="shared" si="17"/>
        <v>0</v>
      </c>
      <c r="O23" s="40">
        <f t="shared" si="18"/>
        <v>0</v>
      </c>
      <c r="P23" s="40">
        <f t="shared" si="19"/>
        <v>0</v>
      </c>
      <c r="Q23" s="40">
        <f t="shared" si="20"/>
        <v>0</v>
      </c>
      <c r="R23" s="40">
        <f t="shared" si="21"/>
        <v>0</v>
      </c>
      <c r="S23" s="40">
        <f t="shared" si="22"/>
        <v>0</v>
      </c>
      <c r="T23" s="40">
        <f t="shared" si="23"/>
        <v>0</v>
      </c>
      <c r="U23" s="40">
        <f t="shared" si="24"/>
        <v>0</v>
      </c>
      <c r="V23" s="40">
        <f>+'CONAP-FUR (REG)-Detail'!W87</f>
        <v>0</v>
      </c>
      <c r="W23" s="40">
        <f>+'CONAP-FUR (REG)-Detail'!X87</f>
        <v>0</v>
      </c>
      <c r="X23" s="40">
        <f>+'CONAP-FUR (REG)-Detail'!Y87</f>
        <v>0</v>
      </c>
      <c r="Y23" s="40">
        <f t="shared" si="6"/>
        <v>0</v>
      </c>
      <c r="Z23" s="40">
        <f>+'CONAP-FUR (REG)-Detail'!AA87</f>
        <v>0</v>
      </c>
      <c r="AA23" s="40">
        <f>+'CONAP-FUR (REG)-Detail'!AB87</f>
        <v>0</v>
      </c>
      <c r="AB23" s="40">
        <f>+'CONAP-FUR (REG)-Detail'!AC87</f>
        <v>0</v>
      </c>
      <c r="AC23" s="40">
        <f t="shared" si="7"/>
        <v>0</v>
      </c>
      <c r="AD23" s="40">
        <f t="shared" si="25"/>
        <v>0</v>
      </c>
      <c r="AE23" s="40">
        <f t="shared" si="26"/>
        <v>0</v>
      </c>
      <c r="AF23" s="40">
        <f t="shared" si="27"/>
        <v>0</v>
      </c>
      <c r="AG23" s="40">
        <f t="shared" si="28"/>
        <v>0</v>
      </c>
      <c r="AH23" s="40">
        <f t="shared" si="29"/>
        <v>0</v>
      </c>
      <c r="AI23" s="40">
        <f t="shared" si="30"/>
        <v>0</v>
      </c>
      <c r="AJ23" s="40">
        <f t="shared" si="31"/>
        <v>0</v>
      </c>
      <c r="AK23" s="40">
        <f t="shared" si="32"/>
        <v>0</v>
      </c>
      <c r="AL23" s="600" t="str">
        <f t="shared" si="40"/>
        <v xml:space="preserve"> </v>
      </c>
      <c r="AM23" s="600" t="str">
        <f t="shared" si="34"/>
        <v xml:space="preserve"> </v>
      </c>
      <c r="AN23" s="600" t="str">
        <f t="shared" si="35"/>
        <v xml:space="preserve"> </v>
      </c>
      <c r="AO23" s="600" t="str">
        <f t="shared" si="36"/>
        <v xml:space="preserve"> </v>
      </c>
      <c r="AP23" s="116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</row>
    <row r="24" spans="1:64" s="16" customFormat="1">
      <c r="A24" s="900" t="s">
        <v>964</v>
      </c>
      <c r="B24" s="40"/>
      <c r="C24" s="40">
        <f>+'CONAP-FUR (REG)-Detail'!D88</f>
        <v>395859.21</v>
      </c>
      <c r="D24" s="40">
        <f>+'CONAP-FUR (REG)-Detail'!E88</f>
        <v>0</v>
      </c>
      <c r="E24" s="40">
        <f t="shared" si="14"/>
        <v>395859.21</v>
      </c>
      <c r="F24" s="40">
        <f>+'CONAP-FUR (REG)-Detail'!G88</f>
        <v>0</v>
      </c>
      <c r="G24" s="40">
        <f>+'CONAP-FUR (REG)-Detail'!H88</f>
        <v>-3742287.98</v>
      </c>
      <c r="H24" s="40">
        <f>+'CONAP-FUR (REG)-Detail'!I88</f>
        <v>0</v>
      </c>
      <c r="I24" s="40">
        <f t="shared" si="15"/>
        <v>-3742287.98</v>
      </c>
      <c r="J24" s="40">
        <f>+'CONAP-FUR (REG)-Detail'!K88</f>
        <v>0</v>
      </c>
      <c r="K24" s="40">
        <f>+'CONAP-FUR (REG)-Detail'!L88</f>
        <v>4534815.0199999996</v>
      </c>
      <c r="L24" s="40">
        <f>+'CONAP-FUR (REG)-Detail'!M88</f>
        <v>0</v>
      </c>
      <c r="M24" s="40">
        <f t="shared" si="16"/>
        <v>4534815.0199999996</v>
      </c>
      <c r="N24" s="40">
        <f t="shared" si="17"/>
        <v>0</v>
      </c>
      <c r="O24" s="40">
        <f t="shared" si="18"/>
        <v>792527.03999999957</v>
      </c>
      <c r="P24" s="40">
        <f t="shared" si="19"/>
        <v>0</v>
      </c>
      <c r="Q24" s="40">
        <f t="shared" si="20"/>
        <v>792527.03999999957</v>
      </c>
      <c r="R24" s="40">
        <f t="shared" si="21"/>
        <v>0</v>
      </c>
      <c r="S24" s="40">
        <f t="shared" si="22"/>
        <v>1188386.2499999995</v>
      </c>
      <c r="T24" s="40">
        <f t="shared" si="23"/>
        <v>0</v>
      </c>
      <c r="U24" s="40">
        <f t="shared" si="24"/>
        <v>1188386.2499999995</v>
      </c>
      <c r="V24" s="40">
        <f>+'CONAP-FUR (REG)-Detail'!W88</f>
        <v>0</v>
      </c>
      <c r="W24" s="40">
        <f>+'CONAP-FUR (REG)-Detail'!X88</f>
        <v>395859.21</v>
      </c>
      <c r="X24" s="40">
        <f>+'CONAP-FUR (REG)-Detail'!Y88</f>
        <v>0</v>
      </c>
      <c r="Y24" s="40">
        <f t="shared" si="6"/>
        <v>395859.21</v>
      </c>
      <c r="Z24" s="40">
        <f>+'CONAP-FUR (REG)-Detail'!AA88</f>
        <v>0</v>
      </c>
      <c r="AA24" s="40">
        <f>+'CONAP-FUR (REG)-Detail'!AB88</f>
        <v>640618.14</v>
      </c>
      <c r="AB24" s="40">
        <f>+'CONAP-FUR (REG)-Detail'!AC88</f>
        <v>0</v>
      </c>
      <c r="AC24" s="40">
        <f t="shared" si="7"/>
        <v>640618.14</v>
      </c>
      <c r="AD24" s="40">
        <f t="shared" si="25"/>
        <v>0</v>
      </c>
      <c r="AE24" s="40">
        <f t="shared" si="26"/>
        <v>1036477.3500000001</v>
      </c>
      <c r="AF24" s="40">
        <f t="shared" si="27"/>
        <v>0</v>
      </c>
      <c r="AG24" s="40">
        <f t="shared" si="28"/>
        <v>1036477.3500000001</v>
      </c>
      <c r="AH24" s="40">
        <f t="shared" si="29"/>
        <v>0</v>
      </c>
      <c r="AI24" s="40">
        <f t="shared" si="30"/>
        <v>151908.89999999944</v>
      </c>
      <c r="AJ24" s="40">
        <f t="shared" si="31"/>
        <v>0</v>
      </c>
      <c r="AK24" s="40">
        <f t="shared" si="32"/>
        <v>151908.89999999944</v>
      </c>
      <c r="AL24" s="600" t="str">
        <f t="shared" si="40"/>
        <v xml:space="preserve"> </v>
      </c>
      <c r="AM24" s="600">
        <f t="shared" si="34"/>
        <v>0.87217211575781906</v>
      </c>
      <c r="AN24" s="600" t="str">
        <f t="shared" si="35"/>
        <v xml:space="preserve"> </v>
      </c>
      <c r="AO24" s="600">
        <f t="shared" si="36"/>
        <v>0.87217211575781906</v>
      </c>
      <c r="AP24" s="116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</row>
    <row r="25" spans="1:64" s="16" customFormat="1">
      <c r="A25" s="900" t="s">
        <v>965</v>
      </c>
      <c r="B25" s="40"/>
      <c r="C25" s="40">
        <f>+'CONAP-FUR (REG)-Detail'!D89</f>
        <v>0</v>
      </c>
      <c r="D25" s="40">
        <f>+'CONAP-FUR (REG)-Detail'!E89</f>
        <v>50000000</v>
      </c>
      <c r="E25" s="40">
        <f t="shared" si="14"/>
        <v>50000000</v>
      </c>
      <c r="F25" s="40">
        <f>+'CONAP-FUR (REG)-Detail'!G89</f>
        <v>0</v>
      </c>
      <c r="G25" s="40">
        <f>+'CONAP-FUR (REG)-Detail'!H89</f>
        <v>-4265891.51</v>
      </c>
      <c r="H25" s="40">
        <f>+'CONAP-FUR (REG)-Detail'!I89</f>
        <v>0</v>
      </c>
      <c r="I25" s="40">
        <f t="shared" si="15"/>
        <v>-4265891.51</v>
      </c>
      <c r="J25" s="40">
        <f>+'CONAP-FUR (REG)-Detail'!K89</f>
        <v>0</v>
      </c>
      <c r="K25" s="40">
        <f>+'CONAP-FUR (REG)-Detail'!L89</f>
        <v>4306389.04</v>
      </c>
      <c r="L25" s="40">
        <f>+'CONAP-FUR (REG)-Detail'!M89</f>
        <v>0</v>
      </c>
      <c r="M25" s="40">
        <f t="shared" si="16"/>
        <v>4306389.04</v>
      </c>
      <c r="N25" s="40">
        <f t="shared" si="17"/>
        <v>0</v>
      </c>
      <c r="O25" s="40">
        <f t="shared" si="18"/>
        <v>40497.530000000261</v>
      </c>
      <c r="P25" s="40">
        <f t="shared" si="19"/>
        <v>0</v>
      </c>
      <c r="Q25" s="40">
        <f t="shared" si="20"/>
        <v>40497.530000000261</v>
      </c>
      <c r="R25" s="40">
        <f t="shared" si="21"/>
        <v>0</v>
      </c>
      <c r="S25" s="40">
        <f t="shared" si="22"/>
        <v>40497.530000000261</v>
      </c>
      <c r="T25" s="40">
        <f t="shared" si="23"/>
        <v>50000000</v>
      </c>
      <c r="U25" s="40">
        <f t="shared" si="24"/>
        <v>50040497.530000001</v>
      </c>
      <c r="V25" s="40">
        <f>+'CONAP-FUR (REG)-Detail'!W89</f>
        <v>0</v>
      </c>
      <c r="W25" s="40">
        <f>+'CONAP-FUR (REG)-Detail'!X89</f>
        <v>0</v>
      </c>
      <c r="X25" s="40">
        <f>+'CONAP-FUR (REG)-Detail'!Y89</f>
        <v>5474510</v>
      </c>
      <c r="Y25" s="40">
        <f t="shared" si="6"/>
        <v>5474510</v>
      </c>
      <c r="Z25" s="40">
        <f>+'CONAP-FUR (REG)-Detail'!AA89</f>
        <v>0</v>
      </c>
      <c r="AA25" s="40">
        <f>+'CONAP-FUR (REG)-Detail'!AB89</f>
        <v>0</v>
      </c>
      <c r="AB25" s="40">
        <f>+'CONAP-FUR (REG)-Detail'!AC89</f>
        <v>0</v>
      </c>
      <c r="AC25" s="40">
        <f t="shared" si="7"/>
        <v>0</v>
      </c>
      <c r="AD25" s="40">
        <f t="shared" si="25"/>
        <v>0</v>
      </c>
      <c r="AE25" s="40">
        <f t="shared" si="26"/>
        <v>0</v>
      </c>
      <c r="AF25" s="40">
        <f t="shared" si="27"/>
        <v>5474510</v>
      </c>
      <c r="AG25" s="40">
        <f t="shared" si="28"/>
        <v>5474510</v>
      </c>
      <c r="AH25" s="40">
        <f t="shared" si="29"/>
        <v>0</v>
      </c>
      <c r="AI25" s="40">
        <f t="shared" si="30"/>
        <v>40497.530000000261</v>
      </c>
      <c r="AJ25" s="40">
        <f t="shared" si="31"/>
        <v>44525490</v>
      </c>
      <c r="AK25" s="40">
        <f t="shared" si="32"/>
        <v>44565987.530000001</v>
      </c>
      <c r="AL25" s="600" t="str">
        <f t="shared" si="40"/>
        <v xml:space="preserve"> </v>
      </c>
      <c r="AM25" s="600">
        <f t="shared" si="34"/>
        <v>0</v>
      </c>
      <c r="AN25" s="600">
        <f t="shared" si="35"/>
        <v>0.1094902</v>
      </c>
      <c r="AO25" s="600">
        <f t="shared" si="36"/>
        <v>0.10940159011644424</v>
      </c>
      <c r="AP25" s="116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</row>
    <row r="26" spans="1:64" s="16" customFormat="1">
      <c r="A26" s="900" t="s">
        <v>966</v>
      </c>
      <c r="B26" s="40"/>
      <c r="C26" s="40">
        <f>+'CONAP-FUR (REG)-Detail'!D90</f>
        <v>0</v>
      </c>
      <c r="D26" s="40">
        <f>+'CONAP-FUR (REG)-Detail'!E90</f>
        <v>0</v>
      </c>
      <c r="E26" s="40">
        <f t="shared" si="14"/>
        <v>0</v>
      </c>
      <c r="F26" s="40">
        <f>+'CONAP-FUR (REG)-Detail'!G90</f>
        <v>0</v>
      </c>
      <c r="G26" s="40">
        <f>+'CONAP-FUR (REG)-Detail'!H90</f>
        <v>0</v>
      </c>
      <c r="H26" s="40">
        <f>+'CONAP-FUR (REG)-Detail'!I90</f>
        <v>0</v>
      </c>
      <c r="I26" s="40">
        <f t="shared" si="15"/>
        <v>0</v>
      </c>
      <c r="J26" s="40">
        <f>+'CONAP-FUR (REG)-Detail'!K90</f>
        <v>0</v>
      </c>
      <c r="K26" s="40">
        <f>+'CONAP-FUR (REG)-Detail'!L90</f>
        <v>0</v>
      </c>
      <c r="L26" s="40">
        <f>+'CONAP-FUR (REG)-Detail'!M90</f>
        <v>0</v>
      </c>
      <c r="M26" s="40">
        <f t="shared" si="16"/>
        <v>0</v>
      </c>
      <c r="N26" s="40">
        <f t="shared" si="17"/>
        <v>0</v>
      </c>
      <c r="O26" s="40">
        <f t="shared" si="18"/>
        <v>0</v>
      </c>
      <c r="P26" s="40">
        <f t="shared" si="19"/>
        <v>0</v>
      </c>
      <c r="Q26" s="40">
        <f t="shared" si="20"/>
        <v>0</v>
      </c>
      <c r="R26" s="40">
        <f t="shared" si="21"/>
        <v>0</v>
      </c>
      <c r="S26" s="40">
        <f t="shared" si="22"/>
        <v>0</v>
      </c>
      <c r="T26" s="40">
        <f t="shared" si="23"/>
        <v>0</v>
      </c>
      <c r="U26" s="40">
        <f t="shared" si="24"/>
        <v>0</v>
      </c>
      <c r="V26" s="40">
        <f>+'CONAP-FUR (REG)-Detail'!W90</f>
        <v>0</v>
      </c>
      <c r="W26" s="40">
        <f>+'CONAP-FUR (REG)-Detail'!X90</f>
        <v>0</v>
      </c>
      <c r="X26" s="40">
        <f>+'CONAP-FUR (REG)-Detail'!Y90</f>
        <v>0</v>
      </c>
      <c r="Y26" s="40">
        <f t="shared" si="6"/>
        <v>0</v>
      </c>
      <c r="Z26" s="40">
        <f>+'CONAP-FUR (REG)-Detail'!AA90</f>
        <v>0</v>
      </c>
      <c r="AA26" s="40">
        <f>+'CONAP-FUR (REG)-Detail'!AB90</f>
        <v>-7665</v>
      </c>
      <c r="AB26" s="40">
        <f>+'CONAP-FUR (REG)-Detail'!AC90</f>
        <v>0</v>
      </c>
      <c r="AC26" s="40">
        <f t="shared" si="7"/>
        <v>-7665</v>
      </c>
      <c r="AD26" s="40">
        <f t="shared" si="25"/>
        <v>0</v>
      </c>
      <c r="AE26" s="40">
        <f t="shared" si="26"/>
        <v>-7665</v>
      </c>
      <c r="AF26" s="40">
        <f t="shared" si="27"/>
        <v>0</v>
      </c>
      <c r="AG26" s="40">
        <f t="shared" si="28"/>
        <v>-7665</v>
      </c>
      <c r="AH26" s="40">
        <f t="shared" si="29"/>
        <v>0</v>
      </c>
      <c r="AI26" s="40">
        <f t="shared" si="30"/>
        <v>7665</v>
      </c>
      <c r="AJ26" s="40">
        <f t="shared" si="31"/>
        <v>0</v>
      </c>
      <c r="AK26" s="40">
        <f t="shared" si="32"/>
        <v>7665</v>
      </c>
      <c r="AL26" s="600" t="str">
        <f t="shared" si="40"/>
        <v xml:space="preserve"> </v>
      </c>
      <c r="AM26" s="600" t="str">
        <f t="shared" si="34"/>
        <v xml:space="preserve"> </v>
      </c>
      <c r="AN26" s="600" t="str">
        <f t="shared" si="35"/>
        <v xml:space="preserve"> </v>
      </c>
      <c r="AO26" s="600" t="str">
        <f t="shared" si="36"/>
        <v xml:space="preserve"> </v>
      </c>
      <c r="AP26" s="116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</row>
    <row r="27" spans="1:64" s="16" customFormat="1">
      <c r="A27" s="900" t="s">
        <v>967</v>
      </c>
      <c r="B27" s="40"/>
      <c r="C27" s="40">
        <f>+'CONAP-FUR (REG)-Detail'!D91</f>
        <v>0</v>
      </c>
      <c r="D27" s="40">
        <f>+'CONAP-FUR (REG)-Detail'!E91</f>
        <v>0</v>
      </c>
      <c r="E27" s="40">
        <f t="shared" si="14"/>
        <v>0</v>
      </c>
      <c r="F27" s="40">
        <f>+'CONAP-FUR (REG)-Detail'!G91</f>
        <v>0</v>
      </c>
      <c r="G27" s="40">
        <f>+'CONAP-FUR (REG)-Detail'!H91</f>
        <v>0</v>
      </c>
      <c r="H27" s="40">
        <f>+'CONAP-FUR (REG)-Detail'!I91</f>
        <v>0</v>
      </c>
      <c r="I27" s="40">
        <f t="shared" si="15"/>
        <v>0</v>
      </c>
      <c r="J27" s="40">
        <f>+'CONAP-FUR (REG)-Detail'!K91</f>
        <v>0</v>
      </c>
      <c r="K27" s="40">
        <f>+'CONAP-FUR (REG)-Detail'!L91</f>
        <v>2263524.19</v>
      </c>
      <c r="L27" s="40">
        <f>+'CONAP-FUR (REG)-Detail'!M91</f>
        <v>0</v>
      </c>
      <c r="M27" s="40">
        <f t="shared" si="16"/>
        <v>2263524.19</v>
      </c>
      <c r="N27" s="40">
        <f t="shared" si="17"/>
        <v>0</v>
      </c>
      <c r="O27" s="40">
        <f t="shared" si="18"/>
        <v>2263524.19</v>
      </c>
      <c r="P27" s="40">
        <f t="shared" si="19"/>
        <v>0</v>
      </c>
      <c r="Q27" s="40">
        <f t="shared" si="20"/>
        <v>2263524.19</v>
      </c>
      <c r="R27" s="40">
        <f t="shared" si="21"/>
        <v>0</v>
      </c>
      <c r="S27" s="40">
        <f t="shared" si="22"/>
        <v>2263524.19</v>
      </c>
      <c r="T27" s="40">
        <f t="shared" si="23"/>
        <v>0</v>
      </c>
      <c r="U27" s="40">
        <f t="shared" si="24"/>
        <v>2263524.19</v>
      </c>
      <c r="V27" s="40">
        <f>+'CONAP-FUR (REG)-Detail'!W91</f>
        <v>0</v>
      </c>
      <c r="W27" s="40">
        <f>+'CONAP-FUR (REG)-Detail'!X91</f>
        <v>0</v>
      </c>
      <c r="X27" s="40">
        <f>+'CONAP-FUR (REG)-Detail'!Y91</f>
        <v>0</v>
      </c>
      <c r="Y27" s="40">
        <f t="shared" si="6"/>
        <v>0</v>
      </c>
      <c r="Z27" s="40">
        <f>+'CONAP-FUR (REG)-Detail'!AA91</f>
        <v>0</v>
      </c>
      <c r="AA27" s="40">
        <f>+'CONAP-FUR (REG)-Detail'!AB91</f>
        <v>1887604.07</v>
      </c>
      <c r="AB27" s="40">
        <f>+'CONAP-FUR (REG)-Detail'!AC91</f>
        <v>0</v>
      </c>
      <c r="AC27" s="40">
        <f t="shared" si="7"/>
        <v>1887604.07</v>
      </c>
      <c r="AD27" s="40">
        <f t="shared" si="25"/>
        <v>0</v>
      </c>
      <c r="AE27" s="40">
        <f t="shared" si="26"/>
        <v>1887604.07</v>
      </c>
      <c r="AF27" s="40">
        <f t="shared" si="27"/>
        <v>0</v>
      </c>
      <c r="AG27" s="40">
        <f t="shared" si="28"/>
        <v>1887604.07</v>
      </c>
      <c r="AH27" s="40">
        <f t="shared" si="29"/>
        <v>0</v>
      </c>
      <c r="AI27" s="40">
        <f t="shared" si="30"/>
        <v>375920.11999999988</v>
      </c>
      <c r="AJ27" s="40">
        <f t="shared" si="31"/>
        <v>0</v>
      </c>
      <c r="AK27" s="40">
        <f t="shared" si="32"/>
        <v>375920.11999999988</v>
      </c>
      <c r="AL27" s="600" t="str">
        <f t="shared" si="40"/>
        <v xml:space="preserve"> </v>
      </c>
      <c r="AM27" s="600">
        <f t="shared" si="34"/>
        <v>0.83392264078255784</v>
      </c>
      <c r="AN27" s="600" t="str">
        <f t="shared" si="35"/>
        <v xml:space="preserve"> </v>
      </c>
      <c r="AO27" s="600">
        <f t="shared" si="36"/>
        <v>0.83392264078255784</v>
      </c>
      <c r="AP27" s="116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</row>
    <row r="28" spans="1:64" s="16" customFormat="1">
      <c r="A28" s="900" t="s">
        <v>968</v>
      </c>
      <c r="B28" s="40"/>
      <c r="C28" s="40">
        <f>+'CONAP-FUR (REG)-Detail'!D92</f>
        <v>0</v>
      </c>
      <c r="D28" s="40">
        <f>+'CONAP-FUR (REG)-Detail'!E92</f>
        <v>0</v>
      </c>
      <c r="E28" s="40">
        <f t="shared" si="14"/>
        <v>0</v>
      </c>
      <c r="F28" s="40">
        <f>+'CONAP-FUR (REG)-Detail'!G92</f>
        <v>0</v>
      </c>
      <c r="G28" s="40">
        <f>+'CONAP-FUR (REG)-Detail'!H92</f>
        <v>0</v>
      </c>
      <c r="H28" s="40">
        <f>+'CONAP-FUR (REG)-Detail'!I92</f>
        <v>0</v>
      </c>
      <c r="I28" s="40">
        <f t="shared" si="15"/>
        <v>0</v>
      </c>
      <c r="J28" s="40">
        <f>+'CONAP-FUR (REG)-Detail'!K92</f>
        <v>0</v>
      </c>
      <c r="K28" s="40">
        <f>+'CONAP-FUR (REG)-Detail'!L92</f>
        <v>8504508.1300000008</v>
      </c>
      <c r="L28" s="40">
        <f>+'CONAP-FUR (REG)-Detail'!M92</f>
        <v>0</v>
      </c>
      <c r="M28" s="40">
        <f t="shared" si="16"/>
        <v>8504508.1300000008</v>
      </c>
      <c r="N28" s="40">
        <f t="shared" si="17"/>
        <v>0</v>
      </c>
      <c r="O28" s="40">
        <f t="shared" si="18"/>
        <v>8504508.1300000008</v>
      </c>
      <c r="P28" s="40">
        <f t="shared" si="19"/>
        <v>0</v>
      </c>
      <c r="Q28" s="40">
        <f t="shared" si="20"/>
        <v>8504508.1300000008</v>
      </c>
      <c r="R28" s="40">
        <f t="shared" si="21"/>
        <v>0</v>
      </c>
      <c r="S28" s="40">
        <f t="shared" si="22"/>
        <v>8504508.1300000008</v>
      </c>
      <c r="T28" s="40">
        <f t="shared" si="23"/>
        <v>0</v>
      </c>
      <c r="U28" s="40">
        <f t="shared" si="24"/>
        <v>8504508.1300000008</v>
      </c>
      <c r="V28" s="40">
        <f>+'CONAP-FUR (REG)-Detail'!W92</f>
        <v>0</v>
      </c>
      <c r="W28" s="40">
        <f>+'CONAP-FUR (REG)-Detail'!X92</f>
        <v>0</v>
      </c>
      <c r="X28" s="40">
        <f>+'CONAP-FUR (REG)-Detail'!Y92</f>
        <v>0</v>
      </c>
      <c r="Y28" s="40">
        <f t="shared" si="6"/>
        <v>0</v>
      </c>
      <c r="Z28" s="40">
        <f>+'CONAP-FUR (REG)-Detail'!AA92</f>
        <v>0</v>
      </c>
      <c r="AA28" s="40">
        <f>+'CONAP-FUR (REG)-Detail'!AB92</f>
        <v>8410425.9000000004</v>
      </c>
      <c r="AB28" s="40">
        <f>+'CONAP-FUR (REG)-Detail'!AC92</f>
        <v>0</v>
      </c>
      <c r="AC28" s="40">
        <f t="shared" si="7"/>
        <v>8410425.9000000004</v>
      </c>
      <c r="AD28" s="40">
        <f t="shared" si="25"/>
        <v>0</v>
      </c>
      <c r="AE28" s="40">
        <f t="shared" si="26"/>
        <v>8410425.9000000004</v>
      </c>
      <c r="AF28" s="40">
        <f t="shared" si="27"/>
        <v>0</v>
      </c>
      <c r="AG28" s="40">
        <f t="shared" si="28"/>
        <v>8410425.9000000004</v>
      </c>
      <c r="AH28" s="40">
        <f t="shared" si="29"/>
        <v>0</v>
      </c>
      <c r="AI28" s="40">
        <f t="shared" si="30"/>
        <v>94082.230000000447</v>
      </c>
      <c r="AJ28" s="40">
        <f t="shared" si="31"/>
        <v>0</v>
      </c>
      <c r="AK28" s="40">
        <f t="shared" si="32"/>
        <v>94082.230000000447</v>
      </c>
      <c r="AL28" s="600" t="str">
        <f t="shared" si="40"/>
        <v xml:space="preserve"> </v>
      </c>
      <c r="AM28" s="600">
        <f t="shared" si="34"/>
        <v>0.98893736962069312</v>
      </c>
      <c r="AN28" s="600" t="str">
        <f t="shared" si="35"/>
        <v xml:space="preserve"> </v>
      </c>
      <c r="AO28" s="600">
        <f t="shared" si="36"/>
        <v>0.98893736962069312</v>
      </c>
      <c r="AP28" s="116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</row>
    <row r="29" spans="1:64" s="16" customFormat="1">
      <c r="A29" s="900" t="s">
        <v>969</v>
      </c>
      <c r="B29" s="40"/>
      <c r="C29" s="40">
        <f>+'CONAP-FUR (REG)-Detail'!D93</f>
        <v>5453574.2800000003</v>
      </c>
      <c r="D29" s="40">
        <f>+'CONAP-FUR (REG)-Detail'!E93</f>
        <v>0</v>
      </c>
      <c r="E29" s="40">
        <f t="shared" si="14"/>
        <v>5453574.2800000003</v>
      </c>
      <c r="F29" s="40">
        <f>+'CONAP-FUR (REG)-Detail'!G93</f>
        <v>0</v>
      </c>
      <c r="G29" s="40">
        <f>+'CONAP-FUR (REG)-Detail'!H93</f>
        <v>-1086619.47</v>
      </c>
      <c r="H29" s="40">
        <f>+'CONAP-FUR (REG)-Detail'!I93</f>
        <v>12306675</v>
      </c>
      <c r="I29" s="40">
        <f t="shared" si="15"/>
        <v>11220055.529999999</v>
      </c>
      <c r="J29" s="40">
        <f>+'CONAP-FUR (REG)-Detail'!K93</f>
        <v>0</v>
      </c>
      <c r="K29" s="40">
        <f>+'CONAP-FUR (REG)-Detail'!L93</f>
        <v>13318829.520000001</v>
      </c>
      <c r="L29" s="40">
        <f>+'CONAP-FUR (REG)-Detail'!M93</f>
        <v>0</v>
      </c>
      <c r="M29" s="40">
        <f t="shared" si="16"/>
        <v>13318829.520000001</v>
      </c>
      <c r="N29" s="40">
        <f t="shared" si="17"/>
        <v>0</v>
      </c>
      <c r="O29" s="40">
        <f t="shared" si="18"/>
        <v>12232210.050000001</v>
      </c>
      <c r="P29" s="40">
        <f t="shared" si="19"/>
        <v>12306675</v>
      </c>
      <c r="Q29" s="40">
        <f t="shared" si="20"/>
        <v>24538885.050000001</v>
      </c>
      <c r="R29" s="40">
        <f t="shared" si="21"/>
        <v>0</v>
      </c>
      <c r="S29" s="40">
        <f t="shared" si="22"/>
        <v>17685784.330000002</v>
      </c>
      <c r="T29" s="40">
        <f t="shared" si="23"/>
        <v>12306675</v>
      </c>
      <c r="U29" s="40">
        <f t="shared" si="24"/>
        <v>29992459.330000002</v>
      </c>
      <c r="V29" s="40">
        <f>+'CONAP-FUR (REG)-Detail'!W93</f>
        <v>0</v>
      </c>
      <c r="W29" s="40">
        <f>+'CONAP-FUR (REG)-Detail'!X93</f>
        <v>5453574.2800000003</v>
      </c>
      <c r="X29" s="40">
        <f>+'CONAP-FUR (REG)-Detail'!Y93</f>
        <v>0</v>
      </c>
      <c r="Y29" s="40">
        <f t="shared" si="6"/>
        <v>5453574.2800000003</v>
      </c>
      <c r="Z29" s="40">
        <f>+'CONAP-FUR (REG)-Detail'!AA93</f>
        <v>0</v>
      </c>
      <c r="AA29" s="40">
        <f>+'CONAP-FUR (REG)-Detail'!AB93</f>
        <v>10109208.970000001</v>
      </c>
      <c r="AB29" s="40">
        <f>+'CONAP-FUR (REG)-Detail'!AC93</f>
        <v>12306675</v>
      </c>
      <c r="AC29" s="40">
        <f t="shared" si="7"/>
        <v>22415883.969999999</v>
      </c>
      <c r="AD29" s="40">
        <f t="shared" si="25"/>
        <v>0</v>
      </c>
      <c r="AE29" s="40">
        <f t="shared" si="26"/>
        <v>15562783.25</v>
      </c>
      <c r="AF29" s="40">
        <f t="shared" si="27"/>
        <v>12306675</v>
      </c>
      <c r="AG29" s="40">
        <f t="shared" si="28"/>
        <v>27869458.25</v>
      </c>
      <c r="AH29" s="40">
        <f t="shared" si="29"/>
        <v>0</v>
      </c>
      <c r="AI29" s="40">
        <f t="shared" si="30"/>
        <v>2123001.0800000019</v>
      </c>
      <c r="AJ29" s="40">
        <f t="shared" si="31"/>
        <v>0</v>
      </c>
      <c r="AK29" s="40">
        <f t="shared" si="32"/>
        <v>2123001.0800000019</v>
      </c>
      <c r="AL29" s="600" t="str">
        <f t="shared" si="40"/>
        <v xml:space="preserve"> </v>
      </c>
      <c r="AM29" s="600">
        <f t="shared" si="34"/>
        <v>0.87996002663004302</v>
      </c>
      <c r="AN29" s="600">
        <f t="shared" si="35"/>
        <v>1</v>
      </c>
      <c r="AO29" s="600">
        <f t="shared" si="36"/>
        <v>0.92921550524946561</v>
      </c>
      <c r="AP29" s="116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</row>
    <row r="30" spans="1:64" s="16" customFormat="1">
      <c r="A30" s="900" t="s">
        <v>970</v>
      </c>
      <c r="B30" s="40"/>
      <c r="C30" s="40">
        <f>+'CONAP-FUR (REG)-Detail'!D94</f>
        <v>0</v>
      </c>
      <c r="D30" s="40">
        <f>+'CONAP-FUR (REG)-Detail'!E94</f>
        <v>45305000</v>
      </c>
      <c r="E30" s="40">
        <f t="shared" si="14"/>
        <v>45305000</v>
      </c>
      <c r="F30" s="40">
        <f>+'CONAP-FUR (REG)-Detail'!G94</f>
        <v>0</v>
      </c>
      <c r="G30" s="40">
        <f>+'CONAP-FUR (REG)-Detail'!H94</f>
        <v>7362026.1299999999</v>
      </c>
      <c r="H30" s="40">
        <f>+'CONAP-FUR (REG)-Detail'!I94</f>
        <v>0</v>
      </c>
      <c r="I30" s="40">
        <f t="shared" si="15"/>
        <v>7362026.1299999999</v>
      </c>
      <c r="J30" s="40">
        <f>+'CONAP-FUR (REG)-Detail'!K94</f>
        <v>0</v>
      </c>
      <c r="K30" s="40">
        <f>+'CONAP-FUR (REG)-Detail'!L94</f>
        <v>35522835.490000002</v>
      </c>
      <c r="L30" s="40">
        <f>+'CONAP-FUR (REG)-Detail'!M94</f>
        <v>0</v>
      </c>
      <c r="M30" s="40">
        <f t="shared" si="16"/>
        <v>35522835.490000002</v>
      </c>
      <c r="N30" s="40">
        <f t="shared" si="17"/>
        <v>0</v>
      </c>
      <c r="O30" s="40">
        <f t="shared" si="18"/>
        <v>42884861.620000005</v>
      </c>
      <c r="P30" s="40">
        <f t="shared" si="19"/>
        <v>0</v>
      </c>
      <c r="Q30" s="40">
        <f t="shared" si="20"/>
        <v>42884861.620000005</v>
      </c>
      <c r="R30" s="40">
        <f t="shared" si="21"/>
        <v>0</v>
      </c>
      <c r="S30" s="40">
        <f t="shared" si="22"/>
        <v>42884861.620000005</v>
      </c>
      <c r="T30" s="40">
        <f t="shared" si="23"/>
        <v>45305000</v>
      </c>
      <c r="U30" s="40">
        <f t="shared" si="24"/>
        <v>88189861.620000005</v>
      </c>
      <c r="V30" s="40">
        <f>+'CONAP-FUR (REG)-Detail'!W94</f>
        <v>0</v>
      </c>
      <c r="W30" s="40">
        <f>+'CONAP-FUR (REG)-Detail'!X94</f>
        <v>0</v>
      </c>
      <c r="X30" s="40">
        <f>+'CONAP-FUR (REG)-Detail'!Y94</f>
        <v>39676113</v>
      </c>
      <c r="Y30" s="40">
        <f t="shared" si="6"/>
        <v>39676113</v>
      </c>
      <c r="Z30" s="40">
        <f>+'CONAP-FUR (REG)-Detail'!AA94</f>
        <v>0</v>
      </c>
      <c r="AA30" s="40">
        <f>+'CONAP-FUR (REG)-Detail'!AB94</f>
        <v>35872763.140000008</v>
      </c>
      <c r="AB30" s="40">
        <f>+'CONAP-FUR (REG)-Detail'!AC94</f>
        <v>0</v>
      </c>
      <c r="AC30" s="40">
        <f t="shared" si="7"/>
        <v>35872763.140000008</v>
      </c>
      <c r="AD30" s="40">
        <f t="shared" si="25"/>
        <v>0</v>
      </c>
      <c r="AE30" s="40">
        <f t="shared" si="26"/>
        <v>35872763.140000008</v>
      </c>
      <c r="AF30" s="40">
        <f t="shared" si="27"/>
        <v>39676113</v>
      </c>
      <c r="AG30" s="40">
        <f t="shared" si="28"/>
        <v>75548876.140000015</v>
      </c>
      <c r="AH30" s="40">
        <f t="shared" si="29"/>
        <v>0</v>
      </c>
      <c r="AI30" s="40">
        <f t="shared" si="30"/>
        <v>7012098.4799999967</v>
      </c>
      <c r="AJ30" s="40">
        <f t="shared" si="31"/>
        <v>5628887</v>
      </c>
      <c r="AK30" s="40">
        <f t="shared" si="32"/>
        <v>12640985.479999997</v>
      </c>
      <c r="AL30" s="600" t="str">
        <f t="shared" si="40"/>
        <v xml:space="preserve"> </v>
      </c>
      <c r="AM30" s="600">
        <f t="shared" si="34"/>
        <v>0.83649012226893138</v>
      </c>
      <c r="AN30" s="600">
        <f t="shared" si="35"/>
        <v>0.87575572232645404</v>
      </c>
      <c r="AO30" s="600">
        <f t="shared" si="36"/>
        <v>0.85666169276386273</v>
      </c>
      <c r="AP30" s="116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</row>
    <row r="31" spans="1:64" s="16" customFormat="1">
      <c r="A31" s="900" t="s">
        <v>971</v>
      </c>
      <c r="B31" s="40"/>
      <c r="C31" s="40">
        <f>+'CONAP-FUR (REG)-Detail'!D95</f>
        <v>0</v>
      </c>
      <c r="D31" s="40">
        <f>+'CONAP-FUR (REG)-Detail'!E95</f>
        <v>0</v>
      </c>
      <c r="E31" s="40">
        <f t="shared" si="14"/>
        <v>0</v>
      </c>
      <c r="F31" s="40">
        <f>+'CONAP-FUR (REG)-Detail'!G95</f>
        <v>0</v>
      </c>
      <c r="G31" s="40">
        <f>+'CONAP-FUR (REG)-Detail'!H95</f>
        <v>-2695102.42</v>
      </c>
      <c r="H31" s="40">
        <f>+'CONAP-FUR (REG)-Detail'!I95</f>
        <v>0</v>
      </c>
      <c r="I31" s="40">
        <f t="shared" si="15"/>
        <v>-2695102.42</v>
      </c>
      <c r="J31" s="40">
        <f>+'CONAP-FUR (REG)-Detail'!K95</f>
        <v>0</v>
      </c>
      <c r="K31" s="40">
        <f>+'CONAP-FUR (REG)-Detail'!L95</f>
        <v>3695102.42</v>
      </c>
      <c r="L31" s="40">
        <f>+'CONAP-FUR (REG)-Detail'!M95</f>
        <v>0</v>
      </c>
      <c r="M31" s="40">
        <f t="shared" si="16"/>
        <v>3695102.42</v>
      </c>
      <c r="N31" s="40">
        <f t="shared" si="17"/>
        <v>0</v>
      </c>
      <c r="O31" s="40">
        <f t="shared" si="18"/>
        <v>1000000</v>
      </c>
      <c r="P31" s="40">
        <f t="shared" si="19"/>
        <v>0</v>
      </c>
      <c r="Q31" s="40">
        <f t="shared" si="20"/>
        <v>1000000</v>
      </c>
      <c r="R31" s="40">
        <f t="shared" si="21"/>
        <v>0</v>
      </c>
      <c r="S31" s="40">
        <f t="shared" si="22"/>
        <v>1000000</v>
      </c>
      <c r="T31" s="40">
        <f t="shared" si="23"/>
        <v>0</v>
      </c>
      <c r="U31" s="40">
        <f t="shared" si="24"/>
        <v>1000000</v>
      </c>
      <c r="V31" s="40">
        <f>+'CONAP-FUR (REG)-Detail'!W95</f>
        <v>0</v>
      </c>
      <c r="W31" s="40">
        <f>+'CONAP-FUR (REG)-Detail'!X95</f>
        <v>0</v>
      </c>
      <c r="X31" s="40">
        <f>+'CONAP-FUR (REG)-Detail'!Y95</f>
        <v>0</v>
      </c>
      <c r="Y31" s="40">
        <f t="shared" si="6"/>
        <v>0</v>
      </c>
      <c r="Z31" s="40">
        <f>+'CONAP-FUR (REG)-Detail'!AA95</f>
        <v>0</v>
      </c>
      <c r="AA31" s="40">
        <f>+'CONAP-FUR (REG)-Detail'!AB95</f>
        <v>0</v>
      </c>
      <c r="AB31" s="40">
        <f>+'CONAP-FUR (REG)-Detail'!AC95</f>
        <v>0</v>
      </c>
      <c r="AC31" s="40">
        <f t="shared" si="7"/>
        <v>0</v>
      </c>
      <c r="AD31" s="40">
        <f t="shared" si="25"/>
        <v>0</v>
      </c>
      <c r="AE31" s="40">
        <f t="shared" si="26"/>
        <v>0</v>
      </c>
      <c r="AF31" s="40">
        <f t="shared" si="27"/>
        <v>0</v>
      </c>
      <c r="AG31" s="40">
        <f t="shared" si="28"/>
        <v>0</v>
      </c>
      <c r="AH31" s="40">
        <f t="shared" si="29"/>
        <v>0</v>
      </c>
      <c r="AI31" s="40">
        <f t="shared" si="30"/>
        <v>1000000</v>
      </c>
      <c r="AJ31" s="40">
        <f t="shared" si="31"/>
        <v>0</v>
      </c>
      <c r="AK31" s="40">
        <f t="shared" si="32"/>
        <v>1000000</v>
      </c>
      <c r="AL31" s="600" t="str">
        <f t="shared" si="40"/>
        <v xml:space="preserve"> </v>
      </c>
      <c r="AM31" s="600">
        <f t="shared" si="34"/>
        <v>0</v>
      </c>
      <c r="AN31" s="600" t="str">
        <f t="shared" si="35"/>
        <v xml:space="preserve"> </v>
      </c>
      <c r="AO31" s="600">
        <f t="shared" si="36"/>
        <v>0</v>
      </c>
      <c r="AP31" s="116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</row>
    <row r="32" spans="1:64" s="16" customFormat="1">
      <c r="A32" s="592"/>
      <c r="B32" s="40"/>
      <c r="C32" s="40"/>
      <c r="D32" s="40"/>
      <c r="E32" s="40">
        <f t="shared" si="14"/>
        <v>0</v>
      </c>
      <c r="F32" s="40"/>
      <c r="G32" s="40"/>
      <c r="H32" s="40"/>
      <c r="I32" s="40">
        <f t="shared" si="15"/>
        <v>0</v>
      </c>
      <c r="J32" s="40"/>
      <c r="K32" s="40"/>
      <c r="L32" s="40"/>
      <c r="M32" s="40">
        <f t="shared" si="16"/>
        <v>0</v>
      </c>
      <c r="N32" s="40">
        <f t="shared" si="17"/>
        <v>0</v>
      </c>
      <c r="O32" s="40">
        <f t="shared" si="18"/>
        <v>0</v>
      </c>
      <c r="P32" s="40">
        <f t="shared" si="19"/>
        <v>0</v>
      </c>
      <c r="Q32" s="40">
        <f t="shared" si="20"/>
        <v>0</v>
      </c>
      <c r="R32" s="40">
        <f t="shared" si="21"/>
        <v>0</v>
      </c>
      <c r="S32" s="40">
        <f t="shared" si="22"/>
        <v>0</v>
      </c>
      <c r="T32" s="40">
        <f t="shared" si="23"/>
        <v>0</v>
      </c>
      <c r="U32" s="40">
        <f t="shared" si="24"/>
        <v>0</v>
      </c>
      <c r="V32" s="40"/>
      <c r="W32" s="40"/>
      <c r="X32" s="40"/>
      <c r="Y32" s="40">
        <f t="shared" si="6"/>
        <v>0</v>
      </c>
      <c r="Z32" s="40"/>
      <c r="AA32" s="40"/>
      <c r="AB32" s="40"/>
      <c r="AC32" s="40">
        <f t="shared" si="7"/>
        <v>0</v>
      </c>
      <c r="AD32" s="40">
        <f t="shared" si="25"/>
        <v>0</v>
      </c>
      <c r="AE32" s="40">
        <f t="shared" si="26"/>
        <v>0</v>
      </c>
      <c r="AF32" s="40">
        <f t="shared" si="27"/>
        <v>0</v>
      </c>
      <c r="AG32" s="40">
        <f t="shared" si="28"/>
        <v>0</v>
      </c>
      <c r="AH32" s="40">
        <f t="shared" si="29"/>
        <v>0</v>
      </c>
      <c r="AI32" s="40">
        <f t="shared" si="30"/>
        <v>0</v>
      </c>
      <c r="AJ32" s="40">
        <f t="shared" si="31"/>
        <v>0</v>
      </c>
      <c r="AK32" s="40">
        <f t="shared" si="32"/>
        <v>0</v>
      </c>
      <c r="AL32" s="600"/>
      <c r="AM32" s="600" t="str">
        <f t="shared" si="34"/>
        <v xml:space="preserve"> </v>
      </c>
      <c r="AN32" s="600" t="str">
        <f t="shared" si="35"/>
        <v xml:space="preserve"> </v>
      </c>
      <c r="AO32" s="600" t="str">
        <f t="shared" si="36"/>
        <v xml:space="preserve"> </v>
      </c>
      <c r="AP32" s="116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</row>
    <row r="33" spans="1:64" s="609" customFormat="1" ht="16.5">
      <c r="A33" s="1153" t="s">
        <v>56</v>
      </c>
      <c r="B33" s="1161">
        <f>+'CONAP-FUR (REG)-Detail'!C98+'CONAP-FUR (REG)-Detail'!C188</f>
        <v>0</v>
      </c>
      <c r="C33" s="1161">
        <f>SUM(C34:C38)</f>
        <v>3530530.299999997</v>
      </c>
      <c r="D33" s="1161">
        <f t="shared" ref="D33:AK33" si="41">SUM(D34:D38)</f>
        <v>0</v>
      </c>
      <c r="E33" s="1161">
        <f t="shared" si="41"/>
        <v>3530530.299999997</v>
      </c>
      <c r="F33" s="1161">
        <f t="shared" si="41"/>
        <v>0</v>
      </c>
      <c r="G33" s="1161">
        <f t="shared" si="41"/>
        <v>-1337274.04</v>
      </c>
      <c r="H33" s="1161">
        <f t="shared" si="41"/>
        <v>770000</v>
      </c>
      <c r="I33" s="1161">
        <f t="shared" si="41"/>
        <v>-567274.0399999998</v>
      </c>
      <c r="J33" s="1161">
        <f t="shared" si="41"/>
        <v>0</v>
      </c>
      <c r="K33" s="1161">
        <f t="shared" si="41"/>
        <v>35862686.57</v>
      </c>
      <c r="L33" s="1161">
        <f t="shared" si="41"/>
        <v>3375016.33</v>
      </c>
      <c r="M33" s="1161">
        <f t="shared" si="41"/>
        <v>39237702.899999999</v>
      </c>
      <c r="N33" s="1161">
        <f t="shared" si="41"/>
        <v>0</v>
      </c>
      <c r="O33" s="1161">
        <f t="shared" si="41"/>
        <v>34525412.530000001</v>
      </c>
      <c r="P33" s="1161">
        <f t="shared" si="41"/>
        <v>4145016.33</v>
      </c>
      <c r="Q33" s="1161">
        <f t="shared" si="41"/>
        <v>38670428.859999999</v>
      </c>
      <c r="R33" s="1161">
        <f t="shared" si="41"/>
        <v>0</v>
      </c>
      <c r="S33" s="1161">
        <f t="shared" si="41"/>
        <v>38055942.829999998</v>
      </c>
      <c r="T33" s="1161">
        <f t="shared" si="41"/>
        <v>4145016.33</v>
      </c>
      <c r="U33" s="1161">
        <f t="shared" si="41"/>
        <v>42200959.159999996</v>
      </c>
      <c r="V33" s="1161">
        <f t="shared" si="41"/>
        <v>0</v>
      </c>
      <c r="W33" s="1161">
        <f t="shared" si="41"/>
        <v>3528036.3500000006</v>
      </c>
      <c r="X33" s="1161">
        <f t="shared" si="41"/>
        <v>0</v>
      </c>
      <c r="Y33" s="1161">
        <f t="shared" si="41"/>
        <v>3528036.3500000006</v>
      </c>
      <c r="Z33" s="1161">
        <f t="shared" si="41"/>
        <v>0</v>
      </c>
      <c r="AA33" s="1161">
        <f t="shared" si="41"/>
        <v>26000437.180000003</v>
      </c>
      <c r="AB33" s="1161">
        <f t="shared" si="41"/>
        <v>189808</v>
      </c>
      <c r="AC33" s="1161">
        <f t="shared" si="41"/>
        <v>26190245.180000003</v>
      </c>
      <c r="AD33" s="1161">
        <f t="shared" si="41"/>
        <v>0</v>
      </c>
      <c r="AE33" s="1161">
        <f t="shared" si="41"/>
        <v>29528473.530000001</v>
      </c>
      <c r="AF33" s="1161">
        <f t="shared" si="41"/>
        <v>189808</v>
      </c>
      <c r="AG33" s="1161">
        <f t="shared" si="41"/>
        <v>29718281.530000001</v>
      </c>
      <c r="AH33" s="1161">
        <f t="shared" si="41"/>
        <v>0</v>
      </c>
      <c r="AI33" s="1161">
        <f t="shared" si="41"/>
        <v>8527469.2999999989</v>
      </c>
      <c r="AJ33" s="1161">
        <f t="shared" si="41"/>
        <v>3955208.33</v>
      </c>
      <c r="AK33" s="1161">
        <f t="shared" si="41"/>
        <v>12482677.629999999</v>
      </c>
      <c r="AL33" s="608" t="str">
        <f t="shared" si="33"/>
        <v xml:space="preserve"> </v>
      </c>
      <c r="AM33" s="608">
        <f t="shared" si="34"/>
        <v>0.77592279507846851</v>
      </c>
      <c r="AN33" s="608">
        <f t="shared" si="35"/>
        <v>4.5791858195164216E-2</v>
      </c>
      <c r="AO33" s="608">
        <f t="shared" si="36"/>
        <v>0.7042086749101274</v>
      </c>
      <c r="AP33" s="1170">
        <f>+AK33-'CONAP (ALL FUNDS)'!Q94</f>
        <v>0</v>
      </c>
      <c r="AQ33" s="1162"/>
      <c r="AR33" s="1162"/>
      <c r="AS33" s="1162"/>
      <c r="AT33" s="1162"/>
      <c r="AU33" s="1162"/>
      <c r="AV33" s="1162"/>
      <c r="AW33" s="1162"/>
      <c r="AX33" s="1162"/>
      <c r="AY33" s="1162"/>
      <c r="AZ33" s="1162"/>
      <c r="BA33" s="1162"/>
      <c r="BB33" s="1162"/>
      <c r="BC33" s="1162"/>
      <c r="BD33" s="1162"/>
      <c r="BE33" s="1162"/>
      <c r="BF33" s="1162"/>
      <c r="BG33" s="1162"/>
      <c r="BH33" s="1162"/>
      <c r="BI33" s="1162"/>
      <c r="BJ33" s="1162"/>
      <c r="BK33" s="1162"/>
      <c r="BL33" s="1162"/>
    </row>
    <row r="34" spans="1:64" s="903" customFormat="1">
      <c r="A34" s="899" t="s">
        <v>972</v>
      </c>
      <c r="B34" s="912"/>
      <c r="C34" s="40">
        <f>+'CONAP-FUR (REG)-Detail'!D188</f>
        <v>2363191.2899999972</v>
      </c>
      <c r="D34" s="40">
        <f>+'CONAP-FUR (REG)-Detail'!E188</f>
        <v>0</v>
      </c>
      <c r="E34" s="40">
        <f t="shared" si="14"/>
        <v>2363191.2899999972</v>
      </c>
      <c r="F34" s="40">
        <f>+'CONAP-FUR (REG)-Detail'!G188</f>
        <v>0</v>
      </c>
      <c r="G34" s="40">
        <f>+'CONAP-FUR (REG)-Detail'!H188</f>
        <v>-3551774.76</v>
      </c>
      <c r="H34" s="40">
        <f>+'CONAP-FUR (REG)-Detail'!I188</f>
        <v>770000</v>
      </c>
      <c r="I34" s="40">
        <f t="shared" si="15"/>
        <v>-2781774.76</v>
      </c>
      <c r="J34" s="40">
        <f>+'CONAP-FUR (REG)-Detail'!K188</f>
        <v>0</v>
      </c>
      <c r="K34" s="40">
        <f>+'CONAP-FUR (REG)-Detail'!L188</f>
        <v>28878746.399999999</v>
      </c>
      <c r="L34" s="40">
        <f>+'CONAP-FUR (REG)-Detail'!M188</f>
        <v>3375016.33</v>
      </c>
      <c r="M34" s="40">
        <f t="shared" si="16"/>
        <v>32253762.729999997</v>
      </c>
      <c r="N34" s="40">
        <f t="shared" si="17"/>
        <v>0</v>
      </c>
      <c r="O34" s="40">
        <f t="shared" si="18"/>
        <v>25326971.640000001</v>
      </c>
      <c r="P34" s="40">
        <f t="shared" si="19"/>
        <v>4145016.33</v>
      </c>
      <c r="Q34" s="40">
        <f t="shared" si="20"/>
        <v>29471987.969999999</v>
      </c>
      <c r="R34" s="40">
        <f t="shared" si="21"/>
        <v>0</v>
      </c>
      <c r="S34" s="40">
        <f t="shared" si="22"/>
        <v>27690162.93</v>
      </c>
      <c r="T34" s="40">
        <f t="shared" si="23"/>
        <v>4145016.33</v>
      </c>
      <c r="U34" s="40">
        <f t="shared" si="24"/>
        <v>31835179.259999998</v>
      </c>
      <c r="V34" s="40">
        <f>+'CONAP-FUR (REG)-Detail'!W188</f>
        <v>0</v>
      </c>
      <c r="W34" s="40">
        <f>+'CONAP-FUR (REG)-Detail'!X188</f>
        <v>2363142.9500000002</v>
      </c>
      <c r="X34" s="40">
        <f>+'CONAP-FUR (REG)-Detail'!Y188</f>
        <v>0</v>
      </c>
      <c r="Y34" s="40">
        <f t="shared" si="6"/>
        <v>2363142.9500000002</v>
      </c>
      <c r="Z34" s="40">
        <f>+'CONAP-FUR (REG)-Detail'!AA188</f>
        <v>0</v>
      </c>
      <c r="AA34" s="40">
        <f>+'CONAP-FUR (REG)-Detail'!AB188</f>
        <v>17627958.810000002</v>
      </c>
      <c r="AB34" s="40">
        <f>+'CONAP-FUR (REG)-Detail'!AC188</f>
        <v>189808</v>
      </c>
      <c r="AC34" s="40">
        <f t="shared" si="7"/>
        <v>17817766.810000002</v>
      </c>
      <c r="AD34" s="40">
        <f t="shared" si="25"/>
        <v>0</v>
      </c>
      <c r="AE34" s="40">
        <f t="shared" si="26"/>
        <v>19991101.760000002</v>
      </c>
      <c r="AF34" s="40">
        <f t="shared" si="27"/>
        <v>189808</v>
      </c>
      <c r="AG34" s="40">
        <f t="shared" si="28"/>
        <v>20180909.760000002</v>
      </c>
      <c r="AH34" s="40">
        <f t="shared" si="29"/>
        <v>0</v>
      </c>
      <c r="AI34" s="40">
        <f t="shared" si="30"/>
        <v>7699061.1699999981</v>
      </c>
      <c r="AJ34" s="40">
        <f t="shared" si="31"/>
        <v>3955208.33</v>
      </c>
      <c r="AK34" s="40">
        <f t="shared" si="32"/>
        <v>11654269.499999998</v>
      </c>
      <c r="AL34" s="601"/>
      <c r="AM34" s="601">
        <f t="shared" si="34"/>
        <v>0.72195681226350961</v>
      </c>
      <c r="AN34" s="601">
        <f t="shared" si="35"/>
        <v>4.5791858195164216E-2</v>
      </c>
      <c r="AO34" s="601">
        <f t="shared" si="36"/>
        <v>0.63391852124284231</v>
      </c>
      <c r="AP34" s="116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</row>
    <row r="35" spans="1:64" s="903" customFormat="1">
      <c r="A35" s="899" t="s">
        <v>973</v>
      </c>
      <c r="B35" s="912"/>
      <c r="C35" s="40">
        <f>+'CONAP-FUR (REG)-Detail'!D99</f>
        <v>0</v>
      </c>
      <c r="D35" s="40">
        <f>+'CONAP-FUR (REG)-Detail'!E99</f>
        <v>0</v>
      </c>
      <c r="E35" s="40">
        <f t="shared" si="14"/>
        <v>0</v>
      </c>
      <c r="F35" s="40">
        <f>+'CONAP-FUR (REG)-Detail'!G99</f>
        <v>0</v>
      </c>
      <c r="G35" s="40">
        <f>+'CONAP-FUR (REG)-Detail'!H99</f>
        <v>220650</v>
      </c>
      <c r="H35" s="40">
        <f>+'CONAP-FUR (REG)-Detail'!I99</f>
        <v>0</v>
      </c>
      <c r="I35" s="40">
        <f t="shared" si="15"/>
        <v>220650</v>
      </c>
      <c r="J35" s="40">
        <f>+'CONAP-FUR (REG)-Detail'!K99</f>
        <v>0</v>
      </c>
      <c r="K35" s="40">
        <f>+'CONAP-FUR (REG)-Detail'!L99</f>
        <v>3774.42</v>
      </c>
      <c r="L35" s="40">
        <f>+'CONAP-FUR (REG)-Detail'!M99</f>
        <v>0</v>
      </c>
      <c r="M35" s="40">
        <f t="shared" si="16"/>
        <v>3774.42</v>
      </c>
      <c r="N35" s="40">
        <f t="shared" si="17"/>
        <v>0</v>
      </c>
      <c r="O35" s="40">
        <f t="shared" si="18"/>
        <v>224424.42</v>
      </c>
      <c r="P35" s="40">
        <f t="shared" si="19"/>
        <v>0</v>
      </c>
      <c r="Q35" s="40">
        <f t="shared" si="20"/>
        <v>224424.42</v>
      </c>
      <c r="R35" s="40">
        <f t="shared" si="21"/>
        <v>0</v>
      </c>
      <c r="S35" s="40">
        <f t="shared" si="22"/>
        <v>224424.42</v>
      </c>
      <c r="T35" s="40">
        <f t="shared" si="23"/>
        <v>0</v>
      </c>
      <c r="U35" s="40">
        <f t="shared" si="24"/>
        <v>224424.42</v>
      </c>
      <c r="V35" s="40">
        <f>+'CONAP-FUR (REG)-Detail'!W99</f>
        <v>0</v>
      </c>
      <c r="W35" s="40">
        <f>+'CONAP-FUR (REG)-Detail'!X99</f>
        <v>0</v>
      </c>
      <c r="X35" s="40">
        <f>+'CONAP-FUR (REG)-Detail'!Y99</f>
        <v>0</v>
      </c>
      <c r="Y35" s="40">
        <f t="shared" si="6"/>
        <v>0</v>
      </c>
      <c r="Z35" s="40">
        <f>+'CONAP-FUR (REG)-Detail'!AA99</f>
        <v>0</v>
      </c>
      <c r="AA35" s="40">
        <f>+'CONAP-FUR (REG)-Detail'!AB99</f>
        <v>28774.42</v>
      </c>
      <c r="AB35" s="40">
        <f>+'CONAP-FUR (REG)-Detail'!AC99</f>
        <v>0</v>
      </c>
      <c r="AC35" s="40">
        <f t="shared" si="7"/>
        <v>28774.42</v>
      </c>
      <c r="AD35" s="40">
        <f t="shared" si="25"/>
        <v>0</v>
      </c>
      <c r="AE35" s="40">
        <f t="shared" si="26"/>
        <v>28774.42</v>
      </c>
      <c r="AF35" s="40">
        <f t="shared" si="27"/>
        <v>0</v>
      </c>
      <c r="AG35" s="40">
        <f t="shared" si="28"/>
        <v>28774.42</v>
      </c>
      <c r="AH35" s="40">
        <f t="shared" si="29"/>
        <v>0</v>
      </c>
      <c r="AI35" s="40">
        <f t="shared" si="30"/>
        <v>195650</v>
      </c>
      <c r="AJ35" s="40">
        <f t="shared" si="31"/>
        <v>0</v>
      </c>
      <c r="AK35" s="40">
        <f t="shared" si="32"/>
        <v>195650</v>
      </c>
      <c r="AL35" s="601"/>
      <c r="AM35" s="601">
        <f t="shared" si="34"/>
        <v>0.12821430038674042</v>
      </c>
      <c r="AN35" s="601" t="str">
        <f t="shared" si="35"/>
        <v xml:space="preserve"> </v>
      </c>
      <c r="AO35" s="601">
        <f t="shared" si="36"/>
        <v>0.12821430038674042</v>
      </c>
      <c r="AP35" s="116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</row>
    <row r="36" spans="1:64" s="903" customFormat="1">
      <c r="A36" s="899" t="s">
        <v>974</v>
      </c>
      <c r="B36" s="912"/>
      <c r="C36" s="40">
        <f>+'CONAP-FUR (REG)-Detail'!D100</f>
        <v>1164893.4000000004</v>
      </c>
      <c r="D36" s="40">
        <f>+'CONAP-FUR (REG)-Detail'!E100</f>
        <v>0</v>
      </c>
      <c r="E36" s="40">
        <f t="shared" si="14"/>
        <v>1164893.4000000004</v>
      </c>
      <c r="F36" s="40">
        <f>+'CONAP-FUR (REG)-Detail'!G100</f>
        <v>0</v>
      </c>
      <c r="G36" s="40">
        <f>+'CONAP-FUR (REG)-Detail'!H100</f>
        <v>1230514.76</v>
      </c>
      <c r="H36" s="40">
        <f>+'CONAP-FUR (REG)-Detail'!I100</f>
        <v>0</v>
      </c>
      <c r="I36" s="40">
        <f t="shared" si="15"/>
        <v>1230514.76</v>
      </c>
      <c r="J36" s="40">
        <f>+'CONAP-FUR (REG)-Detail'!K100</f>
        <v>0</v>
      </c>
      <c r="K36" s="40">
        <f>+'CONAP-FUR (REG)-Detail'!L100</f>
        <v>5727717.2700000005</v>
      </c>
      <c r="L36" s="40">
        <f>+'CONAP-FUR (REG)-Detail'!M100</f>
        <v>0</v>
      </c>
      <c r="M36" s="40">
        <f t="shared" si="16"/>
        <v>5727717.2700000005</v>
      </c>
      <c r="N36" s="40">
        <f t="shared" si="17"/>
        <v>0</v>
      </c>
      <c r="O36" s="40">
        <f t="shared" si="18"/>
        <v>6958232.0300000003</v>
      </c>
      <c r="P36" s="40">
        <f t="shared" si="19"/>
        <v>0</v>
      </c>
      <c r="Q36" s="40">
        <f t="shared" si="20"/>
        <v>6958232.0300000003</v>
      </c>
      <c r="R36" s="40">
        <f t="shared" si="21"/>
        <v>0</v>
      </c>
      <c r="S36" s="40">
        <f t="shared" si="22"/>
        <v>8123125.4300000006</v>
      </c>
      <c r="T36" s="40">
        <f t="shared" si="23"/>
        <v>0</v>
      </c>
      <c r="U36" s="40">
        <f t="shared" si="24"/>
        <v>8123125.4300000006</v>
      </c>
      <c r="V36" s="40">
        <f>+'CONAP-FUR (REG)-Detail'!W100</f>
        <v>0</v>
      </c>
      <c r="W36" s="40">
        <f>+'CONAP-FUR (REG)-Detail'!X100</f>
        <v>1164893.4000000001</v>
      </c>
      <c r="X36" s="40">
        <f>+'CONAP-FUR (REG)-Detail'!Y100</f>
        <v>0</v>
      </c>
      <c r="Y36" s="40">
        <f t="shared" si="6"/>
        <v>1164893.4000000001</v>
      </c>
      <c r="Z36" s="40">
        <f>+'CONAP-FUR (REG)-Detail'!AA100</f>
        <v>0</v>
      </c>
      <c r="AA36" s="40">
        <f>+'CONAP-FUR (REG)-Detail'!AB100</f>
        <v>6919197.7299999995</v>
      </c>
      <c r="AB36" s="40">
        <f>+'CONAP-FUR (REG)-Detail'!AC100</f>
        <v>0</v>
      </c>
      <c r="AC36" s="40">
        <f t="shared" si="7"/>
        <v>6919197.7299999995</v>
      </c>
      <c r="AD36" s="40">
        <f t="shared" si="25"/>
        <v>0</v>
      </c>
      <c r="AE36" s="40">
        <f t="shared" si="26"/>
        <v>8084091.1299999999</v>
      </c>
      <c r="AF36" s="40">
        <f t="shared" si="27"/>
        <v>0</v>
      </c>
      <c r="AG36" s="40">
        <f t="shared" si="28"/>
        <v>8084091.1299999999</v>
      </c>
      <c r="AH36" s="40">
        <f t="shared" si="29"/>
        <v>0</v>
      </c>
      <c r="AI36" s="40">
        <f t="shared" si="30"/>
        <v>39034.300000000745</v>
      </c>
      <c r="AJ36" s="40">
        <f t="shared" si="31"/>
        <v>0</v>
      </c>
      <c r="AK36" s="40">
        <f t="shared" si="32"/>
        <v>39034.300000000745</v>
      </c>
      <c r="AL36" s="601"/>
      <c r="AM36" s="601">
        <f t="shared" si="34"/>
        <v>0.99519466979349591</v>
      </c>
      <c r="AN36" s="601" t="str">
        <f t="shared" si="35"/>
        <v xml:space="preserve"> </v>
      </c>
      <c r="AO36" s="601">
        <f t="shared" si="36"/>
        <v>0.99519466979349591</v>
      </c>
      <c r="AP36" s="116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</row>
    <row r="37" spans="1:64" s="903" customFormat="1">
      <c r="A37" s="899" t="s">
        <v>975</v>
      </c>
      <c r="B37" s="912"/>
      <c r="C37" s="40">
        <f>+'CONAP-FUR (REG)-Detail'!D101</f>
        <v>2445.609999999404</v>
      </c>
      <c r="D37" s="40">
        <f>+'CONAP-FUR (REG)-Detail'!E101</f>
        <v>0</v>
      </c>
      <c r="E37" s="40">
        <f t="shared" si="14"/>
        <v>2445.609999999404</v>
      </c>
      <c r="F37" s="40">
        <f>+'CONAP-FUR (REG)-Detail'!G101</f>
        <v>0</v>
      </c>
      <c r="G37" s="40">
        <f>+'CONAP-FUR (REG)-Detail'!H101</f>
        <v>763335.96</v>
      </c>
      <c r="H37" s="40">
        <f>+'CONAP-FUR (REG)-Detail'!I101</f>
        <v>0</v>
      </c>
      <c r="I37" s="40">
        <f t="shared" si="15"/>
        <v>763335.96</v>
      </c>
      <c r="J37" s="40">
        <f>+'CONAP-FUR (REG)-Detail'!K101</f>
        <v>0</v>
      </c>
      <c r="K37" s="40">
        <f>+'CONAP-FUR (REG)-Detail'!L101</f>
        <v>1252448.48</v>
      </c>
      <c r="L37" s="40">
        <f>+'CONAP-FUR (REG)-Detail'!M101</f>
        <v>0</v>
      </c>
      <c r="M37" s="40">
        <f t="shared" si="16"/>
        <v>1252448.48</v>
      </c>
      <c r="N37" s="40">
        <f t="shared" si="17"/>
        <v>0</v>
      </c>
      <c r="O37" s="40">
        <f t="shared" si="18"/>
        <v>2015784.44</v>
      </c>
      <c r="P37" s="40">
        <f t="shared" si="19"/>
        <v>0</v>
      </c>
      <c r="Q37" s="40">
        <f t="shared" si="20"/>
        <v>2015784.44</v>
      </c>
      <c r="R37" s="40">
        <f t="shared" si="21"/>
        <v>0</v>
      </c>
      <c r="S37" s="40">
        <f t="shared" si="22"/>
        <v>2018230.0499999993</v>
      </c>
      <c r="T37" s="40">
        <f t="shared" si="23"/>
        <v>0</v>
      </c>
      <c r="U37" s="40">
        <f t="shared" si="24"/>
        <v>2018230.0499999993</v>
      </c>
      <c r="V37" s="40">
        <f>+'CONAP-FUR (REG)-Detail'!W101</f>
        <v>0</v>
      </c>
      <c r="W37" s="40">
        <f>+'CONAP-FUR (REG)-Detail'!X101</f>
        <v>0</v>
      </c>
      <c r="X37" s="40">
        <f>+'CONAP-FUR (REG)-Detail'!Y101</f>
        <v>0</v>
      </c>
      <c r="Y37" s="40">
        <f t="shared" si="6"/>
        <v>0</v>
      </c>
      <c r="Z37" s="40">
        <f>+'CONAP-FUR (REG)-Detail'!AA101</f>
        <v>0</v>
      </c>
      <c r="AA37" s="40">
        <f>+'CONAP-FUR (REG)-Detail'!AB101</f>
        <v>1424506.2199999997</v>
      </c>
      <c r="AB37" s="40">
        <f>+'CONAP-FUR (REG)-Detail'!AC101</f>
        <v>0</v>
      </c>
      <c r="AC37" s="40">
        <f t="shared" si="7"/>
        <v>1424506.2199999997</v>
      </c>
      <c r="AD37" s="40">
        <f t="shared" si="25"/>
        <v>0</v>
      </c>
      <c r="AE37" s="40">
        <f t="shared" si="26"/>
        <v>1424506.2199999997</v>
      </c>
      <c r="AF37" s="40">
        <f t="shared" si="27"/>
        <v>0</v>
      </c>
      <c r="AG37" s="40">
        <f t="shared" si="28"/>
        <v>1424506.2199999997</v>
      </c>
      <c r="AH37" s="40">
        <f t="shared" si="29"/>
        <v>0</v>
      </c>
      <c r="AI37" s="40">
        <f t="shared" si="30"/>
        <v>593723.82999999961</v>
      </c>
      <c r="AJ37" s="40">
        <f t="shared" si="31"/>
        <v>0</v>
      </c>
      <c r="AK37" s="40">
        <f t="shared" si="32"/>
        <v>593723.82999999961</v>
      </c>
      <c r="AL37" s="601"/>
      <c r="AM37" s="601">
        <f t="shared" si="34"/>
        <v>0.70581954718194795</v>
      </c>
      <c r="AN37" s="601" t="str">
        <f t="shared" si="35"/>
        <v xml:space="preserve"> </v>
      </c>
      <c r="AO37" s="601">
        <f t="shared" si="36"/>
        <v>0.70581954718194795</v>
      </c>
      <c r="AP37" s="116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</row>
    <row r="38" spans="1:64" s="903" customFormat="1">
      <c r="A38" s="899" t="s">
        <v>976</v>
      </c>
      <c r="B38" s="912"/>
      <c r="C38" s="40">
        <f>+'CONAP-FUR (REG)-Detail'!D102</f>
        <v>0</v>
      </c>
      <c r="D38" s="40">
        <f>+'CONAP-FUR (REG)-Detail'!E102</f>
        <v>0</v>
      </c>
      <c r="E38" s="40">
        <f t="shared" si="14"/>
        <v>0</v>
      </c>
      <c r="F38" s="40">
        <f>+'CONAP-FUR (REG)-Detail'!G102</f>
        <v>0</v>
      </c>
      <c r="G38" s="40">
        <f>+'CONAP-FUR (REG)-Detail'!H102</f>
        <v>0</v>
      </c>
      <c r="H38" s="40">
        <f>+'CONAP-FUR (REG)-Detail'!I102</f>
        <v>0</v>
      </c>
      <c r="I38" s="40">
        <f t="shared" si="15"/>
        <v>0</v>
      </c>
      <c r="J38" s="40">
        <f>+'CONAP-FUR (REG)-Detail'!K102</f>
        <v>0</v>
      </c>
      <c r="K38" s="40">
        <f>+'CONAP-FUR (REG)-Detail'!L102</f>
        <v>0</v>
      </c>
      <c r="L38" s="40">
        <f>+'CONAP-FUR (REG)-Detail'!M102</f>
        <v>0</v>
      </c>
      <c r="M38" s="40">
        <f t="shared" si="16"/>
        <v>0</v>
      </c>
      <c r="N38" s="40">
        <f t="shared" si="17"/>
        <v>0</v>
      </c>
      <c r="O38" s="40">
        <f t="shared" si="18"/>
        <v>0</v>
      </c>
      <c r="P38" s="40">
        <f t="shared" si="19"/>
        <v>0</v>
      </c>
      <c r="Q38" s="40">
        <f t="shared" si="20"/>
        <v>0</v>
      </c>
      <c r="R38" s="40">
        <f t="shared" si="21"/>
        <v>0</v>
      </c>
      <c r="S38" s="40">
        <f t="shared" si="22"/>
        <v>0</v>
      </c>
      <c r="T38" s="40">
        <f t="shared" si="23"/>
        <v>0</v>
      </c>
      <c r="U38" s="40">
        <f t="shared" si="24"/>
        <v>0</v>
      </c>
      <c r="V38" s="40">
        <f>+'CONAP-FUR (REG)-Detail'!W102</f>
        <v>0</v>
      </c>
      <c r="W38" s="40">
        <f>+'CONAP-FUR (REG)-Detail'!X102</f>
        <v>0</v>
      </c>
      <c r="X38" s="40">
        <f>+'CONAP-FUR (REG)-Detail'!Y102</f>
        <v>0</v>
      </c>
      <c r="Y38" s="40">
        <f t="shared" si="6"/>
        <v>0</v>
      </c>
      <c r="Z38" s="40">
        <f>+'CONAP-FUR (REG)-Detail'!AA102</f>
        <v>0</v>
      </c>
      <c r="AA38" s="40">
        <f>+'CONAP-FUR (REG)-Detail'!AB102</f>
        <v>0</v>
      </c>
      <c r="AB38" s="40">
        <f>+'CONAP-FUR (REG)-Detail'!AC102</f>
        <v>0</v>
      </c>
      <c r="AC38" s="40">
        <f t="shared" si="7"/>
        <v>0</v>
      </c>
      <c r="AD38" s="40">
        <f t="shared" si="25"/>
        <v>0</v>
      </c>
      <c r="AE38" s="40">
        <f t="shared" si="26"/>
        <v>0</v>
      </c>
      <c r="AF38" s="40">
        <f t="shared" si="27"/>
        <v>0</v>
      </c>
      <c r="AG38" s="40">
        <f t="shared" si="28"/>
        <v>0</v>
      </c>
      <c r="AH38" s="40">
        <f t="shared" si="29"/>
        <v>0</v>
      </c>
      <c r="AI38" s="40">
        <f t="shared" si="30"/>
        <v>0</v>
      </c>
      <c r="AJ38" s="40">
        <f t="shared" si="31"/>
        <v>0</v>
      </c>
      <c r="AK38" s="40">
        <f t="shared" si="32"/>
        <v>0</v>
      </c>
      <c r="AL38" s="601"/>
      <c r="AM38" s="601" t="str">
        <f t="shared" si="34"/>
        <v xml:space="preserve"> </v>
      </c>
      <c r="AN38" s="601" t="str">
        <f t="shared" si="35"/>
        <v xml:space="preserve"> </v>
      </c>
      <c r="AO38" s="601" t="str">
        <f t="shared" si="36"/>
        <v xml:space="preserve"> </v>
      </c>
      <c r="AP38" s="116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</row>
    <row r="39" spans="1:64" s="903" customFormat="1">
      <c r="A39" s="592"/>
      <c r="B39" s="912"/>
      <c r="C39" s="912"/>
      <c r="D39" s="912"/>
      <c r="E39" s="41">
        <f t="shared" si="14"/>
        <v>0</v>
      </c>
      <c r="F39" s="912"/>
      <c r="G39" s="912"/>
      <c r="H39" s="912"/>
      <c r="I39" s="41">
        <f t="shared" si="15"/>
        <v>0</v>
      </c>
      <c r="J39" s="912"/>
      <c r="K39" s="912"/>
      <c r="L39" s="912"/>
      <c r="M39" s="41">
        <f t="shared" si="16"/>
        <v>0</v>
      </c>
      <c r="N39" s="912">
        <f t="shared" si="17"/>
        <v>0</v>
      </c>
      <c r="O39" s="912">
        <f t="shared" si="18"/>
        <v>0</v>
      </c>
      <c r="P39" s="912">
        <f t="shared" si="19"/>
        <v>0</v>
      </c>
      <c r="Q39" s="41">
        <f t="shared" si="20"/>
        <v>0</v>
      </c>
      <c r="R39" s="912">
        <f t="shared" si="21"/>
        <v>0</v>
      </c>
      <c r="S39" s="912">
        <f t="shared" si="22"/>
        <v>0</v>
      </c>
      <c r="T39" s="912">
        <f t="shared" si="23"/>
        <v>0</v>
      </c>
      <c r="U39" s="41">
        <f t="shared" si="24"/>
        <v>0</v>
      </c>
      <c r="V39" s="912"/>
      <c r="W39" s="912"/>
      <c r="X39" s="912"/>
      <c r="Y39" s="41">
        <f t="shared" si="6"/>
        <v>0</v>
      </c>
      <c r="Z39" s="912"/>
      <c r="AA39" s="912"/>
      <c r="AB39" s="912"/>
      <c r="AC39" s="41">
        <f t="shared" si="7"/>
        <v>0</v>
      </c>
      <c r="AD39" s="912">
        <f t="shared" si="25"/>
        <v>0</v>
      </c>
      <c r="AE39" s="912">
        <f t="shared" si="26"/>
        <v>0</v>
      </c>
      <c r="AF39" s="912">
        <f t="shared" si="27"/>
        <v>0</v>
      </c>
      <c r="AG39" s="41">
        <f t="shared" si="28"/>
        <v>0</v>
      </c>
      <c r="AH39" s="41">
        <f t="shared" si="29"/>
        <v>0</v>
      </c>
      <c r="AI39" s="912">
        <f t="shared" si="30"/>
        <v>0</v>
      </c>
      <c r="AJ39" s="912">
        <f t="shared" si="31"/>
        <v>0</v>
      </c>
      <c r="AK39" s="41">
        <f t="shared" si="32"/>
        <v>0</v>
      </c>
      <c r="AL39" s="601"/>
      <c r="AM39" s="601" t="str">
        <f t="shared" si="34"/>
        <v xml:space="preserve"> </v>
      </c>
      <c r="AN39" s="601" t="str">
        <f t="shared" si="35"/>
        <v xml:space="preserve"> </v>
      </c>
      <c r="AO39" s="601" t="str">
        <f t="shared" si="36"/>
        <v xml:space="preserve"> </v>
      </c>
      <c r="AP39" s="116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</row>
    <row r="40" spans="1:64" s="609" customFormat="1" ht="16.5">
      <c r="A40" s="1153" t="s">
        <v>980</v>
      </c>
      <c r="B40" s="1161">
        <f>+'CONAP-FUR (REG)-Detail'!C128+'CONAP-FUR (REG)-Detail'!C213</f>
        <v>0</v>
      </c>
      <c r="C40" s="1161">
        <f>SUM(C41:C42)</f>
        <v>2381325.2199999997</v>
      </c>
      <c r="D40" s="1161">
        <f t="shared" ref="D40:AK40" si="42">SUM(D41:D42)</f>
        <v>0</v>
      </c>
      <c r="E40" s="1161">
        <f t="shared" si="42"/>
        <v>2381325.2199999997</v>
      </c>
      <c r="F40" s="1161">
        <f t="shared" si="42"/>
        <v>0</v>
      </c>
      <c r="G40" s="1161">
        <f t="shared" si="42"/>
        <v>-2191140</v>
      </c>
      <c r="H40" s="1161">
        <f t="shared" si="42"/>
        <v>28030900</v>
      </c>
      <c r="I40" s="1161">
        <f t="shared" si="42"/>
        <v>25839760</v>
      </c>
      <c r="J40" s="1161">
        <f t="shared" si="42"/>
        <v>0</v>
      </c>
      <c r="K40" s="1161">
        <f t="shared" si="42"/>
        <v>52778472.359999999</v>
      </c>
      <c r="L40" s="1161">
        <f t="shared" si="42"/>
        <v>21078999.710000001</v>
      </c>
      <c r="M40" s="1161">
        <f t="shared" si="42"/>
        <v>73857472.070000008</v>
      </c>
      <c r="N40" s="1161">
        <f t="shared" si="42"/>
        <v>0</v>
      </c>
      <c r="O40" s="1161">
        <f t="shared" si="42"/>
        <v>50587332.359999999</v>
      </c>
      <c r="P40" s="1161">
        <f t="shared" si="42"/>
        <v>49109899.710000001</v>
      </c>
      <c r="Q40" s="1161">
        <f t="shared" si="42"/>
        <v>99697232.070000008</v>
      </c>
      <c r="R40" s="1161">
        <f t="shared" si="42"/>
        <v>0</v>
      </c>
      <c r="S40" s="1161">
        <f t="shared" si="42"/>
        <v>52968657.579999998</v>
      </c>
      <c r="T40" s="1161">
        <f t="shared" si="42"/>
        <v>49109899.710000001</v>
      </c>
      <c r="U40" s="1161">
        <f t="shared" si="42"/>
        <v>102078557.29000001</v>
      </c>
      <c r="V40" s="1161">
        <f t="shared" si="42"/>
        <v>0</v>
      </c>
      <c r="W40" s="1161">
        <f t="shared" si="42"/>
        <v>1798692.94</v>
      </c>
      <c r="X40" s="1161">
        <f t="shared" si="42"/>
        <v>0</v>
      </c>
      <c r="Y40" s="1161">
        <f t="shared" si="42"/>
        <v>1798692.94</v>
      </c>
      <c r="Z40" s="1161">
        <f t="shared" si="42"/>
        <v>0</v>
      </c>
      <c r="AA40" s="1161">
        <f t="shared" si="42"/>
        <v>45126580.799999997</v>
      </c>
      <c r="AB40" s="1161">
        <f t="shared" si="42"/>
        <v>24124450.649999999</v>
      </c>
      <c r="AC40" s="1161">
        <f t="shared" si="42"/>
        <v>69251031.450000003</v>
      </c>
      <c r="AD40" s="1161">
        <f t="shared" si="42"/>
        <v>0</v>
      </c>
      <c r="AE40" s="1161">
        <f t="shared" si="42"/>
        <v>46925273.739999995</v>
      </c>
      <c r="AF40" s="1161">
        <f t="shared" si="42"/>
        <v>24124450.649999999</v>
      </c>
      <c r="AG40" s="1161">
        <f t="shared" si="42"/>
        <v>71049724.390000001</v>
      </c>
      <c r="AH40" s="1161">
        <f t="shared" si="42"/>
        <v>0</v>
      </c>
      <c r="AI40" s="1161">
        <f t="shared" si="42"/>
        <v>6043383.8400000054</v>
      </c>
      <c r="AJ40" s="1161">
        <f t="shared" si="42"/>
        <v>24985449.060000002</v>
      </c>
      <c r="AK40" s="1161">
        <f t="shared" si="42"/>
        <v>31028832.900000006</v>
      </c>
      <c r="AL40" s="608" t="str">
        <f t="shared" si="33"/>
        <v xml:space="preserve"> </v>
      </c>
      <c r="AM40" s="608">
        <f t="shared" si="34"/>
        <v>0.88590641869916154</v>
      </c>
      <c r="AN40" s="1163">
        <f t="shared" si="35"/>
        <v>0.49123396285591797</v>
      </c>
      <c r="AO40" s="608">
        <f t="shared" si="36"/>
        <v>0.69602986441267323</v>
      </c>
      <c r="AP40" s="1170">
        <f>+AK40-'CONAP (ALL FUNDS)'!Q415</f>
        <v>0</v>
      </c>
      <c r="AQ40" s="1162"/>
      <c r="AR40" s="1162"/>
      <c r="AS40" s="1162"/>
      <c r="AT40" s="1162"/>
      <c r="AU40" s="1162"/>
      <c r="AV40" s="1162"/>
      <c r="AW40" s="1162"/>
      <c r="AX40" s="1162"/>
      <c r="AY40" s="1162"/>
      <c r="AZ40" s="1162"/>
      <c r="BA40" s="1162"/>
      <c r="BB40" s="1162"/>
      <c r="BC40" s="1162"/>
      <c r="BD40" s="1162"/>
      <c r="BE40" s="1162"/>
      <c r="BF40" s="1162"/>
      <c r="BG40" s="1162"/>
      <c r="BH40" s="1162"/>
      <c r="BI40" s="1162"/>
      <c r="BJ40" s="1162"/>
      <c r="BK40" s="1162"/>
      <c r="BL40" s="1162"/>
    </row>
    <row r="41" spans="1:64" s="16" customFormat="1">
      <c r="A41" s="899" t="s">
        <v>979</v>
      </c>
      <c r="B41" s="40"/>
      <c r="C41" s="40">
        <f>+'CONAP-FUR (REG)-Detail'!D213</f>
        <v>2381325.2199999997</v>
      </c>
      <c r="D41" s="40">
        <f>+'CONAP-FUR (REG)-Detail'!E213</f>
        <v>0</v>
      </c>
      <c r="E41" s="40">
        <f t="shared" si="14"/>
        <v>2381325.2199999997</v>
      </c>
      <c r="F41" s="40">
        <f>+'CONAP-FUR (REG)-Detail'!G213</f>
        <v>0</v>
      </c>
      <c r="G41" s="40">
        <f>+'CONAP-FUR (REG)-Detail'!H213</f>
        <v>-2191140</v>
      </c>
      <c r="H41" s="40">
        <f>+'CONAP-FUR (REG)-Detail'!I213</f>
        <v>28030900</v>
      </c>
      <c r="I41" s="40">
        <f t="shared" si="15"/>
        <v>25839760</v>
      </c>
      <c r="J41" s="40">
        <f>+'CONAP-FUR (REG)-Detail'!K213</f>
        <v>0</v>
      </c>
      <c r="K41" s="40">
        <f>+'CONAP-FUR (REG)-Detail'!L213</f>
        <v>48502206.030000001</v>
      </c>
      <c r="L41" s="40">
        <f>+'CONAP-FUR (REG)-Detail'!M213</f>
        <v>21078999.710000001</v>
      </c>
      <c r="M41" s="40">
        <f t="shared" si="16"/>
        <v>69581205.74000001</v>
      </c>
      <c r="N41" s="40">
        <f t="shared" si="17"/>
        <v>0</v>
      </c>
      <c r="O41" s="40">
        <f t="shared" si="18"/>
        <v>46311066.030000001</v>
      </c>
      <c r="P41" s="40">
        <f t="shared" si="19"/>
        <v>49109899.710000001</v>
      </c>
      <c r="Q41" s="40">
        <f t="shared" si="20"/>
        <v>95420965.74000001</v>
      </c>
      <c r="R41" s="40">
        <f t="shared" si="21"/>
        <v>0</v>
      </c>
      <c r="S41" s="40">
        <f t="shared" si="22"/>
        <v>48692391.25</v>
      </c>
      <c r="T41" s="40">
        <f t="shared" si="23"/>
        <v>49109899.710000001</v>
      </c>
      <c r="U41" s="40">
        <f t="shared" si="24"/>
        <v>97802290.960000008</v>
      </c>
      <c r="V41" s="40">
        <f>+'CONAP-FUR (REG)-Detail'!W213</f>
        <v>0</v>
      </c>
      <c r="W41" s="40">
        <f>+'CONAP-FUR (REG)-Detail'!X213</f>
        <v>1798692.94</v>
      </c>
      <c r="X41" s="40">
        <f>+'CONAP-FUR (REG)-Detail'!Y213</f>
        <v>0</v>
      </c>
      <c r="Y41" s="40">
        <f t="shared" si="6"/>
        <v>1798692.94</v>
      </c>
      <c r="Z41" s="40">
        <f>+'CONAP-FUR (REG)-Detail'!AA213</f>
        <v>0</v>
      </c>
      <c r="AA41" s="40">
        <f>+'CONAP-FUR (REG)-Detail'!AB213</f>
        <v>42003865.189999998</v>
      </c>
      <c r="AB41" s="40">
        <f>+'CONAP-FUR (REG)-Detail'!AC213</f>
        <v>24124450.649999999</v>
      </c>
      <c r="AC41" s="40">
        <f t="shared" si="7"/>
        <v>66128315.839999996</v>
      </c>
      <c r="AD41" s="40">
        <f t="shared" si="25"/>
        <v>0</v>
      </c>
      <c r="AE41" s="40">
        <f t="shared" si="26"/>
        <v>43802558.129999995</v>
      </c>
      <c r="AF41" s="40">
        <f t="shared" si="27"/>
        <v>24124450.649999999</v>
      </c>
      <c r="AG41" s="40">
        <f t="shared" si="28"/>
        <v>67927008.780000001</v>
      </c>
      <c r="AH41" s="40">
        <f t="shared" si="29"/>
        <v>0</v>
      </c>
      <c r="AI41" s="40">
        <f t="shared" si="30"/>
        <v>4889833.1200000048</v>
      </c>
      <c r="AJ41" s="40">
        <f t="shared" si="31"/>
        <v>24985449.060000002</v>
      </c>
      <c r="AK41" s="40">
        <f t="shared" si="32"/>
        <v>29875282.180000007</v>
      </c>
      <c r="AL41" s="600"/>
      <c r="AM41" s="600">
        <f t="shared" si="34"/>
        <v>0.8995770592802832</v>
      </c>
      <c r="AN41" s="934">
        <f t="shared" si="35"/>
        <v>0.49123396285591797</v>
      </c>
      <c r="AO41" s="600">
        <f t="shared" si="36"/>
        <v>0.69453392260291069</v>
      </c>
      <c r="AP41" s="116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</row>
    <row r="42" spans="1:64" s="16" customFormat="1">
      <c r="A42" s="899" t="s">
        <v>977</v>
      </c>
      <c r="B42" s="40"/>
      <c r="C42" s="40">
        <f>+'CONAP-FUR (REG)-Detail'!D129</f>
        <v>0</v>
      </c>
      <c r="D42" s="40">
        <f>+'CONAP-FUR (REG)-Detail'!E129</f>
        <v>0</v>
      </c>
      <c r="E42" s="40">
        <f t="shared" si="14"/>
        <v>0</v>
      </c>
      <c r="F42" s="40">
        <f>+'CONAP-FUR (REG)-Detail'!G129</f>
        <v>0</v>
      </c>
      <c r="G42" s="40">
        <f>+'CONAP-FUR (REG)-Detail'!H129</f>
        <v>0</v>
      </c>
      <c r="H42" s="40">
        <f>+'CONAP-FUR (REG)-Detail'!I129</f>
        <v>0</v>
      </c>
      <c r="I42" s="40">
        <f t="shared" si="15"/>
        <v>0</v>
      </c>
      <c r="J42" s="40">
        <f>+'CONAP-FUR (REG)-Detail'!K129</f>
        <v>0</v>
      </c>
      <c r="K42" s="40">
        <f>+'CONAP-FUR (REG)-Detail'!L129</f>
        <v>4276266.33</v>
      </c>
      <c r="L42" s="40">
        <f>+'CONAP-FUR (REG)-Detail'!M129</f>
        <v>0</v>
      </c>
      <c r="M42" s="40">
        <f t="shared" si="16"/>
        <v>4276266.33</v>
      </c>
      <c r="N42" s="40">
        <f t="shared" si="17"/>
        <v>0</v>
      </c>
      <c r="O42" s="40">
        <f t="shared" si="18"/>
        <v>4276266.33</v>
      </c>
      <c r="P42" s="40">
        <f t="shared" si="19"/>
        <v>0</v>
      </c>
      <c r="Q42" s="40">
        <f t="shared" si="20"/>
        <v>4276266.33</v>
      </c>
      <c r="R42" s="40">
        <f t="shared" si="21"/>
        <v>0</v>
      </c>
      <c r="S42" s="40">
        <f t="shared" si="22"/>
        <v>4276266.33</v>
      </c>
      <c r="T42" s="40">
        <f t="shared" si="23"/>
        <v>0</v>
      </c>
      <c r="U42" s="40">
        <f t="shared" si="24"/>
        <v>4276266.33</v>
      </c>
      <c r="V42" s="40">
        <f>+'CONAP-FUR (REG)-Detail'!W129</f>
        <v>0</v>
      </c>
      <c r="W42" s="40">
        <f>+'CONAP-FUR (REG)-Detail'!X129</f>
        <v>0</v>
      </c>
      <c r="X42" s="40">
        <f>+'CONAP-FUR (REG)-Detail'!Y129</f>
        <v>0</v>
      </c>
      <c r="Y42" s="40">
        <f t="shared" si="6"/>
        <v>0</v>
      </c>
      <c r="Z42" s="40">
        <f>+'CONAP-FUR (REG)-Detail'!AA129</f>
        <v>0</v>
      </c>
      <c r="AA42" s="40">
        <f>+'CONAP-FUR (REG)-Detail'!AB129</f>
        <v>3122715.61</v>
      </c>
      <c r="AB42" s="40">
        <f>+'CONAP-FUR (REG)-Detail'!AC129</f>
        <v>0</v>
      </c>
      <c r="AC42" s="40">
        <f t="shared" si="7"/>
        <v>3122715.61</v>
      </c>
      <c r="AD42" s="40">
        <f t="shared" si="25"/>
        <v>0</v>
      </c>
      <c r="AE42" s="40">
        <f t="shared" si="26"/>
        <v>3122715.61</v>
      </c>
      <c r="AF42" s="40">
        <f t="shared" si="27"/>
        <v>0</v>
      </c>
      <c r="AG42" s="40">
        <f t="shared" si="28"/>
        <v>3122715.61</v>
      </c>
      <c r="AH42" s="40">
        <f t="shared" si="29"/>
        <v>0</v>
      </c>
      <c r="AI42" s="40">
        <f t="shared" si="30"/>
        <v>1153550.7200000002</v>
      </c>
      <c r="AJ42" s="40">
        <f t="shared" si="31"/>
        <v>0</v>
      </c>
      <c r="AK42" s="40">
        <f t="shared" si="32"/>
        <v>1153550.7200000002</v>
      </c>
      <c r="AL42" s="600"/>
      <c r="AM42" s="600">
        <f t="shared" si="34"/>
        <v>0.73024348088253888</v>
      </c>
      <c r="AN42" s="934" t="str">
        <f t="shared" si="35"/>
        <v xml:space="preserve"> </v>
      </c>
      <c r="AO42" s="600">
        <f t="shared" si="36"/>
        <v>0.73024348088253888</v>
      </c>
      <c r="AP42" s="116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</row>
    <row r="43" spans="1:64" s="16" customFormat="1">
      <c r="A43" s="592"/>
      <c r="B43" s="40"/>
      <c r="C43" s="40"/>
      <c r="D43" s="40"/>
      <c r="E43" s="579">
        <f t="shared" si="14"/>
        <v>0</v>
      </c>
      <c r="F43" s="40"/>
      <c r="G43" s="40"/>
      <c r="H43" s="40"/>
      <c r="I43" s="579">
        <f t="shared" si="15"/>
        <v>0</v>
      </c>
      <c r="J43" s="40"/>
      <c r="K43" s="40"/>
      <c r="L43" s="40"/>
      <c r="M43" s="579">
        <f t="shared" si="16"/>
        <v>0</v>
      </c>
      <c r="N43" s="40">
        <f t="shared" si="17"/>
        <v>0</v>
      </c>
      <c r="O43" s="40">
        <f t="shared" si="18"/>
        <v>0</v>
      </c>
      <c r="P43" s="40">
        <f t="shared" si="19"/>
        <v>0</v>
      </c>
      <c r="Q43" s="579">
        <f t="shared" si="20"/>
        <v>0</v>
      </c>
      <c r="R43" s="40">
        <f t="shared" si="21"/>
        <v>0</v>
      </c>
      <c r="S43" s="40">
        <f t="shared" si="22"/>
        <v>0</v>
      </c>
      <c r="T43" s="40">
        <f t="shared" si="23"/>
        <v>0</v>
      </c>
      <c r="U43" s="579">
        <f t="shared" si="24"/>
        <v>0</v>
      </c>
      <c r="V43" s="40"/>
      <c r="W43" s="40"/>
      <c r="X43" s="40"/>
      <c r="Y43" s="579">
        <f t="shared" si="6"/>
        <v>0</v>
      </c>
      <c r="Z43" s="40"/>
      <c r="AA43" s="40"/>
      <c r="AB43" s="40"/>
      <c r="AC43" s="579">
        <f t="shared" si="7"/>
        <v>0</v>
      </c>
      <c r="AD43" s="40">
        <f t="shared" si="25"/>
        <v>0</v>
      </c>
      <c r="AE43" s="40">
        <f t="shared" si="26"/>
        <v>0</v>
      </c>
      <c r="AF43" s="40">
        <f t="shared" si="27"/>
        <v>0</v>
      </c>
      <c r="AG43" s="579">
        <f t="shared" si="28"/>
        <v>0</v>
      </c>
      <c r="AH43" s="579">
        <f t="shared" si="29"/>
        <v>0</v>
      </c>
      <c r="AI43" s="40">
        <f t="shared" si="30"/>
        <v>0</v>
      </c>
      <c r="AJ43" s="40">
        <f t="shared" si="31"/>
        <v>0</v>
      </c>
      <c r="AK43" s="579">
        <f t="shared" si="32"/>
        <v>0</v>
      </c>
      <c r="AL43" s="600"/>
      <c r="AM43" s="600" t="str">
        <f t="shared" si="34"/>
        <v xml:space="preserve"> </v>
      </c>
      <c r="AN43" s="934" t="str">
        <f t="shared" si="35"/>
        <v xml:space="preserve"> </v>
      </c>
      <c r="AO43" s="600" t="str">
        <f t="shared" si="36"/>
        <v xml:space="preserve"> </v>
      </c>
      <c r="AP43" s="116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</row>
    <row r="44" spans="1:64" s="609" customFormat="1" ht="16.5">
      <c r="A44" s="1153" t="s">
        <v>981</v>
      </c>
      <c r="B44" s="1161">
        <f>+'CONAP-FUR (REG)-Detail'!C218+'CONAP-FUR (REG)-Detail'!C131</f>
        <v>0</v>
      </c>
      <c r="C44" s="1161">
        <f>SUM(C45:C47)</f>
        <v>612603.08999999426</v>
      </c>
      <c r="D44" s="1161">
        <f t="shared" ref="D44:AK44" si="43">SUM(D45:D47)</f>
        <v>0</v>
      </c>
      <c r="E44" s="1161">
        <f t="shared" si="43"/>
        <v>612603.08999999426</v>
      </c>
      <c r="F44" s="1161">
        <f t="shared" si="43"/>
        <v>0</v>
      </c>
      <c r="G44" s="1161">
        <f t="shared" si="43"/>
        <v>-1650840.71</v>
      </c>
      <c r="H44" s="1161">
        <f t="shared" si="43"/>
        <v>8901800</v>
      </c>
      <c r="I44" s="1161">
        <f t="shared" si="43"/>
        <v>7250959.29</v>
      </c>
      <c r="J44" s="1161">
        <f t="shared" si="43"/>
        <v>0</v>
      </c>
      <c r="K44" s="1161">
        <f t="shared" si="43"/>
        <v>19188487.729999997</v>
      </c>
      <c r="L44" s="1161">
        <f t="shared" si="43"/>
        <v>4152665.33</v>
      </c>
      <c r="M44" s="1161">
        <f t="shared" si="43"/>
        <v>23341153.059999995</v>
      </c>
      <c r="N44" s="1161">
        <f t="shared" si="43"/>
        <v>0</v>
      </c>
      <c r="O44" s="1161">
        <f t="shared" si="43"/>
        <v>17537647.019999996</v>
      </c>
      <c r="P44" s="1161">
        <f t="shared" si="43"/>
        <v>13054465.33</v>
      </c>
      <c r="Q44" s="1161">
        <f t="shared" si="43"/>
        <v>30592112.349999994</v>
      </c>
      <c r="R44" s="1161">
        <f t="shared" si="43"/>
        <v>0</v>
      </c>
      <c r="S44" s="1161">
        <f t="shared" si="43"/>
        <v>18150250.109999992</v>
      </c>
      <c r="T44" s="1161">
        <f t="shared" si="43"/>
        <v>13054465.33</v>
      </c>
      <c r="U44" s="1161">
        <f t="shared" si="43"/>
        <v>31204715.43999999</v>
      </c>
      <c r="V44" s="1161">
        <f t="shared" si="43"/>
        <v>0</v>
      </c>
      <c r="W44" s="1161">
        <f t="shared" si="43"/>
        <v>612419.63</v>
      </c>
      <c r="X44" s="1161">
        <f t="shared" si="43"/>
        <v>0</v>
      </c>
      <c r="Y44" s="1161">
        <f t="shared" si="43"/>
        <v>612419.63</v>
      </c>
      <c r="Z44" s="1161">
        <f t="shared" si="43"/>
        <v>0</v>
      </c>
      <c r="AA44" s="1161">
        <f t="shared" si="43"/>
        <v>13034502.129999999</v>
      </c>
      <c r="AB44" s="1161">
        <f t="shared" si="43"/>
        <v>1661630</v>
      </c>
      <c r="AC44" s="1161">
        <f t="shared" si="43"/>
        <v>14696132.129999999</v>
      </c>
      <c r="AD44" s="1161">
        <f t="shared" si="43"/>
        <v>0</v>
      </c>
      <c r="AE44" s="1161">
        <f t="shared" si="43"/>
        <v>13646921.759999998</v>
      </c>
      <c r="AF44" s="1161">
        <f t="shared" si="43"/>
        <v>1661630</v>
      </c>
      <c r="AG44" s="1161">
        <f t="shared" si="43"/>
        <v>15308551.759999998</v>
      </c>
      <c r="AH44" s="1161">
        <f t="shared" si="43"/>
        <v>0</v>
      </c>
      <c r="AI44" s="1161">
        <f t="shared" si="43"/>
        <v>4503328.3499999922</v>
      </c>
      <c r="AJ44" s="1161">
        <f t="shared" si="43"/>
        <v>11392835.33</v>
      </c>
      <c r="AK44" s="1161">
        <f t="shared" si="43"/>
        <v>15896163.679999992</v>
      </c>
      <c r="AL44" s="608" t="str">
        <f t="shared" si="33"/>
        <v xml:space="preserve"> </v>
      </c>
      <c r="AM44" s="608">
        <f t="shared" si="34"/>
        <v>0.7518861545869906</v>
      </c>
      <c r="AN44" s="1163">
        <f t="shared" si="35"/>
        <v>0.12728441632775778</v>
      </c>
      <c r="AO44" s="608">
        <f t="shared" si="36"/>
        <v>0.49058456531786282</v>
      </c>
      <c r="AP44" s="1170">
        <f>+AK44-'CONAP (ALL FUNDS)'!Q464</f>
        <v>0</v>
      </c>
      <c r="AQ44" s="1162"/>
      <c r="AR44" s="1162"/>
      <c r="AS44" s="1162"/>
      <c r="AT44" s="1162"/>
      <c r="AU44" s="1162"/>
      <c r="AV44" s="1162"/>
      <c r="AW44" s="1162"/>
      <c r="AX44" s="1162"/>
      <c r="AY44" s="1162"/>
      <c r="AZ44" s="1162"/>
      <c r="BA44" s="1162"/>
      <c r="BB44" s="1162"/>
      <c r="BC44" s="1162"/>
      <c r="BD44" s="1162"/>
      <c r="BE44" s="1162"/>
      <c r="BF44" s="1162"/>
      <c r="BG44" s="1162"/>
      <c r="BH44" s="1162"/>
      <c r="BI44" s="1162"/>
      <c r="BJ44" s="1162"/>
      <c r="BK44" s="1162"/>
      <c r="BL44" s="1162"/>
    </row>
    <row r="45" spans="1:64" s="16" customFormat="1">
      <c r="A45" s="899" t="s">
        <v>982</v>
      </c>
      <c r="B45" s="40"/>
      <c r="C45" s="40">
        <f>+'CONAP-FUR (REG)-Detail'!D218</f>
        <v>612419.6299999943</v>
      </c>
      <c r="D45" s="40">
        <f>+'CONAP-FUR (REG)-Detail'!E218</f>
        <v>0</v>
      </c>
      <c r="E45" s="40">
        <f t="shared" si="14"/>
        <v>612419.6299999943</v>
      </c>
      <c r="F45" s="40">
        <f>+'CONAP-FUR (REG)-Detail'!G218</f>
        <v>0</v>
      </c>
      <c r="G45" s="40">
        <f>+'CONAP-FUR (REG)-Detail'!H218</f>
        <v>-4434157.71</v>
      </c>
      <c r="H45" s="40">
        <f>+'CONAP-FUR (REG)-Detail'!I218</f>
        <v>8901800</v>
      </c>
      <c r="I45" s="40">
        <f t="shared" si="15"/>
        <v>4467642.29</v>
      </c>
      <c r="J45" s="40">
        <f>+'CONAP-FUR (REG)-Detail'!K218</f>
        <v>0</v>
      </c>
      <c r="K45" s="40">
        <f>+'CONAP-FUR (REG)-Detail'!L218</f>
        <v>17982186.509999998</v>
      </c>
      <c r="L45" s="40">
        <f>+'CONAP-FUR (REG)-Detail'!M218</f>
        <v>4152665.33</v>
      </c>
      <c r="M45" s="40">
        <f t="shared" si="16"/>
        <v>22134851.839999996</v>
      </c>
      <c r="N45" s="40">
        <f t="shared" si="17"/>
        <v>0</v>
      </c>
      <c r="O45" s="40">
        <f t="shared" si="18"/>
        <v>13548028.799999997</v>
      </c>
      <c r="P45" s="40">
        <f t="shared" si="19"/>
        <v>13054465.33</v>
      </c>
      <c r="Q45" s="40">
        <f t="shared" si="20"/>
        <v>26602494.129999995</v>
      </c>
      <c r="R45" s="40">
        <f t="shared" si="21"/>
        <v>0</v>
      </c>
      <c r="S45" s="40">
        <f t="shared" si="22"/>
        <v>14160448.429999992</v>
      </c>
      <c r="T45" s="40">
        <f t="shared" si="23"/>
        <v>13054465.33</v>
      </c>
      <c r="U45" s="40">
        <f t="shared" si="24"/>
        <v>27214913.75999999</v>
      </c>
      <c r="V45" s="40">
        <f>+'CONAP-FUR (REG)-Detail'!W218</f>
        <v>0</v>
      </c>
      <c r="W45" s="40">
        <f>+'CONAP-FUR (REG)-Detail'!X218</f>
        <v>612419.63</v>
      </c>
      <c r="X45" s="40">
        <f>+'CONAP-FUR (REG)-Detail'!Y218</f>
        <v>0</v>
      </c>
      <c r="Y45" s="40">
        <f t="shared" si="6"/>
        <v>612419.63</v>
      </c>
      <c r="Z45" s="40">
        <f>+'CONAP-FUR (REG)-Detail'!AA218</f>
        <v>0</v>
      </c>
      <c r="AA45" s="40">
        <f>+'CONAP-FUR (REG)-Detail'!AB218</f>
        <v>10425199.559999999</v>
      </c>
      <c r="AB45" s="40">
        <f>+'CONAP-FUR (REG)-Detail'!AC218</f>
        <v>1661630</v>
      </c>
      <c r="AC45" s="40">
        <f t="shared" si="7"/>
        <v>12086829.559999999</v>
      </c>
      <c r="AD45" s="40">
        <f t="shared" si="25"/>
        <v>0</v>
      </c>
      <c r="AE45" s="40">
        <f t="shared" si="26"/>
        <v>11037619.189999999</v>
      </c>
      <c r="AF45" s="40">
        <f t="shared" si="27"/>
        <v>1661630</v>
      </c>
      <c r="AG45" s="40">
        <f t="shared" si="28"/>
        <v>12699249.189999999</v>
      </c>
      <c r="AH45" s="40">
        <f t="shared" si="29"/>
        <v>0</v>
      </c>
      <c r="AI45" s="40">
        <f t="shared" si="30"/>
        <v>3122829.2399999928</v>
      </c>
      <c r="AJ45" s="40">
        <f t="shared" si="31"/>
        <v>11392835.33</v>
      </c>
      <c r="AK45" s="40">
        <f t="shared" si="32"/>
        <v>14515664.569999993</v>
      </c>
      <c r="AL45" s="600"/>
      <c r="AM45" s="600">
        <f t="shared" si="34"/>
        <v>0.77946819583876736</v>
      </c>
      <c r="AN45" s="934">
        <f t="shared" si="35"/>
        <v>0.12728441632775778</v>
      </c>
      <c r="AO45" s="600">
        <f t="shared" si="36"/>
        <v>0.4666283090951821</v>
      </c>
      <c r="AP45" s="116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</row>
    <row r="46" spans="1:64" s="16" customFormat="1">
      <c r="A46" s="899" t="s">
        <v>1108</v>
      </c>
      <c r="B46" s="40"/>
      <c r="C46" s="40">
        <f>+'CONAP-FUR (REG)-Detail'!D132</f>
        <v>183.46</v>
      </c>
      <c r="D46" s="40">
        <f>+'CONAP-FUR (REG)-Detail'!E132</f>
        <v>0</v>
      </c>
      <c r="E46" s="40">
        <f t="shared" si="14"/>
        <v>183.46</v>
      </c>
      <c r="F46" s="40">
        <f>+'CONAP-FUR (REG)-Detail'!G132</f>
        <v>0</v>
      </c>
      <c r="G46" s="40">
        <f>+'CONAP-FUR (REG)-Detail'!H132</f>
        <v>1300000</v>
      </c>
      <c r="H46" s="40">
        <f>+'CONAP-FUR (REG)-Detail'!I132</f>
        <v>0</v>
      </c>
      <c r="I46" s="40">
        <f t="shared" si="15"/>
        <v>1300000</v>
      </c>
      <c r="J46" s="40">
        <f>+'CONAP-FUR (REG)-Detail'!K132</f>
        <v>0</v>
      </c>
      <c r="K46" s="40">
        <f>+'CONAP-FUR (REG)-Detail'!L132</f>
        <v>450.74</v>
      </c>
      <c r="L46" s="40">
        <f>+'CONAP-FUR (REG)-Detail'!M132</f>
        <v>0</v>
      </c>
      <c r="M46" s="40">
        <f t="shared" si="16"/>
        <v>450.74</v>
      </c>
      <c r="N46" s="40">
        <f t="shared" si="17"/>
        <v>0</v>
      </c>
      <c r="O46" s="40">
        <f t="shared" si="18"/>
        <v>1300450.74</v>
      </c>
      <c r="P46" s="40">
        <f t="shared" si="19"/>
        <v>0</v>
      </c>
      <c r="Q46" s="40">
        <f t="shared" si="20"/>
        <v>1300450.74</v>
      </c>
      <c r="R46" s="40">
        <f t="shared" si="21"/>
        <v>0</v>
      </c>
      <c r="S46" s="40">
        <f t="shared" si="22"/>
        <v>1300634.2</v>
      </c>
      <c r="T46" s="40">
        <f t="shared" si="23"/>
        <v>0</v>
      </c>
      <c r="U46" s="40">
        <f t="shared" si="24"/>
        <v>1300634.2</v>
      </c>
      <c r="V46" s="40">
        <f>+'CONAP-FUR (REG)-Detail'!W132</f>
        <v>0</v>
      </c>
      <c r="W46" s="40">
        <f>+'CONAP-FUR (REG)-Detail'!X132</f>
        <v>0</v>
      </c>
      <c r="X46" s="40">
        <f>+'CONAP-FUR (REG)-Detail'!Y132</f>
        <v>0</v>
      </c>
      <c r="Y46" s="40">
        <f t="shared" si="6"/>
        <v>0</v>
      </c>
      <c r="Z46" s="40">
        <f>+'CONAP-FUR (REG)-Detail'!AA132</f>
        <v>0</v>
      </c>
      <c r="AA46" s="40">
        <f>+'CONAP-FUR (REG)-Detail'!AB132</f>
        <v>748337.7</v>
      </c>
      <c r="AB46" s="40">
        <f>+'CONAP-FUR (REG)-Detail'!AC132</f>
        <v>0</v>
      </c>
      <c r="AC46" s="40">
        <f t="shared" si="7"/>
        <v>748337.7</v>
      </c>
      <c r="AD46" s="40">
        <f t="shared" si="25"/>
        <v>0</v>
      </c>
      <c r="AE46" s="40">
        <f t="shared" si="26"/>
        <v>748337.7</v>
      </c>
      <c r="AF46" s="40">
        <f t="shared" si="27"/>
        <v>0</v>
      </c>
      <c r="AG46" s="40">
        <f t="shared" si="28"/>
        <v>748337.7</v>
      </c>
      <c r="AH46" s="40">
        <f t="shared" si="29"/>
        <v>0</v>
      </c>
      <c r="AI46" s="40">
        <f t="shared" si="30"/>
        <v>552296.5</v>
      </c>
      <c r="AJ46" s="40">
        <f t="shared" si="31"/>
        <v>0</v>
      </c>
      <c r="AK46" s="40">
        <f t="shared" si="32"/>
        <v>552296.5</v>
      </c>
      <c r="AL46" s="600"/>
      <c r="AM46" s="600">
        <f t="shared" si="34"/>
        <v>0.57536369564939938</v>
      </c>
      <c r="AN46" s="934" t="str">
        <f t="shared" si="35"/>
        <v xml:space="preserve"> </v>
      </c>
      <c r="AO46" s="600">
        <f t="shared" si="36"/>
        <v>0.57536369564939938</v>
      </c>
      <c r="AP46" s="116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</row>
    <row r="47" spans="1:64" s="16" customFormat="1">
      <c r="A47" s="899" t="s">
        <v>978</v>
      </c>
      <c r="B47" s="40"/>
      <c r="C47" s="40">
        <f>+'CONAP-FUR (REG)-Detail'!D133</f>
        <v>0</v>
      </c>
      <c r="D47" s="40">
        <f>+'CONAP-FUR (REG)-Detail'!E133</f>
        <v>0</v>
      </c>
      <c r="E47" s="40">
        <f t="shared" si="14"/>
        <v>0</v>
      </c>
      <c r="F47" s="40">
        <f>+'CONAP-FUR (REG)-Detail'!G133</f>
        <v>0</v>
      </c>
      <c r="G47" s="40">
        <f>+'CONAP-FUR (REG)-Detail'!H133</f>
        <v>1483317</v>
      </c>
      <c r="H47" s="40">
        <f>+'CONAP-FUR (REG)-Detail'!I133</f>
        <v>0</v>
      </c>
      <c r="I47" s="40">
        <f t="shared" si="15"/>
        <v>1483317</v>
      </c>
      <c r="J47" s="40">
        <f>+'CONAP-FUR (REG)-Detail'!K133</f>
        <v>0</v>
      </c>
      <c r="K47" s="40">
        <f>+'CONAP-FUR (REG)-Detail'!L133</f>
        <v>1205850.48</v>
      </c>
      <c r="L47" s="40">
        <f>+'CONAP-FUR (REG)-Detail'!M133</f>
        <v>0</v>
      </c>
      <c r="M47" s="40">
        <f t="shared" si="16"/>
        <v>1205850.48</v>
      </c>
      <c r="N47" s="40">
        <f t="shared" si="17"/>
        <v>0</v>
      </c>
      <c r="O47" s="40">
        <f t="shared" si="18"/>
        <v>2689167.48</v>
      </c>
      <c r="P47" s="40">
        <f t="shared" si="19"/>
        <v>0</v>
      </c>
      <c r="Q47" s="40">
        <f t="shared" si="20"/>
        <v>2689167.48</v>
      </c>
      <c r="R47" s="40">
        <f t="shared" si="21"/>
        <v>0</v>
      </c>
      <c r="S47" s="40">
        <f t="shared" si="22"/>
        <v>2689167.48</v>
      </c>
      <c r="T47" s="40">
        <f t="shared" si="23"/>
        <v>0</v>
      </c>
      <c r="U47" s="40">
        <f t="shared" si="24"/>
        <v>2689167.48</v>
      </c>
      <c r="V47" s="40">
        <f>+'CONAP-FUR (REG)-Detail'!W133</f>
        <v>0</v>
      </c>
      <c r="W47" s="40">
        <f>+'CONAP-FUR (REG)-Detail'!X133</f>
        <v>0</v>
      </c>
      <c r="X47" s="40">
        <f>+'CONAP-FUR (REG)-Detail'!Y133</f>
        <v>0</v>
      </c>
      <c r="Y47" s="40">
        <f t="shared" si="6"/>
        <v>0</v>
      </c>
      <c r="Z47" s="40">
        <f>+'CONAP-FUR (REG)-Detail'!AA133</f>
        <v>0</v>
      </c>
      <c r="AA47" s="40">
        <f>+'CONAP-FUR (REG)-Detail'!AB133</f>
        <v>1860964.87</v>
      </c>
      <c r="AB47" s="40">
        <f>+'CONAP-FUR (REG)-Detail'!AC133</f>
        <v>0</v>
      </c>
      <c r="AC47" s="40">
        <f t="shared" si="7"/>
        <v>1860964.87</v>
      </c>
      <c r="AD47" s="40">
        <f t="shared" si="25"/>
        <v>0</v>
      </c>
      <c r="AE47" s="40">
        <f t="shared" si="26"/>
        <v>1860964.87</v>
      </c>
      <c r="AF47" s="40">
        <f t="shared" si="27"/>
        <v>0</v>
      </c>
      <c r="AG47" s="40">
        <f t="shared" si="28"/>
        <v>1860964.87</v>
      </c>
      <c r="AH47" s="40">
        <f t="shared" si="29"/>
        <v>0</v>
      </c>
      <c r="AI47" s="40">
        <f t="shared" si="30"/>
        <v>828202.60999999987</v>
      </c>
      <c r="AJ47" s="40">
        <f t="shared" si="31"/>
        <v>0</v>
      </c>
      <c r="AK47" s="40">
        <f t="shared" si="32"/>
        <v>828202.60999999987</v>
      </c>
      <c r="AL47" s="600"/>
      <c r="AM47" s="600">
        <f t="shared" si="34"/>
        <v>0.69202267387228711</v>
      </c>
      <c r="AN47" s="934" t="str">
        <f t="shared" si="35"/>
        <v xml:space="preserve"> </v>
      </c>
      <c r="AO47" s="600">
        <f t="shared" si="36"/>
        <v>0.69202267387228711</v>
      </c>
      <c r="AP47" s="116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</row>
    <row r="48" spans="1:64" s="16" customFormat="1">
      <c r="A48" s="592"/>
      <c r="B48" s="40"/>
      <c r="C48" s="40"/>
      <c r="D48" s="40"/>
      <c r="E48" s="579">
        <f t="shared" si="14"/>
        <v>0</v>
      </c>
      <c r="F48" s="40"/>
      <c r="G48" s="40"/>
      <c r="H48" s="40"/>
      <c r="I48" s="579">
        <f t="shared" si="15"/>
        <v>0</v>
      </c>
      <c r="J48" s="40"/>
      <c r="K48" s="40"/>
      <c r="L48" s="40"/>
      <c r="M48" s="579">
        <f t="shared" si="16"/>
        <v>0</v>
      </c>
      <c r="N48" s="40">
        <f t="shared" si="17"/>
        <v>0</v>
      </c>
      <c r="O48" s="40">
        <f t="shared" si="18"/>
        <v>0</v>
      </c>
      <c r="P48" s="40">
        <f t="shared" si="19"/>
        <v>0</v>
      </c>
      <c r="Q48" s="579">
        <f t="shared" si="20"/>
        <v>0</v>
      </c>
      <c r="R48" s="40">
        <f t="shared" si="21"/>
        <v>0</v>
      </c>
      <c r="S48" s="40">
        <f t="shared" si="22"/>
        <v>0</v>
      </c>
      <c r="T48" s="40">
        <f t="shared" si="23"/>
        <v>0</v>
      </c>
      <c r="U48" s="579">
        <f t="shared" si="24"/>
        <v>0</v>
      </c>
      <c r="V48" s="40"/>
      <c r="W48" s="40"/>
      <c r="X48" s="40"/>
      <c r="Y48" s="579">
        <f t="shared" si="6"/>
        <v>0</v>
      </c>
      <c r="Z48" s="40"/>
      <c r="AA48" s="40"/>
      <c r="AB48" s="40"/>
      <c r="AC48" s="579">
        <f t="shared" si="7"/>
        <v>0</v>
      </c>
      <c r="AD48" s="40">
        <f t="shared" si="25"/>
        <v>0</v>
      </c>
      <c r="AE48" s="40">
        <f t="shared" si="26"/>
        <v>0</v>
      </c>
      <c r="AF48" s="40">
        <f t="shared" si="27"/>
        <v>0</v>
      </c>
      <c r="AG48" s="579">
        <f t="shared" si="28"/>
        <v>0</v>
      </c>
      <c r="AH48" s="579">
        <f t="shared" si="29"/>
        <v>0</v>
      </c>
      <c r="AI48" s="40">
        <f t="shared" si="30"/>
        <v>0</v>
      </c>
      <c r="AJ48" s="40">
        <f t="shared" si="31"/>
        <v>0</v>
      </c>
      <c r="AK48" s="579">
        <f t="shared" si="32"/>
        <v>0</v>
      </c>
      <c r="AL48" s="600"/>
      <c r="AM48" s="600" t="str">
        <f t="shared" si="34"/>
        <v xml:space="preserve"> </v>
      </c>
      <c r="AN48" s="934" t="str">
        <f t="shared" si="35"/>
        <v xml:space="preserve"> </v>
      </c>
      <c r="AO48" s="600" t="str">
        <f t="shared" si="36"/>
        <v xml:space="preserve"> </v>
      </c>
      <c r="AP48" s="116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</row>
    <row r="49" spans="1:64" s="609" customFormat="1" ht="16.5">
      <c r="A49" s="1153" t="s">
        <v>983</v>
      </c>
      <c r="B49" s="1161">
        <f>+'CONAP-FUR (REG)-Detail'!C135+'CONAP-FUR (REG)-Detail'!C223</f>
        <v>0</v>
      </c>
      <c r="C49" s="1161">
        <f>SUM(C50:C53)</f>
        <v>250000</v>
      </c>
      <c r="D49" s="1161">
        <f t="shared" ref="D49:AK49" si="44">SUM(D50:D53)</f>
        <v>0</v>
      </c>
      <c r="E49" s="1161">
        <f t="shared" si="44"/>
        <v>250000</v>
      </c>
      <c r="F49" s="1161">
        <f t="shared" si="44"/>
        <v>0</v>
      </c>
      <c r="G49" s="1161">
        <f t="shared" si="44"/>
        <v>-3394570.75</v>
      </c>
      <c r="H49" s="1161">
        <f t="shared" si="44"/>
        <v>25022000</v>
      </c>
      <c r="I49" s="1161">
        <f t="shared" si="44"/>
        <v>21627429.250000004</v>
      </c>
      <c r="J49" s="1161">
        <f t="shared" si="44"/>
        <v>0</v>
      </c>
      <c r="K49" s="1161">
        <f t="shared" si="44"/>
        <v>59053686.469999999</v>
      </c>
      <c r="L49" s="1161">
        <f t="shared" si="44"/>
        <v>6724503.6600000001</v>
      </c>
      <c r="M49" s="1161">
        <f t="shared" si="44"/>
        <v>65778190.129999995</v>
      </c>
      <c r="N49" s="1161">
        <f t="shared" si="44"/>
        <v>0</v>
      </c>
      <c r="O49" s="1161">
        <f t="shared" si="44"/>
        <v>55659115.719999999</v>
      </c>
      <c r="P49" s="1161">
        <f t="shared" si="44"/>
        <v>31746503.66</v>
      </c>
      <c r="Q49" s="1161">
        <f t="shared" si="44"/>
        <v>87405619.38000001</v>
      </c>
      <c r="R49" s="1161">
        <f t="shared" si="44"/>
        <v>0</v>
      </c>
      <c r="S49" s="1161">
        <f t="shared" si="44"/>
        <v>55909115.719999999</v>
      </c>
      <c r="T49" s="1161">
        <f t="shared" si="44"/>
        <v>31746503.66</v>
      </c>
      <c r="U49" s="1161">
        <f t="shared" si="44"/>
        <v>87655619.38000001</v>
      </c>
      <c r="V49" s="1161">
        <f t="shared" si="44"/>
        <v>0</v>
      </c>
      <c r="W49" s="1161">
        <f t="shared" si="44"/>
        <v>250000</v>
      </c>
      <c r="X49" s="1161">
        <f t="shared" si="44"/>
        <v>0</v>
      </c>
      <c r="Y49" s="1161">
        <f t="shared" si="44"/>
        <v>250000</v>
      </c>
      <c r="Z49" s="1161">
        <f t="shared" si="44"/>
        <v>0</v>
      </c>
      <c r="AA49" s="1161">
        <f t="shared" si="44"/>
        <v>52485054.689999998</v>
      </c>
      <c r="AB49" s="1161">
        <f t="shared" si="44"/>
        <v>21413812.789999999</v>
      </c>
      <c r="AC49" s="1161">
        <f t="shared" si="44"/>
        <v>73898867.480000004</v>
      </c>
      <c r="AD49" s="1161">
        <f t="shared" si="44"/>
        <v>0</v>
      </c>
      <c r="AE49" s="1161">
        <f t="shared" si="44"/>
        <v>52735054.689999998</v>
      </c>
      <c r="AF49" s="1161">
        <f t="shared" si="44"/>
        <v>21413812.789999999</v>
      </c>
      <c r="AG49" s="1161">
        <f t="shared" si="44"/>
        <v>74148867.480000004</v>
      </c>
      <c r="AH49" s="1161">
        <f t="shared" si="44"/>
        <v>0</v>
      </c>
      <c r="AI49" s="1161">
        <f t="shared" si="44"/>
        <v>3174061.0299999975</v>
      </c>
      <c r="AJ49" s="1161">
        <f t="shared" si="44"/>
        <v>10332690.870000001</v>
      </c>
      <c r="AK49" s="1161">
        <f t="shared" si="44"/>
        <v>13506751.899999999</v>
      </c>
      <c r="AL49" s="608" t="str">
        <f t="shared" si="33"/>
        <v xml:space="preserve"> </v>
      </c>
      <c r="AM49" s="608">
        <f t="shared" si="34"/>
        <v>0.94322820189294165</v>
      </c>
      <c r="AN49" s="1163">
        <f t="shared" si="35"/>
        <v>0.67452507587413479</v>
      </c>
      <c r="AO49" s="608">
        <f t="shared" si="36"/>
        <v>0.84591116923780718</v>
      </c>
      <c r="AP49" s="1170">
        <f>+AK49-'CONAP (ALL FUNDS)'!Q524</f>
        <v>0</v>
      </c>
      <c r="AQ49" s="1162"/>
      <c r="AR49" s="1162"/>
      <c r="AS49" s="1162"/>
      <c r="AT49" s="1162"/>
      <c r="AU49" s="1162"/>
      <c r="AV49" s="1162"/>
      <c r="AW49" s="1162"/>
      <c r="AX49" s="1162"/>
      <c r="AY49" s="1162"/>
      <c r="AZ49" s="1162"/>
      <c r="BA49" s="1162"/>
      <c r="BB49" s="1162"/>
      <c r="BC49" s="1162"/>
      <c r="BD49" s="1162"/>
      <c r="BE49" s="1162"/>
      <c r="BF49" s="1162"/>
      <c r="BG49" s="1162"/>
      <c r="BH49" s="1162"/>
      <c r="BI49" s="1162"/>
      <c r="BJ49" s="1162"/>
      <c r="BK49" s="1162"/>
      <c r="BL49" s="1162"/>
    </row>
    <row r="50" spans="1:64" s="16" customFormat="1">
      <c r="A50" s="899" t="s">
        <v>984</v>
      </c>
      <c r="B50" s="40"/>
      <c r="C50" s="40">
        <f>+'CONAP-FUR (REG)-Detail'!D223</f>
        <v>0</v>
      </c>
      <c r="D50" s="40">
        <f>+'CONAP-FUR (REG)-Detail'!E223</f>
        <v>0</v>
      </c>
      <c r="E50" s="40">
        <f t="shared" si="14"/>
        <v>0</v>
      </c>
      <c r="F50" s="40">
        <f>+'CONAP-FUR (REG)-Detail'!G223</f>
        <v>0</v>
      </c>
      <c r="G50" s="40">
        <f>+'CONAP (ALL FUNDS)'!G476</f>
        <v>0</v>
      </c>
      <c r="H50" s="40">
        <f>+'CONAP (ALL FUNDS)'!H476</f>
        <v>10022000</v>
      </c>
      <c r="I50" s="40">
        <f t="shared" si="15"/>
        <v>10022000</v>
      </c>
      <c r="J50" s="40">
        <f>+'CONAP-FUR (REG)-Detail'!K223</f>
        <v>0</v>
      </c>
      <c r="K50" s="40">
        <f>+'CONAP (ALL FUNDS)'!G477</f>
        <v>41485876.359999999</v>
      </c>
      <c r="L50" s="40">
        <f>+'CONAP (ALL FUNDS)'!H477</f>
        <v>6724503.6600000001</v>
      </c>
      <c r="M50" s="40">
        <f t="shared" si="16"/>
        <v>48210380.019999996</v>
      </c>
      <c r="N50" s="40">
        <f t="shared" si="17"/>
        <v>0</v>
      </c>
      <c r="O50" s="40">
        <f t="shared" si="18"/>
        <v>41485876.359999999</v>
      </c>
      <c r="P50" s="40">
        <f t="shared" si="19"/>
        <v>16746503.66</v>
      </c>
      <c r="Q50" s="40">
        <f t="shared" si="20"/>
        <v>58232380.019999996</v>
      </c>
      <c r="R50" s="40">
        <f t="shared" si="21"/>
        <v>0</v>
      </c>
      <c r="S50" s="40">
        <f t="shared" si="22"/>
        <v>41485876.359999999</v>
      </c>
      <c r="T50" s="40">
        <f t="shared" si="23"/>
        <v>16746503.66</v>
      </c>
      <c r="U50" s="40">
        <f t="shared" si="24"/>
        <v>58232380.019999996</v>
      </c>
      <c r="V50" s="40">
        <f>+'CONAP-FUR (REG)-Detail'!W223</f>
        <v>0</v>
      </c>
      <c r="W50" s="40">
        <f>+'CONAP-FUR (REG)-Detail'!X223</f>
        <v>0</v>
      </c>
      <c r="X50" s="40">
        <f>+'CONAP-FUR (REG)-Detail'!Y223</f>
        <v>0</v>
      </c>
      <c r="Y50" s="40">
        <f t="shared" si="6"/>
        <v>0</v>
      </c>
      <c r="Z50" s="40">
        <f>+'CONAP-FUR (REG)-Detail'!AA223</f>
        <v>0</v>
      </c>
      <c r="AA50" s="40">
        <f>+'CONAP-FUR (REG)-Detail'!AB223</f>
        <v>39042313.920000002</v>
      </c>
      <c r="AB50" s="40">
        <f>+'CONAP-FUR (REG)-Detail'!AC223</f>
        <v>8433812.7899999991</v>
      </c>
      <c r="AC50" s="40">
        <f t="shared" si="7"/>
        <v>47476126.710000001</v>
      </c>
      <c r="AD50" s="40">
        <f t="shared" si="25"/>
        <v>0</v>
      </c>
      <c r="AE50" s="40">
        <f t="shared" si="26"/>
        <v>39042313.920000002</v>
      </c>
      <c r="AF50" s="40">
        <f t="shared" si="27"/>
        <v>8433812.7899999991</v>
      </c>
      <c r="AG50" s="40">
        <f t="shared" si="28"/>
        <v>47476126.710000001</v>
      </c>
      <c r="AH50" s="40">
        <f t="shared" si="29"/>
        <v>0</v>
      </c>
      <c r="AI50" s="40">
        <f t="shared" si="30"/>
        <v>2443562.4399999976</v>
      </c>
      <c r="AJ50" s="40">
        <f t="shared" si="31"/>
        <v>8312690.870000001</v>
      </c>
      <c r="AK50" s="40">
        <f t="shared" si="32"/>
        <v>10756253.309999999</v>
      </c>
      <c r="AL50" s="600"/>
      <c r="AM50" s="600">
        <f t="shared" si="34"/>
        <v>0.94109893162685987</v>
      </c>
      <c r="AN50" s="600">
        <f t="shared" si="35"/>
        <v>0.50361633456329469</v>
      </c>
      <c r="AO50" s="600">
        <f t="shared" si="36"/>
        <v>0.81528741730450061</v>
      </c>
      <c r="AP50" s="116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</row>
    <row r="51" spans="1:64" s="16" customFormat="1" ht="30">
      <c r="A51" s="904" t="s">
        <v>985</v>
      </c>
      <c r="B51" s="40"/>
      <c r="C51" s="40">
        <f>+'CONAP-FUR (REG)-Detail'!D136</f>
        <v>0</v>
      </c>
      <c r="D51" s="40">
        <f>+'CONAP-FUR (REG)-Detail'!E136</f>
        <v>0</v>
      </c>
      <c r="E51" s="40">
        <f t="shared" si="14"/>
        <v>0</v>
      </c>
      <c r="F51" s="40">
        <f>+'CONAP-FUR (REG)-Detail'!G136</f>
        <v>0</v>
      </c>
      <c r="G51" s="40">
        <f>+'CONAP-FUR (REG)-Detail'!H136</f>
        <v>-2971035.76</v>
      </c>
      <c r="H51" s="40">
        <f>+'CONAP-FUR (REG)-Detail'!I136</f>
        <v>15000000</v>
      </c>
      <c r="I51" s="40">
        <f t="shared" si="15"/>
        <v>12028964.24</v>
      </c>
      <c r="J51" s="40">
        <f>+'CONAP-FUR (REG)-Detail'!K136</f>
        <v>0</v>
      </c>
      <c r="K51" s="40">
        <f>+'CONAP-FUR (REG)-Detail'!L136</f>
        <v>11990816.380000001</v>
      </c>
      <c r="L51" s="40">
        <f>+'CONAP-FUR (REG)-Detail'!M136</f>
        <v>0</v>
      </c>
      <c r="M51" s="40">
        <f t="shared" si="16"/>
        <v>11990816.380000001</v>
      </c>
      <c r="N51" s="40">
        <f t="shared" si="17"/>
        <v>0</v>
      </c>
      <c r="O51" s="40">
        <f t="shared" si="18"/>
        <v>9019780.620000001</v>
      </c>
      <c r="P51" s="40">
        <f t="shared" si="19"/>
        <v>15000000</v>
      </c>
      <c r="Q51" s="40">
        <f t="shared" si="20"/>
        <v>24019780.620000001</v>
      </c>
      <c r="R51" s="40">
        <f t="shared" si="21"/>
        <v>0</v>
      </c>
      <c r="S51" s="40">
        <f t="shared" si="22"/>
        <v>9019780.620000001</v>
      </c>
      <c r="T51" s="40">
        <f t="shared" si="23"/>
        <v>15000000</v>
      </c>
      <c r="U51" s="40">
        <f t="shared" si="24"/>
        <v>24019780.620000001</v>
      </c>
      <c r="V51" s="40">
        <f>+'CONAP-FUR (REG)-Detail'!W136</f>
        <v>0</v>
      </c>
      <c r="W51" s="40">
        <f>+'CONAP-FUR (REG)-Detail'!X136</f>
        <v>0</v>
      </c>
      <c r="X51" s="40">
        <f>+'CONAP-FUR (REG)-Detail'!Y136</f>
        <v>0</v>
      </c>
      <c r="Y51" s="40">
        <f t="shared" si="6"/>
        <v>0</v>
      </c>
      <c r="Z51" s="40">
        <f>+'CONAP-FUR (REG)-Detail'!AA136</f>
        <v>0</v>
      </c>
      <c r="AA51" s="40">
        <f>+'CONAP-FUR (REG)-Detail'!AB136</f>
        <v>9019780.6199999992</v>
      </c>
      <c r="AB51" s="40">
        <f>+'CONAP-FUR (REG)-Detail'!AC136</f>
        <v>12980000</v>
      </c>
      <c r="AC51" s="40">
        <f t="shared" si="7"/>
        <v>21999780.619999997</v>
      </c>
      <c r="AD51" s="40">
        <f t="shared" si="25"/>
        <v>0</v>
      </c>
      <c r="AE51" s="40">
        <f t="shared" si="26"/>
        <v>9019780.6199999992</v>
      </c>
      <c r="AF51" s="40">
        <f t="shared" si="27"/>
        <v>12980000</v>
      </c>
      <c r="AG51" s="40">
        <f t="shared" si="28"/>
        <v>21999780.619999997</v>
      </c>
      <c r="AH51" s="40">
        <f t="shared" si="29"/>
        <v>0</v>
      </c>
      <c r="AI51" s="40">
        <f t="shared" si="30"/>
        <v>0</v>
      </c>
      <c r="AJ51" s="40">
        <f t="shared" si="31"/>
        <v>2020000</v>
      </c>
      <c r="AK51" s="40">
        <f t="shared" si="32"/>
        <v>2020000</v>
      </c>
      <c r="AL51" s="600"/>
      <c r="AM51" s="600">
        <f t="shared" si="34"/>
        <v>0.99999999999999978</v>
      </c>
      <c r="AN51" s="600">
        <f t="shared" si="35"/>
        <v>0.86533333333333329</v>
      </c>
      <c r="AO51" s="600">
        <f t="shared" si="36"/>
        <v>0.91590264574198244</v>
      </c>
      <c r="AP51" s="116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</row>
    <row r="52" spans="1:64" s="16" customFormat="1">
      <c r="A52" s="899" t="s">
        <v>986</v>
      </c>
      <c r="B52" s="40"/>
      <c r="C52" s="40">
        <f>+'CONAP-FUR (REG)-Detail'!D137</f>
        <v>0</v>
      </c>
      <c r="D52" s="40">
        <f>+'CONAP-FUR (REG)-Detail'!E137</f>
        <v>0</v>
      </c>
      <c r="E52" s="40">
        <f t="shared" si="14"/>
        <v>0</v>
      </c>
      <c r="F52" s="40">
        <f>+'CONAP-FUR (REG)-Detail'!G137</f>
        <v>0</v>
      </c>
      <c r="G52" s="40">
        <f>+'CONAP-FUR (REG)-Detail'!H137</f>
        <v>-157500</v>
      </c>
      <c r="H52" s="40">
        <f>+'CONAP-FUR (REG)-Detail'!I137</f>
        <v>0</v>
      </c>
      <c r="I52" s="40">
        <f t="shared" si="15"/>
        <v>-157500</v>
      </c>
      <c r="J52" s="40">
        <f>+'CONAP-FUR (REG)-Detail'!K137</f>
        <v>0</v>
      </c>
      <c r="K52" s="40">
        <f>+'CONAP-FUR (REG)-Detail'!L137</f>
        <v>1868989.73</v>
      </c>
      <c r="L52" s="40">
        <f>+'CONAP-FUR (REG)-Detail'!M137</f>
        <v>0</v>
      </c>
      <c r="M52" s="40">
        <f t="shared" si="16"/>
        <v>1868989.73</v>
      </c>
      <c r="N52" s="40">
        <f t="shared" si="17"/>
        <v>0</v>
      </c>
      <c r="O52" s="40">
        <f t="shared" si="18"/>
        <v>1711489.73</v>
      </c>
      <c r="P52" s="40">
        <f t="shared" si="19"/>
        <v>0</v>
      </c>
      <c r="Q52" s="40">
        <f t="shared" si="20"/>
        <v>1711489.73</v>
      </c>
      <c r="R52" s="40">
        <f t="shared" si="21"/>
        <v>0</v>
      </c>
      <c r="S52" s="40">
        <f t="shared" si="22"/>
        <v>1711489.73</v>
      </c>
      <c r="T52" s="40">
        <f t="shared" si="23"/>
        <v>0</v>
      </c>
      <c r="U52" s="40">
        <f t="shared" si="24"/>
        <v>1711489.73</v>
      </c>
      <c r="V52" s="40">
        <f>+'CONAP-FUR (REG)-Detail'!W137</f>
        <v>0</v>
      </c>
      <c r="W52" s="40">
        <f>+'CONAP-FUR (REG)-Detail'!X137</f>
        <v>0</v>
      </c>
      <c r="X52" s="40">
        <f>+'CONAP-FUR (REG)-Detail'!Y137</f>
        <v>0</v>
      </c>
      <c r="Y52" s="40">
        <f t="shared" si="6"/>
        <v>0</v>
      </c>
      <c r="Z52" s="40">
        <f>+'CONAP-FUR (REG)-Detail'!AA137</f>
        <v>0</v>
      </c>
      <c r="AA52" s="40">
        <f>+'CONAP-FUR (REG)-Detail'!AB137</f>
        <v>980991.14000000013</v>
      </c>
      <c r="AB52" s="40">
        <f>+'CONAP-FUR (REG)-Detail'!AC137</f>
        <v>0</v>
      </c>
      <c r="AC52" s="40">
        <f t="shared" si="7"/>
        <v>980991.14000000013</v>
      </c>
      <c r="AD52" s="40">
        <f t="shared" si="25"/>
        <v>0</v>
      </c>
      <c r="AE52" s="40">
        <f t="shared" si="26"/>
        <v>980991.14000000013</v>
      </c>
      <c r="AF52" s="40">
        <f t="shared" si="27"/>
        <v>0</v>
      </c>
      <c r="AG52" s="40">
        <f t="shared" si="28"/>
        <v>980991.14000000013</v>
      </c>
      <c r="AH52" s="40">
        <f t="shared" si="29"/>
        <v>0</v>
      </c>
      <c r="AI52" s="40">
        <f t="shared" si="30"/>
        <v>730498.58999999985</v>
      </c>
      <c r="AJ52" s="40">
        <f t="shared" si="31"/>
        <v>0</v>
      </c>
      <c r="AK52" s="40">
        <f t="shared" si="32"/>
        <v>730498.58999999985</v>
      </c>
      <c r="AL52" s="600"/>
      <c r="AM52" s="600">
        <f t="shared" si="34"/>
        <v>0.5731796824746358</v>
      </c>
      <c r="AN52" s="600" t="str">
        <f t="shared" si="35"/>
        <v xml:space="preserve"> </v>
      </c>
      <c r="AO52" s="600">
        <f t="shared" si="36"/>
        <v>0.5731796824746358</v>
      </c>
      <c r="AP52" s="116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</row>
    <row r="53" spans="1:64" s="16" customFormat="1">
      <c r="A53" s="899" t="s">
        <v>987</v>
      </c>
      <c r="B53" s="40"/>
      <c r="C53" s="40">
        <f>+'CONAP-FUR (REG)-Detail'!D138</f>
        <v>250000</v>
      </c>
      <c r="D53" s="40">
        <f>+'CONAP-FUR (REG)-Detail'!E138</f>
        <v>0</v>
      </c>
      <c r="E53" s="40">
        <f t="shared" si="14"/>
        <v>250000</v>
      </c>
      <c r="F53" s="40">
        <f>+'CONAP-FUR (REG)-Detail'!G138</f>
        <v>0</v>
      </c>
      <c r="G53" s="40">
        <f>+'CONAP-FUR (REG)-Detail'!H138</f>
        <v>-266034.99</v>
      </c>
      <c r="H53" s="40">
        <f>+'CONAP-FUR (REG)-Detail'!I138</f>
        <v>0</v>
      </c>
      <c r="I53" s="40">
        <f t="shared" si="15"/>
        <v>-266034.99</v>
      </c>
      <c r="J53" s="40">
        <f>+'CONAP-FUR (REG)-Detail'!K138</f>
        <v>0</v>
      </c>
      <c r="K53" s="40">
        <f>+'CONAP-FUR (REG)-Detail'!L138</f>
        <v>3708004</v>
      </c>
      <c r="L53" s="40">
        <f>+'CONAP-FUR (REG)-Detail'!M138</f>
        <v>0</v>
      </c>
      <c r="M53" s="40">
        <f t="shared" si="16"/>
        <v>3708004</v>
      </c>
      <c r="N53" s="40">
        <f t="shared" si="17"/>
        <v>0</v>
      </c>
      <c r="O53" s="40">
        <f t="shared" si="18"/>
        <v>3441969.01</v>
      </c>
      <c r="P53" s="40">
        <f t="shared" si="19"/>
        <v>0</v>
      </c>
      <c r="Q53" s="40">
        <f t="shared" si="20"/>
        <v>3441969.01</v>
      </c>
      <c r="R53" s="40">
        <f t="shared" si="21"/>
        <v>0</v>
      </c>
      <c r="S53" s="40">
        <f t="shared" si="22"/>
        <v>3691969.01</v>
      </c>
      <c r="T53" s="40">
        <f t="shared" si="23"/>
        <v>0</v>
      </c>
      <c r="U53" s="40">
        <f t="shared" si="24"/>
        <v>3691969.01</v>
      </c>
      <c r="V53" s="40">
        <f>+'CONAP-FUR (REG)-Detail'!W138</f>
        <v>0</v>
      </c>
      <c r="W53" s="40">
        <f>+'CONAP-FUR (REG)-Detail'!X138</f>
        <v>250000</v>
      </c>
      <c r="X53" s="40">
        <f>+'CONAP-FUR (REG)-Detail'!Y138</f>
        <v>0</v>
      </c>
      <c r="Y53" s="40">
        <f t="shared" si="6"/>
        <v>250000</v>
      </c>
      <c r="Z53" s="40">
        <f>+'CONAP-FUR (REG)-Detail'!AA138</f>
        <v>0</v>
      </c>
      <c r="AA53" s="40">
        <f>+'CONAP-FUR (REG)-Detail'!AB138</f>
        <v>3441969.01</v>
      </c>
      <c r="AB53" s="40">
        <f>+'CONAP-FUR (REG)-Detail'!AC138</f>
        <v>0</v>
      </c>
      <c r="AC53" s="40">
        <f t="shared" si="7"/>
        <v>3441969.01</v>
      </c>
      <c r="AD53" s="40">
        <f t="shared" si="25"/>
        <v>0</v>
      </c>
      <c r="AE53" s="40">
        <f t="shared" si="26"/>
        <v>3691969.01</v>
      </c>
      <c r="AF53" s="40">
        <f t="shared" si="27"/>
        <v>0</v>
      </c>
      <c r="AG53" s="40">
        <f t="shared" si="28"/>
        <v>3691969.01</v>
      </c>
      <c r="AH53" s="40">
        <f t="shared" si="29"/>
        <v>0</v>
      </c>
      <c r="AI53" s="40">
        <f t="shared" si="30"/>
        <v>0</v>
      </c>
      <c r="AJ53" s="40">
        <f t="shared" si="31"/>
        <v>0</v>
      </c>
      <c r="AK53" s="40">
        <f t="shared" si="32"/>
        <v>0</v>
      </c>
      <c r="AL53" s="600"/>
      <c r="AM53" s="600">
        <f t="shared" si="34"/>
        <v>1</v>
      </c>
      <c r="AN53" s="600" t="str">
        <f t="shared" si="35"/>
        <v xml:space="preserve"> </v>
      </c>
      <c r="AO53" s="600">
        <f t="shared" si="36"/>
        <v>1</v>
      </c>
      <c r="AP53" s="116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</row>
    <row r="54" spans="1:64" s="16" customFormat="1">
      <c r="A54" s="592"/>
      <c r="B54" s="40"/>
      <c r="C54" s="40"/>
      <c r="D54" s="40"/>
      <c r="E54" s="579">
        <f t="shared" si="14"/>
        <v>0</v>
      </c>
      <c r="F54" s="40"/>
      <c r="G54" s="40"/>
      <c r="H54" s="40"/>
      <c r="I54" s="579">
        <f t="shared" si="15"/>
        <v>0</v>
      </c>
      <c r="J54" s="40"/>
      <c r="K54" s="40"/>
      <c r="L54" s="40"/>
      <c r="M54" s="579">
        <f t="shared" si="16"/>
        <v>0</v>
      </c>
      <c r="N54" s="40">
        <f t="shared" si="17"/>
        <v>0</v>
      </c>
      <c r="O54" s="40">
        <f t="shared" si="18"/>
        <v>0</v>
      </c>
      <c r="P54" s="40">
        <f t="shared" si="19"/>
        <v>0</v>
      </c>
      <c r="Q54" s="579">
        <f t="shared" si="20"/>
        <v>0</v>
      </c>
      <c r="R54" s="40">
        <f t="shared" si="21"/>
        <v>0</v>
      </c>
      <c r="S54" s="40">
        <f t="shared" si="22"/>
        <v>0</v>
      </c>
      <c r="T54" s="40">
        <f t="shared" si="23"/>
        <v>0</v>
      </c>
      <c r="U54" s="579">
        <f t="shared" si="24"/>
        <v>0</v>
      </c>
      <c r="V54" s="40"/>
      <c r="W54" s="40"/>
      <c r="X54" s="40"/>
      <c r="Y54" s="579">
        <f t="shared" si="6"/>
        <v>0</v>
      </c>
      <c r="Z54" s="40"/>
      <c r="AA54" s="40"/>
      <c r="AB54" s="40"/>
      <c r="AC54" s="579">
        <f t="shared" si="7"/>
        <v>0</v>
      </c>
      <c r="AD54" s="40">
        <f t="shared" si="25"/>
        <v>0</v>
      </c>
      <c r="AE54" s="40">
        <f t="shared" si="26"/>
        <v>0</v>
      </c>
      <c r="AF54" s="40">
        <f t="shared" si="27"/>
        <v>0</v>
      </c>
      <c r="AG54" s="579">
        <f t="shared" si="28"/>
        <v>0</v>
      </c>
      <c r="AH54" s="579">
        <f t="shared" si="29"/>
        <v>0</v>
      </c>
      <c r="AI54" s="40">
        <f t="shared" si="30"/>
        <v>0</v>
      </c>
      <c r="AJ54" s="40">
        <f t="shared" si="31"/>
        <v>0</v>
      </c>
      <c r="AK54" s="579">
        <f t="shared" si="32"/>
        <v>0</v>
      </c>
      <c r="AL54" s="600"/>
      <c r="AM54" s="600" t="str">
        <f t="shared" si="34"/>
        <v xml:space="preserve"> </v>
      </c>
      <c r="AN54" s="600" t="str">
        <f t="shared" si="35"/>
        <v xml:space="preserve"> </v>
      </c>
      <c r="AO54" s="600" t="str">
        <f t="shared" si="36"/>
        <v xml:space="preserve"> </v>
      </c>
      <c r="AP54" s="116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</row>
    <row r="55" spans="1:64" s="1159" customFormat="1" ht="16.5">
      <c r="A55" s="1146" t="s">
        <v>440</v>
      </c>
      <c r="B55" s="1155">
        <f>SUM(B56:B76)</f>
        <v>0</v>
      </c>
      <c r="C55" s="1155">
        <f>+C56+C63+C69+C76</f>
        <v>12202447.789999999</v>
      </c>
      <c r="D55" s="1155">
        <f t="shared" ref="D55:AK55" si="45">+D56+D63+D69+D76</f>
        <v>1237960</v>
      </c>
      <c r="E55" s="1155">
        <f t="shared" si="45"/>
        <v>13440407.790000001</v>
      </c>
      <c r="F55" s="1155">
        <f t="shared" si="45"/>
        <v>0</v>
      </c>
      <c r="G55" s="1155">
        <f t="shared" si="45"/>
        <v>-23411517.109999999</v>
      </c>
      <c r="H55" s="1155">
        <f t="shared" si="45"/>
        <v>39159900</v>
      </c>
      <c r="I55" s="1155">
        <f t="shared" si="45"/>
        <v>15748382.890000001</v>
      </c>
      <c r="J55" s="1155">
        <f t="shared" si="45"/>
        <v>0</v>
      </c>
      <c r="K55" s="1155">
        <f t="shared" si="45"/>
        <v>121976430.42999998</v>
      </c>
      <c r="L55" s="1155">
        <f t="shared" si="45"/>
        <v>248194531.64000002</v>
      </c>
      <c r="M55" s="1155">
        <f t="shared" si="45"/>
        <v>370170962.06999999</v>
      </c>
      <c r="N55" s="1155">
        <f t="shared" si="45"/>
        <v>0</v>
      </c>
      <c r="O55" s="1155">
        <f t="shared" si="45"/>
        <v>98564913.319999978</v>
      </c>
      <c r="P55" s="1155">
        <f t="shared" si="45"/>
        <v>287354431.63999999</v>
      </c>
      <c r="Q55" s="1155">
        <f t="shared" si="45"/>
        <v>385919344.95999998</v>
      </c>
      <c r="R55" s="1155">
        <f t="shared" si="45"/>
        <v>0</v>
      </c>
      <c r="S55" s="1155">
        <f t="shared" si="45"/>
        <v>110767361.10999997</v>
      </c>
      <c r="T55" s="1155">
        <f t="shared" si="45"/>
        <v>288592391.63999999</v>
      </c>
      <c r="U55" s="1155">
        <f t="shared" si="45"/>
        <v>399359752.75</v>
      </c>
      <c r="V55" s="1155">
        <f t="shared" si="45"/>
        <v>0</v>
      </c>
      <c r="W55" s="1155">
        <f t="shared" si="45"/>
        <v>11904747.130000001</v>
      </c>
      <c r="X55" s="1155">
        <f t="shared" si="45"/>
        <v>1188000.03</v>
      </c>
      <c r="Y55" s="1155">
        <f t="shared" si="45"/>
        <v>13092747.16</v>
      </c>
      <c r="Z55" s="1155">
        <f t="shared" si="45"/>
        <v>0</v>
      </c>
      <c r="AA55" s="1155">
        <f t="shared" si="45"/>
        <v>71000370.450000003</v>
      </c>
      <c r="AB55" s="1155">
        <f t="shared" si="45"/>
        <v>225804014.96999997</v>
      </c>
      <c r="AC55" s="1155">
        <f t="shared" si="45"/>
        <v>296804385.42000002</v>
      </c>
      <c r="AD55" s="1155">
        <f t="shared" si="45"/>
        <v>0</v>
      </c>
      <c r="AE55" s="1155">
        <f t="shared" si="45"/>
        <v>82905117.579999998</v>
      </c>
      <c r="AF55" s="1155">
        <f t="shared" si="45"/>
        <v>226992015</v>
      </c>
      <c r="AG55" s="1155">
        <f t="shared" si="45"/>
        <v>309897132.57999998</v>
      </c>
      <c r="AH55" s="1155">
        <f t="shared" si="45"/>
        <v>0</v>
      </c>
      <c r="AI55" s="1155">
        <f t="shared" si="45"/>
        <v>27862243.529999983</v>
      </c>
      <c r="AJ55" s="1155">
        <f t="shared" si="45"/>
        <v>61600376.640000015</v>
      </c>
      <c r="AK55" s="1155">
        <f t="shared" si="45"/>
        <v>89462620.169999987</v>
      </c>
      <c r="AL55" s="1157" t="str">
        <f t="shared" si="33"/>
        <v xml:space="preserve"> </v>
      </c>
      <c r="AM55" s="1157">
        <f t="shared" si="34"/>
        <v>0.7484616113375604</v>
      </c>
      <c r="AN55" s="1157">
        <f t="shared" si="35"/>
        <v>0.78654885428565835</v>
      </c>
      <c r="AO55" s="1157">
        <f t="shared" si="36"/>
        <v>0.77598488692473777</v>
      </c>
      <c r="AP55" s="1169"/>
      <c r="AQ55" s="1158"/>
      <c r="AR55" s="1158"/>
      <c r="AS55" s="1158"/>
      <c r="AT55" s="1158"/>
      <c r="AU55" s="1158"/>
      <c r="AV55" s="1158"/>
      <c r="AW55" s="1158"/>
      <c r="AX55" s="1158"/>
      <c r="AY55" s="1158"/>
      <c r="AZ55" s="1158"/>
      <c r="BA55" s="1158"/>
      <c r="BB55" s="1158"/>
      <c r="BC55" s="1158"/>
      <c r="BD55" s="1158"/>
      <c r="BE55" s="1158"/>
      <c r="BF55" s="1158"/>
      <c r="BG55" s="1158"/>
      <c r="BH55" s="1158"/>
      <c r="BI55" s="1158"/>
      <c r="BJ55" s="1158"/>
      <c r="BK55" s="1158"/>
      <c r="BL55" s="1158"/>
    </row>
    <row r="56" spans="1:64" s="609" customFormat="1" ht="16.5">
      <c r="A56" s="1153" t="s">
        <v>115</v>
      </c>
      <c r="B56" s="1161">
        <f>+'CONAP-FUR (REG)-Detail'!C198+'CONAP-FUR (REG)-Detail'!C109</f>
        <v>0</v>
      </c>
      <c r="C56" s="1161">
        <f>SUM(C57:C61)</f>
        <v>229891.40000000002</v>
      </c>
      <c r="D56" s="1161">
        <f t="shared" ref="D56:AK56" si="46">SUM(D57:D61)</f>
        <v>1237960</v>
      </c>
      <c r="E56" s="1161">
        <f t="shared" si="46"/>
        <v>1467851.4000000001</v>
      </c>
      <c r="F56" s="1161">
        <f t="shared" si="46"/>
        <v>0</v>
      </c>
      <c r="G56" s="1161">
        <f t="shared" si="46"/>
        <v>-2174467.6500000004</v>
      </c>
      <c r="H56" s="1161">
        <f t="shared" si="46"/>
        <v>11498400</v>
      </c>
      <c r="I56" s="1161">
        <f t="shared" si="46"/>
        <v>9323932.3499999996</v>
      </c>
      <c r="J56" s="1161">
        <f t="shared" si="46"/>
        <v>0</v>
      </c>
      <c r="K56" s="1161">
        <f t="shared" si="46"/>
        <v>9978574.569999991</v>
      </c>
      <c r="L56" s="1161">
        <f t="shared" si="46"/>
        <v>140564542.78</v>
      </c>
      <c r="M56" s="1161">
        <f t="shared" si="46"/>
        <v>150543117.34999999</v>
      </c>
      <c r="N56" s="1161">
        <f t="shared" si="46"/>
        <v>0</v>
      </c>
      <c r="O56" s="1161">
        <f t="shared" si="46"/>
        <v>7804106.9199999915</v>
      </c>
      <c r="P56" s="1161">
        <f t="shared" si="46"/>
        <v>152062942.78</v>
      </c>
      <c r="Q56" s="1161">
        <f t="shared" si="46"/>
        <v>159867049.69999999</v>
      </c>
      <c r="R56" s="1161">
        <f t="shared" si="46"/>
        <v>0</v>
      </c>
      <c r="S56" s="1161">
        <f t="shared" si="46"/>
        <v>8033998.3199999919</v>
      </c>
      <c r="T56" s="1161">
        <f t="shared" si="46"/>
        <v>153300902.78</v>
      </c>
      <c r="U56" s="1161">
        <f t="shared" si="46"/>
        <v>161334901.09999999</v>
      </c>
      <c r="V56" s="1161">
        <f t="shared" si="46"/>
        <v>0</v>
      </c>
      <c r="W56" s="1161">
        <f t="shared" si="46"/>
        <v>229891.40000000002</v>
      </c>
      <c r="X56" s="1161">
        <f t="shared" si="46"/>
        <v>1188000.03</v>
      </c>
      <c r="Y56" s="1161">
        <f t="shared" si="46"/>
        <v>1417891.4300000002</v>
      </c>
      <c r="Z56" s="1161">
        <f t="shared" si="46"/>
        <v>0</v>
      </c>
      <c r="AA56" s="1161">
        <f t="shared" si="46"/>
        <v>7556806.3700000001</v>
      </c>
      <c r="AB56" s="1161">
        <f t="shared" si="46"/>
        <v>123544037.11</v>
      </c>
      <c r="AC56" s="1161">
        <f t="shared" si="46"/>
        <v>131100843.48</v>
      </c>
      <c r="AD56" s="1161">
        <f t="shared" si="46"/>
        <v>0</v>
      </c>
      <c r="AE56" s="1161">
        <f t="shared" si="46"/>
        <v>7786697.7700000005</v>
      </c>
      <c r="AF56" s="1161">
        <f t="shared" si="46"/>
        <v>124732037.14</v>
      </c>
      <c r="AG56" s="1161">
        <f t="shared" si="46"/>
        <v>132518734.91</v>
      </c>
      <c r="AH56" s="1161">
        <f t="shared" si="46"/>
        <v>0</v>
      </c>
      <c r="AI56" s="1161">
        <f t="shared" si="46"/>
        <v>247300.54999999143</v>
      </c>
      <c r="AJ56" s="1161">
        <f t="shared" si="46"/>
        <v>28568865.640000001</v>
      </c>
      <c r="AK56" s="1161">
        <f t="shared" si="46"/>
        <v>28816166.18999999</v>
      </c>
      <c r="AL56" s="608" t="str">
        <f t="shared" si="33"/>
        <v xml:space="preserve"> </v>
      </c>
      <c r="AM56" s="608">
        <f t="shared" si="34"/>
        <v>0.96921824723508387</v>
      </c>
      <c r="AN56" s="608">
        <f t="shared" si="35"/>
        <v>0.81364189563189471</v>
      </c>
      <c r="AO56" s="608">
        <f t="shared" si="36"/>
        <v>0.82138913531090885</v>
      </c>
      <c r="AP56" s="1171">
        <f>+AK56-'CONAP (ALL FUNDS)'!Q165</f>
        <v>0</v>
      </c>
    </row>
    <row r="57" spans="1:64" s="16" customFormat="1">
      <c r="A57" s="899" t="s">
        <v>988</v>
      </c>
      <c r="B57" s="40"/>
      <c r="C57" s="40">
        <f>+'CONAP-FUR (REG)-Detail'!D198</f>
        <v>226908.83000000002</v>
      </c>
      <c r="D57" s="40">
        <f>+'CONAP-FUR (REG)-Detail'!E198</f>
        <v>1237960</v>
      </c>
      <c r="E57" s="40">
        <f t="shared" si="14"/>
        <v>1464868.83</v>
      </c>
      <c r="F57" s="40">
        <f>+'CONAP-FUR (REG)-Detail'!G198</f>
        <v>0</v>
      </c>
      <c r="G57" s="40">
        <f>+'CONAP-FUR (REG)-Detail'!H198</f>
        <v>-1586949.1200000001</v>
      </c>
      <c r="H57" s="40">
        <f>+'CONAP-FUR (REG)-Detail'!I198</f>
        <v>11498400</v>
      </c>
      <c r="I57" s="40">
        <f t="shared" si="15"/>
        <v>9911450.879999999</v>
      </c>
      <c r="J57" s="40">
        <f>+'CONAP-FUR (REG)-Detail'!K198</f>
        <v>0</v>
      </c>
      <c r="K57" s="40">
        <f>+'CONAP-FUR (REG)-Detail'!L198</f>
        <v>9391056.0399999917</v>
      </c>
      <c r="L57" s="40">
        <f>+'CONAP-FUR (REG)-Detail'!M198</f>
        <v>140564542.78</v>
      </c>
      <c r="M57" s="40">
        <f t="shared" si="16"/>
        <v>149955598.81999999</v>
      </c>
      <c r="N57" s="40">
        <f t="shared" si="17"/>
        <v>0</v>
      </c>
      <c r="O57" s="40">
        <f t="shared" si="18"/>
        <v>7804106.9199999915</v>
      </c>
      <c r="P57" s="40">
        <f t="shared" si="19"/>
        <v>152062942.78</v>
      </c>
      <c r="Q57" s="40">
        <f t="shared" si="20"/>
        <v>159867049.69999999</v>
      </c>
      <c r="R57" s="40">
        <f t="shared" si="21"/>
        <v>0</v>
      </c>
      <c r="S57" s="40">
        <f t="shared" si="22"/>
        <v>8031015.7499999916</v>
      </c>
      <c r="T57" s="40">
        <f t="shared" si="23"/>
        <v>153300902.78</v>
      </c>
      <c r="U57" s="40">
        <f t="shared" si="24"/>
        <v>161331918.53</v>
      </c>
      <c r="V57" s="40">
        <f>+'CONAP-FUR (REG)-Detail'!W198</f>
        <v>0</v>
      </c>
      <c r="W57" s="40">
        <f>+'CONAP-FUR (REG)-Detail'!X198</f>
        <v>226908.83000000002</v>
      </c>
      <c r="X57" s="40">
        <f>+'CONAP-FUR (REG)-Detail'!Y198</f>
        <v>1188000.03</v>
      </c>
      <c r="Y57" s="40">
        <f t="shared" si="6"/>
        <v>1414908.86</v>
      </c>
      <c r="Z57" s="40">
        <f>+'CONAP-FUR (REG)-Detail'!AA198</f>
        <v>0</v>
      </c>
      <c r="AA57" s="40">
        <f>+'CONAP-FUR (REG)-Detail'!AB198</f>
        <v>7556806.3700000001</v>
      </c>
      <c r="AB57" s="40">
        <f>+'CONAP-FUR (REG)-Detail'!AC198</f>
        <v>123544037.11</v>
      </c>
      <c r="AC57" s="40">
        <f t="shared" si="7"/>
        <v>131100843.48</v>
      </c>
      <c r="AD57" s="40">
        <f t="shared" si="25"/>
        <v>0</v>
      </c>
      <c r="AE57" s="40">
        <f t="shared" si="26"/>
        <v>7783715.2000000002</v>
      </c>
      <c r="AF57" s="40">
        <f t="shared" si="27"/>
        <v>124732037.14</v>
      </c>
      <c r="AG57" s="40">
        <f t="shared" si="28"/>
        <v>132515752.34</v>
      </c>
      <c r="AH57" s="40">
        <f t="shared" si="29"/>
        <v>0</v>
      </c>
      <c r="AI57" s="40">
        <f t="shared" si="30"/>
        <v>247300.54999999143</v>
      </c>
      <c r="AJ57" s="40">
        <f t="shared" si="31"/>
        <v>28568865.640000001</v>
      </c>
      <c r="AK57" s="40">
        <f t="shared" si="32"/>
        <v>28816166.18999999</v>
      </c>
      <c r="AL57" s="600"/>
      <c r="AM57" s="600">
        <f t="shared" si="34"/>
        <v>0.96920681546415943</v>
      </c>
      <c r="AN57" s="600">
        <f t="shared" si="35"/>
        <v>0.81364189563189471</v>
      </c>
      <c r="AO57" s="600">
        <f t="shared" si="36"/>
        <v>0.82138583330215853</v>
      </c>
      <c r="AP57" s="189"/>
    </row>
    <row r="58" spans="1:64" s="16" customFormat="1">
      <c r="A58" s="899" t="s">
        <v>989</v>
      </c>
      <c r="B58" s="40"/>
      <c r="C58" s="40">
        <f>+'CONAP-FUR (REG)-Detail'!D110</f>
        <v>0</v>
      </c>
      <c r="D58" s="40">
        <f>+'CONAP-FUR (REG)-Detail'!E110</f>
        <v>0</v>
      </c>
      <c r="E58" s="40">
        <f t="shared" si="14"/>
        <v>0</v>
      </c>
      <c r="F58" s="40">
        <f>+'CONAP-FUR (REG)-Detail'!G110</f>
        <v>0</v>
      </c>
      <c r="G58" s="40">
        <f>+'CONAP-FUR (REG)-Detail'!H110</f>
        <v>0</v>
      </c>
      <c r="H58" s="40">
        <f>+'CONAP-FUR (REG)-Detail'!I110</f>
        <v>0</v>
      </c>
      <c r="I58" s="40">
        <f t="shared" si="15"/>
        <v>0</v>
      </c>
      <c r="J58" s="40">
        <f>+'CONAP-FUR (REG)-Detail'!K110</f>
        <v>0</v>
      </c>
      <c r="K58" s="40">
        <f>+'CONAP-FUR (REG)-Detail'!L110</f>
        <v>0</v>
      </c>
      <c r="L58" s="40">
        <f>+'CONAP-FUR (REG)-Detail'!M110</f>
        <v>0</v>
      </c>
      <c r="M58" s="40">
        <f t="shared" si="16"/>
        <v>0</v>
      </c>
      <c r="N58" s="40">
        <f t="shared" si="17"/>
        <v>0</v>
      </c>
      <c r="O58" s="40">
        <f t="shared" si="18"/>
        <v>0</v>
      </c>
      <c r="P58" s="40">
        <f t="shared" si="19"/>
        <v>0</v>
      </c>
      <c r="Q58" s="40">
        <f t="shared" si="20"/>
        <v>0</v>
      </c>
      <c r="R58" s="40">
        <f t="shared" si="21"/>
        <v>0</v>
      </c>
      <c r="S58" s="40">
        <f t="shared" si="22"/>
        <v>0</v>
      </c>
      <c r="T58" s="40">
        <f t="shared" si="23"/>
        <v>0</v>
      </c>
      <c r="U58" s="40">
        <f t="shared" si="24"/>
        <v>0</v>
      </c>
      <c r="V58" s="40">
        <f>+'CONAP-FUR (REG)-Detail'!W110</f>
        <v>0</v>
      </c>
      <c r="W58" s="40">
        <f>+'CONAP-FUR (REG)-Detail'!X110</f>
        <v>0</v>
      </c>
      <c r="X58" s="40">
        <f>+'CONAP-FUR (REG)-Detail'!Y110</f>
        <v>0</v>
      </c>
      <c r="Y58" s="40">
        <f t="shared" si="6"/>
        <v>0</v>
      </c>
      <c r="Z58" s="40">
        <f>+'CONAP-FUR (REG)-Detail'!AA110</f>
        <v>0</v>
      </c>
      <c r="AA58" s="40">
        <f>+'CONAP-FUR (REG)-Detail'!AB110</f>
        <v>0</v>
      </c>
      <c r="AB58" s="40">
        <f>+'CONAP-FUR (REG)-Detail'!AC110</f>
        <v>0</v>
      </c>
      <c r="AC58" s="40">
        <f t="shared" si="7"/>
        <v>0</v>
      </c>
      <c r="AD58" s="40">
        <f t="shared" si="25"/>
        <v>0</v>
      </c>
      <c r="AE58" s="40">
        <f t="shared" si="26"/>
        <v>0</v>
      </c>
      <c r="AF58" s="40">
        <f t="shared" si="27"/>
        <v>0</v>
      </c>
      <c r="AG58" s="40">
        <f t="shared" si="28"/>
        <v>0</v>
      </c>
      <c r="AH58" s="40">
        <f t="shared" si="29"/>
        <v>0</v>
      </c>
      <c r="AI58" s="40">
        <f t="shared" si="30"/>
        <v>0</v>
      </c>
      <c r="AJ58" s="40">
        <f t="shared" si="31"/>
        <v>0</v>
      </c>
      <c r="AK58" s="40">
        <f t="shared" si="32"/>
        <v>0</v>
      </c>
      <c r="AL58" s="600"/>
      <c r="AM58" s="600" t="str">
        <f t="shared" si="34"/>
        <v xml:space="preserve"> </v>
      </c>
      <c r="AN58" s="600" t="str">
        <f t="shared" si="35"/>
        <v xml:space="preserve"> </v>
      </c>
      <c r="AO58" s="600" t="str">
        <f t="shared" si="36"/>
        <v xml:space="preserve"> </v>
      </c>
      <c r="AP58" s="189"/>
    </row>
    <row r="59" spans="1:64" s="16" customFormat="1">
      <c r="A59" s="899" t="s">
        <v>990</v>
      </c>
      <c r="B59" s="40"/>
      <c r="C59" s="40">
        <f>+'CONAP-FUR (REG)-Detail'!D111</f>
        <v>0</v>
      </c>
      <c r="D59" s="40">
        <f>+'CONAP-FUR (REG)-Detail'!E111</f>
        <v>0</v>
      </c>
      <c r="E59" s="40">
        <f t="shared" si="14"/>
        <v>0</v>
      </c>
      <c r="F59" s="40">
        <f>+'CONAP-FUR (REG)-Detail'!G111</f>
        <v>0</v>
      </c>
      <c r="G59" s="40">
        <f>+'CONAP-FUR (REG)-Detail'!H111</f>
        <v>0</v>
      </c>
      <c r="H59" s="40">
        <f>+'CONAP-FUR (REG)-Detail'!I111</f>
        <v>0</v>
      </c>
      <c r="I59" s="40">
        <f t="shared" si="15"/>
        <v>0</v>
      </c>
      <c r="J59" s="40">
        <f>+'CONAP-FUR (REG)-Detail'!K111</f>
        <v>0</v>
      </c>
      <c r="K59" s="40">
        <f>+'CONAP-FUR (REG)-Detail'!L111</f>
        <v>0</v>
      </c>
      <c r="L59" s="40">
        <f>+'CONAP-FUR (REG)-Detail'!M111</f>
        <v>0</v>
      </c>
      <c r="M59" s="40">
        <f t="shared" si="16"/>
        <v>0</v>
      </c>
      <c r="N59" s="40">
        <f t="shared" si="17"/>
        <v>0</v>
      </c>
      <c r="O59" s="40">
        <f t="shared" si="18"/>
        <v>0</v>
      </c>
      <c r="P59" s="40">
        <f t="shared" si="19"/>
        <v>0</v>
      </c>
      <c r="Q59" s="40">
        <f t="shared" si="20"/>
        <v>0</v>
      </c>
      <c r="R59" s="40">
        <f t="shared" si="21"/>
        <v>0</v>
      </c>
      <c r="S59" s="40">
        <f t="shared" si="22"/>
        <v>0</v>
      </c>
      <c r="T59" s="40">
        <f t="shared" si="23"/>
        <v>0</v>
      </c>
      <c r="U59" s="40">
        <f t="shared" si="24"/>
        <v>0</v>
      </c>
      <c r="V59" s="40">
        <f>+'CONAP-FUR (REG)-Detail'!W111</f>
        <v>0</v>
      </c>
      <c r="W59" s="40">
        <f>+'CONAP-FUR (REG)-Detail'!X111</f>
        <v>0</v>
      </c>
      <c r="X59" s="40">
        <f>+'CONAP-FUR (REG)-Detail'!Y111</f>
        <v>0</v>
      </c>
      <c r="Y59" s="40">
        <f t="shared" si="6"/>
        <v>0</v>
      </c>
      <c r="Z59" s="40">
        <f>+'CONAP-FUR (REG)-Detail'!AA111</f>
        <v>0</v>
      </c>
      <c r="AA59" s="40">
        <f>+'CONAP-FUR (REG)-Detail'!AB111</f>
        <v>0</v>
      </c>
      <c r="AB59" s="40">
        <f>+'CONAP-FUR (REG)-Detail'!AC111</f>
        <v>0</v>
      </c>
      <c r="AC59" s="40">
        <f t="shared" si="7"/>
        <v>0</v>
      </c>
      <c r="AD59" s="40">
        <f t="shared" si="25"/>
        <v>0</v>
      </c>
      <c r="AE59" s="40">
        <f t="shared" si="26"/>
        <v>0</v>
      </c>
      <c r="AF59" s="40">
        <f t="shared" si="27"/>
        <v>0</v>
      </c>
      <c r="AG59" s="40">
        <f t="shared" si="28"/>
        <v>0</v>
      </c>
      <c r="AH59" s="40">
        <f t="shared" si="29"/>
        <v>0</v>
      </c>
      <c r="AI59" s="40">
        <f t="shared" si="30"/>
        <v>0</v>
      </c>
      <c r="AJ59" s="40">
        <f t="shared" si="31"/>
        <v>0</v>
      </c>
      <c r="AK59" s="40">
        <f t="shared" si="32"/>
        <v>0</v>
      </c>
      <c r="AL59" s="600"/>
      <c r="AM59" s="600" t="str">
        <f t="shared" si="34"/>
        <v xml:space="preserve"> </v>
      </c>
      <c r="AN59" s="600" t="str">
        <f t="shared" si="35"/>
        <v xml:space="preserve"> </v>
      </c>
      <c r="AO59" s="600" t="str">
        <f t="shared" si="36"/>
        <v xml:space="preserve"> </v>
      </c>
      <c r="AP59" s="189"/>
    </row>
    <row r="60" spans="1:64" s="16" customFormat="1">
      <c r="A60" s="899" t="s">
        <v>991</v>
      </c>
      <c r="B60" s="40"/>
      <c r="C60" s="40">
        <f>+'CONAP-FUR (REG)-Detail'!D112</f>
        <v>2982.57</v>
      </c>
      <c r="D60" s="40">
        <f>+'CONAP-FUR (REG)-Detail'!E112</f>
        <v>0</v>
      </c>
      <c r="E60" s="40">
        <f t="shared" si="14"/>
        <v>2982.57</v>
      </c>
      <c r="F60" s="40">
        <f>+'CONAP-FUR (REG)-Detail'!G112</f>
        <v>0</v>
      </c>
      <c r="G60" s="40">
        <f>+'CONAP-FUR (REG)-Detail'!H112</f>
        <v>0</v>
      </c>
      <c r="H60" s="40">
        <f>+'CONAP-FUR (REG)-Detail'!I112</f>
        <v>0</v>
      </c>
      <c r="I60" s="40">
        <f t="shared" si="15"/>
        <v>0</v>
      </c>
      <c r="J60" s="40">
        <f>+'CONAP-FUR (REG)-Detail'!K112</f>
        <v>0</v>
      </c>
      <c r="K60" s="40">
        <f>+'CONAP-FUR (REG)-Detail'!L112</f>
        <v>0</v>
      </c>
      <c r="L60" s="40">
        <f>+'CONAP-FUR (REG)-Detail'!M112</f>
        <v>0</v>
      </c>
      <c r="M60" s="40">
        <f t="shared" si="16"/>
        <v>0</v>
      </c>
      <c r="N60" s="40">
        <f t="shared" si="17"/>
        <v>0</v>
      </c>
      <c r="O60" s="40">
        <f t="shared" si="18"/>
        <v>0</v>
      </c>
      <c r="P60" s="40">
        <f t="shared" si="19"/>
        <v>0</v>
      </c>
      <c r="Q60" s="40">
        <f t="shared" si="20"/>
        <v>0</v>
      </c>
      <c r="R60" s="40">
        <f t="shared" si="21"/>
        <v>0</v>
      </c>
      <c r="S60" s="40">
        <f t="shared" si="22"/>
        <v>2982.57</v>
      </c>
      <c r="T60" s="40">
        <f t="shared" si="23"/>
        <v>0</v>
      </c>
      <c r="U60" s="40">
        <f t="shared" si="24"/>
        <v>2982.57</v>
      </c>
      <c r="V60" s="40">
        <f>+'CONAP-FUR (REG)-Detail'!W112</f>
        <v>0</v>
      </c>
      <c r="W60" s="40">
        <f>+'CONAP-FUR (REG)-Detail'!X112</f>
        <v>2982.57</v>
      </c>
      <c r="X60" s="40">
        <f>+'CONAP-FUR (REG)-Detail'!Y112</f>
        <v>0</v>
      </c>
      <c r="Y60" s="40">
        <f t="shared" si="6"/>
        <v>2982.57</v>
      </c>
      <c r="Z60" s="40">
        <f>+'CONAP-FUR (REG)-Detail'!AA112</f>
        <v>0</v>
      </c>
      <c r="AA60" s="40">
        <f>+'CONAP-FUR (REG)-Detail'!AB112</f>
        <v>0</v>
      </c>
      <c r="AB60" s="40">
        <f>+'CONAP-FUR (REG)-Detail'!AC112</f>
        <v>0</v>
      </c>
      <c r="AC60" s="40">
        <f t="shared" si="7"/>
        <v>0</v>
      </c>
      <c r="AD60" s="40">
        <f t="shared" si="25"/>
        <v>0</v>
      </c>
      <c r="AE60" s="40">
        <f t="shared" si="26"/>
        <v>2982.57</v>
      </c>
      <c r="AF60" s="40">
        <f t="shared" si="27"/>
        <v>0</v>
      </c>
      <c r="AG60" s="40">
        <f t="shared" si="28"/>
        <v>2982.57</v>
      </c>
      <c r="AH60" s="40">
        <f t="shared" si="29"/>
        <v>0</v>
      </c>
      <c r="AI60" s="40">
        <f t="shared" si="30"/>
        <v>0</v>
      </c>
      <c r="AJ60" s="40">
        <f t="shared" si="31"/>
        <v>0</v>
      </c>
      <c r="AK60" s="40">
        <f t="shared" si="32"/>
        <v>0</v>
      </c>
      <c r="AL60" s="600"/>
      <c r="AM60" s="600">
        <f t="shared" si="34"/>
        <v>1</v>
      </c>
      <c r="AN60" s="600" t="str">
        <f t="shared" si="35"/>
        <v xml:space="preserve"> </v>
      </c>
      <c r="AO60" s="600">
        <f t="shared" si="36"/>
        <v>1</v>
      </c>
      <c r="AP60" s="189"/>
    </row>
    <row r="61" spans="1:64" s="16" customFormat="1">
      <c r="A61" s="899" t="s">
        <v>992</v>
      </c>
      <c r="B61" s="40"/>
      <c r="C61" s="40">
        <f>+'CONAP-FUR (REG)-Detail'!D113</f>
        <v>0</v>
      </c>
      <c r="D61" s="40">
        <f>+'CONAP-FUR (REG)-Detail'!E113</f>
        <v>0</v>
      </c>
      <c r="E61" s="40">
        <f t="shared" si="14"/>
        <v>0</v>
      </c>
      <c r="F61" s="40">
        <f>+'CONAP-FUR (REG)-Detail'!G113</f>
        <v>0</v>
      </c>
      <c r="G61" s="40">
        <f>+'CONAP-FUR (REG)-Detail'!H113</f>
        <v>-587518.53</v>
      </c>
      <c r="H61" s="40">
        <f>+'CONAP-FUR (REG)-Detail'!I113</f>
        <v>0</v>
      </c>
      <c r="I61" s="40">
        <f t="shared" si="15"/>
        <v>-587518.53</v>
      </c>
      <c r="J61" s="40">
        <f>+'CONAP-FUR (REG)-Detail'!K113</f>
        <v>0</v>
      </c>
      <c r="K61" s="40">
        <f>+'CONAP-FUR (REG)-Detail'!L113</f>
        <v>587518.53</v>
      </c>
      <c r="L61" s="40">
        <f>+'CONAP-FUR (REG)-Detail'!M113</f>
        <v>0</v>
      </c>
      <c r="M61" s="40">
        <f t="shared" si="16"/>
        <v>587518.53</v>
      </c>
      <c r="N61" s="40">
        <f t="shared" si="17"/>
        <v>0</v>
      </c>
      <c r="O61" s="40">
        <f t="shared" si="18"/>
        <v>0</v>
      </c>
      <c r="P61" s="40">
        <f t="shared" si="19"/>
        <v>0</v>
      </c>
      <c r="Q61" s="40">
        <f t="shared" si="20"/>
        <v>0</v>
      </c>
      <c r="R61" s="40">
        <f t="shared" si="21"/>
        <v>0</v>
      </c>
      <c r="S61" s="40">
        <f t="shared" si="22"/>
        <v>0</v>
      </c>
      <c r="T61" s="40">
        <f t="shared" si="23"/>
        <v>0</v>
      </c>
      <c r="U61" s="40">
        <f t="shared" si="24"/>
        <v>0</v>
      </c>
      <c r="V61" s="40">
        <f>+'CONAP-FUR (REG)-Detail'!W113</f>
        <v>0</v>
      </c>
      <c r="W61" s="40">
        <f>+'CONAP-FUR (REG)-Detail'!X113</f>
        <v>0</v>
      </c>
      <c r="X61" s="40">
        <f>+'CONAP-FUR (REG)-Detail'!Y113</f>
        <v>0</v>
      </c>
      <c r="Y61" s="40">
        <f t="shared" si="6"/>
        <v>0</v>
      </c>
      <c r="Z61" s="40">
        <f>+'CONAP-FUR (REG)-Detail'!AA113</f>
        <v>0</v>
      </c>
      <c r="AA61" s="40">
        <f>+'CONAP-FUR (REG)-Detail'!AB113</f>
        <v>0</v>
      </c>
      <c r="AB61" s="40">
        <f>+'CONAP-FUR (REG)-Detail'!AC113</f>
        <v>0</v>
      </c>
      <c r="AC61" s="40">
        <f t="shared" si="7"/>
        <v>0</v>
      </c>
      <c r="AD61" s="40">
        <f t="shared" si="25"/>
        <v>0</v>
      </c>
      <c r="AE61" s="40">
        <f t="shared" si="26"/>
        <v>0</v>
      </c>
      <c r="AF61" s="40">
        <f t="shared" si="27"/>
        <v>0</v>
      </c>
      <c r="AG61" s="40">
        <f t="shared" si="28"/>
        <v>0</v>
      </c>
      <c r="AH61" s="40">
        <f t="shared" si="29"/>
        <v>0</v>
      </c>
      <c r="AI61" s="40">
        <f t="shared" si="30"/>
        <v>0</v>
      </c>
      <c r="AJ61" s="40">
        <f t="shared" si="31"/>
        <v>0</v>
      </c>
      <c r="AK61" s="40">
        <f t="shared" si="32"/>
        <v>0</v>
      </c>
      <c r="AL61" s="600"/>
      <c r="AM61" s="600" t="str">
        <f t="shared" si="34"/>
        <v xml:space="preserve"> </v>
      </c>
      <c r="AN61" s="600" t="str">
        <f t="shared" si="35"/>
        <v xml:space="preserve"> </v>
      </c>
      <c r="AO61" s="600" t="str">
        <f t="shared" si="36"/>
        <v xml:space="preserve"> </v>
      </c>
      <c r="AP61" s="189"/>
    </row>
    <row r="62" spans="1:64" s="16" customFormat="1">
      <c r="A62" s="592"/>
      <c r="B62" s="40"/>
      <c r="C62" s="40"/>
      <c r="D62" s="40"/>
      <c r="E62" s="579">
        <f t="shared" si="14"/>
        <v>0</v>
      </c>
      <c r="F62" s="40"/>
      <c r="G62" s="40"/>
      <c r="H62" s="40"/>
      <c r="I62" s="579">
        <f t="shared" si="15"/>
        <v>0</v>
      </c>
      <c r="J62" s="40"/>
      <c r="K62" s="40"/>
      <c r="L62" s="40"/>
      <c r="M62" s="579">
        <f t="shared" si="16"/>
        <v>0</v>
      </c>
      <c r="N62" s="40">
        <f t="shared" si="17"/>
        <v>0</v>
      </c>
      <c r="O62" s="40">
        <f t="shared" si="18"/>
        <v>0</v>
      </c>
      <c r="P62" s="40">
        <f t="shared" si="19"/>
        <v>0</v>
      </c>
      <c r="Q62" s="579">
        <f t="shared" si="20"/>
        <v>0</v>
      </c>
      <c r="R62" s="40">
        <f t="shared" si="21"/>
        <v>0</v>
      </c>
      <c r="S62" s="40">
        <f t="shared" si="22"/>
        <v>0</v>
      </c>
      <c r="T62" s="40">
        <f t="shared" si="23"/>
        <v>0</v>
      </c>
      <c r="U62" s="579">
        <f t="shared" si="24"/>
        <v>0</v>
      </c>
      <c r="V62" s="40"/>
      <c r="W62" s="40"/>
      <c r="X62" s="40"/>
      <c r="Y62" s="579">
        <f t="shared" si="6"/>
        <v>0</v>
      </c>
      <c r="Z62" s="40"/>
      <c r="AA62" s="40"/>
      <c r="AB62" s="40"/>
      <c r="AC62" s="579">
        <f t="shared" si="7"/>
        <v>0</v>
      </c>
      <c r="AD62" s="40">
        <f t="shared" si="25"/>
        <v>0</v>
      </c>
      <c r="AE62" s="40">
        <f t="shared" si="26"/>
        <v>0</v>
      </c>
      <c r="AF62" s="40">
        <f t="shared" si="27"/>
        <v>0</v>
      </c>
      <c r="AG62" s="579">
        <f t="shared" si="28"/>
        <v>0</v>
      </c>
      <c r="AH62" s="579">
        <f t="shared" si="29"/>
        <v>0</v>
      </c>
      <c r="AI62" s="40">
        <f t="shared" si="30"/>
        <v>0</v>
      </c>
      <c r="AJ62" s="40">
        <f t="shared" si="31"/>
        <v>0</v>
      </c>
      <c r="AK62" s="579">
        <f t="shared" si="32"/>
        <v>0</v>
      </c>
      <c r="AL62" s="600"/>
      <c r="AM62" s="600" t="str">
        <f t="shared" si="34"/>
        <v xml:space="preserve"> </v>
      </c>
      <c r="AN62" s="600" t="str">
        <f t="shared" si="35"/>
        <v xml:space="preserve"> </v>
      </c>
      <c r="AO62" s="600" t="str">
        <f t="shared" si="36"/>
        <v xml:space="preserve"> </v>
      </c>
      <c r="AP62" s="189"/>
    </row>
    <row r="63" spans="1:64" s="609" customFormat="1" ht="16.5">
      <c r="A63" s="1153" t="s">
        <v>994</v>
      </c>
      <c r="B63" s="1161">
        <f>+'CONAP-FUR (REG)-Detail'!C104+'CONAP-FUR (REG)-Detail'!C193</f>
        <v>0</v>
      </c>
      <c r="C63" s="1161">
        <f>SUM(C64:C67)</f>
        <v>2548615.1400000025</v>
      </c>
      <c r="D63" s="1161">
        <f t="shared" ref="D63:AK63" si="47">SUM(D64:D67)</f>
        <v>0</v>
      </c>
      <c r="E63" s="1161">
        <f t="shared" si="47"/>
        <v>2548615.1400000025</v>
      </c>
      <c r="F63" s="1161">
        <f t="shared" si="47"/>
        <v>0</v>
      </c>
      <c r="G63" s="1161">
        <f t="shared" si="47"/>
        <v>-4170606.4000000004</v>
      </c>
      <c r="H63" s="1161">
        <f t="shared" si="47"/>
        <v>8133000</v>
      </c>
      <c r="I63" s="1161">
        <f t="shared" si="47"/>
        <v>3962393.6000000006</v>
      </c>
      <c r="J63" s="1161">
        <f t="shared" si="47"/>
        <v>0</v>
      </c>
      <c r="K63" s="1161">
        <f t="shared" si="47"/>
        <v>12704407.78999999</v>
      </c>
      <c r="L63" s="1161">
        <f t="shared" si="47"/>
        <v>78473191.560000002</v>
      </c>
      <c r="M63" s="1161">
        <f t="shared" si="47"/>
        <v>91177599.349999994</v>
      </c>
      <c r="N63" s="1161">
        <f t="shared" si="47"/>
        <v>0</v>
      </c>
      <c r="O63" s="1161">
        <f t="shared" si="47"/>
        <v>8533801.3899999894</v>
      </c>
      <c r="P63" s="1161">
        <f t="shared" si="47"/>
        <v>86606191.560000002</v>
      </c>
      <c r="Q63" s="1161">
        <f t="shared" si="47"/>
        <v>95139992.949999988</v>
      </c>
      <c r="R63" s="1161">
        <f t="shared" si="47"/>
        <v>0</v>
      </c>
      <c r="S63" s="1161">
        <f t="shared" si="47"/>
        <v>11082416.52999999</v>
      </c>
      <c r="T63" s="1161">
        <f t="shared" si="47"/>
        <v>86606191.560000002</v>
      </c>
      <c r="U63" s="1161">
        <f t="shared" si="47"/>
        <v>97688608.089999989</v>
      </c>
      <c r="V63" s="1161">
        <f t="shared" si="47"/>
        <v>0</v>
      </c>
      <c r="W63" s="1161">
        <f t="shared" si="47"/>
        <v>2545377.87</v>
      </c>
      <c r="X63" s="1161">
        <f t="shared" si="47"/>
        <v>0</v>
      </c>
      <c r="Y63" s="1161">
        <f t="shared" si="47"/>
        <v>2545377.87</v>
      </c>
      <c r="Z63" s="1161">
        <f t="shared" si="47"/>
        <v>0</v>
      </c>
      <c r="AA63" s="1161">
        <f t="shared" si="47"/>
        <v>7368299.1799999997</v>
      </c>
      <c r="AB63" s="1161">
        <f t="shared" si="47"/>
        <v>80297091.36999999</v>
      </c>
      <c r="AC63" s="1161">
        <f t="shared" si="47"/>
        <v>87665390.549999997</v>
      </c>
      <c r="AD63" s="1161">
        <f t="shared" si="47"/>
        <v>0</v>
      </c>
      <c r="AE63" s="1161">
        <f t="shared" si="47"/>
        <v>9913677.0499999989</v>
      </c>
      <c r="AF63" s="1161">
        <f t="shared" si="47"/>
        <v>80297091.36999999</v>
      </c>
      <c r="AG63" s="1161">
        <f t="shared" si="47"/>
        <v>90210768.419999987</v>
      </c>
      <c r="AH63" s="1161">
        <f t="shared" si="47"/>
        <v>0</v>
      </c>
      <c r="AI63" s="1161">
        <f t="shared" si="47"/>
        <v>1168739.4799999921</v>
      </c>
      <c r="AJ63" s="1161">
        <f t="shared" si="47"/>
        <v>6309100.1900000125</v>
      </c>
      <c r="AK63" s="1161">
        <f t="shared" si="47"/>
        <v>7477839.6700000046</v>
      </c>
      <c r="AL63" s="608" t="str">
        <f t="shared" si="33"/>
        <v xml:space="preserve"> </v>
      </c>
      <c r="AM63" s="608">
        <f t="shared" si="34"/>
        <v>0.89454109788815239</v>
      </c>
      <c r="AN63" s="608">
        <f t="shared" si="35"/>
        <v>0.92715185743239703</v>
      </c>
      <c r="AO63" s="608">
        <f t="shared" si="36"/>
        <v>0.92345228562259063</v>
      </c>
      <c r="AP63" s="1171">
        <f>+AK63-'CONAP (ALL FUNDS)'!Q225</f>
        <v>0</v>
      </c>
    </row>
    <row r="64" spans="1:64" s="16" customFormat="1">
      <c r="A64" s="899" t="s">
        <v>993</v>
      </c>
      <c r="B64" s="40"/>
      <c r="C64" s="40">
        <f>+'CONAP-FUR (REG)-Detail'!D193</f>
        <v>2545834.6800000006</v>
      </c>
      <c r="D64" s="40">
        <f>+'CONAP-FUR (REG)-Detail'!E193</f>
        <v>0</v>
      </c>
      <c r="E64" s="40">
        <f t="shared" si="14"/>
        <v>2545834.6800000006</v>
      </c>
      <c r="F64" s="40">
        <f>+'CONAP-FUR (REG)-Detail'!G193</f>
        <v>0</v>
      </c>
      <c r="G64" s="40">
        <f>+'CONAP-FUR (REG)-Detail'!H193</f>
        <v>-406414.93</v>
      </c>
      <c r="H64" s="40">
        <f>+'CONAP-FUR (REG)-Detail'!I193</f>
        <v>8133000</v>
      </c>
      <c r="I64" s="40">
        <f t="shared" si="15"/>
        <v>7726585.0700000003</v>
      </c>
      <c r="J64" s="40">
        <f>+'CONAP-FUR (REG)-Detail'!K193</f>
        <v>0</v>
      </c>
      <c r="K64" s="40">
        <f>+'CONAP-FUR (REG)-Detail'!L193</f>
        <v>8221812.9799999893</v>
      </c>
      <c r="L64" s="40">
        <f>+'CONAP-FUR (REG)-Detail'!M193</f>
        <v>78473191.560000002</v>
      </c>
      <c r="M64" s="40">
        <f t="shared" si="16"/>
        <v>86695004.539999992</v>
      </c>
      <c r="N64" s="40">
        <f t="shared" si="17"/>
        <v>0</v>
      </c>
      <c r="O64" s="40">
        <f t="shared" si="18"/>
        <v>7815398.0499999896</v>
      </c>
      <c r="P64" s="40">
        <f t="shared" si="19"/>
        <v>86606191.560000002</v>
      </c>
      <c r="Q64" s="40">
        <f t="shared" si="20"/>
        <v>94421589.609999985</v>
      </c>
      <c r="R64" s="40">
        <f t="shared" si="21"/>
        <v>0</v>
      </c>
      <c r="S64" s="40">
        <f t="shared" si="22"/>
        <v>10361232.729999989</v>
      </c>
      <c r="T64" s="40">
        <f t="shared" si="23"/>
        <v>86606191.560000002</v>
      </c>
      <c r="U64" s="40">
        <f t="shared" si="24"/>
        <v>96967424.289999992</v>
      </c>
      <c r="V64" s="40">
        <f>+'CONAP-FUR (REG)-Detail'!W193</f>
        <v>0</v>
      </c>
      <c r="W64" s="40">
        <f>+'CONAP-FUR (REG)-Detail'!X193</f>
        <v>2545377.87</v>
      </c>
      <c r="X64" s="40">
        <f>+'CONAP-FUR (REG)-Detail'!Y193</f>
        <v>0</v>
      </c>
      <c r="Y64" s="40">
        <f t="shared" si="6"/>
        <v>2545377.87</v>
      </c>
      <c r="Z64" s="40">
        <f>+'CONAP-FUR (REG)-Detail'!AA193</f>
        <v>0</v>
      </c>
      <c r="AA64" s="40">
        <f>+'CONAP-FUR (REG)-Detail'!AB193</f>
        <v>6651585.3099999996</v>
      </c>
      <c r="AB64" s="40">
        <f>+'CONAP-FUR (REG)-Detail'!AC193</f>
        <v>80297091.36999999</v>
      </c>
      <c r="AC64" s="40">
        <f t="shared" si="7"/>
        <v>86948676.679999992</v>
      </c>
      <c r="AD64" s="40">
        <f t="shared" si="25"/>
        <v>0</v>
      </c>
      <c r="AE64" s="40">
        <f t="shared" si="26"/>
        <v>9196963.1799999997</v>
      </c>
      <c r="AF64" s="40">
        <f t="shared" si="27"/>
        <v>80297091.36999999</v>
      </c>
      <c r="AG64" s="40">
        <f t="shared" si="28"/>
        <v>89494054.549999982</v>
      </c>
      <c r="AH64" s="40">
        <f t="shared" si="29"/>
        <v>0</v>
      </c>
      <c r="AI64" s="40">
        <f t="shared" si="30"/>
        <v>1164269.5499999896</v>
      </c>
      <c r="AJ64" s="40">
        <f t="shared" si="31"/>
        <v>6309100.1900000125</v>
      </c>
      <c r="AK64" s="40">
        <f t="shared" si="32"/>
        <v>7473369.7400000021</v>
      </c>
      <c r="AL64" s="600"/>
      <c r="AM64" s="600">
        <f t="shared" si="34"/>
        <v>0.88763213988727852</v>
      </c>
      <c r="AN64" s="600">
        <f t="shared" si="35"/>
        <v>0.92715185743239703</v>
      </c>
      <c r="AO64" s="600">
        <f t="shared" si="36"/>
        <v>0.92292906824409982</v>
      </c>
      <c r="AP64" s="189"/>
    </row>
    <row r="65" spans="1:42" s="16" customFormat="1">
      <c r="A65" s="899" t="s">
        <v>995</v>
      </c>
      <c r="B65" s="40"/>
      <c r="C65" s="40">
        <f>+'CONAP-FUR (REG)-Detail'!D105</f>
        <v>0</v>
      </c>
      <c r="D65" s="40">
        <f>+'CONAP-FUR (REG)-Detail'!E105</f>
        <v>0</v>
      </c>
      <c r="E65" s="40">
        <f t="shared" si="14"/>
        <v>0</v>
      </c>
      <c r="F65" s="40">
        <f>+'CONAP-FUR (REG)-Detail'!G105</f>
        <v>0</v>
      </c>
      <c r="G65" s="40">
        <f>+'CONAP-FUR (REG)-Detail'!H105</f>
        <v>0</v>
      </c>
      <c r="H65" s="40">
        <f>+'CONAP-FUR (REG)-Detail'!I105</f>
        <v>0</v>
      </c>
      <c r="I65" s="40">
        <f t="shared" si="15"/>
        <v>0</v>
      </c>
      <c r="J65" s="40">
        <f>+'CONAP-FUR (REG)-Detail'!K105</f>
        <v>0</v>
      </c>
      <c r="K65" s="40">
        <f>+'CONAP-FUR (REG)-Detail'!L105</f>
        <v>0</v>
      </c>
      <c r="L65" s="40">
        <f>+'CONAP-FUR (REG)-Detail'!M105</f>
        <v>0</v>
      </c>
      <c r="M65" s="40">
        <f t="shared" si="16"/>
        <v>0</v>
      </c>
      <c r="N65" s="40">
        <f t="shared" si="17"/>
        <v>0</v>
      </c>
      <c r="O65" s="40">
        <f t="shared" si="18"/>
        <v>0</v>
      </c>
      <c r="P65" s="40">
        <f t="shared" si="19"/>
        <v>0</v>
      </c>
      <c r="Q65" s="40">
        <f t="shared" si="20"/>
        <v>0</v>
      </c>
      <c r="R65" s="40">
        <f t="shared" si="21"/>
        <v>0</v>
      </c>
      <c r="S65" s="40">
        <f t="shared" si="22"/>
        <v>0</v>
      </c>
      <c r="T65" s="40">
        <f t="shared" si="23"/>
        <v>0</v>
      </c>
      <c r="U65" s="40">
        <f t="shared" si="24"/>
        <v>0</v>
      </c>
      <c r="V65" s="40">
        <f>+'CONAP-FUR (REG)-Detail'!W105</f>
        <v>0</v>
      </c>
      <c r="W65" s="40">
        <f>+'CONAP-FUR (REG)-Detail'!X105</f>
        <v>0</v>
      </c>
      <c r="X65" s="40">
        <f>+'CONAP-FUR (REG)-Detail'!Y105</f>
        <v>0</v>
      </c>
      <c r="Y65" s="40">
        <f t="shared" si="6"/>
        <v>0</v>
      </c>
      <c r="Z65" s="40">
        <f>+'CONAP-FUR (REG)-Detail'!AA105</f>
        <v>0</v>
      </c>
      <c r="AA65" s="40">
        <f>+'CONAP-FUR (REG)-Detail'!AB105</f>
        <v>0</v>
      </c>
      <c r="AB65" s="40">
        <f>+'CONAP-FUR (REG)-Detail'!AC105</f>
        <v>0</v>
      </c>
      <c r="AC65" s="40">
        <f t="shared" si="7"/>
        <v>0</v>
      </c>
      <c r="AD65" s="40">
        <f t="shared" si="25"/>
        <v>0</v>
      </c>
      <c r="AE65" s="40">
        <f t="shared" si="26"/>
        <v>0</v>
      </c>
      <c r="AF65" s="40">
        <f t="shared" si="27"/>
        <v>0</v>
      </c>
      <c r="AG65" s="40">
        <f t="shared" si="28"/>
        <v>0</v>
      </c>
      <c r="AH65" s="40">
        <f t="shared" si="29"/>
        <v>0</v>
      </c>
      <c r="AI65" s="40">
        <f t="shared" si="30"/>
        <v>0</v>
      </c>
      <c r="AJ65" s="40">
        <f t="shared" si="31"/>
        <v>0</v>
      </c>
      <c r="AK65" s="40">
        <f t="shared" si="32"/>
        <v>0</v>
      </c>
      <c r="AL65" s="600"/>
      <c r="AM65" s="600" t="str">
        <f t="shared" si="34"/>
        <v xml:space="preserve"> </v>
      </c>
      <c r="AN65" s="600" t="str">
        <f t="shared" si="35"/>
        <v xml:space="preserve"> </v>
      </c>
      <c r="AO65" s="600" t="str">
        <f t="shared" si="36"/>
        <v xml:space="preserve"> </v>
      </c>
      <c r="AP65" s="189"/>
    </row>
    <row r="66" spans="1:42" s="16" customFormat="1">
      <c r="A66" s="899" t="s">
        <v>996</v>
      </c>
      <c r="B66" s="40"/>
      <c r="C66" s="40">
        <f>+'CONAP-FUR (REG)-Detail'!D106</f>
        <v>2299.79</v>
      </c>
      <c r="D66" s="40">
        <f>+'CONAP-FUR (REG)-Detail'!E106</f>
        <v>0</v>
      </c>
      <c r="E66" s="40">
        <f t="shared" si="14"/>
        <v>2299.79</v>
      </c>
      <c r="F66" s="40">
        <f>+'CONAP-FUR (REG)-Detail'!G106</f>
        <v>0</v>
      </c>
      <c r="G66" s="40">
        <f>+'CONAP-FUR (REG)-Detail'!H106</f>
        <v>-2723934.42</v>
      </c>
      <c r="H66" s="40">
        <f>+'CONAP-FUR (REG)-Detail'!I106</f>
        <v>0</v>
      </c>
      <c r="I66" s="40">
        <f t="shared" si="15"/>
        <v>-2723934.42</v>
      </c>
      <c r="J66" s="40">
        <f>+'CONAP-FUR (REG)-Detail'!K106</f>
        <v>0</v>
      </c>
      <c r="K66" s="40">
        <f>+'CONAP-FUR (REG)-Detail'!L106</f>
        <v>2863482.4299999997</v>
      </c>
      <c r="L66" s="40">
        <f>+'CONAP-FUR (REG)-Detail'!M106</f>
        <v>0</v>
      </c>
      <c r="M66" s="40">
        <f t="shared" si="16"/>
        <v>2863482.4299999997</v>
      </c>
      <c r="N66" s="40">
        <f t="shared" si="17"/>
        <v>0</v>
      </c>
      <c r="O66" s="40">
        <f t="shared" si="18"/>
        <v>139548.00999999978</v>
      </c>
      <c r="P66" s="40">
        <f t="shared" si="19"/>
        <v>0</v>
      </c>
      <c r="Q66" s="40">
        <f t="shared" si="20"/>
        <v>139548.00999999978</v>
      </c>
      <c r="R66" s="40">
        <f t="shared" si="21"/>
        <v>0</v>
      </c>
      <c r="S66" s="40">
        <f t="shared" si="22"/>
        <v>141847.79999999978</v>
      </c>
      <c r="T66" s="40">
        <f t="shared" si="23"/>
        <v>0</v>
      </c>
      <c r="U66" s="40">
        <f t="shared" si="24"/>
        <v>141847.79999999978</v>
      </c>
      <c r="V66" s="40">
        <f>+'CONAP-FUR (REG)-Detail'!W106</f>
        <v>0</v>
      </c>
      <c r="W66" s="40">
        <f>+'CONAP-FUR (REG)-Detail'!X106</f>
        <v>0</v>
      </c>
      <c r="X66" s="40">
        <f>+'CONAP-FUR (REG)-Detail'!Y106</f>
        <v>0</v>
      </c>
      <c r="Y66" s="40">
        <f t="shared" si="6"/>
        <v>0</v>
      </c>
      <c r="Z66" s="40">
        <f>+'CONAP-FUR (REG)-Detail'!AA106</f>
        <v>0</v>
      </c>
      <c r="AA66" s="40">
        <f>+'CONAP-FUR (REG)-Detail'!AB106</f>
        <v>139548.01</v>
      </c>
      <c r="AB66" s="40">
        <f>+'CONAP-FUR (REG)-Detail'!AC106</f>
        <v>0</v>
      </c>
      <c r="AC66" s="40">
        <f t="shared" si="7"/>
        <v>139548.01</v>
      </c>
      <c r="AD66" s="40">
        <f t="shared" si="25"/>
        <v>0</v>
      </c>
      <c r="AE66" s="40">
        <f t="shared" si="26"/>
        <v>139548.01</v>
      </c>
      <c r="AF66" s="40">
        <f t="shared" si="27"/>
        <v>0</v>
      </c>
      <c r="AG66" s="40">
        <f t="shared" si="28"/>
        <v>139548.01</v>
      </c>
      <c r="AH66" s="40">
        <f t="shared" si="29"/>
        <v>0</v>
      </c>
      <c r="AI66" s="40">
        <f t="shared" si="30"/>
        <v>2299.7899999997753</v>
      </c>
      <c r="AJ66" s="40">
        <f t="shared" si="31"/>
        <v>0</v>
      </c>
      <c r="AK66" s="40">
        <f t="shared" si="32"/>
        <v>2299.7899999997753</v>
      </c>
      <c r="AL66" s="600"/>
      <c r="AM66" s="600">
        <f t="shared" si="34"/>
        <v>0.98378691809108232</v>
      </c>
      <c r="AN66" s="600" t="str">
        <f t="shared" si="35"/>
        <v xml:space="preserve"> </v>
      </c>
      <c r="AO66" s="600">
        <f t="shared" si="36"/>
        <v>0.98378691809108232</v>
      </c>
      <c r="AP66" s="189"/>
    </row>
    <row r="67" spans="1:42" s="16" customFormat="1">
      <c r="A67" s="899" t="s">
        <v>997</v>
      </c>
      <c r="B67" s="40"/>
      <c r="C67" s="40">
        <f>+'CONAP-FUR (REG)-Detail'!D107</f>
        <v>480.67000000178814</v>
      </c>
      <c r="D67" s="40">
        <f>+'CONAP-FUR (REG)-Detail'!E107</f>
        <v>0</v>
      </c>
      <c r="E67" s="40">
        <f t="shared" si="14"/>
        <v>480.67000000178814</v>
      </c>
      <c r="F67" s="40">
        <f>+'CONAP-FUR (REG)-Detail'!G107</f>
        <v>0</v>
      </c>
      <c r="G67" s="40">
        <f>+'CONAP-FUR (REG)-Detail'!H107</f>
        <v>-1040257.05</v>
      </c>
      <c r="H67" s="40">
        <f>+'CONAP-FUR (REG)-Detail'!I107</f>
        <v>0</v>
      </c>
      <c r="I67" s="40">
        <f t="shared" si="15"/>
        <v>-1040257.05</v>
      </c>
      <c r="J67" s="40">
        <f>+'CONAP-FUR (REG)-Detail'!K107</f>
        <v>0</v>
      </c>
      <c r="K67" s="40">
        <f>+'CONAP-FUR (REG)-Detail'!L107</f>
        <v>1619112.3800000008</v>
      </c>
      <c r="L67" s="40">
        <f>+'CONAP-FUR (REG)-Detail'!M107</f>
        <v>0</v>
      </c>
      <c r="M67" s="40">
        <f t="shared" si="16"/>
        <v>1619112.3800000008</v>
      </c>
      <c r="N67" s="40">
        <f t="shared" si="17"/>
        <v>0</v>
      </c>
      <c r="O67" s="40">
        <f t="shared" si="18"/>
        <v>578855.33000000077</v>
      </c>
      <c r="P67" s="40">
        <f t="shared" si="19"/>
        <v>0</v>
      </c>
      <c r="Q67" s="40">
        <f t="shared" si="20"/>
        <v>578855.33000000077</v>
      </c>
      <c r="R67" s="40">
        <f t="shared" si="21"/>
        <v>0</v>
      </c>
      <c r="S67" s="40">
        <f t="shared" si="22"/>
        <v>579336.00000000256</v>
      </c>
      <c r="T67" s="40">
        <f t="shared" si="23"/>
        <v>0</v>
      </c>
      <c r="U67" s="40">
        <f t="shared" si="24"/>
        <v>579336.00000000256</v>
      </c>
      <c r="V67" s="40">
        <f>+'CONAP-FUR (REG)-Detail'!W107</f>
        <v>0</v>
      </c>
      <c r="W67" s="40">
        <f>+'CONAP-FUR (REG)-Detail'!X107</f>
        <v>0</v>
      </c>
      <c r="X67" s="40">
        <f>+'CONAP-FUR (REG)-Detail'!Y107</f>
        <v>0</v>
      </c>
      <c r="Y67" s="40">
        <f t="shared" si="6"/>
        <v>0</v>
      </c>
      <c r="Z67" s="40">
        <f>+'CONAP-FUR (REG)-Detail'!AA107</f>
        <v>0</v>
      </c>
      <c r="AA67" s="40">
        <f>+'CONAP-FUR (REG)-Detail'!AB107</f>
        <v>577165.86</v>
      </c>
      <c r="AB67" s="40">
        <f>+'CONAP-FUR (REG)-Detail'!AC107</f>
        <v>0</v>
      </c>
      <c r="AC67" s="40">
        <f t="shared" si="7"/>
        <v>577165.86</v>
      </c>
      <c r="AD67" s="40">
        <f t="shared" si="25"/>
        <v>0</v>
      </c>
      <c r="AE67" s="40">
        <f t="shared" si="26"/>
        <v>577165.86</v>
      </c>
      <c r="AF67" s="40">
        <f t="shared" si="27"/>
        <v>0</v>
      </c>
      <c r="AG67" s="40">
        <f t="shared" si="28"/>
        <v>577165.86</v>
      </c>
      <c r="AH67" s="40">
        <f t="shared" si="29"/>
        <v>0</v>
      </c>
      <c r="AI67" s="40">
        <f t="shared" si="30"/>
        <v>2170.1400000025751</v>
      </c>
      <c r="AJ67" s="40">
        <f t="shared" si="31"/>
        <v>0</v>
      </c>
      <c r="AK67" s="40">
        <f t="shared" si="32"/>
        <v>2170.1400000025751</v>
      </c>
      <c r="AL67" s="600"/>
      <c r="AM67" s="600">
        <f t="shared" si="34"/>
        <v>0.99625409089025618</v>
      </c>
      <c r="AN67" s="600" t="str">
        <f t="shared" si="35"/>
        <v xml:space="preserve"> </v>
      </c>
      <c r="AO67" s="600">
        <f t="shared" si="36"/>
        <v>0.99625409089025618</v>
      </c>
      <c r="AP67" s="189"/>
    </row>
    <row r="68" spans="1:42" s="16" customFormat="1" ht="16.5">
      <c r="A68" s="901"/>
      <c r="B68" s="40"/>
      <c r="C68" s="40"/>
      <c r="D68" s="40"/>
      <c r="E68" s="579">
        <f t="shared" si="14"/>
        <v>0</v>
      </c>
      <c r="F68" s="40"/>
      <c r="G68" s="40"/>
      <c r="H68" s="40"/>
      <c r="I68" s="579">
        <f t="shared" si="15"/>
        <v>0</v>
      </c>
      <c r="J68" s="40"/>
      <c r="K68" s="40"/>
      <c r="L68" s="40"/>
      <c r="M68" s="579">
        <f t="shared" si="16"/>
        <v>0</v>
      </c>
      <c r="N68" s="40">
        <f t="shared" si="17"/>
        <v>0</v>
      </c>
      <c r="O68" s="40">
        <f t="shared" si="18"/>
        <v>0</v>
      </c>
      <c r="P68" s="40">
        <f t="shared" si="19"/>
        <v>0</v>
      </c>
      <c r="Q68" s="579">
        <f t="shared" si="20"/>
        <v>0</v>
      </c>
      <c r="R68" s="40">
        <f t="shared" si="21"/>
        <v>0</v>
      </c>
      <c r="S68" s="40">
        <f t="shared" si="22"/>
        <v>0</v>
      </c>
      <c r="T68" s="40">
        <f t="shared" si="23"/>
        <v>0</v>
      </c>
      <c r="U68" s="579">
        <f t="shared" si="24"/>
        <v>0</v>
      </c>
      <c r="V68" s="40"/>
      <c r="W68" s="40"/>
      <c r="X68" s="40"/>
      <c r="Y68" s="579">
        <f t="shared" si="6"/>
        <v>0</v>
      </c>
      <c r="Z68" s="40"/>
      <c r="AA68" s="40"/>
      <c r="AB68" s="40"/>
      <c r="AC68" s="579">
        <f t="shared" si="7"/>
        <v>0</v>
      </c>
      <c r="AD68" s="40">
        <f t="shared" si="25"/>
        <v>0</v>
      </c>
      <c r="AE68" s="40">
        <f t="shared" si="26"/>
        <v>0</v>
      </c>
      <c r="AF68" s="40">
        <f t="shared" si="27"/>
        <v>0</v>
      </c>
      <c r="AG68" s="579">
        <f t="shared" si="28"/>
        <v>0</v>
      </c>
      <c r="AH68" s="579">
        <f t="shared" si="29"/>
        <v>0</v>
      </c>
      <c r="AI68" s="40">
        <f t="shared" si="30"/>
        <v>0</v>
      </c>
      <c r="AJ68" s="40">
        <f t="shared" si="31"/>
        <v>0</v>
      </c>
      <c r="AK68" s="579">
        <f t="shared" si="32"/>
        <v>0</v>
      </c>
      <c r="AL68" s="600"/>
      <c r="AM68" s="600" t="str">
        <f t="shared" si="34"/>
        <v xml:space="preserve"> </v>
      </c>
      <c r="AN68" s="600" t="str">
        <f t="shared" si="35"/>
        <v xml:space="preserve"> </v>
      </c>
      <c r="AO68" s="600" t="str">
        <f t="shared" si="36"/>
        <v xml:space="preserve"> </v>
      </c>
      <c r="AP68" s="189"/>
    </row>
    <row r="69" spans="1:42" s="609" customFormat="1" ht="16.5">
      <c r="A69" s="1153" t="s">
        <v>998</v>
      </c>
      <c r="B69" s="1161">
        <f>+'CONAP-FUR (REG)-Detail'!C203+'CONAP-FUR (REG)-Detail'!C115</f>
        <v>0</v>
      </c>
      <c r="C69" s="1161">
        <f>SUM(C70:C74)</f>
        <v>2752747.4599999981</v>
      </c>
      <c r="D69" s="1161">
        <f t="shared" ref="D69:AK69" si="48">SUM(D70:D74)</f>
        <v>0</v>
      </c>
      <c r="E69" s="1161">
        <f t="shared" si="48"/>
        <v>2752747.4599999981</v>
      </c>
      <c r="F69" s="1161">
        <f t="shared" si="48"/>
        <v>0</v>
      </c>
      <c r="G69" s="1161">
        <f t="shared" si="48"/>
        <v>-3648864.24</v>
      </c>
      <c r="H69" s="1161">
        <f t="shared" si="48"/>
        <v>12615500</v>
      </c>
      <c r="I69" s="1161">
        <f t="shared" si="48"/>
        <v>8966635.7599999998</v>
      </c>
      <c r="J69" s="1161">
        <f t="shared" si="48"/>
        <v>0</v>
      </c>
      <c r="K69" s="1161">
        <f t="shared" si="48"/>
        <v>32289782.530000001</v>
      </c>
      <c r="L69" s="1161">
        <f t="shared" si="48"/>
        <v>7284803.5800000001</v>
      </c>
      <c r="M69" s="1161">
        <f t="shared" si="48"/>
        <v>39574586.110000007</v>
      </c>
      <c r="N69" s="1161">
        <f t="shared" si="48"/>
        <v>0</v>
      </c>
      <c r="O69" s="1161">
        <f t="shared" si="48"/>
        <v>28640918.290000003</v>
      </c>
      <c r="P69" s="1161">
        <f t="shared" si="48"/>
        <v>19900303.579999998</v>
      </c>
      <c r="Q69" s="1161">
        <f t="shared" si="48"/>
        <v>48541221.870000005</v>
      </c>
      <c r="R69" s="1161">
        <f t="shared" si="48"/>
        <v>0</v>
      </c>
      <c r="S69" s="1161">
        <f t="shared" si="48"/>
        <v>31393665.75</v>
      </c>
      <c r="T69" s="1161">
        <f t="shared" si="48"/>
        <v>19900303.579999998</v>
      </c>
      <c r="U69" s="1161">
        <f t="shared" si="48"/>
        <v>51293969.329999998</v>
      </c>
      <c r="V69" s="1161">
        <f t="shared" si="48"/>
        <v>0</v>
      </c>
      <c r="W69" s="1161">
        <f t="shared" si="48"/>
        <v>2752736.46</v>
      </c>
      <c r="X69" s="1161">
        <f t="shared" si="48"/>
        <v>0</v>
      </c>
      <c r="Y69" s="1161">
        <f t="shared" si="48"/>
        <v>2752736.46</v>
      </c>
      <c r="Z69" s="1161">
        <f t="shared" si="48"/>
        <v>0</v>
      </c>
      <c r="AA69" s="1161">
        <f t="shared" si="48"/>
        <v>29663416.479999997</v>
      </c>
      <c r="AB69" s="1161">
        <f t="shared" si="48"/>
        <v>10941703.109999999</v>
      </c>
      <c r="AC69" s="1161">
        <f t="shared" si="48"/>
        <v>40605119.590000004</v>
      </c>
      <c r="AD69" s="1161">
        <f t="shared" si="48"/>
        <v>0</v>
      </c>
      <c r="AE69" s="1161">
        <f t="shared" si="48"/>
        <v>32416152.939999998</v>
      </c>
      <c r="AF69" s="1161">
        <f t="shared" si="48"/>
        <v>10941703.109999999</v>
      </c>
      <c r="AG69" s="1161">
        <f t="shared" si="48"/>
        <v>43357856.050000004</v>
      </c>
      <c r="AH69" s="1161">
        <f t="shared" si="48"/>
        <v>0</v>
      </c>
      <c r="AI69" s="1161">
        <f t="shared" si="48"/>
        <v>-1022487.1899999997</v>
      </c>
      <c r="AJ69" s="1161">
        <f t="shared" si="48"/>
        <v>8958600.4699999988</v>
      </c>
      <c r="AK69" s="1161">
        <f t="shared" si="48"/>
        <v>7936113.2799999993</v>
      </c>
      <c r="AL69" s="608" t="str">
        <f t="shared" si="33"/>
        <v xml:space="preserve"> </v>
      </c>
      <c r="AM69" s="608">
        <f t="shared" si="34"/>
        <v>1.0325698565482113</v>
      </c>
      <c r="AN69" s="608">
        <f t="shared" si="35"/>
        <v>0.54982593938901114</v>
      </c>
      <c r="AO69" s="608">
        <f t="shared" si="36"/>
        <v>0.84528174786117705</v>
      </c>
      <c r="AP69" s="1171">
        <f>+AK69-'CONAP (ALL FUNDS)'!Q296</f>
        <v>0</v>
      </c>
    </row>
    <row r="70" spans="1:42" s="16" customFormat="1">
      <c r="A70" s="905" t="s">
        <v>999</v>
      </c>
      <c r="B70" s="40"/>
      <c r="C70" s="40">
        <f>+'CONAP-FUR (REG)-Detail'!D203</f>
        <v>1418736.4599999981</v>
      </c>
      <c r="D70" s="40">
        <f>+'CONAP-FUR (REG)-Detail'!E203</f>
        <v>0</v>
      </c>
      <c r="E70" s="40">
        <f t="shared" si="14"/>
        <v>1418736.4599999981</v>
      </c>
      <c r="F70" s="40">
        <f>+'CONAP-FUR (REG)-Detail'!G203</f>
        <v>0</v>
      </c>
      <c r="G70" s="40">
        <f>+'CONAP-FUR (REG)-Detail'!H203</f>
        <v>-3000000</v>
      </c>
      <c r="H70" s="40">
        <f>+'CONAP-FUR (REG)-Detail'!I203</f>
        <v>12615500</v>
      </c>
      <c r="I70" s="40">
        <f t="shared" si="15"/>
        <v>9615500</v>
      </c>
      <c r="J70" s="40">
        <f>+'CONAP-FUR (REG)-Detail'!K203</f>
        <v>0</v>
      </c>
      <c r="K70" s="40">
        <f>+'CONAP-FUR (REG)-Detail'!L203</f>
        <v>30625215.920000002</v>
      </c>
      <c r="L70" s="40">
        <f>+'CONAP-FUR (REG)-Detail'!M203</f>
        <v>7284803.5800000001</v>
      </c>
      <c r="M70" s="40">
        <f t="shared" si="16"/>
        <v>37910019.5</v>
      </c>
      <c r="N70" s="40">
        <f t="shared" si="17"/>
        <v>0</v>
      </c>
      <c r="O70" s="40">
        <f t="shared" si="18"/>
        <v>27625215.920000002</v>
      </c>
      <c r="P70" s="40">
        <f t="shared" si="19"/>
        <v>19900303.579999998</v>
      </c>
      <c r="Q70" s="40">
        <f t="shared" si="20"/>
        <v>47525519.5</v>
      </c>
      <c r="R70" s="40">
        <f t="shared" si="21"/>
        <v>0</v>
      </c>
      <c r="S70" s="40">
        <f t="shared" si="22"/>
        <v>29043952.379999999</v>
      </c>
      <c r="T70" s="40">
        <f t="shared" si="23"/>
        <v>19900303.579999998</v>
      </c>
      <c r="U70" s="40">
        <f t="shared" si="24"/>
        <v>48944255.959999993</v>
      </c>
      <c r="V70" s="40">
        <f>+'CONAP-FUR (REG)-Detail'!W203</f>
        <v>0</v>
      </c>
      <c r="W70" s="40">
        <f>+'CONAP-FUR (REG)-Detail'!X203</f>
        <v>1418736.46</v>
      </c>
      <c r="X70" s="40">
        <f>+'CONAP-FUR (REG)-Detail'!Y203</f>
        <v>0</v>
      </c>
      <c r="Y70" s="40">
        <f t="shared" si="6"/>
        <v>1418736.46</v>
      </c>
      <c r="Z70" s="40">
        <f>+'CONAP-FUR (REG)-Detail'!AA203</f>
        <v>0</v>
      </c>
      <c r="AA70" s="40">
        <f>+'CONAP-FUR (REG)-Detail'!AB203</f>
        <v>28747224.509999998</v>
      </c>
      <c r="AB70" s="40">
        <f>+'CONAP-FUR (REG)-Detail'!AC203</f>
        <v>10941703.109999999</v>
      </c>
      <c r="AC70" s="40">
        <f t="shared" si="7"/>
        <v>39688927.619999997</v>
      </c>
      <c r="AD70" s="40">
        <f t="shared" si="25"/>
        <v>0</v>
      </c>
      <c r="AE70" s="40">
        <f t="shared" si="26"/>
        <v>30165960.969999999</v>
      </c>
      <c r="AF70" s="40">
        <f t="shared" si="27"/>
        <v>10941703.109999999</v>
      </c>
      <c r="AG70" s="40">
        <f t="shared" si="28"/>
        <v>41107664.079999998</v>
      </c>
      <c r="AH70" s="40">
        <f t="shared" si="29"/>
        <v>0</v>
      </c>
      <c r="AI70" s="40">
        <f t="shared" si="30"/>
        <v>-1122008.5899999999</v>
      </c>
      <c r="AJ70" s="40">
        <f t="shared" si="31"/>
        <v>8958600.4699999988</v>
      </c>
      <c r="AK70" s="40">
        <f t="shared" si="32"/>
        <v>7836591.879999999</v>
      </c>
      <c r="AL70" s="600"/>
      <c r="AM70" s="600">
        <f t="shared" si="34"/>
        <v>1.0386314016536065</v>
      </c>
      <c r="AN70" s="600">
        <f t="shared" si="35"/>
        <v>0.54982593938901114</v>
      </c>
      <c r="AO70" s="600">
        <f t="shared" si="36"/>
        <v>0.83988740402133188</v>
      </c>
      <c r="AP70" s="189"/>
    </row>
    <row r="71" spans="1:42" s="16" customFormat="1">
      <c r="A71" s="905" t="s">
        <v>1000</v>
      </c>
      <c r="B71" s="40"/>
      <c r="C71" s="40">
        <f>+'CONAP-FUR (REG)-Detail'!D116</f>
        <v>1334000</v>
      </c>
      <c r="D71" s="40">
        <f>+'CONAP-FUR (REG)-Detail'!E116</f>
        <v>0</v>
      </c>
      <c r="E71" s="40">
        <f t="shared" si="14"/>
        <v>1334000</v>
      </c>
      <c r="F71" s="40">
        <f>+'CONAP-FUR (REG)-Detail'!G116</f>
        <v>0</v>
      </c>
      <c r="G71" s="40">
        <f>+'CONAP-FUR (REG)-Detail'!H116</f>
        <v>0</v>
      </c>
      <c r="H71" s="40">
        <f>+'CONAP-FUR (REG)-Detail'!I116</f>
        <v>0</v>
      </c>
      <c r="I71" s="40">
        <f t="shared" si="15"/>
        <v>0</v>
      </c>
      <c r="J71" s="40">
        <f>+'CONAP-FUR (REG)-Detail'!K116</f>
        <v>0</v>
      </c>
      <c r="K71" s="40">
        <f>+'CONAP-FUR (REG)-Detail'!L116</f>
        <v>490614.1</v>
      </c>
      <c r="L71" s="40">
        <f>+'CONAP-FUR (REG)-Detail'!M116</f>
        <v>0</v>
      </c>
      <c r="M71" s="40">
        <f t="shared" si="16"/>
        <v>490614.1</v>
      </c>
      <c r="N71" s="40">
        <f t="shared" si="17"/>
        <v>0</v>
      </c>
      <c r="O71" s="40">
        <f t="shared" si="18"/>
        <v>490614.1</v>
      </c>
      <c r="P71" s="40">
        <f t="shared" si="19"/>
        <v>0</v>
      </c>
      <c r="Q71" s="40">
        <f t="shared" si="20"/>
        <v>490614.1</v>
      </c>
      <c r="R71" s="40">
        <f t="shared" si="21"/>
        <v>0</v>
      </c>
      <c r="S71" s="40">
        <f t="shared" si="22"/>
        <v>1824614.1</v>
      </c>
      <c r="T71" s="40">
        <f t="shared" si="23"/>
        <v>0</v>
      </c>
      <c r="U71" s="40">
        <f t="shared" si="24"/>
        <v>1824614.1</v>
      </c>
      <c r="V71" s="40">
        <f>+'CONAP-FUR (REG)-Detail'!W116</f>
        <v>0</v>
      </c>
      <c r="W71" s="40">
        <f>+'CONAP-FUR (REG)-Detail'!X116</f>
        <v>1334000</v>
      </c>
      <c r="X71" s="40">
        <f>+'CONAP-FUR (REG)-Detail'!Y116</f>
        <v>0</v>
      </c>
      <c r="Y71" s="40">
        <f t="shared" si="6"/>
        <v>1334000</v>
      </c>
      <c r="Z71" s="40">
        <f>+'CONAP-FUR (REG)-Detail'!AA116</f>
        <v>0</v>
      </c>
      <c r="AA71" s="40">
        <f>+'CONAP-FUR (REG)-Detail'!AB116</f>
        <v>395409.19999999995</v>
      </c>
      <c r="AB71" s="40">
        <f>+'CONAP-FUR (REG)-Detail'!AC116</f>
        <v>0</v>
      </c>
      <c r="AC71" s="40">
        <f t="shared" si="7"/>
        <v>395409.19999999995</v>
      </c>
      <c r="AD71" s="40">
        <f t="shared" si="25"/>
        <v>0</v>
      </c>
      <c r="AE71" s="40">
        <f t="shared" si="26"/>
        <v>1729409.2</v>
      </c>
      <c r="AF71" s="40">
        <f t="shared" si="27"/>
        <v>0</v>
      </c>
      <c r="AG71" s="40">
        <f t="shared" si="28"/>
        <v>1729409.2</v>
      </c>
      <c r="AH71" s="40">
        <f t="shared" si="29"/>
        <v>0</v>
      </c>
      <c r="AI71" s="40">
        <f t="shared" si="30"/>
        <v>95204.90000000014</v>
      </c>
      <c r="AJ71" s="40">
        <f t="shared" si="31"/>
        <v>0</v>
      </c>
      <c r="AK71" s="40">
        <f t="shared" si="32"/>
        <v>95204.90000000014</v>
      </c>
      <c r="AL71" s="600"/>
      <c r="AM71" s="600">
        <f t="shared" si="34"/>
        <v>0.94782189834003794</v>
      </c>
      <c r="AN71" s="600" t="str">
        <f t="shared" si="35"/>
        <v xml:space="preserve"> </v>
      </c>
      <c r="AO71" s="600">
        <f t="shared" si="36"/>
        <v>0.94782189834003794</v>
      </c>
      <c r="AP71" s="189"/>
    </row>
    <row r="72" spans="1:42" s="16" customFormat="1">
      <c r="A72" s="905" t="s">
        <v>1001</v>
      </c>
      <c r="B72" s="40"/>
      <c r="C72" s="40">
        <f>+'CONAP-FUR (REG)-Detail'!D117</f>
        <v>0</v>
      </c>
      <c r="D72" s="40">
        <f>+'CONAP-FUR (REG)-Detail'!E117</f>
        <v>0</v>
      </c>
      <c r="E72" s="40">
        <f t="shared" si="14"/>
        <v>0</v>
      </c>
      <c r="F72" s="40">
        <f>+'CONAP-FUR (REG)-Detail'!G117</f>
        <v>0</v>
      </c>
      <c r="G72" s="40">
        <f>+'CONAP-FUR (REG)-Detail'!H117</f>
        <v>0</v>
      </c>
      <c r="H72" s="40">
        <f>+'CONAP-FUR (REG)-Detail'!I117</f>
        <v>0</v>
      </c>
      <c r="I72" s="40">
        <f t="shared" si="15"/>
        <v>0</v>
      </c>
      <c r="J72" s="40">
        <f>+'CONAP-FUR (REG)-Detail'!K117</f>
        <v>0</v>
      </c>
      <c r="K72" s="40">
        <f>+'CONAP-FUR (REG)-Detail'!L117</f>
        <v>145088.27000000002</v>
      </c>
      <c r="L72" s="40">
        <f>+'CONAP-FUR (REG)-Detail'!M117</f>
        <v>0</v>
      </c>
      <c r="M72" s="40">
        <f t="shared" si="16"/>
        <v>145088.27000000002</v>
      </c>
      <c r="N72" s="40">
        <f t="shared" si="17"/>
        <v>0</v>
      </c>
      <c r="O72" s="40">
        <f t="shared" si="18"/>
        <v>145088.27000000002</v>
      </c>
      <c r="P72" s="40">
        <f t="shared" si="19"/>
        <v>0</v>
      </c>
      <c r="Q72" s="40">
        <f t="shared" si="20"/>
        <v>145088.27000000002</v>
      </c>
      <c r="R72" s="40">
        <f t="shared" si="21"/>
        <v>0</v>
      </c>
      <c r="S72" s="40">
        <f t="shared" si="22"/>
        <v>145088.27000000002</v>
      </c>
      <c r="T72" s="40">
        <f t="shared" si="23"/>
        <v>0</v>
      </c>
      <c r="U72" s="40">
        <f t="shared" si="24"/>
        <v>145088.27000000002</v>
      </c>
      <c r="V72" s="40">
        <f>+'CONAP-FUR (REG)-Detail'!W117</f>
        <v>0</v>
      </c>
      <c r="W72" s="40">
        <f>+'CONAP-FUR (REG)-Detail'!X117</f>
        <v>0</v>
      </c>
      <c r="X72" s="40">
        <f>+'CONAP-FUR (REG)-Detail'!Y117</f>
        <v>0</v>
      </c>
      <c r="Y72" s="40">
        <f t="shared" si="6"/>
        <v>0</v>
      </c>
      <c r="Z72" s="40">
        <f>+'CONAP-FUR (REG)-Detail'!AA117</f>
        <v>0</v>
      </c>
      <c r="AA72" s="40">
        <f>+'CONAP-FUR (REG)-Detail'!AB117</f>
        <v>145088.27000000002</v>
      </c>
      <c r="AB72" s="40">
        <f>+'CONAP-FUR (REG)-Detail'!AC117</f>
        <v>0</v>
      </c>
      <c r="AC72" s="40">
        <f t="shared" si="7"/>
        <v>145088.27000000002</v>
      </c>
      <c r="AD72" s="40">
        <f t="shared" si="25"/>
        <v>0</v>
      </c>
      <c r="AE72" s="40">
        <f t="shared" si="26"/>
        <v>145088.27000000002</v>
      </c>
      <c r="AF72" s="40">
        <f t="shared" si="27"/>
        <v>0</v>
      </c>
      <c r="AG72" s="40">
        <f t="shared" si="28"/>
        <v>145088.27000000002</v>
      </c>
      <c r="AH72" s="40">
        <f t="shared" si="29"/>
        <v>0</v>
      </c>
      <c r="AI72" s="40">
        <f t="shared" si="30"/>
        <v>0</v>
      </c>
      <c r="AJ72" s="40">
        <f t="shared" si="31"/>
        <v>0</v>
      </c>
      <c r="AK72" s="40">
        <f t="shared" si="32"/>
        <v>0</v>
      </c>
      <c r="AL72" s="600"/>
      <c r="AM72" s="600">
        <f t="shared" si="34"/>
        <v>1</v>
      </c>
      <c r="AN72" s="600" t="str">
        <f t="shared" si="35"/>
        <v xml:space="preserve"> </v>
      </c>
      <c r="AO72" s="600">
        <f t="shared" si="36"/>
        <v>1</v>
      </c>
      <c r="AP72" s="189"/>
    </row>
    <row r="73" spans="1:42" s="16" customFormat="1">
      <c r="A73" s="905" t="s">
        <v>1002</v>
      </c>
      <c r="B73" s="40"/>
      <c r="C73" s="40">
        <f>+'CONAP-FUR (REG)-Detail'!D118</f>
        <v>11</v>
      </c>
      <c r="D73" s="40">
        <f>+'CONAP-FUR (REG)-Detail'!E118</f>
        <v>0</v>
      </c>
      <c r="E73" s="40">
        <f t="shared" si="14"/>
        <v>11</v>
      </c>
      <c r="F73" s="40">
        <f>+'CONAP-FUR (REG)-Detail'!G118</f>
        <v>0</v>
      </c>
      <c r="G73" s="40">
        <f>+'CONAP-FUR (REG)-Detail'!H118</f>
        <v>0</v>
      </c>
      <c r="H73" s="40">
        <f>+'CONAP-FUR (REG)-Detail'!I118</f>
        <v>0</v>
      </c>
      <c r="I73" s="40">
        <f t="shared" si="15"/>
        <v>0</v>
      </c>
      <c r="J73" s="40">
        <f>+'CONAP-FUR (REG)-Detail'!K118</f>
        <v>0</v>
      </c>
      <c r="K73" s="40">
        <f>+'CONAP-FUR (REG)-Detail'!L118</f>
        <v>0</v>
      </c>
      <c r="L73" s="40">
        <f>+'CONAP-FUR (REG)-Detail'!M118</f>
        <v>0</v>
      </c>
      <c r="M73" s="40">
        <f t="shared" si="16"/>
        <v>0</v>
      </c>
      <c r="N73" s="40">
        <f t="shared" si="17"/>
        <v>0</v>
      </c>
      <c r="O73" s="40">
        <f t="shared" si="18"/>
        <v>0</v>
      </c>
      <c r="P73" s="40">
        <f t="shared" si="19"/>
        <v>0</v>
      </c>
      <c r="Q73" s="40">
        <f t="shared" si="20"/>
        <v>0</v>
      </c>
      <c r="R73" s="40">
        <f t="shared" si="21"/>
        <v>0</v>
      </c>
      <c r="S73" s="40">
        <f t="shared" si="22"/>
        <v>11</v>
      </c>
      <c r="T73" s="40">
        <f t="shared" si="23"/>
        <v>0</v>
      </c>
      <c r="U73" s="40">
        <f t="shared" si="24"/>
        <v>11</v>
      </c>
      <c r="V73" s="40">
        <f>+'CONAP-FUR (REG)-Detail'!W118</f>
        <v>0</v>
      </c>
      <c r="W73" s="40">
        <f>+'CONAP-FUR (REG)-Detail'!X118</f>
        <v>0</v>
      </c>
      <c r="X73" s="40">
        <f>+'CONAP-FUR (REG)-Detail'!Y118</f>
        <v>0</v>
      </c>
      <c r="Y73" s="40">
        <f t="shared" si="6"/>
        <v>0</v>
      </c>
      <c r="Z73" s="40">
        <f>+'CONAP-FUR (REG)-Detail'!AA118</f>
        <v>0</v>
      </c>
      <c r="AA73" s="40">
        <f>+'CONAP-FUR (REG)-Detail'!AB118</f>
        <v>0</v>
      </c>
      <c r="AB73" s="40">
        <f>+'CONAP-FUR (REG)-Detail'!AC118</f>
        <v>0</v>
      </c>
      <c r="AC73" s="40">
        <f t="shared" si="7"/>
        <v>0</v>
      </c>
      <c r="AD73" s="40">
        <f t="shared" si="25"/>
        <v>0</v>
      </c>
      <c r="AE73" s="40">
        <f t="shared" si="26"/>
        <v>0</v>
      </c>
      <c r="AF73" s="40">
        <f t="shared" si="27"/>
        <v>0</v>
      </c>
      <c r="AG73" s="40">
        <f t="shared" si="28"/>
        <v>0</v>
      </c>
      <c r="AH73" s="40">
        <f t="shared" si="29"/>
        <v>0</v>
      </c>
      <c r="AI73" s="40">
        <f t="shared" si="30"/>
        <v>11</v>
      </c>
      <c r="AJ73" s="40">
        <f t="shared" si="31"/>
        <v>0</v>
      </c>
      <c r="AK73" s="40">
        <f t="shared" si="32"/>
        <v>11</v>
      </c>
      <c r="AL73" s="600"/>
      <c r="AM73" s="600">
        <f t="shared" si="34"/>
        <v>0</v>
      </c>
      <c r="AN73" s="600" t="str">
        <f t="shared" si="35"/>
        <v xml:space="preserve"> </v>
      </c>
      <c r="AO73" s="600">
        <f t="shared" si="36"/>
        <v>0</v>
      </c>
      <c r="AP73" s="189"/>
    </row>
    <row r="74" spans="1:42" s="16" customFormat="1">
      <c r="A74" s="905" t="s">
        <v>1003</v>
      </c>
      <c r="B74" s="40"/>
      <c r="C74" s="40">
        <f>+'CONAP-FUR (REG)-Detail'!D119</f>
        <v>0</v>
      </c>
      <c r="D74" s="40">
        <f>+'CONAP-FUR (REG)-Detail'!E119</f>
        <v>0</v>
      </c>
      <c r="E74" s="40">
        <f t="shared" ref="E74:E137" si="49">SUM(B74:D74)</f>
        <v>0</v>
      </c>
      <c r="F74" s="40">
        <f>+'CONAP-FUR (REG)-Detail'!G119</f>
        <v>0</v>
      </c>
      <c r="G74" s="40">
        <f>+'CONAP-FUR (REG)-Detail'!H119</f>
        <v>-648864.24</v>
      </c>
      <c r="H74" s="40">
        <f>+'CONAP-FUR (REG)-Detail'!I119</f>
        <v>0</v>
      </c>
      <c r="I74" s="40">
        <f t="shared" ref="I74:I137" si="50">SUM(F74:H74)</f>
        <v>-648864.24</v>
      </c>
      <c r="J74" s="40">
        <f>+'CONAP-FUR (REG)-Detail'!K119</f>
        <v>0</v>
      </c>
      <c r="K74" s="40">
        <f>+'CONAP-FUR (REG)-Detail'!L119</f>
        <v>1028864.24</v>
      </c>
      <c r="L74" s="40">
        <f>+'CONAP-FUR (REG)-Detail'!M119</f>
        <v>0</v>
      </c>
      <c r="M74" s="40">
        <f t="shared" ref="M74:M137" si="51">SUM(J74:L74)</f>
        <v>1028864.24</v>
      </c>
      <c r="N74" s="40">
        <f t="shared" ref="N74:N137" si="52">+F74+J74</f>
        <v>0</v>
      </c>
      <c r="O74" s="40">
        <f t="shared" ref="O74:O137" si="53">+G74+K74</f>
        <v>380000</v>
      </c>
      <c r="P74" s="40">
        <f t="shared" ref="P74:P137" si="54">+H74+L74</f>
        <v>0</v>
      </c>
      <c r="Q74" s="40">
        <f t="shared" ref="Q74:Q137" si="55">SUM(N74:P74)</f>
        <v>380000</v>
      </c>
      <c r="R74" s="40">
        <f t="shared" ref="R74:R137" si="56">+B74+N74</f>
        <v>0</v>
      </c>
      <c r="S74" s="40">
        <f t="shared" ref="S74:S137" si="57">+C74+O74</f>
        <v>380000</v>
      </c>
      <c r="T74" s="40">
        <f t="shared" ref="T74:T137" si="58">+D74+P74</f>
        <v>0</v>
      </c>
      <c r="U74" s="40">
        <f t="shared" ref="U74:U137" si="59">SUM(R74:T74)</f>
        <v>380000</v>
      </c>
      <c r="V74" s="40">
        <f>+'CONAP-FUR (REG)-Detail'!W119</f>
        <v>0</v>
      </c>
      <c r="W74" s="40">
        <f>+'CONAP-FUR (REG)-Detail'!X119</f>
        <v>0</v>
      </c>
      <c r="X74" s="40">
        <f>+'CONAP-FUR (REG)-Detail'!Y119</f>
        <v>0</v>
      </c>
      <c r="Y74" s="40">
        <f t="shared" si="6"/>
        <v>0</v>
      </c>
      <c r="Z74" s="40">
        <f>+'CONAP-FUR (REG)-Detail'!AA119</f>
        <v>0</v>
      </c>
      <c r="AA74" s="40">
        <f>+'CONAP-FUR (REG)-Detail'!AB119</f>
        <v>375694.5</v>
      </c>
      <c r="AB74" s="40">
        <f>+'CONAP-FUR (REG)-Detail'!AC119</f>
        <v>0</v>
      </c>
      <c r="AC74" s="40">
        <f t="shared" si="7"/>
        <v>375694.5</v>
      </c>
      <c r="AD74" s="40">
        <f t="shared" ref="AD74:AD137" si="60">+V74+Z74</f>
        <v>0</v>
      </c>
      <c r="AE74" s="40">
        <f t="shared" ref="AE74:AE137" si="61">+W74+AA74</f>
        <v>375694.5</v>
      </c>
      <c r="AF74" s="40">
        <f t="shared" ref="AF74:AF137" si="62">+X74+AB74</f>
        <v>0</v>
      </c>
      <c r="AG74" s="40">
        <f t="shared" ref="AG74:AG137" si="63">SUM(AD74:AF74)</f>
        <v>375694.5</v>
      </c>
      <c r="AH74" s="40">
        <f t="shared" ref="AH74:AH137" si="64">+R74-AD74</f>
        <v>0</v>
      </c>
      <c r="AI74" s="40">
        <f t="shared" ref="AI74:AI137" si="65">+S74-AE74</f>
        <v>4305.5</v>
      </c>
      <c r="AJ74" s="40">
        <f t="shared" ref="AJ74:AJ137" si="66">+T74-AF74</f>
        <v>0</v>
      </c>
      <c r="AK74" s="40">
        <f t="shared" ref="AK74:AK137" si="67">SUM(AH74:AJ74)</f>
        <v>4305.5</v>
      </c>
      <c r="AL74" s="600"/>
      <c r="AM74" s="600">
        <f t="shared" ref="AM74:AM137" si="68">IF(S74=0," ",AE74/S74)</f>
        <v>0.98866973684210524</v>
      </c>
      <c r="AN74" s="600" t="str">
        <f t="shared" ref="AN74:AN137" si="69">IF(T74=0," ",AF74/T74)</f>
        <v xml:space="preserve"> </v>
      </c>
      <c r="AO74" s="600">
        <f t="shared" ref="AO74:AO137" si="70">IF(U74=0," ",AG74/U74)</f>
        <v>0.98866973684210524</v>
      </c>
      <c r="AP74" s="189"/>
    </row>
    <row r="75" spans="1:42" s="16" customFormat="1">
      <c r="A75" s="596"/>
      <c r="B75" s="40"/>
      <c r="C75" s="40"/>
      <c r="D75" s="40"/>
      <c r="E75" s="579">
        <f t="shared" si="49"/>
        <v>0</v>
      </c>
      <c r="F75" s="40"/>
      <c r="G75" s="40"/>
      <c r="H75" s="40"/>
      <c r="I75" s="579">
        <f t="shared" si="50"/>
        <v>0</v>
      </c>
      <c r="J75" s="40"/>
      <c r="K75" s="40"/>
      <c r="L75" s="40"/>
      <c r="M75" s="579">
        <f t="shared" si="51"/>
        <v>0</v>
      </c>
      <c r="N75" s="40">
        <f t="shared" si="52"/>
        <v>0</v>
      </c>
      <c r="O75" s="40">
        <f t="shared" si="53"/>
        <v>0</v>
      </c>
      <c r="P75" s="40">
        <f t="shared" si="54"/>
        <v>0</v>
      </c>
      <c r="Q75" s="579">
        <f t="shared" si="55"/>
        <v>0</v>
      </c>
      <c r="R75" s="40">
        <f t="shared" si="56"/>
        <v>0</v>
      </c>
      <c r="S75" s="40">
        <f t="shared" si="57"/>
        <v>0</v>
      </c>
      <c r="T75" s="40">
        <f t="shared" si="58"/>
        <v>0</v>
      </c>
      <c r="U75" s="579">
        <f t="shared" si="59"/>
        <v>0</v>
      </c>
      <c r="V75" s="40"/>
      <c r="W75" s="40"/>
      <c r="X75" s="40"/>
      <c r="Y75" s="579">
        <f t="shared" si="6"/>
        <v>0</v>
      </c>
      <c r="Z75" s="40"/>
      <c r="AA75" s="40"/>
      <c r="AB75" s="40"/>
      <c r="AC75" s="579">
        <f t="shared" si="7"/>
        <v>0</v>
      </c>
      <c r="AD75" s="40">
        <f t="shared" si="60"/>
        <v>0</v>
      </c>
      <c r="AE75" s="40">
        <f t="shared" si="61"/>
        <v>0</v>
      </c>
      <c r="AF75" s="40">
        <f t="shared" si="62"/>
        <v>0</v>
      </c>
      <c r="AG75" s="579">
        <f t="shared" si="63"/>
        <v>0</v>
      </c>
      <c r="AH75" s="579">
        <f t="shared" si="64"/>
        <v>0</v>
      </c>
      <c r="AI75" s="40">
        <f t="shared" si="65"/>
        <v>0</v>
      </c>
      <c r="AJ75" s="40">
        <f t="shared" si="66"/>
        <v>0</v>
      </c>
      <c r="AK75" s="579">
        <f t="shared" si="67"/>
        <v>0</v>
      </c>
      <c r="AL75" s="600"/>
      <c r="AM75" s="600" t="str">
        <f t="shared" si="68"/>
        <v xml:space="preserve"> </v>
      </c>
      <c r="AN75" s="600" t="str">
        <f t="shared" si="69"/>
        <v xml:space="preserve"> </v>
      </c>
      <c r="AO75" s="600" t="str">
        <f t="shared" si="70"/>
        <v xml:space="preserve"> </v>
      </c>
      <c r="AP75" s="189"/>
    </row>
    <row r="76" spans="1:42" s="609" customFormat="1" ht="16.5">
      <c r="A76" s="1153" t="s">
        <v>1010</v>
      </c>
      <c r="B76" s="1161">
        <f>+'CONAP-FUR (REG)-Detail'!C121+'CONAP-FUR (REG)-Detail'!C208</f>
        <v>0</v>
      </c>
      <c r="C76" s="1161">
        <f>SUM(C77:C82)</f>
        <v>6671193.79</v>
      </c>
      <c r="D76" s="1161">
        <f t="shared" ref="D76:AK76" si="71">SUM(D77:D82)</f>
        <v>0</v>
      </c>
      <c r="E76" s="1161">
        <f t="shared" si="71"/>
        <v>6671193.79</v>
      </c>
      <c r="F76" s="1161">
        <f t="shared" si="71"/>
        <v>0</v>
      </c>
      <c r="G76" s="1161">
        <f t="shared" si="71"/>
        <v>-13417578.82</v>
      </c>
      <c r="H76" s="1161">
        <f t="shared" si="71"/>
        <v>6913000</v>
      </c>
      <c r="I76" s="1161">
        <f t="shared" si="71"/>
        <v>-6504578.8200000003</v>
      </c>
      <c r="J76" s="1161">
        <f t="shared" si="71"/>
        <v>0</v>
      </c>
      <c r="K76" s="1161">
        <f t="shared" si="71"/>
        <v>67003665.539999999</v>
      </c>
      <c r="L76" s="1161">
        <f t="shared" si="71"/>
        <v>21871993.719999999</v>
      </c>
      <c r="M76" s="1161">
        <f t="shared" si="71"/>
        <v>88875659.25999999</v>
      </c>
      <c r="N76" s="1161">
        <f t="shared" si="71"/>
        <v>0</v>
      </c>
      <c r="O76" s="1161">
        <f t="shared" si="71"/>
        <v>53586086.719999999</v>
      </c>
      <c r="P76" s="1161">
        <f t="shared" si="71"/>
        <v>28784993.719999999</v>
      </c>
      <c r="Q76" s="1161">
        <f t="shared" si="71"/>
        <v>82371080.439999998</v>
      </c>
      <c r="R76" s="1161">
        <f t="shared" si="71"/>
        <v>0</v>
      </c>
      <c r="S76" s="1161">
        <f t="shared" si="71"/>
        <v>60257280.50999999</v>
      </c>
      <c r="T76" s="1161">
        <f t="shared" si="71"/>
        <v>28784993.719999999</v>
      </c>
      <c r="U76" s="1161">
        <f t="shared" si="71"/>
        <v>89042274.230000004</v>
      </c>
      <c r="V76" s="1161">
        <f t="shared" si="71"/>
        <v>0</v>
      </c>
      <c r="W76" s="1161">
        <f t="shared" si="71"/>
        <v>6376741.4000000004</v>
      </c>
      <c r="X76" s="1161">
        <f t="shared" si="71"/>
        <v>0</v>
      </c>
      <c r="Y76" s="1161">
        <f t="shared" si="71"/>
        <v>6376741.4000000004</v>
      </c>
      <c r="Z76" s="1161">
        <f t="shared" si="71"/>
        <v>0</v>
      </c>
      <c r="AA76" s="1161">
        <f t="shared" si="71"/>
        <v>26411848.420000006</v>
      </c>
      <c r="AB76" s="1161">
        <f t="shared" si="71"/>
        <v>11021183.379999999</v>
      </c>
      <c r="AC76" s="1161">
        <f t="shared" si="71"/>
        <v>37433031.800000004</v>
      </c>
      <c r="AD76" s="1161">
        <f t="shared" si="71"/>
        <v>0</v>
      </c>
      <c r="AE76" s="1161">
        <f t="shared" si="71"/>
        <v>32788589.820000004</v>
      </c>
      <c r="AF76" s="1161">
        <f t="shared" si="71"/>
        <v>11021183.379999999</v>
      </c>
      <c r="AG76" s="1161">
        <f t="shared" si="71"/>
        <v>43809773.199999996</v>
      </c>
      <c r="AH76" s="1161">
        <f t="shared" si="71"/>
        <v>0</v>
      </c>
      <c r="AI76" s="1161">
        <f t="shared" si="71"/>
        <v>27468690.689999998</v>
      </c>
      <c r="AJ76" s="1161">
        <f t="shared" si="71"/>
        <v>17763810.34</v>
      </c>
      <c r="AK76" s="1161">
        <f t="shared" si="71"/>
        <v>45232501.030000001</v>
      </c>
      <c r="AL76" s="608" t="str">
        <f t="shared" si="33"/>
        <v xml:space="preserve"> </v>
      </c>
      <c r="AM76" s="608">
        <f t="shared" si="68"/>
        <v>0.54414320630614221</v>
      </c>
      <c r="AN76" s="608">
        <f t="shared" si="69"/>
        <v>0.38287947835619673</v>
      </c>
      <c r="AO76" s="608">
        <f t="shared" si="70"/>
        <v>0.49201094175601889</v>
      </c>
      <c r="AP76" s="1171">
        <f>+AK76-'CONAP (ALL FUNDS)'!Q378</f>
        <v>0</v>
      </c>
    </row>
    <row r="77" spans="1:42" s="16" customFormat="1">
      <c r="A77" s="905" t="s">
        <v>1009</v>
      </c>
      <c r="B77" s="40"/>
      <c r="C77" s="40">
        <f>+'CONAP-FUR (REG)-Detail'!D208</f>
        <v>3891496.9800000004</v>
      </c>
      <c r="D77" s="40">
        <f>+'CONAP-FUR (REG)-Detail'!E208</f>
        <v>0</v>
      </c>
      <c r="E77" s="40">
        <f t="shared" si="49"/>
        <v>3891496.9800000004</v>
      </c>
      <c r="F77" s="40">
        <f>+'CONAP-FUR (REG)-Detail'!G208</f>
        <v>0</v>
      </c>
      <c r="G77" s="40">
        <f>+'CONAP-FUR (REG)-Detail'!H208</f>
        <v>-800000</v>
      </c>
      <c r="H77" s="40">
        <f>+'CONAP-FUR (REG)-Detail'!I208</f>
        <v>6913000</v>
      </c>
      <c r="I77" s="40">
        <f t="shared" si="50"/>
        <v>6113000</v>
      </c>
      <c r="J77" s="40">
        <f>+'CONAP-FUR (REG)-Detail'!K208</f>
        <v>0</v>
      </c>
      <c r="K77" s="40">
        <f>+'CONAP-FUR (REG)-Detail'!L208</f>
        <v>50705095.57</v>
      </c>
      <c r="L77" s="40">
        <f>+'CONAP-FUR (REG)-Detail'!M208</f>
        <v>21871993.719999999</v>
      </c>
      <c r="M77" s="40">
        <f t="shared" si="51"/>
        <v>72577089.289999992</v>
      </c>
      <c r="N77" s="40">
        <f t="shared" si="52"/>
        <v>0</v>
      </c>
      <c r="O77" s="40">
        <f t="shared" si="53"/>
        <v>49905095.57</v>
      </c>
      <c r="P77" s="40">
        <f t="shared" si="54"/>
        <v>28784993.719999999</v>
      </c>
      <c r="Q77" s="40">
        <f t="shared" si="55"/>
        <v>78690089.289999992</v>
      </c>
      <c r="R77" s="40">
        <f t="shared" si="56"/>
        <v>0</v>
      </c>
      <c r="S77" s="40">
        <f t="shared" si="57"/>
        <v>53796592.549999997</v>
      </c>
      <c r="T77" s="40">
        <f t="shared" si="58"/>
        <v>28784993.719999999</v>
      </c>
      <c r="U77" s="40">
        <f t="shared" si="59"/>
        <v>82581586.269999996</v>
      </c>
      <c r="V77" s="40">
        <f>+'CONAP-FUR (REG)-Detail'!W208</f>
        <v>0</v>
      </c>
      <c r="W77" s="40">
        <f>+'CONAP-FUR (REG)-Detail'!X208</f>
        <v>3597243.27</v>
      </c>
      <c r="X77" s="40">
        <f>+'CONAP-FUR (REG)-Detail'!Y208</f>
        <v>0</v>
      </c>
      <c r="Y77" s="40">
        <f t="shared" si="6"/>
        <v>3597243.27</v>
      </c>
      <c r="Z77" s="40">
        <f>+'CONAP-FUR (REG)-Detail'!AA208</f>
        <v>0</v>
      </c>
      <c r="AA77" s="40">
        <f>+'CONAP-FUR (REG)-Detail'!AB208</f>
        <v>23708217.900000002</v>
      </c>
      <c r="AB77" s="40">
        <f>+'CONAP-FUR (REG)-Detail'!AC208</f>
        <v>11021183.379999999</v>
      </c>
      <c r="AC77" s="40">
        <f t="shared" si="7"/>
        <v>34729401.280000001</v>
      </c>
      <c r="AD77" s="40">
        <f t="shared" si="60"/>
        <v>0</v>
      </c>
      <c r="AE77" s="40">
        <f t="shared" si="61"/>
        <v>27305461.170000002</v>
      </c>
      <c r="AF77" s="40">
        <f t="shared" si="62"/>
        <v>11021183.379999999</v>
      </c>
      <c r="AG77" s="40">
        <f t="shared" si="63"/>
        <v>38326644.549999997</v>
      </c>
      <c r="AH77" s="40">
        <f t="shared" si="64"/>
        <v>0</v>
      </c>
      <c r="AI77" s="40">
        <f t="shared" si="65"/>
        <v>26491131.379999995</v>
      </c>
      <c r="AJ77" s="40">
        <f t="shared" si="66"/>
        <v>17763810.34</v>
      </c>
      <c r="AK77" s="40">
        <f t="shared" si="67"/>
        <v>44254941.719999999</v>
      </c>
      <c r="AL77" s="600"/>
      <c r="AM77" s="600">
        <f t="shared" si="68"/>
        <v>0.50756860008599192</v>
      </c>
      <c r="AN77" s="600">
        <f t="shared" si="69"/>
        <v>0.38287947835619673</v>
      </c>
      <c r="AO77" s="600">
        <f t="shared" si="70"/>
        <v>0.4641064222802801</v>
      </c>
      <c r="AP77" s="189"/>
    </row>
    <row r="78" spans="1:42" s="903" customFormat="1">
      <c r="A78" s="905" t="s">
        <v>1004</v>
      </c>
      <c r="B78" s="912"/>
      <c r="C78" s="40">
        <f>+'CONAP-FUR (REG)-Detail'!D122</f>
        <v>0</v>
      </c>
      <c r="D78" s="40">
        <f>+'CONAP-FUR (REG)-Detail'!E122</f>
        <v>0</v>
      </c>
      <c r="E78" s="40">
        <f t="shared" si="49"/>
        <v>0</v>
      </c>
      <c r="F78" s="40">
        <f>+'CONAP-FUR (REG)-Detail'!G122</f>
        <v>0</v>
      </c>
      <c r="G78" s="40">
        <f>+'CONAP-FUR (REG)-Detail'!H122</f>
        <v>-2724466.02</v>
      </c>
      <c r="H78" s="40">
        <f>+'CONAP-FUR (REG)-Detail'!I122</f>
        <v>0</v>
      </c>
      <c r="I78" s="40">
        <f t="shared" si="50"/>
        <v>-2724466.02</v>
      </c>
      <c r="J78" s="40">
        <f>+'CONAP-FUR (REG)-Detail'!K122</f>
        <v>0</v>
      </c>
      <c r="K78" s="40">
        <f>+'CONAP-FUR (REG)-Detail'!L122</f>
        <v>3018415.92</v>
      </c>
      <c r="L78" s="40">
        <f>+'CONAP-FUR (REG)-Detail'!M122</f>
        <v>0</v>
      </c>
      <c r="M78" s="40">
        <f t="shared" si="51"/>
        <v>3018415.92</v>
      </c>
      <c r="N78" s="40">
        <f t="shared" si="52"/>
        <v>0</v>
      </c>
      <c r="O78" s="40">
        <f t="shared" si="53"/>
        <v>293949.89999999991</v>
      </c>
      <c r="P78" s="40">
        <f t="shared" si="54"/>
        <v>0</v>
      </c>
      <c r="Q78" s="40">
        <f t="shared" si="55"/>
        <v>293949.89999999991</v>
      </c>
      <c r="R78" s="40">
        <f t="shared" si="56"/>
        <v>0</v>
      </c>
      <c r="S78" s="40">
        <f t="shared" si="57"/>
        <v>293949.89999999991</v>
      </c>
      <c r="T78" s="40">
        <f t="shared" si="58"/>
        <v>0</v>
      </c>
      <c r="U78" s="40">
        <f t="shared" si="59"/>
        <v>293949.89999999991</v>
      </c>
      <c r="V78" s="40">
        <f>+'CONAP-FUR (REG)-Detail'!W122</f>
        <v>0</v>
      </c>
      <c r="W78" s="40">
        <f>+'CONAP-FUR (REG)-Detail'!X122</f>
        <v>0</v>
      </c>
      <c r="X78" s="40">
        <f>+'CONAP-FUR (REG)-Detail'!Y122</f>
        <v>0</v>
      </c>
      <c r="Y78" s="40">
        <f t="shared" si="6"/>
        <v>0</v>
      </c>
      <c r="Z78" s="40">
        <f>+'CONAP-FUR (REG)-Detail'!AA122</f>
        <v>0</v>
      </c>
      <c r="AA78" s="40">
        <f>+'CONAP-FUR (REG)-Detail'!AB122</f>
        <v>111802.29999999999</v>
      </c>
      <c r="AB78" s="40">
        <f>+'CONAP-FUR (REG)-Detail'!AC122</f>
        <v>0</v>
      </c>
      <c r="AC78" s="40">
        <f t="shared" si="7"/>
        <v>111802.29999999999</v>
      </c>
      <c r="AD78" s="40">
        <f t="shared" si="60"/>
        <v>0</v>
      </c>
      <c r="AE78" s="40">
        <f t="shared" si="61"/>
        <v>111802.29999999999</v>
      </c>
      <c r="AF78" s="40">
        <f t="shared" si="62"/>
        <v>0</v>
      </c>
      <c r="AG78" s="40">
        <f t="shared" si="63"/>
        <v>111802.29999999999</v>
      </c>
      <c r="AH78" s="40">
        <f t="shared" si="64"/>
        <v>0</v>
      </c>
      <c r="AI78" s="40">
        <f t="shared" si="65"/>
        <v>182147.59999999992</v>
      </c>
      <c r="AJ78" s="40">
        <f t="shared" si="66"/>
        <v>0</v>
      </c>
      <c r="AK78" s="40">
        <f t="shared" si="67"/>
        <v>182147.59999999992</v>
      </c>
      <c r="AL78" s="601"/>
      <c r="AM78" s="601">
        <f t="shared" si="68"/>
        <v>0.38034474582233241</v>
      </c>
      <c r="AN78" s="601" t="str">
        <f t="shared" si="69"/>
        <v xml:space="preserve"> </v>
      </c>
      <c r="AO78" s="601">
        <f t="shared" si="70"/>
        <v>0.38034474582233241</v>
      </c>
      <c r="AP78" s="208"/>
    </row>
    <row r="79" spans="1:42" s="903" customFormat="1">
      <c r="A79" s="905" t="s">
        <v>1005</v>
      </c>
      <c r="B79" s="912"/>
      <c r="C79" s="40">
        <f>+'CONAP-FUR (REG)-Detail'!D123</f>
        <v>0</v>
      </c>
      <c r="D79" s="40">
        <f>+'CONAP-FUR (REG)-Detail'!E123</f>
        <v>0</v>
      </c>
      <c r="E79" s="40">
        <f t="shared" si="49"/>
        <v>0</v>
      </c>
      <c r="F79" s="40">
        <f>+'CONAP-FUR (REG)-Detail'!G123</f>
        <v>0</v>
      </c>
      <c r="G79" s="40">
        <f>+'CONAP-FUR (REG)-Detail'!H123</f>
        <v>0</v>
      </c>
      <c r="H79" s="40">
        <f>+'CONAP-FUR (REG)-Detail'!I123</f>
        <v>0</v>
      </c>
      <c r="I79" s="40">
        <f t="shared" si="50"/>
        <v>0</v>
      </c>
      <c r="J79" s="40">
        <f>+'CONAP-FUR (REG)-Detail'!K123</f>
        <v>0</v>
      </c>
      <c r="K79" s="40">
        <f>+'CONAP-FUR (REG)-Detail'!L123</f>
        <v>2155124</v>
      </c>
      <c r="L79" s="40">
        <f>+'CONAP-FUR (REG)-Detail'!M123</f>
        <v>0</v>
      </c>
      <c r="M79" s="40">
        <f t="shared" si="51"/>
        <v>2155124</v>
      </c>
      <c r="N79" s="40">
        <f t="shared" si="52"/>
        <v>0</v>
      </c>
      <c r="O79" s="40">
        <f t="shared" si="53"/>
        <v>2155124</v>
      </c>
      <c r="P79" s="40">
        <f t="shared" si="54"/>
        <v>0</v>
      </c>
      <c r="Q79" s="40">
        <f t="shared" si="55"/>
        <v>2155124</v>
      </c>
      <c r="R79" s="40">
        <f t="shared" si="56"/>
        <v>0</v>
      </c>
      <c r="S79" s="40">
        <f t="shared" si="57"/>
        <v>2155124</v>
      </c>
      <c r="T79" s="40">
        <f t="shared" si="58"/>
        <v>0</v>
      </c>
      <c r="U79" s="40">
        <f t="shared" si="59"/>
        <v>2155124</v>
      </c>
      <c r="V79" s="40">
        <f>+'CONAP-FUR (REG)-Detail'!W123</f>
        <v>0</v>
      </c>
      <c r="W79" s="40">
        <f>+'CONAP-FUR (REG)-Detail'!X123</f>
        <v>0</v>
      </c>
      <c r="X79" s="40">
        <f>+'CONAP-FUR (REG)-Detail'!Y123</f>
        <v>0</v>
      </c>
      <c r="Y79" s="40">
        <f t="shared" si="6"/>
        <v>0</v>
      </c>
      <c r="Z79" s="40">
        <f>+'CONAP-FUR (REG)-Detail'!AA123</f>
        <v>0</v>
      </c>
      <c r="AA79" s="40">
        <f>+'CONAP-FUR (REG)-Detail'!AB123</f>
        <v>1673295.78</v>
      </c>
      <c r="AB79" s="40">
        <f>+'CONAP-FUR (REG)-Detail'!AC123</f>
        <v>0</v>
      </c>
      <c r="AC79" s="40">
        <f t="shared" si="7"/>
        <v>1673295.78</v>
      </c>
      <c r="AD79" s="40">
        <f t="shared" si="60"/>
        <v>0</v>
      </c>
      <c r="AE79" s="40">
        <f t="shared" si="61"/>
        <v>1673295.78</v>
      </c>
      <c r="AF79" s="40">
        <f t="shared" si="62"/>
        <v>0</v>
      </c>
      <c r="AG79" s="40">
        <f t="shared" si="63"/>
        <v>1673295.78</v>
      </c>
      <c r="AH79" s="40">
        <f t="shared" si="64"/>
        <v>0</v>
      </c>
      <c r="AI79" s="40">
        <f t="shared" si="65"/>
        <v>481828.22</v>
      </c>
      <c r="AJ79" s="40">
        <f t="shared" si="66"/>
        <v>0</v>
      </c>
      <c r="AK79" s="40">
        <f t="shared" si="67"/>
        <v>481828.22</v>
      </c>
      <c r="AL79" s="601"/>
      <c r="AM79" s="601">
        <f t="shared" si="68"/>
        <v>0.77642668356901967</v>
      </c>
      <c r="AN79" s="601" t="str">
        <f t="shared" si="69"/>
        <v xml:space="preserve"> </v>
      </c>
      <c r="AO79" s="601">
        <f t="shared" si="70"/>
        <v>0.77642668356901967</v>
      </c>
      <c r="AP79" s="208"/>
    </row>
    <row r="80" spans="1:42" s="903" customFormat="1">
      <c r="A80" s="905" t="s">
        <v>1006</v>
      </c>
      <c r="B80" s="912"/>
      <c r="C80" s="40">
        <f>+'CONAP-FUR (REG)-Detail'!D124</f>
        <v>5049.78</v>
      </c>
      <c r="D80" s="40">
        <f>+'CONAP-FUR (REG)-Detail'!E124</f>
        <v>0</v>
      </c>
      <c r="E80" s="40">
        <f t="shared" si="49"/>
        <v>5049.78</v>
      </c>
      <c r="F80" s="40">
        <f>+'CONAP-FUR (REG)-Detail'!G124</f>
        <v>0</v>
      </c>
      <c r="G80" s="40">
        <f>+'CONAP-FUR (REG)-Detail'!H124</f>
        <v>-3272578.66</v>
      </c>
      <c r="H80" s="40">
        <f>+'CONAP-FUR (REG)-Detail'!I124</f>
        <v>0</v>
      </c>
      <c r="I80" s="40">
        <f t="shared" si="50"/>
        <v>-3272578.66</v>
      </c>
      <c r="J80" s="40">
        <f>+'CONAP-FUR (REG)-Detail'!K124</f>
        <v>0</v>
      </c>
      <c r="K80" s="40">
        <f>+'CONAP-FUR (REG)-Detail'!L124</f>
        <v>3688110.86</v>
      </c>
      <c r="L80" s="40">
        <f>+'CONAP-FUR (REG)-Detail'!M124</f>
        <v>0</v>
      </c>
      <c r="M80" s="40">
        <f t="shared" si="51"/>
        <v>3688110.86</v>
      </c>
      <c r="N80" s="40">
        <f t="shared" si="52"/>
        <v>0</v>
      </c>
      <c r="O80" s="40">
        <f t="shared" si="53"/>
        <v>415532.19999999972</v>
      </c>
      <c r="P80" s="40">
        <f t="shared" si="54"/>
        <v>0</v>
      </c>
      <c r="Q80" s="40">
        <f t="shared" si="55"/>
        <v>415532.19999999972</v>
      </c>
      <c r="R80" s="40">
        <f t="shared" si="56"/>
        <v>0</v>
      </c>
      <c r="S80" s="40">
        <f t="shared" si="57"/>
        <v>420581.97999999975</v>
      </c>
      <c r="T80" s="40">
        <f t="shared" si="58"/>
        <v>0</v>
      </c>
      <c r="U80" s="40">
        <f t="shared" si="59"/>
        <v>420581.97999999975</v>
      </c>
      <c r="V80" s="40">
        <f>+'CONAP-FUR (REG)-Detail'!W124</f>
        <v>0</v>
      </c>
      <c r="W80" s="40">
        <f>+'CONAP-FUR (REG)-Detail'!X124</f>
        <v>4851.1000000000004</v>
      </c>
      <c r="X80" s="40">
        <f>+'CONAP-FUR (REG)-Detail'!Y124</f>
        <v>0</v>
      </c>
      <c r="Y80" s="40">
        <f t="shared" si="6"/>
        <v>4851.1000000000004</v>
      </c>
      <c r="Z80" s="40">
        <f>+'CONAP-FUR (REG)-Detail'!AA124</f>
        <v>0</v>
      </c>
      <c r="AA80" s="40">
        <f>+'CONAP-FUR (REG)-Detail'!AB124</f>
        <v>338502.78000000009</v>
      </c>
      <c r="AB80" s="40">
        <f>+'CONAP-FUR (REG)-Detail'!AC124</f>
        <v>0</v>
      </c>
      <c r="AC80" s="40">
        <f t="shared" si="7"/>
        <v>338502.78000000009</v>
      </c>
      <c r="AD80" s="40">
        <f t="shared" si="60"/>
        <v>0</v>
      </c>
      <c r="AE80" s="40">
        <f t="shared" si="61"/>
        <v>343353.88000000006</v>
      </c>
      <c r="AF80" s="40">
        <f t="shared" si="62"/>
        <v>0</v>
      </c>
      <c r="AG80" s="40">
        <f t="shared" si="63"/>
        <v>343353.88000000006</v>
      </c>
      <c r="AH80" s="40">
        <f t="shared" si="64"/>
        <v>0</v>
      </c>
      <c r="AI80" s="40">
        <f t="shared" si="65"/>
        <v>77228.099999999686</v>
      </c>
      <c r="AJ80" s="40">
        <f t="shared" si="66"/>
        <v>0</v>
      </c>
      <c r="AK80" s="40">
        <f t="shared" si="67"/>
        <v>77228.099999999686</v>
      </c>
      <c r="AL80" s="601"/>
      <c r="AM80" s="601">
        <f t="shared" si="68"/>
        <v>0.81637801029896784</v>
      </c>
      <c r="AN80" s="601" t="str">
        <f t="shared" si="69"/>
        <v xml:space="preserve"> </v>
      </c>
      <c r="AO80" s="601">
        <f t="shared" si="70"/>
        <v>0.81637801029896784</v>
      </c>
      <c r="AP80" s="208"/>
    </row>
    <row r="81" spans="1:42" s="903" customFormat="1">
      <c r="A81" s="905" t="s">
        <v>1007</v>
      </c>
      <c r="B81" s="912"/>
      <c r="C81" s="40">
        <f>+'CONAP-FUR (REG)-Detail'!D125</f>
        <v>0</v>
      </c>
      <c r="D81" s="40">
        <f>+'CONAP-FUR (REG)-Detail'!E125</f>
        <v>0</v>
      </c>
      <c r="E81" s="40">
        <f t="shared" si="49"/>
        <v>0</v>
      </c>
      <c r="F81" s="40">
        <f>+'CONAP-FUR (REG)-Detail'!G125</f>
        <v>0</v>
      </c>
      <c r="G81" s="40">
        <f>+'CONAP-FUR (REG)-Detail'!H125</f>
        <v>-3987389.48</v>
      </c>
      <c r="H81" s="40">
        <f>+'CONAP-FUR (REG)-Detail'!I125</f>
        <v>0</v>
      </c>
      <c r="I81" s="40">
        <f t="shared" si="50"/>
        <v>-3987389.48</v>
      </c>
      <c r="J81" s="40">
        <f>+'CONAP-FUR (REG)-Detail'!K125</f>
        <v>0</v>
      </c>
      <c r="K81" s="40">
        <f>+'CONAP-FUR (REG)-Detail'!L125</f>
        <v>4367389.4800000004</v>
      </c>
      <c r="L81" s="40">
        <f>+'CONAP-FUR (REG)-Detail'!M125</f>
        <v>0</v>
      </c>
      <c r="M81" s="40">
        <f t="shared" si="51"/>
        <v>4367389.4800000004</v>
      </c>
      <c r="N81" s="40">
        <f t="shared" si="52"/>
        <v>0</v>
      </c>
      <c r="O81" s="40">
        <f t="shared" si="53"/>
        <v>380000.00000000047</v>
      </c>
      <c r="P81" s="40">
        <f t="shared" si="54"/>
        <v>0</v>
      </c>
      <c r="Q81" s="40">
        <f t="shared" si="55"/>
        <v>380000.00000000047</v>
      </c>
      <c r="R81" s="40">
        <f t="shared" si="56"/>
        <v>0</v>
      </c>
      <c r="S81" s="40">
        <f t="shared" si="57"/>
        <v>380000.00000000047</v>
      </c>
      <c r="T81" s="40">
        <f t="shared" si="58"/>
        <v>0</v>
      </c>
      <c r="U81" s="40">
        <f t="shared" si="59"/>
        <v>380000.00000000047</v>
      </c>
      <c r="V81" s="40">
        <f>+'CONAP-FUR (REG)-Detail'!W125</f>
        <v>0</v>
      </c>
      <c r="W81" s="40">
        <f>+'CONAP-FUR (REG)-Detail'!X125</f>
        <v>0</v>
      </c>
      <c r="X81" s="40">
        <f>+'CONAP-FUR (REG)-Detail'!Y125</f>
        <v>0</v>
      </c>
      <c r="Y81" s="40">
        <f t="shared" si="6"/>
        <v>0</v>
      </c>
      <c r="Z81" s="40">
        <f>+'CONAP-FUR (REG)-Detail'!AA125</f>
        <v>0</v>
      </c>
      <c r="AA81" s="40">
        <f>+'CONAP-FUR (REG)-Detail'!AB125</f>
        <v>164924.63999999998</v>
      </c>
      <c r="AB81" s="40">
        <f>+'CONAP-FUR (REG)-Detail'!AC125</f>
        <v>0</v>
      </c>
      <c r="AC81" s="40">
        <f t="shared" si="7"/>
        <v>164924.63999999998</v>
      </c>
      <c r="AD81" s="40">
        <f t="shared" si="60"/>
        <v>0</v>
      </c>
      <c r="AE81" s="40">
        <f t="shared" si="61"/>
        <v>164924.63999999998</v>
      </c>
      <c r="AF81" s="40">
        <f t="shared" si="62"/>
        <v>0</v>
      </c>
      <c r="AG81" s="40">
        <f t="shared" si="63"/>
        <v>164924.63999999998</v>
      </c>
      <c r="AH81" s="40">
        <f t="shared" si="64"/>
        <v>0</v>
      </c>
      <c r="AI81" s="40">
        <f t="shared" si="65"/>
        <v>215075.36000000048</v>
      </c>
      <c r="AJ81" s="40">
        <f t="shared" si="66"/>
        <v>0</v>
      </c>
      <c r="AK81" s="40">
        <f t="shared" si="67"/>
        <v>215075.36000000048</v>
      </c>
      <c r="AL81" s="601"/>
      <c r="AM81" s="601">
        <f t="shared" si="68"/>
        <v>0.43401221052631522</v>
      </c>
      <c r="AN81" s="601" t="str">
        <f t="shared" si="69"/>
        <v xml:space="preserve"> </v>
      </c>
      <c r="AO81" s="601">
        <f t="shared" si="70"/>
        <v>0.43401221052631522</v>
      </c>
      <c r="AP81" s="208"/>
    </row>
    <row r="82" spans="1:42" s="903" customFormat="1">
      <c r="A82" s="905" t="s">
        <v>1008</v>
      </c>
      <c r="B82" s="912"/>
      <c r="C82" s="40">
        <f>+'CONAP-FUR (REG)-Detail'!D126</f>
        <v>2774647.03</v>
      </c>
      <c r="D82" s="40">
        <f>+'CONAP-FUR (REG)-Detail'!E126</f>
        <v>0</v>
      </c>
      <c r="E82" s="40">
        <f t="shared" si="49"/>
        <v>2774647.03</v>
      </c>
      <c r="F82" s="40">
        <f>+'CONAP-FUR (REG)-Detail'!G126</f>
        <v>0</v>
      </c>
      <c r="G82" s="40">
        <f>+'CONAP-FUR (REG)-Detail'!H126</f>
        <v>-2633144.66</v>
      </c>
      <c r="H82" s="40">
        <f>+'CONAP-FUR (REG)-Detail'!I126</f>
        <v>0</v>
      </c>
      <c r="I82" s="40">
        <f t="shared" si="50"/>
        <v>-2633144.66</v>
      </c>
      <c r="J82" s="40">
        <f>+'CONAP-FUR (REG)-Detail'!K126</f>
        <v>0</v>
      </c>
      <c r="K82" s="40">
        <f>+'CONAP-FUR (REG)-Detail'!L126</f>
        <v>3069529.71</v>
      </c>
      <c r="L82" s="40">
        <f>+'CONAP-FUR (REG)-Detail'!M126</f>
        <v>0</v>
      </c>
      <c r="M82" s="40">
        <f t="shared" si="51"/>
        <v>3069529.71</v>
      </c>
      <c r="N82" s="40">
        <f t="shared" si="52"/>
        <v>0</v>
      </c>
      <c r="O82" s="40">
        <f t="shared" si="53"/>
        <v>436385.04999999981</v>
      </c>
      <c r="P82" s="40">
        <f t="shared" si="54"/>
        <v>0</v>
      </c>
      <c r="Q82" s="40">
        <f t="shared" si="55"/>
        <v>436385.04999999981</v>
      </c>
      <c r="R82" s="40">
        <f t="shared" si="56"/>
        <v>0</v>
      </c>
      <c r="S82" s="40">
        <f t="shared" si="57"/>
        <v>3211032.0799999996</v>
      </c>
      <c r="T82" s="40">
        <f t="shared" si="58"/>
        <v>0</v>
      </c>
      <c r="U82" s="40">
        <f t="shared" si="59"/>
        <v>3211032.0799999996</v>
      </c>
      <c r="V82" s="40">
        <f>+'CONAP-FUR (REG)-Detail'!W126</f>
        <v>0</v>
      </c>
      <c r="W82" s="40">
        <f>+'CONAP-FUR (REG)-Detail'!X126</f>
        <v>2774647.0300000003</v>
      </c>
      <c r="X82" s="40">
        <f>+'CONAP-FUR (REG)-Detail'!Y126</f>
        <v>0</v>
      </c>
      <c r="Y82" s="40">
        <f t="shared" si="6"/>
        <v>2774647.0300000003</v>
      </c>
      <c r="Z82" s="40">
        <f>+'CONAP-FUR (REG)-Detail'!AA126</f>
        <v>0</v>
      </c>
      <c r="AA82" s="40">
        <f>+'CONAP-FUR (REG)-Detail'!AB126</f>
        <v>415105.02</v>
      </c>
      <c r="AB82" s="40">
        <f>+'CONAP-FUR (REG)-Detail'!AC126</f>
        <v>0</v>
      </c>
      <c r="AC82" s="40">
        <f t="shared" si="7"/>
        <v>415105.02</v>
      </c>
      <c r="AD82" s="40">
        <f t="shared" si="60"/>
        <v>0</v>
      </c>
      <c r="AE82" s="40">
        <f t="shared" si="61"/>
        <v>3189752.0500000003</v>
      </c>
      <c r="AF82" s="40">
        <f t="shared" si="62"/>
        <v>0</v>
      </c>
      <c r="AG82" s="40">
        <f t="shared" si="63"/>
        <v>3189752.0500000003</v>
      </c>
      <c r="AH82" s="40">
        <f t="shared" si="64"/>
        <v>0</v>
      </c>
      <c r="AI82" s="40">
        <f t="shared" si="65"/>
        <v>21280.029999999329</v>
      </c>
      <c r="AJ82" s="40">
        <f t="shared" si="66"/>
        <v>0</v>
      </c>
      <c r="AK82" s="40">
        <f t="shared" si="67"/>
        <v>21280.029999999329</v>
      </c>
      <c r="AL82" s="601"/>
      <c r="AM82" s="601">
        <f t="shared" si="68"/>
        <v>0.993372837931909</v>
      </c>
      <c r="AN82" s="601" t="str">
        <f t="shared" si="69"/>
        <v xml:space="preserve"> </v>
      </c>
      <c r="AO82" s="601">
        <f t="shared" si="70"/>
        <v>0.993372837931909</v>
      </c>
      <c r="AP82" s="208"/>
    </row>
    <row r="83" spans="1:42" s="16" customFormat="1">
      <c r="A83" s="596"/>
      <c r="B83" s="40"/>
      <c r="C83" s="40"/>
      <c r="D83" s="40"/>
      <c r="E83" s="41">
        <f t="shared" si="49"/>
        <v>0</v>
      </c>
      <c r="F83" s="40"/>
      <c r="G83" s="40"/>
      <c r="H83" s="40"/>
      <c r="I83" s="41">
        <f t="shared" si="50"/>
        <v>0</v>
      </c>
      <c r="J83" s="40"/>
      <c r="K83" s="40"/>
      <c r="L83" s="40"/>
      <c r="M83" s="41">
        <f t="shared" si="51"/>
        <v>0</v>
      </c>
      <c r="N83" s="40">
        <f t="shared" si="52"/>
        <v>0</v>
      </c>
      <c r="O83" s="40">
        <f t="shared" si="53"/>
        <v>0</v>
      </c>
      <c r="P83" s="40">
        <f t="shared" si="54"/>
        <v>0</v>
      </c>
      <c r="Q83" s="41">
        <f t="shared" si="55"/>
        <v>0</v>
      </c>
      <c r="R83" s="40">
        <f t="shared" si="56"/>
        <v>0</v>
      </c>
      <c r="S83" s="40">
        <f t="shared" si="57"/>
        <v>0</v>
      </c>
      <c r="T83" s="40">
        <f t="shared" si="58"/>
        <v>0</v>
      </c>
      <c r="U83" s="41">
        <f t="shared" si="59"/>
        <v>0</v>
      </c>
      <c r="V83" s="40"/>
      <c r="W83" s="40"/>
      <c r="X83" s="40"/>
      <c r="Y83" s="41">
        <f t="shared" si="6"/>
        <v>0</v>
      </c>
      <c r="Z83" s="40"/>
      <c r="AA83" s="40"/>
      <c r="AB83" s="40"/>
      <c r="AC83" s="41">
        <f t="shared" si="7"/>
        <v>0</v>
      </c>
      <c r="AD83" s="40">
        <f t="shared" si="60"/>
        <v>0</v>
      </c>
      <c r="AE83" s="40">
        <f t="shared" si="61"/>
        <v>0</v>
      </c>
      <c r="AF83" s="40">
        <f t="shared" si="62"/>
        <v>0</v>
      </c>
      <c r="AG83" s="41">
        <f t="shared" si="63"/>
        <v>0</v>
      </c>
      <c r="AH83" s="41">
        <f t="shared" si="64"/>
        <v>0</v>
      </c>
      <c r="AI83" s="40">
        <f t="shared" si="65"/>
        <v>0</v>
      </c>
      <c r="AJ83" s="40">
        <f t="shared" si="66"/>
        <v>0</v>
      </c>
      <c r="AK83" s="41">
        <f t="shared" si="67"/>
        <v>0</v>
      </c>
      <c r="AL83" s="601"/>
      <c r="AM83" s="601" t="str">
        <f t="shared" si="68"/>
        <v xml:space="preserve"> </v>
      </c>
      <c r="AN83" s="601" t="str">
        <f t="shared" si="69"/>
        <v xml:space="preserve"> </v>
      </c>
      <c r="AO83" s="601" t="str">
        <f t="shared" si="70"/>
        <v xml:space="preserve"> </v>
      </c>
      <c r="AP83" s="189"/>
    </row>
    <row r="84" spans="1:42" s="1159" customFormat="1" ht="16.5">
      <c r="A84" s="1160" t="s">
        <v>445</v>
      </c>
      <c r="B84" s="1155">
        <f>SUM(B85:B101)</f>
        <v>0</v>
      </c>
      <c r="C84" s="1155">
        <f>+C85+C92+C101</f>
        <v>26183173.360000018</v>
      </c>
      <c r="D84" s="1155">
        <f t="shared" ref="D84:AK84" si="72">+D85+D92+D101</f>
        <v>100000000</v>
      </c>
      <c r="E84" s="1155">
        <f t="shared" si="72"/>
        <v>126183173.36000001</v>
      </c>
      <c r="F84" s="1155">
        <f t="shared" si="72"/>
        <v>0</v>
      </c>
      <c r="G84" s="1155">
        <f t="shared" si="72"/>
        <v>-9501630.1799999978</v>
      </c>
      <c r="H84" s="1155">
        <f t="shared" si="72"/>
        <v>-51783838</v>
      </c>
      <c r="I84" s="1155">
        <f t="shared" si="72"/>
        <v>-61285468.180000007</v>
      </c>
      <c r="J84" s="1155">
        <f t="shared" si="72"/>
        <v>0</v>
      </c>
      <c r="K84" s="1155">
        <f t="shared" si="72"/>
        <v>154302046.08000001</v>
      </c>
      <c r="L84" s="1155">
        <f t="shared" si="72"/>
        <v>131469330.18000001</v>
      </c>
      <c r="M84" s="1155">
        <f t="shared" si="72"/>
        <v>285771376.25999999</v>
      </c>
      <c r="N84" s="1155">
        <f t="shared" si="72"/>
        <v>0</v>
      </c>
      <c r="O84" s="1155">
        <f t="shared" si="72"/>
        <v>144800415.90000001</v>
      </c>
      <c r="P84" s="1155">
        <f t="shared" si="72"/>
        <v>79685492.180000007</v>
      </c>
      <c r="Q84" s="1155">
        <f t="shared" si="72"/>
        <v>224485908.08000001</v>
      </c>
      <c r="R84" s="1155">
        <f t="shared" si="72"/>
        <v>0</v>
      </c>
      <c r="S84" s="1155">
        <f t="shared" si="72"/>
        <v>170983589.25999999</v>
      </c>
      <c r="T84" s="1155">
        <f t="shared" si="72"/>
        <v>179685492.18000001</v>
      </c>
      <c r="U84" s="1155">
        <f t="shared" si="72"/>
        <v>350669081.44000006</v>
      </c>
      <c r="V84" s="1155">
        <f t="shared" si="72"/>
        <v>0</v>
      </c>
      <c r="W84" s="1155">
        <f t="shared" si="72"/>
        <v>9950825.459999999</v>
      </c>
      <c r="X84" s="1155">
        <f t="shared" si="72"/>
        <v>31356400</v>
      </c>
      <c r="Y84" s="1155">
        <f t="shared" si="72"/>
        <v>41307225.460000001</v>
      </c>
      <c r="Z84" s="1155">
        <f t="shared" si="72"/>
        <v>0</v>
      </c>
      <c r="AA84" s="1155">
        <f t="shared" si="72"/>
        <v>77745553.170000002</v>
      </c>
      <c r="AB84" s="1155">
        <f t="shared" si="72"/>
        <v>20604435.850000001</v>
      </c>
      <c r="AC84" s="1155">
        <f t="shared" si="72"/>
        <v>98349989.020000011</v>
      </c>
      <c r="AD84" s="1155">
        <f t="shared" si="72"/>
        <v>0</v>
      </c>
      <c r="AE84" s="1155">
        <f t="shared" si="72"/>
        <v>87696378.63000001</v>
      </c>
      <c r="AF84" s="1155">
        <f t="shared" si="72"/>
        <v>51960835.850000001</v>
      </c>
      <c r="AG84" s="1155">
        <f t="shared" si="72"/>
        <v>139657214.48000002</v>
      </c>
      <c r="AH84" s="1155">
        <f t="shared" si="72"/>
        <v>0</v>
      </c>
      <c r="AI84" s="1155">
        <f t="shared" si="72"/>
        <v>83287210.629999995</v>
      </c>
      <c r="AJ84" s="1155">
        <f t="shared" si="72"/>
        <v>127724656.33000001</v>
      </c>
      <c r="AK84" s="1155">
        <f t="shared" si="72"/>
        <v>211011866.96000004</v>
      </c>
      <c r="AL84" s="1157" t="str">
        <f t="shared" si="33"/>
        <v xml:space="preserve"> </v>
      </c>
      <c r="AM84" s="1157">
        <f t="shared" si="68"/>
        <v>0.51289354147694077</v>
      </c>
      <c r="AN84" s="1157">
        <f t="shared" si="69"/>
        <v>0.28917657858514373</v>
      </c>
      <c r="AO84" s="1157">
        <f t="shared" si="70"/>
        <v>0.39825927597182686</v>
      </c>
      <c r="AP84" s="1172"/>
    </row>
    <row r="85" spans="1:42" s="609" customFormat="1" ht="16.5">
      <c r="A85" s="1153" t="s">
        <v>1011</v>
      </c>
      <c r="B85" s="1161">
        <f>+'CONAP-FUR (REG)-Detail'!C228+'CONAP-FUR (REG)-Detail'!C140</f>
        <v>0</v>
      </c>
      <c r="C85" s="1161">
        <f>SUM(C86:C90)</f>
        <v>19913096.379999999</v>
      </c>
      <c r="D85" s="1161">
        <f t="shared" ref="D85:AK85" si="73">SUM(D86:D90)</f>
        <v>100000000</v>
      </c>
      <c r="E85" s="1161">
        <f t="shared" si="73"/>
        <v>119913096.38</v>
      </c>
      <c r="F85" s="1161">
        <f t="shared" si="73"/>
        <v>0</v>
      </c>
      <c r="G85" s="1161">
        <f t="shared" si="73"/>
        <v>-417244.9</v>
      </c>
      <c r="H85" s="1161">
        <f t="shared" si="73"/>
        <v>4959400</v>
      </c>
      <c r="I85" s="1161">
        <f t="shared" si="73"/>
        <v>4542155.0999999996</v>
      </c>
      <c r="J85" s="1161">
        <f t="shared" si="73"/>
        <v>0</v>
      </c>
      <c r="K85" s="1161">
        <f t="shared" si="73"/>
        <v>50552211.870000005</v>
      </c>
      <c r="L85" s="1161">
        <f t="shared" si="73"/>
        <v>360682.56</v>
      </c>
      <c r="M85" s="1161">
        <f t="shared" si="73"/>
        <v>50912894.430000007</v>
      </c>
      <c r="N85" s="1161">
        <f t="shared" si="73"/>
        <v>0</v>
      </c>
      <c r="O85" s="1161">
        <f t="shared" si="73"/>
        <v>50134966.970000006</v>
      </c>
      <c r="P85" s="1161">
        <f t="shared" si="73"/>
        <v>5320082.5599999996</v>
      </c>
      <c r="Q85" s="1161">
        <f t="shared" si="73"/>
        <v>55455049.530000009</v>
      </c>
      <c r="R85" s="1161">
        <f t="shared" si="73"/>
        <v>0</v>
      </c>
      <c r="S85" s="1161">
        <f t="shared" si="73"/>
        <v>70048063.349999994</v>
      </c>
      <c r="T85" s="1161">
        <f t="shared" si="73"/>
        <v>105320082.56</v>
      </c>
      <c r="U85" s="1161">
        <f t="shared" si="73"/>
        <v>175368145.91</v>
      </c>
      <c r="V85" s="1161">
        <f t="shared" si="73"/>
        <v>0</v>
      </c>
      <c r="W85" s="1161">
        <f t="shared" si="73"/>
        <v>4299415.8099999996</v>
      </c>
      <c r="X85" s="1161">
        <f t="shared" si="73"/>
        <v>31356400</v>
      </c>
      <c r="Y85" s="1161">
        <f t="shared" si="73"/>
        <v>35655815.810000002</v>
      </c>
      <c r="Z85" s="1161">
        <f t="shared" si="73"/>
        <v>0</v>
      </c>
      <c r="AA85" s="1161">
        <f t="shared" si="73"/>
        <v>24149677.859999999</v>
      </c>
      <c r="AB85" s="1161">
        <f t="shared" si="73"/>
        <v>280210</v>
      </c>
      <c r="AC85" s="1161">
        <f t="shared" si="73"/>
        <v>24429887.859999999</v>
      </c>
      <c r="AD85" s="1161">
        <f t="shared" si="73"/>
        <v>0</v>
      </c>
      <c r="AE85" s="1161">
        <f t="shared" si="73"/>
        <v>28449093.669999998</v>
      </c>
      <c r="AF85" s="1161">
        <f t="shared" si="73"/>
        <v>31636610</v>
      </c>
      <c r="AG85" s="1161">
        <f t="shared" si="73"/>
        <v>60085703.670000002</v>
      </c>
      <c r="AH85" s="1161">
        <f t="shared" si="73"/>
        <v>0</v>
      </c>
      <c r="AI85" s="1161">
        <f t="shared" si="73"/>
        <v>41598969.68</v>
      </c>
      <c r="AJ85" s="1161">
        <f t="shared" si="73"/>
        <v>73683472.560000002</v>
      </c>
      <c r="AK85" s="1161">
        <f t="shared" si="73"/>
        <v>115282442.24000001</v>
      </c>
      <c r="AL85" s="608" t="str">
        <f t="shared" si="33"/>
        <v xml:space="preserve"> </v>
      </c>
      <c r="AM85" s="608">
        <f t="shared" si="68"/>
        <v>0.40613676252335679</v>
      </c>
      <c r="AN85" s="608">
        <f t="shared" si="69"/>
        <v>0.30038535131205274</v>
      </c>
      <c r="AO85" s="608">
        <f t="shared" si="70"/>
        <v>0.34262609870344612</v>
      </c>
      <c r="AP85" s="1171">
        <f>+AK85-'CONAP (ALL FUNDS)'!Q595</f>
        <v>0</v>
      </c>
    </row>
    <row r="86" spans="1:42" s="16" customFormat="1">
      <c r="A86" s="905" t="s">
        <v>1012</v>
      </c>
      <c r="B86" s="40"/>
      <c r="C86" s="40">
        <f>+'CONAP-FUR (REG)-Detail'!D228</f>
        <v>16958861.049999997</v>
      </c>
      <c r="D86" s="40">
        <f>+'CONAP-FUR (REG)-Detail'!E228</f>
        <v>0</v>
      </c>
      <c r="E86" s="40">
        <f t="shared" si="49"/>
        <v>16958861.049999997</v>
      </c>
      <c r="F86" s="40">
        <f>+'CONAP-FUR (REG)-Detail'!G228</f>
        <v>0</v>
      </c>
      <c r="G86" s="40">
        <f>+'CONAP-FUR (REG)-Detail'!H228</f>
        <v>-2059866.99</v>
      </c>
      <c r="H86" s="40">
        <f>+'CONAP-FUR (REG)-Detail'!I228</f>
        <v>4959400</v>
      </c>
      <c r="I86" s="40">
        <f t="shared" si="50"/>
        <v>2899533.01</v>
      </c>
      <c r="J86" s="40">
        <f>+'CONAP-FUR (REG)-Detail'!K228</f>
        <v>0</v>
      </c>
      <c r="K86" s="40">
        <f>+'CONAP-FUR (REG)-Detail'!L228</f>
        <v>38965067.010000005</v>
      </c>
      <c r="L86" s="40">
        <f>+'CONAP-FUR (REG)-Detail'!M228</f>
        <v>360682.56</v>
      </c>
      <c r="M86" s="40">
        <f t="shared" si="51"/>
        <v>39325749.570000008</v>
      </c>
      <c r="N86" s="40">
        <f t="shared" si="52"/>
        <v>0</v>
      </c>
      <c r="O86" s="40">
        <f t="shared" si="53"/>
        <v>36905200.020000003</v>
      </c>
      <c r="P86" s="40">
        <f t="shared" si="54"/>
        <v>5320082.5599999996</v>
      </c>
      <c r="Q86" s="40">
        <f t="shared" si="55"/>
        <v>42225282.580000006</v>
      </c>
      <c r="R86" s="40">
        <f t="shared" si="56"/>
        <v>0</v>
      </c>
      <c r="S86" s="40">
        <f t="shared" si="57"/>
        <v>53864061.07</v>
      </c>
      <c r="T86" s="40">
        <f t="shared" si="58"/>
        <v>5320082.5599999996</v>
      </c>
      <c r="U86" s="40">
        <f t="shared" si="59"/>
        <v>59184143.630000003</v>
      </c>
      <c r="V86" s="40">
        <f>+'CONAP-FUR (REG)-Detail'!W228</f>
        <v>0</v>
      </c>
      <c r="W86" s="40">
        <f>+'CONAP-FUR (REG)-Detail'!X228</f>
        <v>2399970.86</v>
      </c>
      <c r="X86" s="40">
        <f>+'CONAP-FUR (REG)-Detail'!Y228</f>
        <v>0</v>
      </c>
      <c r="Y86" s="40">
        <f t="shared" si="6"/>
        <v>2399970.86</v>
      </c>
      <c r="Z86" s="40">
        <f>+'CONAP-FUR (REG)-Detail'!AA228</f>
        <v>0</v>
      </c>
      <c r="AA86" s="40">
        <f>+'CONAP-FUR (REG)-Detail'!AB228</f>
        <v>20063604.439999998</v>
      </c>
      <c r="AB86" s="40">
        <f>+'CONAP-FUR (REG)-Detail'!AC228</f>
        <v>280210</v>
      </c>
      <c r="AC86" s="40">
        <f t="shared" si="7"/>
        <v>20343814.439999998</v>
      </c>
      <c r="AD86" s="40">
        <f t="shared" si="60"/>
        <v>0</v>
      </c>
      <c r="AE86" s="40">
        <f t="shared" si="61"/>
        <v>22463575.299999997</v>
      </c>
      <c r="AF86" s="40">
        <f t="shared" si="62"/>
        <v>280210</v>
      </c>
      <c r="AG86" s="40">
        <f t="shared" si="63"/>
        <v>22743785.299999997</v>
      </c>
      <c r="AH86" s="40">
        <f t="shared" si="64"/>
        <v>0</v>
      </c>
      <c r="AI86" s="40">
        <f t="shared" si="65"/>
        <v>31400485.770000003</v>
      </c>
      <c r="AJ86" s="40">
        <f t="shared" si="66"/>
        <v>5039872.5599999996</v>
      </c>
      <c r="AK86" s="40">
        <f t="shared" si="67"/>
        <v>36440358.330000006</v>
      </c>
      <c r="AL86" s="600"/>
      <c r="AM86" s="600">
        <f t="shared" si="68"/>
        <v>0.41704199152022825</v>
      </c>
      <c r="AN86" s="600">
        <f t="shared" si="69"/>
        <v>5.2670235252890517E-2</v>
      </c>
      <c r="AO86" s="600">
        <f t="shared" si="70"/>
        <v>0.38428849190057962</v>
      </c>
      <c r="AP86" s="189"/>
    </row>
    <row r="87" spans="1:42" s="16" customFormat="1">
      <c r="A87" s="905" t="s">
        <v>1013</v>
      </c>
      <c r="B87" s="40"/>
      <c r="C87" s="40">
        <f>+'CONAP-FUR (REG)-Detail'!D141</f>
        <v>2470437.36</v>
      </c>
      <c r="D87" s="40">
        <f>+'CONAP-FUR (REG)-Detail'!E141</f>
        <v>0</v>
      </c>
      <c r="E87" s="40">
        <f t="shared" si="49"/>
        <v>2470437.36</v>
      </c>
      <c r="F87" s="40">
        <f>+'CONAP-FUR (REG)-Detail'!G141</f>
        <v>0</v>
      </c>
      <c r="G87" s="40">
        <f>+'CONAP-FUR (REG)-Detail'!H141</f>
        <v>1631324.54</v>
      </c>
      <c r="H87" s="40">
        <f>+'CONAP-FUR (REG)-Detail'!I141</f>
        <v>0</v>
      </c>
      <c r="I87" s="40">
        <f t="shared" si="50"/>
        <v>1631324.54</v>
      </c>
      <c r="J87" s="40">
        <f>+'CONAP-FUR (REG)-Detail'!K141</f>
        <v>0</v>
      </c>
      <c r="K87" s="40">
        <f>+'CONAP-FUR (REG)-Detail'!L141</f>
        <v>8860190.4699999988</v>
      </c>
      <c r="L87" s="40">
        <f>+'CONAP-FUR (REG)-Detail'!M141</f>
        <v>0</v>
      </c>
      <c r="M87" s="40">
        <f t="shared" si="51"/>
        <v>8860190.4699999988</v>
      </c>
      <c r="N87" s="40">
        <f t="shared" si="52"/>
        <v>0</v>
      </c>
      <c r="O87" s="40">
        <f t="shared" si="53"/>
        <v>10491515.009999998</v>
      </c>
      <c r="P87" s="40">
        <f t="shared" si="54"/>
        <v>0</v>
      </c>
      <c r="Q87" s="40">
        <f t="shared" si="55"/>
        <v>10491515.009999998</v>
      </c>
      <c r="R87" s="40">
        <f t="shared" si="56"/>
        <v>0</v>
      </c>
      <c r="S87" s="40">
        <f t="shared" si="57"/>
        <v>12961952.369999997</v>
      </c>
      <c r="T87" s="40">
        <f t="shared" si="58"/>
        <v>0</v>
      </c>
      <c r="U87" s="40">
        <f t="shared" si="59"/>
        <v>12961952.369999997</v>
      </c>
      <c r="V87" s="40">
        <f>+'CONAP-FUR (REG)-Detail'!W141</f>
        <v>0</v>
      </c>
      <c r="W87" s="40">
        <f>+'CONAP-FUR (REG)-Detail'!X141</f>
        <v>1483279.99</v>
      </c>
      <c r="X87" s="40">
        <f>+'CONAP-FUR (REG)-Detail'!Y141</f>
        <v>0</v>
      </c>
      <c r="Y87" s="40">
        <f t="shared" si="6"/>
        <v>1483279.99</v>
      </c>
      <c r="Z87" s="40">
        <f>+'CONAP-FUR (REG)-Detail'!AA141</f>
        <v>0</v>
      </c>
      <c r="AA87" s="40">
        <f>+'CONAP-FUR (REG)-Detail'!AB141</f>
        <v>2627541.64</v>
      </c>
      <c r="AB87" s="40">
        <f>+'CONAP-FUR (REG)-Detail'!AC141</f>
        <v>0</v>
      </c>
      <c r="AC87" s="40">
        <f t="shared" si="7"/>
        <v>2627541.64</v>
      </c>
      <c r="AD87" s="40">
        <f t="shared" si="60"/>
        <v>0</v>
      </c>
      <c r="AE87" s="40">
        <f t="shared" si="61"/>
        <v>4110821.63</v>
      </c>
      <c r="AF87" s="40">
        <f t="shared" si="62"/>
        <v>0</v>
      </c>
      <c r="AG87" s="40">
        <f t="shared" si="63"/>
        <v>4110821.63</v>
      </c>
      <c r="AH87" s="40">
        <f t="shared" si="64"/>
        <v>0</v>
      </c>
      <c r="AI87" s="40">
        <f t="shared" si="65"/>
        <v>8851130.7399999984</v>
      </c>
      <c r="AJ87" s="40">
        <f t="shared" si="66"/>
        <v>0</v>
      </c>
      <c r="AK87" s="40">
        <f t="shared" si="67"/>
        <v>8851130.7399999984</v>
      </c>
      <c r="AL87" s="600"/>
      <c r="AM87" s="600">
        <f t="shared" si="68"/>
        <v>0.31714525039563934</v>
      </c>
      <c r="AN87" s="600" t="str">
        <f t="shared" si="69"/>
        <v xml:space="preserve"> </v>
      </c>
      <c r="AO87" s="600">
        <f t="shared" si="70"/>
        <v>0.31714525039563934</v>
      </c>
      <c r="AP87" s="189"/>
    </row>
    <row r="88" spans="1:42" s="16" customFormat="1">
      <c r="A88" s="905" t="s">
        <v>1014</v>
      </c>
      <c r="B88" s="40"/>
      <c r="C88" s="40">
        <f>+'CONAP-FUR (REG)-Detail'!D142</f>
        <v>483713.05</v>
      </c>
      <c r="D88" s="40">
        <f>+'CONAP-FUR (REG)-Detail'!E142</f>
        <v>100000000</v>
      </c>
      <c r="E88" s="40">
        <f t="shared" si="49"/>
        <v>100483713.05</v>
      </c>
      <c r="F88" s="40">
        <f>+'CONAP-FUR (REG)-Detail'!G142</f>
        <v>0</v>
      </c>
      <c r="G88" s="40">
        <f>+'CONAP-FUR (REG)-Detail'!H142</f>
        <v>-177731.34000000008</v>
      </c>
      <c r="H88" s="40">
        <f>+'CONAP-FUR (REG)-Detail'!I142</f>
        <v>0</v>
      </c>
      <c r="I88" s="40">
        <f t="shared" si="50"/>
        <v>-177731.34000000008</v>
      </c>
      <c r="J88" s="40">
        <f>+'CONAP-FUR (REG)-Detail'!K142</f>
        <v>0</v>
      </c>
      <c r="K88" s="40">
        <f>+'CONAP-FUR (REG)-Detail'!L142</f>
        <v>2398625.98</v>
      </c>
      <c r="L88" s="40">
        <f>+'CONAP-FUR (REG)-Detail'!M142</f>
        <v>0</v>
      </c>
      <c r="M88" s="40">
        <f t="shared" si="51"/>
        <v>2398625.98</v>
      </c>
      <c r="N88" s="40">
        <f t="shared" si="52"/>
        <v>0</v>
      </c>
      <c r="O88" s="40">
        <f t="shared" si="53"/>
        <v>2220894.6399999997</v>
      </c>
      <c r="P88" s="40">
        <f t="shared" si="54"/>
        <v>0</v>
      </c>
      <c r="Q88" s="40">
        <f t="shared" si="55"/>
        <v>2220894.6399999997</v>
      </c>
      <c r="R88" s="40">
        <f t="shared" si="56"/>
        <v>0</v>
      </c>
      <c r="S88" s="40">
        <f t="shared" si="57"/>
        <v>2704607.6899999995</v>
      </c>
      <c r="T88" s="40">
        <f t="shared" si="58"/>
        <v>100000000</v>
      </c>
      <c r="U88" s="40">
        <f t="shared" si="59"/>
        <v>102704607.69</v>
      </c>
      <c r="V88" s="40">
        <f>+'CONAP-FUR (REG)-Detail'!W142</f>
        <v>0</v>
      </c>
      <c r="W88" s="40">
        <f>+'CONAP-FUR (REG)-Detail'!X142</f>
        <v>416164.96</v>
      </c>
      <c r="X88" s="40">
        <f>+'CONAP-FUR (REG)-Detail'!Y142</f>
        <v>31356400</v>
      </c>
      <c r="Y88" s="40">
        <f t="shared" si="6"/>
        <v>31772564.960000001</v>
      </c>
      <c r="Z88" s="40">
        <f>+'CONAP-FUR (REG)-Detail'!AA142</f>
        <v>0</v>
      </c>
      <c r="AA88" s="40">
        <f>+'CONAP-FUR (REG)-Detail'!AB142</f>
        <v>951650</v>
      </c>
      <c r="AB88" s="40">
        <f>+'CONAP-FUR (REG)-Detail'!AC142</f>
        <v>0</v>
      </c>
      <c r="AC88" s="40">
        <f t="shared" si="7"/>
        <v>951650</v>
      </c>
      <c r="AD88" s="40">
        <f t="shared" si="60"/>
        <v>0</v>
      </c>
      <c r="AE88" s="40">
        <f t="shared" si="61"/>
        <v>1367814.96</v>
      </c>
      <c r="AF88" s="40">
        <f t="shared" si="62"/>
        <v>31356400</v>
      </c>
      <c r="AG88" s="40">
        <f t="shared" si="63"/>
        <v>32724214.960000001</v>
      </c>
      <c r="AH88" s="40">
        <f t="shared" si="64"/>
        <v>0</v>
      </c>
      <c r="AI88" s="40">
        <f t="shared" si="65"/>
        <v>1336792.7299999995</v>
      </c>
      <c r="AJ88" s="40">
        <f t="shared" si="66"/>
        <v>68643600</v>
      </c>
      <c r="AK88" s="40">
        <f t="shared" si="67"/>
        <v>69980392.730000004</v>
      </c>
      <c r="AL88" s="600"/>
      <c r="AM88" s="600">
        <f t="shared" si="68"/>
        <v>0.50573507021271547</v>
      </c>
      <c r="AN88" s="600">
        <f t="shared" si="69"/>
        <v>0.31356400000000001</v>
      </c>
      <c r="AO88" s="600">
        <f t="shared" si="70"/>
        <v>0.31862460405645704</v>
      </c>
      <c r="AP88" s="189"/>
    </row>
    <row r="89" spans="1:42" s="16" customFormat="1">
      <c r="A89" s="905" t="s">
        <v>1015</v>
      </c>
      <c r="B89" s="40"/>
      <c r="C89" s="40">
        <f>+'CONAP-FUR (REG)-Detail'!D143</f>
        <v>84.92</v>
      </c>
      <c r="D89" s="40">
        <f>+'CONAP-FUR (REG)-Detail'!E143</f>
        <v>0</v>
      </c>
      <c r="E89" s="40">
        <f t="shared" si="49"/>
        <v>84.92</v>
      </c>
      <c r="F89" s="40">
        <f>+'CONAP-FUR (REG)-Detail'!G143</f>
        <v>0</v>
      </c>
      <c r="G89" s="40">
        <f>+'CONAP-FUR (REG)-Detail'!H143</f>
        <v>0</v>
      </c>
      <c r="H89" s="40">
        <f>+'CONAP-FUR (REG)-Detail'!I143</f>
        <v>0</v>
      </c>
      <c r="I89" s="40">
        <f t="shared" si="50"/>
        <v>0</v>
      </c>
      <c r="J89" s="40">
        <f>+'CONAP-FUR (REG)-Detail'!K143</f>
        <v>0</v>
      </c>
      <c r="K89" s="40">
        <f>+'CONAP-FUR (REG)-Detail'!L143</f>
        <v>1783.52</v>
      </c>
      <c r="L89" s="40">
        <f>+'CONAP-FUR (REG)-Detail'!M143</f>
        <v>0</v>
      </c>
      <c r="M89" s="40">
        <f t="shared" si="51"/>
        <v>1783.52</v>
      </c>
      <c r="N89" s="40">
        <f t="shared" si="52"/>
        <v>0</v>
      </c>
      <c r="O89" s="40">
        <f t="shared" si="53"/>
        <v>1783.52</v>
      </c>
      <c r="P89" s="40">
        <f t="shared" si="54"/>
        <v>0</v>
      </c>
      <c r="Q89" s="40">
        <f t="shared" si="55"/>
        <v>1783.52</v>
      </c>
      <c r="R89" s="40">
        <f t="shared" si="56"/>
        <v>0</v>
      </c>
      <c r="S89" s="40">
        <f t="shared" si="57"/>
        <v>1868.44</v>
      </c>
      <c r="T89" s="40">
        <f t="shared" si="58"/>
        <v>0</v>
      </c>
      <c r="U89" s="40">
        <f t="shared" si="59"/>
        <v>1868.44</v>
      </c>
      <c r="V89" s="40">
        <f>+'CONAP-FUR (REG)-Detail'!W143</f>
        <v>0</v>
      </c>
      <c r="W89" s="40">
        <f>+'CONAP-FUR (REG)-Detail'!X143</f>
        <v>0</v>
      </c>
      <c r="X89" s="40">
        <f>+'CONAP-FUR (REG)-Detail'!Y143</f>
        <v>0</v>
      </c>
      <c r="Y89" s="40">
        <f t="shared" si="6"/>
        <v>0</v>
      </c>
      <c r="Z89" s="40">
        <f>+'CONAP-FUR (REG)-Detail'!AA143</f>
        <v>0</v>
      </c>
      <c r="AA89" s="40">
        <f>+'CONAP-FUR (REG)-Detail'!AB143</f>
        <v>0</v>
      </c>
      <c r="AB89" s="40">
        <f>+'CONAP-FUR (REG)-Detail'!AC143</f>
        <v>0</v>
      </c>
      <c r="AC89" s="40">
        <f t="shared" si="7"/>
        <v>0</v>
      </c>
      <c r="AD89" s="40">
        <f t="shared" si="60"/>
        <v>0</v>
      </c>
      <c r="AE89" s="40">
        <f t="shared" si="61"/>
        <v>0</v>
      </c>
      <c r="AF89" s="40">
        <f t="shared" si="62"/>
        <v>0</v>
      </c>
      <c r="AG89" s="40">
        <f t="shared" si="63"/>
        <v>0</v>
      </c>
      <c r="AH89" s="40">
        <f t="shared" si="64"/>
        <v>0</v>
      </c>
      <c r="AI89" s="40">
        <f t="shared" si="65"/>
        <v>1868.44</v>
      </c>
      <c r="AJ89" s="40">
        <f t="shared" si="66"/>
        <v>0</v>
      </c>
      <c r="AK89" s="40">
        <f t="shared" si="67"/>
        <v>1868.44</v>
      </c>
      <c r="AL89" s="600"/>
      <c r="AM89" s="600">
        <f t="shared" si="68"/>
        <v>0</v>
      </c>
      <c r="AN89" s="600" t="str">
        <f t="shared" si="69"/>
        <v xml:space="preserve"> </v>
      </c>
      <c r="AO89" s="600">
        <f t="shared" si="70"/>
        <v>0</v>
      </c>
      <c r="AP89" s="189"/>
    </row>
    <row r="90" spans="1:42" s="16" customFormat="1">
      <c r="A90" s="905" t="s">
        <v>1016</v>
      </c>
      <c r="B90" s="40"/>
      <c r="C90" s="40">
        <f>+'CONAP-FUR (REG)-Detail'!D144</f>
        <v>0</v>
      </c>
      <c r="D90" s="40">
        <f>+'CONAP-FUR (REG)-Detail'!E144</f>
        <v>0</v>
      </c>
      <c r="E90" s="40">
        <f t="shared" si="49"/>
        <v>0</v>
      </c>
      <c r="F90" s="40">
        <f>+'CONAP-FUR (REG)-Detail'!G144</f>
        <v>0</v>
      </c>
      <c r="G90" s="40">
        <f>+'CONAP-FUR (REG)-Detail'!H144</f>
        <v>189028.89</v>
      </c>
      <c r="H90" s="40">
        <f>+'CONAP-FUR (REG)-Detail'!I144</f>
        <v>0</v>
      </c>
      <c r="I90" s="40">
        <f t="shared" si="50"/>
        <v>189028.89</v>
      </c>
      <c r="J90" s="40">
        <f>+'CONAP-FUR (REG)-Detail'!K144</f>
        <v>0</v>
      </c>
      <c r="K90" s="40">
        <f>+'CONAP-FUR (REG)-Detail'!L144</f>
        <v>326544.89</v>
      </c>
      <c r="L90" s="40">
        <f>+'CONAP-FUR (REG)-Detail'!M144</f>
        <v>0</v>
      </c>
      <c r="M90" s="40">
        <f t="shared" si="51"/>
        <v>326544.89</v>
      </c>
      <c r="N90" s="40">
        <f t="shared" si="52"/>
        <v>0</v>
      </c>
      <c r="O90" s="40">
        <f t="shared" si="53"/>
        <v>515573.78</v>
      </c>
      <c r="P90" s="40">
        <f t="shared" si="54"/>
        <v>0</v>
      </c>
      <c r="Q90" s="40">
        <f t="shared" si="55"/>
        <v>515573.78</v>
      </c>
      <c r="R90" s="40">
        <f t="shared" si="56"/>
        <v>0</v>
      </c>
      <c r="S90" s="40">
        <f t="shared" si="57"/>
        <v>515573.78</v>
      </c>
      <c r="T90" s="40">
        <f t="shared" si="58"/>
        <v>0</v>
      </c>
      <c r="U90" s="40">
        <f t="shared" si="59"/>
        <v>515573.78</v>
      </c>
      <c r="V90" s="40">
        <f>+'CONAP-FUR (REG)-Detail'!W144</f>
        <v>0</v>
      </c>
      <c r="W90" s="40">
        <f>+'CONAP-FUR (REG)-Detail'!X144</f>
        <v>0</v>
      </c>
      <c r="X90" s="40">
        <f>+'CONAP-FUR (REG)-Detail'!Y144</f>
        <v>0</v>
      </c>
      <c r="Y90" s="40">
        <f t="shared" si="6"/>
        <v>0</v>
      </c>
      <c r="Z90" s="40">
        <f>+'CONAP-FUR (REG)-Detail'!AA144</f>
        <v>0</v>
      </c>
      <c r="AA90" s="40">
        <f>+'CONAP-FUR (REG)-Detail'!AB144</f>
        <v>506881.78</v>
      </c>
      <c r="AB90" s="40">
        <f>+'CONAP-FUR (REG)-Detail'!AC144</f>
        <v>0</v>
      </c>
      <c r="AC90" s="40">
        <f t="shared" si="7"/>
        <v>506881.78</v>
      </c>
      <c r="AD90" s="40">
        <f t="shared" si="60"/>
        <v>0</v>
      </c>
      <c r="AE90" s="40">
        <f t="shared" si="61"/>
        <v>506881.78</v>
      </c>
      <c r="AF90" s="40">
        <f t="shared" si="62"/>
        <v>0</v>
      </c>
      <c r="AG90" s="40">
        <f t="shared" si="63"/>
        <v>506881.78</v>
      </c>
      <c r="AH90" s="40">
        <f t="shared" si="64"/>
        <v>0</v>
      </c>
      <c r="AI90" s="40">
        <f t="shared" si="65"/>
        <v>8692</v>
      </c>
      <c r="AJ90" s="40">
        <f t="shared" si="66"/>
        <v>0</v>
      </c>
      <c r="AK90" s="40">
        <f t="shared" si="67"/>
        <v>8692</v>
      </c>
      <c r="AL90" s="600"/>
      <c r="AM90" s="600">
        <f t="shared" si="68"/>
        <v>0.98314111318849462</v>
      </c>
      <c r="AN90" s="600" t="str">
        <f t="shared" si="69"/>
        <v xml:space="preserve"> </v>
      </c>
      <c r="AO90" s="600">
        <f t="shared" si="70"/>
        <v>0.98314111318849462</v>
      </c>
      <c r="AP90" s="189"/>
    </row>
    <row r="91" spans="1:42" s="16" customFormat="1">
      <c r="A91" s="596"/>
      <c r="B91" s="40"/>
      <c r="C91" s="40"/>
      <c r="D91" s="40"/>
      <c r="E91" s="579">
        <f t="shared" si="49"/>
        <v>0</v>
      </c>
      <c r="F91" s="40"/>
      <c r="G91" s="40"/>
      <c r="H91" s="40"/>
      <c r="I91" s="579">
        <f t="shared" si="50"/>
        <v>0</v>
      </c>
      <c r="J91" s="40"/>
      <c r="K91" s="40"/>
      <c r="L91" s="40"/>
      <c r="M91" s="579">
        <f t="shared" si="51"/>
        <v>0</v>
      </c>
      <c r="N91" s="40">
        <f t="shared" si="52"/>
        <v>0</v>
      </c>
      <c r="O91" s="40">
        <f t="shared" si="53"/>
        <v>0</v>
      </c>
      <c r="P91" s="40">
        <f t="shared" si="54"/>
        <v>0</v>
      </c>
      <c r="Q91" s="579">
        <f t="shared" si="55"/>
        <v>0</v>
      </c>
      <c r="R91" s="40">
        <f t="shared" si="56"/>
        <v>0</v>
      </c>
      <c r="S91" s="40">
        <f t="shared" si="57"/>
        <v>0</v>
      </c>
      <c r="T91" s="40">
        <f t="shared" si="58"/>
        <v>0</v>
      </c>
      <c r="U91" s="579">
        <f t="shared" si="59"/>
        <v>0</v>
      </c>
      <c r="V91" s="40"/>
      <c r="W91" s="40"/>
      <c r="X91" s="40"/>
      <c r="Y91" s="579">
        <f t="shared" si="6"/>
        <v>0</v>
      </c>
      <c r="Z91" s="40"/>
      <c r="AA91" s="40"/>
      <c r="AB91" s="40"/>
      <c r="AC91" s="579">
        <f t="shared" si="7"/>
        <v>0</v>
      </c>
      <c r="AD91" s="40">
        <f t="shared" si="60"/>
        <v>0</v>
      </c>
      <c r="AE91" s="40">
        <f t="shared" si="61"/>
        <v>0</v>
      </c>
      <c r="AF91" s="40">
        <f t="shared" si="62"/>
        <v>0</v>
      </c>
      <c r="AG91" s="579">
        <f t="shared" si="63"/>
        <v>0</v>
      </c>
      <c r="AH91" s="579">
        <f t="shared" si="64"/>
        <v>0</v>
      </c>
      <c r="AI91" s="40">
        <f t="shared" si="65"/>
        <v>0</v>
      </c>
      <c r="AJ91" s="40">
        <f t="shared" si="66"/>
        <v>0</v>
      </c>
      <c r="AK91" s="579">
        <f t="shared" si="67"/>
        <v>0</v>
      </c>
      <c r="AL91" s="600"/>
      <c r="AM91" s="600" t="str">
        <f t="shared" si="68"/>
        <v xml:space="preserve"> </v>
      </c>
      <c r="AN91" s="600" t="str">
        <f t="shared" si="69"/>
        <v xml:space="preserve"> </v>
      </c>
      <c r="AO91" s="600" t="str">
        <f t="shared" si="70"/>
        <v xml:space="preserve"> </v>
      </c>
      <c r="AP91" s="189"/>
    </row>
    <row r="92" spans="1:42" s="609" customFormat="1" ht="16.5">
      <c r="A92" s="1153" t="s">
        <v>1018</v>
      </c>
      <c r="B92" s="1161">
        <f>+'CONAP-FUR (REG)-Detail'!C146+'CONAP-FUR (REG)-Detail'!C233</f>
        <v>0</v>
      </c>
      <c r="C92" s="1161">
        <f>SUM(C93:C99)</f>
        <v>5713291.7000000179</v>
      </c>
      <c r="D92" s="1161">
        <f t="shared" ref="D92:AK92" si="74">SUM(D93:D99)</f>
        <v>0</v>
      </c>
      <c r="E92" s="1161">
        <f t="shared" si="74"/>
        <v>5713291.7000000179</v>
      </c>
      <c r="F92" s="1161">
        <f t="shared" si="74"/>
        <v>0</v>
      </c>
      <c r="G92" s="1161">
        <f t="shared" si="74"/>
        <v>-12084385.279999997</v>
      </c>
      <c r="H92" s="1161">
        <f t="shared" si="74"/>
        <v>-97107238</v>
      </c>
      <c r="I92" s="1161">
        <f t="shared" si="74"/>
        <v>-109191623.28</v>
      </c>
      <c r="J92" s="1161">
        <f t="shared" si="74"/>
        <v>0</v>
      </c>
      <c r="K92" s="1161">
        <f t="shared" si="74"/>
        <v>64470790.079999998</v>
      </c>
      <c r="L92" s="1161">
        <f t="shared" si="74"/>
        <v>114839306.45</v>
      </c>
      <c r="M92" s="1161">
        <f t="shared" si="74"/>
        <v>179310096.52999997</v>
      </c>
      <c r="N92" s="1161">
        <f t="shared" si="74"/>
        <v>0</v>
      </c>
      <c r="O92" s="1161">
        <f t="shared" si="74"/>
        <v>52386404.799999997</v>
      </c>
      <c r="P92" s="1161">
        <f t="shared" si="74"/>
        <v>17732068.450000003</v>
      </c>
      <c r="Q92" s="1161">
        <f t="shared" si="74"/>
        <v>70118473.25</v>
      </c>
      <c r="R92" s="1161">
        <f t="shared" si="74"/>
        <v>0</v>
      </c>
      <c r="S92" s="1161">
        <f t="shared" si="74"/>
        <v>58099696.500000007</v>
      </c>
      <c r="T92" s="1161">
        <f t="shared" si="74"/>
        <v>17732068.450000003</v>
      </c>
      <c r="U92" s="1161">
        <f t="shared" si="74"/>
        <v>75831764.950000003</v>
      </c>
      <c r="V92" s="1161">
        <f t="shared" si="74"/>
        <v>0</v>
      </c>
      <c r="W92" s="1161">
        <f t="shared" si="74"/>
        <v>5095612.21</v>
      </c>
      <c r="X92" s="1161">
        <f t="shared" si="74"/>
        <v>0</v>
      </c>
      <c r="Y92" s="1161">
        <f t="shared" si="74"/>
        <v>5095612.21</v>
      </c>
      <c r="Z92" s="1161">
        <f t="shared" si="74"/>
        <v>0</v>
      </c>
      <c r="AA92" s="1161">
        <f t="shared" si="74"/>
        <v>37131473.469999999</v>
      </c>
      <c r="AB92" s="1161">
        <f t="shared" si="74"/>
        <v>12775953</v>
      </c>
      <c r="AC92" s="1161">
        <f t="shared" si="74"/>
        <v>49907426.469999999</v>
      </c>
      <c r="AD92" s="1161">
        <f t="shared" si="74"/>
        <v>0</v>
      </c>
      <c r="AE92" s="1161">
        <f t="shared" si="74"/>
        <v>42227085.680000007</v>
      </c>
      <c r="AF92" s="1161">
        <f t="shared" si="74"/>
        <v>12775953</v>
      </c>
      <c r="AG92" s="1161">
        <f t="shared" si="74"/>
        <v>55003038.680000007</v>
      </c>
      <c r="AH92" s="1161">
        <f t="shared" si="74"/>
        <v>0</v>
      </c>
      <c r="AI92" s="1161">
        <f t="shared" si="74"/>
        <v>15872610.82</v>
      </c>
      <c r="AJ92" s="1161">
        <f t="shared" si="74"/>
        <v>4956115.450000003</v>
      </c>
      <c r="AK92" s="1161">
        <f t="shared" si="74"/>
        <v>20828726.270000003</v>
      </c>
      <c r="AL92" s="608" t="str">
        <f t="shared" si="33"/>
        <v xml:space="preserve"> </v>
      </c>
      <c r="AM92" s="608">
        <f t="shared" si="68"/>
        <v>0.72680389440588566</v>
      </c>
      <c r="AN92" s="608">
        <f t="shared" si="69"/>
        <v>0.72049986926370102</v>
      </c>
      <c r="AO92" s="608">
        <f t="shared" si="70"/>
        <v>0.72532979703514078</v>
      </c>
      <c r="AP92" s="1171">
        <f>+AK92-'CONAP (ALL FUNDS)'!Q688</f>
        <v>0</v>
      </c>
    </row>
    <row r="93" spans="1:42" s="16" customFormat="1">
      <c r="A93" s="905" t="s">
        <v>1017</v>
      </c>
      <c r="B93" s="40"/>
      <c r="C93" s="40">
        <f>+'CONAP-FUR (REG)-Detail'!D233</f>
        <v>1983158.9300000025</v>
      </c>
      <c r="D93" s="40">
        <f>+'CONAP-FUR (REG)-Detail'!E233</f>
        <v>0</v>
      </c>
      <c r="E93" s="40">
        <f t="shared" si="49"/>
        <v>1983158.9300000025</v>
      </c>
      <c r="F93" s="40">
        <f>+'CONAP-FUR (REG)-Detail'!G233</f>
        <v>0</v>
      </c>
      <c r="G93" s="40">
        <f>+'CONAP-FUR (REG)-Detail'!H233</f>
        <v>-9041006.0599999987</v>
      </c>
      <c r="H93" s="40">
        <f>+'CONAP-FUR (REG)-Detail'!I233</f>
        <v>-97107238</v>
      </c>
      <c r="I93" s="40">
        <f t="shared" si="50"/>
        <v>-106148244.06</v>
      </c>
      <c r="J93" s="40">
        <f>+'CONAP-FUR (REG)-Detail'!K233</f>
        <v>0</v>
      </c>
      <c r="K93" s="40">
        <f>+'CONAP-FUR (REG)-Detail'!L233</f>
        <v>47385665.319999993</v>
      </c>
      <c r="L93" s="40">
        <f>+'CONAP-FUR (REG)-Detail'!M233</f>
        <v>114839306.45</v>
      </c>
      <c r="M93" s="40">
        <f t="shared" si="51"/>
        <v>162224971.76999998</v>
      </c>
      <c r="N93" s="40">
        <f t="shared" si="52"/>
        <v>0</v>
      </c>
      <c r="O93" s="40">
        <f t="shared" si="53"/>
        <v>38344659.25999999</v>
      </c>
      <c r="P93" s="40">
        <f t="shared" si="54"/>
        <v>17732068.450000003</v>
      </c>
      <c r="Q93" s="40">
        <f t="shared" si="55"/>
        <v>56076727.709999993</v>
      </c>
      <c r="R93" s="40">
        <f t="shared" si="56"/>
        <v>0</v>
      </c>
      <c r="S93" s="40">
        <f t="shared" si="57"/>
        <v>40327818.18999999</v>
      </c>
      <c r="T93" s="40">
        <f t="shared" si="58"/>
        <v>17732068.450000003</v>
      </c>
      <c r="U93" s="40">
        <f t="shared" si="59"/>
        <v>58059886.639999993</v>
      </c>
      <c r="V93" s="40">
        <f>+'CONAP-FUR (REG)-Detail'!W233</f>
        <v>0</v>
      </c>
      <c r="W93" s="40">
        <f>+'CONAP-FUR (REG)-Detail'!X233</f>
        <v>1395245.78</v>
      </c>
      <c r="X93" s="40">
        <f>+'CONAP-FUR (REG)-Detail'!Y233</f>
        <v>0</v>
      </c>
      <c r="Y93" s="40">
        <f t="shared" si="6"/>
        <v>1395245.78</v>
      </c>
      <c r="Z93" s="40">
        <f>+'CONAP-FUR (REG)-Detail'!AA233</f>
        <v>0</v>
      </c>
      <c r="AA93" s="40">
        <f>+'CONAP-FUR (REG)-Detail'!AB233</f>
        <v>33749840.410000004</v>
      </c>
      <c r="AB93" s="40">
        <f>+'CONAP-FUR (REG)-Detail'!AC233</f>
        <v>12775953</v>
      </c>
      <c r="AC93" s="40">
        <f t="shared" si="7"/>
        <v>46525793.410000004</v>
      </c>
      <c r="AD93" s="40">
        <f t="shared" si="60"/>
        <v>0</v>
      </c>
      <c r="AE93" s="40">
        <f t="shared" si="61"/>
        <v>35145086.190000005</v>
      </c>
      <c r="AF93" s="40">
        <f t="shared" si="62"/>
        <v>12775953</v>
      </c>
      <c r="AG93" s="40">
        <f t="shared" si="63"/>
        <v>47921039.190000005</v>
      </c>
      <c r="AH93" s="40">
        <f t="shared" si="64"/>
        <v>0</v>
      </c>
      <c r="AI93" s="40">
        <f t="shared" si="65"/>
        <v>5182731.9999999851</v>
      </c>
      <c r="AJ93" s="40">
        <f t="shared" si="66"/>
        <v>4956115.450000003</v>
      </c>
      <c r="AK93" s="40">
        <f t="shared" si="67"/>
        <v>10138847.449999988</v>
      </c>
      <c r="AL93" s="600"/>
      <c r="AM93" s="600">
        <f t="shared" si="68"/>
        <v>0.87148493936413507</v>
      </c>
      <c r="AN93" s="600">
        <f t="shared" si="69"/>
        <v>0.72049986926370102</v>
      </c>
      <c r="AO93" s="600">
        <f t="shared" si="70"/>
        <v>0.82537259308021294</v>
      </c>
      <c r="AP93" s="189"/>
    </row>
    <row r="94" spans="1:42" s="16" customFormat="1">
      <c r="A94" s="905" t="s">
        <v>1019</v>
      </c>
      <c r="B94" s="40"/>
      <c r="C94" s="40">
        <f>+'CONAP-FUR (REG)-Detail'!D147</f>
        <v>2974859.6700000167</v>
      </c>
      <c r="D94" s="40">
        <f>+'CONAP-FUR (REG)-Detail'!E147</f>
        <v>0</v>
      </c>
      <c r="E94" s="40">
        <f t="shared" si="49"/>
        <v>2974859.6700000167</v>
      </c>
      <c r="F94" s="40">
        <f>+'CONAP-FUR (REG)-Detail'!G147</f>
        <v>0</v>
      </c>
      <c r="G94" s="40">
        <f>+'CONAP-FUR (REG)-Detail'!H147</f>
        <v>0</v>
      </c>
      <c r="H94" s="40">
        <f>+'CONAP-FUR (REG)-Detail'!I147</f>
        <v>0</v>
      </c>
      <c r="I94" s="40">
        <f t="shared" si="50"/>
        <v>0</v>
      </c>
      <c r="J94" s="40">
        <f>+'CONAP-FUR (REG)-Detail'!K147</f>
        <v>0</v>
      </c>
      <c r="K94" s="40">
        <f>+'CONAP-FUR (REG)-Detail'!L147</f>
        <v>13181742.42</v>
      </c>
      <c r="L94" s="40">
        <f>+'CONAP-FUR (REG)-Detail'!M147</f>
        <v>0</v>
      </c>
      <c r="M94" s="40">
        <f t="shared" si="51"/>
        <v>13181742.42</v>
      </c>
      <c r="N94" s="40">
        <f t="shared" si="52"/>
        <v>0</v>
      </c>
      <c r="O94" s="40">
        <f t="shared" si="53"/>
        <v>13181742.42</v>
      </c>
      <c r="P94" s="40">
        <f t="shared" si="54"/>
        <v>0</v>
      </c>
      <c r="Q94" s="40">
        <f t="shared" si="55"/>
        <v>13181742.42</v>
      </c>
      <c r="R94" s="40">
        <f t="shared" si="56"/>
        <v>0</v>
      </c>
      <c r="S94" s="40">
        <f t="shared" si="57"/>
        <v>16156602.090000017</v>
      </c>
      <c r="T94" s="40">
        <f t="shared" si="58"/>
        <v>0</v>
      </c>
      <c r="U94" s="40">
        <f t="shared" si="59"/>
        <v>16156602.090000017</v>
      </c>
      <c r="V94" s="40">
        <f>+'CONAP-FUR (REG)-Detail'!W147</f>
        <v>0</v>
      </c>
      <c r="W94" s="40">
        <f>+'CONAP-FUR (REG)-Detail'!X147</f>
        <v>2974859.67</v>
      </c>
      <c r="X94" s="40">
        <f>+'CONAP-FUR (REG)-Detail'!Y147</f>
        <v>0</v>
      </c>
      <c r="Y94" s="40">
        <f t="shared" si="6"/>
        <v>2974859.67</v>
      </c>
      <c r="Z94" s="40">
        <f>+'CONAP-FUR (REG)-Detail'!AA147</f>
        <v>0</v>
      </c>
      <c r="AA94" s="40">
        <f>+'CONAP-FUR (REG)-Detail'!AB147</f>
        <v>2527002.1599999997</v>
      </c>
      <c r="AB94" s="40">
        <f>+'CONAP-FUR (REG)-Detail'!AC147</f>
        <v>0</v>
      </c>
      <c r="AC94" s="40">
        <f t="shared" si="7"/>
        <v>2527002.1599999997</v>
      </c>
      <c r="AD94" s="40">
        <f t="shared" si="60"/>
        <v>0</v>
      </c>
      <c r="AE94" s="40">
        <f t="shared" si="61"/>
        <v>5501861.8300000001</v>
      </c>
      <c r="AF94" s="40">
        <f t="shared" si="62"/>
        <v>0</v>
      </c>
      <c r="AG94" s="40">
        <f t="shared" si="63"/>
        <v>5501861.8300000001</v>
      </c>
      <c r="AH94" s="40">
        <f t="shared" si="64"/>
        <v>0</v>
      </c>
      <c r="AI94" s="40">
        <f t="shared" si="65"/>
        <v>10654740.260000017</v>
      </c>
      <c r="AJ94" s="40">
        <f t="shared" si="66"/>
        <v>0</v>
      </c>
      <c r="AK94" s="40">
        <f t="shared" si="67"/>
        <v>10654740.260000017</v>
      </c>
      <c r="AL94" s="600"/>
      <c r="AM94" s="600">
        <f t="shared" si="68"/>
        <v>0.34053334973232569</v>
      </c>
      <c r="AN94" s="600" t="str">
        <f t="shared" si="69"/>
        <v xml:space="preserve"> </v>
      </c>
      <c r="AO94" s="600">
        <f t="shared" si="70"/>
        <v>0.34053334973232569</v>
      </c>
      <c r="AP94" s="189"/>
    </row>
    <row r="95" spans="1:42" s="16" customFormat="1">
      <c r="A95" s="905" t="s">
        <v>1020</v>
      </c>
      <c r="B95" s="40"/>
      <c r="C95" s="40">
        <f>+'CONAP-FUR (REG)-Detail'!D148</f>
        <v>29385.189999997616</v>
      </c>
      <c r="D95" s="40">
        <f>+'CONAP-FUR (REG)-Detail'!E148</f>
        <v>0</v>
      </c>
      <c r="E95" s="40">
        <f t="shared" si="49"/>
        <v>29385.189999997616</v>
      </c>
      <c r="F95" s="40">
        <f>+'CONAP-FUR (REG)-Detail'!G148</f>
        <v>0</v>
      </c>
      <c r="G95" s="40">
        <f>+'CONAP-FUR (REG)-Detail'!H148</f>
        <v>-2806843.85</v>
      </c>
      <c r="H95" s="40">
        <f>+'CONAP-FUR (REG)-Detail'!I148</f>
        <v>0</v>
      </c>
      <c r="I95" s="40">
        <f t="shared" si="50"/>
        <v>-2806843.85</v>
      </c>
      <c r="J95" s="40">
        <f>+'CONAP-FUR (REG)-Detail'!K148</f>
        <v>0</v>
      </c>
      <c r="K95" s="40">
        <f>+'CONAP-FUR (REG)-Detail'!L148</f>
        <v>2810618.38</v>
      </c>
      <c r="L95" s="40">
        <f>+'CONAP-FUR (REG)-Detail'!M148</f>
        <v>0</v>
      </c>
      <c r="M95" s="40">
        <f t="shared" si="51"/>
        <v>2810618.38</v>
      </c>
      <c r="N95" s="40">
        <f t="shared" si="52"/>
        <v>0</v>
      </c>
      <c r="O95" s="40">
        <f t="shared" si="53"/>
        <v>3774.5299999997951</v>
      </c>
      <c r="P95" s="40">
        <f t="shared" si="54"/>
        <v>0</v>
      </c>
      <c r="Q95" s="40">
        <f t="shared" si="55"/>
        <v>3774.5299999997951</v>
      </c>
      <c r="R95" s="40">
        <f t="shared" si="56"/>
        <v>0</v>
      </c>
      <c r="S95" s="40">
        <f t="shared" si="57"/>
        <v>33159.719999997411</v>
      </c>
      <c r="T95" s="40">
        <f t="shared" si="58"/>
        <v>0</v>
      </c>
      <c r="U95" s="40">
        <f t="shared" si="59"/>
        <v>33159.719999997411</v>
      </c>
      <c r="V95" s="40">
        <f>+'CONAP-FUR (REG)-Detail'!W148</f>
        <v>0</v>
      </c>
      <c r="W95" s="40">
        <f>+'CONAP-FUR (REG)-Detail'!X148</f>
        <v>0</v>
      </c>
      <c r="X95" s="40">
        <f>+'CONAP-FUR (REG)-Detail'!Y148</f>
        <v>0</v>
      </c>
      <c r="Y95" s="40">
        <f t="shared" si="6"/>
        <v>0</v>
      </c>
      <c r="Z95" s="40">
        <f>+'CONAP-FUR (REG)-Detail'!AA148</f>
        <v>0</v>
      </c>
      <c r="AA95" s="40">
        <f>+'CONAP-FUR (REG)-Detail'!AB148</f>
        <v>0</v>
      </c>
      <c r="AB95" s="40">
        <f>+'CONAP-FUR (REG)-Detail'!AC148</f>
        <v>0</v>
      </c>
      <c r="AC95" s="40">
        <f t="shared" si="7"/>
        <v>0</v>
      </c>
      <c r="AD95" s="40">
        <f t="shared" si="60"/>
        <v>0</v>
      </c>
      <c r="AE95" s="40">
        <f t="shared" si="61"/>
        <v>0</v>
      </c>
      <c r="AF95" s="40">
        <f t="shared" si="62"/>
        <v>0</v>
      </c>
      <c r="AG95" s="40">
        <f t="shared" si="63"/>
        <v>0</v>
      </c>
      <c r="AH95" s="40">
        <f t="shared" si="64"/>
        <v>0</v>
      </c>
      <c r="AI95" s="40">
        <f t="shared" si="65"/>
        <v>33159.719999997411</v>
      </c>
      <c r="AJ95" s="40">
        <f t="shared" si="66"/>
        <v>0</v>
      </c>
      <c r="AK95" s="40">
        <f t="shared" si="67"/>
        <v>33159.719999997411</v>
      </c>
      <c r="AL95" s="600"/>
      <c r="AM95" s="600">
        <f t="shared" si="68"/>
        <v>0</v>
      </c>
      <c r="AN95" s="600" t="str">
        <f t="shared" si="69"/>
        <v xml:space="preserve"> </v>
      </c>
      <c r="AO95" s="600">
        <f t="shared" si="70"/>
        <v>0</v>
      </c>
      <c r="AP95" s="189"/>
    </row>
    <row r="96" spans="1:42" s="16" customFormat="1">
      <c r="A96" s="905" t="s">
        <v>1021</v>
      </c>
      <c r="B96" s="40"/>
      <c r="C96" s="40">
        <f>+'CONAP-FUR (REG)-Detail'!D149</f>
        <v>0</v>
      </c>
      <c r="D96" s="40">
        <f>+'CONAP-FUR (REG)-Detail'!E149</f>
        <v>0</v>
      </c>
      <c r="E96" s="40">
        <f t="shared" si="49"/>
        <v>0</v>
      </c>
      <c r="F96" s="40">
        <f>+'CONAP-FUR (REG)-Detail'!G149</f>
        <v>0</v>
      </c>
      <c r="G96" s="40">
        <f>+'CONAP-FUR (REG)-Detail'!H149</f>
        <v>0</v>
      </c>
      <c r="H96" s="40">
        <f>+'CONAP-FUR (REG)-Detail'!I149</f>
        <v>0</v>
      </c>
      <c r="I96" s="40">
        <f t="shared" si="50"/>
        <v>0</v>
      </c>
      <c r="J96" s="40">
        <f>+'CONAP-FUR (REG)-Detail'!K149</f>
        <v>0</v>
      </c>
      <c r="K96" s="40">
        <f>+'CONAP-FUR (REG)-Detail'!L149</f>
        <v>141452.59</v>
      </c>
      <c r="L96" s="40">
        <f>+'CONAP-FUR (REG)-Detail'!M149</f>
        <v>0</v>
      </c>
      <c r="M96" s="40">
        <f t="shared" si="51"/>
        <v>141452.59</v>
      </c>
      <c r="N96" s="40">
        <f t="shared" si="52"/>
        <v>0</v>
      </c>
      <c r="O96" s="40">
        <f t="shared" si="53"/>
        <v>141452.59</v>
      </c>
      <c r="P96" s="40">
        <f t="shared" si="54"/>
        <v>0</v>
      </c>
      <c r="Q96" s="40">
        <f t="shared" si="55"/>
        <v>141452.59</v>
      </c>
      <c r="R96" s="40">
        <f t="shared" si="56"/>
        <v>0</v>
      </c>
      <c r="S96" s="40">
        <f t="shared" si="57"/>
        <v>141452.59</v>
      </c>
      <c r="T96" s="40">
        <f t="shared" si="58"/>
        <v>0</v>
      </c>
      <c r="U96" s="40">
        <f t="shared" si="59"/>
        <v>141452.59</v>
      </c>
      <c r="V96" s="40">
        <f>+'CONAP-FUR (REG)-Detail'!W149</f>
        <v>0</v>
      </c>
      <c r="W96" s="40">
        <f>+'CONAP-FUR (REG)-Detail'!X149</f>
        <v>0</v>
      </c>
      <c r="X96" s="40">
        <f>+'CONAP-FUR (REG)-Detail'!Y149</f>
        <v>0</v>
      </c>
      <c r="Y96" s="40">
        <f t="shared" si="6"/>
        <v>0</v>
      </c>
      <c r="Z96" s="40">
        <f>+'CONAP-FUR (REG)-Detail'!AA149</f>
        <v>0</v>
      </c>
      <c r="AA96" s="40">
        <f>+'CONAP-FUR (REG)-Detail'!AB149</f>
        <v>140946.68</v>
      </c>
      <c r="AB96" s="40">
        <f>+'CONAP-FUR (REG)-Detail'!AC149</f>
        <v>0</v>
      </c>
      <c r="AC96" s="40">
        <f t="shared" si="7"/>
        <v>140946.68</v>
      </c>
      <c r="AD96" s="40">
        <f t="shared" si="60"/>
        <v>0</v>
      </c>
      <c r="AE96" s="40">
        <f t="shared" si="61"/>
        <v>140946.68</v>
      </c>
      <c r="AF96" s="40">
        <f t="shared" si="62"/>
        <v>0</v>
      </c>
      <c r="AG96" s="40">
        <f t="shared" si="63"/>
        <v>140946.68</v>
      </c>
      <c r="AH96" s="40">
        <f t="shared" si="64"/>
        <v>0</v>
      </c>
      <c r="AI96" s="40">
        <f t="shared" si="65"/>
        <v>505.91000000000349</v>
      </c>
      <c r="AJ96" s="40">
        <f t="shared" si="66"/>
        <v>0</v>
      </c>
      <c r="AK96" s="40">
        <f t="shared" si="67"/>
        <v>505.91000000000349</v>
      </c>
      <c r="AL96" s="600"/>
      <c r="AM96" s="600">
        <f t="shared" si="68"/>
        <v>0.99642346598248921</v>
      </c>
      <c r="AN96" s="600" t="str">
        <f t="shared" si="69"/>
        <v xml:space="preserve"> </v>
      </c>
      <c r="AO96" s="600">
        <f t="shared" si="70"/>
        <v>0.99642346598248921</v>
      </c>
      <c r="AP96" s="189"/>
    </row>
    <row r="97" spans="1:42" s="16" customFormat="1">
      <c r="A97" s="905" t="s">
        <v>1022</v>
      </c>
      <c r="B97" s="40"/>
      <c r="C97" s="40">
        <f>+'CONAP-FUR (REG)-Detail'!D150</f>
        <v>723709.8200000003</v>
      </c>
      <c r="D97" s="40">
        <f>+'CONAP-FUR (REG)-Detail'!E150</f>
        <v>0</v>
      </c>
      <c r="E97" s="40">
        <f t="shared" si="49"/>
        <v>723709.8200000003</v>
      </c>
      <c r="F97" s="40">
        <f>+'CONAP-FUR (REG)-Detail'!G150</f>
        <v>0</v>
      </c>
      <c r="G97" s="40">
        <f>+'CONAP-FUR (REG)-Detail'!H150</f>
        <v>-223610.37</v>
      </c>
      <c r="H97" s="40">
        <f>+'CONAP-FUR (REG)-Detail'!I150</f>
        <v>0</v>
      </c>
      <c r="I97" s="40">
        <f t="shared" si="50"/>
        <v>-223610.37</v>
      </c>
      <c r="J97" s="40">
        <f>+'CONAP-FUR (REG)-Detail'!K150</f>
        <v>0</v>
      </c>
      <c r="K97" s="40">
        <f>+'CONAP-FUR (REG)-Detail'!L150</f>
        <v>759266.15</v>
      </c>
      <c r="L97" s="40">
        <f>+'CONAP-FUR (REG)-Detail'!M150</f>
        <v>0</v>
      </c>
      <c r="M97" s="40">
        <f t="shared" si="51"/>
        <v>759266.15</v>
      </c>
      <c r="N97" s="40">
        <f t="shared" si="52"/>
        <v>0</v>
      </c>
      <c r="O97" s="40">
        <f t="shared" si="53"/>
        <v>535655.78</v>
      </c>
      <c r="P97" s="40">
        <f t="shared" si="54"/>
        <v>0</v>
      </c>
      <c r="Q97" s="40">
        <f t="shared" si="55"/>
        <v>535655.78</v>
      </c>
      <c r="R97" s="40">
        <f t="shared" si="56"/>
        <v>0</v>
      </c>
      <c r="S97" s="40">
        <f t="shared" si="57"/>
        <v>1259365.6000000003</v>
      </c>
      <c r="T97" s="40">
        <f t="shared" si="58"/>
        <v>0</v>
      </c>
      <c r="U97" s="40">
        <f t="shared" si="59"/>
        <v>1259365.6000000003</v>
      </c>
      <c r="V97" s="40">
        <f>+'CONAP-FUR (REG)-Detail'!W150</f>
        <v>0</v>
      </c>
      <c r="W97" s="40">
        <f>+'CONAP-FUR (REG)-Detail'!X150</f>
        <v>723562.88000000012</v>
      </c>
      <c r="X97" s="40">
        <f>+'CONAP-FUR (REG)-Detail'!Y150</f>
        <v>0</v>
      </c>
      <c r="Y97" s="40">
        <f t="shared" si="6"/>
        <v>723562.88000000012</v>
      </c>
      <c r="Z97" s="40">
        <f>+'CONAP-FUR (REG)-Detail'!AA150</f>
        <v>0</v>
      </c>
      <c r="AA97" s="40">
        <f>+'CONAP-FUR (REG)-Detail'!AB150</f>
        <v>535454</v>
      </c>
      <c r="AB97" s="40">
        <f>+'CONAP-FUR (REG)-Detail'!AC150</f>
        <v>0</v>
      </c>
      <c r="AC97" s="40">
        <f t="shared" si="7"/>
        <v>535454</v>
      </c>
      <c r="AD97" s="40">
        <f t="shared" si="60"/>
        <v>0</v>
      </c>
      <c r="AE97" s="40">
        <f t="shared" si="61"/>
        <v>1259016.8800000001</v>
      </c>
      <c r="AF97" s="40">
        <f t="shared" si="62"/>
        <v>0</v>
      </c>
      <c r="AG97" s="40">
        <f t="shared" si="63"/>
        <v>1259016.8800000001</v>
      </c>
      <c r="AH97" s="40">
        <f t="shared" si="64"/>
        <v>0</v>
      </c>
      <c r="AI97" s="40">
        <f t="shared" si="65"/>
        <v>348.72000000020489</v>
      </c>
      <c r="AJ97" s="40">
        <f t="shared" si="66"/>
        <v>0</v>
      </c>
      <c r="AK97" s="40">
        <f t="shared" si="67"/>
        <v>348.72000000020489</v>
      </c>
      <c r="AL97" s="600"/>
      <c r="AM97" s="600">
        <f t="shared" si="68"/>
        <v>0.99972309867761977</v>
      </c>
      <c r="AN97" s="600" t="str">
        <f t="shared" si="69"/>
        <v xml:space="preserve"> </v>
      </c>
      <c r="AO97" s="600">
        <f t="shared" si="70"/>
        <v>0.99972309867761977</v>
      </c>
      <c r="AP97" s="189"/>
    </row>
    <row r="98" spans="1:42" s="16" customFormat="1">
      <c r="A98" s="905" t="s">
        <v>1023</v>
      </c>
      <c r="B98" s="40"/>
      <c r="C98" s="40">
        <f>+'CONAP-FUR (REG)-Detail'!D151</f>
        <v>118.73</v>
      </c>
      <c r="D98" s="40">
        <f>+'CONAP-FUR (REG)-Detail'!E151</f>
        <v>0</v>
      </c>
      <c r="E98" s="40">
        <f t="shared" si="49"/>
        <v>118.73</v>
      </c>
      <c r="F98" s="40">
        <f>+'CONAP-FUR (REG)-Detail'!G151</f>
        <v>0</v>
      </c>
      <c r="G98" s="40">
        <f>+'CONAP-FUR (REG)-Detail'!H151</f>
        <v>0</v>
      </c>
      <c r="H98" s="40">
        <f>+'CONAP-FUR (REG)-Detail'!I151</f>
        <v>0</v>
      </c>
      <c r="I98" s="40">
        <f t="shared" si="50"/>
        <v>0</v>
      </c>
      <c r="J98" s="40">
        <f>+'CONAP-FUR (REG)-Detail'!K151</f>
        <v>0</v>
      </c>
      <c r="K98" s="40">
        <f>+'CONAP-FUR (REG)-Detail'!L151</f>
        <v>890</v>
      </c>
      <c r="L98" s="40">
        <f>+'CONAP-FUR (REG)-Detail'!M151</f>
        <v>0</v>
      </c>
      <c r="M98" s="40">
        <f t="shared" si="51"/>
        <v>890</v>
      </c>
      <c r="N98" s="40">
        <f t="shared" si="52"/>
        <v>0</v>
      </c>
      <c r="O98" s="40">
        <f t="shared" si="53"/>
        <v>890</v>
      </c>
      <c r="P98" s="40">
        <f t="shared" si="54"/>
        <v>0</v>
      </c>
      <c r="Q98" s="40">
        <f t="shared" si="55"/>
        <v>890</v>
      </c>
      <c r="R98" s="40">
        <f t="shared" si="56"/>
        <v>0</v>
      </c>
      <c r="S98" s="40">
        <f t="shared" si="57"/>
        <v>1008.73</v>
      </c>
      <c r="T98" s="40">
        <f t="shared" si="58"/>
        <v>0</v>
      </c>
      <c r="U98" s="40">
        <f t="shared" si="59"/>
        <v>1008.73</v>
      </c>
      <c r="V98" s="40">
        <f>+'CONAP-FUR (REG)-Detail'!W151</f>
        <v>0</v>
      </c>
      <c r="W98" s="40">
        <f>+'CONAP-FUR (REG)-Detail'!X151</f>
        <v>0</v>
      </c>
      <c r="X98" s="40">
        <f>+'CONAP-FUR (REG)-Detail'!Y151</f>
        <v>0</v>
      </c>
      <c r="Y98" s="40">
        <f t="shared" si="6"/>
        <v>0</v>
      </c>
      <c r="Z98" s="40">
        <f>+'CONAP-FUR (REG)-Detail'!AA151</f>
        <v>0</v>
      </c>
      <c r="AA98" s="40">
        <f>+'CONAP-FUR (REG)-Detail'!AB151</f>
        <v>0</v>
      </c>
      <c r="AB98" s="40">
        <f>+'CONAP-FUR (REG)-Detail'!AC151</f>
        <v>0</v>
      </c>
      <c r="AC98" s="40">
        <f t="shared" si="7"/>
        <v>0</v>
      </c>
      <c r="AD98" s="40">
        <f t="shared" si="60"/>
        <v>0</v>
      </c>
      <c r="AE98" s="40">
        <f t="shared" si="61"/>
        <v>0</v>
      </c>
      <c r="AF98" s="40">
        <f t="shared" si="62"/>
        <v>0</v>
      </c>
      <c r="AG98" s="40">
        <f t="shared" si="63"/>
        <v>0</v>
      </c>
      <c r="AH98" s="40">
        <f t="shared" si="64"/>
        <v>0</v>
      </c>
      <c r="AI98" s="40">
        <f t="shared" si="65"/>
        <v>1008.73</v>
      </c>
      <c r="AJ98" s="40">
        <f t="shared" si="66"/>
        <v>0</v>
      </c>
      <c r="AK98" s="40">
        <f t="shared" si="67"/>
        <v>1008.73</v>
      </c>
      <c r="AL98" s="600"/>
      <c r="AM98" s="600">
        <f t="shared" si="68"/>
        <v>0</v>
      </c>
      <c r="AN98" s="600" t="str">
        <f t="shared" si="69"/>
        <v xml:space="preserve"> </v>
      </c>
      <c r="AO98" s="600">
        <f t="shared" si="70"/>
        <v>0</v>
      </c>
      <c r="AP98" s="189"/>
    </row>
    <row r="99" spans="1:42" s="16" customFormat="1">
      <c r="A99" s="905" t="s">
        <v>1024</v>
      </c>
      <c r="B99" s="40"/>
      <c r="C99" s="40">
        <f>+'CONAP-FUR (REG)-Detail'!D152</f>
        <v>2059.36</v>
      </c>
      <c r="D99" s="40">
        <f>+'CONAP-FUR (REG)-Detail'!E152</f>
        <v>0</v>
      </c>
      <c r="E99" s="40">
        <f t="shared" si="49"/>
        <v>2059.36</v>
      </c>
      <c r="F99" s="40">
        <f>+'CONAP-FUR (REG)-Detail'!G152</f>
        <v>0</v>
      </c>
      <c r="G99" s="40">
        <f>+'CONAP-FUR (REG)-Detail'!H152</f>
        <v>-12925</v>
      </c>
      <c r="H99" s="40">
        <f>+'CONAP-FUR (REG)-Detail'!I152</f>
        <v>0</v>
      </c>
      <c r="I99" s="40">
        <f t="shared" si="50"/>
        <v>-12925</v>
      </c>
      <c r="J99" s="40">
        <f>+'CONAP-FUR (REG)-Detail'!K152</f>
        <v>0</v>
      </c>
      <c r="K99" s="40">
        <f>+'CONAP-FUR (REG)-Detail'!L152</f>
        <v>191155.22</v>
      </c>
      <c r="L99" s="40">
        <f>+'CONAP-FUR (REG)-Detail'!M152</f>
        <v>0</v>
      </c>
      <c r="M99" s="40">
        <f t="shared" si="51"/>
        <v>191155.22</v>
      </c>
      <c r="N99" s="40">
        <f t="shared" si="52"/>
        <v>0</v>
      </c>
      <c r="O99" s="40">
        <f t="shared" si="53"/>
        <v>178230.22</v>
      </c>
      <c r="P99" s="40">
        <f t="shared" si="54"/>
        <v>0</v>
      </c>
      <c r="Q99" s="40">
        <f t="shared" si="55"/>
        <v>178230.22</v>
      </c>
      <c r="R99" s="40">
        <f t="shared" si="56"/>
        <v>0</v>
      </c>
      <c r="S99" s="40">
        <f t="shared" si="57"/>
        <v>180289.58</v>
      </c>
      <c r="T99" s="40">
        <f t="shared" si="58"/>
        <v>0</v>
      </c>
      <c r="U99" s="40">
        <f t="shared" si="59"/>
        <v>180289.58</v>
      </c>
      <c r="V99" s="40">
        <f>+'CONAP-FUR (REG)-Detail'!W152</f>
        <v>0</v>
      </c>
      <c r="W99" s="40">
        <f>+'CONAP-FUR (REG)-Detail'!X152</f>
        <v>1943.88</v>
      </c>
      <c r="X99" s="40">
        <f>+'CONAP-FUR (REG)-Detail'!Y152</f>
        <v>0</v>
      </c>
      <c r="Y99" s="40">
        <f t="shared" si="6"/>
        <v>1943.88</v>
      </c>
      <c r="Z99" s="40">
        <f>+'CONAP-FUR (REG)-Detail'!AA152</f>
        <v>0</v>
      </c>
      <c r="AA99" s="40">
        <f>+'CONAP-FUR (REG)-Detail'!AB152</f>
        <v>178230.22</v>
      </c>
      <c r="AB99" s="40">
        <f>+'CONAP-FUR (REG)-Detail'!AC152</f>
        <v>0</v>
      </c>
      <c r="AC99" s="40">
        <f t="shared" si="7"/>
        <v>178230.22</v>
      </c>
      <c r="AD99" s="40">
        <f t="shared" si="60"/>
        <v>0</v>
      </c>
      <c r="AE99" s="40">
        <f t="shared" si="61"/>
        <v>180174.1</v>
      </c>
      <c r="AF99" s="40">
        <f t="shared" si="62"/>
        <v>0</v>
      </c>
      <c r="AG99" s="40">
        <f t="shared" si="63"/>
        <v>180174.1</v>
      </c>
      <c r="AH99" s="40">
        <f t="shared" si="64"/>
        <v>0</v>
      </c>
      <c r="AI99" s="40">
        <f t="shared" si="65"/>
        <v>115.47999999998137</v>
      </c>
      <c r="AJ99" s="40">
        <f t="shared" si="66"/>
        <v>0</v>
      </c>
      <c r="AK99" s="40">
        <f t="shared" si="67"/>
        <v>115.47999999998137</v>
      </c>
      <c r="AL99" s="600"/>
      <c r="AM99" s="600">
        <f t="shared" si="68"/>
        <v>0.99935947490698029</v>
      </c>
      <c r="AN99" s="600" t="str">
        <f t="shared" si="69"/>
        <v xml:space="preserve"> </v>
      </c>
      <c r="AO99" s="600">
        <f t="shared" si="70"/>
        <v>0.99935947490698029</v>
      </c>
      <c r="AP99" s="189"/>
    </row>
    <row r="100" spans="1:42" s="16" customFormat="1">
      <c r="A100" s="596"/>
      <c r="B100" s="40"/>
      <c r="C100" s="40"/>
      <c r="D100" s="40"/>
      <c r="E100" s="579">
        <f t="shared" si="49"/>
        <v>0</v>
      </c>
      <c r="F100" s="40"/>
      <c r="G100" s="40"/>
      <c r="H100" s="40"/>
      <c r="I100" s="579">
        <f t="shared" si="50"/>
        <v>0</v>
      </c>
      <c r="J100" s="40"/>
      <c r="K100" s="40"/>
      <c r="L100" s="40"/>
      <c r="M100" s="579">
        <f t="shared" si="51"/>
        <v>0</v>
      </c>
      <c r="N100" s="40">
        <f t="shared" si="52"/>
        <v>0</v>
      </c>
      <c r="O100" s="40">
        <f t="shared" si="53"/>
        <v>0</v>
      </c>
      <c r="P100" s="40">
        <f t="shared" si="54"/>
        <v>0</v>
      </c>
      <c r="Q100" s="579">
        <f t="shared" si="55"/>
        <v>0</v>
      </c>
      <c r="R100" s="40">
        <f t="shared" si="56"/>
        <v>0</v>
      </c>
      <c r="S100" s="40">
        <f t="shared" si="57"/>
        <v>0</v>
      </c>
      <c r="T100" s="40">
        <f t="shared" si="58"/>
        <v>0</v>
      </c>
      <c r="U100" s="579">
        <f t="shared" si="59"/>
        <v>0</v>
      </c>
      <c r="V100" s="40"/>
      <c r="W100" s="40"/>
      <c r="X100" s="40"/>
      <c r="Y100" s="579">
        <f t="shared" si="6"/>
        <v>0</v>
      </c>
      <c r="Z100" s="40"/>
      <c r="AA100" s="40"/>
      <c r="AB100" s="40"/>
      <c r="AC100" s="579">
        <f t="shared" si="7"/>
        <v>0</v>
      </c>
      <c r="AD100" s="40">
        <f t="shared" si="60"/>
        <v>0</v>
      </c>
      <c r="AE100" s="40">
        <f t="shared" si="61"/>
        <v>0</v>
      </c>
      <c r="AF100" s="40">
        <f t="shared" si="62"/>
        <v>0</v>
      </c>
      <c r="AG100" s="579">
        <f t="shared" si="63"/>
        <v>0</v>
      </c>
      <c r="AH100" s="579">
        <f t="shared" si="64"/>
        <v>0</v>
      </c>
      <c r="AI100" s="40">
        <f t="shared" si="65"/>
        <v>0</v>
      </c>
      <c r="AJ100" s="40">
        <f t="shared" si="66"/>
        <v>0</v>
      </c>
      <c r="AK100" s="579">
        <f t="shared" si="67"/>
        <v>0</v>
      </c>
      <c r="AL100" s="600"/>
      <c r="AM100" s="600" t="str">
        <f t="shared" si="68"/>
        <v xml:space="preserve"> </v>
      </c>
      <c r="AN100" s="600" t="str">
        <f t="shared" si="69"/>
        <v xml:space="preserve"> </v>
      </c>
      <c r="AO100" s="600" t="str">
        <f t="shared" si="70"/>
        <v xml:space="preserve"> </v>
      </c>
      <c r="AP100" s="189"/>
    </row>
    <row r="101" spans="1:42" s="609" customFormat="1" ht="16.5">
      <c r="A101" s="1153" t="s">
        <v>1025</v>
      </c>
      <c r="B101" s="1161">
        <f>+'CONAP-FUR (REG)-Detail'!C238+'CONAP-FUR (REG)-Detail'!C154</f>
        <v>0</v>
      </c>
      <c r="C101" s="1161">
        <f>SUM(C102:C104)</f>
        <v>556785.28</v>
      </c>
      <c r="D101" s="1161">
        <f t="shared" ref="D101:AK101" si="75">SUM(D102:D104)</f>
        <v>0</v>
      </c>
      <c r="E101" s="1161">
        <f t="shared" si="75"/>
        <v>556785.28</v>
      </c>
      <c r="F101" s="1161">
        <f t="shared" si="75"/>
        <v>0</v>
      </c>
      <c r="G101" s="1161">
        <f t="shared" si="75"/>
        <v>3000000</v>
      </c>
      <c r="H101" s="1161">
        <f t="shared" si="75"/>
        <v>40364000</v>
      </c>
      <c r="I101" s="1161">
        <f t="shared" si="75"/>
        <v>43364000</v>
      </c>
      <c r="J101" s="1161">
        <f t="shared" si="75"/>
        <v>0</v>
      </c>
      <c r="K101" s="1161">
        <f t="shared" si="75"/>
        <v>39279044.130000003</v>
      </c>
      <c r="L101" s="1161">
        <f t="shared" si="75"/>
        <v>16269341.17</v>
      </c>
      <c r="M101" s="1161">
        <f t="shared" si="75"/>
        <v>55548385.300000004</v>
      </c>
      <c r="N101" s="1161">
        <f t="shared" si="75"/>
        <v>0</v>
      </c>
      <c r="O101" s="1161">
        <f t="shared" si="75"/>
        <v>42279044.130000003</v>
      </c>
      <c r="P101" s="1161">
        <f t="shared" si="75"/>
        <v>56633341.170000002</v>
      </c>
      <c r="Q101" s="1161">
        <f t="shared" si="75"/>
        <v>98912385.300000012</v>
      </c>
      <c r="R101" s="1161">
        <f t="shared" si="75"/>
        <v>0</v>
      </c>
      <c r="S101" s="1161">
        <f t="shared" si="75"/>
        <v>42835829.410000004</v>
      </c>
      <c r="T101" s="1161">
        <f t="shared" si="75"/>
        <v>56633341.170000002</v>
      </c>
      <c r="U101" s="1161">
        <f t="shared" si="75"/>
        <v>99469170.580000013</v>
      </c>
      <c r="V101" s="1161">
        <f t="shared" si="75"/>
        <v>0</v>
      </c>
      <c r="W101" s="1161">
        <f t="shared" si="75"/>
        <v>555797.43999999994</v>
      </c>
      <c r="X101" s="1161">
        <f t="shared" si="75"/>
        <v>0</v>
      </c>
      <c r="Y101" s="1161">
        <f t="shared" si="75"/>
        <v>555797.43999999994</v>
      </c>
      <c r="Z101" s="1161">
        <f t="shared" si="75"/>
        <v>0</v>
      </c>
      <c r="AA101" s="1161">
        <f t="shared" si="75"/>
        <v>16464401.840000004</v>
      </c>
      <c r="AB101" s="1161">
        <f t="shared" si="75"/>
        <v>7548272.8499999996</v>
      </c>
      <c r="AC101" s="1161">
        <f t="shared" si="75"/>
        <v>24012674.690000005</v>
      </c>
      <c r="AD101" s="1161">
        <f t="shared" si="75"/>
        <v>0</v>
      </c>
      <c r="AE101" s="1161">
        <f t="shared" si="75"/>
        <v>17020199.280000005</v>
      </c>
      <c r="AF101" s="1161">
        <f t="shared" si="75"/>
        <v>7548272.8499999996</v>
      </c>
      <c r="AG101" s="1161">
        <f t="shared" si="75"/>
        <v>24568472.130000003</v>
      </c>
      <c r="AH101" s="1161">
        <f t="shared" si="75"/>
        <v>0</v>
      </c>
      <c r="AI101" s="1161">
        <f t="shared" si="75"/>
        <v>25815630.129999999</v>
      </c>
      <c r="AJ101" s="1161">
        <f t="shared" si="75"/>
        <v>49085068.32</v>
      </c>
      <c r="AK101" s="1161">
        <f t="shared" si="75"/>
        <v>74900698.450000003</v>
      </c>
      <c r="AL101" s="608" t="str">
        <f t="shared" si="33"/>
        <v xml:space="preserve"> </v>
      </c>
      <c r="AM101" s="608">
        <f t="shared" si="68"/>
        <v>0.39733558365573862</v>
      </c>
      <c r="AN101" s="608">
        <f t="shared" si="69"/>
        <v>0.13328319844915834</v>
      </c>
      <c r="AO101" s="608">
        <f t="shared" si="70"/>
        <v>0.24699584792697485</v>
      </c>
      <c r="AP101" s="1171">
        <f>+AK101-'CONAP (ALL FUNDS)'!Q737</f>
        <v>0</v>
      </c>
    </row>
    <row r="102" spans="1:42" s="16" customFormat="1">
      <c r="A102" s="905" t="s">
        <v>1026</v>
      </c>
      <c r="B102" s="40"/>
      <c r="C102" s="40">
        <f>+'CONAP-FUR (REG)-Detail'!D238</f>
        <v>556785.28</v>
      </c>
      <c r="D102" s="40">
        <f>+'CONAP-FUR (REG)-Detail'!E238</f>
        <v>0</v>
      </c>
      <c r="E102" s="40">
        <f t="shared" si="49"/>
        <v>556785.28</v>
      </c>
      <c r="F102" s="40">
        <f>+'CONAP-FUR (REG)-Detail'!G238</f>
        <v>0</v>
      </c>
      <c r="G102" s="40">
        <f>+'CONAP-FUR (REG)-Detail'!H238</f>
        <v>3000000</v>
      </c>
      <c r="H102" s="40">
        <f>+'CONAP-FUR (REG)-Detail'!I238</f>
        <v>40364000</v>
      </c>
      <c r="I102" s="40">
        <f t="shared" si="50"/>
        <v>43364000</v>
      </c>
      <c r="J102" s="40">
        <f>+'CONAP-FUR (REG)-Detail'!K238</f>
        <v>0</v>
      </c>
      <c r="K102" s="40">
        <f>+'CONAP-FUR (REG)-Detail'!L238</f>
        <v>39279044.130000003</v>
      </c>
      <c r="L102" s="40">
        <f>+'CONAP-FUR (REG)-Detail'!M238</f>
        <v>16269341.17</v>
      </c>
      <c r="M102" s="40">
        <f t="shared" si="51"/>
        <v>55548385.300000004</v>
      </c>
      <c r="N102" s="40">
        <f t="shared" si="52"/>
        <v>0</v>
      </c>
      <c r="O102" s="40">
        <f t="shared" si="53"/>
        <v>42279044.130000003</v>
      </c>
      <c r="P102" s="40">
        <f t="shared" si="54"/>
        <v>56633341.170000002</v>
      </c>
      <c r="Q102" s="40">
        <f t="shared" si="55"/>
        <v>98912385.300000012</v>
      </c>
      <c r="R102" s="40">
        <f t="shared" si="56"/>
        <v>0</v>
      </c>
      <c r="S102" s="40">
        <f t="shared" si="57"/>
        <v>42835829.410000004</v>
      </c>
      <c r="T102" s="40">
        <f t="shared" si="58"/>
        <v>56633341.170000002</v>
      </c>
      <c r="U102" s="40">
        <f t="shared" si="59"/>
        <v>99469170.580000013</v>
      </c>
      <c r="V102" s="40">
        <f>+'CONAP-FUR (REG)-Detail'!W238</f>
        <v>0</v>
      </c>
      <c r="W102" s="40">
        <f>+'CONAP-FUR (REG)-Detail'!X238</f>
        <v>555797.43999999994</v>
      </c>
      <c r="X102" s="40">
        <f>+'CONAP-FUR (REG)-Detail'!Y238</f>
        <v>0</v>
      </c>
      <c r="Y102" s="40">
        <f t="shared" si="6"/>
        <v>555797.43999999994</v>
      </c>
      <c r="Z102" s="40">
        <f>+'CONAP-FUR (REG)-Detail'!AA238</f>
        <v>0</v>
      </c>
      <c r="AA102" s="40">
        <f>+'CONAP-FUR (REG)-Detail'!AB238</f>
        <v>16464401.840000004</v>
      </c>
      <c r="AB102" s="40">
        <f>+'CONAP-FUR (REG)-Detail'!AC238</f>
        <v>7548272.8499999996</v>
      </c>
      <c r="AC102" s="40">
        <f t="shared" si="7"/>
        <v>24012674.690000005</v>
      </c>
      <c r="AD102" s="40">
        <f t="shared" si="60"/>
        <v>0</v>
      </c>
      <c r="AE102" s="40">
        <f t="shared" si="61"/>
        <v>17020199.280000005</v>
      </c>
      <c r="AF102" s="40">
        <f t="shared" si="62"/>
        <v>7548272.8499999996</v>
      </c>
      <c r="AG102" s="40">
        <f t="shared" si="63"/>
        <v>24568472.130000003</v>
      </c>
      <c r="AH102" s="40">
        <f t="shared" si="64"/>
        <v>0</v>
      </c>
      <c r="AI102" s="40">
        <f t="shared" si="65"/>
        <v>25815630.129999999</v>
      </c>
      <c r="AJ102" s="40">
        <f t="shared" si="66"/>
        <v>49085068.32</v>
      </c>
      <c r="AK102" s="40">
        <f t="shared" si="67"/>
        <v>74900698.450000003</v>
      </c>
      <c r="AL102" s="600"/>
      <c r="AM102" s="600">
        <f t="shared" si="68"/>
        <v>0.39733558365573862</v>
      </c>
      <c r="AN102" s="600">
        <f t="shared" si="69"/>
        <v>0.13328319844915834</v>
      </c>
      <c r="AO102" s="600">
        <f t="shared" si="70"/>
        <v>0.24699584792697485</v>
      </c>
      <c r="AP102" s="189"/>
    </row>
    <row r="103" spans="1:42" s="16" customFormat="1">
      <c r="A103" s="905" t="s">
        <v>1027</v>
      </c>
      <c r="B103" s="40"/>
      <c r="C103" s="40">
        <f>+'CONAP-FUR (REG)-Detail'!D155</f>
        <v>0</v>
      </c>
      <c r="D103" s="40">
        <f>+'CONAP-FUR (REG)-Detail'!E155</f>
        <v>0</v>
      </c>
      <c r="E103" s="40">
        <f t="shared" si="49"/>
        <v>0</v>
      </c>
      <c r="F103" s="40">
        <f>+'CONAP-FUR (REG)-Detail'!G155</f>
        <v>0</v>
      </c>
      <c r="G103" s="40">
        <f>+'CONAP-FUR (REG)-Detail'!H155</f>
        <v>0</v>
      </c>
      <c r="H103" s="40">
        <f>+'CONAP-FUR (REG)-Detail'!I155</f>
        <v>0</v>
      </c>
      <c r="I103" s="40">
        <f t="shared" si="50"/>
        <v>0</v>
      </c>
      <c r="J103" s="40">
        <f>+'CONAP-FUR (REG)-Detail'!K155</f>
        <v>0</v>
      </c>
      <c r="K103" s="40">
        <f>+'CONAP-FUR (REG)-Detail'!L155</f>
        <v>0</v>
      </c>
      <c r="L103" s="40">
        <f>+'CONAP-FUR (REG)-Detail'!M155</f>
        <v>0</v>
      </c>
      <c r="M103" s="40">
        <f t="shared" si="51"/>
        <v>0</v>
      </c>
      <c r="N103" s="40">
        <f t="shared" si="52"/>
        <v>0</v>
      </c>
      <c r="O103" s="40">
        <f t="shared" si="53"/>
        <v>0</v>
      </c>
      <c r="P103" s="40">
        <f t="shared" si="54"/>
        <v>0</v>
      </c>
      <c r="Q103" s="40">
        <f t="shared" si="55"/>
        <v>0</v>
      </c>
      <c r="R103" s="40">
        <f t="shared" si="56"/>
        <v>0</v>
      </c>
      <c r="S103" s="40">
        <f t="shared" si="57"/>
        <v>0</v>
      </c>
      <c r="T103" s="40">
        <f t="shared" si="58"/>
        <v>0</v>
      </c>
      <c r="U103" s="40">
        <f t="shared" si="59"/>
        <v>0</v>
      </c>
      <c r="V103" s="40">
        <f>+'CONAP-FUR (REG)-Detail'!W155</f>
        <v>0</v>
      </c>
      <c r="W103" s="40">
        <f>+'CONAP-FUR (REG)-Detail'!X155</f>
        <v>0</v>
      </c>
      <c r="X103" s="40">
        <f>+'CONAP-FUR (REG)-Detail'!Y155</f>
        <v>0</v>
      </c>
      <c r="Y103" s="40">
        <f t="shared" si="6"/>
        <v>0</v>
      </c>
      <c r="Z103" s="40">
        <f>+'CONAP-FUR (REG)-Detail'!AA155</f>
        <v>0</v>
      </c>
      <c r="AA103" s="40">
        <f>+'CONAP-FUR (REG)-Detail'!AB155</f>
        <v>0</v>
      </c>
      <c r="AB103" s="40">
        <f>+'CONAP-FUR (REG)-Detail'!AC155</f>
        <v>0</v>
      </c>
      <c r="AC103" s="40">
        <f t="shared" si="7"/>
        <v>0</v>
      </c>
      <c r="AD103" s="40">
        <f t="shared" si="60"/>
        <v>0</v>
      </c>
      <c r="AE103" s="40">
        <f t="shared" si="61"/>
        <v>0</v>
      </c>
      <c r="AF103" s="40">
        <f t="shared" si="62"/>
        <v>0</v>
      </c>
      <c r="AG103" s="40">
        <f t="shared" si="63"/>
        <v>0</v>
      </c>
      <c r="AH103" s="40">
        <f t="shared" si="64"/>
        <v>0</v>
      </c>
      <c r="AI103" s="40">
        <f t="shared" si="65"/>
        <v>0</v>
      </c>
      <c r="AJ103" s="40">
        <f t="shared" si="66"/>
        <v>0</v>
      </c>
      <c r="AK103" s="40">
        <f t="shared" si="67"/>
        <v>0</v>
      </c>
      <c r="AL103" s="600"/>
      <c r="AM103" s="600" t="str">
        <f t="shared" si="68"/>
        <v xml:space="preserve"> </v>
      </c>
      <c r="AN103" s="600" t="str">
        <f t="shared" si="69"/>
        <v xml:space="preserve"> </v>
      </c>
      <c r="AO103" s="600" t="str">
        <f t="shared" si="70"/>
        <v xml:space="preserve"> </v>
      </c>
      <c r="AP103" s="189"/>
    </row>
    <row r="104" spans="1:42" s="16" customFormat="1">
      <c r="A104" s="905" t="s">
        <v>1109</v>
      </c>
      <c r="B104" s="40"/>
      <c r="C104" s="40">
        <f>+'CONAP-FUR (REG)-Detail'!D156</f>
        <v>0</v>
      </c>
      <c r="D104" s="40">
        <f>+'CONAP-FUR (REG)-Detail'!E156</f>
        <v>0</v>
      </c>
      <c r="E104" s="40">
        <f t="shared" si="49"/>
        <v>0</v>
      </c>
      <c r="F104" s="40">
        <f>+'CONAP-FUR (REG)-Detail'!G156</f>
        <v>0</v>
      </c>
      <c r="G104" s="40">
        <f>+'CONAP-FUR (REG)-Detail'!H156</f>
        <v>0</v>
      </c>
      <c r="H104" s="40">
        <f>+'CONAP-FUR (REG)-Detail'!I156</f>
        <v>0</v>
      </c>
      <c r="I104" s="40">
        <f t="shared" si="50"/>
        <v>0</v>
      </c>
      <c r="J104" s="40">
        <f>+'CONAP-FUR (REG)-Detail'!K156</f>
        <v>0</v>
      </c>
      <c r="K104" s="40">
        <f>+'CONAP-FUR (REG)-Detail'!L156</f>
        <v>0</v>
      </c>
      <c r="L104" s="40">
        <f>+'CONAP-FUR (REG)-Detail'!M156</f>
        <v>0</v>
      </c>
      <c r="M104" s="40">
        <f t="shared" si="51"/>
        <v>0</v>
      </c>
      <c r="N104" s="40">
        <f t="shared" si="52"/>
        <v>0</v>
      </c>
      <c r="O104" s="40">
        <f t="shared" si="53"/>
        <v>0</v>
      </c>
      <c r="P104" s="40">
        <f t="shared" si="54"/>
        <v>0</v>
      </c>
      <c r="Q104" s="40">
        <f t="shared" si="55"/>
        <v>0</v>
      </c>
      <c r="R104" s="40">
        <f t="shared" si="56"/>
        <v>0</v>
      </c>
      <c r="S104" s="40">
        <f t="shared" si="57"/>
        <v>0</v>
      </c>
      <c r="T104" s="40">
        <f t="shared" si="58"/>
        <v>0</v>
      </c>
      <c r="U104" s="40">
        <f t="shared" si="59"/>
        <v>0</v>
      </c>
      <c r="V104" s="40">
        <f>+'CONAP-FUR (REG)-Detail'!W156</f>
        <v>0</v>
      </c>
      <c r="W104" s="40">
        <f>+'CONAP-FUR (REG)-Detail'!X156</f>
        <v>0</v>
      </c>
      <c r="X104" s="40">
        <f>+'CONAP-FUR (REG)-Detail'!Y156</f>
        <v>0</v>
      </c>
      <c r="Y104" s="40">
        <f t="shared" si="6"/>
        <v>0</v>
      </c>
      <c r="Z104" s="40">
        <f>+'CONAP-FUR (REG)-Detail'!AA156</f>
        <v>0</v>
      </c>
      <c r="AA104" s="40">
        <f>+'CONAP-FUR (REG)-Detail'!AB156</f>
        <v>0</v>
      </c>
      <c r="AB104" s="40">
        <f>+'CONAP-FUR (REG)-Detail'!AC156</f>
        <v>0</v>
      </c>
      <c r="AC104" s="40">
        <f t="shared" si="7"/>
        <v>0</v>
      </c>
      <c r="AD104" s="40">
        <f t="shared" si="60"/>
        <v>0</v>
      </c>
      <c r="AE104" s="40">
        <f t="shared" si="61"/>
        <v>0</v>
      </c>
      <c r="AF104" s="40">
        <f t="shared" si="62"/>
        <v>0</v>
      </c>
      <c r="AG104" s="40">
        <f t="shared" si="63"/>
        <v>0</v>
      </c>
      <c r="AH104" s="40">
        <f t="shared" si="64"/>
        <v>0</v>
      </c>
      <c r="AI104" s="40">
        <f t="shared" si="65"/>
        <v>0</v>
      </c>
      <c r="AJ104" s="40">
        <f t="shared" si="66"/>
        <v>0</v>
      </c>
      <c r="AK104" s="40">
        <f t="shared" si="67"/>
        <v>0</v>
      </c>
      <c r="AL104" s="600"/>
      <c r="AM104" s="600" t="str">
        <f t="shared" si="68"/>
        <v xml:space="preserve"> </v>
      </c>
      <c r="AN104" s="600" t="str">
        <f t="shared" si="69"/>
        <v xml:space="preserve"> </v>
      </c>
      <c r="AO104" s="600" t="str">
        <f t="shared" si="70"/>
        <v xml:space="preserve"> </v>
      </c>
      <c r="AP104" s="189"/>
    </row>
    <row r="105" spans="1:42" s="16" customFormat="1">
      <c r="A105" s="596"/>
      <c r="B105" s="40"/>
      <c r="C105" s="40"/>
      <c r="D105" s="40"/>
      <c r="E105" s="41">
        <f t="shared" si="49"/>
        <v>0</v>
      </c>
      <c r="F105" s="40"/>
      <c r="G105" s="40"/>
      <c r="H105" s="40"/>
      <c r="I105" s="41">
        <f t="shared" si="50"/>
        <v>0</v>
      </c>
      <c r="J105" s="40"/>
      <c r="K105" s="40"/>
      <c r="L105" s="40"/>
      <c r="M105" s="41">
        <f t="shared" si="51"/>
        <v>0</v>
      </c>
      <c r="N105" s="40">
        <f t="shared" si="52"/>
        <v>0</v>
      </c>
      <c r="O105" s="40">
        <f t="shared" si="53"/>
        <v>0</v>
      </c>
      <c r="P105" s="40">
        <f t="shared" si="54"/>
        <v>0</v>
      </c>
      <c r="Q105" s="41">
        <f t="shared" si="55"/>
        <v>0</v>
      </c>
      <c r="R105" s="40">
        <f t="shared" si="56"/>
        <v>0</v>
      </c>
      <c r="S105" s="40">
        <f t="shared" si="57"/>
        <v>0</v>
      </c>
      <c r="T105" s="40">
        <f t="shared" si="58"/>
        <v>0</v>
      </c>
      <c r="U105" s="41">
        <f t="shared" si="59"/>
        <v>0</v>
      </c>
      <c r="V105" s="40"/>
      <c r="W105" s="40"/>
      <c r="X105" s="40"/>
      <c r="Y105" s="41">
        <f t="shared" si="6"/>
        <v>0</v>
      </c>
      <c r="Z105" s="40"/>
      <c r="AA105" s="40"/>
      <c r="AB105" s="40"/>
      <c r="AC105" s="41">
        <f t="shared" si="7"/>
        <v>0</v>
      </c>
      <c r="AD105" s="40">
        <f t="shared" si="60"/>
        <v>0</v>
      </c>
      <c r="AE105" s="40">
        <f t="shared" si="61"/>
        <v>0</v>
      </c>
      <c r="AF105" s="40">
        <f t="shared" si="62"/>
        <v>0</v>
      </c>
      <c r="AG105" s="41">
        <f t="shared" si="63"/>
        <v>0</v>
      </c>
      <c r="AH105" s="41">
        <f t="shared" si="64"/>
        <v>0</v>
      </c>
      <c r="AI105" s="40">
        <f t="shared" si="65"/>
        <v>0</v>
      </c>
      <c r="AJ105" s="40">
        <f t="shared" si="66"/>
        <v>0</v>
      </c>
      <c r="AK105" s="41">
        <f t="shared" si="67"/>
        <v>0</v>
      </c>
      <c r="AL105" s="601" t="str">
        <f t="shared" si="33"/>
        <v xml:space="preserve"> </v>
      </c>
      <c r="AM105" s="601" t="str">
        <f t="shared" si="68"/>
        <v xml:space="preserve"> </v>
      </c>
      <c r="AN105" s="601" t="str">
        <f t="shared" si="69"/>
        <v xml:space="preserve"> </v>
      </c>
      <c r="AO105" s="601" t="str">
        <f t="shared" si="70"/>
        <v xml:space="preserve"> </v>
      </c>
      <c r="AP105" s="189"/>
    </row>
    <row r="106" spans="1:42" s="1159" customFormat="1" ht="16.5">
      <c r="A106" s="1146" t="s">
        <v>449</v>
      </c>
      <c r="B106" s="1155">
        <f>SUM(B107:B134)</f>
        <v>0</v>
      </c>
      <c r="C106" s="1155">
        <f>+C107+C118+C124+C129+C134</f>
        <v>25635324.419999994</v>
      </c>
      <c r="D106" s="1155">
        <f t="shared" ref="D106:AK106" si="76">+D107+D118+D124+D129+D134</f>
        <v>0</v>
      </c>
      <c r="E106" s="1155">
        <f t="shared" si="76"/>
        <v>25635324.419999994</v>
      </c>
      <c r="F106" s="1155">
        <f t="shared" si="76"/>
        <v>0</v>
      </c>
      <c r="G106" s="1155">
        <f t="shared" si="76"/>
        <v>-14558678.149999999</v>
      </c>
      <c r="H106" s="1155">
        <f t="shared" si="76"/>
        <v>33391400</v>
      </c>
      <c r="I106" s="1155">
        <f t="shared" si="76"/>
        <v>18832721.850000001</v>
      </c>
      <c r="J106" s="1155">
        <f t="shared" si="76"/>
        <v>0</v>
      </c>
      <c r="K106" s="1155">
        <f t="shared" si="76"/>
        <v>211112859.01999998</v>
      </c>
      <c r="L106" s="1155">
        <f t="shared" si="76"/>
        <v>272258003.71999997</v>
      </c>
      <c r="M106" s="1155">
        <f t="shared" si="76"/>
        <v>483370862.74000001</v>
      </c>
      <c r="N106" s="1155">
        <f t="shared" si="76"/>
        <v>0</v>
      </c>
      <c r="O106" s="1155">
        <f t="shared" si="76"/>
        <v>196554180.86999997</v>
      </c>
      <c r="P106" s="1155">
        <f t="shared" si="76"/>
        <v>305649403.72000003</v>
      </c>
      <c r="Q106" s="1155">
        <f t="shared" si="76"/>
        <v>502203584.58999997</v>
      </c>
      <c r="R106" s="1155">
        <f t="shared" si="76"/>
        <v>0</v>
      </c>
      <c r="S106" s="1155">
        <f t="shared" si="76"/>
        <v>222189505.28999996</v>
      </c>
      <c r="T106" s="1155">
        <f t="shared" si="76"/>
        <v>305649403.72000003</v>
      </c>
      <c r="U106" s="1155">
        <f t="shared" si="76"/>
        <v>527838909.01000005</v>
      </c>
      <c r="V106" s="1155">
        <f t="shared" si="76"/>
        <v>0</v>
      </c>
      <c r="W106" s="1155">
        <f t="shared" si="76"/>
        <v>20316673.299999997</v>
      </c>
      <c r="X106" s="1155">
        <f t="shared" si="76"/>
        <v>0</v>
      </c>
      <c r="Y106" s="1155">
        <f t="shared" si="76"/>
        <v>20316673.299999997</v>
      </c>
      <c r="Z106" s="1155">
        <f t="shared" si="76"/>
        <v>0</v>
      </c>
      <c r="AA106" s="1155">
        <f t="shared" si="76"/>
        <v>180738986.70000002</v>
      </c>
      <c r="AB106" s="1155">
        <f t="shared" si="76"/>
        <v>190898941.58000001</v>
      </c>
      <c r="AC106" s="1155">
        <f t="shared" si="76"/>
        <v>371637928.28000009</v>
      </c>
      <c r="AD106" s="1155">
        <f t="shared" si="76"/>
        <v>0</v>
      </c>
      <c r="AE106" s="1155">
        <f t="shared" si="76"/>
        <v>201055660</v>
      </c>
      <c r="AF106" s="1155">
        <f t="shared" si="76"/>
        <v>190898941.58000001</v>
      </c>
      <c r="AG106" s="1155">
        <f t="shared" si="76"/>
        <v>391954601.57999992</v>
      </c>
      <c r="AH106" s="1155">
        <f t="shared" si="76"/>
        <v>0</v>
      </c>
      <c r="AI106" s="1155">
        <f t="shared" si="76"/>
        <v>21133845.289999977</v>
      </c>
      <c r="AJ106" s="1155">
        <f t="shared" si="76"/>
        <v>114750462.14000002</v>
      </c>
      <c r="AK106" s="1155">
        <f t="shared" si="76"/>
        <v>135884307.43000001</v>
      </c>
      <c r="AL106" s="1157" t="str">
        <f t="shared" si="33"/>
        <v xml:space="preserve"> </v>
      </c>
      <c r="AM106" s="1157">
        <f t="shared" si="68"/>
        <v>0.90488369258297674</v>
      </c>
      <c r="AN106" s="1157">
        <f t="shared" si="69"/>
        <v>0.62456834286802387</v>
      </c>
      <c r="AO106" s="1157">
        <f t="shared" si="70"/>
        <v>0.7425648145475654</v>
      </c>
      <c r="AP106" s="1172"/>
    </row>
    <row r="107" spans="1:42" s="609" customFormat="1" ht="16.5">
      <c r="A107" s="1153" t="s">
        <v>1029</v>
      </c>
      <c r="B107" s="1161">
        <f>+'CONAP-FUR (REG)-Detail'!C158+'CONAP-FUR (REG)-Detail'!C243</f>
        <v>0</v>
      </c>
      <c r="C107" s="1161">
        <f>SUM(C108:C116)</f>
        <v>2453299.3999999966</v>
      </c>
      <c r="D107" s="1161">
        <f t="shared" ref="D107:AK107" si="77">SUM(D108:D116)</f>
        <v>0</v>
      </c>
      <c r="E107" s="1161">
        <f t="shared" si="77"/>
        <v>2453299.3999999966</v>
      </c>
      <c r="F107" s="1161">
        <f t="shared" si="77"/>
        <v>0</v>
      </c>
      <c r="G107" s="1161">
        <f t="shared" si="77"/>
        <v>-5598677.1600000001</v>
      </c>
      <c r="H107" s="1161">
        <f t="shared" si="77"/>
        <v>16623800</v>
      </c>
      <c r="I107" s="1161">
        <f t="shared" si="77"/>
        <v>11025122.84</v>
      </c>
      <c r="J107" s="1161">
        <f t="shared" si="77"/>
        <v>0</v>
      </c>
      <c r="K107" s="1161">
        <f t="shared" si="77"/>
        <v>40505393.950000003</v>
      </c>
      <c r="L107" s="1161">
        <f t="shared" si="77"/>
        <v>93588396.060000002</v>
      </c>
      <c r="M107" s="1161">
        <f t="shared" si="77"/>
        <v>134093790.01000002</v>
      </c>
      <c r="N107" s="1161">
        <f t="shared" si="77"/>
        <v>0</v>
      </c>
      <c r="O107" s="1161">
        <f t="shared" si="77"/>
        <v>34906716.790000007</v>
      </c>
      <c r="P107" s="1161">
        <f t="shared" si="77"/>
        <v>110212196.06</v>
      </c>
      <c r="Q107" s="1161">
        <f t="shared" si="77"/>
        <v>145118912.84999999</v>
      </c>
      <c r="R107" s="1161">
        <f t="shared" si="77"/>
        <v>0</v>
      </c>
      <c r="S107" s="1161">
        <f t="shared" si="77"/>
        <v>37360016.189999983</v>
      </c>
      <c r="T107" s="1161">
        <f t="shared" si="77"/>
        <v>110212196.06</v>
      </c>
      <c r="U107" s="1161">
        <f t="shared" si="77"/>
        <v>147572212.25</v>
      </c>
      <c r="V107" s="1161">
        <f t="shared" si="77"/>
        <v>0</v>
      </c>
      <c r="W107" s="1161">
        <f t="shared" si="77"/>
        <v>1746535.52</v>
      </c>
      <c r="X107" s="1161">
        <f t="shared" si="77"/>
        <v>0</v>
      </c>
      <c r="Y107" s="1161">
        <f t="shared" si="77"/>
        <v>1746535.52</v>
      </c>
      <c r="Z107" s="1161">
        <f t="shared" si="77"/>
        <v>0</v>
      </c>
      <c r="AA107" s="1161">
        <f t="shared" si="77"/>
        <v>25630588.909999996</v>
      </c>
      <c r="AB107" s="1161">
        <f t="shared" si="77"/>
        <v>51548281.080000006</v>
      </c>
      <c r="AC107" s="1161">
        <f t="shared" si="77"/>
        <v>77178869.99000001</v>
      </c>
      <c r="AD107" s="1161">
        <f t="shared" si="77"/>
        <v>0</v>
      </c>
      <c r="AE107" s="1161">
        <f t="shared" si="77"/>
        <v>27377124.429999996</v>
      </c>
      <c r="AF107" s="1161">
        <f t="shared" si="77"/>
        <v>51548281.080000006</v>
      </c>
      <c r="AG107" s="1161">
        <f t="shared" si="77"/>
        <v>78925405.50999999</v>
      </c>
      <c r="AH107" s="1161">
        <f t="shared" si="77"/>
        <v>0</v>
      </c>
      <c r="AI107" s="1161">
        <f t="shared" si="77"/>
        <v>9982891.7599999961</v>
      </c>
      <c r="AJ107" s="1161">
        <f t="shared" si="77"/>
        <v>58663914.979999997</v>
      </c>
      <c r="AK107" s="1161">
        <f t="shared" si="77"/>
        <v>68646806.739999995</v>
      </c>
      <c r="AL107" s="608" t="str">
        <f t="shared" si="33"/>
        <v xml:space="preserve"> </v>
      </c>
      <c r="AM107" s="608">
        <f t="shared" si="68"/>
        <v>0.73279209224025788</v>
      </c>
      <c r="AN107" s="608">
        <f t="shared" si="69"/>
        <v>0.46771848237137836</v>
      </c>
      <c r="AO107" s="608">
        <f t="shared" si="70"/>
        <v>0.5348256579381867</v>
      </c>
      <c r="AP107" s="1171">
        <f>+AK107-'CONAP (ALL FUNDS)'!Q852</f>
        <v>0</v>
      </c>
    </row>
    <row r="108" spans="1:42" s="16" customFormat="1">
      <c r="A108" s="905" t="s">
        <v>1030</v>
      </c>
      <c r="B108" s="40"/>
      <c r="C108" s="40">
        <f>+'CONAP-FUR (REG)-Detail'!D243</f>
        <v>1058572.8800000001</v>
      </c>
      <c r="D108" s="40">
        <f>+'CONAP-FUR (REG)-Detail'!E243</f>
        <v>0</v>
      </c>
      <c r="E108" s="40">
        <f t="shared" si="49"/>
        <v>1058572.8800000001</v>
      </c>
      <c r="F108" s="40">
        <f>+'CONAP-FUR (REG)-Detail'!G243</f>
        <v>0</v>
      </c>
      <c r="G108" s="40">
        <f>+'CONAP-FUR (REG)-Detail'!H243</f>
        <v>-2715517.2</v>
      </c>
      <c r="H108" s="40">
        <f>+'CONAP-FUR (REG)-Detail'!I243</f>
        <v>2630900</v>
      </c>
      <c r="I108" s="40">
        <f t="shared" si="50"/>
        <v>-84617.200000000186</v>
      </c>
      <c r="J108" s="40">
        <f>+'CONAP-FUR (REG)-Detail'!K243</f>
        <v>0</v>
      </c>
      <c r="K108" s="40">
        <f>+'CONAP-FUR (REG)-Detail'!L243</f>
        <v>35735771.129999995</v>
      </c>
      <c r="L108" s="40">
        <f>+'CONAP-FUR (REG)-Detail'!M243</f>
        <v>83588396.060000002</v>
      </c>
      <c r="M108" s="40">
        <f t="shared" si="51"/>
        <v>119324167.19</v>
      </c>
      <c r="N108" s="40">
        <f t="shared" si="52"/>
        <v>0</v>
      </c>
      <c r="O108" s="40">
        <f t="shared" si="53"/>
        <v>33020253.929999996</v>
      </c>
      <c r="P108" s="40">
        <f t="shared" si="54"/>
        <v>86219296.060000002</v>
      </c>
      <c r="Q108" s="40">
        <f t="shared" si="55"/>
        <v>119239549.98999999</v>
      </c>
      <c r="R108" s="40">
        <f t="shared" si="56"/>
        <v>0</v>
      </c>
      <c r="S108" s="40">
        <f t="shared" si="57"/>
        <v>34078826.809999995</v>
      </c>
      <c r="T108" s="40">
        <f t="shared" si="58"/>
        <v>86219296.060000002</v>
      </c>
      <c r="U108" s="40">
        <f t="shared" si="59"/>
        <v>120298122.87</v>
      </c>
      <c r="V108" s="40">
        <f>+'CONAP-FUR (REG)-Detail'!W243</f>
        <v>0</v>
      </c>
      <c r="W108" s="40">
        <f>+'CONAP-FUR (REG)-Detail'!X243</f>
        <v>1045384.83</v>
      </c>
      <c r="X108" s="40">
        <f>+'CONAP-FUR (REG)-Detail'!Y243</f>
        <v>0</v>
      </c>
      <c r="Y108" s="40">
        <f t="shared" si="6"/>
        <v>1045384.83</v>
      </c>
      <c r="Z108" s="40">
        <f>+'CONAP-FUR (REG)-Detail'!AA243</f>
        <v>0</v>
      </c>
      <c r="AA108" s="40">
        <f>+'CONAP-FUR (REG)-Detail'!AB243</f>
        <v>24782703.369999997</v>
      </c>
      <c r="AB108" s="40">
        <f>+'CONAP-FUR (REG)-Detail'!AC243</f>
        <v>38548009.080000006</v>
      </c>
      <c r="AC108" s="40">
        <f t="shared" si="7"/>
        <v>63330712.450000003</v>
      </c>
      <c r="AD108" s="40">
        <f t="shared" si="60"/>
        <v>0</v>
      </c>
      <c r="AE108" s="40">
        <f t="shared" si="61"/>
        <v>25828088.199999996</v>
      </c>
      <c r="AF108" s="40">
        <f t="shared" si="62"/>
        <v>38548009.080000006</v>
      </c>
      <c r="AG108" s="40">
        <f t="shared" si="63"/>
        <v>64376097.280000001</v>
      </c>
      <c r="AH108" s="40">
        <f t="shared" si="64"/>
        <v>0</v>
      </c>
      <c r="AI108" s="40">
        <f t="shared" si="65"/>
        <v>8250738.6099999994</v>
      </c>
      <c r="AJ108" s="40">
        <f t="shared" si="66"/>
        <v>47671286.979999997</v>
      </c>
      <c r="AK108" s="40">
        <f t="shared" si="67"/>
        <v>55922025.589999996</v>
      </c>
      <c r="AL108" s="600"/>
      <c r="AM108" s="600">
        <f t="shared" si="68"/>
        <v>0.7578925279323605</v>
      </c>
      <c r="AN108" s="600">
        <f t="shared" si="69"/>
        <v>0.44709259807890855</v>
      </c>
      <c r="AO108" s="600">
        <f t="shared" si="70"/>
        <v>0.53513800335494788</v>
      </c>
      <c r="AP108" s="189"/>
    </row>
    <row r="109" spans="1:42" s="16" customFormat="1">
      <c r="A109" s="905" t="s">
        <v>1031</v>
      </c>
      <c r="B109" s="40"/>
      <c r="C109" s="40">
        <f>+'CONAP-FUR (REG)-Detail'!D159</f>
        <v>340.51999999582767</v>
      </c>
      <c r="D109" s="40">
        <f>+'CONAP-FUR (REG)-Detail'!E159</f>
        <v>0</v>
      </c>
      <c r="E109" s="40">
        <f t="shared" si="49"/>
        <v>340.51999999582767</v>
      </c>
      <c r="F109" s="40">
        <f>+'CONAP-FUR (REG)-Detail'!G159</f>
        <v>0</v>
      </c>
      <c r="G109" s="40">
        <f>+'CONAP-FUR (REG)-Detail'!H159</f>
        <v>-2163146.4</v>
      </c>
      <c r="H109" s="40">
        <f>+'CONAP-FUR (REG)-Detail'!I159</f>
        <v>0</v>
      </c>
      <c r="I109" s="40">
        <f t="shared" si="50"/>
        <v>-2163146.4</v>
      </c>
      <c r="J109" s="40">
        <f>+'CONAP-FUR (REG)-Detail'!K159</f>
        <v>0</v>
      </c>
      <c r="K109" s="40">
        <f>+'CONAP-FUR (REG)-Detail'!L159</f>
        <v>2707859.9000000004</v>
      </c>
      <c r="L109" s="40">
        <f>+'CONAP-FUR (REG)-Detail'!M159</f>
        <v>0</v>
      </c>
      <c r="M109" s="40">
        <f t="shared" si="51"/>
        <v>2707859.9000000004</v>
      </c>
      <c r="N109" s="40">
        <f t="shared" si="52"/>
        <v>0</v>
      </c>
      <c r="O109" s="40">
        <f t="shared" si="53"/>
        <v>544713.50000000047</v>
      </c>
      <c r="P109" s="40">
        <f t="shared" si="54"/>
        <v>0</v>
      </c>
      <c r="Q109" s="40">
        <f t="shared" si="55"/>
        <v>544713.50000000047</v>
      </c>
      <c r="R109" s="40">
        <f t="shared" si="56"/>
        <v>0</v>
      </c>
      <c r="S109" s="40">
        <f t="shared" si="57"/>
        <v>545054.01999999629</v>
      </c>
      <c r="T109" s="40">
        <f t="shared" si="58"/>
        <v>0</v>
      </c>
      <c r="U109" s="40">
        <f t="shared" si="59"/>
        <v>545054.01999999629</v>
      </c>
      <c r="V109" s="40">
        <f>+'CONAP-FUR (REG)-Detail'!W159</f>
        <v>0</v>
      </c>
      <c r="W109" s="40">
        <f>+'CONAP-FUR (REG)-Detail'!X159</f>
        <v>340.52</v>
      </c>
      <c r="X109" s="40">
        <f>+'CONAP-FUR (REG)-Detail'!Y159</f>
        <v>0</v>
      </c>
      <c r="Y109" s="40">
        <f t="shared" ref="Y109:Y137" si="78">SUM(V109:X109)</f>
        <v>340.52</v>
      </c>
      <c r="Z109" s="40">
        <f>+'CONAP-FUR (REG)-Detail'!AA159</f>
        <v>0</v>
      </c>
      <c r="AA109" s="40">
        <f>+'CONAP-FUR (REG)-Detail'!AB159</f>
        <v>251542.26</v>
      </c>
      <c r="AB109" s="40">
        <f>+'CONAP-FUR (REG)-Detail'!AC159</f>
        <v>0</v>
      </c>
      <c r="AC109" s="40">
        <f t="shared" si="7"/>
        <v>251542.26</v>
      </c>
      <c r="AD109" s="40">
        <f t="shared" si="60"/>
        <v>0</v>
      </c>
      <c r="AE109" s="40">
        <f t="shared" si="61"/>
        <v>251882.78</v>
      </c>
      <c r="AF109" s="40">
        <f t="shared" si="62"/>
        <v>0</v>
      </c>
      <c r="AG109" s="40">
        <f t="shared" si="63"/>
        <v>251882.78</v>
      </c>
      <c r="AH109" s="40">
        <f t="shared" si="64"/>
        <v>0</v>
      </c>
      <c r="AI109" s="40">
        <f t="shared" si="65"/>
        <v>293171.23999999627</v>
      </c>
      <c r="AJ109" s="40">
        <f t="shared" si="66"/>
        <v>0</v>
      </c>
      <c r="AK109" s="40">
        <f t="shared" si="67"/>
        <v>293171.23999999627</v>
      </c>
      <c r="AL109" s="600"/>
      <c r="AM109" s="600">
        <f t="shared" si="68"/>
        <v>0.46212443309747853</v>
      </c>
      <c r="AN109" s="600" t="str">
        <f t="shared" si="69"/>
        <v xml:space="preserve"> </v>
      </c>
      <c r="AO109" s="600">
        <f t="shared" si="70"/>
        <v>0.46212443309747853</v>
      </c>
      <c r="AP109" s="189"/>
    </row>
    <row r="110" spans="1:42" s="16" customFormat="1">
      <c r="A110" s="905" t="s">
        <v>1032</v>
      </c>
      <c r="B110" s="40"/>
      <c r="C110" s="40">
        <f>+'CONAP-FUR (REG)-Detail'!D160</f>
        <v>102.66000000201166</v>
      </c>
      <c r="D110" s="40">
        <f>+'CONAP-FUR (REG)-Detail'!E160</f>
        <v>0</v>
      </c>
      <c r="E110" s="40">
        <f t="shared" si="49"/>
        <v>102.66000000201166</v>
      </c>
      <c r="F110" s="40">
        <f>+'CONAP-FUR (REG)-Detail'!G160</f>
        <v>0</v>
      </c>
      <c r="G110" s="40">
        <f>+'CONAP-FUR (REG)-Detail'!H160</f>
        <v>-158662.85999999999</v>
      </c>
      <c r="H110" s="40">
        <f>+'CONAP-FUR (REG)-Detail'!I160</f>
        <v>0</v>
      </c>
      <c r="I110" s="40">
        <f t="shared" si="50"/>
        <v>-158662.85999999999</v>
      </c>
      <c r="J110" s="40">
        <f>+'CONAP-FUR (REG)-Detail'!K160</f>
        <v>0</v>
      </c>
      <c r="K110" s="40">
        <f>+'CONAP-FUR (REG)-Detail'!L160</f>
        <v>415071.06</v>
      </c>
      <c r="L110" s="40">
        <f>+'CONAP-FUR (REG)-Detail'!M160</f>
        <v>0</v>
      </c>
      <c r="M110" s="40">
        <f t="shared" si="51"/>
        <v>415071.06</v>
      </c>
      <c r="N110" s="40">
        <f t="shared" si="52"/>
        <v>0</v>
      </c>
      <c r="O110" s="40">
        <f t="shared" si="53"/>
        <v>256408.2</v>
      </c>
      <c r="P110" s="40">
        <f t="shared" si="54"/>
        <v>0</v>
      </c>
      <c r="Q110" s="40">
        <f t="shared" si="55"/>
        <v>256408.2</v>
      </c>
      <c r="R110" s="40">
        <f t="shared" si="56"/>
        <v>0</v>
      </c>
      <c r="S110" s="40">
        <f t="shared" si="57"/>
        <v>256510.86000000202</v>
      </c>
      <c r="T110" s="40">
        <f t="shared" si="58"/>
        <v>0</v>
      </c>
      <c r="U110" s="40">
        <f t="shared" si="59"/>
        <v>256510.86000000202</v>
      </c>
      <c r="V110" s="40">
        <f>+'CONAP-FUR (REG)-Detail'!W160</f>
        <v>0</v>
      </c>
      <c r="W110" s="40">
        <f>+'CONAP-FUR (REG)-Detail'!X160</f>
        <v>0</v>
      </c>
      <c r="X110" s="40">
        <f>+'CONAP-FUR (REG)-Detail'!Y160</f>
        <v>0</v>
      </c>
      <c r="Y110" s="40">
        <f t="shared" si="78"/>
        <v>0</v>
      </c>
      <c r="Z110" s="40">
        <f>+'CONAP-FUR (REG)-Detail'!AA160</f>
        <v>0</v>
      </c>
      <c r="AA110" s="40">
        <f>+'CONAP-FUR (REG)-Detail'!AB160</f>
        <v>180823.5</v>
      </c>
      <c r="AB110" s="40">
        <f>+'CONAP-FUR (REG)-Detail'!AC160</f>
        <v>0</v>
      </c>
      <c r="AC110" s="40">
        <f t="shared" si="7"/>
        <v>180823.5</v>
      </c>
      <c r="AD110" s="40">
        <f t="shared" si="60"/>
        <v>0</v>
      </c>
      <c r="AE110" s="40">
        <f t="shared" si="61"/>
        <v>180823.5</v>
      </c>
      <c r="AF110" s="40">
        <f t="shared" si="62"/>
        <v>0</v>
      </c>
      <c r="AG110" s="40">
        <f t="shared" si="63"/>
        <v>180823.5</v>
      </c>
      <c r="AH110" s="40">
        <f t="shared" si="64"/>
        <v>0</v>
      </c>
      <c r="AI110" s="40">
        <f t="shared" si="65"/>
        <v>75687.360000002023</v>
      </c>
      <c r="AJ110" s="40">
        <f t="shared" si="66"/>
        <v>0</v>
      </c>
      <c r="AK110" s="40">
        <f t="shared" si="67"/>
        <v>75687.360000002023</v>
      </c>
      <c r="AL110" s="600"/>
      <c r="AM110" s="600">
        <f t="shared" si="68"/>
        <v>0.7049350659071455</v>
      </c>
      <c r="AN110" s="600" t="str">
        <f t="shared" si="69"/>
        <v xml:space="preserve"> </v>
      </c>
      <c r="AO110" s="600">
        <f t="shared" si="70"/>
        <v>0.7049350659071455</v>
      </c>
      <c r="AP110" s="189"/>
    </row>
    <row r="111" spans="1:42" s="16" customFormat="1">
      <c r="A111" s="905" t="s">
        <v>1033</v>
      </c>
      <c r="B111" s="40"/>
      <c r="C111" s="40">
        <f>+'CONAP-FUR (REG)-Detail'!D161</f>
        <v>0</v>
      </c>
      <c r="D111" s="40">
        <f>+'CONAP-FUR (REG)-Detail'!E161</f>
        <v>0</v>
      </c>
      <c r="E111" s="40">
        <f t="shared" si="49"/>
        <v>0</v>
      </c>
      <c r="F111" s="40">
        <f>+'CONAP-FUR (REG)-Detail'!G161</f>
        <v>0</v>
      </c>
      <c r="G111" s="40">
        <f>+'CONAP-FUR (REG)-Detail'!H161</f>
        <v>0</v>
      </c>
      <c r="H111" s="40">
        <f>+'CONAP-FUR (REG)-Detail'!I161</f>
        <v>0</v>
      </c>
      <c r="I111" s="40">
        <f t="shared" si="50"/>
        <v>0</v>
      </c>
      <c r="J111" s="40">
        <f>+'CONAP-FUR (REG)-Detail'!K161</f>
        <v>0</v>
      </c>
      <c r="K111" s="40">
        <f>+'CONAP-FUR (REG)-Detail'!L161</f>
        <v>23897.47</v>
      </c>
      <c r="L111" s="40">
        <f>+'CONAP-FUR (REG)-Detail'!M161</f>
        <v>0</v>
      </c>
      <c r="M111" s="40">
        <f t="shared" si="51"/>
        <v>23897.47</v>
      </c>
      <c r="N111" s="40">
        <f t="shared" si="52"/>
        <v>0</v>
      </c>
      <c r="O111" s="40">
        <f t="shared" si="53"/>
        <v>23897.47</v>
      </c>
      <c r="P111" s="40">
        <f t="shared" si="54"/>
        <v>0</v>
      </c>
      <c r="Q111" s="40">
        <f t="shared" si="55"/>
        <v>23897.47</v>
      </c>
      <c r="R111" s="40">
        <f t="shared" si="56"/>
        <v>0</v>
      </c>
      <c r="S111" s="40">
        <f t="shared" si="57"/>
        <v>23897.47</v>
      </c>
      <c r="T111" s="40">
        <f t="shared" si="58"/>
        <v>0</v>
      </c>
      <c r="U111" s="40">
        <f t="shared" si="59"/>
        <v>23897.47</v>
      </c>
      <c r="V111" s="40">
        <f>+'CONAP-FUR (REG)-Detail'!W161</f>
        <v>0</v>
      </c>
      <c r="W111" s="40">
        <f>+'CONAP-FUR (REG)-Detail'!X161</f>
        <v>0</v>
      </c>
      <c r="X111" s="40">
        <f>+'CONAP-FUR (REG)-Detail'!Y161</f>
        <v>0</v>
      </c>
      <c r="Y111" s="40">
        <f t="shared" si="78"/>
        <v>0</v>
      </c>
      <c r="Z111" s="40">
        <f>+'CONAP-FUR (REG)-Detail'!AA161</f>
        <v>0</v>
      </c>
      <c r="AA111" s="40">
        <f>+'CONAP-FUR (REG)-Detail'!AB161</f>
        <v>8450</v>
      </c>
      <c r="AB111" s="40">
        <f>+'CONAP-FUR (REG)-Detail'!AC161</f>
        <v>0</v>
      </c>
      <c r="AC111" s="40">
        <f t="shared" si="7"/>
        <v>8450</v>
      </c>
      <c r="AD111" s="40">
        <f t="shared" si="60"/>
        <v>0</v>
      </c>
      <c r="AE111" s="40">
        <f t="shared" si="61"/>
        <v>8450</v>
      </c>
      <c r="AF111" s="40">
        <f t="shared" si="62"/>
        <v>0</v>
      </c>
      <c r="AG111" s="40">
        <f t="shared" si="63"/>
        <v>8450</v>
      </c>
      <c r="AH111" s="40">
        <f t="shared" si="64"/>
        <v>0</v>
      </c>
      <c r="AI111" s="40">
        <f t="shared" si="65"/>
        <v>15447.470000000001</v>
      </c>
      <c r="AJ111" s="40">
        <f t="shared" si="66"/>
        <v>0</v>
      </c>
      <c r="AK111" s="40">
        <f t="shared" si="67"/>
        <v>15447.470000000001</v>
      </c>
      <c r="AL111" s="600"/>
      <c r="AM111" s="600">
        <f t="shared" si="68"/>
        <v>0.35359391600868206</v>
      </c>
      <c r="AN111" s="600" t="str">
        <f t="shared" si="69"/>
        <v xml:space="preserve"> </v>
      </c>
      <c r="AO111" s="600">
        <f t="shared" si="70"/>
        <v>0.35359391600868206</v>
      </c>
      <c r="AP111" s="189"/>
    </row>
    <row r="112" spans="1:42" s="16" customFormat="1">
      <c r="A112" s="905" t="s">
        <v>1034</v>
      </c>
      <c r="B112" s="40"/>
      <c r="C112" s="40">
        <f>+'CONAP-FUR (REG)-Detail'!D162</f>
        <v>0</v>
      </c>
      <c r="D112" s="40">
        <f>+'CONAP-FUR (REG)-Detail'!E162</f>
        <v>0</v>
      </c>
      <c r="E112" s="40">
        <f t="shared" si="49"/>
        <v>0</v>
      </c>
      <c r="F112" s="40">
        <f>+'CONAP-FUR (REG)-Detail'!G162</f>
        <v>0</v>
      </c>
      <c r="G112" s="40">
        <f>+'CONAP-FUR (REG)-Detail'!H162</f>
        <v>-363.7</v>
      </c>
      <c r="H112" s="40">
        <f>+'CONAP-FUR (REG)-Detail'!I162</f>
        <v>0</v>
      </c>
      <c r="I112" s="40">
        <f t="shared" si="50"/>
        <v>-363.7</v>
      </c>
      <c r="J112" s="40">
        <f>+'CONAP-FUR (REG)-Detail'!K162</f>
        <v>0</v>
      </c>
      <c r="K112" s="40">
        <f>+'CONAP-FUR (REG)-Detail'!L162</f>
        <v>60363.700000000012</v>
      </c>
      <c r="L112" s="40">
        <f>+'CONAP-FUR (REG)-Detail'!M162</f>
        <v>0</v>
      </c>
      <c r="M112" s="40">
        <f t="shared" si="51"/>
        <v>60363.700000000012</v>
      </c>
      <c r="N112" s="40">
        <f t="shared" si="52"/>
        <v>0</v>
      </c>
      <c r="O112" s="40">
        <f t="shared" si="53"/>
        <v>60000.000000000015</v>
      </c>
      <c r="P112" s="40">
        <f t="shared" si="54"/>
        <v>0</v>
      </c>
      <c r="Q112" s="40">
        <f t="shared" si="55"/>
        <v>60000.000000000015</v>
      </c>
      <c r="R112" s="40">
        <f t="shared" si="56"/>
        <v>0</v>
      </c>
      <c r="S112" s="40">
        <f t="shared" si="57"/>
        <v>60000.000000000015</v>
      </c>
      <c r="T112" s="40">
        <f t="shared" si="58"/>
        <v>0</v>
      </c>
      <c r="U112" s="40">
        <f t="shared" si="59"/>
        <v>60000.000000000015</v>
      </c>
      <c r="V112" s="40">
        <f>+'CONAP-FUR (REG)-Detail'!W162</f>
        <v>0</v>
      </c>
      <c r="W112" s="40">
        <f>+'CONAP-FUR (REG)-Detail'!X162</f>
        <v>0</v>
      </c>
      <c r="X112" s="40">
        <f>+'CONAP-FUR (REG)-Detail'!Y162</f>
        <v>0</v>
      </c>
      <c r="Y112" s="40">
        <f t="shared" si="78"/>
        <v>0</v>
      </c>
      <c r="Z112" s="40">
        <f>+'CONAP-FUR (REG)-Detail'!AA162</f>
        <v>0</v>
      </c>
      <c r="AA112" s="40">
        <f>+'CONAP-FUR (REG)-Detail'!AB162</f>
        <v>0</v>
      </c>
      <c r="AB112" s="40">
        <f>+'CONAP-FUR (REG)-Detail'!AC162</f>
        <v>0</v>
      </c>
      <c r="AC112" s="40">
        <f t="shared" si="7"/>
        <v>0</v>
      </c>
      <c r="AD112" s="40">
        <f t="shared" si="60"/>
        <v>0</v>
      </c>
      <c r="AE112" s="40">
        <f t="shared" si="61"/>
        <v>0</v>
      </c>
      <c r="AF112" s="40">
        <f t="shared" si="62"/>
        <v>0</v>
      </c>
      <c r="AG112" s="40">
        <f t="shared" si="63"/>
        <v>0</v>
      </c>
      <c r="AH112" s="40">
        <f t="shared" si="64"/>
        <v>0</v>
      </c>
      <c r="AI112" s="40">
        <f t="shared" si="65"/>
        <v>60000.000000000015</v>
      </c>
      <c r="AJ112" s="40">
        <f t="shared" si="66"/>
        <v>0</v>
      </c>
      <c r="AK112" s="40">
        <f t="shared" si="67"/>
        <v>60000.000000000015</v>
      </c>
      <c r="AL112" s="600"/>
      <c r="AM112" s="600">
        <f t="shared" si="68"/>
        <v>0</v>
      </c>
      <c r="AN112" s="600" t="str">
        <f t="shared" si="69"/>
        <v xml:space="preserve"> </v>
      </c>
      <c r="AO112" s="600">
        <f t="shared" si="70"/>
        <v>0</v>
      </c>
      <c r="AP112" s="189"/>
    </row>
    <row r="113" spans="1:42" s="16" customFormat="1">
      <c r="A113" s="905" t="s">
        <v>1035</v>
      </c>
      <c r="B113" s="40"/>
      <c r="C113" s="40">
        <f>+'CONAP-FUR (REG)-Detail'!D163</f>
        <v>48677.38</v>
      </c>
      <c r="D113" s="40">
        <f>+'CONAP-FUR (REG)-Detail'!E163</f>
        <v>0</v>
      </c>
      <c r="E113" s="40">
        <f t="shared" si="49"/>
        <v>48677.38</v>
      </c>
      <c r="F113" s="40">
        <f>+'CONAP-FUR (REG)-Detail'!G163</f>
        <v>0</v>
      </c>
      <c r="G113" s="40">
        <f>+'CONAP-FUR (REG)-Detail'!H163</f>
        <v>0</v>
      </c>
      <c r="H113" s="40">
        <f>+'CONAP-FUR (REG)-Detail'!I163</f>
        <v>10808000</v>
      </c>
      <c r="I113" s="40">
        <f t="shared" si="50"/>
        <v>10808000</v>
      </c>
      <c r="J113" s="40">
        <f>+'CONAP-FUR (REG)-Detail'!K163</f>
        <v>0</v>
      </c>
      <c r="K113" s="40">
        <f>+'CONAP-FUR (REG)-Detail'!L163</f>
        <v>226206.31</v>
      </c>
      <c r="L113" s="40">
        <f>+'CONAP-FUR (REG)-Detail'!M163</f>
        <v>0</v>
      </c>
      <c r="M113" s="40">
        <f t="shared" si="51"/>
        <v>226206.31</v>
      </c>
      <c r="N113" s="40">
        <f t="shared" si="52"/>
        <v>0</v>
      </c>
      <c r="O113" s="40">
        <f t="shared" si="53"/>
        <v>226206.31</v>
      </c>
      <c r="P113" s="40">
        <f t="shared" si="54"/>
        <v>10808000</v>
      </c>
      <c r="Q113" s="40">
        <f t="shared" si="55"/>
        <v>11034206.310000001</v>
      </c>
      <c r="R113" s="40">
        <f t="shared" si="56"/>
        <v>0</v>
      </c>
      <c r="S113" s="40">
        <f t="shared" si="57"/>
        <v>274883.69</v>
      </c>
      <c r="T113" s="40">
        <f t="shared" si="58"/>
        <v>10808000</v>
      </c>
      <c r="U113" s="40">
        <f t="shared" si="59"/>
        <v>11082883.689999999</v>
      </c>
      <c r="V113" s="40">
        <f>+'CONAP-FUR (REG)-Detail'!W163</f>
        <v>0</v>
      </c>
      <c r="W113" s="40">
        <f>+'CONAP-FUR (REG)-Detail'!X163</f>
        <v>48677.38</v>
      </c>
      <c r="X113" s="40">
        <f>+'CONAP-FUR (REG)-Detail'!Y163</f>
        <v>0</v>
      </c>
      <c r="Y113" s="40">
        <f t="shared" si="78"/>
        <v>48677.38</v>
      </c>
      <c r="Z113" s="40">
        <f>+'CONAP-FUR (REG)-Detail'!AA163</f>
        <v>0</v>
      </c>
      <c r="AA113" s="40">
        <f>+'CONAP-FUR (REG)-Detail'!AB163</f>
        <v>166206.30999999997</v>
      </c>
      <c r="AB113" s="40">
        <f>+'CONAP-FUR (REG)-Detail'!AC163</f>
        <v>0</v>
      </c>
      <c r="AC113" s="40">
        <f t="shared" si="7"/>
        <v>166206.30999999997</v>
      </c>
      <c r="AD113" s="40">
        <f t="shared" si="60"/>
        <v>0</v>
      </c>
      <c r="AE113" s="40">
        <f t="shared" si="61"/>
        <v>214883.68999999997</v>
      </c>
      <c r="AF113" s="40">
        <f t="shared" si="62"/>
        <v>0</v>
      </c>
      <c r="AG113" s="40">
        <f t="shared" si="63"/>
        <v>214883.68999999997</v>
      </c>
      <c r="AH113" s="40">
        <f t="shared" si="64"/>
        <v>0</v>
      </c>
      <c r="AI113" s="40">
        <f t="shared" si="65"/>
        <v>60000.000000000029</v>
      </c>
      <c r="AJ113" s="40">
        <f t="shared" si="66"/>
        <v>10808000</v>
      </c>
      <c r="AK113" s="40">
        <f t="shared" si="67"/>
        <v>10868000</v>
      </c>
      <c r="AL113" s="600"/>
      <c r="AM113" s="600">
        <f t="shared" si="68"/>
        <v>0.781725863764416</v>
      </c>
      <c r="AN113" s="600">
        <f t="shared" si="69"/>
        <v>0</v>
      </c>
      <c r="AO113" s="600">
        <f t="shared" si="70"/>
        <v>1.938878869530029E-2</v>
      </c>
      <c r="AP113" s="189"/>
    </row>
    <row r="114" spans="1:42" s="16" customFormat="1">
      <c r="A114" s="905" t="s">
        <v>1036</v>
      </c>
      <c r="B114" s="40"/>
      <c r="C114" s="40">
        <f>+'CONAP-FUR (REG)-Detail'!D164</f>
        <v>0</v>
      </c>
      <c r="D114" s="40">
        <f>+'CONAP-FUR (REG)-Detail'!E164</f>
        <v>0</v>
      </c>
      <c r="E114" s="40">
        <f t="shared" si="49"/>
        <v>0</v>
      </c>
      <c r="F114" s="40">
        <f>+'CONAP-FUR (REG)-Detail'!G164</f>
        <v>0</v>
      </c>
      <c r="G114" s="40">
        <f>+'CONAP-FUR (REG)-Detail'!H164</f>
        <v>0</v>
      </c>
      <c r="H114" s="40">
        <f>+'CONAP-FUR (REG)-Detail'!I164</f>
        <v>0</v>
      </c>
      <c r="I114" s="40">
        <f t="shared" si="50"/>
        <v>0</v>
      </c>
      <c r="J114" s="40">
        <f>+'CONAP-FUR (REG)-Detail'!K164</f>
        <v>0</v>
      </c>
      <c r="K114" s="40">
        <f>+'CONAP-FUR (REG)-Detail'!L164</f>
        <v>658710.0700000003</v>
      </c>
      <c r="L114" s="40">
        <f>+'CONAP-FUR (REG)-Detail'!M164</f>
        <v>0</v>
      </c>
      <c r="M114" s="40">
        <f t="shared" si="51"/>
        <v>658710.0700000003</v>
      </c>
      <c r="N114" s="40">
        <f t="shared" si="52"/>
        <v>0</v>
      </c>
      <c r="O114" s="40">
        <f t="shared" si="53"/>
        <v>658710.0700000003</v>
      </c>
      <c r="P114" s="40">
        <f t="shared" si="54"/>
        <v>0</v>
      </c>
      <c r="Q114" s="40">
        <f t="shared" si="55"/>
        <v>658710.0700000003</v>
      </c>
      <c r="R114" s="40">
        <f t="shared" si="56"/>
        <v>0</v>
      </c>
      <c r="S114" s="40">
        <f t="shared" si="57"/>
        <v>658710.0700000003</v>
      </c>
      <c r="T114" s="40">
        <f t="shared" si="58"/>
        <v>0</v>
      </c>
      <c r="U114" s="40">
        <f t="shared" si="59"/>
        <v>658710.0700000003</v>
      </c>
      <c r="V114" s="40">
        <f>+'CONAP-FUR (REG)-Detail'!W164</f>
        <v>0</v>
      </c>
      <c r="W114" s="40">
        <f>+'CONAP-FUR (REG)-Detail'!X164</f>
        <v>0</v>
      </c>
      <c r="X114" s="40">
        <f>+'CONAP-FUR (REG)-Detail'!Y164</f>
        <v>0</v>
      </c>
      <c r="Y114" s="40">
        <f t="shared" si="78"/>
        <v>0</v>
      </c>
      <c r="Z114" s="40">
        <f>+'CONAP-FUR (REG)-Detail'!AA164</f>
        <v>0</v>
      </c>
      <c r="AA114" s="40">
        <f>+'CONAP-FUR (REG)-Detail'!AB164</f>
        <v>162804.47</v>
      </c>
      <c r="AB114" s="40">
        <f>+'CONAP-FUR (REG)-Detail'!AC164</f>
        <v>0</v>
      </c>
      <c r="AC114" s="40">
        <f t="shared" si="7"/>
        <v>162804.47</v>
      </c>
      <c r="AD114" s="40">
        <f t="shared" si="60"/>
        <v>0</v>
      </c>
      <c r="AE114" s="40">
        <f t="shared" si="61"/>
        <v>162804.47</v>
      </c>
      <c r="AF114" s="40">
        <f t="shared" si="62"/>
        <v>0</v>
      </c>
      <c r="AG114" s="40">
        <f t="shared" si="63"/>
        <v>162804.47</v>
      </c>
      <c r="AH114" s="40">
        <f t="shared" si="64"/>
        <v>0</v>
      </c>
      <c r="AI114" s="40">
        <f t="shared" si="65"/>
        <v>495905.60000000033</v>
      </c>
      <c r="AJ114" s="40">
        <f t="shared" si="66"/>
        <v>0</v>
      </c>
      <c r="AK114" s="40">
        <f t="shared" si="67"/>
        <v>495905.60000000033</v>
      </c>
      <c r="AL114" s="600"/>
      <c r="AM114" s="600">
        <f t="shared" si="68"/>
        <v>0.24715649177793794</v>
      </c>
      <c r="AN114" s="600" t="str">
        <f t="shared" si="69"/>
        <v xml:space="preserve"> </v>
      </c>
      <c r="AO114" s="600">
        <f t="shared" si="70"/>
        <v>0.24715649177793794</v>
      </c>
      <c r="AP114" s="189"/>
    </row>
    <row r="115" spans="1:42" s="16" customFormat="1">
      <c r="A115" s="905" t="s">
        <v>1037</v>
      </c>
      <c r="B115" s="40"/>
      <c r="C115" s="40">
        <f>+'CONAP-FUR (REG)-Detail'!D165</f>
        <v>654605.95999999903</v>
      </c>
      <c r="D115" s="40">
        <f>+'CONAP-FUR (REG)-Detail'!E165</f>
        <v>0</v>
      </c>
      <c r="E115" s="40">
        <f t="shared" si="49"/>
        <v>654605.95999999903</v>
      </c>
      <c r="F115" s="40">
        <f>+'CONAP-FUR (REG)-Detail'!G165</f>
        <v>0</v>
      </c>
      <c r="G115" s="40">
        <f>+'CONAP-FUR (REG)-Detail'!H165</f>
        <v>-560987</v>
      </c>
      <c r="H115" s="40">
        <f>+'CONAP-FUR (REG)-Detail'!I165</f>
        <v>3184900</v>
      </c>
      <c r="I115" s="40">
        <f t="shared" si="50"/>
        <v>2623913</v>
      </c>
      <c r="J115" s="40">
        <f>+'CONAP-FUR (REG)-Detail'!K165</f>
        <v>0</v>
      </c>
      <c r="K115" s="40">
        <f>+'CONAP-FUR (REG)-Detail'!L165</f>
        <v>677514.31</v>
      </c>
      <c r="L115" s="40">
        <f>+'CONAP-FUR (REG)-Detail'!M165</f>
        <v>10000000</v>
      </c>
      <c r="M115" s="40">
        <f t="shared" si="51"/>
        <v>10677514.310000001</v>
      </c>
      <c r="N115" s="40">
        <f t="shared" si="52"/>
        <v>0</v>
      </c>
      <c r="O115" s="40">
        <f t="shared" si="53"/>
        <v>116527.31000000006</v>
      </c>
      <c r="P115" s="40">
        <f t="shared" si="54"/>
        <v>13184900</v>
      </c>
      <c r="Q115" s="40">
        <f t="shared" si="55"/>
        <v>13301427.310000001</v>
      </c>
      <c r="R115" s="40">
        <f t="shared" si="56"/>
        <v>0</v>
      </c>
      <c r="S115" s="40">
        <f t="shared" si="57"/>
        <v>771133.26999999909</v>
      </c>
      <c r="T115" s="40">
        <f t="shared" si="58"/>
        <v>13184900</v>
      </c>
      <c r="U115" s="40">
        <f t="shared" si="59"/>
        <v>13956033.27</v>
      </c>
      <c r="V115" s="40">
        <f>+'CONAP-FUR (REG)-Detail'!W165</f>
        <v>0</v>
      </c>
      <c r="W115" s="40">
        <f>+'CONAP-FUR (REG)-Detail'!X165</f>
        <v>652132.79</v>
      </c>
      <c r="X115" s="40">
        <f>+'CONAP-FUR (REG)-Detail'!Y165</f>
        <v>0</v>
      </c>
      <c r="Y115" s="40">
        <f t="shared" si="78"/>
        <v>652132.79</v>
      </c>
      <c r="Z115" s="40">
        <f>+'CONAP-FUR (REG)-Detail'!AA165</f>
        <v>0</v>
      </c>
      <c r="AA115" s="40">
        <f>+'CONAP-FUR (REG)-Detail'!AB165</f>
        <v>78059</v>
      </c>
      <c r="AB115" s="40">
        <f>+'CONAP-FUR (REG)-Detail'!AC165</f>
        <v>13000272</v>
      </c>
      <c r="AC115" s="40">
        <f t="shared" si="7"/>
        <v>13078331</v>
      </c>
      <c r="AD115" s="40">
        <f t="shared" si="60"/>
        <v>0</v>
      </c>
      <c r="AE115" s="40">
        <f t="shared" si="61"/>
        <v>730191.79</v>
      </c>
      <c r="AF115" s="40">
        <f t="shared" si="62"/>
        <v>13000272</v>
      </c>
      <c r="AG115" s="40">
        <f t="shared" si="63"/>
        <v>13730463.789999999</v>
      </c>
      <c r="AH115" s="40">
        <f t="shared" si="64"/>
        <v>0</v>
      </c>
      <c r="AI115" s="40">
        <f t="shared" si="65"/>
        <v>40941.47999999905</v>
      </c>
      <c r="AJ115" s="40">
        <f t="shared" si="66"/>
        <v>184628</v>
      </c>
      <c r="AK115" s="40">
        <f t="shared" si="67"/>
        <v>225569.47999999905</v>
      </c>
      <c r="AL115" s="600"/>
      <c r="AM115" s="600">
        <f t="shared" si="68"/>
        <v>0.94690738735731228</v>
      </c>
      <c r="AN115" s="600">
        <f t="shared" si="69"/>
        <v>0.98599701173311893</v>
      </c>
      <c r="AO115" s="600">
        <f t="shared" si="70"/>
        <v>0.98383713512027182</v>
      </c>
      <c r="AP115" s="189"/>
    </row>
    <row r="116" spans="1:42" s="16" customFormat="1">
      <c r="A116" s="905" t="s">
        <v>1038</v>
      </c>
      <c r="B116" s="40"/>
      <c r="C116" s="40">
        <f>+'CONAP-FUR (REG)-Detail'!D166</f>
        <v>691000</v>
      </c>
      <c r="D116" s="40">
        <f>+'CONAP-FUR (REG)-Detail'!E166</f>
        <v>0</v>
      </c>
      <c r="E116" s="40">
        <f t="shared" si="49"/>
        <v>691000</v>
      </c>
      <c r="F116" s="40">
        <f>+'CONAP-FUR (REG)-Detail'!G166</f>
        <v>0</v>
      </c>
      <c r="G116" s="40">
        <f>+'CONAP-FUR (REG)-Detail'!H166</f>
        <v>0</v>
      </c>
      <c r="H116" s="40">
        <f>+'CONAP-FUR (REG)-Detail'!I166</f>
        <v>0</v>
      </c>
      <c r="I116" s="40">
        <f t="shared" si="50"/>
        <v>0</v>
      </c>
      <c r="J116" s="40">
        <f>+'CONAP-FUR (REG)-Detail'!K166</f>
        <v>0</v>
      </c>
      <c r="K116" s="40">
        <f>+'CONAP-FUR (REG)-Detail'!L166</f>
        <v>0</v>
      </c>
      <c r="L116" s="40">
        <f>+'CONAP-FUR (REG)-Detail'!M166</f>
        <v>0</v>
      </c>
      <c r="M116" s="40">
        <f t="shared" si="51"/>
        <v>0</v>
      </c>
      <c r="N116" s="40">
        <f t="shared" si="52"/>
        <v>0</v>
      </c>
      <c r="O116" s="40">
        <f t="shared" si="53"/>
        <v>0</v>
      </c>
      <c r="P116" s="40">
        <f t="shared" si="54"/>
        <v>0</v>
      </c>
      <c r="Q116" s="40">
        <f t="shared" si="55"/>
        <v>0</v>
      </c>
      <c r="R116" s="40">
        <f t="shared" si="56"/>
        <v>0</v>
      </c>
      <c r="S116" s="40">
        <f t="shared" si="57"/>
        <v>691000</v>
      </c>
      <c r="T116" s="40">
        <f t="shared" si="58"/>
        <v>0</v>
      </c>
      <c r="U116" s="40">
        <f t="shared" si="59"/>
        <v>691000</v>
      </c>
      <c r="V116" s="40">
        <f>+'CONAP-FUR (REG)-Detail'!W166</f>
        <v>0</v>
      </c>
      <c r="W116" s="40">
        <f>+'CONAP-FUR (REG)-Detail'!X166</f>
        <v>0</v>
      </c>
      <c r="X116" s="40">
        <f>+'CONAP-FUR (REG)-Detail'!Y166</f>
        <v>0</v>
      </c>
      <c r="Y116" s="40">
        <f t="shared" si="78"/>
        <v>0</v>
      </c>
      <c r="Z116" s="40">
        <f>+'CONAP-FUR (REG)-Detail'!AA166</f>
        <v>0</v>
      </c>
      <c r="AA116" s="40">
        <f>+'CONAP-FUR (REG)-Detail'!AB166</f>
        <v>0</v>
      </c>
      <c r="AB116" s="40">
        <f>+'CONAP-FUR (REG)-Detail'!AC166</f>
        <v>0</v>
      </c>
      <c r="AC116" s="40">
        <f t="shared" si="7"/>
        <v>0</v>
      </c>
      <c r="AD116" s="40">
        <f t="shared" si="60"/>
        <v>0</v>
      </c>
      <c r="AE116" s="40">
        <f t="shared" si="61"/>
        <v>0</v>
      </c>
      <c r="AF116" s="40">
        <f t="shared" si="62"/>
        <v>0</v>
      </c>
      <c r="AG116" s="40">
        <f t="shared" si="63"/>
        <v>0</v>
      </c>
      <c r="AH116" s="40">
        <f t="shared" si="64"/>
        <v>0</v>
      </c>
      <c r="AI116" s="40">
        <f t="shared" si="65"/>
        <v>691000</v>
      </c>
      <c r="AJ116" s="40">
        <f t="shared" si="66"/>
        <v>0</v>
      </c>
      <c r="AK116" s="40">
        <f t="shared" si="67"/>
        <v>691000</v>
      </c>
      <c r="AL116" s="600"/>
      <c r="AM116" s="600">
        <f t="shared" si="68"/>
        <v>0</v>
      </c>
      <c r="AN116" s="600" t="str">
        <f t="shared" si="69"/>
        <v xml:space="preserve"> </v>
      </c>
      <c r="AO116" s="600">
        <f t="shared" si="70"/>
        <v>0</v>
      </c>
      <c r="AP116" s="189"/>
    </row>
    <row r="117" spans="1:42" s="16" customFormat="1">
      <c r="A117" s="596"/>
      <c r="B117" s="40"/>
      <c r="C117" s="40"/>
      <c r="D117" s="40"/>
      <c r="E117" s="579">
        <f t="shared" si="49"/>
        <v>0</v>
      </c>
      <c r="F117" s="40"/>
      <c r="G117" s="40"/>
      <c r="H117" s="40"/>
      <c r="I117" s="579">
        <f t="shared" si="50"/>
        <v>0</v>
      </c>
      <c r="J117" s="40"/>
      <c r="K117" s="40"/>
      <c r="L117" s="40"/>
      <c r="M117" s="579">
        <f t="shared" si="51"/>
        <v>0</v>
      </c>
      <c r="N117" s="40">
        <f t="shared" si="52"/>
        <v>0</v>
      </c>
      <c r="O117" s="40">
        <f t="shared" si="53"/>
        <v>0</v>
      </c>
      <c r="P117" s="40">
        <f t="shared" si="54"/>
        <v>0</v>
      </c>
      <c r="Q117" s="579">
        <f t="shared" si="55"/>
        <v>0</v>
      </c>
      <c r="R117" s="40">
        <f t="shared" si="56"/>
        <v>0</v>
      </c>
      <c r="S117" s="40">
        <f t="shared" si="57"/>
        <v>0</v>
      </c>
      <c r="T117" s="40">
        <f t="shared" si="58"/>
        <v>0</v>
      </c>
      <c r="U117" s="579">
        <f t="shared" si="59"/>
        <v>0</v>
      </c>
      <c r="V117" s="40"/>
      <c r="W117" s="40"/>
      <c r="X117" s="40"/>
      <c r="Y117" s="579">
        <f t="shared" si="78"/>
        <v>0</v>
      </c>
      <c r="Z117" s="40"/>
      <c r="AA117" s="40"/>
      <c r="AB117" s="40"/>
      <c r="AC117" s="579">
        <f t="shared" si="7"/>
        <v>0</v>
      </c>
      <c r="AD117" s="40">
        <f t="shared" si="60"/>
        <v>0</v>
      </c>
      <c r="AE117" s="40">
        <f t="shared" si="61"/>
        <v>0</v>
      </c>
      <c r="AF117" s="40">
        <f t="shared" si="62"/>
        <v>0</v>
      </c>
      <c r="AG117" s="579">
        <f t="shared" si="63"/>
        <v>0</v>
      </c>
      <c r="AH117" s="579">
        <f t="shared" si="64"/>
        <v>0</v>
      </c>
      <c r="AI117" s="40">
        <f t="shared" si="65"/>
        <v>0</v>
      </c>
      <c r="AJ117" s="40">
        <f t="shared" si="66"/>
        <v>0</v>
      </c>
      <c r="AK117" s="579">
        <f t="shared" si="67"/>
        <v>0</v>
      </c>
      <c r="AL117" s="600"/>
      <c r="AM117" s="600" t="str">
        <f t="shared" si="68"/>
        <v xml:space="preserve"> </v>
      </c>
      <c r="AN117" s="600" t="str">
        <f t="shared" si="69"/>
        <v xml:space="preserve"> </v>
      </c>
      <c r="AO117" s="600" t="str">
        <f t="shared" si="70"/>
        <v xml:space="preserve"> </v>
      </c>
      <c r="AP117" s="189"/>
    </row>
    <row r="118" spans="1:42" s="609" customFormat="1" ht="16.5">
      <c r="A118" s="1153" t="s">
        <v>1039</v>
      </c>
      <c r="B118" s="1161">
        <f>+'CONAP-FUR (REG)-Detail'!C248+'CONAP-FUR (REG)-Detail'!C168</f>
        <v>0</v>
      </c>
      <c r="C118" s="1161">
        <f>SUM(C119:C122)</f>
        <v>275304.17999999318</v>
      </c>
      <c r="D118" s="1161">
        <f t="shared" ref="D118:AK118" si="79">SUM(D119:D122)</f>
        <v>0</v>
      </c>
      <c r="E118" s="1161">
        <f t="shared" si="79"/>
        <v>275304.17999999318</v>
      </c>
      <c r="F118" s="1161">
        <f t="shared" si="79"/>
        <v>0</v>
      </c>
      <c r="G118" s="1161">
        <f t="shared" si="79"/>
        <v>-1143423.0299999991</v>
      </c>
      <c r="H118" s="1161">
        <f t="shared" si="79"/>
        <v>2466500</v>
      </c>
      <c r="I118" s="1161">
        <f t="shared" si="79"/>
        <v>1323076.9700000009</v>
      </c>
      <c r="J118" s="1161">
        <f t="shared" si="79"/>
        <v>0</v>
      </c>
      <c r="K118" s="1161">
        <f t="shared" si="79"/>
        <v>48932567.469999999</v>
      </c>
      <c r="L118" s="1161">
        <f t="shared" si="79"/>
        <v>5069905.3000000119</v>
      </c>
      <c r="M118" s="1161">
        <f t="shared" si="79"/>
        <v>54002472.770000011</v>
      </c>
      <c r="N118" s="1161">
        <f t="shared" si="79"/>
        <v>0</v>
      </c>
      <c r="O118" s="1161">
        <f t="shared" si="79"/>
        <v>47789144.43999999</v>
      </c>
      <c r="P118" s="1161">
        <f t="shared" si="79"/>
        <v>7536405.3000000119</v>
      </c>
      <c r="Q118" s="1161">
        <f t="shared" si="79"/>
        <v>55325549.740000002</v>
      </c>
      <c r="R118" s="1161">
        <f t="shared" si="79"/>
        <v>0</v>
      </c>
      <c r="S118" s="1161">
        <f t="shared" si="79"/>
        <v>48064448.619999982</v>
      </c>
      <c r="T118" s="1161">
        <f t="shared" si="79"/>
        <v>7536405.3000000119</v>
      </c>
      <c r="U118" s="1161">
        <f t="shared" si="79"/>
        <v>55600853.919999994</v>
      </c>
      <c r="V118" s="1161">
        <f t="shared" si="79"/>
        <v>0</v>
      </c>
      <c r="W118" s="1161">
        <f t="shared" si="79"/>
        <v>273519.86</v>
      </c>
      <c r="X118" s="1161">
        <f t="shared" si="79"/>
        <v>0</v>
      </c>
      <c r="Y118" s="1161">
        <f t="shared" si="79"/>
        <v>273519.86</v>
      </c>
      <c r="Z118" s="1161">
        <f t="shared" si="79"/>
        <v>0</v>
      </c>
      <c r="AA118" s="1161">
        <f t="shared" si="79"/>
        <v>43178829.980000004</v>
      </c>
      <c r="AB118" s="1161">
        <f t="shared" si="79"/>
        <v>0</v>
      </c>
      <c r="AC118" s="1161">
        <f t="shared" si="79"/>
        <v>43178829.980000004</v>
      </c>
      <c r="AD118" s="1161">
        <f t="shared" si="79"/>
        <v>0</v>
      </c>
      <c r="AE118" s="1161">
        <f t="shared" si="79"/>
        <v>43452349.840000004</v>
      </c>
      <c r="AF118" s="1161">
        <f t="shared" si="79"/>
        <v>0</v>
      </c>
      <c r="AG118" s="1161">
        <f t="shared" si="79"/>
        <v>43452349.840000004</v>
      </c>
      <c r="AH118" s="1161">
        <f t="shared" si="79"/>
        <v>0</v>
      </c>
      <c r="AI118" s="1161">
        <f t="shared" si="79"/>
        <v>4612098.7799999835</v>
      </c>
      <c r="AJ118" s="1161">
        <f t="shared" si="79"/>
        <v>7536405.3000000119</v>
      </c>
      <c r="AK118" s="1161">
        <f t="shared" si="79"/>
        <v>12148504.079999996</v>
      </c>
      <c r="AL118" s="608" t="str">
        <f t="shared" si="33"/>
        <v xml:space="preserve"> </v>
      </c>
      <c r="AM118" s="608">
        <f t="shared" si="68"/>
        <v>0.9040434476537228</v>
      </c>
      <c r="AN118" s="608">
        <f t="shared" si="69"/>
        <v>0</v>
      </c>
      <c r="AO118" s="608">
        <f t="shared" si="70"/>
        <v>0.7815050808845565</v>
      </c>
      <c r="AP118" s="1171">
        <f>+AK118-'CONAP (ALL FUNDS)'!Q912</f>
        <v>0</v>
      </c>
    </row>
    <row r="119" spans="1:42" s="16" customFormat="1">
      <c r="A119" s="905" t="s">
        <v>1040</v>
      </c>
      <c r="B119" s="40"/>
      <c r="C119" s="40">
        <f>+'CONAP-FUR (REG)-Detail'!D248</f>
        <v>275304.17999999318</v>
      </c>
      <c r="D119" s="40">
        <f>+'CONAP-FUR (REG)-Detail'!E248</f>
        <v>0</v>
      </c>
      <c r="E119" s="40">
        <f t="shared" si="49"/>
        <v>275304.17999999318</v>
      </c>
      <c r="F119" s="40">
        <f>+'CONAP-FUR (REG)-Detail'!G248</f>
        <v>0</v>
      </c>
      <c r="G119" s="40">
        <f>+'CONAP-FUR (REG)-Detail'!H248</f>
        <v>-9630848.7899999991</v>
      </c>
      <c r="H119" s="40">
        <f>+'CONAP-FUR (REG)-Detail'!I248</f>
        <v>2386500</v>
      </c>
      <c r="I119" s="40">
        <f t="shared" si="50"/>
        <v>-7244348.7899999991</v>
      </c>
      <c r="J119" s="40">
        <f>+'CONAP-FUR (REG)-Detail'!K248</f>
        <v>0</v>
      </c>
      <c r="K119" s="40">
        <f>+'CONAP-FUR (REG)-Detail'!L248</f>
        <v>42917456.929999992</v>
      </c>
      <c r="L119" s="40">
        <f>+'CONAP-FUR (REG)-Detail'!M248</f>
        <v>5069905.3000000119</v>
      </c>
      <c r="M119" s="40">
        <f t="shared" si="51"/>
        <v>47987362.230000004</v>
      </c>
      <c r="N119" s="40">
        <f t="shared" si="52"/>
        <v>0</v>
      </c>
      <c r="O119" s="40">
        <f t="shared" si="53"/>
        <v>33286608.139999993</v>
      </c>
      <c r="P119" s="40">
        <f t="shared" si="54"/>
        <v>7456405.3000000119</v>
      </c>
      <c r="Q119" s="40">
        <f t="shared" si="55"/>
        <v>40743013.440000005</v>
      </c>
      <c r="R119" s="40">
        <f t="shared" si="56"/>
        <v>0</v>
      </c>
      <c r="S119" s="40">
        <f t="shared" si="57"/>
        <v>33561912.319999985</v>
      </c>
      <c r="T119" s="40">
        <f t="shared" si="58"/>
        <v>7456405.3000000119</v>
      </c>
      <c r="U119" s="40">
        <f t="shared" si="59"/>
        <v>41018317.619999997</v>
      </c>
      <c r="V119" s="40">
        <f>+'CONAP-FUR (REG)-Detail'!W248</f>
        <v>0</v>
      </c>
      <c r="W119" s="40">
        <f>+'CONAP-FUR (REG)-Detail'!X248</f>
        <v>273519.86</v>
      </c>
      <c r="X119" s="40">
        <f>+'CONAP-FUR (REG)-Detail'!Y248</f>
        <v>0</v>
      </c>
      <c r="Y119" s="40">
        <f t="shared" si="78"/>
        <v>273519.86</v>
      </c>
      <c r="Z119" s="40">
        <f>+'CONAP-FUR (REG)-Detail'!AA248</f>
        <v>0</v>
      </c>
      <c r="AA119" s="40">
        <f>+'CONAP-FUR (REG)-Detail'!AB248</f>
        <v>33103455.420000002</v>
      </c>
      <c r="AB119" s="40">
        <f>+'CONAP-FUR (REG)-Detail'!AC248</f>
        <v>0</v>
      </c>
      <c r="AC119" s="40">
        <f t="shared" si="7"/>
        <v>33103455.420000002</v>
      </c>
      <c r="AD119" s="40">
        <f t="shared" si="60"/>
        <v>0</v>
      </c>
      <c r="AE119" s="40">
        <f t="shared" si="61"/>
        <v>33376975.280000001</v>
      </c>
      <c r="AF119" s="40">
        <f t="shared" si="62"/>
        <v>0</v>
      </c>
      <c r="AG119" s="40">
        <f t="shared" si="63"/>
        <v>33376975.280000001</v>
      </c>
      <c r="AH119" s="40">
        <f t="shared" si="64"/>
        <v>0</v>
      </c>
      <c r="AI119" s="40">
        <f t="shared" si="65"/>
        <v>184937.0399999842</v>
      </c>
      <c r="AJ119" s="40">
        <f t="shared" si="66"/>
        <v>7456405.3000000119</v>
      </c>
      <c r="AK119" s="40">
        <f t="shared" si="67"/>
        <v>7641342.3399999961</v>
      </c>
      <c r="AL119" s="600"/>
      <c r="AM119" s="600">
        <f t="shared" si="68"/>
        <v>0.99448967513422115</v>
      </c>
      <c r="AN119" s="600">
        <f t="shared" si="69"/>
        <v>0</v>
      </c>
      <c r="AO119" s="600">
        <f t="shared" si="70"/>
        <v>0.81370902603099016</v>
      </c>
      <c r="AP119" s="189"/>
    </row>
    <row r="120" spans="1:42" s="16" customFormat="1">
      <c r="A120" s="905" t="s">
        <v>1041</v>
      </c>
      <c r="B120" s="40"/>
      <c r="C120" s="40">
        <f>+'CONAP-FUR (REG)-Detail'!D169</f>
        <v>0</v>
      </c>
      <c r="D120" s="40">
        <f>+'CONAP-FUR (REG)-Detail'!E169</f>
        <v>0</v>
      </c>
      <c r="E120" s="40">
        <f t="shared" si="49"/>
        <v>0</v>
      </c>
      <c r="F120" s="40">
        <f>+'CONAP-FUR (REG)-Detail'!G169</f>
        <v>0</v>
      </c>
      <c r="G120" s="40">
        <f>+'CONAP-FUR (REG)-Detail'!H169</f>
        <v>10000000</v>
      </c>
      <c r="H120" s="40">
        <f>+'CONAP-FUR (REG)-Detail'!I169</f>
        <v>0</v>
      </c>
      <c r="I120" s="40">
        <f t="shared" si="50"/>
        <v>10000000</v>
      </c>
      <c r="J120" s="40">
        <f>+'CONAP-FUR (REG)-Detail'!K169</f>
        <v>0</v>
      </c>
      <c r="K120" s="40">
        <f>+'CONAP-FUR (REG)-Detail'!L169</f>
        <v>3960685.78</v>
      </c>
      <c r="L120" s="40">
        <f>+'CONAP-FUR (REG)-Detail'!M169</f>
        <v>0</v>
      </c>
      <c r="M120" s="40">
        <f t="shared" si="51"/>
        <v>3960685.78</v>
      </c>
      <c r="N120" s="40">
        <f t="shared" si="52"/>
        <v>0</v>
      </c>
      <c r="O120" s="40">
        <f t="shared" si="53"/>
        <v>13960685.779999999</v>
      </c>
      <c r="P120" s="40">
        <f t="shared" si="54"/>
        <v>0</v>
      </c>
      <c r="Q120" s="40">
        <f t="shared" si="55"/>
        <v>13960685.779999999</v>
      </c>
      <c r="R120" s="40">
        <f t="shared" si="56"/>
        <v>0</v>
      </c>
      <c r="S120" s="40">
        <f t="shared" si="57"/>
        <v>13960685.779999999</v>
      </c>
      <c r="T120" s="40">
        <f t="shared" si="58"/>
        <v>0</v>
      </c>
      <c r="U120" s="40">
        <f t="shared" si="59"/>
        <v>13960685.779999999</v>
      </c>
      <c r="V120" s="40">
        <f>+'CONAP-FUR (REG)-Detail'!W169</f>
        <v>0</v>
      </c>
      <c r="W120" s="40">
        <f>+'CONAP-FUR (REG)-Detail'!X169</f>
        <v>0</v>
      </c>
      <c r="X120" s="40">
        <f>+'CONAP-FUR (REG)-Detail'!Y169</f>
        <v>0</v>
      </c>
      <c r="Y120" s="40">
        <f t="shared" si="78"/>
        <v>0</v>
      </c>
      <c r="Z120" s="40">
        <f>+'CONAP-FUR (REG)-Detail'!AA169</f>
        <v>0</v>
      </c>
      <c r="AA120" s="40">
        <f>+'CONAP-FUR (REG)-Detail'!AB169</f>
        <v>9739814.0899999999</v>
      </c>
      <c r="AB120" s="40">
        <f>+'CONAP-FUR (REG)-Detail'!AC169</f>
        <v>0</v>
      </c>
      <c r="AC120" s="40">
        <f t="shared" si="7"/>
        <v>9739814.0899999999</v>
      </c>
      <c r="AD120" s="40">
        <f t="shared" si="60"/>
        <v>0</v>
      </c>
      <c r="AE120" s="40">
        <f t="shared" si="61"/>
        <v>9739814.0899999999</v>
      </c>
      <c r="AF120" s="40">
        <f t="shared" si="62"/>
        <v>0</v>
      </c>
      <c r="AG120" s="40">
        <f t="shared" si="63"/>
        <v>9739814.0899999999</v>
      </c>
      <c r="AH120" s="40">
        <f t="shared" si="64"/>
        <v>0</v>
      </c>
      <c r="AI120" s="40">
        <f t="shared" si="65"/>
        <v>4220871.6899999995</v>
      </c>
      <c r="AJ120" s="40">
        <f t="shared" si="66"/>
        <v>0</v>
      </c>
      <c r="AK120" s="40">
        <f t="shared" si="67"/>
        <v>4220871.6899999995</v>
      </c>
      <c r="AL120" s="600"/>
      <c r="AM120" s="600">
        <f t="shared" si="68"/>
        <v>0.69766014674961052</v>
      </c>
      <c r="AN120" s="600" t="str">
        <f t="shared" si="69"/>
        <v xml:space="preserve"> </v>
      </c>
      <c r="AO120" s="600">
        <f t="shared" si="70"/>
        <v>0.69766014674961052</v>
      </c>
      <c r="AP120" s="189"/>
    </row>
    <row r="121" spans="1:42" s="16" customFormat="1">
      <c r="A121" s="905" t="s">
        <v>1042</v>
      </c>
      <c r="B121" s="40"/>
      <c r="C121" s="40">
        <f>+'CONAP-FUR (REG)-Detail'!D170</f>
        <v>0</v>
      </c>
      <c r="D121" s="40">
        <f>+'CONAP-FUR (REG)-Detail'!E170</f>
        <v>0</v>
      </c>
      <c r="E121" s="40">
        <f t="shared" si="49"/>
        <v>0</v>
      </c>
      <c r="F121" s="40">
        <f>+'CONAP-FUR (REG)-Detail'!G170</f>
        <v>0</v>
      </c>
      <c r="G121" s="40">
        <f>+'CONAP-FUR (REG)-Detail'!H170</f>
        <v>-1304814.1599999999</v>
      </c>
      <c r="H121" s="40">
        <f>+'CONAP-FUR (REG)-Detail'!I170</f>
        <v>80000</v>
      </c>
      <c r="I121" s="40">
        <f t="shared" si="50"/>
        <v>-1224814.1599999999</v>
      </c>
      <c r="J121" s="40">
        <f>+'CONAP-FUR (REG)-Detail'!K170</f>
        <v>0</v>
      </c>
      <c r="K121" s="40">
        <f>+'CONAP-FUR (REG)-Detail'!L170</f>
        <v>1310396.92</v>
      </c>
      <c r="L121" s="40">
        <f>+'CONAP-FUR (REG)-Detail'!M170</f>
        <v>0</v>
      </c>
      <c r="M121" s="40">
        <f t="shared" si="51"/>
        <v>1310396.92</v>
      </c>
      <c r="N121" s="40">
        <f t="shared" si="52"/>
        <v>0</v>
      </c>
      <c r="O121" s="40">
        <f t="shared" si="53"/>
        <v>5582.7600000000093</v>
      </c>
      <c r="P121" s="40">
        <f t="shared" si="54"/>
        <v>80000</v>
      </c>
      <c r="Q121" s="40">
        <f t="shared" si="55"/>
        <v>85582.760000000009</v>
      </c>
      <c r="R121" s="40">
        <f t="shared" si="56"/>
        <v>0</v>
      </c>
      <c r="S121" s="40">
        <f t="shared" si="57"/>
        <v>5582.7600000000093</v>
      </c>
      <c r="T121" s="40">
        <f t="shared" si="58"/>
        <v>80000</v>
      </c>
      <c r="U121" s="40">
        <f t="shared" si="59"/>
        <v>85582.760000000009</v>
      </c>
      <c r="V121" s="40">
        <f>+'CONAP-FUR (REG)-Detail'!W170</f>
        <v>0</v>
      </c>
      <c r="W121" s="40">
        <f>+'CONAP-FUR (REG)-Detail'!X170</f>
        <v>0</v>
      </c>
      <c r="X121" s="40">
        <f>+'CONAP-FUR (REG)-Detail'!Y170</f>
        <v>0</v>
      </c>
      <c r="Y121" s="40">
        <f t="shared" si="78"/>
        <v>0</v>
      </c>
      <c r="Z121" s="40">
        <f>+'CONAP-FUR (REG)-Detail'!AA170</f>
        <v>0</v>
      </c>
      <c r="AA121" s="40">
        <f>+'CONAP-FUR (REG)-Detail'!AB170</f>
        <v>0</v>
      </c>
      <c r="AB121" s="40">
        <f>+'CONAP-FUR (REG)-Detail'!AC170</f>
        <v>0</v>
      </c>
      <c r="AC121" s="40">
        <f t="shared" si="7"/>
        <v>0</v>
      </c>
      <c r="AD121" s="40">
        <f t="shared" si="60"/>
        <v>0</v>
      </c>
      <c r="AE121" s="40">
        <f t="shared" si="61"/>
        <v>0</v>
      </c>
      <c r="AF121" s="40">
        <f t="shared" si="62"/>
        <v>0</v>
      </c>
      <c r="AG121" s="40">
        <f t="shared" si="63"/>
        <v>0</v>
      </c>
      <c r="AH121" s="40">
        <f t="shared" si="64"/>
        <v>0</v>
      </c>
      <c r="AI121" s="40">
        <f t="shared" si="65"/>
        <v>5582.7600000000093</v>
      </c>
      <c r="AJ121" s="40">
        <f t="shared" si="66"/>
        <v>80000</v>
      </c>
      <c r="AK121" s="40">
        <f t="shared" si="67"/>
        <v>85582.760000000009</v>
      </c>
      <c r="AL121" s="600"/>
      <c r="AM121" s="600">
        <f t="shared" si="68"/>
        <v>0</v>
      </c>
      <c r="AN121" s="600">
        <f t="shared" si="69"/>
        <v>0</v>
      </c>
      <c r="AO121" s="600">
        <f t="shared" si="70"/>
        <v>0</v>
      </c>
      <c r="AP121" s="189"/>
    </row>
    <row r="122" spans="1:42" s="16" customFormat="1">
      <c r="A122" s="905" t="s">
        <v>1043</v>
      </c>
      <c r="B122" s="40"/>
      <c r="C122" s="40">
        <f>+'CONAP-FUR (REG)-Detail'!D171</f>
        <v>0</v>
      </c>
      <c r="D122" s="40">
        <f>+'CONAP-FUR (REG)-Detail'!E171</f>
        <v>0</v>
      </c>
      <c r="E122" s="40">
        <f t="shared" si="49"/>
        <v>0</v>
      </c>
      <c r="F122" s="40">
        <f>+'CONAP-FUR (REG)-Detail'!G171</f>
        <v>0</v>
      </c>
      <c r="G122" s="40">
        <f>+'CONAP-FUR (REG)-Detail'!H171</f>
        <v>-207760.08</v>
      </c>
      <c r="H122" s="40">
        <f>+'CONAP-FUR (REG)-Detail'!I171</f>
        <v>0</v>
      </c>
      <c r="I122" s="40">
        <f t="shared" si="50"/>
        <v>-207760.08</v>
      </c>
      <c r="J122" s="40">
        <f>+'CONAP-FUR (REG)-Detail'!K171</f>
        <v>0</v>
      </c>
      <c r="K122" s="40">
        <f>+'CONAP-FUR (REG)-Detail'!L171</f>
        <v>744027.84000000008</v>
      </c>
      <c r="L122" s="40">
        <f>+'CONAP-FUR (REG)-Detail'!M171</f>
        <v>0</v>
      </c>
      <c r="M122" s="40">
        <f t="shared" si="51"/>
        <v>744027.84000000008</v>
      </c>
      <c r="N122" s="40">
        <f t="shared" si="52"/>
        <v>0</v>
      </c>
      <c r="O122" s="40">
        <f t="shared" si="53"/>
        <v>536267.76000000013</v>
      </c>
      <c r="P122" s="40">
        <f t="shared" si="54"/>
        <v>0</v>
      </c>
      <c r="Q122" s="40">
        <f t="shared" si="55"/>
        <v>536267.76000000013</v>
      </c>
      <c r="R122" s="40">
        <f t="shared" si="56"/>
        <v>0</v>
      </c>
      <c r="S122" s="40">
        <f t="shared" si="57"/>
        <v>536267.76000000013</v>
      </c>
      <c r="T122" s="40">
        <f t="shared" si="58"/>
        <v>0</v>
      </c>
      <c r="U122" s="40">
        <f t="shared" si="59"/>
        <v>536267.76000000013</v>
      </c>
      <c r="V122" s="40">
        <f>+'CONAP-FUR (REG)-Detail'!W171</f>
        <v>0</v>
      </c>
      <c r="W122" s="40">
        <f>+'CONAP-FUR (REG)-Detail'!X171</f>
        <v>0</v>
      </c>
      <c r="X122" s="40">
        <f>+'CONAP-FUR (REG)-Detail'!Y171</f>
        <v>0</v>
      </c>
      <c r="Y122" s="40">
        <f t="shared" si="78"/>
        <v>0</v>
      </c>
      <c r="Z122" s="40">
        <f>+'CONAP-FUR (REG)-Detail'!AA171</f>
        <v>0</v>
      </c>
      <c r="AA122" s="40">
        <f>+'CONAP-FUR (REG)-Detail'!AB171</f>
        <v>335560.47</v>
      </c>
      <c r="AB122" s="40">
        <f>+'CONAP-FUR (REG)-Detail'!AC171</f>
        <v>0</v>
      </c>
      <c r="AC122" s="40">
        <f t="shared" si="7"/>
        <v>335560.47</v>
      </c>
      <c r="AD122" s="40">
        <f t="shared" si="60"/>
        <v>0</v>
      </c>
      <c r="AE122" s="40">
        <f t="shared" si="61"/>
        <v>335560.47</v>
      </c>
      <c r="AF122" s="40">
        <f t="shared" si="62"/>
        <v>0</v>
      </c>
      <c r="AG122" s="40">
        <f t="shared" si="63"/>
        <v>335560.47</v>
      </c>
      <c r="AH122" s="40">
        <f t="shared" si="64"/>
        <v>0</v>
      </c>
      <c r="AI122" s="40">
        <f t="shared" si="65"/>
        <v>200707.29000000015</v>
      </c>
      <c r="AJ122" s="40">
        <f t="shared" si="66"/>
        <v>0</v>
      </c>
      <c r="AK122" s="40">
        <f t="shared" si="67"/>
        <v>200707.29000000015</v>
      </c>
      <c r="AL122" s="600"/>
      <c r="AM122" s="600">
        <f t="shared" si="68"/>
        <v>0.62573306663074413</v>
      </c>
      <c r="AN122" s="600" t="str">
        <f t="shared" si="69"/>
        <v xml:space="preserve"> </v>
      </c>
      <c r="AO122" s="600">
        <f t="shared" si="70"/>
        <v>0.62573306663074413</v>
      </c>
      <c r="AP122" s="189"/>
    </row>
    <row r="123" spans="1:42" s="16" customFormat="1">
      <c r="A123" s="596"/>
      <c r="B123" s="40"/>
      <c r="C123" s="40"/>
      <c r="D123" s="40"/>
      <c r="E123" s="579">
        <f t="shared" si="49"/>
        <v>0</v>
      </c>
      <c r="F123" s="40"/>
      <c r="G123" s="40"/>
      <c r="H123" s="40"/>
      <c r="I123" s="579">
        <f t="shared" si="50"/>
        <v>0</v>
      </c>
      <c r="J123" s="40"/>
      <c r="K123" s="40"/>
      <c r="L123" s="40"/>
      <c r="M123" s="579">
        <f t="shared" si="51"/>
        <v>0</v>
      </c>
      <c r="N123" s="40">
        <f t="shared" si="52"/>
        <v>0</v>
      </c>
      <c r="O123" s="40">
        <f t="shared" si="53"/>
        <v>0</v>
      </c>
      <c r="P123" s="40">
        <f t="shared" si="54"/>
        <v>0</v>
      </c>
      <c r="Q123" s="579">
        <f t="shared" si="55"/>
        <v>0</v>
      </c>
      <c r="R123" s="40">
        <f t="shared" si="56"/>
        <v>0</v>
      </c>
      <c r="S123" s="40">
        <f t="shared" si="57"/>
        <v>0</v>
      </c>
      <c r="T123" s="40">
        <f t="shared" si="58"/>
        <v>0</v>
      </c>
      <c r="U123" s="579">
        <f t="shared" si="59"/>
        <v>0</v>
      </c>
      <c r="V123" s="40"/>
      <c r="W123" s="40"/>
      <c r="X123" s="40"/>
      <c r="Y123" s="579">
        <f t="shared" si="78"/>
        <v>0</v>
      </c>
      <c r="Z123" s="40"/>
      <c r="AA123" s="40"/>
      <c r="AB123" s="40"/>
      <c r="AC123" s="579">
        <f t="shared" si="7"/>
        <v>0</v>
      </c>
      <c r="AD123" s="40">
        <f t="shared" si="60"/>
        <v>0</v>
      </c>
      <c r="AE123" s="40">
        <f t="shared" si="61"/>
        <v>0</v>
      </c>
      <c r="AF123" s="40">
        <f t="shared" si="62"/>
        <v>0</v>
      </c>
      <c r="AG123" s="579">
        <f t="shared" si="63"/>
        <v>0</v>
      </c>
      <c r="AH123" s="579">
        <f t="shared" si="64"/>
        <v>0</v>
      </c>
      <c r="AI123" s="40">
        <f t="shared" si="65"/>
        <v>0</v>
      </c>
      <c r="AJ123" s="40">
        <f t="shared" si="66"/>
        <v>0</v>
      </c>
      <c r="AK123" s="579">
        <f t="shared" si="67"/>
        <v>0</v>
      </c>
      <c r="AL123" s="600"/>
      <c r="AM123" s="600" t="str">
        <f t="shared" si="68"/>
        <v xml:space="preserve"> </v>
      </c>
      <c r="AN123" s="600" t="str">
        <f t="shared" si="69"/>
        <v xml:space="preserve"> </v>
      </c>
      <c r="AO123" s="600" t="str">
        <f t="shared" si="70"/>
        <v xml:space="preserve"> </v>
      </c>
      <c r="AP123" s="189"/>
    </row>
    <row r="124" spans="1:42" s="609" customFormat="1" ht="16.5">
      <c r="A124" s="1153" t="s">
        <v>1044</v>
      </c>
      <c r="B124" s="1161">
        <f>+'CONAP-FUR (REG)-Detail'!C173+'CONAP-FUR (REG)-Detail'!C253</f>
        <v>0</v>
      </c>
      <c r="C124" s="1161">
        <f>SUM(C125:C127)</f>
        <v>4999967.57</v>
      </c>
      <c r="D124" s="1161">
        <f t="shared" ref="D124:AK124" si="80">SUM(D125:D127)</f>
        <v>0</v>
      </c>
      <c r="E124" s="1161">
        <f t="shared" si="80"/>
        <v>4999967.57</v>
      </c>
      <c r="F124" s="1161">
        <f t="shared" si="80"/>
        <v>0</v>
      </c>
      <c r="G124" s="1161">
        <f t="shared" si="80"/>
        <v>3003001.1700000004</v>
      </c>
      <c r="H124" s="1161">
        <f t="shared" si="80"/>
        <v>1701000</v>
      </c>
      <c r="I124" s="1161">
        <f t="shared" si="80"/>
        <v>4704001.17</v>
      </c>
      <c r="J124" s="1161">
        <f t="shared" si="80"/>
        <v>0</v>
      </c>
      <c r="K124" s="1161">
        <f t="shared" si="80"/>
        <v>48406739.989999995</v>
      </c>
      <c r="L124" s="1161">
        <f t="shared" si="80"/>
        <v>109604126.20999999</v>
      </c>
      <c r="M124" s="1161">
        <f t="shared" si="80"/>
        <v>158010866.20000002</v>
      </c>
      <c r="N124" s="1161">
        <f t="shared" si="80"/>
        <v>0</v>
      </c>
      <c r="O124" s="1161">
        <f t="shared" si="80"/>
        <v>51409741.159999996</v>
      </c>
      <c r="P124" s="1161">
        <f t="shared" si="80"/>
        <v>111305126.20999999</v>
      </c>
      <c r="Q124" s="1161">
        <f t="shared" si="80"/>
        <v>162714867.36999997</v>
      </c>
      <c r="R124" s="1161">
        <f t="shared" si="80"/>
        <v>0</v>
      </c>
      <c r="S124" s="1161">
        <f t="shared" si="80"/>
        <v>56409708.729999989</v>
      </c>
      <c r="T124" s="1161">
        <f t="shared" si="80"/>
        <v>111305126.20999999</v>
      </c>
      <c r="U124" s="1161">
        <f t="shared" si="80"/>
        <v>167714834.94</v>
      </c>
      <c r="V124" s="1161">
        <f t="shared" si="80"/>
        <v>0</v>
      </c>
      <c r="W124" s="1161">
        <f t="shared" si="80"/>
        <v>1806178.22</v>
      </c>
      <c r="X124" s="1161">
        <f t="shared" si="80"/>
        <v>0</v>
      </c>
      <c r="Y124" s="1161">
        <f t="shared" si="80"/>
        <v>1806178.22</v>
      </c>
      <c r="Z124" s="1161">
        <f t="shared" si="80"/>
        <v>0</v>
      </c>
      <c r="AA124" s="1161">
        <f t="shared" si="80"/>
        <v>51887761.590000004</v>
      </c>
      <c r="AB124" s="1161">
        <f t="shared" si="80"/>
        <v>101697422</v>
      </c>
      <c r="AC124" s="1161">
        <f t="shared" si="80"/>
        <v>153585183.59000003</v>
      </c>
      <c r="AD124" s="1161">
        <f t="shared" si="80"/>
        <v>0</v>
      </c>
      <c r="AE124" s="1161">
        <f t="shared" si="80"/>
        <v>53693939.810000002</v>
      </c>
      <c r="AF124" s="1161">
        <f t="shared" si="80"/>
        <v>101697422</v>
      </c>
      <c r="AG124" s="1161">
        <f t="shared" si="80"/>
        <v>155391361.81</v>
      </c>
      <c r="AH124" s="1161">
        <f t="shared" si="80"/>
        <v>0</v>
      </c>
      <c r="AI124" s="1161">
        <f t="shared" si="80"/>
        <v>2715768.9199999897</v>
      </c>
      <c r="AJ124" s="1161">
        <f t="shared" si="80"/>
        <v>9607704.2099999934</v>
      </c>
      <c r="AK124" s="1161">
        <f t="shared" si="80"/>
        <v>12323473.129999984</v>
      </c>
      <c r="AL124" s="608" t="str">
        <f t="shared" si="33"/>
        <v xml:space="preserve"> </v>
      </c>
      <c r="AM124" s="608">
        <f t="shared" si="68"/>
        <v>0.95185635627018084</v>
      </c>
      <c r="AN124" s="608">
        <f t="shared" si="69"/>
        <v>0.91368138613963668</v>
      </c>
      <c r="AO124" s="608">
        <f t="shared" si="70"/>
        <v>0.92652126966342174</v>
      </c>
      <c r="AP124" s="1171">
        <f>+AK124-'CONAP (ALL FUNDS)'!Q961</f>
        <v>0</v>
      </c>
    </row>
    <row r="125" spans="1:42" s="16" customFormat="1">
      <c r="A125" s="905" t="s">
        <v>1045</v>
      </c>
      <c r="B125" s="40"/>
      <c r="C125" s="40">
        <f>+'CONAP-FUR (REG)-Detail'!D253</f>
        <v>3724504.16</v>
      </c>
      <c r="D125" s="40">
        <f>+'CONAP-FUR (REG)-Detail'!E253</f>
        <v>0</v>
      </c>
      <c r="E125" s="40">
        <f t="shared" si="49"/>
        <v>3724504.16</v>
      </c>
      <c r="F125" s="40">
        <f>+'CONAP-FUR (REG)-Detail'!G253</f>
        <v>0</v>
      </c>
      <c r="G125" s="40">
        <f>+'CONAP-FUR (REG)-Detail'!H253</f>
        <v>-3210433.82</v>
      </c>
      <c r="H125" s="40">
        <f>+'CONAP-FUR (REG)-Detail'!I253</f>
        <v>1701000</v>
      </c>
      <c r="I125" s="40">
        <f t="shared" si="50"/>
        <v>-1509433.8199999998</v>
      </c>
      <c r="J125" s="40">
        <f>+'CONAP-FUR (REG)-Detail'!K253</f>
        <v>0</v>
      </c>
      <c r="K125" s="40">
        <f>+'CONAP-FUR (REG)-Detail'!L253</f>
        <v>40267064.139999993</v>
      </c>
      <c r="L125" s="40">
        <f>+'CONAP-FUR (REG)-Detail'!M253</f>
        <v>109604126.20999999</v>
      </c>
      <c r="M125" s="40">
        <f t="shared" si="51"/>
        <v>149871190.34999999</v>
      </c>
      <c r="N125" s="40">
        <f t="shared" si="52"/>
        <v>0</v>
      </c>
      <c r="O125" s="40">
        <f t="shared" si="53"/>
        <v>37056630.319999993</v>
      </c>
      <c r="P125" s="40">
        <f t="shared" si="54"/>
        <v>111305126.20999999</v>
      </c>
      <c r="Q125" s="40">
        <f t="shared" si="55"/>
        <v>148361756.52999997</v>
      </c>
      <c r="R125" s="40">
        <f t="shared" si="56"/>
        <v>0</v>
      </c>
      <c r="S125" s="40">
        <f t="shared" si="57"/>
        <v>40781134.479999989</v>
      </c>
      <c r="T125" s="40">
        <f t="shared" si="58"/>
        <v>111305126.20999999</v>
      </c>
      <c r="U125" s="40">
        <f t="shared" si="59"/>
        <v>152086260.69</v>
      </c>
      <c r="V125" s="40">
        <f>+'CONAP-FUR (REG)-Detail'!W253</f>
        <v>0</v>
      </c>
      <c r="W125" s="40">
        <f>+'CONAP-FUR (REG)-Detail'!X253</f>
        <v>1507804.72</v>
      </c>
      <c r="X125" s="40">
        <f>+'CONAP-FUR (REG)-Detail'!Y253</f>
        <v>0</v>
      </c>
      <c r="Y125" s="40">
        <f t="shared" si="78"/>
        <v>1507804.72</v>
      </c>
      <c r="Z125" s="40">
        <f>+'CONAP-FUR (REG)-Detail'!AA253</f>
        <v>0</v>
      </c>
      <c r="AA125" s="40">
        <f>+'CONAP-FUR (REG)-Detail'!AB253</f>
        <v>38664403.859999999</v>
      </c>
      <c r="AB125" s="40">
        <f>+'CONAP-FUR (REG)-Detail'!AC253</f>
        <v>101697422</v>
      </c>
      <c r="AC125" s="40">
        <f t="shared" si="7"/>
        <v>140361825.86000001</v>
      </c>
      <c r="AD125" s="40">
        <f t="shared" si="60"/>
        <v>0</v>
      </c>
      <c r="AE125" s="40">
        <f t="shared" si="61"/>
        <v>40172208.579999998</v>
      </c>
      <c r="AF125" s="40">
        <f t="shared" si="62"/>
        <v>101697422</v>
      </c>
      <c r="AG125" s="40">
        <f t="shared" si="63"/>
        <v>141869630.57999998</v>
      </c>
      <c r="AH125" s="40">
        <f t="shared" si="64"/>
        <v>0</v>
      </c>
      <c r="AI125" s="40">
        <f t="shared" si="65"/>
        <v>608925.89999999106</v>
      </c>
      <c r="AJ125" s="40">
        <f t="shared" si="66"/>
        <v>9607704.2099999934</v>
      </c>
      <c r="AK125" s="40">
        <f t="shared" si="67"/>
        <v>10216630.109999985</v>
      </c>
      <c r="AL125" s="600"/>
      <c r="AM125" s="600">
        <f t="shared" si="68"/>
        <v>0.98506844138191829</v>
      </c>
      <c r="AN125" s="600">
        <f t="shared" si="69"/>
        <v>0.91368138613963668</v>
      </c>
      <c r="AO125" s="600">
        <f t="shared" si="70"/>
        <v>0.93282345122006294</v>
      </c>
      <c r="AP125" s="189"/>
    </row>
    <row r="126" spans="1:42" s="16" customFormat="1">
      <c r="A126" s="905" t="s">
        <v>1046</v>
      </c>
      <c r="B126" s="40"/>
      <c r="C126" s="40">
        <f>+'CONAP-FUR (REG)-Detail'!D174</f>
        <v>965223.62</v>
      </c>
      <c r="D126" s="40">
        <f>+'CONAP-FUR (REG)-Detail'!E174</f>
        <v>0</v>
      </c>
      <c r="E126" s="40">
        <f t="shared" si="49"/>
        <v>965223.62</v>
      </c>
      <c r="F126" s="40">
        <f>+'CONAP-FUR (REG)-Detail'!G174</f>
        <v>0</v>
      </c>
      <c r="G126" s="40">
        <f>+'CONAP-FUR (REG)-Detail'!H174</f>
        <v>0</v>
      </c>
      <c r="H126" s="40">
        <f>+'CONAP-FUR (REG)-Detail'!I174</f>
        <v>0</v>
      </c>
      <c r="I126" s="40">
        <f t="shared" si="50"/>
        <v>0</v>
      </c>
      <c r="J126" s="40">
        <f>+'CONAP-FUR (REG)-Detail'!K174</f>
        <v>0</v>
      </c>
      <c r="K126" s="40">
        <f>+'CONAP-FUR (REG)-Detail'!L174</f>
        <v>1001351.02</v>
      </c>
      <c r="L126" s="40">
        <f>+'CONAP-FUR (REG)-Detail'!M174</f>
        <v>0</v>
      </c>
      <c r="M126" s="40">
        <f t="shared" si="51"/>
        <v>1001351.02</v>
      </c>
      <c r="N126" s="40">
        <f t="shared" si="52"/>
        <v>0</v>
      </c>
      <c r="O126" s="40">
        <f t="shared" si="53"/>
        <v>1001351.02</v>
      </c>
      <c r="P126" s="40">
        <f t="shared" si="54"/>
        <v>0</v>
      </c>
      <c r="Q126" s="40">
        <f t="shared" si="55"/>
        <v>1001351.02</v>
      </c>
      <c r="R126" s="40">
        <f t="shared" si="56"/>
        <v>0</v>
      </c>
      <c r="S126" s="40">
        <f t="shared" si="57"/>
        <v>1966574.6400000001</v>
      </c>
      <c r="T126" s="40">
        <f t="shared" si="58"/>
        <v>0</v>
      </c>
      <c r="U126" s="40">
        <f t="shared" si="59"/>
        <v>1966574.6400000001</v>
      </c>
      <c r="V126" s="40">
        <f>+'CONAP-FUR (REG)-Detail'!W174</f>
        <v>0</v>
      </c>
      <c r="W126" s="40">
        <f>+'CONAP-FUR (REG)-Detail'!X174</f>
        <v>0</v>
      </c>
      <c r="X126" s="40">
        <f>+'CONAP-FUR (REG)-Detail'!Y174</f>
        <v>0</v>
      </c>
      <c r="Y126" s="40">
        <f t="shared" si="78"/>
        <v>0</v>
      </c>
      <c r="Z126" s="40">
        <f>+'CONAP-FUR (REG)-Detail'!AA174</f>
        <v>0</v>
      </c>
      <c r="AA126" s="40">
        <f>+'CONAP-FUR (REG)-Detail'!AB174</f>
        <v>697535.52</v>
      </c>
      <c r="AB126" s="40">
        <f>+'CONAP-FUR (REG)-Detail'!AC174</f>
        <v>0</v>
      </c>
      <c r="AC126" s="40">
        <f t="shared" si="7"/>
        <v>697535.52</v>
      </c>
      <c r="AD126" s="40">
        <f t="shared" si="60"/>
        <v>0</v>
      </c>
      <c r="AE126" s="40">
        <f t="shared" si="61"/>
        <v>697535.52</v>
      </c>
      <c r="AF126" s="40">
        <f t="shared" si="62"/>
        <v>0</v>
      </c>
      <c r="AG126" s="40">
        <f t="shared" si="63"/>
        <v>697535.52</v>
      </c>
      <c r="AH126" s="40">
        <f t="shared" si="64"/>
        <v>0</v>
      </c>
      <c r="AI126" s="40">
        <f t="shared" si="65"/>
        <v>1269039.1200000001</v>
      </c>
      <c r="AJ126" s="40">
        <f t="shared" si="66"/>
        <v>0</v>
      </c>
      <c r="AK126" s="40">
        <f t="shared" si="67"/>
        <v>1269039.1200000001</v>
      </c>
      <c r="AL126" s="600"/>
      <c r="AM126" s="600">
        <f t="shared" si="68"/>
        <v>0.35469567531899016</v>
      </c>
      <c r="AN126" s="600" t="str">
        <f t="shared" si="69"/>
        <v xml:space="preserve"> </v>
      </c>
      <c r="AO126" s="600">
        <f t="shared" si="70"/>
        <v>0.35469567531899016</v>
      </c>
      <c r="AP126" s="189"/>
    </row>
    <row r="127" spans="1:42" s="16" customFormat="1">
      <c r="A127" s="905" t="s">
        <v>1047</v>
      </c>
      <c r="B127" s="40"/>
      <c r="C127" s="40">
        <f>+'CONAP-FUR (REG)-Detail'!D175</f>
        <v>310239.78999999998</v>
      </c>
      <c r="D127" s="40">
        <f>+'CONAP-FUR (REG)-Detail'!E175</f>
        <v>0</v>
      </c>
      <c r="E127" s="40">
        <f t="shared" si="49"/>
        <v>310239.78999999998</v>
      </c>
      <c r="F127" s="40">
        <f>+'CONAP-FUR (REG)-Detail'!G175</f>
        <v>0</v>
      </c>
      <c r="G127" s="40">
        <f>+'CONAP-FUR (REG)-Detail'!H175</f>
        <v>6213434.9900000002</v>
      </c>
      <c r="H127" s="40">
        <f>+'CONAP-FUR (REG)-Detail'!I175</f>
        <v>0</v>
      </c>
      <c r="I127" s="40">
        <f t="shared" si="50"/>
        <v>6213434.9900000002</v>
      </c>
      <c r="J127" s="40">
        <f>+'CONAP-FUR (REG)-Detail'!K175</f>
        <v>0</v>
      </c>
      <c r="K127" s="40">
        <f>+'CONAP-FUR (REG)-Detail'!L175</f>
        <v>7138324.8300000001</v>
      </c>
      <c r="L127" s="40">
        <f>+'CONAP-FUR (REG)-Detail'!M175</f>
        <v>0</v>
      </c>
      <c r="M127" s="40">
        <f t="shared" si="51"/>
        <v>7138324.8300000001</v>
      </c>
      <c r="N127" s="40">
        <f t="shared" si="52"/>
        <v>0</v>
      </c>
      <c r="O127" s="40">
        <f t="shared" si="53"/>
        <v>13351759.82</v>
      </c>
      <c r="P127" s="40">
        <f t="shared" si="54"/>
        <v>0</v>
      </c>
      <c r="Q127" s="40">
        <f t="shared" si="55"/>
        <v>13351759.82</v>
      </c>
      <c r="R127" s="40">
        <f t="shared" si="56"/>
        <v>0</v>
      </c>
      <c r="S127" s="40">
        <f t="shared" si="57"/>
        <v>13661999.609999999</v>
      </c>
      <c r="T127" s="40">
        <f t="shared" si="58"/>
        <v>0</v>
      </c>
      <c r="U127" s="40">
        <f t="shared" si="59"/>
        <v>13661999.609999999</v>
      </c>
      <c r="V127" s="40">
        <f>+'CONAP-FUR (REG)-Detail'!W175</f>
        <v>0</v>
      </c>
      <c r="W127" s="40">
        <f>+'CONAP-FUR (REG)-Detail'!X175</f>
        <v>298373.5</v>
      </c>
      <c r="X127" s="40">
        <f>+'CONAP-FUR (REG)-Detail'!Y175</f>
        <v>0</v>
      </c>
      <c r="Y127" s="40">
        <f t="shared" si="78"/>
        <v>298373.5</v>
      </c>
      <c r="Z127" s="40">
        <f>+'CONAP-FUR (REG)-Detail'!AA175</f>
        <v>0</v>
      </c>
      <c r="AA127" s="40">
        <f>+'CONAP-FUR (REG)-Detail'!AB175</f>
        <v>12525822.210000001</v>
      </c>
      <c r="AB127" s="40">
        <f>+'CONAP-FUR (REG)-Detail'!AC175</f>
        <v>0</v>
      </c>
      <c r="AC127" s="40">
        <f t="shared" si="7"/>
        <v>12525822.210000001</v>
      </c>
      <c r="AD127" s="40">
        <f t="shared" si="60"/>
        <v>0</v>
      </c>
      <c r="AE127" s="40">
        <f t="shared" si="61"/>
        <v>12824195.710000001</v>
      </c>
      <c r="AF127" s="40">
        <f t="shared" si="62"/>
        <v>0</v>
      </c>
      <c r="AG127" s="40">
        <f t="shared" si="63"/>
        <v>12824195.710000001</v>
      </c>
      <c r="AH127" s="40">
        <f t="shared" si="64"/>
        <v>0</v>
      </c>
      <c r="AI127" s="40">
        <f t="shared" si="65"/>
        <v>837803.89999999851</v>
      </c>
      <c r="AJ127" s="40">
        <f t="shared" si="66"/>
        <v>0</v>
      </c>
      <c r="AK127" s="40">
        <f t="shared" si="67"/>
        <v>837803.89999999851</v>
      </c>
      <c r="AL127" s="600"/>
      <c r="AM127" s="600">
        <f t="shared" si="68"/>
        <v>0.93867633407142237</v>
      </c>
      <c r="AN127" s="600" t="str">
        <f t="shared" si="69"/>
        <v xml:space="preserve"> </v>
      </c>
      <c r="AO127" s="600">
        <f t="shared" si="70"/>
        <v>0.93867633407142237</v>
      </c>
      <c r="AP127" s="189"/>
    </row>
    <row r="128" spans="1:42" s="16" customFormat="1">
      <c r="A128" s="596"/>
      <c r="B128" s="40"/>
      <c r="C128" s="40"/>
      <c r="D128" s="40"/>
      <c r="E128" s="579">
        <f t="shared" si="49"/>
        <v>0</v>
      </c>
      <c r="F128" s="40"/>
      <c r="G128" s="40"/>
      <c r="H128" s="40"/>
      <c r="I128" s="579">
        <f t="shared" si="50"/>
        <v>0</v>
      </c>
      <c r="J128" s="40"/>
      <c r="K128" s="40"/>
      <c r="L128" s="40"/>
      <c r="M128" s="579">
        <f t="shared" si="51"/>
        <v>0</v>
      </c>
      <c r="N128" s="40">
        <f t="shared" si="52"/>
        <v>0</v>
      </c>
      <c r="O128" s="40">
        <f t="shared" si="53"/>
        <v>0</v>
      </c>
      <c r="P128" s="40">
        <f t="shared" si="54"/>
        <v>0</v>
      </c>
      <c r="Q128" s="579">
        <f t="shared" si="55"/>
        <v>0</v>
      </c>
      <c r="R128" s="40">
        <f t="shared" si="56"/>
        <v>0</v>
      </c>
      <c r="S128" s="40">
        <f t="shared" si="57"/>
        <v>0</v>
      </c>
      <c r="T128" s="40">
        <f t="shared" si="58"/>
        <v>0</v>
      </c>
      <c r="U128" s="579">
        <f t="shared" si="59"/>
        <v>0</v>
      </c>
      <c r="V128" s="40"/>
      <c r="W128" s="40"/>
      <c r="X128" s="40"/>
      <c r="Y128" s="579">
        <f t="shared" si="78"/>
        <v>0</v>
      </c>
      <c r="Z128" s="40"/>
      <c r="AA128" s="40"/>
      <c r="AB128" s="40"/>
      <c r="AC128" s="579">
        <f t="shared" si="7"/>
        <v>0</v>
      </c>
      <c r="AD128" s="40">
        <f t="shared" si="60"/>
        <v>0</v>
      </c>
      <c r="AE128" s="40">
        <f t="shared" si="61"/>
        <v>0</v>
      </c>
      <c r="AF128" s="40">
        <f t="shared" si="62"/>
        <v>0</v>
      </c>
      <c r="AG128" s="579">
        <f t="shared" si="63"/>
        <v>0</v>
      </c>
      <c r="AH128" s="579">
        <f t="shared" si="64"/>
        <v>0</v>
      </c>
      <c r="AI128" s="40">
        <f t="shared" si="65"/>
        <v>0</v>
      </c>
      <c r="AJ128" s="40">
        <f t="shared" si="66"/>
        <v>0</v>
      </c>
      <c r="AK128" s="579">
        <f t="shared" si="67"/>
        <v>0</v>
      </c>
      <c r="AL128" s="600"/>
      <c r="AM128" s="600" t="str">
        <f t="shared" si="68"/>
        <v xml:space="preserve"> </v>
      </c>
      <c r="AN128" s="600" t="str">
        <f t="shared" si="69"/>
        <v xml:space="preserve"> </v>
      </c>
      <c r="AO128" s="600" t="str">
        <f t="shared" si="70"/>
        <v xml:space="preserve"> </v>
      </c>
      <c r="AP128" s="189"/>
    </row>
    <row r="129" spans="1:43" s="609" customFormat="1" ht="16.5">
      <c r="A129" s="1153" t="s">
        <v>1048</v>
      </c>
      <c r="B129" s="1161">
        <f>+'CONAP-FUR (REG)-Detail'!C258+'CONAP-FUR (REG)-Detail'!C177</f>
        <v>0</v>
      </c>
      <c r="C129" s="1161">
        <f>SUM(C130:C132)</f>
        <v>7424593.6599999992</v>
      </c>
      <c r="D129" s="1161">
        <f t="shared" ref="D129:AK129" si="81">SUM(D130:D132)</f>
        <v>0</v>
      </c>
      <c r="E129" s="1161">
        <f t="shared" si="81"/>
        <v>7424593.6599999992</v>
      </c>
      <c r="F129" s="1161">
        <f t="shared" si="81"/>
        <v>0</v>
      </c>
      <c r="G129" s="1161">
        <f t="shared" si="81"/>
        <v>-4352607.8499999996</v>
      </c>
      <c r="H129" s="1161">
        <f t="shared" si="81"/>
        <v>0</v>
      </c>
      <c r="I129" s="1161">
        <f t="shared" si="81"/>
        <v>-4352607.8499999996</v>
      </c>
      <c r="J129" s="1161">
        <f t="shared" si="81"/>
        <v>0</v>
      </c>
      <c r="K129" s="1161">
        <f t="shared" si="81"/>
        <v>28463446.169999998</v>
      </c>
      <c r="L129" s="1161">
        <f t="shared" si="81"/>
        <v>188462</v>
      </c>
      <c r="M129" s="1161">
        <f t="shared" si="81"/>
        <v>28651908.169999998</v>
      </c>
      <c r="N129" s="1161">
        <f t="shared" si="81"/>
        <v>0</v>
      </c>
      <c r="O129" s="1161">
        <f t="shared" si="81"/>
        <v>24110838.32</v>
      </c>
      <c r="P129" s="1161">
        <f t="shared" si="81"/>
        <v>188462</v>
      </c>
      <c r="Q129" s="1161">
        <f t="shared" si="81"/>
        <v>24299300.32</v>
      </c>
      <c r="R129" s="1161">
        <f t="shared" si="81"/>
        <v>0</v>
      </c>
      <c r="S129" s="1161">
        <f t="shared" si="81"/>
        <v>31535431.979999997</v>
      </c>
      <c r="T129" s="1161">
        <f t="shared" si="81"/>
        <v>188462</v>
      </c>
      <c r="U129" s="1161">
        <f t="shared" si="81"/>
        <v>31723893.979999997</v>
      </c>
      <c r="V129" s="1161">
        <f t="shared" si="81"/>
        <v>0</v>
      </c>
      <c r="W129" s="1161">
        <f t="shared" si="81"/>
        <v>6586430.6600000001</v>
      </c>
      <c r="X129" s="1161">
        <f t="shared" si="81"/>
        <v>0</v>
      </c>
      <c r="Y129" s="1161">
        <f t="shared" si="81"/>
        <v>6586430.6600000001</v>
      </c>
      <c r="Z129" s="1161">
        <f t="shared" si="81"/>
        <v>0</v>
      </c>
      <c r="AA129" s="1161">
        <f t="shared" si="81"/>
        <v>23502287.350000001</v>
      </c>
      <c r="AB129" s="1161">
        <f t="shared" si="81"/>
        <v>187980</v>
      </c>
      <c r="AC129" s="1161">
        <f t="shared" si="81"/>
        <v>23690267.350000001</v>
      </c>
      <c r="AD129" s="1161">
        <f t="shared" si="81"/>
        <v>0</v>
      </c>
      <c r="AE129" s="1161">
        <f t="shared" si="81"/>
        <v>30088718.010000002</v>
      </c>
      <c r="AF129" s="1161">
        <f t="shared" si="81"/>
        <v>187980</v>
      </c>
      <c r="AG129" s="1161">
        <f t="shared" si="81"/>
        <v>30276698.010000002</v>
      </c>
      <c r="AH129" s="1161">
        <f t="shared" si="81"/>
        <v>0</v>
      </c>
      <c r="AI129" s="1161">
        <f t="shared" si="81"/>
        <v>1446713.9699999944</v>
      </c>
      <c r="AJ129" s="1161">
        <f t="shared" si="81"/>
        <v>482</v>
      </c>
      <c r="AK129" s="1161">
        <f t="shared" si="81"/>
        <v>1447195.9699999944</v>
      </c>
      <c r="AL129" s="608" t="str">
        <f t="shared" si="33"/>
        <v xml:space="preserve"> </v>
      </c>
      <c r="AM129" s="608">
        <f t="shared" si="68"/>
        <v>0.95412417464528432</v>
      </c>
      <c r="AN129" s="608">
        <f t="shared" si="69"/>
        <v>0.99744245524296671</v>
      </c>
      <c r="AO129" s="608">
        <f t="shared" si="70"/>
        <v>0.95438151536780558</v>
      </c>
      <c r="AP129" s="1171">
        <f>+AK129-'CONAP (ALL FUNDS)'!Q1010</f>
        <v>-3.4924596548080444E-9</v>
      </c>
    </row>
    <row r="130" spans="1:43" s="16" customFormat="1">
      <c r="A130" s="905" t="s">
        <v>1049</v>
      </c>
      <c r="B130" s="40"/>
      <c r="C130" s="40">
        <f>+'CONAP-FUR (REG)-Detail'!D258</f>
        <v>6648543.8699999992</v>
      </c>
      <c r="D130" s="40">
        <f>+'CONAP-FUR (REG)-Detail'!E258</f>
        <v>0</v>
      </c>
      <c r="E130" s="40">
        <f t="shared" si="49"/>
        <v>6648543.8699999992</v>
      </c>
      <c r="F130" s="40">
        <f>+'CONAP-FUR (REG)-Detail'!G258</f>
        <v>0</v>
      </c>
      <c r="G130" s="40">
        <f>+'CONAP-FUR (REG)-Detail'!H258</f>
        <v>-4809202.29</v>
      </c>
      <c r="H130" s="40">
        <f>+'CONAP-FUR (REG)-Detail'!I258</f>
        <v>0</v>
      </c>
      <c r="I130" s="40">
        <f t="shared" si="50"/>
        <v>-4809202.29</v>
      </c>
      <c r="J130" s="40">
        <f>+'CONAP-FUR (REG)-Detail'!K258</f>
        <v>0</v>
      </c>
      <c r="K130" s="40">
        <f>+'CONAP-FUR (REG)-Detail'!L258</f>
        <v>28420040.609999999</v>
      </c>
      <c r="L130" s="40">
        <f>+'CONAP-FUR (REG)-Detail'!M258</f>
        <v>188462</v>
      </c>
      <c r="M130" s="40">
        <f t="shared" si="51"/>
        <v>28608502.609999999</v>
      </c>
      <c r="N130" s="40">
        <f t="shared" si="52"/>
        <v>0</v>
      </c>
      <c r="O130" s="40">
        <f t="shared" si="53"/>
        <v>23610838.32</v>
      </c>
      <c r="P130" s="40">
        <f t="shared" si="54"/>
        <v>188462</v>
      </c>
      <c r="Q130" s="40">
        <f t="shared" si="55"/>
        <v>23799300.32</v>
      </c>
      <c r="R130" s="40">
        <f t="shared" si="56"/>
        <v>0</v>
      </c>
      <c r="S130" s="40">
        <f t="shared" si="57"/>
        <v>30259382.189999998</v>
      </c>
      <c r="T130" s="40">
        <f t="shared" si="58"/>
        <v>188462</v>
      </c>
      <c r="U130" s="40">
        <f t="shared" si="59"/>
        <v>30447844.189999998</v>
      </c>
      <c r="V130" s="40">
        <f>+'CONAP-FUR (REG)-Detail'!W258</f>
        <v>0</v>
      </c>
      <c r="W130" s="40">
        <f>+'CONAP-FUR (REG)-Detail'!X258</f>
        <v>5860510.4199999999</v>
      </c>
      <c r="X130" s="40">
        <f>+'CONAP-FUR (REG)-Detail'!Y258</f>
        <v>0</v>
      </c>
      <c r="Y130" s="40">
        <f t="shared" si="78"/>
        <v>5860510.4199999999</v>
      </c>
      <c r="Z130" s="40">
        <f>+'CONAP-FUR (REG)-Detail'!AA258</f>
        <v>0</v>
      </c>
      <c r="AA130" s="40">
        <f>+'CONAP-FUR (REG)-Detail'!AB258</f>
        <v>23002287.350000001</v>
      </c>
      <c r="AB130" s="40">
        <f>+'CONAP-FUR (REG)-Detail'!AC258</f>
        <v>187980</v>
      </c>
      <c r="AC130" s="40">
        <f t="shared" si="7"/>
        <v>23190267.350000001</v>
      </c>
      <c r="AD130" s="40">
        <f t="shared" si="60"/>
        <v>0</v>
      </c>
      <c r="AE130" s="40">
        <f t="shared" si="61"/>
        <v>28862797.770000003</v>
      </c>
      <c r="AF130" s="40">
        <f t="shared" si="62"/>
        <v>187980</v>
      </c>
      <c r="AG130" s="40">
        <f t="shared" si="63"/>
        <v>29050777.770000003</v>
      </c>
      <c r="AH130" s="40">
        <f t="shared" si="64"/>
        <v>0</v>
      </c>
      <c r="AI130" s="40">
        <f t="shared" si="65"/>
        <v>1396584.4199999943</v>
      </c>
      <c r="AJ130" s="40">
        <f t="shared" si="66"/>
        <v>482</v>
      </c>
      <c r="AK130" s="40">
        <f t="shared" si="67"/>
        <v>1397066.4199999943</v>
      </c>
      <c r="AL130" s="600"/>
      <c r="AM130" s="600">
        <f t="shared" si="68"/>
        <v>0.95384623482294584</v>
      </c>
      <c r="AN130" s="600">
        <f t="shared" si="69"/>
        <v>0.99744245524296671</v>
      </c>
      <c r="AO130" s="600">
        <f t="shared" si="70"/>
        <v>0.95411608088631661</v>
      </c>
      <c r="AP130" s="189"/>
    </row>
    <row r="131" spans="1:43" s="16" customFormat="1">
      <c r="A131" s="905" t="s">
        <v>1050</v>
      </c>
      <c r="B131" s="40"/>
      <c r="C131" s="40">
        <f>+'CONAP-FUR (REG)-Detail'!D178</f>
        <v>738534.55</v>
      </c>
      <c r="D131" s="40">
        <f>+'CONAP-FUR (REG)-Detail'!E178</f>
        <v>0</v>
      </c>
      <c r="E131" s="40">
        <f t="shared" si="49"/>
        <v>738534.55</v>
      </c>
      <c r="F131" s="40">
        <f>+'CONAP-FUR (REG)-Detail'!G178</f>
        <v>0</v>
      </c>
      <c r="G131" s="40">
        <f>+'CONAP-FUR (REG)-Detail'!H178</f>
        <v>481100</v>
      </c>
      <c r="H131" s="40">
        <f>+'CONAP-FUR (REG)-Detail'!I178</f>
        <v>0</v>
      </c>
      <c r="I131" s="40">
        <f t="shared" si="50"/>
        <v>481100</v>
      </c>
      <c r="J131" s="40">
        <f>+'CONAP-FUR (REG)-Detail'!K178</f>
        <v>0</v>
      </c>
      <c r="K131" s="40">
        <f>+'CONAP-FUR (REG)-Detail'!L178</f>
        <v>18900</v>
      </c>
      <c r="L131" s="40">
        <f>+'CONAP-FUR (REG)-Detail'!M178</f>
        <v>0</v>
      </c>
      <c r="M131" s="40">
        <f t="shared" si="51"/>
        <v>18900</v>
      </c>
      <c r="N131" s="40">
        <f t="shared" si="52"/>
        <v>0</v>
      </c>
      <c r="O131" s="40">
        <f t="shared" si="53"/>
        <v>500000</v>
      </c>
      <c r="P131" s="40">
        <f t="shared" si="54"/>
        <v>0</v>
      </c>
      <c r="Q131" s="40">
        <f t="shared" si="55"/>
        <v>500000</v>
      </c>
      <c r="R131" s="40">
        <f t="shared" si="56"/>
        <v>0</v>
      </c>
      <c r="S131" s="40">
        <f t="shared" si="57"/>
        <v>1238534.55</v>
      </c>
      <c r="T131" s="40">
        <f t="shared" si="58"/>
        <v>0</v>
      </c>
      <c r="U131" s="40">
        <f t="shared" si="59"/>
        <v>1238534.55</v>
      </c>
      <c r="V131" s="40">
        <f>+'CONAP-FUR (REG)-Detail'!W178</f>
        <v>0</v>
      </c>
      <c r="W131" s="40">
        <f>+'CONAP-FUR (REG)-Detail'!X178</f>
        <v>688405</v>
      </c>
      <c r="X131" s="40">
        <f>+'CONAP-FUR (REG)-Detail'!Y178</f>
        <v>0</v>
      </c>
      <c r="Y131" s="40">
        <f t="shared" si="78"/>
        <v>688405</v>
      </c>
      <c r="Z131" s="40">
        <f>+'CONAP-FUR (REG)-Detail'!AA178</f>
        <v>0</v>
      </c>
      <c r="AA131" s="40">
        <f>+'CONAP-FUR (REG)-Detail'!AB178</f>
        <v>500000</v>
      </c>
      <c r="AB131" s="40">
        <f>+'CONAP-FUR (REG)-Detail'!AC178</f>
        <v>0</v>
      </c>
      <c r="AC131" s="40">
        <f t="shared" si="7"/>
        <v>500000</v>
      </c>
      <c r="AD131" s="40">
        <f t="shared" si="60"/>
        <v>0</v>
      </c>
      <c r="AE131" s="40">
        <f t="shared" si="61"/>
        <v>1188405</v>
      </c>
      <c r="AF131" s="40">
        <f t="shared" si="62"/>
        <v>0</v>
      </c>
      <c r="AG131" s="40">
        <f t="shared" si="63"/>
        <v>1188405</v>
      </c>
      <c r="AH131" s="40">
        <f t="shared" si="64"/>
        <v>0</v>
      </c>
      <c r="AI131" s="40">
        <f t="shared" si="65"/>
        <v>50129.550000000047</v>
      </c>
      <c r="AJ131" s="40">
        <f t="shared" si="66"/>
        <v>0</v>
      </c>
      <c r="AK131" s="40">
        <f t="shared" si="67"/>
        <v>50129.550000000047</v>
      </c>
      <c r="AL131" s="600"/>
      <c r="AM131" s="600">
        <f t="shared" si="68"/>
        <v>0.95952510973553373</v>
      </c>
      <c r="AN131" s="600" t="str">
        <f t="shared" si="69"/>
        <v xml:space="preserve"> </v>
      </c>
      <c r="AO131" s="600">
        <f t="shared" si="70"/>
        <v>0.95952510973553373</v>
      </c>
      <c r="AP131" s="189"/>
    </row>
    <row r="132" spans="1:43" s="16" customFormat="1">
      <c r="A132" s="905" t="s">
        <v>1051</v>
      </c>
      <c r="B132" s="40"/>
      <c r="C132" s="40">
        <f>+'CONAP-FUR (REG)-Detail'!D179</f>
        <v>37515.24</v>
      </c>
      <c r="D132" s="40">
        <f>+'CONAP-FUR (REG)-Detail'!E179</f>
        <v>0</v>
      </c>
      <c r="E132" s="40">
        <f t="shared" si="49"/>
        <v>37515.24</v>
      </c>
      <c r="F132" s="40">
        <f>+'CONAP-FUR (REG)-Detail'!G179</f>
        <v>0</v>
      </c>
      <c r="G132" s="40">
        <f>+'CONAP-FUR (REG)-Detail'!H179</f>
        <v>-24505.56</v>
      </c>
      <c r="H132" s="40">
        <f>+'CONAP-FUR (REG)-Detail'!I179</f>
        <v>0</v>
      </c>
      <c r="I132" s="40">
        <f t="shared" si="50"/>
        <v>-24505.56</v>
      </c>
      <c r="J132" s="40">
        <f>+'CONAP-FUR (REG)-Detail'!K179</f>
        <v>0</v>
      </c>
      <c r="K132" s="40">
        <f>+'CONAP-FUR (REG)-Detail'!L179</f>
        <v>24505.56</v>
      </c>
      <c r="L132" s="40">
        <f>+'CONAP-FUR (REG)-Detail'!M179</f>
        <v>0</v>
      </c>
      <c r="M132" s="40">
        <f t="shared" si="51"/>
        <v>24505.56</v>
      </c>
      <c r="N132" s="40">
        <f t="shared" si="52"/>
        <v>0</v>
      </c>
      <c r="O132" s="40">
        <f t="shared" si="53"/>
        <v>0</v>
      </c>
      <c r="P132" s="40">
        <f t="shared" si="54"/>
        <v>0</v>
      </c>
      <c r="Q132" s="40">
        <f t="shared" si="55"/>
        <v>0</v>
      </c>
      <c r="R132" s="40">
        <f t="shared" si="56"/>
        <v>0</v>
      </c>
      <c r="S132" s="40">
        <f t="shared" si="57"/>
        <v>37515.24</v>
      </c>
      <c r="T132" s="40">
        <f t="shared" si="58"/>
        <v>0</v>
      </c>
      <c r="U132" s="40">
        <f t="shared" si="59"/>
        <v>37515.24</v>
      </c>
      <c r="V132" s="40">
        <f>+'CONAP-FUR (REG)-Detail'!W179</f>
        <v>0</v>
      </c>
      <c r="W132" s="40">
        <f>+'CONAP-FUR (REG)-Detail'!X179</f>
        <v>37515.24</v>
      </c>
      <c r="X132" s="40">
        <f>+'CONAP-FUR (REG)-Detail'!Y179</f>
        <v>0</v>
      </c>
      <c r="Y132" s="40">
        <f t="shared" si="78"/>
        <v>37515.24</v>
      </c>
      <c r="Z132" s="40">
        <f>+'CONAP-FUR (REG)-Detail'!AA179</f>
        <v>0</v>
      </c>
      <c r="AA132" s="40">
        <f>+'CONAP-FUR (REG)-Detail'!AB179</f>
        <v>0</v>
      </c>
      <c r="AB132" s="40">
        <f>+'CONAP-FUR (REG)-Detail'!AC179</f>
        <v>0</v>
      </c>
      <c r="AC132" s="40">
        <f t="shared" si="7"/>
        <v>0</v>
      </c>
      <c r="AD132" s="40">
        <f t="shared" si="60"/>
        <v>0</v>
      </c>
      <c r="AE132" s="40">
        <f t="shared" si="61"/>
        <v>37515.24</v>
      </c>
      <c r="AF132" s="40">
        <f t="shared" si="62"/>
        <v>0</v>
      </c>
      <c r="AG132" s="40">
        <f t="shared" si="63"/>
        <v>37515.24</v>
      </c>
      <c r="AH132" s="40">
        <f t="shared" si="64"/>
        <v>0</v>
      </c>
      <c r="AI132" s="40">
        <f t="shared" si="65"/>
        <v>0</v>
      </c>
      <c r="AJ132" s="40">
        <f t="shared" si="66"/>
        <v>0</v>
      </c>
      <c r="AK132" s="40">
        <f t="shared" si="67"/>
        <v>0</v>
      </c>
      <c r="AL132" s="600"/>
      <c r="AM132" s="600">
        <f t="shared" si="68"/>
        <v>1</v>
      </c>
      <c r="AN132" s="600" t="str">
        <f t="shared" si="69"/>
        <v xml:space="preserve"> </v>
      </c>
      <c r="AO132" s="600">
        <f t="shared" si="70"/>
        <v>1</v>
      </c>
      <c r="AP132" s="189"/>
    </row>
    <row r="133" spans="1:43" s="16" customFormat="1">
      <c r="A133" s="596"/>
      <c r="B133" s="40"/>
      <c r="C133" s="40"/>
      <c r="D133" s="40"/>
      <c r="E133" s="579">
        <f t="shared" si="49"/>
        <v>0</v>
      </c>
      <c r="F133" s="40"/>
      <c r="G133" s="40"/>
      <c r="H133" s="40"/>
      <c r="I133" s="579">
        <f t="shared" si="50"/>
        <v>0</v>
      </c>
      <c r="J133" s="40"/>
      <c r="K133" s="40"/>
      <c r="L133" s="40"/>
      <c r="M133" s="579">
        <f t="shared" si="51"/>
        <v>0</v>
      </c>
      <c r="N133" s="40">
        <f t="shared" si="52"/>
        <v>0</v>
      </c>
      <c r="O133" s="40">
        <f t="shared" si="53"/>
        <v>0</v>
      </c>
      <c r="P133" s="40">
        <f t="shared" si="54"/>
        <v>0</v>
      </c>
      <c r="Q133" s="579">
        <f t="shared" si="55"/>
        <v>0</v>
      </c>
      <c r="R133" s="40">
        <f t="shared" si="56"/>
        <v>0</v>
      </c>
      <c r="S133" s="40">
        <f t="shared" si="57"/>
        <v>0</v>
      </c>
      <c r="T133" s="40">
        <f t="shared" si="58"/>
        <v>0</v>
      </c>
      <c r="U133" s="579">
        <f t="shared" si="59"/>
        <v>0</v>
      </c>
      <c r="V133" s="40"/>
      <c r="W133" s="40"/>
      <c r="X133" s="40"/>
      <c r="Y133" s="579">
        <f t="shared" si="78"/>
        <v>0</v>
      </c>
      <c r="Z133" s="40"/>
      <c r="AA133" s="40"/>
      <c r="AB133" s="40"/>
      <c r="AC133" s="579">
        <f t="shared" si="7"/>
        <v>0</v>
      </c>
      <c r="AD133" s="40">
        <f t="shared" si="60"/>
        <v>0</v>
      </c>
      <c r="AE133" s="40">
        <f t="shared" si="61"/>
        <v>0</v>
      </c>
      <c r="AF133" s="40">
        <f t="shared" si="62"/>
        <v>0</v>
      </c>
      <c r="AG133" s="579">
        <f t="shared" si="63"/>
        <v>0</v>
      </c>
      <c r="AH133" s="579">
        <f t="shared" si="64"/>
        <v>0</v>
      </c>
      <c r="AI133" s="40">
        <f t="shared" si="65"/>
        <v>0</v>
      </c>
      <c r="AJ133" s="40">
        <f t="shared" si="66"/>
        <v>0</v>
      </c>
      <c r="AK133" s="579">
        <f t="shared" si="67"/>
        <v>0</v>
      </c>
      <c r="AL133" s="600"/>
      <c r="AM133" s="600" t="str">
        <f t="shared" si="68"/>
        <v xml:space="preserve"> </v>
      </c>
      <c r="AN133" s="600" t="str">
        <f t="shared" si="69"/>
        <v xml:space="preserve"> </v>
      </c>
      <c r="AO133" s="600" t="str">
        <f t="shared" si="70"/>
        <v xml:space="preserve"> </v>
      </c>
      <c r="AP133" s="189"/>
    </row>
    <row r="134" spans="1:43" s="609" customFormat="1" ht="16.5">
      <c r="A134" s="1150" t="s">
        <v>57</v>
      </c>
      <c r="B134" s="1161">
        <f>+'CONAP-FUR (REG)-Detail'!C181+'CONAP-FUR (REG)-Detail'!C263</f>
        <v>0</v>
      </c>
      <c r="C134" s="1161">
        <f>SUM(C135:C137)</f>
        <v>10482159.610000005</v>
      </c>
      <c r="D134" s="1161">
        <f t="shared" ref="D134:AK134" si="82">SUM(D135:D137)</f>
        <v>0</v>
      </c>
      <c r="E134" s="1161">
        <f t="shared" si="82"/>
        <v>10482159.610000005</v>
      </c>
      <c r="F134" s="1161">
        <f t="shared" si="82"/>
        <v>0</v>
      </c>
      <c r="G134" s="1161">
        <f t="shared" si="82"/>
        <v>-6466971.2799999993</v>
      </c>
      <c r="H134" s="1161">
        <f t="shared" si="82"/>
        <v>12600100</v>
      </c>
      <c r="I134" s="1161">
        <f t="shared" si="82"/>
        <v>6133128.7200000007</v>
      </c>
      <c r="J134" s="1161">
        <f t="shared" si="82"/>
        <v>0</v>
      </c>
      <c r="K134" s="1161">
        <f t="shared" si="82"/>
        <v>44804711.439999998</v>
      </c>
      <c r="L134" s="1161">
        <f t="shared" si="82"/>
        <v>63807114.149999999</v>
      </c>
      <c r="M134" s="1161">
        <f t="shared" si="82"/>
        <v>108611825.59</v>
      </c>
      <c r="N134" s="1161">
        <f t="shared" si="82"/>
        <v>0</v>
      </c>
      <c r="O134" s="1161">
        <f t="shared" si="82"/>
        <v>38337740.160000004</v>
      </c>
      <c r="P134" s="1161">
        <f t="shared" si="82"/>
        <v>76407214.150000006</v>
      </c>
      <c r="Q134" s="1161">
        <f t="shared" si="82"/>
        <v>114744954.31000002</v>
      </c>
      <c r="R134" s="1161">
        <f t="shared" si="82"/>
        <v>0</v>
      </c>
      <c r="S134" s="1161">
        <f t="shared" si="82"/>
        <v>48819899.770000003</v>
      </c>
      <c r="T134" s="1161">
        <f t="shared" si="82"/>
        <v>76407214.150000006</v>
      </c>
      <c r="U134" s="1161">
        <f t="shared" si="82"/>
        <v>125227113.92000002</v>
      </c>
      <c r="V134" s="1161">
        <f t="shared" si="82"/>
        <v>0</v>
      </c>
      <c r="W134" s="1161">
        <f t="shared" si="82"/>
        <v>9904009.0399999991</v>
      </c>
      <c r="X134" s="1161">
        <f t="shared" si="82"/>
        <v>0</v>
      </c>
      <c r="Y134" s="1161">
        <f t="shared" si="82"/>
        <v>9904009.0399999991</v>
      </c>
      <c r="Z134" s="1161">
        <f t="shared" si="82"/>
        <v>0</v>
      </c>
      <c r="AA134" s="1161">
        <f t="shared" si="82"/>
        <v>36539518.869999997</v>
      </c>
      <c r="AB134" s="1161">
        <f t="shared" si="82"/>
        <v>37465258.5</v>
      </c>
      <c r="AC134" s="1161">
        <f t="shared" si="82"/>
        <v>74004777.370000005</v>
      </c>
      <c r="AD134" s="1161">
        <f t="shared" si="82"/>
        <v>0</v>
      </c>
      <c r="AE134" s="1161">
        <f t="shared" si="82"/>
        <v>46443527.909999996</v>
      </c>
      <c r="AF134" s="1161">
        <f t="shared" si="82"/>
        <v>37465258.5</v>
      </c>
      <c r="AG134" s="1161">
        <f t="shared" si="82"/>
        <v>83908786.409999996</v>
      </c>
      <c r="AH134" s="1161">
        <f t="shared" si="82"/>
        <v>0</v>
      </c>
      <c r="AI134" s="1161">
        <f t="shared" si="82"/>
        <v>2376371.8600000106</v>
      </c>
      <c r="AJ134" s="1161">
        <f t="shared" si="82"/>
        <v>38941955.650000006</v>
      </c>
      <c r="AK134" s="1161">
        <f t="shared" si="82"/>
        <v>41318327.51000002</v>
      </c>
      <c r="AL134" s="608" t="str">
        <f t="shared" si="33"/>
        <v xml:space="preserve"> </v>
      </c>
      <c r="AM134" s="608">
        <f t="shared" si="68"/>
        <v>0.9513237046533165</v>
      </c>
      <c r="AN134" s="608">
        <f t="shared" si="69"/>
        <v>0.49033666410673599</v>
      </c>
      <c r="AO134" s="608">
        <f t="shared" si="70"/>
        <v>0.67005286461847402</v>
      </c>
      <c r="AP134" s="1171">
        <f>+AK134-'CONAP (ALL FUNDS)'!Q1059</f>
        <v>0</v>
      </c>
    </row>
    <row r="135" spans="1:43" s="16" customFormat="1">
      <c r="A135" s="905" t="s">
        <v>1052</v>
      </c>
      <c r="B135" s="40"/>
      <c r="C135" s="40">
        <f>+'CONAP-FUR (REG)-Detail'!D263</f>
        <v>9904040.8400000054</v>
      </c>
      <c r="D135" s="40">
        <f>+'CONAP-FUR (REG)-Detail'!E263</f>
        <v>0</v>
      </c>
      <c r="E135" s="40">
        <f t="shared" si="49"/>
        <v>9904040.8400000054</v>
      </c>
      <c r="F135" s="40">
        <f>+'CONAP-FUR (REG)-Detail'!G263</f>
        <v>0</v>
      </c>
      <c r="G135" s="40">
        <f>+'CONAP-FUR (REG)-Detail'!H263</f>
        <v>-6085707.5099999998</v>
      </c>
      <c r="H135" s="40">
        <f>+'CONAP-FUR (REG)-Detail'!I263</f>
        <v>12600100</v>
      </c>
      <c r="I135" s="40">
        <f t="shared" si="50"/>
        <v>6514392.4900000002</v>
      </c>
      <c r="J135" s="40">
        <f>+'CONAP-FUR (REG)-Detail'!K263</f>
        <v>0</v>
      </c>
      <c r="K135" s="40">
        <f>+'CONAP-FUR (REG)-Detail'!L263</f>
        <v>39580503.469999999</v>
      </c>
      <c r="L135" s="40">
        <f>+'CONAP-FUR (REG)-Detail'!M263</f>
        <v>63807114.149999999</v>
      </c>
      <c r="M135" s="40">
        <f t="shared" si="51"/>
        <v>103387617.62</v>
      </c>
      <c r="N135" s="40">
        <f t="shared" si="52"/>
        <v>0</v>
      </c>
      <c r="O135" s="40">
        <f t="shared" si="53"/>
        <v>33494795.960000001</v>
      </c>
      <c r="P135" s="40">
        <f t="shared" si="54"/>
        <v>76407214.150000006</v>
      </c>
      <c r="Q135" s="40">
        <f t="shared" si="55"/>
        <v>109902010.11000001</v>
      </c>
      <c r="R135" s="40">
        <f t="shared" si="56"/>
        <v>0</v>
      </c>
      <c r="S135" s="40">
        <f t="shared" si="57"/>
        <v>43398836.800000004</v>
      </c>
      <c r="T135" s="40">
        <f t="shared" si="58"/>
        <v>76407214.150000006</v>
      </c>
      <c r="U135" s="40">
        <f t="shared" si="59"/>
        <v>119806050.95000002</v>
      </c>
      <c r="V135" s="40">
        <f>+'CONAP-FUR (REG)-Detail'!W263</f>
        <v>0</v>
      </c>
      <c r="W135" s="40">
        <f>+'CONAP-FUR (REG)-Detail'!X263</f>
        <v>9904009.0399999991</v>
      </c>
      <c r="X135" s="40">
        <f>+'CONAP-FUR (REG)-Detail'!Y263</f>
        <v>0</v>
      </c>
      <c r="Y135" s="40">
        <f t="shared" si="78"/>
        <v>9904009.0399999991</v>
      </c>
      <c r="Z135" s="40">
        <f>+'CONAP-FUR (REG)-Detail'!AA263</f>
        <v>0</v>
      </c>
      <c r="AA135" s="40">
        <f>+'CONAP-FUR (REG)-Detail'!AB263</f>
        <v>32302925.059999999</v>
      </c>
      <c r="AB135" s="40">
        <f>+'CONAP-FUR (REG)-Detail'!AC263</f>
        <v>37465258.5</v>
      </c>
      <c r="AC135" s="40">
        <f t="shared" ref="AC135:AC137" si="83">SUM(Z135:AB135)</f>
        <v>69768183.560000002</v>
      </c>
      <c r="AD135" s="40">
        <f t="shared" si="60"/>
        <v>0</v>
      </c>
      <c r="AE135" s="40">
        <f t="shared" si="61"/>
        <v>42206934.099999994</v>
      </c>
      <c r="AF135" s="40">
        <f t="shared" si="62"/>
        <v>37465258.5</v>
      </c>
      <c r="AG135" s="40">
        <f t="shared" si="63"/>
        <v>79672192.599999994</v>
      </c>
      <c r="AH135" s="40">
        <f t="shared" si="64"/>
        <v>0</v>
      </c>
      <c r="AI135" s="40">
        <f t="shared" si="65"/>
        <v>1191902.7000000104</v>
      </c>
      <c r="AJ135" s="40">
        <f t="shared" si="66"/>
        <v>38941955.650000006</v>
      </c>
      <c r="AK135" s="40">
        <f t="shared" si="67"/>
        <v>40133858.350000016</v>
      </c>
      <c r="AL135" s="600"/>
      <c r="AM135" s="600">
        <f t="shared" si="68"/>
        <v>0.97253606806346449</v>
      </c>
      <c r="AN135" s="600">
        <f t="shared" si="69"/>
        <v>0.49033666410673599</v>
      </c>
      <c r="AO135" s="600">
        <f t="shared" si="70"/>
        <v>0.66500975508532933</v>
      </c>
      <c r="AP135" s="189"/>
    </row>
    <row r="136" spans="1:43" s="16" customFormat="1">
      <c r="A136" s="907" t="s">
        <v>1053</v>
      </c>
      <c r="B136" s="40"/>
      <c r="C136" s="40">
        <f>+'CONAP-FUR (REG)-Detail'!D182</f>
        <v>0</v>
      </c>
      <c r="D136" s="40">
        <f>+'CONAP-FUR (REG)-Detail'!E182</f>
        <v>0</v>
      </c>
      <c r="E136" s="40">
        <f t="shared" si="49"/>
        <v>0</v>
      </c>
      <c r="F136" s="40">
        <f>+'CONAP-FUR (REG)-Detail'!G182</f>
        <v>0</v>
      </c>
      <c r="G136" s="40">
        <f>+'CONAP-FUR (REG)-Detail'!H182</f>
        <v>80000</v>
      </c>
      <c r="H136" s="40">
        <f>+'CONAP-FUR (REG)-Detail'!I182</f>
        <v>0</v>
      </c>
      <c r="I136" s="40">
        <f t="shared" si="50"/>
        <v>80000</v>
      </c>
      <c r="J136" s="40">
        <f>+'CONAP-FUR (REG)-Detail'!K182</f>
        <v>0</v>
      </c>
      <c r="K136" s="40">
        <f>+'CONAP-FUR (REG)-Detail'!L182</f>
        <v>3197393.39</v>
      </c>
      <c r="L136" s="40">
        <f>+'CONAP-FUR (REG)-Detail'!M182</f>
        <v>0</v>
      </c>
      <c r="M136" s="40">
        <f t="shared" si="51"/>
        <v>3197393.39</v>
      </c>
      <c r="N136" s="40">
        <f t="shared" si="52"/>
        <v>0</v>
      </c>
      <c r="O136" s="40">
        <f t="shared" si="53"/>
        <v>3277393.39</v>
      </c>
      <c r="P136" s="40">
        <f t="shared" si="54"/>
        <v>0</v>
      </c>
      <c r="Q136" s="40">
        <f t="shared" si="55"/>
        <v>3277393.39</v>
      </c>
      <c r="R136" s="40">
        <f t="shared" si="56"/>
        <v>0</v>
      </c>
      <c r="S136" s="40">
        <f t="shared" si="57"/>
        <v>3277393.39</v>
      </c>
      <c r="T136" s="40">
        <f t="shared" si="58"/>
        <v>0</v>
      </c>
      <c r="U136" s="40">
        <f t="shared" si="59"/>
        <v>3277393.39</v>
      </c>
      <c r="V136" s="40">
        <f>+'CONAP-FUR (REG)-Detail'!W182</f>
        <v>0</v>
      </c>
      <c r="W136" s="40">
        <f>+'CONAP-FUR (REG)-Detail'!X182</f>
        <v>0</v>
      </c>
      <c r="X136" s="40">
        <f>+'CONAP-FUR (REG)-Detail'!Y182</f>
        <v>0</v>
      </c>
      <c r="Y136" s="40">
        <f t="shared" si="78"/>
        <v>0</v>
      </c>
      <c r="Z136" s="40">
        <f>+'CONAP-FUR (REG)-Detail'!AA182</f>
        <v>0</v>
      </c>
      <c r="AA136" s="40">
        <f>+'CONAP-FUR (REG)-Detail'!AB182</f>
        <v>3277393.39</v>
      </c>
      <c r="AB136" s="40">
        <f>+'CONAP-FUR (REG)-Detail'!AC182</f>
        <v>0</v>
      </c>
      <c r="AC136" s="40">
        <f t="shared" si="83"/>
        <v>3277393.39</v>
      </c>
      <c r="AD136" s="40">
        <f t="shared" si="60"/>
        <v>0</v>
      </c>
      <c r="AE136" s="40">
        <f t="shared" si="61"/>
        <v>3277393.39</v>
      </c>
      <c r="AF136" s="40">
        <f t="shared" si="62"/>
        <v>0</v>
      </c>
      <c r="AG136" s="40">
        <f t="shared" si="63"/>
        <v>3277393.39</v>
      </c>
      <c r="AH136" s="40">
        <f t="shared" si="64"/>
        <v>0</v>
      </c>
      <c r="AI136" s="40">
        <f t="shared" si="65"/>
        <v>0</v>
      </c>
      <c r="AJ136" s="40">
        <f t="shared" si="66"/>
        <v>0</v>
      </c>
      <c r="AK136" s="40">
        <f t="shared" si="67"/>
        <v>0</v>
      </c>
      <c r="AL136" s="600"/>
      <c r="AM136" s="600">
        <f t="shared" si="68"/>
        <v>1</v>
      </c>
      <c r="AN136" s="600" t="str">
        <f t="shared" si="69"/>
        <v xml:space="preserve"> </v>
      </c>
      <c r="AO136" s="600">
        <f t="shared" si="70"/>
        <v>1</v>
      </c>
      <c r="AP136" s="189"/>
    </row>
    <row r="137" spans="1:43" s="16" customFormat="1">
      <c r="A137" s="907" t="s">
        <v>1054</v>
      </c>
      <c r="B137" s="40"/>
      <c r="C137" s="40">
        <f>+'CONAP-FUR (REG)-Detail'!D183</f>
        <v>578118.77</v>
      </c>
      <c r="D137" s="40">
        <f>+'CONAP-FUR (REG)-Detail'!E183</f>
        <v>0</v>
      </c>
      <c r="E137" s="40">
        <f t="shared" si="49"/>
        <v>578118.77</v>
      </c>
      <c r="F137" s="40">
        <f>+'CONAP-FUR (REG)-Detail'!G183</f>
        <v>0</v>
      </c>
      <c r="G137" s="40">
        <f>+'CONAP-FUR (REG)-Detail'!H183</f>
        <v>-461263.77</v>
      </c>
      <c r="H137" s="40">
        <f>+'CONAP-FUR (REG)-Detail'!I183</f>
        <v>0</v>
      </c>
      <c r="I137" s="40">
        <f t="shared" si="50"/>
        <v>-461263.77</v>
      </c>
      <c r="J137" s="40">
        <f>+'CONAP-FUR (REG)-Detail'!K183</f>
        <v>0</v>
      </c>
      <c r="K137" s="40">
        <f>+'CONAP-FUR (REG)-Detail'!L183</f>
        <v>2026814.58</v>
      </c>
      <c r="L137" s="40">
        <f>+'CONAP-FUR (REG)-Detail'!M183</f>
        <v>0</v>
      </c>
      <c r="M137" s="40">
        <f t="shared" si="51"/>
        <v>2026814.58</v>
      </c>
      <c r="N137" s="40">
        <f t="shared" si="52"/>
        <v>0</v>
      </c>
      <c r="O137" s="40">
        <f t="shared" si="53"/>
        <v>1565550.81</v>
      </c>
      <c r="P137" s="40">
        <f t="shared" si="54"/>
        <v>0</v>
      </c>
      <c r="Q137" s="40">
        <f t="shared" si="55"/>
        <v>1565550.81</v>
      </c>
      <c r="R137" s="40">
        <f t="shared" si="56"/>
        <v>0</v>
      </c>
      <c r="S137" s="40">
        <f t="shared" si="57"/>
        <v>2143669.58</v>
      </c>
      <c r="T137" s="40">
        <f t="shared" si="58"/>
        <v>0</v>
      </c>
      <c r="U137" s="40">
        <f t="shared" si="59"/>
        <v>2143669.58</v>
      </c>
      <c r="V137" s="40">
        <f>+'CONAP-FUR (REG)-Detail'!W183</f>
        <v>0</v>
      </c>
      <c r="W137" s="40">
        <f>+'CONAP-FUR (REG)-Detail'!X183</f>
        <v>0</v>
      </c>
      <c r="X137" s="40">
        <f>+'CONAP-FUR (REG)-Detail'!Y183</f>
        <v>0</v>
      </c>
      <c r="Y137" s="40">
        <f t="shared" si="78"/>
        <v>0</v>
      </c>
      <c r="Z137" s="40">
        <f>+'CONAP-FUR (REG)-Detail'!AA183</f>
        <v>0</v>
      </c>
      <c r="AA137" s="40">
        <f>+'CONAP-FUR (REG)-Detail'!AB183</f>
        <v>959200.42</v>
      </c>
      <c r="AB137" s="40">
        <f>+'CONAP-FUR (REG)-Detail'!AC183</f>
        <v>0</v>
      </c>
      <c r="AC137" s="40">
        <f t="shared" si="83"/>
        <v>959200.42</v>
      </c>
      <c r="AD137" s="40">
        <f t="shared" si="60"/>
        <v>0</v>
      </c>
      <c r="AE137" s="40">
        <f t="shared" si="61"/>
        <v>959200.42</v>
      </c>
      <c r="AF137" s="40">
        <f t="shared" si="62"/>
        <v>0</v>
      </c>
      <c r="AG137" s="40">
        <f t="shared" si="63"/>
        <v>959200.42</v>
      </c>
      <c r="AH137" s="40">
        <f t="shared" si="64"/>
        <v>0</v>
      </c>
      <c r="AI137" s="40">
        <f t="shared" si="65"/>
        <v>1184469.1600000001</v>
      </c>
      <c r="AJ137" s="40">
        <f t="shared" si="66"/>
        <v>0</v>
      </c>
      <c r="AK137" s="40">
        <f t="shared" si="67"/>
        <v>1184469.1600000001</v>
      </c>
      <c r="AL137" s="600"/>
      <c r="AM137" s="600">
        <f t="shared" si="68"/>
        <v>0.44745721493141682</v>
      </c>
      <c r="AN137" s="600" t="str">
        <f t="shared" si="69"/>
        <v xml:space="preserve"> </v>
      </c>
      <c r="AO137" s="600">
        <f t="shared" si="70"/>
        <v>0.44745721493141682</v>
      </c>
      <c r="AP137" s="189"/>
    </row>
    <row r="138" spans="1:43" s="70" customFormat="1" ht="19.5" customHeight="1">
      <c r="A138" s="31" t="s">
        <v>454</v>
      </c>
      <c r="B138" s="32">
        <f>+B17+B11+B9+B13+B15</f>
        <v>0</v>
      </c>
      <c r="C138" s="32">
        <f t="shared" ref="C138:AK138" si="84">+C17+C11+C9+C13+C15</f>
        <v>496347625.53999966</v>
      </c>
      <c r="D138" s="32">
        <f t="shared" si="84"/>
        <v>3783389283.0500002</v>
      </c>
      <c r="E138" s="32">
        <f t="shared" si="84"/>
        <v>4279736908.5899997</v>
      </c>
      <c r="F138" s="32">
        <f t="shared" si="84"/>
        <v>0</v>
      </c>
      <c r="G138" s="32">
        <f t="shared" si="84"/>
        <v>7.4505805969238281E-9</v>
      </c>
      <c r="H138" s="32">
        <f t="shared" si="84"/>
        <v>0</v>
      </c>
      <c r="I138" s="32">
        <f t="shared" si="84"/>
        <v>7.4505805969238281E-9</v>
      </c>
      <c r="J138" s="32">
        <f t="shared" si="84"/>
        <v>0</v>
      </c>
      <c r="K138" s="32">
        <f t="shared" si="84"/>
        <v>762561440.22000003</v>
      </c>
      <c r="L138" s="32">
        <f t="shared" si="84"/>
        <v>687253050.56999993</v>
      </c>
      <c r="M138" s="32">
        <f t="shared" si="84"/>
        <v>1449814490.7899997</v>
      </c>
      <c r="N138" s="32">
        <f t="shared" si="84"/>
        <v>0</v>
      </c>
      <c r="O138" s="32">
        <f t="shared" si="84"/>
        <v>762561440.22000003</v>
      </c>
      <c r="P138" s="32">
        <f t="shared" si="84"/>
        <v>687253050.56999993</v>
      </c>
      <c r="Q138" s="32">
        <f t="shared" si="84"/>
        <v>1449814490.7899997</v>
      </c>
      <c r="R138" s="32">
        <f t="shared" si="84"/>
        <v>0</v>
      </c>
      <c r="S138" s="32">
        <f t="shared" si="84"/>
        <v>1258909065.7599998</v>
      </c>
      <c r="T138" s="32">
        <f t="shared" si="84"/>
        <v>4470642333.6199999</v>
      </c>
      <c r="U138" s="32">
        <f t="shared" si="84"/>
        <v>5729551399.3800001</v>
      </c>
      <c r="V138" s="32">
        <f t="shared" si="84"/>
        <v>0</v>
      </c>
      <c r="W138" s="32">
        <f t="shared" si="84"/>
        <v>359061914.24000001</v>
      </c>
      <c r="X138" s="32">
        <f t="shared" si="84"/>
        <v>1700911076.27</v>
      </c>
      <c r="Y138" s="32">
        <f t="shared" si="84"/>
        <v>2059972990.51</v>
      </c>
      <c r="Z138" s="32">
        <f t="shared" si="84"/>
        <v>0</v>
      </c>
      <c r="AA138" s="32">
        <f t="shared" si="84"/>
        <v>567710969.99000001</v>
      </c>
      <c r="AB138" s="32">
        <f t="shared" si="84"/>
        <v>497649168.84000003</v>
      </c>
      <c r="AC138" s="32">
        <f t="shared" si="84"/>
        <v>1065360138.83</v>
      </c>
      <c r="AD138" s="32">
        <f t="shared" si="84"/>
        <v>0</v>
      </c>
      <c r="AE138" s="32">
        <f t="shared" si="84"/>
        <v>926772884.23000014</v>
      </c>
      <c r="AF138" s="32">
        <f t="shared" si="84"/>
        <v>2198560245.1100001</v>
      </c>
      <c r="AG138" s="32">
        <f t="shared" si="84"/>
        <v>3125333129.3400002</v>
      </c>
      <c r="AH138" s="32">
        <f t="shared" si="84"/>
        <v>0</v>
      </c>
      <c r="AI138" s="32">
        <f t="shared" si="84"/>
        <v>332136181.52999949</v>
      </c>
      <c r="AJ138" s="32">
        <f t="shared" si="84"/>
        <v>2272082088.5100002</v>
      </c>
      <c r="AK138" s="32">
        <f t="shared" si="84"/>
        <v>2604218270.0399995</v>
      </c>
      <c r="AL138" s="14" t="str">
        <f t="shared" si="33"/>
        <v xml:space="preserve"> </v>
      </c>
      <c r="AM138" s="888">
        <f t="shared" ref="AM138:AO138" si="85">IF(S138=0," ",AE138/S138)</f>
        <v>0.73617142765630184</v>
      </c>
      <c r="AN138" s="888">
        <f t="shared" si="85"/>
        <v>0.49177726175418879</v>
      </c>
      <c r="AO138" s="888">
        <f t="shared" si="85"/>
        <v>0.54547606112377234</v>
      </c>
      <c r="AP138" s="1173">
        <f>+AK138-'CONAP (ALL FUNDS)'!Q1349</f>
        <v>0</v>
      </c>
      <c r="AQ138" s="827">
        <f>+AK138-'CONAP (ALL FUNDS)'!Q1313</f>
        <v>0</v>
      </c>
    </row>
    <row r="139" spans="1:43">
      <c r="C139" s="30"/>
      <c r="AK139" s="30">
        <f>+AK138-'CONAP (ALL FUNDS)'!Q1349</f>
        <v>0</v>
      </c>
    </row>
    <row r="140" spans="1:43" hidden="1">
      <c r="B140" s="30">
        <f>+B138-'CONAP-FUR (REG)-Detail'!C267</f>
        <v>0</v>
      </c>
      <c r="C140" s="30">
        <f>+C138-'CONAP-FUR (REG)-Detail'!D267</f>
        <v>0</v>
      </c>
      <c r="D140" s="30">
        <f>+D138-'CONAP-FUR (REG)-Detail'!E267</f>
        <v>0</v>
      </c>
      <c r="E140" s="30">
        <f>+E138-'CONAP-FUR (REG)-Detail'!F267</f>
        <v>0</v>
      </c>
      <c r="F140" s="30">
        <f>+F138-'CONAP-FUR (REG)-Detail'!G267</f>
        <v>0</v>
      </c>
      <c r="G140" s="30">
        <f>+G138-'CONAP-FUR (REG)-Detail'!H267</f>
        <v>7.4505805969238281E-9</v>
      </c>
      <c r="H140" s="30">
        <f>+H138-'CONAP-FUR (REG)-Detail'!I267</f>
        <v>0</v>
      </c>
      <c r="I140" s="30">
        <f>+I138-'CONAP-FUR (REG)-Detail'!J267</f>
        <v>7.4505805969238281E-9</v>
      </c>
      <c r="J140" s="30">
        <f>+J138-'CONAP-FUR (REG)-Detail'!K267</f>
        <v>0</v>
      </c>
      <c r="K140" s="30">
        <f>+K138-'CONAP-FUR (REG)-Detail'!L267</f>
        <v>568197.50000011921</v>
      </c>
      <c r="L140" s="30">
        <f>+L138-'CONAP-FUR (REG)-Detail'!M267</f>
        <v>1142563.9999998808</v>
      </c>
      <c r="M140" s="30">
        <f>+M138-'CONAP-FUR (REG)-Detail'!N267</f>
        <v>1710761.5</v>
      </c>
      <c r="N140" s="30">
        <f>+N138-'CONAP-FUR (REG)-Detail'!O267</f>
        <v>0</v>
      </c>
      <c r="O140" s="30">
        <f>+O138-'CONAP-FUR (REG)-Detail'!P267</f>
        <v>0</v>
      </c>
      <c r="P140" s="30">
        <f>+P138-'CONAP-FUR (REG)-Detail'!Q267</f>
        <v>0</v>
      </c>
      <c r="Q140" s="30">
        <f>+Q138-'CONAP-FUR (REG)-Detail'!R267</f>
        <v>0</v>
      </c>
      <c r="R140" s="30">
        <f>+R138-'CONAP-FUR (REG)-Detail'!S267</f>
        <v>0</v>
      </c>
      <c r="S140" s="30">
        <f>+S138-'CONAP-FUR (REG)-Detail'!T267</f>
        <v>0</v>
      </c>
      <c r="T140" s="30">
        <f>+T138-'CONAP-FUR (REG)-Detail'!U267</f>
        <v>0</v>
      </c>
      <c r="U140" s="30">
        <f>+U138-'CONAP-FUR (REG)-Detail'!V267</f>
        <v>0</v>
      </c>
      <c r="V140" s="30">
        <f>+V138-'CONAP-FUR (REG)-Detail'!W267</f>
        <v>0</v>
      </c>
      <c r="W140" s="30">
        <f>+W138-'CONAP-FUR (REG)-Detail'!X267</f>
        <v>0</v>
      </c>
      <c r="X140" s="30">
        <f>+X138-'CONAP-FUR (REG)-Detail'!Y267</f>
        <v>0</v>
      </c>
      <c r="Y140" s="30">
        <f>+Y138-'CONAP-FUR (REG)-Detail'!Z267</f>
        <v>0</v>
      </c>
      <c r="Z140" s="30">
        <f>+Z138-'CONAP-FUR (REG)-Detail'!AA267</f>
        <v>0</v>
      </c>
      <c r="AA140" s="30">
        <f>+AA138-'CONAP-FUR (REG)-Detail'!AB267</f>
        <v>0</v>
      </c>
      <c r="AB140" s="30">
        <f>+AB138-'CONAP-FUR (REG)-Detail'!AC267</f>
        <v>0</v>
      </c>
      <c r="AC140" s="30">
        <f>+AC138-'CONAP-FUR (REG)-Detail'!AD267</f>
        <v>0</v>
      </c>
      <c r="AD140" s="30">
        <f>+AD138-'CONAP-FUR (REG)-Detail'!AE267</f>
        <v>0</v>
      </c>
      <c r="AE140" s="30">
        <f>+AE138-'CONAP-FUR (REG)-Detail'!AF267</f>
        <v>0</v>
      </c>
      <c r="AF140" s="30">
        <f>+AF138-'CONAP-FUR (REG)-Detail'!AG267</f>
        <v>0</v>
      </c>
      <c r="AG140" s="30">
        <f>+AG138-'CONAP-FUR (REG)-Detail'!AH267</f>
        <v>0</v>
      </c>
      <c r="AH140" s="30">
        <f>+AH138-'CONAP-FUR (REG)-Detail'!AI267</f>
        <v>0</v>
      </c>
      <c r="AI140" s="30">
        <f>+AI138-'CONAP-FUR (REG)-Detail'!AJ267</f>
        <v>0</v>
      </c>
      <c r="AJ140" s="30">
        <f>+AJ138-'CONAP-FUR (REG)-Detail'!AK267</f>
        <v>0</v>
      </c>
      <c r="AK140" s="30">
        <f>+AK138-'CONAP-FUR (REG)-Detail'!AL267</f>
        <v>0</v>
      </c>
      <c r="AL140" s="30"/>
      <c r="AM140" s="889"/>
      <c r="AN140" s="889"/>
      <c r="AO140" s="889"/>
    </row>
    <row r="141" spans="1:43" hidden="1"/>
    <row r="142" spans="1:43" hidden="1">
      <c r="B142" s="30">
        <f>+B138-'CONAP-FUR (REG)-Detail'!C267</f>
        <v>0</v>
      </c>
      <c r="C142" s="30">
        <f>+C138-'CONAP-FUR (REG)-Detail'!D267</f>
        <v>0</v>
      </c>
      <c r="D142" s="30">
        <f>+D138-'CONAP-FUR (REG)-Detail'!E267</f>
        <v>0</v>
      </c>
      <c r="E142" s="30">
        <f>+E138-'CONAP-FUR (REG)-Detail'!F267</f>
        <v>0</v>
      </c>
      <c r="F142" s="30">
        <f>+F138-'CONAP-FUR (REG)-Detail'!G267</f>
        <v>0</v>
      </c>
      <c r="G142" s="30">
        <f>+G138-'CONAP-FUR (REG)-Detail'!H267</f>
        <v>7.4505805969238281E-9</v>
      </c>
      <c r="H142" s="30">
        <f>+H138-'CONAP-FUR (REG)-Detail'!I267</f>
        <v>0</v>
      </c>
      <c r="I142" s="30">
        <f>+I138-'CONAP-FUR (REG)-Detail'!J267</f>
        <v>7.4505805969238281E-9</v>
      </c>
      <c r="J142" s="30">
        <f>+J138-'CONAP-FUR (REG)-Detail'!K267</f>
        <v>0</v>
      </c>
      <c r="K142" s="30">
        <f>+K138-'CONAP-FUR (REG)-Detail'!L267</f>
        <v>568197.50000011921</v>
      </c>
      <c r="L142" s="30">
        <f>+L138-'CONAP-FUR (REG)-Detail'!M267</f>
        <v>1142563.9999998808</v>
      </c>
      <c r="M142" s="30">
        <f>+M138-'CONAP-FUR (REG)-Detail'!N267</f>
        <v>1710761.5</v>
      </c>
      <c r="N142" s="30">
        <f>+N138-'CONAP-FUR (REG)-Detail'!O267</f>
        <v>0</v>
      </c>
      <c r="O142" s="30">
        <f>+O138-'CONAP-FUR (REG)-Detail'!P267</f>
        <v>0</v>
      </c>
      <c r="P142" s="30">
        <f>+P138-'CONAP-FUR (REG)-Detail'!Q267</f>
        <v>0</v>
      </c>
      <c r="Q142" s="30">
        <f>+Q138-'CONAP-FUR (REG)-Detail'!R267</f>
        <v>0</v>
      </c>
      <c r="R142" s="30">
        <f>+R138-'CONAP-FUR (REG)-Detail'!S267</f>
        <v>0</v>
      </c>
      <c r="S142" s="30">
        <f>+S138-'CONAP-FUR (REG)-Detail'!T267</f>
        <v>0</v>
      </c>
      <c r="T142" s="30">
        <f>+T138-'CONAP-FUR (REG)-Detail'!U267</f>
        <v>0</v>
      </c>
      <c r="U142" s="30">
        <f>+U138-'CONAP-FUR (REG)-Detail'!V267</f>
        <v>0</v>
      </c>
      <c r="V142" s="30">
        <f>+V138-'CONAP-FUR (REG)-Detail'!W267</f>
        <v>0</v>
      </c>
      <c r="W142" s="30">
        <f>+W138-'CONAP-FUR (REG)-Detail'!X267</f>
        <v>0</v>
      </c>
      <c r="X142" s="30">
        <f>+X138-'CONAP-FUR (REG)-Detail'!Y267</f>
        <v>0</v>
      </c>
      <c r="Y142" s="30">
        <f>+Y138-'CONAP-FUR (REG)-Detail'!Z267</f>
        <v>0</v>
      </c>
      <c r="Z142" s="30">
        <f>+Z138-'CONAP-FUR (REG)-Detail'!AA267</f>
        <v>0</v>
      </c>
      <c r="AA142" s="30">
        <f>+AA138-'CONAP-FUR (REG)-Detail'!AB267</f>
        <v>0</v>
      </c>
      <c r="AB142" s="30">
        <f>+AB138-'CONAP-FUR (REG)-Detail'!AC267</f>
        <v>0</v>
      </c>
      <c r="AC142" s="30">
        <f>+AC138-'CONAP-FUR (REG)-Detail'!AD267</f>
        <v>0</v>
      </c>
      <c r="AD142" s="30">
        <f>+AD138-'CONAP-FUR (REG)-Detail'!AE267</f>
        <v>0</v>
      </c>
      <c r="AE142" s="30">
        <f>+AE138-'CONAP-FUR (REG)-Detail'!AF267</f>
        <v>0</v>
      </c>
      <c r="AF142" s="30">
        <f>+AF138-'CONAP-FUR (REG)-Detail'!AG267</f>
        <v>0</v>
      </c>
      <c r="AG142" s="30">
        <f>+AG138-'CONAP-FUR (REG)-Detail'!AH267</f>
        <v>0</v>
      </c>
      <c r="AH142" s="30">
        <f>+AH138-'CONAP-FUR (REG)-Detail'!AI267</f>
        <v>0</v>
      </c>
      <c r="AI142" s="30">
        <f>+AI138-'CONAP-FUR (REG)-Detail'!AJ267</f>
        <v>0</v>
      </c>
      <c r="AJ142" s="30">
        <f>+AJ138-'CONAP-FUR (REG)-Detail'!AK267</f>
        <v>0</v>
      </c>
      <c r="AK142" s="30">
        <f>+AK138-'CONAP-FUR (REG)-Detail'!AL267</f>
        <v>0</v>
      </c>
    </row>
    <row r="143" spans="1:43">
      <c r="A143" s="578" t="s">
        <v>881</v>
      </c>
    </row>
    <row r="144" spans="1:43">
      <c r="A144" s="1253" t="s">
        <v>1121</v>
      </c>
    </row>
    <row r="145" spans="17:41">
      <c r="Q145" s="30"/>
      <c r="AK145" s="30"/>
      <c r="AL145" s="17"/>
      <c r="AM145" s="889"/>
      <c r="AN145" s="889"/>
      <c r="AO145" s="889"/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rintOptions horizontalCentered="1"/>
  <pageMargins left="1.1000000000000001" right="0.2" top="0.2" bottom="0.2" header="0.3" footer="0.3"/>
  <pageSetup paperSize="5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>
    <tabColor theme="6" tint="0.39997558519241921"/>
  </sheetPr>
  <dimension ref="A1:BY304"/>
  <sheetViews>
    <sheetView topLeftCell="B1" workbookViewId="0">
      <pane xSplit="1" ySplit="7" topLeftCell="AU8" activePane="bottomRight" state="frozen"/>
      <selection activeCell="B1" sqref="B1"/>
      <selection pane="topRight" activeCell="C1" sqref="C1"/>
      <selection pane="bottomLeft" activeCell="B8" sqref="B8"/>
      <selection pane="bottomRight" activeCell="BD28" sqref="BD28"/>
    </sheetView>
  </sheetViews>
  <sheetFormatPr defaultRowHeight="12"/>
  <cols>
    <col min="1" max="1" width="0" style="105" hidden="1" customWidth="1"/>
    <col min="2" max="2" width="43.28515625" style="105" customWidth="1"/>
    <col min="3" max="3" width="16.85546875" style="105" customWidth="1"/>
    <col min="4" max="4" width="17.28515625" style="105" customWidth="1"/>
    <col min="5" max="5" width="19.140625" style="105" customWidth="1"/>
    <col min="6" max="6" width="17.42578125" style="105" customWidth="1"/>
    <col min="7" max="7" width="15.85546875" style="105" customWidth="1"/>
    <col min="8" max="8" width="16.28515625" style="105" customWidth="1"/>
    <col min="9" max="9" width="17.5703125" style="105" customWidth="1"/>
    <col min="10" max="10" width="16.42578125" style="105" customWidth="1"/>
    <col min="11" max="11" width="16.7109375" style="105" customWidth="1"/>
    <col min="12" max="12" width="17.7109375" style="105" customWidth="1"/>
    <col min="13" max="13" width="16.7109375" style="105" customWidth="1"/>
    <col min="14" max="14" width="17.42578125" style="105" customWidth="1"/>
    <col min="15" max="15" width="17.140625" style="105" customWidth="1"/>
    <col min="16" max="16" width="18.7109375" style="105" customWidth="1"/>
    <col min="17" max="17" width="17.5703125" style="105" customWidth="1"/>
    <col min="18" max="18" width="18.42578125" style="105" customWidth="1"/>
    <col min="19" max="21" width="18.42578125" style="105" hidden="1" customWidth="1"/>
    <col min="22" max="22" width="17.7109375" style="105" hidden="1" customWidth="1"/>
    <col min="23" max="23" width="15.7109375" style="105" customWidth="1"/>
    <col min="24" max="26" width="17.7109375" style="105" bestFit="1" customWidth="1"/>
    <col min="27" max="27" width="17.5703125" style="105" customWidth="1"/>
    <col min="28" max="28" width="17.42578125" style="105" customWidth="1"/>
    <col min="29" max="29" width="16.85546875" style="105" customWidth="1"/>
    <col min="30" max="30" width="17.5703125" style="105" customWidth="1"/>
    <col min="31" max="31" width="17.7109375" style="105" customWidth="1"/>
    <col min="32" max="32" width="17.5703125" style="105" customWidth="1"/>
    <col min="33" max="33" width="15.7109375" style="105" customWidth="1"/>
    <col min="34" max="34" width="18.85546875" style="105" customWidth="1"/>
    <col min="35" max="40" width="18" style="105" customWidth="1"/>
    <col min="41" max="41" width="15.7109375" style="105" customWidth="1"/>
    <col min="42" max="42" width="21.28515625" style="105" customWidth="1"/>
    <col min="43" max="43" width="16.42578125" style="105" customWidth="1"/>
    <col min="44" max="44" width="17.85546875" style="105" customWidth="1"/>
    <col min="45" max="46" width="17.140625" style="105" customWidth="1"/>
    <col min="47" max="47" width="7.42578125" style="138" customWidth="1"/>
    <col min="48" max="48" width="10.140625" style="138" customWidth="1"/>
    <col min="49" max="49" width="7.28515625" style="138" customWidth="1"/>
    <col min="50" max="50" width="8.28515625" style="138" customWidth="1"/>
    <col min="51" max="51" width="5.7109375" style="105" customWidth="1"/>
    <col min="52" max="52" width="13.85546875" style="105" customWidth="1"/>
    <col min="53" max="53" width="14.7109375" style="105" customWidth="1"/>
    <col min="54" max="54" width="17.5703125" style="105" customWidth="1"/>
    <col min="55" max="55" width="15.140625" style="127" hidden="1" customWidth="1"/>
    <col min="56" max="56" width="15" style="105" bestFit="1" customWidth="1"/>
    <col min="57" max="57" width="9.140625" style="105" customWidth="1"/>
    <col min="58" max="58" width="11.7109375" style="105" hidden="1" customWidth="1"/>
    <col min="59" max="67" width="9.140625" style="105" hidden="1" customWidth="1"/>
    <col min="68" max="68" width="19.42578125" style="149" hidden="1" customWidth="1"/>
    <col min="69" max="69" width="14.140625" style="105" hidden="1" customWidth="1"/>
    <col min="70" max="70" width="16.42578125" style="105" hidden="1" customWidth="1"/>
    <col min="71" max="71" width="9.140625" style="105" hidden="1" customWidth="1"/>
    <col min="72" max="72" width="14.85546875" style="111" hidden="1" customWidth="1"/>
    <col min="73" max="74" width="15.140625" style="111" hidden="1" customWidth="1"/>
    <col min="75" max="77" width="9.140625" style="105" hidden="1" customWidth="1"/>
    <col min="78" max="83" width="9.140625" style="105" customWidth="1"/>
    <col min="84" max="16384" width="9.140625" style="105"/>
  </cols>
  <sheetData>
    <row r="1" spans="1:74">
      <c r="B1" s="1265" t="s">
        <v>48</v>
      </c>
    </row>
    <row r="2" spans="1:74">
      <c r="B2" s="106" t="s">
        <v>757</v>
      </c>
    </row>
    <row r="3" spans="1:74" ht="12.75">
      <c r="B3" s="15" t="s">
        <v>1117</v>
      </c>
    </row>
    <row r="4" spans="1:74">
      <c r="B4" s="106"/>
    </row>
    <row r="5" spans="1:74" s="106" customFormat="1">
      <c r="B5" s="1512" t="s">
        <v>0</v>
      </c>
      <c r="C5" s="1514" t="s">
        <v>877</v>
      </c>
      <c r="D5" s="1515"/>
      <c r="E5" s="1515"/>
      <c r="F5" s="1516"/>
      <c r="G5" s="1514" t="s">
        <v>459</v>
      </c>
      <c r="H5" s="1515"/>
      <c r="I5" s="1515"/>
      <c r="J5" s="1516"/>
      <c r="K5" s="1514" t="s">
        <v>460</v>
      </c>
      <c r="L5" s="1515"/>
      <c r="M5" s="1515"/>
      <c r="N5" s="1516"/>
      <c r="O5" s="1514" t="s">
        <v>49</v>
      </c>
      <c r="P5" s="1515"/>
      <c r="Q5" s="1515"/>
      <c r="R5" s="1516"/>
      <c r="S5" s="1514" t="s">
        <v>705</v>
      </c>
      <c r="T5" s="1515"/>
      <c r="U5" s="1515"/>
      <c r="V5" s="1516"/>
      <c r="W5" s="1514" t="s">
        <v>50</v>
      </c>
      <c r="X5" s="1515"/>
      <c r="Y5" s="1515"/>
      <c r="Z5" s="1516"/>
      <c r="AA5" s="1514" t="s">
        <v>64</v>
      </c>
      <c r="AB5" s="1515"/>
      <c r="AC5" s="1515"/>
      <c r="AD5" s="1516"/>
      <c r="AE5" s="1514" t="s">
        <v>63</v>
      </c>
      <c r="AF5" s="1515"/>
      <c r="AG5" s="1515"/>
      <c r="AH5" s="1516"/>
      <c r="AI5" s="1514" t="s">
        <v>54</v>
      </c>
      <c r="AJ5" s="1515"/>
      <c r="AK5" s="1515"/>
      <c r="AL5" s="1516"/>
      <c r="AM5" s="1514" t="s">
        <v>67</v>
      </c>
      <c r="AN5" s="1515"/>
      <c r="AO5" s="1515"/>
      <c r="AP5" s="1516"/>
      <c r="AQ5" s="1514" t="s">
        <v>66</v>
      </c>
      <c r="AR5" s="1515"/>
      <c r="AS5" s="1515"/>
      <c r="AT5" s="1516"/>
      <c r="AU5" s="1517" t="s">
        <v>65</v>
      </c>
      <c r="AV5" s="1518"/>
      <c r="AW5" s="1518"/>
      <c r="AX5" s="1519"/>
      <c r="AY5" s="1514" t="s">
        <v>58</v>
      </c>
      <c r="AZ5" s="1515"/>
      <c r="BA5" s="1515"/>
      <c r="BB5" s="1516"/>
      <c r="BC5" s="1511" t="s">
        <v>95</v>
      </c>
      <c r="BP5" s="1185"/>
      <c r="BT5" s="141"/>
      <c r="BU5" s="141"/>
      <c r="BV5" s="141"/>
    </row>
    <row r="6" spans="1:74" s="106" customFormat="1">
      <c r="B6" s="1513"/>
      <c r="C6" s="1266" t="s">
        <v>1</v>
      </c>
      <c r="D6" s="1266" t="s">
        <v>2</v>
      </c>
      <c r="E6" s="1266" t="s">
        <v>3</v>
      </c>
      <c r="F6" s="1267" t="s">
        <v>4</v>
      </c>
      <c r="G6" s="1266" t="s">
        <v>1</v>
      </c>
      <c r="H6" s="1266" t="s">
        <v>2</v>
      </c>
      <c r="I6" s="1266" t="s">
        <v>3</v>
      </c>
      <c r="J6" s="1266" t="s">
        <v>4</v>
      </c>
      <c r="K6" s="1266" t="s">
        <v>1</v>
      </c>
      <c r="L6" s="1266" t="s">
        <v>2</v>
      </c>
      <c r="M6" s="1266" t="s">
        <v>3</v>
      </c>
      <c r="N6" s="1266" t="s">
        <v>4</v>
      </c>
      <c r="O6" s="1266" t="s">
        <v>1</v>
      </c>
      <c r="P6" s="1266" t="s">
        <v>2</v>
      </c>
      <c r="Q6" s="1266" t="s">
        <v>3</v>
      </c>
      <c r="R6" s="1266" t="s">
        <v>4</v>
      </c>
      <c r="S6" s="1266" t="s">
        <v>1</v>
      </c>
      <c r="T6" s="1266" t="s">
        <v>2</v>
      </c>
      <c r="U6" s="1266" t="s">
        <v>3</v>
      </c>
      <c r="V6" s="1266" t="s">
        <v>4</v>
      </c>
      <c r="W6" s="1266" t="s">
        <v>1</v>
      </c>
      <c r="X6" s="1266" t="s">
        <v>2</v>
      </c>
      <c r="Y6" s="1266" t="s">
        <v>3</v>
      </c>
      <c r="Z6" s="1266" t="s">
        <v>4</v>
      </c>
      <c r="AA6" s="1266" t="s">
        <v>1</v>
      </c>
      <c r="AB6" s="1266" t="s">
        <v>2</v>
      </c>
      <c r="AC6" s="1266" t="s">
        <v>3</v>
      </c>
      <c r="AD6" s="1266" t="s">
        <v>4</v>
      </c>
      <c r="AE6" s="1266" t="s">
        <v>1</v>
      </c>
      <c r="AF6" s="1266" t="s">
        <v>2</v>
      </c>
      <c r="AG6" s="1266" t="s">
        <v>3</v>
      </c>
      <c r="AH6" s="1266" t="s">
        <v>4</v>
      </c>
      <c r="AI6" s="1266" t="s">
        <v>1</v>
      </c>
      <c r="AJ6" s="1266" t="s">
        <v>2</v>
      </c>
      <c r="AK6" s="1266" t="s">
        <v>3</v>
      </c>
      <c r="AL6" s="1266" t="s">
        <v>4</v>
      </c>
      <c r="AM6" s="1266" t="s">
        <v>1</v>
      </c>
      <c r="AN6" s="1266" t="s">
        <v>2</v>
      </c>
      <c r="AO6" s="1266" t="s">
        <v>3</v>
      </c>
      <c r="AP6" s="1266" t="s">
        <v>4</v>
      </c>
      <c r="AQ6" s="1266" t="s">
        <v>1</v>
      </c>
      <c r="AR6" s="1266" t="s">
        <v>2</v>
      </c>
      <c r="AS6" s="1266" t="s">
        <v>3</v>
      </c>
      <c r="AT6" s="1266" t="s">
        <v>4</v>
      </c>
      <c r="AU6" s="1268" t="s">
        <v>1</v>
      </c>
      <c r="AV6" s="1268" t="s">
        <v>2</v>
      </c>
      <c r="AW6" s="1268" t="s">
        <v>3</v>
      </c>
      <c r="AX6" s="1268" t="s">
        <v>4</v>
      </c>
      <c r="AY6" s="1266" t="s">
        <v>1</v>
      </c>
      <c r="AZ6" s="1266" t="s">
        <v>2</v>
      </c>
      <c r="BA6" s="1266" t="s">
        <v>3</v>
      </c>
      <c r="BB6" s="1266" t="s">
        <v>4</v>
      </c>
      <c r="BC6" s="1511"/>
      <c r="BP6" s="1185"/>
      <c r="BQ6" s="106" t="s">
        <v>1101</v>
      </c>
      <c r="BT6" s="141"/>
      <c r="BU6" s="141" t="s">
        <v>1101</v>
      </c>
      <c r="BV6" s="141"/>
    </row>
    <row r="7" spans="1:74" s="106" customFormat="1" ht="12.75" thickBot="1">
      <c r="B7" s="1269"/>
      <c r="C7" s="1269"/>
      <c r="D7" s="1269"/>
      <c r="E7" s="1269"/>
      <c r="F7" s="1269"/>
      <c r="G7" s="1269"/>
      <c r="H7" s="1269"/>
      <c r="I7" s="1269"/>
      <c r="J7" s="1269"/>
      <c r="K7" s="1269"/>
      <c r="L7" s="1269"/>
      <c r="M7" s="1269"/>
      <c r="N7" s="1269"/>
      <c r="O7" s="1269"/>
      <c r="P7" s="1269"/>
      <c r="Q7" s="1269"/>
      <c r="R7" s="1269"/>
      <c r="S7" s="1269"/>
      <c r="T7" s="1269"/>
      <c r="U7" s="1269"/>
      <c r="V7" s="1269"/>
      <c r="W7" s="1269"/>
      <c r="X7" s="1269"/>
      <c r="Y7" s="1269"/>
      <c r="Z7" s="1269"/>
      <c r="AA7" s="1269"/>
      <c r="AB7" s="1269"/>
      <c r="AC7" s="1269"/>
      <c r="AD7" s="1269"/>
      <c r="AE7" s="1269"/>
      <c r="AF7" s="1269"/>
      <c r="AG7" s="1269"/>
      <c r="AH7" s="1269"/>
      <c r="AI7" s="1269"/>
      <c r="AJ7" s="1269"/>
      <c r="AK7" s="1269"/>
      <c r="AL7" s="1269"/>
      <c r="AM7" s="1269"/>
      <c r="AN7" s="1269"/>
      <c r="AO7" s="1269"/>
      <c r="AP7" s="1269"/>
      <c r="AQ7" s="1269"/>
      <c r="AR7" s="1269"/>
      <c r="AS7" s="1269"/>
      <c r="AT7" s="1269"/>
      <c r="AU7" s="1270"/>
      <c r="AV7" s="1270"/>
      <c r="AW7" s="1270"/>
      <c r="AX7" s="1270"/>
      <c r="AY7" s="1269"/>
      <c r="AZ7" s="1269"/>
      <c r="BA7" s="1269"/>
      <c r="BB7" s="1269"/>
      <c r="BC7" s="1511"/>
      <c r="BP7" s="1185" t="s">
        <v>1102</v>
      </c>
      <c r="BQ7" s="106" t="s">
        <v>1103</v>
      </c>
      <c r="BR7" s="106" t="s">
        <v>1104</v>
      </c>
      <c r="BT7" s="141" t="s">
        <v>1102</v>
      </c>
      <c r="BU7" s="141" t="s">
        <v>1103</v>
      </c>
      <c r="BV7" s="141" t="s">
        <v>1104</v>
      </c>
    </row>
    <row r="8" spans="1:74">
      <c r="B8" s="1271"/>
      <c r="C8" s="1271"/>
      <c r="D8" s="1271"/>
      <c r="E8" s="1271"/>
      <c r="F8" s="1271"/>
      <c r="G8" s="1271"/>
      <c r="H8" s="1271"/>
      <c r="I8" s="1271"/>
      <c r="J8" s="1271"/>
      <c r="K8" s="1271"/>
      <c r="L8" s="1271"/>
      <c r="M8" s="1271"/>
      <c r="N8" s="1271"/>
      <c r="O8" s="1271"/>
      <c r="P8" s="1271"/>
      <c r="Q8" s="1271"/>
      <c r="R8" s="1271"/>
      <c r="S8" s="1271"/>
      <c r="T8" s="1271"/>
      <c r="U8" s="1271"/>
      <c r="V8" s="1271"/>
      <c r="W8" s="1271"/>
      <c r="X8" s="1271"/>
      <c r="Y8" s="1271"/>
      <c r="Z8" s="1271"/>
      <c r="AA8" s="1271"/>
      <c r="AB8" s="1271"/>
      <c r="AC8" s="1271"/>
      <c r="AD8" s="1271"/>
      <c r="AE8" s="1271"/>
      <c r="AF8" s="1271"/>
      <c r="AG8" s="1271"/>
      <c r="AH8" s="1271"/>
      <c r="AI8" s="1271"/>
      <c r="AJ8" s="1271"/>
      <c r="AK8" s="1271"/>
      <c r="AL8" s="1271"/>
      <c r="AM8" s="1271"/>
      <c r="AN8" s="1271"/>
      <c r="AO8" s="1271"/>
      <c r="AP8" s="1271"/>
      <c r="AQ8" s="1271"/>
      <c r="AR8" s="1271"/>
      <c r="AS8" s="1271"/>
      <c r="AT8" s="1271"/>
      <c r="AU8" s="1272"/>
      <c r="AV8" s="1272"/>
      <c r="AW8" s="1272"/>
      <c r="AX8" s="1272"/>
      <c r="AY8" s="1271"/>
      <c r="AZ8" s="1271"/>
      <c r="BA8" s="1271"/>
      <c r="BB8" s="1271"/>
      <c r="BC8" s="125"/>
    </row>
    <row r="9" spans="1:74" s="106" customFormat="1">
      <c r="B9" s="1273" t="s">
        <v>487</v>
      </c>
      <c r="C9" s="1217"/>
      <c r="D9" s="1217"/>
      <c r="E9" s="1217"/>
      <c r="F9" s="1217"/>
      <c r="G9" s="1217"/>
      <c r="H9" s="1217"/>
      <c r="I9" s="1217"/>
      <c r="J9" s="1217"/>
      <c r="K9" s="1217"/>
      <c r="L9" s="1217"/>
      <c r="M9" s="1217"/>
      <c r="N9" s="1217"/>
      <c r="O9" s="1217"/>
      <c r="P9" s="1217"/>
      <c r="Q9" s="1217"/>
      <c r="R9" s="1217"/>
      <c r="S9" s="1217"/>
      <c r="T9" s="1217"/>
      <c r="U9" s="1217"/>
      <c r="V9" s="1217"/>
      <c r="W9" s="1217"/>
      <c r="X9" s="1217"/>
      <c r="Y9" s="1217"/>
      <c r="Z9" s="1217"/>
      <c r="AA9" s="1217"/>
      <c r="AB9" s="1217"/>
      <c r="AC9" s="1217"/>
      <c r="AD9" s="1217"/>
      <c r="AE9" s="1217"/>
      <c r="AF9" s="1217"/>
      <c r="AG9" s="1217"/>
      <c r="AH9" s="1217"/>
      <c r="AI9" s="1217"/>
      <c r="AJ9" s="1217"/>
      <c r="AK9" s="1217"/>
      <c r="AL9" s="1217"/>
      <c r="AM9" s="1217"/>
      <c r="AN9" s="1217"/>
      <c r="AO9" s="1217"/>
      <c r="AP9" s="1217"/>
      <c r="AQ9" s="1217"/>
      <c r="AR9" s="1217"/>
      <c r="AS9" s="1217"/>
      <c r="AT9" s="1217"/>
      <c r="AU9" s="1274"/>
      <c r="AV9" s="1274"/>
      <c r="AW9" s="1274"/>
      <c r="AX9" s="1274"/>
      <c r="AY9" s="1217"/>
      <c r="AZ9" s="1217"/>
      <c r="BA9" s="1217"/>
      <c r="BB9" s="1217"/>
      <c r="BC9" s="130"/>
      <c r="BP9" s="1185"/>
      <c r="BT9" s="141"/>
      <c r="BU9" s="141"/>
      <c r="BV9" s="141"/>
    </row>
    <row r="10" spans="1:74" s="106" customFormat="1">
      <c r="B10" s="1275" t="s">
        <v>488</v>
      </c>
      <c r="C10" s="1217"/>
      <c r="D10" s="1217"/>
      <c r="E10" s="1217"/>
      <c r="F10" s="1217"/>
      <c r="G10" s="1217"/>
      <c r="H10" s="1217"/>
      <c r="I10" s="1217"/>
      <c r="J10" s="1217"/>
      <c r="K10" s="1217"/>
      <c r="L10" s="1217"/>
      <c r="M10" s="1217"/>
      <c r="N10" s="1217"/>
      <c r="O10" s="1217"/>
      <c r="P10" s="1217"/>
      <c r="Q10" s="1217"/>
      <c r="R10" s="1217"/>
      <c r="S10" s="1217"/>
      <c r="T10" s="1217"/>
      <c r="U10" s="1217"/>
      <c r="V10" s="1217"/>
      <c r="W10" s="1217"/>
      <c r="X10" s="1217"/>
      <c r="Y10" s="1217"/>
      <c r="Z10" s="1217"/>
      <c r="AA10" s="1217"/>
      <c r="AB10" s="1217"/>
      <c r="AC10" s="1217"/>
      <c r="AD10" s="1217"/>
      <c r="AE10" s="1217"/>
      <c r="AF10" s="1217"/>
      <c r="AG10" s="1217"/>
      <c r="AH10" s="1217"/>
      <c r="AI10" s="1217"/>
      <c r="AJ10" s="1217"/>
      <c r="AK10" s="1217"/>
      <c r="AL10" s="1217"/>
      <c r="AM10" s="1217"/>
      <c r="AN10" s="1217"/>
      <c r="AO10" s="1217"/>
      <c r="AP10" s="1217"/>
      <c r="AQ10" s="1217"/>
      <c r="AR10" s="1217"/>
      <c r="AS10" s="1217"/>
      <c r="AT10" s="1217"/>
      <c r="AU10" s="1274"/>
      <c r="AV10" s="1274"/>
      <c r="AW10" s="1274"/>
      <c r="AX10" s="1274"/>
      <c r="AY10" s="1217"/>
      <c r="AZ10" s="1217"/>
      <c r="BA10" s="1217"/>
      <c r="BB10" s="1217"/>
      <c r="BC10" s="130"/>
      <c r="BP10" s="1185"/>
      <c r="BT10" s="141"/>
      <c r="BU10" s="141"/>
      <c r="BV10" s="141"/>
    </row>
    <row r="11" spans="1:74">
      <c r="B11" s="1276" t="s">
        <v>468</v>
      </c>
      <c r="C11" s="1218"/>
      <c r="D11" s="1218"/>
      <c r="E11" s="1218"/>
      <c r="F11" s="1218"/>
      <c r="G11" s="1218"/>
      <c r="H11" s="1218"/>
      <c r="I11" s="1218"/>
      <c r="J11" s="1218"/>
      <c r="K11" s="1218"/>
      <c r="L11" s="1218"/>
      <c r="M11" s="1218"/>
      <c r="N11" s="1218"/>
      <c r="O11" s="1218"/>
      <c r="P11" s="1218"/>
      <c r="Q11" s="1218"/>
      <c r="R11" s="1218"/>
      <c r="S11" s="1218"/>
      <c r="T11" s="1218"/>
      <c r="U11" s="1218"/>
      <c r="V11" s="1218"/>
      <c r="W11" s="1218"/>
      <c r="X11" s="1218"/>
      <c r="Y11" s="1218"/>
      <c r="Z11" s="1218"/>
      <c r="AA11" s="1218"/>
      <c r="AB11" s="1218"/>
      <c r="AC11" s="1218"/>
      <c r="AD11" s="1218"/>
      <c r="AE11" s="1218"/>
      <c r="AF11" s="1218"/>
      <c r="AG11" s="1218"/>
      <c r="AH11" s="1218"/>
      <c r="AI11" s="1218"/>
      <c r="AJ11" s="1218"/>
      <c r="AK11" s="1218"/>
      <c r="AL11" s="1218"/>
      <c r="AM11" s="1218"/>
      <c r="AN11" s="1218"/>
      <c r="AO11" s="1218"/>
      <c r="AP11" s="1218"/>
      <c r="AQ11" s="1218"/>
      <c r="AR11" s="1218"/>
      <c r="AS11" s="1218"/>
      <c r="AT11" s="1218"/>
      <c r="AU11" s="1219"/>
      <c r="AV11" s="1219"/>
      <c r="AW11" s="1219"/>
      <c r="AX11" s="1219"/>
      <c r="AY11" s="1218"/>
      <c r="AZ11" s="1218"/>
      <c r="BA11" s="1218"/>
      <c r="BB11" s="1218"/>
      <c r="BC11" s="125"/>
    </row>
    <row r="12" spans="1:74">
      <c r="B12" s="1277" t="s">
        <v>489</v>
      </c>
      <c r="C12" s="1218">
        <v>89546000</v>
      </c>
      <c r="D12" s="1218">
        <v>220211000</v>
      </c>
      <c r="E12" s="1218"/>
      <c r="F12" s="1218">
        <f>SUM(C12:E12)</f>
        <v>309757000</v>
      </c>
      <c r="G12" s="1218">
        <v>7085371</v>
      </c>
      <c r="H12" s="1218">
        <v>-85371</v>
      </c>
      <c r="I12" s="1218"/>
      <c r="J12" s="1218">
        <f>SUM(G12:I12)</f>
        <v>7000000</v>
      </c>
      <c r="K12" s="1218">
        <f t="shared" ref="K12:K56" si="0">+C12+G12</f>
        <v>96631371</v>
      </c>
      <c r="L12" s="1218">
        <f t="shared" ref="L12:L56" si="1">+D12+H12</f>
        <v>220125629</v>
      </c>
      <c r="M12" s="1218">
        <f t="shared" ref="M12:M56" si="2">+E12+I12</f>
        <v>0</v>
      </c>
      <c r="N12" s="1218">
        <f t="shared" ref="N12:N56" si="3">SUM(K12:M12)</f>
        <v>316757000</v>
      </c>
      <c r="O12" s="1218">
        <v>96631371</v>
      </c>
      <c r="P12" s="1218">
        <v>220125629</v>
      </c>
      <c r="Q12" s="1218"/>
      <c r="R12" s="1218">
        <f>SUM(O12:Q12)</f>
        <v>316757000</v>
      </c>
      <c r="S12" s="1218"/>
      <c r="T12" s="1218"/>
      <c r="U12" s="1218"/>
      <c r="V12" s="1218">
        <f>SUM(S12:U12)</f>
        <v>0</v>
      </c>
      <c r="W12" s="1218">
        <f>-+'OSEC-CY'!H14</f>
        <v>-827006</v>
      </c>
      <c r="X12" s="1218">
        <f>-+'OSEC-CY'!H15</f>
        <v>-11554094</v>
      </c>
      <c r="Y12" s="1218">
        <f>-+'OSEC-CY'!H16</f>
        <v>0</v>
      </c>
      <c r="Z12" s="1218">
        <f>SUM(W12:Y12)</f>
        <v>-12381100</v>
      </c>
      <c r="AA12" s="1218">
        <f>+O12+W12+S12</f>
        <v>95804365</v>
      </c>
      <c r="AB12" s="1218">
        <f>+P12+X12+T12</f>
        <v>208571535</v>
      </c>
      <c r="AC12" s="1218">
        <f>+Q12+Y12+U12</f>
        <v>0</v>
      </c>
      <c r="AD12" s="1218">
        <f>SUM(AA12:AC12)</f>
        <v>304375900</v>
      </c>
      <c r="AE12" s="1218">
        <f>+'OSEC-CY'!I14</f>
        <v>93116166.939999998</v>
      </c>
      <c r="AF12" s="1218">
        <f>+'OSEC-CY'!I15</f>
        <v>193491978.36000001</v>
      </c>
      <c r="AG12" s="1218">
        <f>+'OSEC-CY'!I16</f>
        <v>0</v>
      </c>
      <c r="AH12" s="1218">
        <f>SUM(AE12:AG12)</f>
        <v>286608145.30000001</v>
      </c>
      <c r="AI12" s="1218"/>
      <c r="AJ12" s="1218"/>
      <c r="AK12" s="1218"/>
      <c r="AL12" s="1218">
        <f>SUM(AI12:AK12)</f>
        <v>0</v>
      </c>
      <c r="AM12" s="1218">
        <f>+AE12+AI12</f>
        <v>93116166.939999998</v>
      </c>
      <c r="AN12" s="1218">
        <f>+AF12+AJ12</f>
        <v>193491978.36000001</v>
      </c>
      <c r="AO12" s="1218">
        <f>+AG12+AK12</f>
        <v>0</v>
      </c>
      <c r="AP12" s="1218">
        <f>SUM(AM12:AO12)</f>
        <v>286608145.30000001</v>
      </c>
      <c r="AQ12" s="1218">
        <f>+AA12-AM12</f>
        <v>2688198.0600000024</v>
      </c>
      <c r="AR12" s="1218">
        <f>+AB12-AN12</f>
        <v>15079556.639999986</v>
      </c>
      <c r="AS12" s="1218">
        <f>+AC12-AO12</f>
        <v>0</v>
      </c>
      <c r="AT12" s="1218">
        <f>SUM(AQ12:AS12)</f>
        <v>17767754.699999988</v>
      </c>
      <c r="AU12" s="1219">
        <f>IF(AA12=0," ",AM12/AA12)</f>
        <v>0.97194075593528539</v>
      </c>
      <c r="AV12" s="1219">
        <f>IF(AB12=0," ",AN12/AB12)</f>
        <v>0.9277007927280202</v>
      </c>
      <c r="AW12" s="1219" t="str">
        <f>IF(AC12=0," ",AO12/AC12)</f>
        <v xml:space="preserve"> </v>
      </c>
      <c r="AX12" s="1219">
        <f>IF(AD12=0," ",AP12/AD12)</f>
        <v>0.94162561917681398</v>
      </c>
      <c r="AY12" s="1218">
        <f>+K12-O12</f>
        <v>0</v>
      </c>
      <c r="AZ12" s="1218">
        <f>+L12-P12</f>
        <v>0</v>
      </c>
      <c r="BA12" s="1218">
        <f>+M12-Q12</f>
        <v>0</v>
      </c>
      <c r="BB12" s="1218">
        <f>+N12-R12</f>
        <v>0</v>
      </c>
      <c r="BC12" s="125"/>
      <c r="BP12" s="149">
        <f>+'OSEC-CY'!F14</f>
        <v>96631371</v>
      </c>
      <c r="BQ12" s="105">
        <f>+'OSEC-CY'!F15</f>
        <v>220125629</v>
      </c>
      <c r="BR12" s="105">
        <f>+'OSEC-CY'!F16</f>
        <v>0</v>
      </c>
      <c r="BT12" s="111">
        <f>+O12-BP12</f>
        <v>0</v>
      </c>
      <c r="BU12" s="111">
        <f t="shared" ref="BU12:BV12" si="4">+P12-BQ12</f>
        <v>0</v>
      </c>
      <c r="BV12" s="111">
        <f t="shared" si="4"/>
        <v>0</v>
      </c>
    </row>
    <row r="13" spans="1:74" s="107" customFormat="1">
      <c r="B13" s="178" t="s">
        <v>477</v>
      </c>
      <c r="C13" s="179">
        <f>+C12</f>
        <v>89546000</v>
      </c>
      <c r="D13" s="179">
        <f>+D12</f>
        <v>220211000</v>
      </c>
      <c r="E13" s="179">
        <f>+E12</f>
        <v>0</v>
      </c>
      <c r="F13" s="179">
        <f t="shared" ref="F13:AO13" si="5">+F12</f>
        <v>309757000</v>
      </c>
      <c r="G13" s="179">
        <f t="shared" si="5"/>
        <v>7085371</v>
      </c>
      <c r="H13" s="179">
        <f t="shared" si="5"/>
        <v>-85371</v>
      </c>
      <c r="I13" s="179">
        <f t="shared" si="5"/>
        <v>0</v>
      </c>
      <c r="J13" s="179">
        <f t="shared" si="5"/>
        <v>7000000</v>
      </c>
      <c r="K13" s="179">
        <f t="shared" si="5"/>
        <v>96631371</v>
      </c>
      <c r="L13" s="179">
        <f t="shared" si="5"/>
        <v>220125629</v>
      </c>
      <c r="M13" s="179">
        <f t="shared" si="5"/>
        <v>0</v>
      </c>
      <c r="N13" s="179">
        <f t="shared" si="5"/>
        <v>316757000</v>
      </c>
      <c r="O13" s="179">
        <f t="shared" si="5"/>
        <v>96631371</v>
      </c>
      <c r="P13" s="179">
        <f t="shared" si="5"/>
        <v>220125629</v>
      </c>
      <c r="Q13" s="179">
        <f t="shared" si="5"/>
        <v>0</v>
      </c>
      <c r="R13" s="179">
        <f t="shared" ref="R13:R76" si="6">SUM(O13:Q13)</f>
        <v>316757000</v>
      </c>
      <c r="S13" s="179">
        <f t="shared" si="5"/>
        <v>0</v>
      </c>
      <c r="T13" s="179">
        <f t="shared" si="5"/>
        <v>0</v>
      </c>
      <c r="U13" s="179">
        <f t="shared" si="5"/>
        <v>0</v>
      </c>
      <c r="V13" s="179">
        <f>+V12</f>
        <v>0</v>
      </c>
      <c r="W13" s="179">
        <f t="shared" si="5"/>
        <v>-827006</v>
      </c>
      <c r="X13" s="179">
        <f t="shared" si="5"/>
        <v>-11554094</v>
      </c>
      <c r="Y13" s="179">
        <f t="shared" si="5"/>
        <v>0</v>
      </c>
      <c r="Z13" s="179">
        <f t="shared" ref="Z13:Z76" si="7">SUM(W13:Y13)</f>
        <v>-12381100</v>
      </c>
      <c r="AA13" s="179">
        <f t="shared" ref="AA13:AA76" si="8">+O13+W13+S13</f>
        <v>95804365</v>
      </c>
      <c r="AB13" s="179">
        <f t="shared" ref="AB13:AB76" si="9">+P13+X13+T13</f>
        <v>208571535</v>
      </c>
      <c r="AC13" s="179">
        <f t="shared" ref="AC13:AC76" si="10">+Q13+Y13+U13</f>
        <v>0</v>
      </c>
      <c r="AD13" s="179">
        <f t="shared" ref="AD13:AD76" si="11">SUM(AA13:AC13)</f>
        <v>304375900</v>
      </c>
      <c r="AE13" s="179">
        <f t="shared" si="5"/>
        <v>93116166.939999998</v>
      </c>
      <c r="AF13" s="179">
        <f>+AF12</f>
        <v>193491978.36000001</v>
      </c>
      <c r="AG13" s="179">
        <f>+AG12</f>
        <v>0</v>
      </c>
      <c r="AH13" s="179">
        <f t="shared" si="5"/>
        <v>286608145.30000001</v>
      </c>
      <c r="AI13" s="179">
        <f t="shared" si="5"/>
        <v>0</v>
      </c>
      <c r="AJ13" s="179">
        <f t="shared" si="5"/>
        <v>0</v>
      </c>
      <c r="AK13" s="179">
        <f t="shared" si="5"/>
        <v>0</v>
      </c>
      <c r="AL13" s="179">
        <f t="shared" si="5"/>
        <v>0</v>
      </c>
      <c r="AM13" s="179">
        <f t="shared" si="5"/>
        <v>93116166.939999998</v>
      </c>
      <c r="AN13" s="179">
        <f t="shared" si="5"/>
        <v>193491978.36000001</v>
      </c>
      <c r="AO13" s="179">
        <f t="shared" si="5"/>
        <v>0</v>
      </c>
      <c r="AP13" s="179">
        <f t="shared" ref="AP13:AP76" si="12">SUM(AM13:AO13)</f>
        <v>286608145.30000001</v>
      </c>
      <c r="AQ13" s="179">
        <f t="shared" ref="AQ13:AQ76" si="13">+AA13-AM13</f>
        <v>2688198.0600000024</v>
      </c>
      <c r="AR13" s="179">
        <f t="shared" ref="AR13:AR76" si="14">+AB13-AN13</f>
        <v>15079556.639999986</v>
      </c>
      <c r="AS13" s="179">
        <f t="shared" ref="AS13:AS76" si="15">+AC13-AO13</f>
        <v>0</v>
      </c>
      <c r="AT13" s="179">
        <f t="shared" ref="AT13:AT76" si="16">SUM(AQ13:AS13)</f>
        <v>17767754.699999988</v>
      </c>
      <c r="AU13" s="184">
        <f t="shared" ref="AU13:AU76" si="17">IF(AA13=0," ",AM13/AA13)</f>
        <v>0.97194075593528539</v>
      </c>
      <c r="AV13" s="184">
        <f t="shared" ref="AV13:AV76" si="18">IF(AB13=0," ",AN13/AB13)</f>
        <v>0.9277007927280202</v>
      </c>
      <c r="AW13" s="184" t="str">
        <f t="shared" ref="AW13:AW76" si="19">IF(AC13=0," ",AO13/AC13)</f>
        <v xml:space="preserve"> </v>
      </c>
      <c r="AX13" s="184">
        <f t="shared" ref="AX13:AX76" si="20">IF(AD13=0," ",AP13/AD13)</f>
        <v>0.94162561917681398</v>
      </c>
      <c r="AY13" s="179">
        <f t="shared" ref="AY13:AY76" si="21">+K13-O13</f>
        <v>0</v>
      </c>
      <c r="AZ13" s="179">
        <f t="shared" ref="AZ13:AZ76" si="22">+L13-P13</f>
        <v>0</v>
      </c>
      <c r="BA13" s="179">
        <f t="shared" ref="BA13:BA76" si="23">+M13-Q13</f>
        <v>0</v>
      </c>
      <c r="BB13" s="179">
        <f t="shared" ref="BB13:BB76" si="24">+N13-R13</f>
        <v>0</v>
      </c>
      <c r="BC13" s="131"/>
      <c r="BP13" s="150"/>
      <c r="BT13" s="111"/>
      <c r="BU13" s="111"/>
      <c r="BV13" s="111"/>
    </row>
    <row r="14" spans="1:74">
      <c r="B14" s="1271"/>
      <c r="C14" s="1218"/>
      <c r="D14" s="1218"/>
      <c r="E14" s="1218"/>
      <c r="F14" s="1218"/>
      <c r="G14" s="1218"/>
      <c r="H14" s="1218"/>
      <c r="I14" s="1218"/>
      <c r="J14" s="1218">
        <f t="shared" ref="J14:J57" si="25">SUM(G14:I14)</f>
        <v>0</v>
      </c>
      <c r="K14" s="1218">
        <f t="shared" si="0"/>
        <v>0</v>
      </c>
      <c r="L14" s="1218">
        <f t="shared" si="1"/>
        <v>0</v>
      </c>
      <c r="M14" s="1218">
        <f t="shared" si="2"/>
        <v>0</v>
      </c>
      <c r="N14" s="1218">
        <f t="shared" si="3"/>
        <v>0</v>
      </c>
      <c r="O14" s="1218"/>
      <c r="P14" s="1218"/>
      <c r="Q14" s="1218"/>
      <c r="R14" s="1218">
        <f t="shared" si="6"/>
        <v>0</v>
      </c>
      <c r="S14" s="1218"/>
      <c r="T14" s="1218"/>
      <c r="U14" s="1218"/>
      <c r="V14" s="1218"/>
      <c r="W14" s="1218"/>
      <c r="X14" s="1218"/>
      <c r="Y14" s="1218"/>
      <c r="Z14" s="1218">
        <f t="shared" si="7"/>
        <v>0</v>
      </c>
      <c r="AA14" s="1218">
        <f t="shared" si="8"/>
        <v>0</v>
      </c>
      <c r="AB14" s="1218">
        <f t="shared" si="9"/>
        <v>0</v>
      </c>
      <c r="AC14" s="1218">
        <f t="shared" si="10"/>
        <v>0</v>
      </c>
      <c r="AD14" s="1218">
        <f t="shared" si="11"/>
        <v>0</v>
      </c>
      <c r="AE14" s="1218"/>
      <c r="AF14" s="1218"/>
      <c r="AG14" s="1218"/>
      <c r="AH14" s="1218"/>
      <c r="AI14" s="1218"/>
      <c r="AJ14" s="1218"/>
      <c r="AK14" s="1218"/>
      <c r="AL14" s="1218"/>
      <c r="AM14" s="1218"/>
      <c r="AN14" s="1218"/>
      <c r="AO14" s="1218"/>
      <c r="AP14" s="1218">
        <f t="shared" si="12"/>
        <v>0</v>
      </c>
      <c r="AQ14" s="1218">
        <f t="shared" si="13"/>
        <v>0</v>
      </c>
      <c r="AR14" s="1218">
        <f t="shared" si="14"/>
        <v>0</v>
      </c>
      <c r="AS14" s="1218">
        <f t="shared" si="15"/>
        <v>0</v>
      </c>
      <c r="AT14" s="1218">
        <f t="shared" si="16"/>
        <v>0</v>
      </c>
      <c r="AU14" s="1219" t="str">
        <f t="shared" si="17"/>
        <v xml:space="preserve"> </v>
      </c>
      <c r="AV14" s="1219" t="str">
        <f t="shared" si="18"/>
        <v xml:space="preserve"> </v>
      </c>
      <c r="AW14" s="1219" t="str">
        <f t="shared" si="19"/>
        <v xml:space="preserve"> </v>
      </c>
      <c r="AX14" s="1219" t="str">
        <f t="shared" si="20"/>
        <v xml:space="preserve"> </v>
      </c>
      <c r="AY14" s="1218">
        <f t="shared" si="21"/>
        <v>0</v>
      </c>
      <c r="AZ14" s="1218">
        <f t="shared" si="22"/>
        <v>0</v>
      </c>
      <c r="BA14" s="1218">
        <f t="shared" si="23"/>
        <v>0</v>
      </c>
      <c r="BB14" s="1218">
        <f t="shared" si="24"/>
        <v>0</v>
      </c>
      <c r="BC14" s="125"/>
      <c r="BT14" s="111">
        <f t="shared" ref="BT14:BT67" si="26">+O14-BP14</f>
        <v>0</v>
      </c>
      <c r="BU14" s="111">
        <f t="shared" ref="BU14:BU67" si="27">+P14-BQ14</f>
        <v>0</v>
      </c>
      <c r="BV14" s="111">
        <f t="shared" ref="BV14:BV67" si="28">+Q14-BR14</f>
        <v>0</v>
      </c>
    </row>
    <row r="15" spans="1:74" s="106" customFormat="1">
      <c r="B15" s="1275" t="s">
        <v>490</v>
      </c>
      <c r="C15" s="1217"/>
      <c r="D15" s="1217"/>
      <c r="E15" s="1217"/>
      <c r="F15" s="1217"/>
      <c r="G15" s="1217"/>
      <c r="H15" s="1217"/>
      <c r="I15" s="1217"/>
      <c r="J15" s="1218">
        <f t="shared" si="25"/>
        <v>0</v>
      </c>
      <c r="K15" s="1218">
        <f t="shared" si="0"/>
        <v>0</v>
      </c>
      <c r="L15" s="1218">
        <f t="shared" si="1"/>
        <v>0</v>
      </c>
      <c r="M15" s="1218">
        <f t="shared" si="2"/>
        <v>0</v>
      </c>
      <c r="N15" s="1218">
        <f t="shared" si="3"/>
        <v>0</v>
      </c>
      <c r="O15" s="1217"/>
      <c r="P15" s="1217"/>
      <c r="Q15" s="1217"/>
      <c r="R15" s="1217">
        <f t="shared" si="6"/>
        <v>0</v>
      </c>
      <c r="S15" s="1217"/>
      <c r="T15" s="1217"/>
      <c r="U15" s="1217"/>
      <c r="V15" s="1217"/>
      <c r="W15" s="1217"/>
      <c r="X15" s="1217"/>
      <c r="Y15" s="1217"/>
      <c r="Z15" s="1217">
        <f t="shared" si="7"/>
        <v>0</v>
      </c>
      <c r="AA15" s="1217">
        <f t="shared" si="8"/>
        <v>0</v>
      </c>
      <c r="AB15" s="1217">
        <f t="shared" si="9"/>
        <v>0</v>
      </c>
      <c r="AC15" s="1217">
        <f t="shared" si="10"/>
        <v>0</v>
      </c>
      <c r="AD15" s="1217">
        <f t="shared" si="11"/>
        <v>0</v>
      </c>
      <c r="AE15" s="1217"/>
      <c r="AF15" s="1217"/>
      <c r="AG15" s="1217"/>
      <c r="AH15" s="1217"/>
      <c r="AI15" s="1217"/>
      <c r="AJ15" s="1217"/>
      <c r="AK15" s="1217"/>
      <c r="AL15" s="1217"/>
      <c r="AM15" s="1217">
        <f t="shared" ref="AM15:AM22" si="29">+AE15+AI15</f>
        <v>0</v>
      </c>
      <c r="AN15" s="1217">
        <f t="shared" ref="AN15:AN22" si="30">+AF15+AJ15</f>
        <v>0</v>
      </c>
      <c r="AO15" s="1217">
        <f t="shared" ref="AO15:AO22" si="31">+AG15+AK15</f>
        <v>0</v>
      </c>
      <c r="AP15" s="1217">
        <f t="shared" si="12"/>
        <v>0</v>
      </c>
      <c r="AQ15" s="1217">
        <f t="shared" si="13"/>
        <v>0</v>
      </c>
      <c r="AR15" s="1217">
        <f t="shared" si="14"/>
        <v>0</v>
      </c>
      <c r="AS15" s="1217">
        <f t="shared" si="15"/>
        <v>0</v>
      </c>
      <c r="AT15" s="1217">
        <f t="shared" si="16"/>
        <v>0</v>
      </c>
      <c r="AU15" s="1219" t="str">
        <f t="shared" si="17"/>
        <v xml:space="preserve"> </v>
      </c>
      <c r="AV15" s="1219" t="str">
        <f t="shared" si="18"/>
        <v xml:space="preserve"> </v>
      </c>
      <c r="AW15" s="1219" t="str">
        <f t="shared" si="19"/>
        <v xml:space="preserve"> </v>
      </c>
      <c r="AX15" s="1219" t="str">
        <f t="shared" si="20"/>
        <v xml:space="preserve"> </v>
      </c>
      <c r="AY15" s="1218">
        <f t="shared" si="21"/>
        <v>0</v>
      </c>
      <c r="AZ15" s="1218">
        <f t="shared" si="22"/>
        <v>0</v>
      </c>
      <c r="BA15" s="1218">
        <f t="shared" si="23"/>
        <v>0</v>
      </c>
      <c r="BB15" s="1218">
        <f t="shared" si="24"/>
        <v>0</v>
      </c>
      <c r="BC15" s="130"/>
      <c r="BP15" s="1185"/>
      <c r="BT15" s="111">
        <f t="shared" si="26"/>
        <v>0</v>
      </c>
      <c r="BU15" s="111">
        <f t="shared" si="27"/>
        <v>0</v>
      </c>
      <c r="BV15" s="111">
        <f t="shared" si="28"/>
        <v>0</v>
      </c>
    </row>
    <row r="16" spans="1:74" s="95" customFormat="1" ht="36">
      <c r="A16" s="95" t="s">
        <v>897</v>
      </c>
      <c r="B16" s="1278" t="s">
        <v>461</v>
      </c>
      <c r="C16" s="1279">
        <v>15411000</v>
      </c>
      <c r="D16" s="1279">
        <v>32146000</v>
      </c>
      <c r="E16" s="1279">
        <v>0</v>
      </c>
      <c r="F16" s="1279">
        <f t="shared" ref="F16:F57" si="32">SUM(C16:E16)</f>
        <v>47557000</v>
      </c>
      <c r="G16" s="1279"/>
      <c r="H16" s="1279"/>
      <c r="I16" s="1279"/>
      <c r="J16" s="1279">
        <f t="shared" si="25"/>
        <v>0</v>
      </c>
      <c r="K16" s="1279">
        <f t="shared" si="0"/>
        <v>15411000</v>
      </c>
      <c r="L16" s="1279">
        <f t="shared" si="1"/>
        <v>32146000</v>
      </c>
      <c r="M16" s="1279">
        <f t="shared" si="2"/>
        <v>0</v>
      </c>
      <c r="N16" s="1279">
        <f t="shared" si="3"/>
        <v>47557000</v>
      </c>
      <c r="O16" s="1279">
        <v>15411000</v>
      </c>
      <c r="P16" s="1279">
        <v>32146000</v>
      </c>
      <c r="Q16" s="1279">
        <v>0</v>
      </c>
      <c r="R16" s="1279">
        <f t="shared" si="6"/>
        <v>47557000</v>
      </c>
      <c r="S16" s="1279"/>
      <c r="T16" s="1279"/>
      <c r="U16" s="1279"/>
      <c r="V16" s="1279">
        <f t="shared" ref="V16:V60" si="33">SUM(S16:U16)</f>
        <v>0</v>
      </c>
      <c r="W16" s="1279">
        <f>-+'OSEC-CY'!H26</f>
        <v>0</v>
      </c>
      <c r="X16" s="1279">
        <f>-+'OSEC-CY'!H27</f>
        <v>-250000</v>
      </c>
      <c r="Y16" s="1279">
        <f>-+'OSEC-CY'!H28</f>
        <v>0</v>
      </c>
      <c r="Z16" s="1279">
        <f t="shared" si="7"/>
        <v>-250000</v>
      </c>
      <c r="AA16" s="1279">
        <f t="shared" si="8"/>
        <v>15411000</v>
      </c>
      <c r="AB16" s="1279">
        <f t="shared" si="9"/>
        <v>31896000</v>
      </c>
      <c r="AC16" s="1279">
        <f t="shared" si="10"/>
        <v>0</v>
      </c>
      <c r="AD16" s="1279">
        <f t="shared" si="11"/>
        <v>47307000</v>
      </c>
      <c r="AE16" s="1279">
        <f>+'OSEC-CY'!I26</f>
        <v>13146657.119999999</v>
      </c>
      <c r="AF16" s="1279">
        <f>+'OSEC-CY'!I27</f>
        <v>26199471.27</v>
      </c>
      <c r="AG16" s="1279">
        <f>+'OSEC-CY'!I28</f>
        <v>0</v>
      </c>
      <c r="AH16" s="1279">
        <f t="shared" ref="AH16:AH57" si="34">SUM(AE16:AG16)</f>
        <v>39346128.390000001</v>
      </c>
      <c r="AI16" s="1279"/>
      <c r="AJ16" s="1279"/>
      <c r="AK16" s="1279"/>
      <c r="AL16" s="1279">
        <f t="shared" ref="AL16:AL57" si="35">SUM(AI16:AK16)</f>
        <v>0</v>
      </c>
      <c r="AM16" s="1279">
        <f t="shared" si="29"/>
        <v>13146657.119999999</v>
      </c>
      <c r="AN16" s="1279">
        <f t="shared" si="30"/>
        <v>26199471.27</v>
      </c>
      <c r="AO16" s="1279">
        <f t="shared" si="31"/>
        <v>0</v>
      </c>
      <c r="AP16" s="1279">
        <f t="shared" si="12"/>
        <v>39346128.390000001</v>
      </c>
      <c r="AQ16" s="1279">
        <f t="shared" si="13"/>
        <v>2264342.8800000008</v>
      </c>
      <c r="AR16" s="1279">
        <f t="shared" si="14"/>
        <v>5696528.7300000004</v>
      </c>
      <c r="AS16" s="1279">
        <f t="shared" si="15"/>
        <v>0</v>
      </c>
      <c r="AT16" s="1279">
        <f t="shared" si="16"/>
        <v>7960871.6100000013</v>
      </c>
      <c r="AU16" s="1280">
        <f t="shared" si="17"/>
        <v>0.85306969826747125</v>
      </c>
      <c r="AV16" s="1280">
        <f t="shared" si="18"/>
        <v>0.82140303705793827</v>
      </c>
      <c r="AW16" s="1280" t="str">
        <f t="shared" si="19"/>
        <v xml:space="preserve"> </v>
      </c>
      <c r="AX16" s="1280">
        <f t="shared" si="20"/>
        <v>0.83171895047244593</v>
      </c>
      <c r="AY16" s="1279">
        <f t="shared" si="21"/>
        <v>0</v>
      </c>
      <c r="AZ16" s="1279">
        <f t="shared" si="22"/>
        <v>0</v>
      </c>
      <c r="BA16" s="1279">
        <f t="shared" si="23"/>
        <v>0</v>
      </c>
      <c r="BB16" s="1279">
        <f t="shared" si="24"/>
        <v>0</v>
      </c>
      <c r="BC16" s="590"/>
      <c r="BP16" s="147">
        <f>+'OSEC-CY'!F26</f>
        <v>15411000</v>
      </c>
      <c r="BQ16" s="95">
        <f>+'OSEC-CY'!F27</f>
        <v>32146000</v>
      </c>
      <c r="BR16" s="95">
        <f>+'OSEC-CY'!F28</f>
        <v>0</v>
      </c>
      <c r="BT16" s="111">
        <f t="shared" si="26"/>
        <v>0</v>
      </c>
      <c r="BU16" s="111">
        <f t="shared" si="27"/>
        <v>0</v>
      </c>
      <c r="BV16" s="111">
        <f t="shared" si="28"/>
        <v>0</v>
      </c>
    </row>
    <row r="17" spans="1:74" s="95" customFormat="1">
      <c r="A17" s="95" t="s">
        <v>918</v>
      </c>
      <c r="B17" s="1281" t="s">
        <v>466</v>
      </c>
      <c r="C17" s="1279">
        <v>15754000</v>
      </c>
      <c r="D17" s="1279">
        <v>26327000</v>
      </c>
      <c r="E17" s="1279">
        <v>150000000</v>
      </c>
      <c r="F17" s="1279">
        <f t="shared" si="32"/>
        <v>192081000</v>
      </c>
      <c r="G17" s="1279"/>
      <c r="H17" s="1279"/>
      <c r="I17" s="1279"/>
      <c r="J17" s="1279">
        <f t="shared" si="25"/>
        <v>0</v>
      </c>
      <c r="K17" s="1279">
        <f t="shared" si="0"/>
        <v>15754000</v>
      </c>
      <c r="L17" s="1279">
        <f t="shared" si="1"/>
        <v>26327000</v>
      </c>
      <c r="M17" s="1279">
        <f t="shared" si="2"/>
        <v>150000000</v>
      </c>
      <c r="N17" s="1279">
        <f t="shared" si="3"/>
        <v>192081000</v>
      </c>
      <c r="O17" s="1279">
        <v>15754000</v>
      </c>
      <c r="P17" s="1279">
        <v>26327000</v>
      </c>
      <c r="Q17" s="1279">
        <v>150000000</v>
      </c>
      <c r="R17" s="1279">
        <f t="shared" si="6"/>
        <v>192081000</v>
      </c>
      <c r="S17" s="1279"/>
      <c r="T17" s="1279"/>
      <c r="U17" s="1279"/>
      <c r="V17" s="1279">
        <f t="shared" si="33"/>
        <v>0</v>
      </c>
      <c r="W17" s="1279">
        <f>-+'OSEC-CY'!H32</f>
        <v>0</v>
      </c>
      <c r="X17" s="1279">
        <f>-+'OSEC-CY'!H33</f>
        <v>-360000</v>
      </c>
      <c r="Y17" s="1279">
        <f>-+'OSEC-CY'!H34</f>
        <v>0</v>
      </c>
      <c r="Z17" s="1279">
        <f t="shared" si="7"/>
        <v>-360000</v>
      </c>
      <c r="AA17" s="1279">
        <f t="shared" si="8"/>
        <v>15754000</v>
      </c>
      <c r="AB17" s="1279">
        <f t="shared" si="9"/>
        <v>25967000</v>
      </c>
      <c r="AC17" s="1279">
        <f t="shared" si="10"/>
        <v>150000000</v>
      </c>
      <c r="AD17" s="1279">
        <f t="shared" si="11"/>
        <v>191721000</v>
      </c>
      <c r="AE17" s="1279">
        <f>+'OSEC-CY'!I32</f>
        <v>15242805.48</v>
      </c>
      <c r="AF17" s="1279">
        <f>+'OSEC-CY'!I33</f>
        <v>16088373.539999999</v>
      </c>
      <c r="AG17" s="1279">
        <f>+'OSEC-CY'!I34</f>
        <v>62213737.180000007</v>
      </c>
      <c r="AH17" s="1279">
        <f t="shared" si="34"/>
        <v>93544916.200000003</v>
      </c>
      <c r="AI17" s="1279"/>
      <c r="AJ17" s="1279"/>
      <c r="AK17" s="1279"/>
      <c r="AL17" s="1279">
        <f t="shared" si="35"/>
        <v>0</v>
      </c>
      <c r="AM17" s="1279">
        <f t="shared" si="29"/>
        <v>15242805.48</v>
      </c>
      <c r="AN17" s="1279">
        <f t="shared" si="30"/>
        <v>16088373.539999999</v>
      </c>
      <c r="AO17" s="1279">
        <f t="shared" si="31"/>
        <v>62213737.180000007</v>
      </c>
      <c r="AP17" s="1279">
        <f t="shared" si="12"/>
        <v>93544916.200000003</v>
      </c>
      <c r="AQ17" s="1279">
        <f t="shared" si="13"/>
        <v>511194.51999999955</v>
      </c>
      <c r="AR17" s="1279">
        <f t="shared" si="14"/>
        <v>9878626.4600000009</v>
      </c>
      <c r="AS17" s="1279">
        <f t="shared" si="15"/>
        <v>87786262.819999993</v>
      </c>
      <c r="AT17" s="1279">
        <f t="shared" si="16"/>
        <v>98176083.799999997</v>
      </c>
      <c r="AU17" s="1280">
        <f t="shared" si="17"/>
        <v>0.96755144598197285</v>
      </c>
      <c r="AV17" s="1280">
        <f t="shared" si="18"/>
        <v>0.61956997496822885</v>
      </c>
      <c r="AW17" s="1280">
        <f t="shared" si="19"/>
        <v>0.41475824786666671</v>
      </c>
      <c r="AX17" s="1280">
        <f t="shared" si="20"/>
        <v>0.48792211703464933</v>
      </c>
      <c r="AY17" s="1279">
        <f t="shared" si="21"/>
        <v>0</v>
      </c>
      <c r="AZ17" s="1279">
        <f t="shared" si="22"/>
        <v>0</v>
      </c>
      <c r="BA17" s="1279">
        <f t="shared" si="23"/>
        <v>0</v>
      </c>
      <c r="BB17" s="1279">
        <f t="shared" si="24"/>
        <v>0</v>
      </c>
      <c r="BC17" s="590"/>
      <c r="BP17" s="147">
        <f>+'OSEC-CY'!F32</f>
        <v>15754000</v>
      </c>
      <c r="BQ17" s="95">
        <f>+'OSEC-CY'!F33</f>
        <v>26327000</v>
      </c>
      <c r="BR17" s="95">
        <f>+'OSEC-CY'!F34</f>
        <v>150000000</v>
      </c>
      <c r="BT17" s="111">
        <f t="shared" si="26"/>
        <v>0</v>
      </c>
      <c r="BU17" s="111">
        <f t="shared" si="27"/>
        <v>0</v>
      </c>
      <c r="BV17" s="111">
        <f t="shared" si="28"/>
        <v>0</v>
      </c>
    </row>
    <row r="18" spans="1:74" s="95" customFormat="1">
      <c r="A18" s="95" t="s">
        <v>902</v>
      </c>
      <c r="B18" s="1281" t="s">
        <v>467</v>
      </c>
      <c r="C18" s="1279">
        <v>0</v>
      </c>
      <c r="D18" s="1279">
        <v>0</v>
      </c>
      <c r="E18" s="1279">
        <v>0</v>
      </c>
      <c r="F18" s="1279">
        <f t="shared" si="32"/>
        <v>0</v>
      </c>
      <c r="G18" s="1279"/>
      <c r="H18" s="1279"/>
      <c r="I18" s="1279"/>
      <c r="J18" s="1279">
        <f t="shared" si="25"/>
        <v>0</v>
      </c>
      <c r="K18" s="1279">
        <f t="shared" si="0"/>
        <v>0</v>
      </c>
      <c r="L18" s="1279">
        <f t="shared" si="1"/>
        <v>0</v>
      </c>
      <c r="M18" s="1279">
        <f t="shared" si="2"/>
        <v>0</v>
      </c>
      <c r="N18" s="1279">
        <f t="shared" si="3"/>
        <v>0</v>
      </c>
      <c r="O18" s="1279">
        <v>0</v>
      </c>
      <c r="P18" s="1279">
        <v>0</v>
      </c>
      <c r="Q18" s="1279">
        <v>0</v>
      </c>
      <c r="R18" s="1279">
        <f t="shared" si="6"/>
        <v>0</v>
      </c>
      <c r="S18" s="1279"/>
      <c r="T18" s="1279"/>
      <c r="U18" s="1279"/>
      <c r="V18" s="1279">
        <f t="shared" si="33"/>
        <v>0</v>
      </c>
      <c r="W18" s="1279"/>
      <c r="X18" s="1279"/>
      <c r="Y18" s="1279"/>
      <c r="Z18" s="1279">
        <f t="shared" si="7"/>
        <v>0</v>
      </c>
      <c r="AA18" s="1279">
        <f t="shared" si="8"/>
        <v>0</v>
      </c>
      <c r="AB18" s="1279">
        <f t="shared" si="9"/>
        <v>0</v>
      </c>
      <c r="AC18" s="1279">
        <f t="shared" si="10"/>
        <v>0</v>
      </c>
      <c r="AD18" s="1279">
        <f t="shared" si="11"/>
        <v>0</v>
      </c>
      <c r="AE18" s="1279"/>
      <c r="AF18" s="1279"/>
      <c r="AG18" s="1279"/>
      <c r="AH18" s="1279"/>
      <c r="AI18" s="1279"/>
      <c r="AJ18" s="1279"/>
      <c r="AK18" s="1279"/>
      <c r="AL18" s="1279">
        <f t="shared" si="35"/>
        <v>0</v>
      </c>
      <c r="AM18" s="1279">
        <f t="shared" si="29"/>
        <v>0</v>
      </c>
      <c r="AN18" s="1279">
        <f t="shared" si="30"/>
        <v>0</v>
      </c>
      <c r="AO18" s="1279">
        <f t="shared" si="31"/>
        <v>0</v>
      </c>
      <c r="AP18" s="1279">
        <f t="shared" si="12"/>
        <v>0</v>
      </c>
      <c r="AQ18" s="1279">
        <f t="shared" si="13"/>
        <v>0</v>
      </c>
      <c r="AR18" s="1279">
        <f t="shared" si="14"/>
        <v>0</v>
      </c>
      <c r="AS18" s="1279">
        <f t="shared" si="15"/>
        <v>0</v>
      </c>
      <c r="AT18" s="1279">
        <f t="shared" si="16"/>
        <v>0</v>
      </c>
      <c r="AU18" s="1280" t="str">
        <f t="shared" si="17"/>
        <v xml:space="preserve"> </v>
      </c>
      <c r="AV18" s="1280" t="str">
        <f t="shared" si="18"/>
        <v xml:space="preserve"> </v>
      </c>
      <c r="AW18" s="1280" t="str">
        <f t="shared" si="19"/>
        <v xml:space="preserve"> </v>
      </c>
      <c r="AX18" s="1280" t="str">
        <f t="shared" si="20"/>
        <v xml:space="preserve"> </v>
      </c>
      <c r="AY18" s="1279">
        <f t="shared" si="21"/>
        <v>0</v>
      </c>
      <c r="AZ18" s="1279">
        <f t="shared" si="22"/>
        <v>0</v>
      </c>
      <c r="BA18" s="1279">
        <f t="shared" si="23"/>
        <v>0</v>
      </c>
      <c r="BB18" s="1279">
        <f t="shared" si="24"/>
        <v>0</v>
      </c>
      <c r="BC18" s="590"/>
      <c r="BP18" s="147"/>
      <c r="BT18" s="111">
        <f t="shared" si="26"/>
        <v>0</v>
      </c>
      <c r="BU18" s="111">
        <f t="shared" si="27"/>
        <v>0</v>
      </c>
      <c r="BV18" s="111">
        <f t="shared" si="28"/>
        <v>0</v>
      </c>
    </row>
    <row r="19" spans="1:74" s="95" customFormat="1" ht="24">
      <c r="A19" s="95" t="s">
        <v>902</v>
      </c>
      <c r="B19" s="1282" t="s">
        <v>462</v>
      </c>
      <c r="C19" s="1279">
        <v>11386000</v>
      </c>
      <c r="D19" s="1279">
        <v>60557000</v>
      </c>
      <c r="E19" s="1279">
        <v>0</v>
      </c>
      <c r="F19" s="1279">
        <f t="shared" si="32"/>
        <v>71943000</v>
      </c>
      <c r="G19" s="1279"/>
      <c r="H19" s="1279"/>
      <c r="I19" s="1279"/>
      <c r="J19" s="1279">
        <f t="shared" si="25"/>
        <v>0</v>
      </c>
      <c r="K19" s="1279">
        <f t="shared" si="0"/>
        <v>11386000</v>
      </c>
      <c r="L19" s="1279">
        <f t="shared" si="1"/>
        <v>60557000</v>
      </c>
      <c r="M19" s="1279">
        <f t="shared" si="2"/>
        <v>0</v>
      </c>
      <c r="N19" s="1279">
        <f t="shared" si="3"/>
        <v>71943000</v>
      </c>
      <c r="O19" s="1279">
        <v>11386000</v>
      </c>
      <c r="P19" s="1279">
        <v>60557000</v>
      </c>
      <c r="Q19" s="1279">
        <v>0</v>
      </c>
      <c r="R19" s="1279">
        <f t="shared" si="6"/>
        <v>71943000</v>
      </c>
      <c r="S19" s="1279"/>
      <c r="T19" s="1279"/>
      <c r="U19" s="1279"/>
      <c r="V19" s="1279">
        <f t="shared" si="33"/>
        <v>0</v>
      </c>
      <c r="W19" s="1279">
        <f>-+'OSEC-CY'!H38</f>
        <v>0</v>
      </c>
      <c r="X19" s="1279">
        <f>-+'OSEC-CY'!H39</f>
        <v>-224363.37</v>
      </c>
      <c r="Y19" s="1279">
        <f>-+'OSEC-CY'!H40</f>
        <v>0</v>
      </c>
      <c r="Z19" s="1279">
        <f t="shared" si="7"/>
        <v>-224363.37</v>
      </c>
      <c r="AA19" s="1279">
        <f t="shared" si="8"/>
        <v>11386000</v>
      </c>
      <c r="AB19" s="1279">
        <f t="shared" si="9"/>
        <v>60332636.630000003</v>
      </c>
      <c r="AC19" s="1279">
        <f t="shared" si="10"/>
        <v>0</v>
      </c>
      <c r="AD19" s="1279">
        <f t="shared" si="11"/>
        <v>71718636.629999995</v>
      </c>
      <c r="AE19" s="1279">
        <f>+'OSEC-CY'!I38</f>
        <v>9301132.1899999995</v>
      </c>
      <c r="AF19" s="1279">
        <f>+'OSEC-CY'!I39</f>
        <v>27295165.639999997</v>
      </c>
      <c r="AG19" s="1279">
        <f>+'OSEC-CY'!I40</f>
        <v>0</v>
      </c>
      <c r="AH19" s="1279">
        <f t="shared" si="34"/>
        <v>36596297.829999998</v>
      </c>
      <c r="AI19" s="1279"/>
      <c r="AJ19" s="1279"/>
      <c r="AK19" s="1279"/>
      <c r="AL19" s="1279">
        <f t="shared" si="35"/>
        <v>0</v>
      </c>
      <c r="AM19" s="1279">
        <f t="shared" si="29"/>
        <v>9301132.1899999995</v>
      </c>
      <c r="AN19" s="1279">
        <f t="shared" si="30"/>
        <v>27295165.639999997</v>
      </c>
      <c r="AO19" s="1279">
        <f t="shared" si="31"/>
        <v>0</v>
      </c>
      <c r="AP19" s="1279">
        <f t="shared" si="12"/>
        <v>36596297.829999998</v>
      </c>
      <c r="AQ19" s="1279">
        <f t="shared" si="13"/>
        <v>2084867.8100000005</v>
      </c>
      <c r="AR19" s="1279">
        <f t="shared" si="14"/>
        <v>33037470.990000006</v>
      </c>
      <c r="AS19" s="1279">
        <f t="shared" si="15"/>
        <v>0</v>
      </c>
      <c r="AT19" s="1279">
        <f t="shared" si="16"/>
        <v>35122338.800000004</v>
      </c>
      <c r="AU19" s="1280">
        <f t="shared" si="17"/>
        <v>0.81689198928508688</v>
      </c>
      <c r="AV19" s="1280">
        <f t="shared" si="18"/>
        <v>0.45241128458204422</v>
      </c>
      <c r="AW19" s="1280" t="str">
        <f t="shared" si="19"/>
        <v xml:space="preserve"> </v>
      </c>
      <c r="AX19" s="1280">
        <f t="shared" si="20"/>
        <v>0.51027598333752655</v>
      </c>
      <c r="AY19" s="1279">
        <f t="shared" si="21"/>
        <v>0</v>
      </c>
      <c r="AZ19" s="1279">
        <f t="shared" si="22"/>
        <v>0</v>
      </c>
      <c r="BA19" s="1279">
        <f t="shared" si="23"/>
        <v>0</v>
      </c>
      <c r="BB19" s="1279">
        <f t="shared" si="24"/>
        <v>0</v>
      </c>
      <c r="BC19" s="590"/>
      <c r="BP19" s="147">
        <f>+'OSEC-CY'!F38</f>
        <v>11386000</v>
      </c>
      <c r="BQ19" s="95">
        <f>+'OSEC-CY'!F39</f>
        <v>60557000</v>
      </c>
      <c r="BR19" s="95">
        <f>+'OSEC-CY'!F40</f>
        <v>0</v>
      </c>
      <c r="BT19" s="111">
        <f t="shared" si="26"/>
        <v>0</v>
      </c>
      <c r="BU19" s="111">
        <f t="shared" si="27"/>
        <v>0</v>
      </c>
      <c r="BV19" s="111">
        <f t="shared" si="28"/>
        <v>0</v>
      </c>
    </row>
    <row r="20" spans="1:74" s="95" customFormat="1">
      <c r="A20" s="95" t="s">
        <v>902</v>
      </c>
      <c r="B20" s="1283" t="s">
        <v>465</v>
      </c>
      <c r="C20" s="1279">
        <v>32521000</v>
      </c>
      <c r="D20" s="1279">
        <v>0</v>
      </c>
      <c r="E20" s="1279">
        <v>0</v>
      </c>
      <c r="F20" s="1279">
        <f t="shared" si="32"/>
        <v>32521000</v>
      </c>
      <c r="G20" s="1279"/>
      <c r="H20" s="1279"/>
      <c r="I20" s="1279"/>
      <c r="J20" s="1279">
        <f t="shared" si="25"/>
        <v>0</v>
      </c>
      <c r="K20" s="1279">
        <f t="shared" si="0"/>
        <v>32521000</v>
      </c>
      <c r="L20" s="1279">
        <f t="shared" si="1"/>
        <v>0</v>
      </c>
      <c r="M20" s="1279">
        <f t="shared" si="2"/>
        <v>0</v>
      </c>
      <c r="N20" s="1279">
        <f t="shared" si="3"/>
        <v>32521000</v>
      </c>
      <c r="O20" s="1279">
        <v>32521000</v>
      </c>
      <c r="P20" s="1279">
        <v>0</v>
      </c>
      <c r="Q20" s="1279">
        <v>0</v>
      </c>
      <c r="R20" s="1279">
        <f t="shared" si="6"/>
        <v>32521000</v>
      </c>
      <c r="S20" s="1279"/>
      <c r="T20" s="1279"/>
      <c r="U20" s="1279"/>
      <c r="V20" s="1279">
        <f t="shared" si="33"/>
        <v>0</v>
      </c>
      <c r="W20" s="1279">
        <f>-+'OSEC-CY'!H44</f>
        <v>0</v>
      </c>
      <c r="X20" s="1279">
        <f>-+'OSEC-CY'!H45</f>
        <v>0</v>
      </c>
      <c r="Y20" s="1279">
        <f>-+'OSEC-CY'!H46</f>
        <v>0</v>
      </c>
      <c r="Z20" s="1279">
        <f t="shared" si="7"/>
        <v>0</v>
      </c>
      <c r="AA20" s="1279">
        <f t="shared" si="8"/>
        <v>32521000</v>
      </c>
      <c r="AB20" s="1279">
        <f t="shared" si="9"/>
        <v>0</v>
      </c>
      <c r="AC20" s="1279">
        <f t="shared" si="10"/>
        <v>0</v>
      </c>
      <c r="AD20" s="1279">
        <f t="shared" si="11"/>
        <v>32521000</v>
      </c>
      <c r="AE20" s="1279">
        <f>+'OSEC-CY'!I44</f>
        <v>24956848.390000001</v>
      </c>
      <c r="AF20" s="1279">
        <f>+'OSEC-CY'!I45</f>
        <v>0</v>
      </c>
      <c r="AG20" s="1279">
        <f>+'OSEC-CY'!I46</f>
        <v>0</v>
      </c>
      <c r="AH20" s="1279">
        <f t="shared" si="34"/>
        <v>24956848.390000001</v>
      </c>
      <c r="AI20" s="1279"/>
      <c r="AJ20" s="1279"/>
      <c r="AK20" s="1279"/>
      <c r="AL20" s="1279">
        <f t="shared" si="35"/>
        <v>0</v>
      </c>
      <c r="AM20" s="1279">
        <f t="shared" si="29"/>
        <v>24956848.390000001</v>
      </c>
      <c r="AN20" s="1279">
        <f t="shared" si="30"/>
        <v>0</v>
      </c>
      <c r="AO20" s="1279">
        <f t="shared" si="31"/>
        <v>0</v>
      </c>
      <c r="AP20" s="1279">
        <f t="shared" si="12"/>
        <v>24956848.390000001</v>
      </c>
      <c r="AQ20" s="1279">
        <f t="shared" si="13"/>
        <v>7564151.6099999994</v>
      </c>
      <c r="AR20" s="1279">
        <f t="shared" si="14"/>
        <v>0</v>
      </c>
      <c r="AS20" s="1279">
        <f t="shared" si="15"/>
        <v>0</v>
      </c>
      <c r="AT20" s="1279">
        <f t="shared" si="16"/>
        <v>7564151.6099999994</v>
      </c>
      <c r="AU20" s="1280">
        <f t="shared" si="17"/>
        <v>0.76740716429384093</v>
      </c>
      <c r="AV20" s="1280" t="str">
        <f t="shared" si="18"/>
        <v xml:space="preserve"> </v>
      </c>
      <c r="AW20" s="1280" t="str">
        <f t="shared" si="19"/>
        <v xml:space="preserve"> </v>
      </c>
      <c r="AX20" s="1280">
        <f t="shared" si="20"/>
        <v>0.76740716429384093</v>
      </c>
      <c r="AY20" s="1279">
        <f t="shared" si="21"/>
        <v>0</v>
      </c>
      <c r="AZ20" s="1279">
        <f t="shared" si="22"/>
        <v>0</v>
      </c>
      <c r="BA20" s="1279">
        <f t="shared" si="23"/>
        <v>0</v>
      </c>
      <c r="BB20" s="1279">
        <f t="shared" si="24"/>
        <v>0</v>
      </c>
      <c r="BC20" s="590"/>
      <c r="BP20" s="147">
        <f>+'OSEC-CY'!F44</f>
        <v>32521000</v>
      </c>
      <c r="BQ20" s="95">
        <f>+'OSEC-CY'!F45</f>
        <v>0</v>
      </c>
      <c r="BR20" s="95">
        <f>+'OSEC-CY'!F46</f>
        <v>0</v>
      </c>
      <c r="BT20" s="111">
        <f t="shared" si="26"/>
        <v>0</v>
      </c>
      <c r="BU20" s="111">
        <f t="shared" si="27"/>
        <v>0</v>
      </c>
      <c r="BV20" s="111">
        <f t="shared" si="28"/>
        <v>0</v>
      </c>
    </row>
    <row r="21" spans="1:74" s="95" customFormat="1" ht="24">
      <c r="A21" s="95" t="s">
        <v>902</v>
      </c>
      <c r="B21" s="1282" t="s">
        <v>463</v>
      </c>
      <c r="C21" s="1279">
        <v>48985000</v>
      </c>
      <c r="D21" s="1279">
        <v>0</v>
      </c>
      <c r="E21" s="1279">
        <v>0</v>
      </c>
      <c r="F21" s="1279">
        <f t="shared" si="32"/>
        <v>48985000</v>
      </c>
      <c r="G21" s="1279"/>
      <c r="H21" s="1279"/>
      <c r="I21" s="1279"/>
      <c r="J21" s="1279">
        <f t="shared" si="25"/>
        <v>0</v>
      </c>
      <c r="K21" s="1279">
        <f t="shared" si="0"/>
        <v>48985000</v>
      </c>
      <c r="L21" s="1279">
        <f t="shared" si="1"/>
        <v>0</v>
      </c>
      <c r="M21" s="1279">
        <f t="shared" si="2"/>
        <v>0</v>
      </c>
      <c r="N21" s="1279">
        <f t="shared" si="3"/>
        <v>48985000</v>
      </c>
      <c r="O21" s="1279">
        <v>48985000</v>
      </c>
      <c r="P21" s="1279">
        <v>0</v>
      </c>
      <c r="Q21" s="1279">
        <v>0</v>
      </c>
      <c r="R21" s="1279">
        <f t="shared" si="6"/>
        <v>48985000</v>
      </c>
      <c r="S21" s="1279"/>
      <c r="T21" s="1279"/>
      <c r="U21" s="1279"/>
      <c r="V21" s="1279">
        <f t="shared" si="33"/>
        <v>0</v>
      </c>
      <c r="W21" s="1279">
        <f>-+'OSEC-CY'!H50</f>
        <v>0</v>
      </c>
      <c r="X21" s="1279">
        <f>-+'OSEC-CY'!H51</f>
        <v>0</v>
      </c>
      <c r="Y21" s="1279">
        <f>-+'OSEC-CY'!H52</f>
        <v>0</v>
      </c>
      <c r="Z21" s="1279">
        <f t="shared" si="7"/>
        <v>0</v>
      </c>
      <c r="AA21" s="1279">
        <f t="shared" si="8"/>
        <v>48985000</v>
      </c>
      <c r="AB21" s="1279">
        <f t="shared" si="9"/>
        <v>0</v>
      </c>
      <c r="AC21" s="1279">
        <f t="shared" si="10"/>
        <v>0</v>
      </c>
      <c r="AD21" s="1279">
        <f t="shared" si="11"/>
        <v>48985000</v>
      </c>
      <c r="AE21" s="1279">
        <f>+'OSEC-CY'!I50</f>
        <v>35409649.340000004</v>
      </c>
      <c r="AF21" s="1279">
        <f>+'OSEC-CY'!I51</f>
        <v>0</v>
      </c>
      <c r="AG21" s="1279">
        <f>+'OSEC-CY'!I52</f>
        <v>0</v>
      </c>
      <c r="AH21" s="1279">
        <f t="shared" si="34"/>
        <v>35409649.340000004</v>
      </c>
      <c r="AI21" s="1279"/>
      <c r="AJ21" s="1279"/>
      <c r="AK21" s="1279"/>
      <c r="AL21" s="1279">
        <f t="shared" si="35"/>
        <v>0</v>
      </c>
      <c r="AM21" s="1279">
        <f t="shared" si="29"/>
        <v>35409649.340000004</v>
      </c>
      <c r="AN21" s="1279">
        <f t="shared" si="30"/>
        <v>0</v>
      </c>
      <c r="AO21" s="1279">
        <f t="shared" si="31"/>
        <v>0</v>
      </c>
      <c r="AP21" s="1279">
        <f t="shared" si="12"/>
        <v>35409649.340000004</v>
      </c>
      <c r="AQ21" s="1279">
        <f t="shared" si="13"/>
        <v>13575350.659999996</v>
      </c>
      <c r="AR21" s="1279">
        <f t="shared" si="14"/>
        <v>0</v>
      </c>
      <c r="AS21" s="1279">
        <f t="shared" si="15"/>
        <v>0</v>
      </c>
      <c r="AT21" s="1279">
        <f t="shared" si="16"/>
        <v>13575350.659999996</v>
      </c>
      <c r="AU21" s="1280">
        <f t="shared" si="17"/>
        <v>0.72286719077268557</v>
      </c>
      <c r="AV21" s="1280" t="str">
        <f t="shared" si="18"/>
        <v xml:space="preserve"> </v>
      </c>
      <c r="AW21" s="1280" t="str">
        <f t="shared" si="19"/>
        <v xml:space="preserve"> </v>
      </c>
      <c r="AX21" s="1280">
        <f t="shared" si="20"/>
        <v>0.72286719077268557</v>
      </c>
      <c r="AY21" s="1279">
        <f t="shared" si="21"/>
        <v>0</v>
      </c>
      <c r="AZ21" s="1279">
        <f t="shared" si="22"/>
        <v>0</v>
      </c>
      <c r="BA21" s="1279">
        <f t="shared" si="23"/>
        <v>0</v>
      </c>
      <c r="BB21" s="1279">
        <f t="shared" si="24"/>
        <v>0</v>
      </c>
      <c r="BC21" s="590"/>
      <c r="BP21" s="147">
        <f>+'OSEC-CY'!F50</f>
        <v>48985000</v>
      </c>
      <c r="BQ21" s="95">
        <f>+'OSEC-CY'!F51</f>
        <v>0</v>
      </c>
      <c r="BR21" s="95">
        <f>+'OSEC-CY'!F52</f>
        <v>0</v>
      </c>
      <c r="BT21" s="111">
        <f t="shared" si="26"/>
        <v>0</v>
      </c>
      <c r="BU21" s="111">
        <f t="shared" si="27"/>
        <v>0</v>
      </c>
      <c r="BV21" s="111">
        <f t="shared" si="28"/>
        <v>0</v>
      </c>
    </row>
    <row r="22" spans="1:74" s="95" customFormat="1" ht="24">
      <c r="A22" s="95" t="s">
        <v>902</v>
      </c>
      <c r="B22" s="1282" t="s">
        <v>464</v>
      </c>
      <c r="C22" s="1279">
        <v>102120000</v>
      </c>
      <c r="D22" s="1279">
        <v>2697263000</v>
      </c>
      <c r="E22" s="1279">
        <v>0</v>
      </c>
      <c r="F22" s="1279">
        <f t="shared" si="32"/>
        <v>2799383000</v>
      </c>
      <c r="G22" s="1279"/>
      <c r="H22" s="1279"/>
      <c r="I22" s="1279"/>
      <c r="J22" s="1279">
        <f t="shared" si="25"/>
        <v>0</v>
      </c>
      <c r="K22" s="1279">
        <f t="shared" si="0"/>
        <v>102120000</v>
      </c>
      <c r="L22" s="1279">
        <f t="shared" si="1"/>
        <v>2697263000</v>
      </c>
      <c r="M22" s="1279">
        <f t="shared" si="2"/>
        <v>0</v>
      </c>
      <c r="N22" s="1279">
        <f t="shared" si="3"/>
        <v>2799383000</v>
      </c>
      <c r="O22" s="1279">
        <v>102120000</v>
      </c>
      <c r="P22" s="1279">
        <v>2697263000</v>
      </c>
      <c r="Q22" s="1279">
        <v>0</v>
      </c>
      <c r="R22" s="1279">
        <f t="shared" si="6"/>
        <v>2799383000</v>
      </c>
      <c r="S22" s="1279"/>
      <c r="T22" s="1279"/>
      <c r="U22" s="1279"/>
      <c r="V22" s="1279">
        <f t="shared" si="33"/>
        <v>0</v>
      </c>
      <c r="W22" s="1279">
        <f>-+'OSEC-CY'!H56</f>
        <v>0</v>
      </c>
      <c r="X22" s="1279">
        <f>-+'OSEC-CY'!H57</f>
        <v>-2452233463.0300002</v>
      </c>
      <c r="Y22" s="1279">
        <f>-+'OSEC-CY'!H58</f>
        <v>0</v>
      </c>
      <c r="Z22" s="1279">
        <f t="shared" si="7"/>
        <v>-2452233463.0300002</v>
      </c>
      <c r="AA22" s="1279">
        <f t="shared" si="8"/>
        <v>102120000</v>
      </c>
      <c r="AB22" s="1279">
        <f t="shared" si="9"/>
        <v>245029536.96999979</v>
      </c>
      <c r="AC22" s="1279">
        <f t="shared" si="10"/>
        <v>0</v>
      </c>
      <c r="AD22" s="1279">
        <f t="shared" si="11"/>
        <v>347149536.96999979</v>
      </c>
      <c r="AE22" s="1279">
        <f>+'OSEC-CY'!I56</f>
        <v>57201322.129999995</v>
      </c>
      <c r="AF22" s="1279">
        <f>+'OSEC-CY'!I57</f>
        <v>211288038.40999937</v>
      </c>
      <c r="AG22" s="1279">
        <f>+'OSEC-CY'!I58</f>
        <v>0</v>
      </c>
      <c r="AH22" s="1279">
        <f t="shared" si="34"/>
        <v>268489360.53999937</v>
      </c>
      <c r="AI22" s="1279"/>
      <c r="AJ22" s="1279"/>
      <c r="AK22" s="1279"/>
      <c r="AL22" s="1279">
        <f t="shared" si="35"/>
        <v>0</v>
      </c>
      <c r="AM22" s="1279">
        <f t="shared" si="29"/>
        <v>57201322.129999995</v>
      </c>
      <c r="AN22" s="1279">
        <f t="shared" si="30"/>
        <v>211288038.40999937</v>
      </c>
      <c r="AO22" s="1279">
        <f t="shared" si="31"/>
        <v>0</v>
      </c>
      <c r="AP22" s="1279">
        <f t="shared" si="12"/>
        <v>268489360.53999937</v>
      </c>
      <c r="AQ22" s="1279">
        <f t="shared" si="13"/>
        <v>44918677.870000005</v>
      </c>
      <c r="AR22" s="1279">
        <f t="shared" si="14"/>
        <v>33741498.56000042</v>
      </c>
      <c r="AS22" s="1279">
        <f t="shared" si="15"/>
        <v>0</v>
      </c>
      <c r="AT22" s="1279">
        <f t="shared" si="16"/>
        <v>78660176.430000424</v>
      </c>
      <c r="AU22" s="1280">
        <f t="shared" si="17"/>
        <v>0.56013828956130041</v>
      </c>
      <c r="AV22" s="1280">
        <f t="shared" si="18"/>
        <v>0.86229619915524081</v>
      </c>
      <c r="AW22" s="1280" t="str">
        <f t="shared" si="19"/>
        <v xml:space="preserve"> </v>
      </c>
      <c r="AX22" s="1280">
        <f t="shared" si="20"/>
        <v>0.77341125926145726</v>
      </c>
      <c r="AY22" s="1279">
        <f t="shared" si="21"/>
        <v>0</v>
      </c>
      <c r="AZ22" s="1279">
        <f t="shared" si="22"/>
        <v>0</v>
      </c>
      <c r="BA22" s="1279">
        <f t="shared" si="23"/>
        <v>0</v>
      </c>
      <c r="BB22" s="1279">
        <f t="shared" si="24"/>
        <v>0</v>
      </c>
      <c r="BC22" s="590"/>
      <c r="BP22" s="147">
        <f>+'OSEC-CY'!F56</f>
        <v>102120000</v>
      </c>
      <c r="BQ22" s="95">
        <f>+'OSEC-CY'!F57</f>
        <v>2697263000</v>
      </c>
      <c r="BR22" s="95">
        <f>+'OSEC-CY'!F58</f>
        <v>0</v>
      </c>
      <c r="BT22" s="111">
        <f t="shared" si="26"/>
        <v>0</v>
      </c>
      <c r="BU22" s="111">
        <f t="shared" si="27"/>
        <v>0</v>
      </c>
      <c r="BV22" s="111">
        <f t="shared" si="28"/>
        <v>0</v>
      </c>
    </row>
    <row r="23" spans="1:74" s="95" customFormat="1" ht="36">
      <c r="A23" s="95" t="s">
        <v>897</v>
      </c>
      <c r="B23" s="1278" t="s">
        <v>469</v>
      </c>
      <c r="C23" s="1279">
        <v>17615000</v>
      </c>
      <c r="D23" s="1279">
        <v>15371000</v>
      </c>
      <c r="E23" s="1279">
        <v>0</v>
      </c>
      <c r="F23" s="1279">
        <f t="shared" si="32"/>
        <v>32986000</v>
      </c>
      <c r="G23" s="1279"/>
      <c r="H23" s="1279"/>
      <c r="I23" s="1279"/>
      <c r="J23" s="1279">
        <f t="shared" si="25"/>
        <v>0</v>
      </c>
      <c r="K23" s="1279">
        <f t="shared" si="0"/>
        <v>17615000</v>
      </c>
      <c r="L23" s="1279">
        <f t="shared" si="1"/>
        <v>15371000</v>
      </c>
      <c r="M23" s="1279">
        <f t="shared" si="2"/>
        <v>0</v>
      </c>
      <c r="N23" s="1279">
        <f t="shared" si="3"/>
        <v>32986000</v>
      </c>
      <c r="O23" s="1279">
        <v>17615000</v>
      </c>
      <c r="P23" s="1279">
        <v>15371000</v>
      </c>
      <c r="Q23" s="1279">
        <v>0</v>
      </c>
      <c r="R23" s="1279">
        <f t="shared" si="6"/>
        <v>32986000</v>
      </c>
      <c r="S23" s="1279"/>
      <c r="T23" s="1279"/>
      <c r="U23" s="1279"/>
      <c r="V23" s="1279">
        <f t="shared" si="33"/>
        <v>0</v>
      </c>
      <c r="W23" s="1279">
        <f>-+'OSEC-CY'!H62</f>
        <v>0</v>
      </c>
      <c r="X23" s="1279">
        <f>-+'OSEC-CY'!H63</f>
        <v>0</v>
      </c>
      <c r="Y23" s="1279">
        <f>-+'OSEC-CY'!H64</f>
        <v>0</v>
      </c>
      <c r="Z23" s="1279">
        <f t="shared" si="7"/>
        <v>0</v>
      </c>
      <c r="AA23" s="1279">
        <f t="shared" si="8"/>
        <v>17615000</v>
      </c>
      <c r="AB23" s="1279">
        <f t="shared" si="9"/>
        <v>15371000</v>
      </c>
      <c r="AC23" s="1279">
        <f t="shared" si="10"/>
        <v>0</v>
      </c>
      <c r="AD23" s="1279">
        <f t="shared" si="11"/>
        <v>32986000</v>
      </c>
      <c r="AE23" s="1279">
        <f>+'OSEC-CY'!I62</f>
        <v>13724706.930000002</v>
      </c>
      <c r="AF23" s="1279">
        <f>+'OSEC-CY'!I63</f>
        <v>10930037.849999998</v>
      </c>
      <c r="AG23" s="1279">
        <f>+'OSEC-CY'!I64</f>
        <v>0</v>
      </c>
      <c r="AH23" s="1279">
        <f t="shared" si="34"/>
        <v>24654744.780000001</v>
      </c>
      <c r="AI23" s="1279"/>
      <c r="AJ23" s="1279"/>
      <c r="AK23" s="1279"/>
      <c r="AL23" s="1279">
        <f t="shared" si="35"/>
        <v>0</v>
      </c>
      <c r="AM23" s="1279">
        <f t="shared" ref="AM23:AM30" si="36">+AE23+AI23</f>
        <v>13724706.930000002</v>
      </c>
      <c r="AN23" s="1279">
        <f t="shared" ref="AN23:AN30" si="37">+AF23+AJ23</f>
        <v>10930037.849999998</v>
      </c>
      <c r="AO23" s="1279">
        <f t="shared" ref="AO23:AO30" si="38">+AG23+AK23</f>
        <v>0</v>
      </c>
      <c r="AP23" s="1279">
        <f t="shared" si="12"/>
        <v>24654744.780000001</v>
      </c>
      <c r="AQ23" s="1279">
        <f t="shared" si="13"/>
        <v>3890293.0699999984</v>
      </c>
      <c r="AR23" s="1279">
        <f t="shared" si="14"/>
        <v>4440962.1500000022</v>
      </c>
      <c r="AS23" s="1279">
        <f t="shared" si="15"/>
        <v>0</v>
      </c>
      <c r="AT23" s="1279">
        <f t="shared" si="16"/>
        <v>8331255.2200000007</v>
      </c>
      <c r="AU23" s="1280">
        <f t="shared" si="17"/>
        <v>0.77914884643769522</v>
      </c>
      <c r="AV23" s="1280">
        <f t="shared" si="18"/>
        <v>0.7110817676143385</v>
      </c>
      <c r="AW23" s="1280" t="str">
        <f t="shared" si="19"/>
        <v xml:space="preserve"> </v>
      </c>
      <c r="AX23" s="1280">
        <f t="shared" si="20"/>
        <v>0.74743056993876189</v>
      </c>
      <c r="AY23" s="1279">
        <f t="shared" si="21"/>
        <v>0</v>
      </c>
      <c r="AZ23" s="1279">
        <f t="shared" si="22"/>
        <v>0</v>
      </c>
      <c r="BA23" s="1279">
        <f t="shared" si="23"/>
        <v>0</v>
      </c>
      <c r="BB23" s="1279">
        <f t="shared" si="24"/>
        <v>0</v>
      </c>
      <c r="BC23" s="590"/>
      <c r="BP23" s="147">
        <f>+'OSEC-CY'!F62</f>
        <v>17615000</v>
      </c>
      <c r="BQ23" s="95">
        <f>+'OSEC-CY'!F63</f>
        <v>15371000</v>
      </c>
      <c r="BR23" s="95">
        <f>+'OSEC-CY'!F64</f>
        <v>0</v>
      </c>
      <c r="BT23" s="111">
        <f t="shared" si="26"/>
        <v>0</v>
      </c>
      <c r="BU23" s="111">
        <f t="shared" si="27"/>
        <v>0</v>
      </c>
      <c r="BV23" s="111">
        <f t="shared" si="28"/>
        <v>0</v>
      </c>
    </row>
    <row r="24" spans="1:74" s="95" customFormat="1">
      <c r="A24" s="95" t="s">
        <v>904</v>
      </c>
      <c r="B24" s="1281" t="s">
        <v>470</v>
      </c>
      <c r="C24" s="1279">
        <v>0</v>
      </c>
      <c r="D24" s="1279">
        <v>0</v>
      </c>
      <c r="E24" s="1279">
        <v>0</v>
      </c>
      <c r="F24" s="1279">
        <f t="shared" si="32"/>
        <v>0</v>
      </c>
      <c r="G24" s="1279"/>
      <c r="H24" s="1279"/>
      <c r="I24" s="1279"/>
      <c r="J24" s="1279">
        <f t="shared" si="25"/>
        <v>0</v>
      </c>
      <c r="K24" s="1279">
        <f t="shared" si="0"/>
        <v>0</v>
      </c>
      <c r="L24" s="1279">
        <f t="shared" si="1"/>
        <v>0</v>
      </c>
      <c r="M24" s="1279">
        <f t="shared" si="2"/>
        <v>0</v>
      </c>
      <c r="N24" s="1279">
        <f t="shared" si="3"/>
        <v>0</v>
      </c>
      <c r="O24" s="1279">
        <v>0</v>
      </c>
      <c r="P24" s="1279">
        <v>0</v>
      </c>
      <c r="Q24" s="1279">
        <v>0</v>
      </c>
      <c r="R24" s="1279">
        <f t="shared" si="6"/>
        <v>0</v>
      </c>
      <c r="S24" s="1279"/>
      <c r="T24" s="1279"/>
      <c r="U24" s="1279"/>
      <c r="V24" s="1279">
        <f t="shared" si="33"/>
        <v>0</v>
      </c>
      <c r="W24" s="1279"/>
      <c r="X24" s="1279"/>
      <c r="Y24" s="1279"/>
      <c r="Z24" s="1279">
        <f t="shared" si="7"/>
        <v>0</v>
      </c>
      <c r="AA24" s="1279">
        <f t="shared" si="8"/>
        <v>0</v>
      </c>
      <c r="AB24" s="1279">
        <f t="shared" si="9"/>
        <v>0</v>
      </c>
      <c r="AC24" s="1279">
        <f t="shared" si="10"/>
        <v>0</v>
      </c>
      <c r="AD24" s="1279">
        <f t="shared" si="11"/>
        <v>0</v>
      </c>
      <c r="AE24" s="1279"/>
      <c r="AF24" s="1279"/>
      <c r="AG24" s="1279"/>
      <c r="AH24" s="1279">
        <f t="shared" si="34"/>
        <v>0</v>
      </c>
      <c r="AI24" s="1279"/>
      <c r="AJ24" s="1279"/>
      <c r="AK24" s="1279"/>
      <c r="AL24" s="1279">
        <f t="shared" si="35"/>
        <v>0</v>
      </c>
      <c r="AM24" s="1279">
        <f t="shared" si="36"/>
        <v>0</v>
      </c>
      <c r="AN24" s="1279">
        <f t="shared" si="37"/>
        <v>0</v>
      </c>
      <c r="AO24" s="1279">
        <f t="shared" si="38"/>
        <v>0</v>
      </c>
      <c r="AP24" s="1279">
        <f t="shared" si="12"/>
        <v>0</v>
      </c>
      <c r="AQ24" s="1279">
        <f t="shared" si="13"/>
        <v>0</v>
      </c>
      <c r="AR24" s="1279">
        <f t="shared" si="14"/>
        <v>0</v>
      </c>
      <c r="AS24" s="1279">
        <f t="shared" si="15"/>
        <v>0</v>
      </c>
      <c r="AT24" s="1279">
        <f t="shared" si="16"/>
        <v>0</v>
      </c>
      <c r="AU24" s="1280" t="str">
        <f t="shared" si="17"/>
        <v xml:space="preserve"> </v>
      </c>
      <c r="AV24" s="1280" t="str">
        <f t="shared" si="18"/>
        <v xml:space="preserve"> </v>
      </c>
      <c r="AW24" s="1280" t="str">
        <f t="shared" si="19"/>
        <v xml:space="preserve"> </v>
      </c>
      <c r="AX24" s="1280" t="str">
        <f t="shared" si="20"/>
        <v xml:space="preserve"> </v>
      </c>
      <c r="AY24" s="1279">
        <f t="shared" si="21"/>
        <v>0</v>
      </c>
      <c r="AZ24" s="1279">
        <f t="shared" si="22"/>
        <v>0</v>
      </c>
      <c r="BA24" s="1279">
        <f t="shared" si="23"/>
        <v>0</v>
      </c>
      <c r="BB24" s="1279">
        <f t="shared" si="24"/>
        <v>0</v>
      </c>
      <c r="BC24" s="590"/>
      <c r="BP24" s="147"/>
      <c r="BT24" s="111">
        <f t="shared" si="26"/>
        <v>0</v>
      </c>
      <c r="BU24" s="111">
        <f t="shared" si="27"/>
        <v>0</v>
      </c>
      <c r="BV24" s="111">
        <f t="shared" si="28"/>
        <v>0</v>
      </c>
    </row>
    <row r="25" spans="1:74" s="95" customFormat="1">
      <c r="A25" s="95" t="s">
        <v>904</v>
      </c>
      <c r="B25" s="1283" t="s">
        <v>471</v>
      </c>
      <c r="C25" s="1279">
        <v>10569000</v>
      </c>
      <c r="D25" s="1279">
        <v>17035000</v>
      </c>
      <c r="E25" s="1279">
        <v>0</v>
      </c>
      <c r="F25" s="1279">
        <f t="shared" si="32"/>
        <v>27604000</v>
      </c>
      <c r="G25" s="1279"/>
      <c r="H25" s="1279"/>
      <c r="I25" s="1279"/>
      <c r="J25" s="1279">
        <f t="shared" si="25"/>
        <v>0</v>
      </c>
      <c r="K25" s="1279">
        <f t="shared" si="0"/>
        <v>10569000</v>
      </c>
      <c r="L25" s="1279">
        <f t="shared" si="1"/>
        <v>17035000</v>
      </c>
      <c r="M25" s="1279">
        <f t="shared" si="2"/>
        <v>0</v>
      </c>
      <c r="N25" s="1279">
        <f t="shared" si="3"/>
        <v>27604000</v>
      </c>
      <c r="O25" s="1279">
        <v>10569000</v>
      </c>
      <c r="P25" s="1279">
        <v>17035000</v>
      </c>
      <c r="Q25" s="1279">
        <v>0</v>
      </c>
      <c r="R25" s="1279">
        <f t="shared" si="6"/>
        <v>27604000</v>
      </c>
      <c r="S25" s="1279"/>
      <c r="T25" s="1279"/>
      <c r="U25" s="1279"/>
      <c r="V25" s="1279">
        <f t="shared" si="33"/>
        <v>0</v>
      </c>
      <c r="W25" s="1279">
        <f>-+'OSEC-CY'!H68</f>
        <v>0</v>
      </c>
      <c r="X25" s="1279">
        <f>-+'OSEC-CY'!H69</f>
        <v>-2350000</v>
      </c>
      <c r="Y25" s="1279">
        <f>-+'OSEC-CY'!H70</f>
        <v>0</v>
      </c>
      <c r="Z25" s="1279">
        <f t="shared" si="7"/>
        <v>-2350000</v>
      </c>
      <c r="AA25" s="1279">
        <f t="shared" si="8"/>
        <v>10569000</v>
      </c>
      <c r="AB25" s="1279">
        <f t="shared" si="9"/>
        <v>14685000</v>
      </c>
      <c r="AC25" s="1279">
        <f t="shared" si="10"/>
        <v>0</v>
      </c>
      <c r="AD25" s="1279">
        <f t="shared" si="11"/>
        <v>25254000</v>
      </c>
      <c r="AE25" s="1279">
        <f>+'OSEC-CY'!I68</f>
        <v>10516328.43</v>
      </c>
      <c r="AF25" s="1279">
        <f>+'OSEC-CY'!I69</f>
        <v>7973134.4600000009</v>
      </c>
      <c r="AG25" s="1279">
        <f>+'OSEC-CY'!I70</f>
        <v>0</v>
      </c>
      <c r="AH25" s="1279">
        <f t="shared" si="34"/>
        <v>18489462.890000001</v>
      </c>
      <c r="AI25" s="1279"/>
      <c r="AJ25" s="1279"/>
      <c r="AK25" s="1279"/>
      <c r="AL25" s="1279">
        <f t="shared" si="35"/>
        <v>0</v>
      </c>
      <c r="AM25" s="1279">
        <f t="shared" si="36"/>
        <v>10516328.43</v>
      </c>
      <c r="AN25" s="1279">
        <f t="shared" si="37"/>
        <v>7973134.4600000009</v>
      </c>
      <c r="AO25" s="1279">
        <f t="shared" si="38"/>
        <v>0</v>
      </c>
      <c r="AP25" s="1279">
        <f t="shared" si="12"/>
        <v>18489462.890000001</v>
      </c>
      <c r="AQ25" s="1279">
        <f t="shared" si="13"/>
        <v>52671.570000000298</v>
      </c>
      <c r="AR25" s="1279">
        <f t="shared" si="14"/>
        <v>6711865.5399999991</v>
      </c>
      <c r="AS25" s="1279">
        <f t="shared" si="15"/>
        <v>0</v>
      </c>
      <c r="AT25" s="1279">
        <f t="shared" si="16"/>
        <v>6764537.1099999994</v>
      </c>
      <c r="AU25" s="1280">
        <f t="shared" si="17"/>
        <v>0.99501640931024693</v>
      </c>
      <c r="AV25" s="1280">
        <f t="shared" si="18"/>
        <v>0.54294412393598912</v>
      </c>
      <c r="AW25" s="1280" t="str">
        <f t="shared" si="19"/>
        <v xml:space="preserve"> </v>
      </c>
      <c r="AX25" s="1280">
        <f t="shared" si="20"/>
        <v>0.7321399734695494</v>
      </c>
      <c r="AY25" s="1279">
        <f t="shared" si="21"/>
        <v>0</v>
      </c>
      <c r="AZ25" s="1279">
        <f t="shared" si="22"/>
        <v>0</v>
      </c>
      <c r="BA25" s="1279">
        <f t="shared" si="23"/>
        <v>0</v>
      </c>
      <c r="BB25" s="1279">
        <f t="shared" si="24"/>
        <v>0</v>
      </c>
      <c r="BC25" s="590"/>
      <c r="BP25" s="147">
        <f>+'OSEC-CY'!F68</f>
        <v>10569000</v>
      </c>
      <c r="BQ25" s="95">
        <f>+'OSEC-CY'!F69</f>
        <v>17035000</v>
      </c>
      <c r="BR25" s="95">
        <f>+'OSEC-CY'!F70</f>
        <v>0</v>
      </c>
      <c r="BT25" s="111">
        <f t="shared" si="26"/>
        <v>0</v>
      </c>
      <c r="BU25" s="111">
        <f t="shared" si="27"/>
        <v>0</v>
      </c>
      <c r="BV25" s="111">
        <f t="shared" si="28"/>
        <v>0</v>
      </c>
    </row>
    <row r="26" spans="1:74" s="95" customFormat="1" ht="24">
      <c r="A26" s="95" t="s">
        <v>904</v>
      </c>
      <c r="B26" s="1282" t="s">
        <v>472</v>
      </c>
      <c r="C26" s="1279">
        <v>0</v>
      </c>
      <c r="D26" s="1279">
        <v>24500000</v>
      </c>
      <c r="E26" s="1279">
        <v>0</v>
      </c>
      <c r="F26" s="1279">
        <f t="shared" si="32"/>
        <v>24500000</v>
      </c>
      <c r="G26" s="1279"/>
      <c r="H26" s="1279"/>
      <c r="I26" s="1279"/>
      <c r="J26" s="1279">
        <f t="shared" si="25"/>
        <v>0</v>
      </c>
      <c r="K26" s="1279">
        <f t="shared" si="0"/>
        <v>0</v>
      </c>
      <c r="L26" s="1279">
        <f t="shared" si="1"/>
        <v>24500000</v>
      </c>
      <c r="M26" s="1279">
        <f t="shared" si="2"/>
        <v>0</v>
      </c>
      <c r="N26" s="1279">
        <f t="shared" si="3"/>
        <v>24500000</v>
      </c>
      <c r="O26" s="1279">
        <v>0</v>
      </c>
      <c r="P26" s="1279">
        <v>24500000</v>
      </c>
      <c r="Q26" s="1279">
        <v>0</v>
      </c>
      <c r="R26" s="1279">
        <f t="shared" si="6"/>
        <v>24500000</v>
      </c>
      <c r="S26" s="1279"/>
      <c r="T26" s="1279"/>
      <c r="U26" s="1279"/>
      <c r="V26" s="1279">
        <f t="shared" si="33"/>
        <v>0</v>
      </c>
      <c r="W26" s="1279">
        <f>-+'OSEC-CY'!H74</f>
        <v>0</v>
      </c>
      <c r="X26" s="1279">
        <f>-+'OSEC-CY'!H75</f>
        <v>-20573099</v>
      </c>
      <c r="Y26" s="1279">
        <f>-+'OSEC-CY'!H76</f>
        <v>0</v>
      </c>
      <c r="Z26" s="1279">
        <f t="shared" si="7"/>
        <v>-20573099</v>
      </c>
      <c r="AA26" s="1279">
        <f t="shared" si="8"/>
        <v>0</v>
      </c>
      <c r="AB26" s="1279">
        <f t="shared" si="9"/>
        <v>3926901</v>
      </c>
      <c r="AC26" s="1279">
        <f t="shared" si="10"/>
        <v>0</v>
      </c>
      <c r="AD26" s="1279">
        <f t="shared" si="11"/>
        <v>3926901</v>
      </c>
      <c r="AE26" s="1279">
        <f>+'OSEC-CY'!I74</f>
        <v>0</v>
      </c>
      <c r="AF26" s="1279">
        <f>+'OSEC-CY'!I75</f>
        <v>2642936.3599999994</v>
      </c>
      <c r="AG26" s="1279">
        <f>+'OSEC-CY'!I76</f>
        <v>0</v>
      </c>
      <c r="AH26" s="1279">
        <f t="shared" si="34"/>
        <v>2642936.3599999994</v>
      </c>
      <c r="AI26" s="1279"/>
      <c r="AJ26" s="1279"/>
      <c r="AK26" s="1279"/>
      <c r="AL26" s="1279">
        <f t="shared" si="35"/>
        <v>0</v>
      </c>
      <c r="AM26" s="1279">
        <f t="shared" si="36"/>
        <v>0</v>
      </c>
      <c r="AN26" s="1279">
        <f t="shared" si="37"/>
        <v>2642936.3599999994</v>
      </c>
      <c r="AO26" s="1279">
        <f t="shared" si="38"/>
        <v>0</v>
      </c>
      <c r="AP26" s="1279">
        <f t="shared" si="12"/>
        <v>2642936.3599999994</v>
      </c>
      <c r="AQ26" s="1279">
        <f t="shared" si="13"/>
        <v>0</v>
      </c>
      <c r="AR26" s="1279">
        <f t="shared" si="14"/>
        <v>1283964.6400000006</v>
      </c>
      <c r="AS26" s="1279">
        <f t="shared" si="15"/>
        <v>0</v>
      </c>
      <c r="AT26" s="1279">
        <f t="shared" si="16"/>
        <v>1283964.6400000006</v>
      </c>
      <c r="AU26" s="1280" t="str">
        <f t="shared" si="17"/>
        <v xml:space="preserve"> </v>
      </c>
      <c r="AV26" s="1280">
        <f t="shared" si="18"/>
        <v>0.67303361098229864</v>
      </c>
      <c r="AW26" s="1280" t="str">
        <f t="shared" si="19"/>
        <v xml:space="preserve"> </v>
      </c>
      <c r="AX26" s="1280">
        <f t="shared" si="20"/>
        <v>0.67303361098229864</v>
      </c>
      <c r="AY26" s="1279">
        <f t="shared" si="21"/>
        <v>0</v>
      </c>
      <c r="AZ26" s="1279">
        <f t="shared" si="22"/>
        <v>0</v>
      </c>
      <c r="BA26" s="1279">
        <f t="shared" si="23"/>
        <v>0</v>
      </c>
      <c r="BB26" s="1279">
        <f t="shared" si="24"/>
        <v>0</v>
      </c>
      <c r="BC26" s="590"/>
      <c r="BP26" s="147">
        <f>+'OSEC-CY'!F74</f>
        <v>0</v>
      </c>
      <c r="BQ26" s="95">
        <f>+'OSEC-CY'!F75</f>
        <v>24500000</v>
      </c>
      <c r="BR26" s="95">
        <f>+'OSEC-CY'!F76</f>
        <v>0</v>
      </c>
      <c r="BT26" s="111">
        <f t="shared" si="26"/>
        <v>0</v>
      </c>
      <c r="BU26" s="111">
        <f t="shared" si="27"/>
        <v>0</v>
      </c>
      <c r="BV26" s="111">
        <f t="shared" si="28"/>
        <v>0</v>
      </c>
    </row>
    <row r="27" spans="1:74" s="95" customFormat="1">
      <c r="B27" s="1281" t="s">
        <v>473</v>
      </c>
      <c r="C27" s="1279">
        <v>0</v>
      </c>
      <c r="D27" s="1279">
        <v>0</v>
      </c>
      <c r="E27" s="1279">
        <v>0</v>
      </c>
      <c r="F27" s="1279">
        <f t="shared" si="32"/>
        <v>0</v>
      </c>
      <c r="G27" s="1279"/>
      <c r="H27" s="1279"/>
      <c r="I27" s="1279"/>
      <c r="J27" s="1279">
        <f t="shared" si="25"/>
        <v>0</v>
      </c>
      <c r="K27" s="1279">
        <f t="shared" si="0"/>
        <v>0</v>
      </c>
      <c r="L27" s="1279">
        <f t="shared" si="1"/>
        <v>0</v>
      </c>
      <c r="M27" s="1279">
        <f t="shared" si="2"/>
        <v>0</v>
      </c>
      <c r="N27" s="1279">
        <f t="shared" si="3"/>
        <v>0</v>
      </c>
      <c r="O27" s="1279">
        <v>0</v>
      </c>
      <c r="P27" s="1279">
        <v>0</v>
      </c>
      <c r="Q27" s="1279">
        <v>0</v>
      </c>
      <c r="R27" s="1279">
        <f t="shared" si="6"/>
        <v>0</v>
      </c>
      <c r="S27" s="1279"/>
      <c r="T27" s="1279"/>
      <c r="U27" s="1279"/>
      <c r="V27" s="1279">
        <f t="shared" si="33"/>
        <v>0</v>
      </c>
      <c r="W27" s="1279"/>
      <c r="X27" s="1279"/>
      <c r="Y27" s="1279"/>
      <c r="Z27" s="1279">
        <f t="shared" si="7"/>
        <v>0</v>
      </c>
      <c r="AA27" s="1279">
        <f t="shared" si="8"/>
        <v>0</v>
      </c>
      <c r="AB27" s="1279">
        <f t="shared" si="9"/>
        <v>0</v>
      </c>
      <c r="AC27" s="1279">
        <f t="shared" si="10"/>
        <v>0</v>
      </c>
      <c r="AD27" s="1279">
        <f t="shared" si="11"/>
        <v>0</v>
      </c>
      <c r="AE27" s="1279"/>
      <c r="AF27" s="1279"/>
      <c r="AG27" s="1279"/>
      <c r="AH27" s="1279">
        <f t="shared" si="34"/>
        <v>0</v>
      </c>
      <c r="AI27" s="1279"/>
      <c r="AJ27" s="1279"/>
      <c r="AK27" s="1279"/>
      <c r="AL27" s="1279">
        <f t="shared" si="35"/>
        <v>0</v>
      </c>
      <c r="AM27" s="1279">
        <f t="shared" si="36"/>
        <v>0</v>
      </c>
      <c r="AN27" s="1279">
        <f t="shared" si="37"/>
        <v>0</v>
      </c>
      <c r="AO27" s="1279">
        <f t="shared" si="38"/>
        <v>0</v>
      </c>
      <c r="AP27" s="1279">
        <f t="shared" si="12"/>
        <v>0</v>
      </c>
      <c r="AQ27" s="1279">
        <f t="shared" si="13"/>
        <v>0</v>
      </c>
      <c r="AR27" s="1279">
        <f t="shared" si="14"/>
        <v>0</v>
      </c>
      <c r="AS27" s="1279">
        <f t="shared" si="15"/>
        <v>0</v>
      </c>
      <c r="AT27" s="1279">
        <f t="shared" si="16"/>
        <v>0</v>
      </c>
      <c r="AU27" s="1280" t="str">
        <f t="shared" si="17"/>
        <v xml:space="preserve"> </v>
      </c>
      <c r="AV27" s="1280" t="str">
        <f t="shared" si="18"/>
        <v xml:space="preserve"> </v>
      </c>
      <c r="AW27" s="1280" t="str">
        <f t="shared" si="19"/>
        <v xml:space="preserve"> </v>
      </c>
      <c r="AX27" s="1280" t="str">
        <f t="shared" si="20"/>
        <v xml:space="preserve"> </v>
      </c>
      <c r="AY27" s="1279">
        <f t="shared" si="21"/>
        <v>0</v>
      </c>
      <c r="AZ27" s="1279">
        <f t="shared" si="22"/>
        <v>0</v>
      </c>
      <c r="BA27" s="1279">
        <f t="shared" si="23"/>
        <v>0</v>
      </c>
      <c r="BB27" s="1279">
        <f t="shared" si="24"/>
        <v>0</v>
      </c>
      <c r="BC27" s="590"/>
      <c r="BP27" s="147"/>
      <c r="BT27" s="111">
        <f t="shared" si="26"/>
        <v>0</v>
      </c>
      <c r="BU27" s="111">
        <f t="shared" si="27"/>
        <v>0</v>
      </c>
      <c r="BV27" s="111">
        <f t="shared" si="28"/>
        <v>0</v>
      </c>
    </row>
    <row r="28" spans="1:74" s="95" customFormat="1" ht="60">
      <c r="B28" s="1284" t="s">
        <v>474</v>
      </c>
      <c r="C28" s="1279"/>
      <c r="D28" s="1285"/>
      <c r="E28" s="1279"/>
      <c r="F28" s="1279">
        <f t="shared" si="32"/>
        <v>0</v>
      </c>
      <c r="G28" s="1279"/>
      <c r="H28" s="1279"/>
      <c r="I28" s="1279"/>
      <c r="J28" s="1279">
        <f t="shared" si="25"/>
        <v>0</v>
      </c>
      <c r="K28" s="1279">
        <f t="shared" si="0"/>
        <v>0</v>
      </c>
      <c r="L28" s="1279">
        <f t="shared" si="1"/>
        <v>0</v>
      </c>
      <c r="M28" s="1279">
        <f t="shared" si="2"/>
        <v>0</v>
      </c>
      <c r="N28" s="1279">
        <f t="shared" si="3"/>
        <v>0</v>
      </c>
      <c r="O28" s="1279"/>
      <c r="P28" s="1279"/>
      <c r="Q28" s="1279"/>
      <c r="R28" s="1279">
        <f t="shared" si="6"/>
        <v>0</v>
      </c>
      <c r="S28" s="1279"/>
      <c r="T28" s="1279"/>
      <c r="U28" s="1279"/>
      <c r="V28" s="1279">
        <f t="shared" si="33"/>
        <v>0</v>
      </c>
      <c r="W28" s="1279"/>
      <c r="X28" s="1279"/>
      <c r="Y28" s="1279"/>
      <c r="Z28" s="1279">
        <f t="shared" si="7"/>
        <v>0</v>
      </c>
      <c r="AA28" s="1279">
        <f t="shared" si="8"/>
        <v>0</v>
      </c>
      <c r="AB28" s="1279">
        <f t="shared" si="9"/>
        <v>0</v>
      </c>
      <c r="AC28" s="1279">
        <f t="shared" si="10"/>
        <v>0</v>
      </c>
      <c r="AD28" s="1279">
        <f t="shared" si="11"/>
        <v>0</v>
      </c>
      <c r="AE28" s="1279"/>
      <c r="AF28" s="1279"/>
      <c r="AG28" s="1279"/>
      <c r="AH28" s="1279">
        <f t="shared" si="34"/>
        <v>0</v>
      </c>
      <c r="AI28" s="1279"/>
      <c r="AJ28" s="1279"/>
      <c r="AK28" s="1279"/>
      <c r="AL28" s="1279">
        <f t="shared" si="35"/>
        <v>0</v>
      </c>
      <c r="AM28" s="1279">
        <f t="shared" si="36"/>
        <v>0</v>
      </c>
      <c r="AN28" s="1279">
        <f t="shared" si="37"/>
        <v>0</v>
      </c>
      <c r="AO28" s="1279">
        <f t="shared" si="38"/>
        <v>0</v>
      </c>
      <c r="AP28" s="1279">
        <f t="shared" si="12"/>
        <v>0</v>
      </c>
      <c r="AQ28" s="1279">
        <f t="shared" si="13"/>
        <v>0</v>
      </c>
      <c r="AR28" s="1279">
        <f t="shared" si="14"/>
        <v>0</v>
      </c>
      <c r="AS28" s="1279">
        <f t="shared" si="15"/>
        <v>0</v>
      </c>
      <c r="AT28" s="1279">
        <f t="shared" si="16"/>
        <v>0</v>
      </c>
      <c r="AU28" s="1280" t="str">
        <f t="shared" si="17"/>
        <v xml:space="preserve"> </v>
      </c>
      <c r="AV28" s="1280" t="str">
        <f t="shared" si="18"/>
        <v xml:space="preserve"> </v>
      </c>
      <c r="AW28" s="1280" t="str">
        <f t="shared" si="19"/>
        <v xml:space="preserve"> </v>
      </c>
      <c r="AX28" s="1280" t="str">
        <f t="shared" si="20"/>
        <v xml:space="preserve"> </v>
      </c>
      <c r="AY28" s="1279">
        <f t="shared" si="21"/>
        <v>0</v>
      </c>
      <c r="AZ28" s="1279">
        <f t="shared" si="22"/>
        <v>0</v>
      </c>
      <c r="BA28" s="1279">
        <f t="shared" si="23"/>
        <v>0</v>
      </c>
      <c r="BB28" s="1279">
        <f t="shared" si="24"/>
        <v>0</v>
      </c>
      <c r="BC28" s="590" t="s">
        <v>689</v>
      </c>
      <c r="BP28" s="147"/>
      <c r="BT28" s="111">
        <f t="shared" si="26"/>
        <v>0</v>
      </c>
      <c r="BU28" s="111">
        <f t="shared" si="27"/>
        <v>0</v>
      </c>
      <c r="BV28" s="111">
        <f t="shared" si="28"/>
        <v>0</v>
      </c>
    </row>
    <row r="29" spans="1:74" s="95" customFormat="1">
      <c r="A29" s="95" t="s">
        <v>908</v>
      </c>
      <c r="B29" s="1283" t="s">
        <v>475</v>
      </c>
      <c r="C29" s="1279">
        <v>0</v>
      </c>
      <c r="D29" s="1279">
        <v>12805000</v>
      </c>
      <c r="E29" s="1279">
        <v>0</v>
      </c>
      <c r="F29" s="1279">
        <f t="shared" si="32"/>
        <v>12805000</v>
      </c>
      <c r="G29" s="1279"/>
      <c r="H29" s="1279"/>
      <c r="I29" s="1279"/>
      <c r="J29" s="1279">
        <f t="shared" si="25"/>
        <v>0</v>
      </c>
      <c r="K29" s="1279">
        <f t="shared" si="0"/>
        <v>0</v>
      </c>
      <c r="L29" s="1279">
        <f t="shared" si="1"/>
        <v>12805000</v>
      </c>
      <c r="M29" s="1279">
        <f t="shared" si="2"/>
        <v>0</v>
      </c>
      <c r="N29" s="1279">
        <f t="shared" si="3"/>
        <v>12805000</v>
      </c>
      <c r="O29" s="1279">
        <v>0</v>
      </c>
      <c r="P29" s="1279">
        <v>12805000</v>
      </c>
      <c r="Q29" s="1279">
        <v>0</v>
      </c>
      <c r="R29" s="1279">
        <f t="shared" si="6"/>
        <v>12805000</v>
      </c>
      <c r="S29" s="1279"/>
      <c r="T29" s="1279"/>
      <c r="U29" s="1279"/>
      <c r="V29" s="1279">
        <f t="shared" si="33"/>
        <v>0</v>
      </c>
      <c r="W29" s="1279">
        <f>-+'OSEC-CY'!H80</f>
        <v>0</v>
      </c>
      <c r="X29" s="1279">
        <f>-+'OSEC-CY'!H81</f>
        <v>0</v>
      </c>
      <c r="Y29" s="1279">
        <f>-+'OSEC-CY'!H82</f>
        <v>0</v>
      </c>
      <c r="Z29" s="1279">
        <f t="shared" si="7"/>
        <v>0</v>
      </c>
      <c r="AA29" s="1279">
        <f t="shared" si="8"/>
        <v>0</v>
      </c>
      <c r="AB29" s="1279">
        <f t="shared" si="9"/>
        <v>12805000</v>
      </c>
      <c r="AC29" s="1279">
        <f t="shared" si="10"/>
        <v>0</v>
      </c>
      <c r="AD29" s="1279">
        <f t="shared" si="11"/>
        <v>12805000</v>
      </c>
      <c r="AE29" s="1279">
        <f>+'OSEC-CY'!I80</f>
        <v>0</v>
      </c>
      <c r="AF29" s="1279">
        <f>+'OSEC-CY'!I81</f>
        <v>12805000</v>
      </c>
      <c r="AG29" s="1279">
        <f>+'OSEC-CY'!I82</f>
        <v>0</v>
      </c>
      <c r="AH29" s="1279">
        <f t="shared" si="34"/>
        <v>12805000</v>
      </c>
      <c r="AI29" s="1279"/>
      <c r="AJ29" s="1279"/>
      <c r="AK29" s="1279"/>
      <c r="AL29" s="1279">
        <f t="shared" si="35"/>
        <v>0</v>
      </c>
      <c r="AM29" s="1279">
        <f t="shared" si="36"/>
        <v>0</v>
      </c>
      <c r="AN29" s="1279">
        <f t="shared" si="37"/>
        <v>12805000</v>
      </c>
      <c r="AO29" s="1279">
        <f t="shared" si="38"/>
        <v>0</v>
      </c>
      <c r="AP29" s="1279">
        <f t="shared" si="12"/>
        <v>12805000</v>
      </c>
      <c r="AQ29" s="1279">
        <f t="shared" si="13"/>
        <v>0</v>
      </c>
      <c r="AR29" s="1279">
        <f t="shared" si="14"/>
        <v>0</v>
      </c>
      <c r="AS29" s="1279">
        <f t="shared" si="15"/>
        <v>0</v>
      </c>
      <c r="AT29" s="1279">
        <f t="shared" si="16"/>
        <v>0</v>
      </c>
      <c r="AU29" s="1280" t="str">
        <f t="shared" si="17"/>
        <v xml:space="preserve"> </v>
      </c>
      <c r="AV29" s="1280">
        <f t="shared" si="18"/>
        <v>1</v>
      </c>
      <c r="AW29" s="1280" t="str">
        <f t="shared" si="19"/>
        <v xml:space="preserve"> </v>
      </c>
      <c r="AX29" s="1280">
        <f t="shared" si="20"/>
        <v>1</v>
      </c>
      <c r="AY29" s="1279">
        <f t="shared" si="21"/>
        <v>0</v>
      </c>
      <c r="AZ29" s="1279">
        <f t="shared" si="22"/>
        <v>0</v>
      </c>
      <c r="BA29" s="1279">
        <f t="shared" si="23"/>
        <v>0</v>
      </c>
      <c r="BB29" s="1279">
        <f t="shared" si="24"/>
        <v>0</v>
      </c>
      <c r="BC29" s="590"/>
      <c r="BP29" s="147">
        <f>+'OSEC-CY'!F80</f>
        <v>0</v>
      </c>
      <c r="BQ29" s="95">
        <f>+'OSEC-CY'!F81</f>
        <v>12805000</v>
      </c>
      <c r="BR29" s="95">
        <f>+'OSEC-CY'!F82</f>
        <v>0</v>
      </c>
      <c r="BT29" s="111">
        <f t="shared" si="26"/>
        <v>0</v>
      </c>
      <c r="BU29" s="111">
        <f t="shared" si="27"/>
        <v>0</v>
      </c>
      <c r="BV29" s="111">
        <f t="shared" si="28"/>
        <v>0</v>
      </c>
    </row>
    <row r="30" spans="1:74" s="95" customFormat="1">
      <c r="A30" s="95" t="s">
        <v>916</v>
      </c>
      <c r="B30" s="1283" t="s">
        <v>476</v>
      </c>
      <c r="C30" s="1279">
        <v>0</v>
      </c>
      <c r="D30" s="1279">
        <v>11957000</v>
      </c>
      <c r="E30" s="1279">
        <v>0</v>
      </c>
      <c r="F30" s="1279">
        <f t="shared" si="32"/>
        <v>11957000</v>
      </c>
      <c r="G30" s="1279"/>
      <c r="H30" s="1279"/>
      <c r="I30" s="1279"/>
      <c r="J30" s="1279">
        <f t="shared" si="25"/>
        <v>0</v>
      </c>
      <c r="K30" s="1279">
        <f t="shared" si="0"/>
        <v>0</v>
      </c>
      <c r="L30" s="1279">
        <f t="shared" si="1"/>
        <v>11957000</v>
      </c>
      <c r="M30" s="1279">
        <f t="shared" si="2"/>
        <v>0</v>
      </c>
      <c r="N30" s="1279">
        <f t="shared" si="3"/>
        <v>11957000</v>
      </c>
      <c r="O30" s="1279">
        <v>0</v>
      </c>
      <c r="P30" s="1279">
        <v>11957000</v>
      </c>
      <c r="Q30" s="1279">
        <v>0</v>
      </c>
      <c r="R30" s="1279">
        <f t="shared" si="6"/>
        <v>11957000</v>
      </c>
      <c r="S30" s="1279"/>
      <c r="T30" s="1279"/>
      <c r="U30" s="1279"/>
      <c r="V30" s="1279">
        <f t="shared" si="33"/>
        <v>0</v>
      </c>
      <c r="W30" s="1279">
        <f>-+'OSEC-CY'!H86</f>
        <v>0</v>
      </c>
      <c r="X30" s="1279">
        <f>-+'OSEC-CY'!H87</f>
        <v>0</v>
      </c>
      <c r="Y30" s="1279">
        <f>-+'OSEC-CY'!H88</f>
        <v>0</v>
      </c>
      <c r="Z30" s="1279">
        <f t="shared" si="7"/>
        <v>0</v>
      </c>
      <c r="AA30" s="1279">
        <f t="shared" si="8"/>
        <v>0</v>
      </c>
      <c r="AB30" s="1279">
        <f t="shared" si="9"/>
        <v>11957000</v>
      </c>
      <c r="AC30" s="1279">
        <f t="shared" si="10"/>
        <v>0</v>
      </c>
      <c r="AD30" s="1279">
        <f t="shared" si="11"/>
        <v>11957000</v>
      </c>
      <c r="AE30" s="1279">
        <f>+'OSEC-CY'!I86</f>
        <v>0</v>
      </c>
      <c r="AF30" s="1279">
        <f>+'OSEC-CY'!I87</f>
        <v>11957000</v>
      </c>
      <c r="AG30" s="1279">
        <f>+'OSEC-CY'!I88</f>
        <v>0</v>
      </c>
      <c r="AH30" s="1279">
        <f t="shared" si="34"/>
        <v>11957000</v>
      </c>
      <c r="AI30" s="1279"/>
      <c r="AJ30" s="1279"/>
      <c r="AK30" s="1279"/>
      <c r="AL30" s="1279">
        <f t="shared" si="35"/>
        <v>0</v>
      </c>
      <c r="AM30" s="1279">
        <f t="shared" si="36"/>
        <v>0</v>
      </c>
      <c r="AN30" s="1279">
        <f t="shared" si="37"/>
        <v>11957000</v>
      </c>
      <c r="AO30" s="1279">
        <f t="shared" si="38"/>
        <v>0</v>
      </c>
      <c r="AP30" s="1279">
        <f t="shared" si="12"/>
        <v>11957000</v>
      </c>
      <c r="AQ30" s="1279">
        <f t="shared" si="13"/>
        <v>0</v>
      </c>
      <c r="AR30" s="1279">
        <f t="shared" si="14"/>
        <v>0</v>
      </c>
      <c r="AS30" s="1279">
        <f t="shared" si="15"/>
        <v>0</v>
      </c>
      <c r="AT30" s="1279">
        <f t="shared" si="16"/>
        <v>0</v>
      </c>
      <c r="AU30" s="1280" t="str">
        <f t="shared" si="17"/>
        <v xml:space="preserve"> </v>
      </c>
      <c r="AV30" s="1280">
        <f t="shared" si="18"/>
        <v>1</v>
      </c>
      <c r="AW30" s="1280" t="str">
        <f t="shared" si="19"/>
        <v xml:space="preserve"> </v>
      </c>
      <c r="AX30" s="1280">
        <f t="shared" si="20"/>
        <v>1</v>
      </c>
      <c r="AY30" s="1279">
        <f t="shared" si="21"/>
        <v>0</v>
      </c>
      <c r="AZ30" s="1279">
        <f t="shared" si="22"/>
        <v>0</v>
      </c>
      <c r="BA30" s="1279">
        <f t="shared" si="23"/>
        <v>0</v>
      </c>
      <c r="BB30" s="1279">
        <f t="shared" si="24"/>
        <v>0</v>
      </c>
      <c r="BC30" s="590"/>
      <c r="BP30" s="147">
        <f>+'OSEC-CY'!F86</f>
        <v>0</v>
      </c>
      <c r="BQ30" s="95">
        <f>+'OSEC-CY'!F87</f>
        <v>11957000</v>
      </c>
      <c r="BR30" s="95">
        <f>+'OSEC-CY'!F88</f>
        <v>0</v>
      </c>
      <c r="BT30" s="111">
        <f t="shared" si="26"/>
        <v>0</v>
      </c>
      <c r="BU30" s="111">
        <f t="shared" si="27"/>
        <v>0</v>
      </c>
      <c r="BV30" s="111">
        <f t="shared" si="28"/>
        <v>0</v>
      </c>
    </row>
    <row r="31" spans="1:74">
      <c r="B31" s="1286"/>
      <c r="C31" s="1218"/>
      <c r="D31" s="1218"/>
      <c r="E31" s="1218"/>
      <c r="F31" s="1218"/>
      <c r="G31" s="1218"/>
      <c r="H31" s="1218"/>
      <c r="I31" s="1218"/>
      <c r="J31" s="1218">
        <f t="shared" si="25"/>
        <v>0</v>
      </c>
      <c r="K31" s="1218">
        <f t="shared" si="0"/>
        <v>0</v>
      </c>
      <c r="L31" s="1218">
        <f t="shared" si="1"/>
        <v>0</v>
      </c>
      <c r="M31" s="1218">
        <f t="shared" si="2"/>
        <v>0</v>
      </c>
      <c r="N31" s="1218">
        <f t="shared" si="3"/>
        <v>0</v>
      </c>
      <c r="O31" s="1218"/>
      <c r="P31" s="1218"/>
      <c r="Q31" s="1218"/>
      <c r="R31" s="1218">
        <f t="shared" si="6"/>
        <v>0</v>
      </c>
      <c r="S31" s="1218"/>
      <c r="T31" s="1218"/>
      <c r="U31" s="1218"/>
      <c r="V31" s="1218"/>
      <c r="W31" s="1218"/>
      <c r="X31" s="1218"/>
      <c r="Y31" s="1218"/>
      <c r="Z31" s="1218">
        <f t="shared" si="7"/>
        <v>0</v>
      </c>
      <c r="AA31" s="1218">
        <f t="shared" si="8"/>
        <v>0</v>
      </c>
      <c r="AB31" s="1218">
        <f t="shared" si="9"/>
        <v>0</v>
      </c>
      <c r="AC31" s="1218">
        <f t="shared" si="10"/>
        <v>0</v>
      </c>
      <c r="AD31" s="1218">
        <f t="shared" si="11"/>
        <v>0</v>
      </c>
      <c r="AE31" s="1218"/>
      <c r="AF31" s="1218"/>
      <c r="AG31" s="1218"/>
      <c r="AH31" s="1218"/>
      <c r="AI31" s="1218"/>
      <c r="AJ31" s="1218"/>
      <c r="AK31" s="1218"/>
      <c r="AL31" s="1218"/>
      <c r="AM31" s="1218"/>
      <c r="AN31" s="1218"/>
      <c r="AO31" s="1218"/>
      <c r="AP31" s="1218">
        <f t="shared" si="12"/>
        <v>0</v>
      </c>
      <c r="AQ31" s="1218">
        <f t="shared" si="13"/>
        <v>0</v>
      </c>
      <c r="AR31" s="1218">
        <f t="shared" si="14"/>
        <v>0</v>
      </c>
      <c r="AS31" s="1218">
        <f t="shared" si="15"/>
        <v>0</v>
      </c>
      <c r="AT31" s="1218">
        <f t="shared" si="16"/>
        <v>0</v>
      </c>
      <c r="AU31" s="1219" t="str">
        <f t="shared" si="17"/>
        <v xml:space="preserve"> </v>
      </c>
      <c r="AV31" s="1219" t="str">
        <f t="shared" si="18"/>
        <v xml:space="preserve"> </v>
      </c>
      <c r="AW31" s="1219" t="str">
        <f t="shared" si="19"/>
        <v xml:space="preserve"> </v>
      </c>
      <c r="AX31" s="1219" t="str">
        <f t="shared" si="20"/>
        <v xml:space="preserve"> </v>
      </c>
      <c r="AY31" s="1218">
        <f t="shared" si="21"/>
        <v>0</v>
      </c>
      <c r="AZ31" s="1218">
        <f t="shared" si="22"/>
        <v>0</v>
      </c>
      <c r="BA31" s="1218">
        <f t="shared" si="23"/>
        <v>0</v>
      </c>
      <c r="BB31" s="1218">
        <f t="shared" si="24"/>
        <v>0</v>
      </c>
      <c r="BC31" s="125"/>
      <c r="BT31" s="111">
        <f t="shared" si="26"/>
        <v>0</v>
      </c>
      <c r="BU31" s="111">
        <f t="shared" si="27"/>
        <v>0</v>
      </c>
      <c r="BV31" s="111">
        <f t="shared" si="28"/>
        <v>0</v>
      </c>
    </row>
    <row r="32" spans="1:74" s="107" customFormat="1">
      <c r="B32" s="180" t="s">
        <v>478</v>
      </c>
      <c r="C32" s="179">
        <f>SUM(C16:C30)</f>
        <v>254361000</v>
      </c>
      <c r="D32" s="179">
        <f t="shared" ref="D32:AO32" si="39">SUM(D16:D30)</f>
        <v>2897961000</v>
      </c>
      <c r="E32" s="179">
        <f t="shared" si="39"/>
        <v>150000000</v>
      </c>
      <c r="F32" s="179">
        <f t="shared" si="39"/>
        <v>3302322000</v>
      </c>
      <c r="G32" s="179">
        <f t="shared" si="39"/>
        <v>0</v>
      </c>
      <c r="H32" s="179">
        <f t="shared" si="39"/>
        <v>0</v>
      </c>
      <c r="I32" s="179">
        <f t="shared" si="39"/>
        <v>0</v>
      </c>
      <c r="J32" s="179">
        <f t="shared" si="39"/>
        <v>0</v>
      </c>
      <c r="K32" s="179">
        <f t="shared" si="39"/>
        <v>254361000</v>
      </c>
      <c r="L32" s="179">
        <f t="shared" si="39"/>
        <v>2897961000</v>
      </c>
      <c r="M32" s="179">
        <f t="shared" si="39"/>
        <v>150000000</v>
      </c>
      <c r="N32" s="179">
        <f t="shared" si="39"/>
        <v>3302322000</v>
      </c>
      <c r="O32" s="179">
        <f t="shared" si="39"/>
        <v>254361000</v>
      </c>
      <c r="P32" s="179">
        <f t="shared" si="39"/>
        <v>2897961000</v>
      </c>
      <c r="Q32" s="179">
        <f t="shared" si="39"/>
        <v>150000000</v>
      </c>
      <c r="R32" s="179">
        <f t="shared" si="6"/>
        <v>3302322000</v>
      </c>
      <c r="S32" s="179">
        <f t="shared" si="39"/>
        <v>0</v>
      </c>
      <c r="T32" s="179">
        <f t="shared" si="39"/>
        <v>0</v>
      </c>
      <c r="U32" s="179">
        <f t="shared" si="39"/>
        <v>0</v>
      </c>
      <c r="V32" s="179">
        <f t="shared" si="39"/>
        <v>0</v>
      </c>
      <c r="W32" s="179">
        <f t="shared" si="39"/>
        <v>0</v>
      </c>
      <c r="X32" s="179">
        <f t="shared" si="39"/>
        <v>-2475990925.4000001</v>
      </c>
      <c r="Y32" s="179">
        <f t="shared" si="39"/>
        <v>0</v>
      </c>
      <c r="Z32" s="179">
        <f t="shared" si="7"/>
        <v>-2475990925.4000001</v>
      </c>
      <c r="AA32" s="179">
        <f t="shared" si="8"/>
        <v>254361000</v>
      </c>
      <c r="AB32" s="179">
        <f t="shared" si="9"/>
        <v>421970074.5999999</v>
      </c>
      <c r="AC32" s="179">
        <f t="shared" si="10"/>
        <v>150000000</v>
      </c>
      <c r="AD32" s="179">
        <f t="shared" si="11"/>
        <v>826331074.5999999</v>
      </c>
      <c r="AE32" s="179">
        <f t="shared" si="39"/>
        <v>179499450.01000002</v>
      </c>
      <c r="AF32" s="179">
        <f t="shared" si="39"/>
        <v>327179157.52999938</v>
      </c>
      <c r="AG32" s="179">
        <f t="shared" si="39"/>
        <v>62213737.180000007</v>
      </c>
      <c r="AH32" s="179">
        <f t="shared" si="39"/>
        <v>568892344.71999931</v>
      </c>
      <c r="AI32" s="179">
        <f t="shared" si="39"/>
        <v>0</v>
      </c>
      <c r="AJ32" s="179">
        <f t="shared" si="39"/>
        <v>0</v>
      </c>
      <c r="AK32" s="179">
        <f t="shared" si="39"/>
        <v>0</v>
      </c>
      <c r="AL32" s="179">
        <f t="shared" si="39"/>
        <v>0</v>
      </c>
      <c r="AM32" s="179">
        <f t="shared" si="39"/>
        <v>179499450.01000002</v>
      </c>
      <c r="AN32" s="179">
        <f t="shared" si="39"/>
        <v>327179157.52999938</v>
      </c>
      <c r="AO32" s="179">
        <f t="shared" si="39"/>
        <v>62213737.180000007</v>
      </c>
      <c r="AP32" s="179">
        <f t="shared" si="12"/>
        <v>568892344.71999931</v>
      </c>
      <c r="AQ32" s="179">
        <f t="shared" si="13"/>
        <v>74861549.98999998</v>
      </c>
      <c r="AR32" s="179">
        <f t="shared" si="14"/>
        <v>94790917.070000529</v>
      </c>
      <c r="AS32" s="179">
        <f t="shared" si="15"/>
        <v>87786262.819999993</v>
      </c>
      <c r="AT32" s="179">
        <f t="shared" si="16"/>
        <v>257438729.8800005</v>
      </c>
      <c r="AU32" s="184">
        <f t="shared" si="17"/>
        <v>0.70568778236443486</v>
      </c>
      <c r="AV32" s="184">
        <f t="shared" si="18"/>
        <v>0.77536104388479177</v>
      </c>
      <c r="AW32" s="184">
        <f t="shared" si="19"/>
        <v>0.41475824786666671</v>
      </c>
      <c r="AX32" s="184">
        <f t="shared" si="20"/>
        <v>0.688455707653717</v>
      </c>
      <c r="AY32" s="179">
        <f t="shared" si="21"/>
        <v>0</v>
      </c>
      <c r="AZ32" s="179">
        <f t="shared" si="22"/>
        <v>0</v>
      </c>
      <c r="BA32" s="179">
        <f t="shared" si="23"/>
        <v>0</v>
      </c>
      <c r="BB32" s="179">
        <f t="shared" si="24"/>
        <v>0</v>
      </c>
      <c r="BC32" s="131"/>
      <c r="BP32" s="150"/>
      <c r="BT32" s="111"/>
      <c r="BU32" s="111"/>
      <c r="BV32" s="111"/>
    </row>
    <row r="33" spans="1:74">
      <c r="B33" s="1286"/>
      <c r="C33" s="1218"/>
      <c r="D33" s="1218"/>
      <c r="E33" s="1218"/>
      <c r="F33" s="1218"/>
      <c r="G33" s="1218"/>
      <c r="H33" s="1218"/>
      <c r="I33" s="1218"/>
      <c r="J33" s="1218"/>
      <c r="K33" s="1218"/>
      <c r="L33" s="1218"/>
      <c r="M33" s="1218"/>
      <c r="N33" s="1218"/>
      <c r="O33" s="1218"/>
      <c r="P33" s="1218"/>
      <c r="Q33" s="1218"/>
      <c r="R33" s="1218">
        <f t="shared" si="6"/>
        <v>0</v>
      </c>
      <c r="S33" s="1218"/>
      <c r="T33" s="1218"/>
      <c r="U33" s="1218"/>
      <c r="V33" s="1218"/>
      <c r="W33" s="1218"/>
      <c r="X33" s="1218"/>
      <c r="Y33" s="1218"/>
      <c r="Z33" s="1218">
        <f t="shared" si="7"/>
        <v>0</v>
      </c>
      <c r="AA33" s="1218">
        <f t="shared" si="8"/>
        <v>0</v>
      </c>
      <c r="AB33" s="1218">
        <f t="shared" si="9"/>
        <v>0</v>
      </c>
      <c r="AC33" s="1218">
        <f t="shared" si="10"/>
        <v>0</v>
      </c>
      <c r="AD33" s="1218">
        <f t="shared" si="11"/>
        <v>0</v>
      </c>
      <c r="AE33" s="1218"/>
      <c r="AF33" s="1218"/>
      <c r="AG33" s="1218"/>
      <c r="AH33" s="1218"/>
      <c r="AI33" s="1218"/>
      <c r="AJ33" s="1218"/>
      <c r="AK33" s="1218"/>
      <c r="AL33" s="1218"/>
      <c r="AM33" s="1218"/>
      <c r="AN33" s="1218"/>
      <c r="AO33" s="1218"/>
      <c r="AP33" s="1218">
        <f t="shared" si="12"/>
        <v>0</v>
      </c>
      <c r="AQ33" s="1218">
        <f t="shared" si="13"/>
        <v>0</v>
      </c>
      <c r="AR33" s="1218">
        <f t="shared" si="14"/>
        <v>0</v>
      </c>
      <c r="AS33" s="1218">
        <f t="shared" si="15"/>
        <v>0</v>
      </c>
      <c r="AT33" s="1218">
        <f t="shared" si="16"/>
        <v>0</v>
      </c>
      <c r="AU33" s="1219" t="str">
        <f t="shared" si="17"/>
        <v xml:space="preserve"> </v>
      </c>
      <c r="AV33" s="1219" t="str">
        <f t="shared" si="18"/>
        <v xml:space="preserve"> </v>
      </c>
      <c r="AW33" s="1219" t="str">
        <f t="shared" si="19"/>
        <v xml:space="preserve"> </v>
      </c>
      <c r="AX33" s="1219" t="str">
        <f t="shared" si="20"/>
        <v xml:space="preserve"> </v>
      </c>
      <c r="AY33" s="1218">
        <f t="shared" si="21"/>
        <v>0</v>
      </c>
      <c r="AZ33" s="1218">
        <f t="shared" si="22"/>
        <v>0</v>
      </c>
      <c r="BA33" s="1218">
        <f t="shared" si="23"/>
        <v>0</v>
      </c>
      <c r="BB33" s="1218">
        <f t="shared" si="24"/>
        <v>0</v>
      </c>
      <c r="BC33" s="125"/>
      <c r="BT33" s="111">
        <f t="shared" si="26"/>
        <v>0</v>
      </c>
      <c r="BU33" s="111">
        <f t="shared" si="27"/>
        <v>0</v>
      </c>
      <c r="BV33" s="111">
        <f t="shared" si="28"/>
        <v>0</v>
      </c>
    </row>
    <row r="34" spans="1:74" s="106" customFormat="1">
      <c r="B34" s="1275" t="s">
        <v>23</v>
      </c>
      <c r="C34" s="1217"/>
      <c r="D34" s="1217"/>
      <c r="E34" s="1217"/>
      <c r="F34" s="1217"/>
      <c r="G34" s="1217"/>
      <c r="H34" s="1217"/>
      <c r="I34" s="1217"/>
      <c r="J34" s="1217"/>
      <c r="K34" s="1217"/>
      <c r="L34" s="1217"/>
      <c r="M34" s="1217"/>
      <c r="N34" s="1217"/>
      <c r="O34" s="1217"/>
      <c r="P34" s="1217"/>
      <c r="Q34" s="1217"/>
      <c r="R34" s="1217">
        <f t="shared" si="6"/>
        <v>0</v>
      </c>
      <c r="S34" s="1217"/>
      <c r="T34" s="1217"/>
      <c r="U34" s="1217"/>
      <c r="V34" s="1217"/>
      <c r="W34" s="1217"/>
      <c r="X34" s="1217"/>
      <c r="Y34" s="1217"/>
      <c r="Z34" s="1217">
        <f t="shared" si="7"/>
        <v>0</v>
      </c>
      <c r="AA34" s="1217">
        <f t="shared" si="8"/>
        <v>0</v>
      </c>
      <c r="AB34" s="1217">
        <f t="shared" si="9"/>
        <v>0</v>
      </c>
      <c r="AC34" s="1217">
        <f t="shared" si="10"/>
        <v>0</v>
      </c>
      <c r="AD34" s="1217">
        <f t="shared" si="11"/>
        <v>0</v>
      </c>
      <c r="AE34" s="1217"/>
      <c r="AF34" s="1217"/>
      <c r="AG34" s="1217"/>
      <c r="AH34" s="1217"/>
      <c r="AI34" s="1217"/>
      <c r="AJ34" s="1217"/>
      <c r="AK34" s="1217"/>
      <c r="AL34" s="1217"/>
      <c r="AM34" s="1217">
        <f>+AE34+AI34</f>
        <v>0</v>
      </c>
      <c r="AN34" s="1217">
        <f>+AF34+AJ34</f>
        <v>0</v>
      </c>
      <c r="AO34" s="1217">
        <f>+AG34+AK34</f>
        <v>0</v>
      </c>
      <c r="AP34" s="1217">
        <f t="shared" si="12"/>
        <v>0</v>
      </c>
      <c r="AQ34" s="1217">
        <f t="shared" si="13"/>
        <v>0</v>
      </c>
      <c r="AR34" s="1217">
        <f t="shared" si="14"/>
        <v>0</v>
      </c>
      <c r="AS34" s="1217">
        <f t="shared" si="15"/>
        <v>0</v>
      </c>
      <c r="AT34" s="1217">
        <f t="shared" si="16"/>
        <v>0</v>
      </c>
      <c r="AU34" s="1219" t="str">
        <f t="shared" si="17"/>
        <v xml:space="preserve"> </v>
      </c>
      <c r="AV34" s="1219" t="str">
        <f t="shared" si="18"/>
        <v xml:space="preserve"> </v>
      </c>
      <c r="AW34" s="1219" t="str">
        <f t="shared" si="19"/>
        <v xml:space="preserve"> </v>
      </c>
      <c r="AX34" s="1219" t="str">
        <f t="shared" si="20"/>
        <v xml:space="preserve"> </v>
      </c>
      <c r="AY34" s="1218">
        <f t="shared" si="21"/>
        <v>0</v>
      </c>
      <c r="AZ34" s="1218">
        <f t="shared" si="22"/>
        <v>0</v>
      </c>
      <c r="BA34" s="1218">
        <f t="shared" si="23"/>
        <v>0</v>
      </c>
      <c r="BB34" s="1218">
        <f t="shared" si="24"/>
        <v>0</v>
      </c>
      <c r="BC34" s="130"/>
      <c r="BP34" s="1185"/>
      <c r="BT34" s="111">
        <f t="shared" si="26"/>
        <v>0</v>
      </c>
      <c r="BU34" s="111">
        <f t="shared" si="27"/>
        <v>0</v>
      </c>
      <c r="BV34" s="111">
        <f t="shared" si="28"/>
        <v>0</v>
      </c>
    </row>
    <row r="35" spans="1:74" s="107" customFormat="1">
      <c r="B35" s="181" t="s">
        <v>491</v>
      </c>
      <c r="C35" s="179">
        <f>SUM(C37:C43)</f>
        <v>255443000</v>
      </c>
      <c r="D35" s="179">
        <f>SUM(D37:D43)</f>
        <v>1243802000</v>
      </c>
      <c r="E35" s="179">
        <f>SUM(E37:E43)</f>
        <v>22000000</v>
      </c>
      <c r="F35" s="179">
        <f t="shared" ref="F35:P35" si="40">SUM(F37:F43)</f>
        <v>1521245000</v>
      </c>
      <c r="G35" s="179">
        <f t="shared" si="40"/>
        <v>467000</v>
      </c>
      <c r="H35" s="179">
        <f t="shared" si="40"/>
        <v>-467000</v>
      </c>
      <c r="I35" s="179">
        <f t="shared" si="40"/>
        <v>0</v>
      </c>
      <c r="J35" s="179">
        <f t="shared" si="40"/>
        <v>0</v>
      </c>
      <c r="K35" s="179">
        <f t="shared" si="40"/>
        <v>255910000</v>
      </c>
      <c r="L35" s="179">
        <f t="shared" si="40"/>
        <v>1243335000</v>
      </c>
      <c r="M35" s="179">
        <f t="shared" si="40"/>
        <v>22000000</v>
      </c>
      <c r="N35" s="179">
        <f t="shared" si="40"/>
        <v>1521245000</v>
      </c>
      <c r="O35" s="179">
        <f t="shared" si="40"/>
        <v>255910000</v>
      </c>
      <c r="P35" s="179">
        <f t="shared" si="40"/>
        <v>1243335000</v>
      </c>
      <c r="Q35" s="179">
        <f t="shared" ref="Q35:AO35" si="41">SUM(Q37:Q43)</f>
        <v>22000000</v>
      </c>
      <c r="R35" s="179">
        <f t="shared" si="6"/>
        <v>1521245000</v>
      </c>
      <c r="S35" s="179">
        <f t="shared" ref="S35:W35" si="42">SUM(S37:S43)</f>
        <v>0</v>
      </c>
      <c r="T35" s="179">
        <f t="shared" si="42"/>
        <v>0</v>
      </c>
      <c r="U35" s="179">
        <f t="shared" si="42"/>
        <v>0</v>
      </c>
      <c r="V35" s="179">
        <f t="shared" si="42"/>
        <v>0</v>
      </c>
      <c r="W35" s="179">
        <f t="shared" si="42"/>
        <v>0</v>
      </c>
      <c r="X35" s="179">
        <f t="shared" si="41"/>
        <v>-67325400</v>
      </c>
      <c r="Y35" s="179">
        <f t="shared" si="41"/>
        <v>0</v>
      </c>
      <c r="Z35" s="179">
        <f t="shared" si="7"/>
        <v>-67325400</v>
      </c>
      <c r="AA35" s="179">
        <f t="shared" si="8"/>
        <v>255910000</v>
      </c>
      <c r="AB35" s="179">
        <f t="shared" si="9"/>
        <v>1176009600</v>
      </c>
      <c r="AC35" s="179">
        <f t="shared" si="10"/>
        <v>22000000</v>
      </c>
      <c r="AD35" s="179">
        <f t="shared" si="11"/>
        <v>1453919600</v>
      </c>
      <c r="AE35" s="179">
        <f t="shared" si="41"/>
        <v>242255501.23000002</v>
      </c>
      <c r="AF35" s="179">
        <f>SUM(AF37:AF43)</f>
        <v>885665023.6500001</v>
      </c>
      <c r="AG35" s="179">
        <f>SUM(AG37:AG43)</f>
        <v>8121591.8600000003</v>
      </c>
      <c r="AH35" s="179">
        <f t="shared" si="41"/>
        <v>1136042116.7400002</v>
      </c>
      <c r="AI35" s="179">
        <f t="shared" si="41"/>
        <v>0</v>
      </c>
      <c r="AJ35" s="179">
        <f t="shared" si="41"/>
        <v>0</v>
      </c>
      <c r="AK35" s="179">
        <f t="shared" si="41"/>
        <v>0</v>
      </c>
      <c r="AL35" s="179">
        <f t="shared" si="41"/>
        <v>0</v>
      </c>
      <c r="AM35" s="179">
        <f t="shared" si="41"/>
        <v>242255501.23000002</v>
      </c>
      <c r="AN35" s="179">
        <f t="shared" si="41"/>
        <v>885665023.6500001</v>
      </c>
      <c r="AO35" s="179">
        <f t="shared" si="41"/>
        <v>8121591.8600000003</v>
      </c>
      <c r="AP35" s="179">
        <f t="shared" si="12"/>
        <v>1136042116.74</v>
      </c>
      <c r="AQ35" s="179">
        <f t="shared" si="13"/>
        <v>13654498.769999981</v>
      </c>
      <c r="AR35" s="179">
        <f t="shared" si="14"/>
        <v>290344576.3499999</v>
      </c>
      <c r="AS35" s="179">
        <f t="shared" si="15"/>
        <v>13878408.140000001</v>
      </c>
      <c r="AT35" s="179">
        <f t="shared" si="16"/>
        <v>317877483.25999987</v>
      </c>
      <c r="AU35" s="184">
        <f t="shared" si="17"/>
        <v>0.94664335598452587</v>
      </c>
      <c r="AV35" s="184">
        <f t="shared" si="18"/>
        <v>0.75311036886943783</v>
      </c>
      <c r="AW35" s="184">
        <f t="shared" si="19"/>
        <v>0.36916326636363639</v>
      </c>
      <c r="AX35" s="184">
        <f t="shared" si="20"/>
        <v>0.78136515715174348</v>
      </c>
      <c r="AY35" s="179">
        <f t="shared" si="21"/>
        <v>0</v>
      </c>
      <c r="AZ35" s="179">
        <f t="shared" si="22"/>
        <v>0</v>
      </c>
      <c r="BA35" s="179">
        <f t="shared" si="23"/>
        <v>0</v>
      </c>
      <c r="BB35" s="179">
        <f t="shared" si="24"/>
        <v>0</v>
      </c>
      <c r="BC35" s="131"/>
      <c r="BP35" s="150"/>
      <c r="BT35" s="111"/>
      <c r="BU35" s="111"/>
      <c r="BV35" s="111"/>
    </row>
    <row r="36" spans="1:74" s="95" customFormat="1">
      <c r="B36" s="1283" t="s">
        <v>479</v>
      </c>
      <c r="C36" s="1279"/>
      <c r="D36" s="1279"/>
      <c r="E36" s="1279"/>
      <c r="F36" s="1279"/>
      <c r="G36" s="1279"/>
      <c r="H36" s="1279"/>
      <c r="I36" s="1279"/>
      <c r="J36" s="1279">
        <f t="shared" si="25"/>
        <v>0</v>
      </c>
      <c r="K36" s="1279">
        <f t="shared" si="0"/>
        <v>0</v>
      </c>
      <c r="L36" s="1279">
        <f t="shared" si="1"/>
        <v>0</v>
      </c>
      <c r="M36" s="1279">
        <f t="shared" si="2"/>
        <v>0</v>
      </c>
      <c r="N36" s="1279">
        <f t="shared" si="3"/>
        <v>0</v>
      </c>
      <c r="O36" s="1279"/>
      <c r="P36" s="1279"/>
      <c r="Q36" s="1279"/>
      <c r="R36" s="1279">
        <f t="shared" si="6"/>
        <v>0</v>
      </c>
      <c r="S36" s="1279"/>
      <c r="T36" s="1279"/>
      <c r="U36" s="1279"/>
      <c r="V36" s="1279"/>
      <c r="W36" s="1279"/>
      <c r="X36" s="1279"/>
      <c r="Y36" s="1279"/>
      <c r="Z36" s="1279">
        <f t="shared" si="7"/>
        <v>0</v>
      </c>
      <c r="AA36" s="1279">
        <f t="shared" si="8"/>
        <v>0</v>
      </c>
      <c r="AB36" s="1279">
        <f t="shared" si="9"/>
        <v>0</v>
      </c>
      <c r="AC36" s="1279">
        <f t="shared" si="10"/>
        <v>0</v>
      </c>
      <c r="AD36" s="1279">
        <f t="shared" si="11"/>
        <v>0</v>
      </c>
      <c r="AE36" s="1279"/>
      <c r="AF36" s="1279"/>
      <c r="AG36" s="1279"/>
      <c r="AH36" s="1279"/>
      <c r="AI36" s="1279"/>
      <c r="AJ36" s="1279"/>
      <c r="AK36" s="1279"/>
      <c r="AL36" s="1279"/>
      <c r="AM36" s="1279"/>
      <c r="AN36" s="1279"/>
      <c r="AO36" s="1279"/>
      <c r="AP36" s="1279">
        <f t="shared" si="12"/>
        <v>0</v>
      </c>
      <c r="AQ36" s="1279">
        <f t="shared" si="13"/>
        <v>0</v>
      </c>
      <c r="AR36" s="1279">
        <f t="shared" si="14"/>
        <v>0</v>
      </c>
      <c r="AS36" s="1279">
        <f t="shared" si="15"/>
        <v>0</v>
      </c>
      <c r="AT36" s="1279">
        <f t="shared" si="16"/>
        <v>0</v>
      </c>
      <c r="AU36" s="1280" t="str">
        <f t="shared" si="17"/>
        <v xml:space="preserve"> </v>
      </c>
      <c r="AV36" s="1280" t="str">
        <f t="shared" si="18"/>
        <v xml:space="preserve"> </v>
      </c>
      <c r="AW36" s="1280" t="str">
        <f t="shared" si="19"/>
        <v xml:space="preserve"> </v>
      </c>
      <c r="AX36" s="1280" t="str">
        <f t="shared" si="20"/>
        <v xml:space="preserve"> </v>
      </c>
      <c r="AY36" s="1279">
        <f t="shared" si="21"/>
        <v>0</v>
      </c>
      <c r="AZ36" s="1279">
        <f t="shared" si="22"/>
        <v>0</v>
      </c>
      <c r="BA36" s="1279">
        <f t="shared" si="23"/>
        <v>0</v>
      </c>
      <c r="BB36" s="1279">
        <f t="shared" si="24"/>
        <v>0</v>
      </c>
      <c r="BC36" s="590"/>
      <c r="BP36" s="147"/>
      <c r="BT36" s="111"/>
      <c r="BU36" s="111"/>
      <c r="BV36" s="111"/>
    </row>
    <row r="37" spans="1:74" s="95" customFormat="1" ht="36">
      <c r="A37" s="95" t="s">
        <v>935</v>
      </c>
      <c r="B37" s="1287" t="s">
        <v>480</v>
      </c>
      <c r="C37" s="1279">
        <v>117488000</v>
      </c>
      <c r="D37" s="1279">
        <v>104629000</v>
      </c>
      <c r="E37" s="1279">
        <v>0</v>
      </c>
      <c r="F37" s="1279">
        <f t="shared" si="32"/>
        <v>222117000</v>
      </c>
      <c r="G37" s="1279"/>
      <c r="H37" s="1279"/>
      <c r="I37" s="1279"/>
      <c r="J37" s="1279">
        <f t="shared" si="25"/>
        <v>0</v>
      </c>
      <c r="K37" s="1279">
        <f t="shared" si="0"/>
        <v>117488000</v>
      </c>
      <c r="L37" s="1279">
        <f t="shared" si="1"/>
        <v>104629000</v>
      </c>
      <c r="M37" s="1279">
        <f t="shared" si="2"/>
        <v>0</v>
      </c>
      <c r="N37" s="1279">
        <f t="shared" si="3"/>
        <v>222117000</v>
      </c>
      <c r="O37" s="1279">
        <v>117488000</v>
      </c>
      <c r="P37" s="1279">
        <v>104629000</v>
      </c>
      <c r="Q37" s="1279">
        <v>0</v>
      </c>
      <c r="R37" s="1279">
        <f t="shared" si="6"/>
        <v>222117000</v>
      </c>
      <c r="S37" s="1279"/>
      <c r="T37" s="1279"/>
      <c r="U37" s="1279"/>
      <c r="V37" s="1279">
        <f t="shared" si="33"/>
        <v>0</v>
      </c>
      <c r="W37" s="1279"/>
      <c r="X37" s="1279"/>
      <c r="Y37" s="1279"/>
      <c r="Z37" s="1279">
        <f t="shared" si="7"/>
        <v>0</v>
      </c>
      <c r="AA37" s="1279">
        <f t="shared" si="8"/>
        <v>117488000</v>
      </c>
      <c r="AB37" s="1279">
        <f t="shared" si="9"/>
        <v>104629000</v>
      </c>
      <c r="AC37" s="1279">
        <f t="shared" si="10"/>
        <v>0</v>
      </c>
      <c r="AD37" s="1279">
        <f t="shared" si="11"/>
        <v>222117000</v>
      </c>
      <c r="AE37" s="1279">
        <f>+'CY (ALL FUNDS)'!J1631</f>
        <v>117282980.09</v>
      </c>
      <c r="AF37" s="1279">
        <f>+'CY (ALL FUNDS)'!K1631</f>
        <v>78383921.920000002</v>
      </c>
      <c r="AG37" s="1279">
        <f>+'CY (ALL FUNDS)'!L1631</f>
        <v>0</v>
      </c>
      <c r="AH37" s="1279">
        <f t="shared" si="34"/>
        <v>195666902.00999999</v>
      </c>
      <c r="AI37" s="1279">
        <f>+'CY (ALL FUNDS)'!J1632</f>
        <v>0</v>
      </c>
      <c r="AJ37" s="1279">
        <f>+'CY (ALL FUNDS)'!K1632</f>
        <v>0</v>
      </c>
      <c r="AK37" s="1279">
        <f>+'CY (ALL FUNDS)'!L1632</f>
        <v>0</v>
      </c>
      <c r="AL37" s="1279">
        <f t="shared" si="35"/>
        <v>0</v>
      </c>
      <c r="AM37" s="1279">
        <f t="shared" ref="AM37:AM43" si="43">+AE37+AI37</f>
        <v>117282980.09</v>
      </c>
      <c r="AN37" s="1279">
        <f t="shared" ref="AN37:AN43" si="44">+AF37+AJ37</f>
        <v>78383921.920000002</v>
      </c>
      <c r="AO37" s="1279">
        <f t="shared" ref="AO37:AO43" si="45">+AG37+AK37</f>
        <v>0</v>
      </c>
      <c r="AP37" s="1279">
        <f t="shared" si="12"/>
        <v>195666902.00999999</v>
      </c>
      <c r="AQ37" s="1279">
        <f t="shared" si="13"/>
        <v>205019.90999999642</v>
      </c>
      <c r="AR37" s="1279">
        <f t="shared" si="14"/>
        <v>26245078.079999998</v>
      </c>
      <c r="AS37" s="1279">
        <f t="shared" si="15"/>
        <v>0</v>
      </c>
      <c r="AT37" s="1279">
        <f t="shared" si="16"/>
        <v>26450097.989999995</v>
      </c>
      <c r="AU37" s="1280">
        <f t="shared" si="17"/>
        <v>0.9982549714864497</v>
      </c>
      <c r="AV37" s="1280">
        <f t="shared" si="18"/>
        <v>0.74916057613090059</v>
      </c>
      <c r="AW37" s="1280" t="str">
        <f t="shared" si="19"/>
        <v xml:space="preserve"> </v>
      </c>
      <c r="AX37" s="1280">
        <f t="shared" si="20"/>
        <v>0.88091817380029436</v>
      </c>
      <c r="AY37" s="1279">
        <f t="shared" si="21"/>
        <v>0</v>
      </c>
      <c r="AZ37" s="1279">
        <f t="shared" si="22"/>
        <v>0</v>
      </c>
      <c r="BA37" s="1279">
        <f t="shared" si="23"/>
        <v>0</v>
      </c>
      <c r="BB37" s="1279">
        <f t="shared" si="24"/>
        <v>0</v>
      </c>
      <c r="BC37" s="590"/>
      <c r="BP37" s="147">
        <f>+'CY (ALL FUNDS)'!F1631</f>
        <v>117488000</v>
      </c>
      <c r="BQ37" s="95">
        <f>+'CY (ALL FUNDS)'!G1631</f>
        <v>104629000</v>
      </c>
      <c r="BR37" s="95">
        <f>+'CY (ALL FUNDS)'!H1631</f>
        <v>0</v>
      </c>
      <c r="BT37" s="111">
        <f t="shared" ref="BT37:BT39" si="46">+O37-BP37</f>
        <v>0</v>
      </c>
      <c r="BU37" s="111">
        <f t="shared" ref="BU37:BU39" si="47">+P37-BQ37</f>
        <v>0</v>
      </c>
      <c r="BV37" s="111">
        <f t="shared" ref="BV37:BV39" si="48">+Q37-BR37</f>
        <v>0</v>
      </c>
    </row>
    <row r="38" spans="1:74" s="95" customFormat="1">
      <c r="A38" s="95" t="s">
        <v>935</v>
      </c>
      <c r="B38" s="1288" t="s">
        <v>481</v>
      </c>
      <c r="C38" s="1279">
        <v>6152000</v>
      </c>
      <c r="D38" s="1279">
        <v>8882000</v>
      </c>
      <c r="E38" s="1279">
        <v>0</v>
      </c>
      <c r="F38" s="1279">
        <f t="shared" si="32"/>
        <v>15034000</v>
      </c>
      <c r="G38" s="1279">
        <v>467000</v>
      </c>
      <c r="H38" s="1279">
        <v>-467000</v>
      </c>
      <c r="I38" s="1279"/>
      <c r="J38" s="1279">
        <f t="shared" si="25"/>
        <v>0</v>
      </c>
      <c r="K38" s="1279">
        <f t="shared" si="0"/>
        <v>6619000</v>
      </c>
      <c r="L38" s="1279">
        <f t="shared" si="1"/>
        <v>8415000</v>
      </c>
      <c r="M38" s="1279">
        <f t="shared" si="2"/>
        <v>0</v>
      </c>
      <c r="N38" s="1279">
        <f t="shared" si="3"/>
        <v>15034000</v>
      </c>
      <c r="O38" s="1279">
        <v>6619000</v>
      </c>
      <c r="P38" s="1279">
        <v>8415000</v>
      </c>
      <c r="Q38" s="1279">
        <v>0</v>
      </c>
      <c r="R38" s="1279">
        <f t="shared" si="6"/>
        <v>15034000</v>
      </c>
      <c r="S38" s="1279"/>
      <c r="T38" s="1279"/>
      <c r="U38" s="1279"/>
      <c r="V38" s="1279">
        <f t="shared" si="33"/>
        <v>0</v>
      </c>
      <c r="W38" s="1279"/>
      <c r="X38" s="1279"/>
      <c r="Y38" s="1279"/>
      <c r="Z38" s="1279">
        <f t="shared" si="7"/>
        <v>0</v>
      </c>
      <c r="AA38" s="1279">
        <f t="shared" si="8"/>
        <v>6619000</v>
      </c>
      <c r="AB38" s="1279">
        <f t="shared" si="9"/>
        <v>8415000</v>
      </c>
      <c r="AC38" s="1279">
        <f t="shared" si="10"/>
        <v>0</v>
      </c>
      <c r="AD38" s="1279">
        <f t="shared" si="11"/>
        <v>15034000</v>
      </c>
      <c r="AE38" s="1279">
        <f>+'CY (ALL FUNDS)'!J1646</f>
        <v>5651582.1199999992</v>
      </c>
      <c r="AF38" s="1279">
        <f>+'CY (ALL FUNDS)'!K1646</f>
        <v>5303760.1999999993</v>
      </c>
      <c r="AG38" s="1279">
        <f>+'CY (ALL FUNDS)'!L1646</f>
        <v>0</v>
      </c>
      <c r="AH38" s="1279">
        <f t="shared" si="34"/>
        <v>10955342.319999998</v>
      </c>
      <c r="AI38" s="1279">
        <f>+'CY (ALL FUNDS)'!J1647</f>
        <v>0</v>
      </c>
      <c r="AJ38" s="1279">
        <f>+'CY (ALL FUNDS)'!K1647</f>
        <v>0</v>
      </c>
      <c r="AK38" s="1279">
        <f>+'CY (ALL FUNDS)'!L1647</f>
        <v>0</v>
      </c>
      <c r="AL38" s="1279">
        <f t="shared" si="35"/>
        <v>0</v>
      </c>
      <c r="AM38" s="1279">
        <f t="shared" si="43"/>
        <v>5651582.1199999992</v>
      </c>
      <c r="AN38" s="1279">
        <f t="shared" si="44"/>
        <v>5303760.1999999993</v>
      </c>
      <c r="AO38" s="1279">
        <f t="shared" si="45"/>
        <v>0</v>
      </c>
      <c r="AP38" s="1279">
        <f t="shared" si="12"/>
        <v>10955342.319999998</v>
      </c>
      <c r="AQ38" s="1279">
        <f t="shared" si="13"/>
        <v>967417.88000000082</v>
      </c>
      <c r="AR38" s="1279">
        <f t="shared" si="14"/>
        <v>3111239.8000000007</v>
      </c>
      <c r="AS38" s="1279">
        <f t="shared" si="15"/>
        <v>0</v>
      </c>
      <c r="AT38" s="1279">
        <f t="shared" si="16"/>
        <v>4078657.6800000016</v>
      </c>
      <c r="AU38" s="1280">
        <f t="shared" si="17"/>
        <v>0.85384229037618964</v>
      </c>
      <c r="AV38" s="1280">
        <f t="shared" si="18"/>
        <v>0.63027453357100405</v>
      </c>
      <c r="AW38" s="1280" t="str">
        <f t="shared" si="19"/>
        <v xml:space="preserve"> </v>
      </c>
      <c r="AX38" s="1280">
        <f t="shared" si="20"/>
        <v>0.7287044246374883</v>
      </c>
      <c r="AY38" s="1279">
        <f t="shared" si="21"/>
        <v>0</v>
      </c>
      <c r="AZ38" s="1279">
        <f t="shared" si="22"/>
        <v>0</v>
      </c>
      <c r="BA38" s="1279">
        <f t="shared" si="23"/>
        <v>0</v>
      </c>
      <c r="BB38" s="1279">
        <f t="shared" si="24"/>
        <v>0</v>
      </c>
      <c r="BC38" s="590"/>
      <c r="BP38" s="147">
        <f>+'CY (ALL FUNDS)'!F1646</f>
        <v>6619000</v>
      </c>
      <c r="BQ38" s="95">
        <f>+'CY (ALL FUNDS)'!G1646</f>
        <v>8415000</v>
      </c>
      <c r="BR38" s="95">
        <f>+'CY (ALL FUNDS)'!H1646</f>
        <v>0</v>
      </c>
      <c r="BT38" s="111">
        <f t="shared" si="46"/>
        <v>0</v>
      </c>
      <c r="BU38" s="111">
        <f t="shared" si="47"/>
        <v>0</v>
      </c>
      <c r="BV38" s="111">
        <f t="shared" si="48"/>
        <v>0</v>
      </c>
    </row>
    <row r="39" spans="1:74" s="95" customFormat="1">
      <c r="A39" s="95" t="s">
        <v>935</v>
      </c>
      <c r="B39" s="1288" t="s">
        <v>482</v>
      </c>
      <c r="C39" s="1279">
        <v>5603000</v>
      </c>
      <c r="D39" s="1279">
        <v>8868000</v>
      </c>
      <c r="E39" s="1279">
        <v>0</v>
      </c>
      <c r="F39" s="1279">
        <f t="shared" si="32"/>
        <v>14471000</v>
      </c>
      <c r="G39" s="1279"/>
      <c r="H39" s="1279"/>
      <c r="I39" s="1279"/>
      <c r="J39" s="1279">
        <f t="shared" si="25"/>
        <v>0</v>
      </c>
      <c r="K39" s="1279">
        <f t="shared" si="0"/>
        <v>5603000</v>
      </c>
      <c r="L39" s="1279">
        <f t="shared" si="1"/>
        <v>8868000</v>
      </c>
      <c r="M39" s="1279">
        <f t="shared" si="2"/>
        <v>0</v>
      </c>
      <c r="N39" s="1279">
        <f t="shared" si="3"/>
        <v>14471000</v>
      </c>
      <c r="O39" s="1279">
        <v>5603000</v>
      </c>
      <c r="P39" s="1279">
        <v>8868000</v>
      </c>
      <c r="Q39" s="1279">
        <v>0</v>
      </c>
      <c r="R39" s="1279">
        <f t="shared" si="6"/>
        <v>14471000</v>
      </c>
      <c r="S39" s="1279"/>
      <c r="T39" s="1279"/>
      <c r="U39" s="1279"/>
      <c r="V39" s="1279">
        <f t="shared" si="33"/>
        <v>0</v>
      </c>
      <c r="W39" s="1279"/>
      <c r="X39" s="1279"/>
      <c r="Y39" s="1279"/>
      <c r="Z39" s="1279">
        <f t="shared" si="7"/>
        <v>0</v>
      </c>
      <c r="AA39" s="1279">
        <f t="shared" si="8"/>
        <v>5603000</v>
      </c>
      <c r="AB39" s="1279">
        <f t="shared" si="9"/>
        <v>8868000</v>
      </c>
      <c r="AC39" s="1279">
        <f t="shared" si="10"/>
        <v>0</v>
      </c>
      <c r="AD39" s="1279">
        <f t="shared" si="11"/>
        <v>14471000</v>
      </c>
      <c r="AE39" s="1279">
        <f>+'CY (ALL FUNDS)'!J1659</f>
        <v>5401225.2199999997</v>
      </c>
      <c r="AF39" s="1279">
        <f>+'CY (ALL FUNDS)'!K1659</f>
        <v>8154534.4900000002</v>
      </c>
      <c r="AG39" s="1279">
        <f>+'CY (ALL FUNDS)'!L1659</f>
        <v>0</v>
      </c>
      <c r="AH39" s="1279">
        <f t="shared" si="34"/>
        <v>13555759.710000001</v>
      </c>
      <c r="AI39" s="1279">
        <f>+'CY (ALL FUNDS)'!J1660</f>
        <v>0</v>
      </c>
      <c r="AJ39" s="1279">
        <f>+'CY (ALL FUNDS)'!K1660</f>
        <v>0</v>
      </c>
      <c r="AK39" s="1279">
        <f>+'CY (ALL FUNDS)'!L1660</f>
        <v>0</v>
      </c>
      <c r="AL39" s="1279">
        <f t="shared" si="35"/>
        <v>0</v>
      </c>
      <c r="AM39" s="1279">
        <f t="shared" si="43"/>
        <v>5401225.2199999997</v>
      </c>
      <c r="AN39" s="1279">
        <f t="shared" si="44"/>
        <v>8154534.4900000002</v>
      </c>
      <c r="AO39" s="1279">
        <f t="shared" si="45"/>
        <v>0</v>
      </c>
      <c r="AP39" s="1279">
        <f t="shared" si="12"/>
        <v>13555759.710000001</v>
      </c>
      <c r="AQ39" s="1279">
        <f t="shared" si="13"/>
        <v>201774.78000000026</v>
      </c>
      <c r="AR39" s="1279">
        <f t="shared" si="14"/>
        <v>713465.50999999978</v>
      </c>
      <c r="AS39" s="1279">
        <f t="shared" si="15"/>
        <v>0</v>
      </c>
      <c r="AT39" s="1279">
        <f t="shared" si="16"/>
        <v>915240.29</v>
      </c>
      <c r="AU39" s="1280">
        <f t="shared" si="17"/>
        <v>0.96398808138497227</v>
      </c>
      <c r="AV39" s="1280">
        <f t="shared" si="18"/>
        <v>0.91954606337392875</v>
      </c>
      <c r="AW39" s="1280" t="str">
        <f t="shared" si="19"/>
        <v xml:space="preserve"> </v>
      </c>
      <c r="AX39" s="1280">
        <f t="shared" si="20"/>
        <v>0.936753486973948</v>
      </c>
      <c r="AY39" s="1279">
        <f t="shared" si="21"/>
        <v>0</v>
      </c>
      <c r="AZ39" s="1279">
        <f t="shared" si="22"/>
        <v>0</v>
      </c>
      <c r="BA39" s="1279">
        <f t="shared" si="23"/>
        <v>0</v>
      </c>
      <c r="BB39" s="1279">
        <f t="shared" si="24"/>
        <v>0</v>
      </c>
      <c r="BC39" s="590"/>
      <c r="BP39" s="147">
        <f>+'CY (ALL FUNDS)'!F1659</f>
        <v>5603000</v>
      </c>
      <c r="BQ39" s="95">
        <f>+'CY (ALL FUNDS)'!G1659</f>
        <v>8868000</v>
      </c>
      <c r="BR39" s="95">
        <f>+'CY (ALL FUNDS)'!H1659</f>
        <v>0</v>
      </c>
      <c r="BT39" s="111">
        <f t="shared" si="46"/>
        <v>0</v>
      </c>
      <c r="BU39" s="111">
        <f t="shared" si="47"/>
        <v>0</v>
      </c>
      <c r="BV39" s="111">
        <f t="shared" si="48"/>
        <v>0</v>
      </c>
    </row>
    <row r="40" spans="1:74" s="95" customFormat="1">
      <c r="A40" s="95" t="s">
        <v>913</v>
      </c>
      <c r="B40" s="1289" t="s">
        <v>483</v>
      </c>
      <c r="C40" s="1279">
        <v>28195000</v>
      </c>
      <c r="D40" s="1279">
        <v>23255000</v>
      </c>
      <c r="E40" s="1279">
        <v>0</v>
      </c>
      <c r="F40" s="1279">
        <f t="shared" si="32"/>
        <v>51450000</v>
      </c>
      <c r="G40" s="1279"/>
      <c r="H40" s="1279"/>
      <c r="I40" s="1279"/>
      <c r="J40" s="1279">
        <f t="shared" si="25"/>
        <v>0</v>
      </c>
      <c r="K40" s="1279">
        <f t="shared" si="0"/>
        <v>28195000</v>
      </c>
      <c r="L40" s="1279">
        <f t="shared" si="1"/>
        <v>23255000</v>
      </c>
      <c r="M40" s="1279">
        <f t="shared" si="2"/>
        <v>0</v>
      </c>
      <c r="N40" s="1279">
        <f t="shared" si="3"/>
        <v>51450000</v>
      </c>
      <c r="O40" s="1279">
        <v>28195000</v>
      </c>
      <c r="P40" s="1279">
        <v>23255000</v>
      </c>
      <c r="Q40" s="1279">
        <v>0</v>
      </c>
      <c r="R40" s="1279">
        <f t="shared" si="6"/>
        <v>51450000</v>
      </c>
      <c r="S40" s="1279"/>
      <c r="T40" s="1279"/>
      <c r="U40" s="1279"/>
      <c r="V40" s="1279">
        <f t="shared" si="33"/>
        <v>0</v>
      </c>
      <c r="W40" s="1279">
        <f>-+'OSEC-CY'!H98</f>
        <v>0</v>
      </c>
      <c r="X40" s="1279">
        <f>-+'OSEC-CY'!H99</f>
        <v>0</v>
      </c>
      <c r="Y40" s="1279">
        <f>-+'OSEC-CY'!H100</f>
        <v>0</v>
      </c>
      <c r="Z40" s="1279">
        <f t="shared" si="7"/>
        <v>0</v>
      </c>
      <c r="AA40" s="1279">
        <f t="shared" si="8"/>
        <v>28195000</v>
      </c>
      <c r="AB40" s="1279">
        <f t="shared" si="9"/>
        <v>23255000</v>
      </c>
      <c r="AC40" s="1279">
        <f t="shared" si="10"/>
        <v>0</v>
      </c>
      <c r="AD40" s="1279">
        <f t="shared" si="11"/>
        <v>51450000</v>
      </c>
      <c r="AE40" s="1279">
        <f>+'OSEC-CY'!I98</f>
        <v>23752356.670000002</v>
      </c>
      <c r="AF40" s="1279">
        <f>+'OSEC-CY'!I99</f>
        <v>16130769.859999999</v>
      </c>
      <c r="AG40" s="1279">
        <f>+'OSEC-CY'!I100</f>
        <v>0</v>
      </c>
      <c r="AH40" s="1279">
        <f t="shared" si="34"/>
        <v>39883126.530000001</v>
      </c>
      <c r="AI40" s="1279"/>
      <c r="AJ40" s="1279"/>
      <c r="AK40" s="1279"/>
      <c r="AL40" s="1279">
        <f t="shared" si="35"/>
        <v>0</v>
      </c>
      <c r="AM40" s="1279">
        <f t="shared" si="43"/>
        <v>23752356.670000002</v>
      </c>
      <c r="AN40" s="1279">
        <f t="shared" si="44"/>
        <v>16130769.859999999</v>
      </c>
      <c r="AO40" s="1279">
        <f t="shared" si="45"/>
        <v>0</v>
      </c>
      <c r="AP40" s="1279">
        <f t="shared" si="12"/>
        <v>39883126.530000001</v>
      </c>
      <c r="AQ40" s="1279">
        <f t="shared" si="13"/>
        <v>4442643.3299999982</v>
      </c>
      <c r="AR40" s="1279">
        <f t="shared" si="14"/>
        <v>7124230.1400000006</v>
      </c>
      <c r="AS40" s="1279">
        <f t="shared" si="15"/>
        <v>0</v>
      </c>
      <c r="AT40" s="1279">
        <f t="shared" si="16"/>
        <v>11566873.469999999</v>
      </c>
      <c r="AU40" s="1280">
        <f t="shared" si="17"/>
        <v>0.84243151870899102</v>
      </c>
      <c r="AV40" s="1280">
        <f t="shared" si="18"/>
        <v>0.69364738163835726</v>
      </c>
      <c r="AW40" s="1280" t="str">
        <f t="shared" si="19"/>
        <v xml:space="preserve"> </v>
      </c>
      <c r="AX40" s="1280">
        <f t="shared" si="20"/>
        <v>0.77518224548104964</v>
      </c>
      <c r="AY40" s="1279">
        <f t="shared" si="21"/>
        <v>0</v>
      </c>
      <c r="AZ40" s="1279">
        <f t="shared" si="22"/>
        <v>0</v>
      </c>
      <c r="BA40" s="1279">
        <f t="shared" si="23"/>
        <v>0</v>
      </c>
      <c r="BB40" s="1279">
        <f t="shared" si="24"/>
        <v>0</v>
      </c>
      <c r="BC40" s="590"/>
      <c r="BP40" s="147">
        <f>+'OSEC-CY'!F98</f>
        <v>28195000</v>
      </c>
      <c r="BQ40" s="95">
        <f>+'OSEC-CY'!F99</f>
        <v>23255000</v>
      </c>
      <c r="BR40" s="95">
        <f>+'OSEC-CY'!F100</f>
        <v>0</v>
      </c>
      <c r="BT40" s="111">
        <f t="shared" si="26"/>
        <v>0</v>
      </c>
      <c r="BU40" s="111">
        <f t="shared" si="27"/>
        <v>0</v>
      </c>
      <c r="BV40" s="111">
        <f t="shared" si="28"/>
        <v>0</v>
      </c>
    </row>
    <row r="41" spans="1:74" s="95" customFormat="1">
      <c r="A41" s="95" t="s">
        <v>935</v>
      </c>
      <c r="B41" s="1289" t="s">
        <v>484</v>
      </c>
      <c r="C41" s="1279">
        <v>26812000</v>
      </c>
      <c r="D41" s="1279">
        <v>17552000</v>
      </c>
      <c r="E41" s="1279">
        <v>0</v>
      </c>
      <c r="F41" s="1279">
        <f t="shared" si="32"/>
        <v>44364000</v>
      </c>
      <c r="G41" s="1279"/>
      <c r="H41" s="1279"/>
      <c r="I41" s="1279"/>
      <c r="J41" s="1279">
        <f t="shared" si="25"/>
        <v>0</v>
      </c>
      <c r="K41" s="1279">
        <f t="shared" si="0"/>
        <v>26812000</v>
      </c>
      <c r="L41" s="1279">
        <f t="shared" si="1"/>
        <v>17552000</v>
      </c>
      <c r="M41" s="1279">
        <f t="shared" si="2"/>
        <v>0</v>
      </c>
      <c r="N41" s="1279">
        <f t="shared" si="3"/>
        <v>44364000</v>
      </c>
      <c r="O41" s="1279">
        <v>26812000</v>
      </c>
      <c r="P41" s="1279">
        <v>17552000</v>
      </c>
      <c r="Q41" s="1279">
        <v>0</v>
      </c>
      <c r="R41" s="1279">
        <f t="shared" si="6"/>
        <v>44364000</v>
      </c>
      <c r="S41" s="1279"/>
      <c r="T41" s="1279"/>
      <c r="U41" s="1279"/>
      <c r="V41" s="1279">
        <f t="shared" si="33"/>
        <v>0</v>
      </c>
      <c r="W41" s="1279">
        <f>-+'OSEC-CY'!H104</f>
        <v>0</v>
      </c>
      <c r="X41" s="1279">
        <f>-+'OSEC-CY'!H105</f>
        <v>0</v>
      </c>
      <c r="Y41" s="1279">
        <f>-+'OSEC-CY'!H106</f>
        <v>0</v>
      </c>
      <c r="Z41" s="1279">
        <f t="shared" si="7"/>
        <v>0</v>
      </c>
      <c r="AA41" s="1279">
        <f t="shared" si="8"/>
        <v>26812000</v>
      </c>
      <c r="AB41" s="1279">
        <f t="shared" si="9"/>
        <v>17552000</v>
      </c>
      <c r="AC41" s="1279">
        <f t="shared" si="10"/>
        <v>0</v>
      </c>
      <c r="AD41" s="1279">
        <f t="shared" si="11"/>
        <v>44364000</v>
      </c>
      <c r="AE41" s="1279">
        <f>+'OSEC-CY'!I104</f>
        <v>22409109.059999999</v>
      </c>
      <c r="AF41" s="1279">
        <f>+'OSEC-CY'!I105</f>
        <v>8351656.3800000018</v>
      </c>
      <c r="AG41" s="1279">
        <f>+'OSEC-CY'!I106</f>
        <v>0</v>
      </c>
      <c r="AH41" s="1279">
        <f t="shared" si="34"/>
        <v>30760765.440000001</v>
      </c>
      <c r="AI41" s="1279"/>
      <c r="AJ41" s="1279"/>
      <c r="AK41" s="1279"/>
      <c r="AL41" s="1279">
        <f t="shared" si="35"/>
        <v>0</v>
      </c>
      <c r="AM41" s="1279">
        <f t="shared" si="43"/>
        <v>22409109.059999999</v>
      </c>
      <c r="AN41" s="1279">
        <f t="shared" si="44"/>
        <v>8351656.3800000018</v>
      </c>
      <c r="AO41" s="1279">
        <f t="shared" si="45"/>
        <v>0</v>
      </c>
      <c r="AP41" s="1279">
        <f t="shared" si="12"/>
        <v>30760765.440000001</v>
      </c>
      <c r="AQ41" s="1279">
        <f t="shared" si="13"/>
        <v>4402890.9400000013</v>
      </c>
      <c r="AR41" s="1279">
        <f t="shared" si="14"/>
        <v>9200343.6199999973</v>
      </c>
      <c r="AS41" s="1279">
        <f t="shared" si="15"/>
        <v>0</v>
      </c>
      <c r="AT41" s="1279">
        <f t="shared" si="16"/>
        <v>13603234.559999999</v>
      </c>
      <c r="AU41" s="1280">
        <f t="shared" si="17"/>
        <v>0.83578655303595395</v>
      </c>
      <c r="AV41" s="1280">
        <f t="shared" si="18"/>
        <v>0.47582363149498641</v>
      </c>
      <c r="AW41" s="1280" t="str">
        <f t="shared" si="19"/>
        <v xml:space="preserve"> </v>
      </c>
      <c r="AX41" s="1280">
        <f t="shared" si="20"/>
        <v>0.69337222612929406</v>
      </c>
      <c r="AY41" s="1279">
        <f t="shared" si="21"/>
        <v>0</v>
      </c>
      <c r="AZ41" s="1279">
        <f t="shared" si="22"/>
        <v>0</v>
      </c>
      <c r="BA41" s="1279">
        <f t="shared" si="23"/>
        <v>0</v>
      </c>
      <c r="BB41" s="1279">
        <f t="shared" si="24"/>
        <v>0</v>
      </c>
      <c r="BC41" s="590"/>
      <c r="BP41" s="147">
        <f>+'OSEC-CY'!F104</f>
        <v>26812000</v>
      </c>
      <c r="BQ41" s="95">
        <f>+'OSEC-CY'!F105</f>
        <v>17552000</v>
      </c>
      <c r="BR41" s="95">
        <f>+'OSEC-CY'!F106</f>
        <v>0</v>
      </c>
      <c r="BT41" s="111">
        <f t="shared" si="26"/>
        <v>0</v>
      </c>
      <c r="BU41" s="111">
        <f t="shared" si="27"/>
        <v>0</v>
      </c>
      <c r="BV41" s="111">
        <f t="shared" si="28"/>
        <v>0</v>
      </c>
    </row>
    <row r="42" spans="1:74" s="95" customFormat="1" ht="33">
      <c r="A42" s="95" t="s">
        <v>913</v>
      </c>
      <c r="B42" s="1289" t="s">
        <v>485</v>
      </c>
      <c r="C42" s="1279">
        <v>71193000</v>
      </c>
      <c r="D42" s="1279">
        <v>42500000</v>
      </c>
      <c r="E42" s="1279">
        <v>22000000</v>
      </c>
      <c r="F42" s="1279">
        <f t="shared" si="32"/>
        <v>135693000</v>
      </c>
      <c r="G42" s="1279"/>
      <c r="H42" s="1279"/>
      <c r="I42" s="1279"/>
      <c r="J42" s="1279">
        <f t="shared" si="25"/>
        <v>0</v>
      </c>
      <c r="K42" s="1279">
        <f t="shared" si="0"/>
        <v>71193000</v>
      </c>
      <c r="L42" s="1279">
        <f t="shared" si="1"/>
        <v>42500000</v>
      </c>
      <c r="M42" s="1279">
        <f t="shared" si="2"/>
        <v>22000000</v>
      </c>
      <c r="N42" s="1279">
        <f t="shared" si="3"/>
        <v>135693000</v>
      </c>
      <c r="O42" s="1279">
        <v>71193000</v>
      </c>
      <c r="P42" s="103">
        <f>+'CY (ALL FUNDS)'!G1830</f>
        <v>42500000</v>
      </c>
      <c r="Q42" s="1279">
        <v>22000000</v>
      </c>
      <c r="R42" s="1279">
        <f t="shared" si="6"/>
        <v>135693000</v>
      </c>
      <c r="S42" s="1279"/>
      <c r="T42" s="1279"/>
      <c r="U42" s="1279"/>
      <c r="V42" s="1279">
        <f t="shared" si="33"/>
        <v>0</v>
      </c>
      <c r="W42" s="1279">
        <f>+'CY (ALL FUNDS)'!F1689</f>
        <v>0</v>
      </c>
      <c r="X42" s="1279">
        <f>+'CY (ALL FUNDS)'!G1689</f>
        <v>0</v>
      </c>
      <c r="Y42" s="1279">
        <f>+'CY (ALL FUNDS)'!H1689</f>
        <v>0</v>
      </c>
      <c r="Z42" s="1279">
        <f t="shared" si="7"/>
        <v>0</v>
      </c>
      <c r="AA42" s="1279">
        <f t="shared" si="8"/>
        <v>71193000</v>
      </c>
      <c r="AB42" s="1279">
        <f t="shared" si="9"/>
        <v>42500000</v>
      </c>
      <c r="AC42" s="1279">
        <f t="shared" si="10"/>
        <v>22000000</v>
      </c>
      <c r="AD42" s="1279">
        <f t="shared" si="11"/>
        <v>135693000</v>
      </c>
      <c r="AE42" s="1279">
        <f>+'CY (ALL FUNDS)'!J1688</f>
        <v>67758248.069999993</v>
      </c>
      <c r="AF42" s="1279">
        <f>+'CY (ALL FUNDS)'!K1690</f>
        <v>35715646.200000003</v>
      </c>
      <c r="AG42" s="1279">
        <f>+'CY (ALL FUNDS)'!L1688</f>
        <v>8121591.8600000003</v>
      </c>
      <c r="AH42" s="1279">
        <f t="shared" si="34"/>
        <v>111595486.13</v>
      </c>
      <c r="AI42" s="1279">
        <f>+'CY (ALL FUNDS)'!J1689</f>
        <v>0</v>
      </c>
      <c r="AJ42" s="1279">
        <f>+'CY (ALL FUNDS)'!K1689</f>
        <v>0</v>
      </c>
      <c r="AK42" s="1279">
        <f>+'CY (ALL FUNDS)'!L1689</f>
        <v>0</v>
      </c>
      <c r="AL42" s="1279">
        <f t="shared" si="35"/>
        <v>0</v>
      </c>
      <c r="AM42" s="1279">
        <f t="shared" si="43"/>
        <v>67758248.069999993</v>
      </c>
      <c r="AN42" s="1279">
        <f t="shared" si="44"/>
        <v>35715646.200000003</v>
      </c>
      <c r="AO42" s="1279">
        <f t="shared" si="45"/>
        <v>8121591.8600000003</v>
      </c>
      <c r="AP42" s="1279">
        <f t="shared" si="12"/>
        <v>111595486.13</v>
      </c>
      <c r="AQ42" s="1279">
        <f t="shared" si="13"/>
        <v>3434751.9300000072</v>
      </c>
      <c r="AR42" s="1279">
        <f t="shared" si="14"/>
        <v>6784353.799999997</v>
      </c>
      <c r="AS42" s="1279">
        <f t="shared" si="15"/>
        <v>13878408.140000001</v>
      </c>
      <c r="AT42" s="1279">
        <f t="shared" si="16"/>
        <v>24097513.870000005</v>
      </c>
      <c r="AU42" s="1280">
        <f t="shared" si="17"/>
        <v>0.95175435885550541</v>
      </c>
      <c r="AV42" s="1280">
        <f t="shared" si="18"/>
        <v>0.84036814588235298</v>
      </c>
      <c r="AW42" s="1280">
        <f t="shared" si="19"/>
        <v>0.36916326636363639</v>
      </c>
      <c r="AX42" s="1280">
        <f t="shared" si="20"/>
        <v>0.82241151813284397</v>
      </c>
      <c r="AY42" s="1279">
        <f t="shared" si="21"/>
        <v>0</v>
      </c>
      <c r="AZ42" s="1279">
        <f t="shared" si="22"/>
        <v>0</v>
      </c>
      <c r="BA42" s="1279">
        <f t="shared" si="23"/>
        <v>0</v>
      </c>
      <c r="BB42" s="1279">
        <f t="shared" si="24"/>
        <v>0</v>
      </c>
      <c r="BC42" s="590" t="s">
        <v>697</v>
      </c>
      <c r="BP42" s="147">
        <f>+'CY (ALL FUNDS)'!F1688</f>
        <v>71193000</v>
      </c>
      <c r="BQ42" s="95">
        <f>+'CY (ALL FUNDS)'!G1688+'CY (ALL FUNDS)'!G1690</f>
        <v>42500000</v>
      </c>
      <c r="BR42" s="95">
        <f>+'CY (ALL FUNDS)'!H1688</f>
        <v>22000000</v>
      </c>
      <c r="BT42" s="111">
        <f t="shared" ref="BT42" si="49">+O42-BP42</f>
        <v>0</v>
      </c>
      <c r="BU42" s="111">
        <f t="shared" ref="BU42" si="50">+P42-BQ42</f>
        <v>0</v>
      </c>
      <c r="BV42" s="111">
        <f t="shared" ref="BV42" si="51">+Q42-BR42</f>
        <v>0</v>
      </c>
    </row>
    <row r="43" spans="1:74" s="95" customFormat="1" ht="48">
      <c r="A43" s="95" t="s">
        <v>897</v>
      </c>
      <c r="B43" s="1290" t="s">
        <v>486</v>
      </c>
      <c r="C43" s="1279">
        <v>0</v>
      </c>
      <c r="D43" s="1279">
        <v>1038116000</v>
      </c>
      <c r="E43" s="1279">
        <v>0</v>
      </c>
      <c r="F43" s="1279">
        <f t="shared" si="32"/>
        <v>1038116000</v>
      </c>
      <c r="G43" s="1279"/>
      <c r="H43" s="1279"/>
      <c r="I43" s="1279"/>
      <c r="J43" s="1279">
        <f t="shared" si="25"/>
        <v>0</v>
      </c>
      <c r="K43" s="1279">
        <f t="shared" si="0"/>
        <v>0</v>
      </c>
      <c r="L43" s="1279">
        <f t="shared" si="1"/>
        <v>1038116000</v>
      </c>
      <c r="M43" s="1279">
        <f t="shared" si="2"/>
        <v>0</v>
      </c>
      <c r="N43" s="1279">
        <f t="shared" si="3"/>
        <v>1038116000</v>
      </c>
      <c r="O43" s="1279">
        <v>0</v>
      </c>
      <c r="P43" s="1279">
        <v>1038116000</v>
      </c>
      <c r="Q43" s="1279">
        <v>0</v>
      </c>
      <c r="R43" s="1279">
        <f t="shared" si="6"/>
        <v>1038116000</v>
      </c>
      <c r="S43" s="1279"/>
      <c r="T43" s="1279"/>
      <c r="U43" s="1279"/>
      <c r="V43" s="1279">
        <f t="shared" si="33"/>
        <v>0</v>
      </c>
      <c r="W43" s="1279">
        <f>-+'OSEC-CY'!H110</f>
        <v>0</v>
      </c>
      <c r="X43" s="1279">
        <f>-+'OSEC-CY'!H111</f>
        <v>-67325400</v>
      </c>
      <c r="Y43" s="1279">
        <f>-+'OSEC-CY'!H112</f>
        <v>0</v>
      </c>
      <c r="Z43" s="1279">
        <f t="shared" si="7"/>
        <v>-67325400</v>
      </c>
      <c r="AA43" s="1279">
        <f t="shared" si="8"/>
        <v>0</v>
      </c>
      <c r="AB43" s="1279">
        <f t="shared" si="9"/>
        <v>970790600</v>
      </c>
      <c r="AC43" s="1279">
        <f t="shared" si="10"/>
        <v>0</v>
      </c>
      <c r="AD43" s="1279">
        <f t="shared" si="11"/>
        <v>970790600</v>
      </c>
      <c r="AE43" s="1279">
        <f>+'OSEC-CY'!I110</f>
        <v>0</v>
      </c>
      <c r="AF43" s="1279">
        <f>+'OSEC-CY'!I111</f>
        <v>733624734.60000014</v>
      </c>
      <c r="AG43" s="1279">
        <f>+'OSEC-CY'!I112</f>
        <v>0</v>
      </c>
      <c r="AH43" s="1279">
        <f t="shared" si="34"/>
        <v>733624734.60000014</v>
      </c>
      <c r="AI43" s="1279"/>
      <c r="AJ43" s="1279"/>
      <c r="AK43" s="1279"/>
      <c r="AL43" s="1279">
        <f t="shared" si="35"/>
        <v>0</v>
      </c>
      <c r="AM43" s="1279">
        <f t="shared" si="43"/>
        <v>0</v>
      </c>
      <c r="AN43" s="1279">
        <f t="shared" si="44"/>
        <v>733624734.60000014</v>
      </c>
      <c r="AO43" s="1279">
        <f t="shared" si="45"/>
        <v>0</v>
      </c>
      <c r="AP43" s="1279">
        <f t="shared" si="12"/>
        <v>733624734.60000014</v>
      </c>
      <c r="AQ43" s="1279">
        <f t="shared" si="13"/>
        <v>0</v>
      </c>
      <c r="AR43" s="1279">
        <f t="shared" si="14"/>
        <v>237165865.39999986</v>
      </c>
      <c r="AS43" s="1279">
        <f t="shared" si="15"/>
        <v>0</v>
      </c>
      <c r="AT43" s="1279">
        <f t="shared" si="16"/>
        <v>237165865.39999986</v>
      </c>
      <c r="AU43" s="1280" t="str">
        <f t="shared" si="17"/>
        <v xml:space="preserve"> </v>
      </c>
      <c r="AV43" s="1280">
        <f t="shared" si="18"/>
        <v>0.75569822637343231</v>
      </c>
      <c r="AW43" s="1280" t="str">
        <f t="shared" si="19"/>
        <v xml:space="preserve"> </v>
      </c>
      <c r="AX43" s="1280">
        <f t="shared" si="20"/>
        <v>0.75569822637343231</v>
      </c>
      <c r="AY43" s="1279">
        <f t="shared" si="21"/>
        <v>0</v>
      </c>
      <c r="AZ43" s="1279">
        <f t="shared" si="22"/>
        <v>0</v>
      </c>
      <c r="BA43" s="1279">
        <f t="shared" si="23"/>
        <v>0</v>
      </c>
      <c r="BB43" s="1279">
        <f t="shared" si="24"/>
        <v>0</v>
      </c>
      <c r="BC43" s="590"/>
      <c r="BP43" s="147">
        <f>+'OSEC-CY'!F110</f>
        <v>0</v>
      </c>
      <c r="BQ43" s="95">
        <f>+'OSEC-CY'!F111</f>
        <v>1038116000</v>
      </c>
      <c r="BR43" s="95">
        <f>+'OSEC-CY'!F112</f>
        <v>0</v>
      </c>
      <c r="BT43" s="111">
        <f t="shared" si="26"/>
        <v>0</v>
      </c>
      <c r="BU43" s="111">
        <f t="shared" si="27"/>
        <v>0</v>
      </c>
      <c r="BV43" s="111">
        <f t="shared" si="28"/>
        <v>0</v>
      </c>
    </row>
    <row r="44" spans="1:74">
      <c r="B44" s="1271"/>
      <c r="C44" s="1218"/>
      <c r="D44" s="1218"/>
      <c r="E44" s="1218"/>
      <c r="F44" s="1218"/>
      <c r="G44" s="1218"/>
      <c r="H44" s="1218"/>
      <c r="I44" s="1218"/>
      <c r="J44" s="1218">
        <f t="shared" si="25"/>
        <v>0</v>
      </c>
      <c r="K44" s="1218">
        <f t="shared" si="0"/>
        <v>0</v>
      </c>
      <c r="L44" s="1218">
        <f t="shared" si="1"/>
        <v>0</v>
      </c>
      <c r="M44" s="1218">
        <f t="shared" si="2"/>
        <v>0</v>
      </c>
      <c r="N44" s="1218">
        <f t="shared" si="3"/>
        <v>0</v>
      </c>
      <c r="O44" s="1218"/>
      <c r="P44" s="1218"/>
      <c r="Q44" s="1218"/>
      <c r="R44" s="1218">
        <f t="shared" si="6"/>
        <v>0</v>
      </c>
      <c r="S44" s="1218"/>
      <c r="T44" s="1218"/>
      <c r="U44" s="1218"/>
      <c r="V44" s="1218"/>
      <c r="W44" s="1218"/>
      <c r="X44" s="1218"/>
      <c r="Y44" s="1218"/>
      <c r="Z44" s="1218">
        <f t="shared" si="7"/>
        <v>0</v>
      </c>
      <c r="AA44" s="1218">
        <f t="shared" si="8"/>
        <v>0</v>
      </c>
      <c r="AB44" s="1218">
        <f t="shared" si="9"/>
        <v>0</v>
      </c>
      <c r="AC44" s="1218">
        <f t="shared" si="10"/>
        <v>0</v>
      </c>
      <c r="AD44" s="1218">
        <f t="shared" si="11"/>
        <v>0</v>
      </c>
      <c r="AE44" s="1218"/>
      <c r="AF44" s="1218"/>
      <c r="AG44" s="1218"/>
      <c r="AH44" s="1218"/>
      <c r="AI44" s="1218"/>
      <c r="AJ44" s="1218"/>
      <c r="AK44" s="1218"/>
      <c r="AL44" s="1218"/>
      <c r="AM44" s="1218"/>
      <c r="AN44" s="1218"/>
      <c r="AO44" s="1218"/>
      <c r="AP44" s="1218">
        <f t="shared" si="12"/>
        <v>0</v>
      </c>
      <c r="AQ44" s="1218">
        <f t="shared" si="13"/>
        <v>0</v>
      </c>
      <c r="AR44" s="1218">
        <f t="shared" si="14"/>
        <v>0</v>
      </c>
      <c r="AS44" s="1218">
        <f t="shared" si="15"/>
        <v>0</v>
      </c>
      <c r="AT44" s="1218">
        <f t="shared" si="16"/>
        <v>0</v>
      </c>
      <c r="AU44" s="1219" t="str">
        <f t="shared" si="17"/>
        <v xml:space="preserve"> </v>
      </c>
      <c r="AV44" s="1219" t="str">
        <f t="shared" si="18"/>
        <v xml:space="preserve"> </v>
      </c>
      <c r="AW44" s="1219" t="str">
        <f t="shared" si="19"/>
        <v xml:space="preserve"> </v>
      </c>
      <c r="AX44" s="1219" t="str">
        <f t="shared" si="20"/>
        <v xml:space="preserve"> </v>
      </c>
      <c r="AY44" s="1218">
        <f t="shared" si="21"/>
        <v>0</v>
      </c>
      <c r="AZ44" s="1218">
        <f t="shared" si="22"/>
        <v>0</v>
      </c>
      <c r="BA44" s="1218">
        <f t="shared" si="23"/>
        <v>0</v>
      </c>
      <c r="BB44" s="1218">
        <f t="shared" si="24"/>
        <v>0</v>
      </c>
      <c r="BC44" s="125"/>
      <c r="BT44" s="111">
        <f t="shared" si="26"/>
        <v>0</v>
      </c>
      <c r="BU44" s="111">
        <f t="shared" si="27"/>
        <v>0</v>
      </c>
      <c r="BV44" s="111">
        <f t="shared" si="28"/>
        <v>0</v>
      </c>
    </row>
    <row r="45" spans="1:74" s="107" customFormat="1">
      <c r="B45" s="181" t="s">
        <v>492</v>
      </c>
      <c r="C45" s="179">
        <f t="shared" ref="C45:AO45" si="52">SUM(C46:C66)+SUM(C68:C94)</f>
        <v>3014838000</v>
      </c>
      <c r="D45" s="179">
        <f t="shared" si="52"/>
        <v>8752932000</v>
      </c>
      <c r="E45" s="179">
        <f t="shared" si="52"/>
        <v>10772495000</v>
      </c>
      <c r="F45" s="179">
        <f t="shared" si="52"/>
        <v>22540265000</v>
      </c>
      <c r="G45" s="179">
        <f t="shared" si="52"/>
        <v>49040671</v>
      </c>
      <c r="H45" s="179">
        <f t="shared" si="52"/>
        <v>-56040671</v>
      </c>
      <c r="I45" s="179">
        <f t="shared" si="52"/>
        <v>0</v>
      </c>
      <c r="J45" s="179">
        <f t="shared" si="52"/>
        <v>-7000000</v>
      </c>
      <c r="K45" s="179">
        <f t="shared" si="52"/>
        <v>3063878671</v>
      </c>
      <c r="L45" s="179">
        <f t="shared" si="52"/>
        <v>8696891329</v>
      </c>
      <c r="M45" s="179">
        <f t="shared" si="52"/>
        <v>10772495000</v>
      </c>
      <c r="N45" s="179">
        <f t="shared" si="52"/>
        <v>22533265000</v>
      </c>
      <c r="O45" s="179">
        <f t="shared" si="52"/>
        <v>3063878671</v>
      </c>
      <c r="P45" s="179">
        <f t="shared" si="52"/>
        <v>8696891329</v>
      </c>
      <c r="Q45" s="179">
        <f t="shared" si="52"/>
        <v>10772495000</v>
      </c>
      <c r="R45" s="179">
        <f t="shared" si="6"/>
        <v>22533265000</v>
      </c>
      <c r="S45" s="179">
        <f t="shared" si="52"/>
        <v>0</v>
      </c>
      <c r="T45" s="179">
        <f t="shared" si="52"/>
        <v>0</v>
      </c>
      <c r="U45" s="179">
        <f t="shared" si="52"/>
        <v>0</v>
      </c>
      <c r="V45" s="179">
        <f t="shared" si="52"/>
        <v>0</v>
      </c>
      <c r="W45" s="179">
        <f t="shared" si="52"/>
        <v>0</v>
      </c>
      <c r="X45" s="179">
        <f t="shared" si="52"/>
        <v>-702155067.05999994</v>
      </c>
      <c r="Y45" s="179">
        <f t="shared" si="52"/>
        <v>-3675240151.0000005</v>
      </c>
      <c r="Z45" s="179">
        <f t="shared" si="7"/>
        <v>-4377395218.0600004</v>
      </c>
      <c r="AA45" s="179">
        <f t="shared" si="8"/>
        <v>3063878671</v>
      </c>
      <c r="AB45" s="179">
        <f t="shared" si="9"/>
        <v>7994736261.9400005</v>
      </c>
      <c r="AC45" s="179">
        <f t="shared" si="10"/>
        <v>7097254849</v>
      </c>
      <c r="AD45" s="179">
        <f t="shared" si="11"/>
        <v>18155869781.940002</v>
      </c>
      <c r="AE45" s="179">
        <f t="shared" si="52"/>
        <v>2868670708.25</v>
      </c>
      <c r="AF45" s="179">
        <f t="shared" si="52"/>
        <v>5311619475.9700003</v>
      </c>
      <c r="AG45" s="179">
        <f t="shared" si="52"/>
        <v>1131694554.2099991</v>
      </c>
      <c r="AH45" s="179">
        <f t="shared" si="52"/>
        <v>9311984738.4300003</v>
      </c>
      <c r="AI45" s="179">
        <f t="shared" si="52"/>
        <v>0</v>
      </c>
      <c r="AJ45" s="179">
        <f t="shared" si="52"/>
        <v>501760548.38000005</v>
      </c>
      <c r="AK45" s="179">
        <f t="shared" si="52"/>
        <v>668343608.60000002</v>
      </c>
      <c r="AL45" s="179">
        <f t="shared" si="52"/>
        <v>1170104156.9799998</v>
      </c>
      <c r="AM45" s="179">
        <f t="shared" si="52"/>
        <v>2868670708.25</v>
      </c>
      <c r="AN45" s="179">
        <f t="shared" si="52"/>
        <v>5813380024.3500004</v>
      </c>
      <c r="AO45" s="179">
        <f t="shared" si="52"/>
        <v>1800038162.809999</v>
      </c>
      <c r="AP45" s="179">
        <f t="shared" si="12"/>
        <v>10482088895.41</v>
      </c>
      <c r="AQ45" s="179">
        <f t="shared" si="13"/>
        <v>195207962.75</v>
      </c>
      <c r="AR45" s="179">
        <f t="shared" si="14"/>
        <v>2181356237.5900002</v>
      </c>
      <c r="AS45" s="179">
        <f t="shared" si="15"/>
        <v>5297216686.1900005</v>
      </c>
      <c r="AT45" s="179">
        <f t="shared" si="16"/>
        <v>7673780886.5300007</v>
      </c>
      <c r="AU45" s="184">
        <f t="shared" si="17"/>
        <v>0.93628730647931069</v>
      </c>
      <c r="AV45" s="184">
        <f t="shared" si="18"/>
        <v>0.7271509445565284</v>
      </c>
      <c r="AW45" s="184">
        <f t="shared" si="19"/>
        <v>0.253624563455492</v>
      </c>
      <c r="AX45" s="184">
        <f t="shared" si="20"/>
        <v>0.57733884530482471</v>
      </c>
      <c r="AY45" s="179">
        <f t="shared" si="21"/>
        <v>0</v>
      </c>
      <c r="AZ45" s="179">
        <f t="shared" si="22"/>
        <v>0</v>
      </c>
      <c r="BA45" s="179">
        <f t="shared" si="23"/>
        <v>0</v>
      </c>
      <c r="BB45" s="179">
        <f t="shared" si="24"/>
        <v>0</v>
      </c>
      <c r="BC45" s="131"/>
      <c r="BP45" s="150"/>
      <c r="BT45" s="111"/>
      <c r="BU45" s="111"/>
      <c r="BV45" s="111"/>
    </row>
    <row r="46" spans="1:74" s="95" customFormat="1">
      <c r="A46" s="95" t="s">
        <v>908</v>
      </c>
      <c r="B46" s="1289" t="s">
        <v>493</v>
      </c>
      <c r="C46" s="1279">
        <v>15088000</v>
      </c>
      <c r="D46" s="1279">
        <v>126829000</v>
      </c>
      <c r="E46" s="1279">
        <v>0</v>
      </c>
      <c r="F46" s="1279">
        <f t="shared" si="32"/>
        <v>141917000</v>
      </c>
      <c r="G46" s="1279"/>
      <c r="H46" s="1279"/>
      <c r="I46" s="1279"/>
      <c r="J46" s="1279">
        <f t="shared" si="25"/>
        <v>0</v>
      </c>
      <c r="K46" s="1279">
        <f t="shared" si="0"/>
        <v>15088000</v>
      </c>
      <c r="L46" s="1279">
        <f t="shared" si="1"/>
        <v>126829000</v>
      </c>
      <c r="M46" s="1279">
        <f t="shared" si="2"/>
        <v>0</v>
      </c>
      <c r="N46" s="1279">
        <f t="shared" si="3"/>
        <v>141917000</v>
      </c>
      <c r="O46" s="1279">
        <v>15088000</v>
      </c>
      <c r="P46" s="1279">
        <v>126829000</v>
      </c>
      <c r="Q46" s="1279">
        <v>0</v>
      </c>
      <c r="R46" s="1279">
        <f t="shared" si="6"/>
        <v>141917000</v>
      </c>
      <c r="S46" s="1279"/>
      <c r="T46" s="1279"/>
      <c r="U46" s="1279"/>
      <c r="V46" s="1279">
        <f t="shared" si="33"/>
        <v>0</v>
      </c>
      <c r="W46" s="1279">
        <f>-+'OSEC-CY'!H116</f>
        <v>0</v>
      </c>
      <c r="X46" s="1279">
        <f>-+'OSEC-CY'!H117</f>
        <v>-71861065</v>
      </c>
      <c r="Y46" s="1279">
        <f>-+'OSEC-CY'!H118</f>
        <v>0</v>
      </c>
      <c r="Z46" s="1279">
        <f t="shared" si="7"/>
        <v>-71861065</v>
      </c>
      <c r="AA46" s="1279">
        <f t="shared" si="8"/>
        <v>15088000</v>
      </c>
      <c r="AB46" s="1279">
        <f t="shared" si="9"/>
        <v>54967935</v>
      </c>
      <c r="AC46" s="1279">
        <f t="shared" si="10"/>
        <v>0</v>
      </c>
      <c r="AD46" s="1279">
        <f t="shared" si="11"/>
        <v>70055935</v>
      </c>
      <c r="AE46" s="1279">
        <f>+'OSEC-CY'!I116</f>
        <v>12297654.220000001</v>
      </c>
      <c r="AF46" s="1279">
        <f>+'OSEC-CY'!I117</f>
        <v>35268871.920000002</v>
      </c>
      <c r="AG46" s="1279">
        <f>+'OSEC-CY'!I118</f>
        <v>0</v>
      </c>
      <c r="AH46" s="1279">
        <f t="shared" si="34"/>
        <v>47566526.140000001</v>
      </c>
      <c r="AI46" s="1279"/>
      <c r="AJ46" s="1279"/>
      <c r="AK46" s="1279"/>
      <c r="AL46" s="1279">
        <f t="shared" si="35"/>
        <v>0</v>
      </c>
      <c r="AM46" s="1279">
        <f t="shared" ref="AM46:AM65" si="53">+AE46+AI46</f>
        <v>12297654.220000001</v>
      </c>
      <c r="AN46" s="1279">
        <f t="shared" ref="AN46:AN65" si="54">+AF46+AJ46</f>
        <v>35268871.920000002</v>
      </c>
      <c r="AO46" s="1279">
        <f t="shared" ref="AO46:AO65" si="55">+AG46+AK46</f>
        <v>0</v>
      </c>
      <c r="AP46" s="1279">
        <f t="shared" si="12"/>
        <v>47566526.140000001</v>
      </c>
      <c r="AQ46" s="1279">
        <f t="shared" si="13"/>
        <v>2790345.7799999993</v>
      </c>
      <c r="AR46" s="1279">
        <f t="shared" si="14"/>
        <v>19699063.079999998</v>
      </c>
      <c r="AS46" s="1279">
        <f t="shared" si="15"/>
        <v>0</v>
      </c>
      <c r="AT46" s="1279">
        <f t="shared" si="16"/>
        <v>22489408.859999999</v>
      </c>
      <c r="AU46" s="1280">
        <f t="shared" si="17"/>
        <v>0.81506191808059392</v>
      </c>
      <c r="AV46" s="1280">
        <f t="shared" si="18"/>
        <v>0.6416262848513411</v>
      </c>
      <c r="AW46" s="1280" t="str">
        <f t="shared" si="19"/>
        <v xml:space="preserve"> </v>
      </c>
      <c r="AX46" s="1280">
        <f t="shared" si="20"/>
        <v>0.67897924908146612</v>
      </c>
      <c r="AY46" s="1279">
        <f t="shared" si="21"/>
        <v>0</v>
      </c>
      <c r="AZ46" s="1279">
        <f t="shared" si="22"/>
        <v>0</v>
      </c>
      <c r="BA46" s="1279">
        <f t="shared" si="23"/>
        <v>0</v>
      </c>
      <c r="BB46" s="1279">
        <f t="shared" si="24"/>
        <v>0</v>
      </c>
      <c r="BC46" s="590"/>
      <c r="BP46" s="147">
        <f>+'OSEC-CY'!F116</f>
        <v>15088000</v>
      </c>
      <c r="BQ46" s="95">
        <f>+'OSEC-CY'!F117</f>
        <v>126829000</v>
      </c>
      <c r="BR46" s="95">
        <f>+'OSEC-CY'!F118</f>
        <v>0</v>
      </c>
      <c r="BT46" s="111">
        <f t="shared" si="26"/>
        <v>0</v>
      </c>
      <c r="BU46" s="111">
        <f t="shared" si="27"/>
        <v>0</v>
      </c>
      <c r="BV46" s="111">
        <f t="shared" si="28"/>
        <v>0</v>
      </c>
    </row>
    <row r="47" spans="1:74" s="95" customFormat="1">
      <c r="A47" s="95" t="s">
        <v>908</v>
      </c>
      <c r="B47" s="1289" t="s">
        <v>494</v>
      </c>
      <c r="C47" s="1279">
        <v>0</v>
      </c>
      <c r="D47" s="1279">
        <v>0</v>
      </c>
      <c r="E47" s="1279">
        <v>0</v>
      </c>
      <c r="F47" s="1279">
        <f t="shared" si="32"/>
        <v>0</v>
      </c>
      <c r="G47" s="1279"/>
      <c r="H47" s="1279"/>
      <c r="I47" s="1279"/>
      <c r="J47" s="1279">
        <f t="shared" si="25"/>
        <v>0</v>
      </c>
      <c r="K47" s="1279">
        <f t="shared" si="0"/>
        <v>0</v>
      </c>
      <c r="L47" s="1279">
        <f t="shared" si="1"/>
        <v>0</v>
      </c>
      <c r="M47" s="1279">
        <f t="shared" si="2"/>
        <v>0</v>
      </c>
      <c r="N47" s="1279">
        <f t="shared" si="3"/>
        <v>0</v>
      </c>
      <c r="O47" s="1279">
        <v>0</v>
      </c>
      <c r="P47" s="1279">
        <v>0</v>
      </c>
      <c r="Q47" s="1279">
        <v>0</v>
      </c>
      <c r="R47" s="1279">
        <f t="shared" si="6"/>
        <v>0</v>
      </c>
      <c r="S47" s="1279"/>
      <c r="T47" s="1279"/>
      <c r="U47" s="1279"/>
      <c r="V47" s="1279">
        <f t="shared" si="33"/>
        <v>0</v>
      </c>
      <c r="W47" s="1279"/>
      <c r="X47" s="1279"/>
      <c r="Y47" s="1279"/>
      <c r="Z47" s="1279">
        <f t="shared" si="7"/>
        <v>0</v>
      </c>
      <c r="AA47" s="1279">
        <f t="shared" si="8"/>
        <v>0</v>
      </c>
      <c r="AB47" s="1279">
        <f t="shared" si="9"/>
        <v>0</v>
      </c>
      <c r="AC47" s="1279">
        <f t="shared" si="10"/>
        <v>0</v>
      </c>
      <c r="AD47" s="1279">
        <f t="shared" si="11"/>
        <v>0</v>
      </c>
      <c r="AE47" s="1279"/>
      <c r="AF47" s="1279"/>
      <c r="AG47" s="1279"/>
      <c r="AH47" s="1279">
        <f t="shared" si="34"/>
        <v>0</v>
      </c>
      <c r="AI47" s="1279"/>
      <c r="AJ47" s="1279"/>
      <c r="AK47" s="1279"/>
      <c r="AL47" s="1279">
        <f t="shared" si="35"/>
        <v>0</v>
      </c>
      <c r="AM47" s="1279">
        <f t="shared" si="53"/>
        <v>0</v>
      </c>
      <c r="AN47" s="1279">
        <f t="shared" si="54"/>
        <v>0</v>
      </c>
      <c r="AO47" s="1279">
        <f t="shared" si="55"/>
        <v>0</v>
      </c>
      <c r="AP47" s="1279">
        <f t="shared" si="12"/>
        <v>0</v>
      </c>
      <c r="AQ47" s="1279">
        <f t="shared" si="13"/>
        <v>0</v>
      </c>
      <c r="AR47" s="1279">
        <f t="shared" si="14"/>
        <v>0</v>
      </c>
      <c r="AS47" s="1279">
        <f t="shared" si="15"/>
        <v>0</v>
      </c>
      <c r="AT47" s="1279">
        <f t="shared" si="16"/>
        <v>0</v>
      </c>
      <c r="AU47" s="1280" t="str">
        <f t="shared" si="17"/>
        <v xml:space="preserve"> </v>
      </c>
      <c r="AV47" s="1280" t="str">
        <f t="shared" si="18"/>
        <v xml:space="preserve"> </v>
      </c>
      <c r="AW47" s="1280" t="str">
        <f t="shared" si="19"/>
        <v xml:space="preserve"> </v>
      </c>
      <c r="AX47" s="1280" t="str">
        <f t="shared" si="20"/>
        <v xml:space="preserve"> </v>
      </c>
      <c r="AY47" s="1279">
        <f t="shared" si="21"/>
        <v>0</v>
      </c>
      <c r="AZ47" s="1279">
        <f t="shared" si="22"/>
        <v>0</v>
      </c>
      <c r="BA47" s="1279">
        <f t="shared" si="23"/>
        <v>0</v>
      </c>
      <c r="BB47" s="1279">
        <f t="shared" si="24"/>
        <v>0</v>
      </c>
      <c r="BC47" s="590"/>
      <c r="BP47" s="147"/>
      <c r="BT47" s="111">
        <f t="shared" si="26"/>
        <v>0</v>
      </c>
      <c r="BU47" s="111">
        <f t="shared" si="27"/>
        <v>0</v>
      </c>
      <c r="BV47" s="111">
        <f t="shared" si="28"/>
        <v>0</v>
      </c>
    </row>
    <row r="48" spans="1:74" s="95" customFormat="1" ht="36">
      <c r="A48" s="95" t="s">
        <v>908</v>
      </c>
      <c r="B48" s="1291" t="s">
        <v>495</v>
      </c>
      <c r="C48" s="1279">
        <v>43309000</v>
      </c>
      <c r="D48" s="1279">
        <v>48825000</v>
      </c>
      <c r="E48" s="1279">
        <v>0</v>
      </c>
      <c r="F48" s="1279">
        <f t="shared" si="32"/>
        <v>92134000</v>
      </c>
      <c r="G48" s="1279"/>
      <c r="H48" s="1279"/>
      <c r="I48" s="1279"/>
      <c r="J48" s="1279">
        <f t="shared" si="25"/>
        <v>0</v>
      </c>
      <c r="K48" s="1279">
        <f t="shared" si="0"/>
        <v>43309000</v>
      </c>
      <c r="L48" s="1279">
        <f t="shared" si="1"/>
        <v>48825000</v>
      </c>
      <c r="M48" s="1279">
        <f t="shared" si="2"/>
        <v>0</v>
      </c>
      <c r="N48" s="1279">
        <f t="shared" si="3"/>
        <v>92134000</v>
      </c>
      <c r="O48" s="1279">
        <v>43309000</v>
      </c>
      <c r="P48" s="1279">
        <v>48825000</v>
      </c>
      <c r="Q48" s="1279">
        <v>0</v>
      </c>
      <c r="R48" s="1279">
        <f t="shared" si="6"/>
        <v>92134000</v>
      </c>
      <c r="S48" s="1279"/>
      <c r="T48" s="1279"/>
      <c r="U48" s="1279"/>
      <c r="V48" s="1279">
        <f t="shared" si="33"/>
        <v>0</v>
      </c>
      <c r="W48" s="1279">
        <f>-+'OSEC-CY'!H122</f>
        <v>0</v>
      </c>
      <c r="X48" s="1279">
        <f>-+'OSEC-CY'!H123</f>
        <v>-12300000</v>
      </c>
      <c r="Y48" s="1279">
        <f>-+'OSEC-CY'!H124</f>
        <v>0</v>
      </c>
      <c r="Z48" s="1279">
        <f t="shared" si="7"/>
        <v>-12300000</v>
      </c>
      <c r="AA48" s="1279">
        <f t="shared" si="8"/>
        <v>43309000</v>
      </c>
      <c r="AB48" s="1279">
        <f t="shared" si="9"/>
        <v>36525000</v>
      </c>
      <c r="AC48" s="1279">
        <f t="shared" si="10"/>
        <v>0</v>
      </c>
      <c r="AD48" s="1279">
        <f t="shared" si="11"/>
        <v>79834000</v>
      </c>
      <c r="AE48" s="1279">
        <f>+'OSEC-CY'!I122</f>
        <v>42694344.540000007</v>
      </c>
      <c r="AF48" s="1279">
        <f>+'OSEC-CY'!I123</f>
        <v>28404944.379999995</v>
      </c>
      <c r="AG48" s="1279">
        <f>+'OSEC-CY'!I124</f>
        <v>0</v>
      </c>
      <c r="AH48" s="1279">
        <f t="shared" si="34"/>
        <v>71099288.920000002</v>
      </c>
      <c r="AI48" s="1279"/>
      <c r="AJ48" s="1279"/>
      <c r="AK48" s="1279"/>
      <c r="AL48" s="1279">
        <f t="shared" si="35"/>
        <v>0</v>
      </c>
      <c r="AM48" s="1279">
        <f t="shared" si="53"/>
        <v>42694344.540000007</v>
      </c>
      <c r="AN48" s="1279">
        <f t="shared" si="54"/>
        <v>28404944.379999995</v>
      </c>
      <c r="AO48" s="1279">
        <f t="shared" si="55"/>
        <v>0</v>
      </c>
      <c r="AP48" s="1279">
        <f t="shared" si="12"/>
        <v>71099288.920000002</v>
      </c>
      <c r="AQ48" s="1279">
        <f t="shared" si="13"/>
        <v>614655.45999999344</v>
      </c>
      <c r="AR48" s="1279">
        <f t="shared" si="14"/>
        <v>8120055.6200000048</v>
      </c>
      <c r="AS48" s="1279">
        <f t="shared" si="15"/>
        <v>0</v>
      </c>
      <c r="AT48" s="1279">
        <f t="shared" si="16"/>
        <v>8734711.0799999982</v>
      </c>
      <c r="AU48" s="1280">
        <f t="shared" si="17"/>
        <v>0.98580767369368971</v>
      </c>
      <c r="AV48" s="1280">
        <f t="shared" si="18"/>
        <v>0.77768499329226548</v>
      </c>
      <c r="AW48" s="1280" t="str">
        <f t="shared" si="19"/>
        <v xml:space="preserve"> </v>
      </c>
      <c r="AX48" s="1280">
        <f t="shared" si="20"/>
        <v>0.89058908384898672</v>
      </c>
      <c r="AY48" s="1279">
        <f t="shared" si="21"/>
        <v>0</v>
      </c>
      <c r="AZ48" s="1279">
        <f t="shared" si="22"/>
        <v>0</v>
      </c>
      <c r="BA48" s="1279">
        <f t="shared" si="23"/>
        <v>0</v>
      </c>
      <c r="BB48" s="1279">
        <f t="shared" si="24"/>
        <v>0</v>
      </c>
      <c r="BC48" s="590"/>
      <c r="BP48" s="147">
        <f>+'OSEC-CY'!F122</f>
        <v>43309000</v>
      </c>
      <c r="BQ48" s="95">
        <f>+'OSEC-CY'!F123</f>
        <v>48825000</v>
      </c>
      <c r="BR48" s="95">
        <f>+'OSEC-CY'!F124</f>
        <v>0</v>
      </c>
      <c r="BT48" s="111">
        <f t="shared" si="26"/>
        <v>0</v>
      </c>
      <c r="BU48" s="111">
        <f t="shared" si="27"/>
        <v>0</v>
      </c>
      <c r="BV48" s="111">
        <f t="shared" si="28"/>
        <v>0</v>
      </c>
    </row>
    <row r="49" spans="1:74" s="95" customFormat="1">
      <c r="A49" s="95" t="s">
        <v>908</v>
      </c>
      <c r="B49" s="1288" t="s">
        <v>496</v>
      </c>
      <c r="C49" s="1279">
        <v>0</v>
      </c>
      <c r="D49" s="1279">
        <v>0</v>
      </c>
      <c r="E49" s="1279">
        <v>0</v>
      </c>
      <c r="F49" s="1279">
        <f t="shared" si="32"/>
        <v>0</v>
      </c>
      <c r="G49" s="1279"/>
      <c r="H49" s="1279"/>
      <c r="I49" s="1279"/>
      <c r="J49" s="1279">
        <f t="shared" si="25"/>
        <v>0</v>
      </c>
      <c r="K49" s="1279">
        <f t="shared" si="0"/>
        <v>0</v>
      </c>
      <c r="L49" s="1279">
        <f t="shared" si="1"/>
        <v>0</v>
      </c>
      <c r="M49" s="1279">
        <f t="shared" si="2"/>
        <v>0</v>
      </c>
      <c r="N49" s="1279">
        <f t="shared" si="3"/>
        <v>0</v>
      </c>
      <c r="O49" s="1279">
        <v>0</v>
      </c>
      <c r="P49" s="1279">
        <v>0</v>
      </c>
      <c r="Q49" s="1279">
        <v>0</v>
      </c>
      <c r="R49" s="1279">
        <f t="shared" si="6"/>
        <v>0</v>
      </c>
      <c r="S49" s="1279"/>
      <c r="T49" s="1279"/>
      <c r="U49" s="1279"/>
      <c r="V49" s="1279">
        <f t="shared" si="33"/>
        <v>0</v>
      </c>
      <c r="W49" s="1279"/>
      <c r="X49" s="1279"/>
      <c r="Y49" s="1279"/>
      <c r="Z49" s="1279">
        <f t="shared" si="7"/>
        <v>0</v>
      </c>
      <c r="AA49" s="1279">
        <f t="shared" si="8"/>
        <v>0</v>
      </c>
      <c r="AB49" s="1279">
        <f t="shared" si="9"/>
        <v>0</v>
      </c>
      <c r="AC49" s="1279">
        <f t="shared" si="10"/>
        <v>0</v>
      </c>
      <c r="AD49" s="1279">
        <f t="shared" si="11"/>
        <v>0</v>
      </c>
      <c r="AE49" s="1279"/>
      <c r="AF49" s="1279"/>
      <c r="AG49" s="1279"/>
      <c r="AH49" s="1279">
        <f t="shared" si="34"/>
        <v>0</v>
      </c>
      <c r="AI49" s="1279"/>
      <c r="AJ49" s="1279"/>
      <c r="AK49" s="1279"/>
      <c r="AL49" s="1279">
        <f t="shared" si="35"/>
        <v>0</v>
      </c>
      <c r="AM49" s="1279">
        <f t="shared" si="53"/>
        <v>0</v>
      </c>
      <c r="AN49" s="1279">
        <f t="shared" si="54"/>
        <v>0</v>
      </c>
      <c r="AO49" s="1279">
        <f t="shared" si="55"/>
        <v>0</v>
      </c>
      <c r="AP49" s="1279">
        <f t="shared" si="12"/>
        <v>0</v>
      </c>
      <c r="AQ49" s="1279">
        <f t="shared" si="13"/>
        <v>0</v>
      </c>
      <c r="AR49" s="1279">
        <f t="shared" si="14"/>
        <v>0</v>
      </c>
      <c r="AS49" s="1279">
        <f t="shared" si="15"/>
        <v>0</v>
      </c>
      <c r="AT49" s="1279">
        <f t="shared" si="16"/>
        <v>0</v>
      </c>
      <c r="AU49" s="1280" t="str">
        <f t="shared" si="17"/>
        <v xml:space="preserve"> </v>
      </c>
      <c r="AV49" s="1280" t="str">
        <f t="shared" si="18"/>
        <v xml:space="preserve"> </v>
      </c>
      <c r="AW49" s="1280" t="str">
        <f t="shared" si="19"/>
        <v xml:space="preserve"> </v>
      </c>
      <c r="AX49" s="1280" t="str">
        <f t="shared" si="20"/>
        <v xml:space="preserve"> </v>
      </c>
      <c r="AY49" s="1279">
        <f t="shared" si="21"/>
        <v>0</v>
      </c>
      <c r="AZ49" s="1279">
        <f t="shared" si="22"/>
        <v>0</v>
      </c>
      <c r="BA49" s="1279">
        <f t="shared" si="23"/>
        <v>0</v>
      </c>
      <c r="BB49" s="1279">
        <f t="shared" si="24"/>
        <v>0</v>
      </c>
      <c r="BC49" s="590"/>
      <c r="BP49" s="147"/>
      <c r="BT49" s="111">
        <f t="shared" si="26"/>
        <v>0</v>
      </c>
      <c r="BU49" s="111">
        <f t="shared" si="27"/>
        <v>0</v>
      </c>
      <c r="BV49" s="111">
        <f t="shared" si="28"/>
        <v>0</v>
      </c>
    </row>
    <row r="50" spans="1:74" s="95" customFormat="1" ht="48">
      <c r="A50" s="95" t="s">
        <v>908</v>
      </c>
      <c r="B50" s="1292" t="s">
        <v>497</v>
      </c>
      <c r="C50" s="1279">
        <v>0</v>
      </c>
      <c r="D50" s="1279">
        <v>570443000</v>
      </c>
      <c r="E50" s="1279">
        <v>0</v>
      </c>
      <c r="F50" s="1279">
        <f t="shared" si="32"/>
        <v>570443000</v>
      </c>
      <c r="G50" s="1279"/>
      <c r="H50" s="1279"/>
      <c r="I50" s="1279"/>
      <c r="J50" s="1279">
        <f t="shared" si="25"/>
        <v>0</v>
      </c>
      <c r="K50" s="1279">
        <f t="shared" si="0"/>
        <v>0</v>
      </c>
      <c r="L50" s="1279">
        <f t="shared" si="1"/>
        <v>570443000</v>
      </c>
      <c r="M50" s="1279">
        <f t="shared" si="2"/>
        <v>0</v>
      </c>
      <c r="N50" s="1279">
        <f t="shared" si="3"/>
        <v>570443000</v>
      </c>
      <c r="O50" s="1279">
        <v>0</v>
      </c>
      <c r="P50" s="1279">
        <v>570443000</v>
      </c>
      <c r="Q50" s="1279">
        <v>0</v>
      </c>
      <c r="R50" s="1279">
        <f t="shared" si="6"/>
        <v>570443000</v>
      </c>
      <c r="S50" s="1279"/>
      <c r="T50" s="1279"/>
      <c r="U50" s="1279"/>
      <c r="V50" s="1279">
        <f t="shared" si="33"/>
        <v>0</v>
      </c>
      <c r="W50" s="1279">
        <f>-+'OSEC-CY'!H128</f>
        <v>0</v>
      </c>
      <c r="X50" s="1279">
        <f>-+'OSEC-CY'!H129</f>
        <v>-108749000</v>
      </c>
      <c r="Y50" s="1279">
        <f>-+'OSEC-CY'!H130</f>
        <v>0</v>
      </c>
      <c r="Z50" s="1279">
        <f t="shared" si="7"/>
        <v>-108749000</v>
      </c>
      <c r="AA50" s="1279">
        <f t="shared" si="8"/>
        <v>0</v>
      </c>
      <c r="AB50" s="1279">
        <f t="shared" si="9"/>
        <v>461694000</v>
      </c>
      <c r="AC50" s="1279">
        <f t="shared" si="10"/>
        <v>0</v>
      </c>
      <c r="AD50" s="1279">
        <f t="shared" si="11"/>
        <v>461694000</v>
      </c>
      <c r="AE50" s="1279">
        <f>+'OSEC-CY'!I128</f>
        <v>0</v>
      </c>
      <c r="AF50" s="1279">
        <f>+'OSEC-CY'!I129</f>
        <v>391464758.36000001</v>
      </c>
      <c r="AG50" s="1279">
        <f>+'OSEC-CY'!I130</f>
        <v>0</v>
      </c>
      <c r="AH50" s="1279">
        <f t="shared" si="34"/>
        <v>391464758.36000001</v>
      </c>
      <c r="AI50" s="1279"/>
      <c r="AJ50" s="1279"/>
      <c r="AK50" s="1279"/>
      <c r="AL50" s="1279">
        <f t="shared" si="35"/>
        <v>0</v>
      </c>
      <c r="AM50" s="1279">
        <f t="shared" si="53"/>
        <v>0</v>
      </c>
      <c r="AN50" s="1279">
        <f t="shared" si="54"/>
        <v>391464758.36000001</v>
      </c>
      <c r="AO50" s="1279">
        <f t="shared" si="55"/>
        <v>0</v>
      </c>
      <c r="AP50" s="1279">
        <f t="shared" si="12"/>
        <v>391464758.36000001</v>
      </c>
      <c r="AQ50" s="1279">
        <f t="shared" si="13"/>
        <v>0</v>
      </c>
      <c r="AR50" s="1279">
        <f t="shared" si="14"/>
        <v>70229241.639999986</v>
      </c>
      <c r="AS50" s="1279">
        <f t="shared" si="15"/>
        <v>0</v>
      </c>
      <c r="AT50" s="1279">
        <f t="shared" si="16"/>
        <v>70229241.639999986</v>
      </c>
      <c r="AU50" s="1280" t="str">
        <f t="shared" si="17"/>
        <v xml:space="preserve"> </v>
      </c>
      <c r="AV50" s="1280">
        <f t="shared" si="18"/>
        <v>0.84788790488938559</v>
      </c>
      <c r="AW50" s="1280" t="str">
        <f t="shared" si="19"/>
        <v xml:space="preserve"> </v>
      </c>
      <c r="AX50" s="1280">
        <f t="shared" si="20"/>
        <v>0.84788790488938559</v>
      </c>
      <c r="AY50" s="1279">
        <f t="shared" si="21"/>
        <v>0</v>
      </c>
      <c r="AZ50" s="1279">
        <f t="shared" si="22"/>
        <v>0</v>
      </c>
      <c r="BA50" s="1279">
        <f t="shared" si="23"/>
        <v>0</v>
      </c>
      <c r="BB50" s="1279">
        <f t="shared" si="24"/>
        <v>0</v>
      </c>
      <c r="BC50" s="590"/>
      <c r="BP50" s="147">
        <f>+'OSEC-CY'!F128</f>
        <v>0</v>
      </c>
      <c r="BQ50" s="95">
        <f>+'OSEC-CY'!F129</f>
        <v>570443000</v>
      </c>
      <c r="BR50" s="95">
        <f>+'OSEC-CY'!F130</f>
        <v>0</v>
      </c>
      <c r="BT50" s="111">
        <f t="shared" si="26"/>
        <v>0</v>
      </c>
      <c r="BU50" s="111">
        <f t="shared" si="27"/>
        <v>0</v>
      </c>
      <c r="BV50" s="111">
        <f t="shared" si="28"/>
        <v>0</v>
      </c>
    </row>
    <row r="51" spans="1:74" s="95" customFormat="1">
      <c r="A51" s="95" t="s">
        <v>908</v>
      </c>
      <c r="B51" s="1292" t="s">
        <v>498</v>
      </c>
      <c r="C51" s="1279">
        <v>0</v>
      </c>
      <c r="D51" s="1279">
        <v>118740000</v>
      </c>
      <c r="E51" s="1279">
        <v>0</v>
      </c>
      <c r="F51" s="1279">
        <f t="shared" si="32"/>
        <v>118740000</v>
      </c>
      <c r="G51" s="1279"/>
      <c r="H51" s="1279"/>
      <c r="I51" s="1279"/>
      <c r="J51" s="1279">
        <f t="shared" si="25"/>
        <v>0</v>
      </c>
      <c r="K51" s="1279">
        <f t="shared" si="0"/>
        <v>0</v>
      </c>
      <c r="L51" s="1279">
        <f t="shared" si="1"/>
        <v>118740000</v>
      </c>
      <c r="M51" s="1279">
        <f t="shared" si="2"/>
        <v>0</v>
      </c>
      <c r="N51" s="1279">
        <f t="shared" si="3"/>
        <v>118740000</v>
      </c>
      <c r="O51" s="1279">
        <v>0</v>
      </c>
      <c r="P51" s="1279">
        <v>118740000</v>
      </c>
      <c r="Q51" s="1279">
        <v>0</v>
      </c>
      <c r="R51" s="1279">
        <f t="shared" si="6"/>
        <v>118740000</v>
      </c>
      <c r="S51" s="1279"/>
      <c r="T51" s="1279"/>
      <c r="U51" s="1279"/>
      <c r="V51" s="1279">
        <f t="shared" si="33"/>
        <v>0</v>
      </c>
      <c r="W51" s="1279">
        <f>-+'OSEC-CY'!H134</f>
        <v>0</v>
      </c>
      <c r="X51" s="1279">
        <f>-+'OSEC-CY'!H135</f>
        <v>-5260000</v>
      </c>
      <c r="Y51" s="1279">
        <f>-+'OSEC-CY'!H136</f>
        <v>0</v>
      </c>
      <c r="Z51" s="1279">
        <f t="shared" si="7"/>
        <v>-5260000</v>
      </c>
      <c r="AA51" s="1279">
        <f t="shared" si="8"/>
        <v>0</v>
      </c>
      <c r="AB51" s="1279">
        <f t="shared" si="9"/>
        <v>113480000</v>
      </c>
      <c r="AC51" s="1279">
        <f t="shared" si="10"/>
        <v>0</v>
      </c>
      <c r="AD51" s="1279">
        <f t="shared" si="11"/>
        <v>113480000</v>
      </c>
      <c r="AE51" s="1279">
        <f>+'OSEC-CY'!I134</f>
        <v>0</v>
      </c>
      <c r="AF51" s="1279">
        <f>+'OSEC-CY'!I135</f>
        <v>93126319.530000001</v>
      </c>
      <c r="AG51" s="1279">
        <f>+'OSEC-CY'!I136</f>
        <v>0</v>
      </c>
      <c r="AH51" s="1279">
        <f t="shared" si="34"/>
        <v>93126319.530000001</v>
      </c>
      <c r="AI51" s="1279"/>
      <c r="AJ51" s="1279"/>
      <c r="AK51" s="1279"/>
      <c r="AL51" s="1279">
        <f t="shared" si="35"/>
        <v>0</v>
      </c>
      <c r="AM51" s="1279">
        <f t="shared" si="53"/>
        <v>0</v>
      </c>
      <c r="AN51" s="1279">
        <f t="shared" si="54"/>
        <v>93126319.530000001</v>
      </c>
      <c r="AO51" s="1279">
        <f t="shared" si="55"/>
        <v>0</v>
      </c>
      <c r="AP51" s="1279">
        <f t="shared" si="12"/>
        <v>93126319.530000001</v>
      </c>
      <c r="AQ51" s="1279">
        <f t="shared" si="13"/>
        <v>0</v>
      </c>
      <c r="AR51" s="1279">
        <f t="shared" si="14"/>
        <v>20353680.469999999</v>
      </c>
      <c r="AS51" s="1279">
        <f t="shared" si="15"/>
        <v>0</v>
      </c>
      <c r="AT51" s="1279">
        <f t="shared" si="16"/>
        <v>20353680.469999999</v>
      </c>
      <c r="AU51" s="1280" t="str">
        <f t="shared" si="17"/>
        <v xml:space="preserve"> </v>
      </c>
      <c r="AV51" s="1280">
        <f t="shared" si="18"/>
        <v>0.82064081362354602</v>
      </c>
      <c r="AW51" s="1280" t="str">
        <f t="shared" si="19"/>
        <v xml:space="preserve"> </v>
      </c>
      <c r="AX51" s="1280">
        <f t="shared" si="20"/>
        <v>0.82064081362354602</v>
      </c>
      <c r="AY51" s="1279">
        <f t="shared" si="21"/>
        <v>0</v>
      </c>
      <c r="AZ51" s="1279">
        <f t="shared" si="22"/>
        <v>0</v>
      </c>
      <c r="BA51" s="1279">
        <f t="shared" si="23"/>
        <v>0</v>
      </c>
      <c r="BB51" s="1279">
        <f t="shared" si="24"/>
        <v>0</v>
      </c>
      <c r="BC51" s="590"/>
      <c r="BP51" s="147">
        <f>+'OSEC-CY'!F134</f>
        <v>0</v>
      </c>
      <c r="BQ51" s="95">
        <f>+'OSEC-CY'!F135</f>
        <v>118740000</v>
      </c>
      <c r="BR51" s="95">
        <f>+'OSEC-CY'!F136</f>
        <v>0</v>
      </c>
      <c r="BT51" s="111">
        <f t="shared" si="26"/>
        <v>0</v>
      </c>
      <c r="BU51" s="111">
        <f t="shared" si="27"/>
        <v>0</v>
      </c>
      <c r="BV51" s="111">
        <f t="shared" si="28"/>
        <v>0</v>
      </c>
    </row>
    <row r="52" spans="1:74" s="95" customFormat="1">
      <c r="A52" s="95" t="s">
        <v>908</v>
      </c>
      <c r="B52" s="1293" t="s">
        <v>499</v>
      </c>
      <c r="C52" s="1279">
        <v>0</v>
      </c>
      <c r="D52" s="1279">
        <v>0</v>
      </c>
      <c r="E52" s="1279">
        <v>0</v>
      </c>
      <c r="F52" s="1279">
        <f t="shared" si="32"/>
        <v>0</v>
      </c>
      <c r="G52" s="1279"/>
      <c r="H52" s="1279"/>
      <c r="I52" s="1279"/>
      <c r="J52" s="1279">
        <f t="shared" si="25"/>
        <v>0</v>
      </c>
      <c r="K52" s="1279">
        <f t="shared" si="0"/>
        <v>0</v>
      </c>
      <c r="L52" s="1279">
        <f t="shared" si="1"/>
        <v>0</v>
      </c>
      <c r="M52" s="1279">
        <f t="shared" si="2"/>
        <v>0</v>
      </c>
      <c r="N52" s="1279">
        <f t="shared" si="3"/>
        <v>0</v>
      </c>
      <c r="O52" s="1279">
        <v>0</v>
      </c>
      <c r="P52" s="1279">
        <v>0</v>
      </c>
      <c r="Q52" s="1279">
        <v>0</v>
      </c>
      <c r="R52" s="1279">
        <f t="shared" si="6"/>
        <v>0</v>
      </c>
      <c r="S52" s="1279"/>
      <c r="T52" s="1279"/>
      <c r="U52" s="1279"/>
      <c r="V52" s="1279">
        <f t="shared" si="33"/>
        <v>0</v>
      </c>
      <c r="W52" s="1279"/>
      <c r="X52" s="1279"/>
      <c r="Y52" s="1279"/>
      <c r="Z52" s="1279">
        <f t="shared" si="7"/>
        <v>0</v>
      </c>
      <c r="AA52" s="1279">
        <f t="shared" si="8"/>
        <v>0</v>
      </c>
      <c r="AB52" s="1279">
        <f t="shared" si="9"/>
        <v>0</v>
      </c>
      <c r="AC52" s="1279">
        <f t="shared" si="10"/>
        <v>0</v>
      </c>
      <c r="AD52" s="1279">
        <f t="shared" si="11"/>
        <v>0</v>
      </c>
      <c r="AE52" s="1279"/>
      <c r="AF52" s="1279"/>
      <c r="AG52" s="1279"/>
      <c r="AH52" s="1279">
        <f t="shared" si="34"/>
        <v>0</v>
      </c>
      <c r="AI52" s="1279"/>
      <c r="AJ52" s="1279"/>
      <c r="AK52" s="1279"/>
      <c r="AL52" s="1279">
        <f t="shared" si="35"/>
        <v>0</v>
      </c>
      <c r="AM52" s="1279">
        <f t="shared" si="53"/>
        <v>0</v>
      </c>
      <c r="AN52" s="1279">
        <f t="shared" si="54"/>
        <v>0</v>
      </c>
      <c r="AO52" s="1279">
        <f t="shared" si="55"/>
        <v>0</v>
      </c>
      <c r="AP52" s="1279">
        <f t="shared" si="12"/>
        <v>0</v>
      </c>
      <c r="AQ52" s="1279">
        <f t="shared" si="13"/>
        <v>0</v>
      </c>
      <c r="AR52" s="1279">
        <f t="shared" si="14"/>
        <v>0</v>
      </c>
      <c r="AS52" s="1279">
        <f t="shared" si="15"/>
        <v>0</v>
      </c>
      <c r="AT52" s="1279">
        <f t="shared" si="16"/>
        <v>0</v>
      </c>
      <c r="AU52" s="1280" t="str">
        <f t="shared" si="17"/>
        <v xml:space="preserve"> </v>
      </c>
      <c r="AV52" s="1280" t="str">
        <f t="shared" si="18"/>
        <v xml:space="preserve"> </v>
      </c>
      <c r="AW52" s="1280" t="str">
        <f t="shared" si="19"/>
        <v xml:space="preserve"> </v>
      </c>
      <c r="AX52" s="1280" t="str">
        <f t="shared" si="20"/>
        <v xml:space="preserve"> </v>
      </c>
      <c r="AY52" s="1279">
        <f t="shared" si="21"/>
        <v>0</v>
      </c>
      <c r="AZ52" s="1279">
        <f t="shared" si="22"/>
        <v>0</v>
      </c>
      <c r="BA52" s="1279">
        <f t="shared" si="23"/>
        <v>0</v>
      </c>
      <c r="BB52" s="1279">
        <f t="shared" si="24"/>
        <v>0</v>
      </c>
      <c r="BC52" s="590"/>
      <c r="BP52" s="147"/>
      <c r="BT52" s="111">
        <f t="shared" si="26"/>
        <v>0</v>
      </c>
      <c r="BU52" s="111">
        <f t="shared" si="27"/>
        <v>0</v>
      </c>
      <c r="BV52" s="111">
        <f t="shared" si="28"/>
        <v>0</v>
      </c>
    </row>
    <row r="53" spans="1:74" s="95" customFormat="1">
      <c r="A53" s="95" t="s">
        <v>908</v>
      </c>
      <c r="B53" s="1294" t="s">
        <v>500</v>
      </c>
      <c r="C53" s="1279">
        <v>0</v>
      </c>
      <c r="D53" s="1279">
        <v>0</v>
      </c>
      <c r="E53" s="1279">
        <v>0</v>
      </c>
      <c r="F53" s="1279">
        <f t="shared" si="32"/>
        <v>0</v>
      </c>
      <c r="G53" s="1279"/>
      <c r="H53" s="1279"/>
      <c r="I53" s="1279"/>
      <c r="J53" s="1279">
        <f t="shared" si="25"/>
        <v>0</v>
      </c>
      <c r="K53" s="1279">
        <f t="shared" si="0"/>
        <v>0</v>
      </c>
      <c r="L53" s="1279">
        <f t="shared" si="1"/>
        <v>0</v>
      </c>
      <c r="M53" s="1279">
        <f t="shared" si="2"/>
        <v>0</v>
      </c>
      <c r="N53" s="1279">
        <f t="shared" si="3"/>
        <v>0</v>
      </c>
      <c r="O53" s="1279">
        <v>0</v>
      </c>
      <c r="P53" s="1279">
        <v>0</v>
      </c>
      <c r="Q53" s="1279">
        <v>0</v>
      </c>
      <c r="R53" s="1279">
        <f t="shared" si="6"/>
        <v>0</v>
      </c>
      <c r="S53" s="1279"/>
      <c r="T53" s="1279"/>
      <c r="U53" s="1279"/>
      <c r="V53" s="1279">
        <f t="shared" si="33"/>
        <v>0</v>
      </c>
      <c r="W53" s="1279"/>
      <c r="X53" s="1279"/>
      <c r="Y53" s="1279"/>
      <c r="Z53" s="1279">
        <f t="shared" si="7"/>
        <v>0</v>
      </c>
      <c r="AA53" s="1279">
        <f t="shared" si="8"/>
        <v>0</v>
      </c>
      <c r="AB53" s="1279">
        <f t="shared" si="9"/>
        <v>0</v>
      </c>
      <c r="AC53" s="1279">
        <f t="shared" si="10"/>
        <v>0</v>
      </c>
      <c r="AD53" s="1279">
        <f t="shared" si="11"/>
        <v>0</v>
      </c>
      <c r="AE53" s="1279"/>
      <c r="AF53" s="1279"/>
      <c r="AG53" s="1279"/>
      <c r="AH53" s="1279">
        <f t="shared" si="34"/>
        <v>0</v>
      </c>
      <c r="AI53" s="1279"/>
      <c r="AJ53" s="1279"/>
      <c r="AK53" s="1279"/>
      <c r="AL53" s="1279">
        <f t="shared" si="35"/>
        <v>0</v>
      </c>
      <c r="AM53" s="1279">
        <f t="shared" si="53"/>
        <v>0</v>
      </c>
      <c r="AN53" s="1279">
        <f t="shared" si="54"/>
        <v>0</v>
      </c>
      <c r="AO53" s="1279">
        <f t="shared" si="55"/>
        <v>0</v>
      </c>
      <c r="AP53" s="1279">
        <f t="shared" si="12"/>
        <v>0</v>
      </c>
      <c r="AQ53" s="1279">
        <f t="shared" si="13"/>
        <v>0</v>
      </c>
      <c r="AR53" s="1279">
        <f t="shared" si="14"/>
        <v>0</v>
      </c>
      <c r="AS53" s="1279">
        <f t="shared" si="15"/>
        <v>0</v>
      </c>
      <c r="AT53" s="1279">
        <f t="shared" si="16"/>
        <v>0</v>
      </c>
      <c r="AU53" s="1280" t="str">
        <f t="shared" si="17"/>
        <v xml:space="preserve"> </v>
      </c>
      <c r="AV53" s="1280" t="str">
        <f t="shared" si="18"/>
        <v xml:space="preserve"> </v>
      </c>
      <c r="AW53" s="1280" t="str">
        <f t="shared" si="19"/>
        <v xml:space="preserve"> </v>
      </c>
      <c r="AX53" s="1280" t="str">
        <f t="shared" si="20"/>
        <v xml:space="preserve"> </v>
      </c>
      <c r="AY53" s="1279">
        <f t="shared" si="21"/>
        <v>0</v>
      </c>
      <c r="AZ53" s="1279">
        <f t="shared" si="22"/>
        <v>0</v>
      </c>
      <c r="BA53" s="1279">
        <f t="shared" si="23"/>
        <v>0</v>
      </c>
      <c r="BB53" s="1279">
        <f t="shared" si="24"/>
        <v>0</v>
      </c>
      <c r="BC53" s="590"/>
      <c r="BP53" s="147"/>
      <c r="BT53" s="111">
        <f t="shared" si="26"/>
        <v>0</v>
      </c>
      <c r="BU53" s="111">
        <f t="shared" si="27"/>
        <v>0</v>
      </c>
      <c r="BV53" s="111">
        <f t="shared" si="28"/>
        <v>0</v>
      </c>
    </row>
    <row r="54" spans="1:74" s="95" customFormat="1">
      <c r="A54" s="95" t="s">
        <v>908</v>
      </c>
      <c r="B54" s="1295" t="s">
        <v>501</v>
      </c>
      <c r="C54" s="1279">
        <v>0</v>
      </c>
      <c r="D54" s="1279">
        <v>1949783000</v>
      </c>
      <c r="E54" s="1279">
        <v>0</v>
      </c>
      <c r="F54" s="1279">
        <f t="shared" si="32"/>
        <v>1949783000</v>
      </c>
      <c r="G54" s="1279"/>
      <c r="H54" s="1279"/>
      <c r="I54" s="1279"/>
      <c r="J54" s="1279">
        <f t="shared" si="25"/>
        <v>0</v>
      </c>
      <c r="K54" s="1279">
        <f t="shared" si="0"/>
        <v>0</v>
      </c>
      <c r="L54" s="1279">
        <f t="shared" si="1"/>
        <v>1949783000</v>
      </c>
      <c r="M54" s="1279">
        <f t="shared" si="2"/>
        <v>0</v>
      </c>
      <c r="N54" s="1279">
        <f t="shared" si="3"/>
        <v>1949783000</v>
      </c>
      <c r="O54" s="1279">
        <v>0</v>
      </c>
      <c r="P54" s="1279">
        <v>1949783000</v>
      </c>
      <c r="Q54" s="1279">
        <v>0</v>
      </c>
      <c r="R54" s="1279">
        <f t="shared" si="6"/>
        <v>1949783000</v>
      </c>
      <c r="S54" s="1279"/>
      <c r="T54" s="1279"/>
      <c r="U54" s="1279"/>
      <c r="V54" s="1279">
        <f t="shared" si="33"/>
        <v>0</v>
      </c>
      <c r="W54" s="1279">
        <f>-+'OSEC-CY'!H140</f>
        <v>0</v>
      </c>
      <c r="X54" s="1279">
        <f>-+'OSEC-CY'!H141</f>
        <v>-21000000</v>
      </c>
      <c r="Y54" s="1279">
        <f>-+'OSEC-CY'!H142</f>
        <v>0</v>
      </c>
      <c r="Z54" s="1279">
        <f t="shared" si="7"/>
        <v>-21000000</v>
      </c>
      <c r="AA54" s="1279">
        <f t="shared" si="8"/>
        <v>0</v>
      </c>
      <c r="AB54" s="1279">
        <f t="shared" si="9"/>
        <v>1928783000</v>
      </c>
      <c r="AC54" s="1279">
        <f t="shared" si="10"/>
        <v>0</v>
      </c>
      <c r="AD54" s="1279">
        <f t="shared" si="11"/>
        <v>1928783000</v>
      </c>
      <c r="AE54" s="1279">
        <f>+'OSEC-CY'!I140</f>
        <v>0</v>
      </c>
      <c r="AF54" s="1279">
        <f>+'OSEC-CY'!I141</f>
        <v>1252116222.4000001</v>
      </c>
      <c r="AG54" s="1279">
        <f>+'OSEC-CY'!I142</f>
        <v>0</v>
      </c>
      <c r="AH54" s="1279">
        <f t="shared" si="34"/>
        <v>1252116222.4000001</v>
      </c>
      <c r="AI54" s="1279"/>
      <c r="AJ54" s="1279"/>
      <c r="AK54" s="1279"/>
      <c r="AL54" s="1279">
        <f t="shared" si="35"/>
        <v>0</v>
      </c>
      <c r="AM54" s="1279">
        <f t="shared" si="53"/>
        <v>0</v>
      </c>
      <c r="AN54" s="1279">
        <f t="shared" si="54"/>
        <v>1252116222.4000001</v>
      </c>
      <c r="AO54" s="1279">
        <f t="shared" si="55"/>
        <v>0</v>
      </c>
      <c r="AP54" s="1279">
        <f t="shared" si="12"/>
        <v>1252116222.4000001</v>
      </c>
      <c r="AQ54" s="1279">
        <f t="shared" si="13"/>
        <v>0</v>
      </c>
      <c r="AR54" s="1279">
        <f t="shared" si="14"/>
        <v>676666777.5999999</v>
      </c>
      <c r="AS54" s="1279">
        <f t="shared" si="15"/>
        <v>0</v>
      </c>
      <c r="AT54" s="1279">
        <f t="shared" si="16"/>
        <v>676666777.5999999</v>
      </c>
      <c r="AU54" s="1280" t="str">
        <f t="shared" si="17"/>
        <v xml:space="preserve"> </v>
      </c>
      <c r="AV54" s="1280">
        <f t="shared" si="18"/>
        <v>0.6491742318342707</v>
      </c>
      <c r="AW54" s="1280" t="str">
        <f t="shared" si="19"/>
        <v xml:space="preserve"> </v>
      </c>
      <c r="AX54" s="1280">
        <f t="shared" si="20"/>
        <v>0.6491742318342707</v>
      </c>
      <c r="AY54" s="1279">
        <f t="shared" si="21"/>
        <v>0</v>
      </c>
      <c r="AZ54" s="1279">
        <f t="shared" si="22"/>
        <v>0</v>
      </c>
      <c r="BA54" s="1279">
        <f t="shared" si="23"/>
        <v>0</v>
      </c>
      <c r="BB54" s="1279">
        <f t="shared" si="24"/>
        <v>0</v>
      </c>
      <c r="BC54" s="590"/>
      <c r="BP54" s="147">
        <f>+'OSEC-CY'!F140</f>
        <v>0</v>
      </c>
      <c r="BQ54" s="95">
        <f>+'OSEC-CY'!F141</f>
        <v>1949783000</v>
      </c>
      <c r="BR54" s="95">
        <f>+'OSEC-CY'!F142</f>
        <v>0</v>
      </c>
      <c r="BT54" s="111">
        <f t="shared" si="26"/>
        <v>0</v>
      </c>
      <c r="BU54" s="111">
        <f t="shared" si="27"/>
        <v>0</v>
      </c>
      <c r="BV54" s="111">
        <f t="shared" si="28"/>
        <v>0</v>
      </c>
    </row>
    <row r="55" spans="1:74" s="95" customFormat="1">
      <c r="A55" s="95" t="s">
        <v>908</v>
      </c>
      <c r="B55" s="1296" t="s">
        <v>502</v>
      </c>
      <c r="C55" s="1279">
        <v>0</v>
      </c>
      <c r="D55" s="1279">
        <v>1021023000</v>
      </c>
      <c r="E55" s="1279">
        <v>0</v>
      </c>
      <c r="F55" s="1279">
        <f t="shared" si="32"/>
        <v>1021023000</v>
      </c>
      <c r="G55" s="1279"/>
      <c r="H55" s="1279"/>
      <c r="I55" s="1279"/>
      <c r="J55" s="1279">
        <f t="shared" si="25"/>
        <v>0</v>
      </c>
      <c r="K55" s="1279">
        <f t="shared" si="0"/>
        <v>0</v>
      </c>
      <c r="L55" s="1279">
        <f t="shared" si="1"/>
        <v>1021023000</v>
      </c>
      <c r="M55" s="1279">
        <f t="shared" si="2"/>
        <v>0</v>
      </c>
      <c r="N55" s="1279">
        <f t="shared" si="3"/>
        <v>1021023000</v>
      </c>
      <c r="O55" s="1279">
        <v>0</v>
      </c>
      <c r="P55" s="1279">
        <v>1021023000</v>
      </c>
      <c r="Q55" s="1279">
        <v>0</v>
      </c>
      <c r="R55" s="1279">
        <f t="shared" si="6"/>
        <v>1021023000</v>
      </c>
      <c r="S55" s="1279"/>
      <c r="T55" s="1279"/>
      <c r="U55" s="1279"/>
      <c r="V55" s="1279">
        <f t="shared" si="33"/>
        <v>0</v>
      </c>
      <c r="W55" s="1279">
        <f>-+'OSEC-CY'!H146</f>
        <v>0</v>
      </c>
      <c r="X55" s="1279">
        <f>-+'OSEC-CY'!H147</f>
        <v>-35800000</v>
      </c>
      <c r="Y55" s="1279">
        <f>-+'OSEC-CY'!H148</f>
        <v>0</v>
      </c>
      <c r="Z55" s="1279">
        <f t="shared" si="7"/>
        <v>-35800000</v>
      </c>
      <c r="AA55" s="1279">
        <f t="shared" si="8"/>
        <v>0</v>
      </c>
      <c r="AB55" s="1279">
        <f t="shared" si="9"/>
        <v>985223000</v>
      </c>
      <c r="AC55" s="1279">
        <f t="shared" si="10"/>
        <v>0</v>
      </c>
      <c r="AD55" s="1279">
        <f t="shared" si="11"/>
        <v>985223000</v>
      </c>
      <c r="AE55" s="1279">
        <f>+'OSEC-CY'!I146</f>
        <v>0</v>
      </c>
      <c r="AF55" s="1279">
        <f>+'OSEC-CY'!I147</f>
        <v>554182503.09000003</v>
      </c>
      <c r="AG55" s="1279">
        <f>+'OSEC-CY'!I148</f>
        <v>0</v>
      </c>
      <c r="AH55" s="1279">
        <f t="shared" si="34"/>
        <v>554182503.09000003</v>
      </c>
      <c r="AI55" s="1279"/>
      <c r="AJ55" s="1279"/>
      <c r="AK55" s="1279"/>
      <c r="AL55" s="1279">
        <f t="shared" si="35"/>
        <v>0</v>
      </c>
      <c r="AM55" s="1279">
        <f t="shared" si="53"/>
        <v>0</v>
      </c>
      <c r="AN55" s="1279">
        <f t="shared" si="54"/>
        <v>554182503.09000003</v>
      </c>
      <c r="AO55" s="1279">
        <f t="shared" si="55"/>
        <v>0</v>
      </c>
      <c r="AP55" s="1279">
        <f t="shared" si="12"/>
        <v>554182503.09000003</v>
      </c>
      <c r="AQ55" s="1279">
        <f t="shared" si="13"/>
        <v>0</v>
      </c>
      <c r="AR55" s="1279">
        <f t="shared" si="14"/>
        <v>431040496.90999997</v>
      </c>
      <c r="AS55" s="1279">
        <f t="shared" si="15"/>
        <v>0</v>
      </c>
      <c r="AT55" s="1279">
        <f t="shared" si="16"/>
        <v>431040496.90999997</v>
      </c>
      <c r="AU55" s="1280" t="str">
        <f t="shared" si="17"/>
        <v xml:space="preserve"> </v>
      </c>
      <c r="AV55" s="1280">
        <f t="shared" si="18"/>
        <v>0.5624944840812689</v>
      </c>
      <c r="AW55" s="1280" t="str">
        <f t="shared" si="19"/>
        <v xml:space="preserve"> </v>
      </c>
      <c r="AX55" s="1280">
        <f t="shared" si="20"/>
        <v>0.5624944840812689</v>
      </c>
      <c r="AY55" s="1279">
        <f t="shared" si="21"/>
        <v>0</v>
      </c>
      <c r="AZ55" s="1279">
        <f t="shared" si="22"/>
        <v>0</v>
      </c>
      <c r="BA55" s="1279">
        <f t="shared" si="23"/>
        <v>0</v>
      </c>
      <c r="BB55" s="1279">
        <f t="shared" si="24"/>
        <v>0</v>
      </c>
      <c r="BC55" s="590"/>
      <c r="BP55" s="147">
        <f>+'OSEC-CY'!F146</f>
        <v>0</v>
      </c>
      <c r="BQ55" s="95">
        <f>+'OSEC-CY'!F147</f>
        <v>1021023000</v>
      </c>
      <c r="BR55" s="95">
        <f>+'OSEC-CY'!F148</f>
        <v>0</v>
      </c>
      <c r="BT55" s="111">
        <f t="shared" si="26"/>
        <v>0</v>
      </c>
      <c r="BU55" s="111">
        <f t="shared" si="27"/>
        <v>0</v>
      </c>
      <c r="BV55" s="111">
        <f t="shared" si="28"/>
        <v>0</v>
      </c>
    </row>
    <row r="56" spans="1:74" s="95" customFormat="1" ht="48">
      <c r="A56" s="95" t="s">
        <v>908</v>
      </c>
      <c r="B56" s="1297" t="s">
        <v>503</v>
      </c>
      <c r="C56" s="1279">
        <v>0</v>
      </c>
      <c r="D56" s="1279">
        <v>321951000</v>
      </c>
      <c r="E56" s="1279">
        <v>0</v>
      </c>
      <c r="F56" s="1279">
        <f t="shared" si="32"/>
        <v>321951000</v>
      </c>
      <c r="G56" s="1279"/>
      <c r="H56" s="1279"/>
      <c r="I56" s="1279"/>
      <c r="J56" s="1279">
        <f t="shared" si="25"/>
        <v>0</v>
      </c>
      <c r="K56" s="1279">
        <f t="shared" si="0"/>
        <v>0</v>
      </c>
      <c r="L56" s="1279">
        <f t="shared" si="1"/>
        <v>321951000</v>
      </c>
      <c r="M56" s="1279">
        <f t="shared" si="2"/>
        <v>0</v>
      </c>
      <c r="N56" s="1279">
        <f t="shared" si="3"/>
        <v>321951000</v>
      </c>
      <c r="O56" s="1279">
        <v>0</v>
      </c>
      <c r="P56" s="1279">
        <v>321951000</v>
      </c>
      <c r="Q56" s="1279">
        <v>0</v>
      </c>
      <c r="R56" s="1279">
        <f t="shared" si="6"/>
        <v>321951000</v>
      </c>
      <c r="S56" s="1279"/>
      <c r="T56" s="1279"/>
      <c r="U56" s="1279"/>
      <c r="V56" s="1279">
        <f t="shared" si="33"/>
        <v>0</v>
      </c>
      <c r="W56" s="1279">
        <f>-+'OSEC-CY'!H152</f>
        <v>0</v>
      </c>
      <c r="X56" s="1279">
        <f>-+'OSEC-CY'!H153</f>
        <v>-96165250</v>
      </c>
      <c r="Y56" s="1279">
        <f>-+'OSEC-CY'!H154</f>
        <v>0</v>
      </c>
      <c r="Z56" s="1279">
        <f t="shared" si="7"/>
        <v>-96165250</v>
      </c>
      <c r="AA56" s="1279">
        <f t="shared" si="8"/>
        <v>0</v>
      </c>
      <c r="AB56" s="1279">
        <f t="shared" si="9"/>
        <v>225785750</v>
      </c>
      <c r="AC56" s="1279">
        <f t="shared" si="10"/>
        <v>0</v>
      </c>
      <c r="AD56" s="1279">
        <f t="shared" si="11"/>
        <v>225785750</v>
      </c>
      <c r="AE56" s="1279">
        <f>+'OSEC-CY'!I152</f>
        <v>0</v>
      </c>
      <c r="AF56" s="1279">
        <f>+'OSEC-CY'!I153</f>
        <v>191804559.59000003</v>
      </c>
      <c r="AG56" s="1279">
        <f>+'OSEC-CY'!I154</f>
        <v>0</v>
      </c>
      <c r="AH56" s="1279">
        <f t="shared" si="34"/>
        <v>191804559.59000003</v>
      </c>
      <c r="AI56" s="1279"/>
      <c r="AJ56" s="1279"/>
      <c r="AK56" s="1279"/>
      <c r="AL56" s="1279">
        <f t="shared" si="35"/>
        <v>0</v>
      </c>
      <c r="AM56" s="1279">
        <f t="shared" si="53"/>
        <v>0</v>
      </c>
      <c r="AN56" s="1279">
        <f t="shared" si="54"/>
        <v>191804559.59000003</v>
      </c>
      <c r="AO56" s="1279">
        <f t="shared" si="55"/>
        <v>0</v>
      </c>
      <c r="AP56" s="1279">
        <f t="shared" si="12"/>
        <v>191804559.59000003</v>
      </c>
      <c r="AQ56" s="1279">
        <f t="shared" si="13"/>
        <v>0</v>
      </c>
      <c r="AR56" s="1279">
        <f t="shared" si="14"/>
        <v>33981190.409999967</v>
      </c>
      <c r="AS56" s="1279">
        <f t="shared" si="15"/>
        <v>0</v>
      </c>
      <c r="AT56" s="1279">
        <f t="shared" si="16"/>
        <v>33981190.409999967</v>
      </c>
      <c r="AU56" s="1280" t="str">
        <f t="shared" si="17"/>
        <v xml:space="preserve"> </v>
      </c>
      <c r="AV56" s="1280">
        <f t="shared" si="18"/>
        <v>0.8494980732397861</v>
      </c>
      <c r="AW56" s="1280" t="str">
        <f t="shared" si="19"/>
        <v xml:space="preserve"> </v>
      </c>
      <c r="AX56" s="1280">
        <f t="shared" si="20"/>
        <v>0.8494980732397861</v>
      </c>
      <c r="AY56" s="1279">
        <f t="shared" si="21"/>
        <v>0</v>
      </c>
      <c r="AZ56" s="1279">
        <f t="shared" si="22"/>
        <v>0</v>
      </c>
      <c r="BA56" s="1279">
        <f t="shared" si="23"/>
        <v>0</v>
      </c>
      <c r="BB56" s="1279">
        <f t="shared" si="24"/>
        <v>0</v>
      </c>
      <c r="BC56" s="590"/>
      <c r="BP56" s="147">
        <f>+'OSEC-CY'!F152</f>
        <v>0</v>
      </c>
      <c r="BQ56" s="95">
        <f>+'OSEC-CY'!F153</f>
        <v>321951000</v>
      </c>
      <c r="BR56" s="95">
        <f>+'OSEC-CY'!F154</f>
        <v>0</v>
      </c>
      <c r="BT56" s="111">
        <f t="shared" si="26"/>
        <v>0</v>
      </c>
      <c r="BU56" s="111">
        <f t="shared" si="27"/>
        <v>0</v>
      </c>
      <c r="BV56" s="111">
        <f t="shared" si="28"/>
        <v>0</v>
      </c>
    </row>
    <row r="57" spans="1:74" s="95" customFormat="1">
      <c r="A57" s="95" t="s">
        <v>908</v>
      </c>
      <c r="B57" s="1296" t="s">
        <v>504</v>
      </c>
      <c r="C57" s="1279">
        <v>0</v>
      </c>
      <c r="D57" s="1279">
        <v>70764000</v>
      </c>
      <c r="E57" s="1279">
        <v>0</v>
      </c>
      <c r="F57" s="1279">
        <f t="shared" si="32"/>
        <v>70764000</v>
      </c>
      <c r="G57" s="1279"/>
      <c r="H57" s="1279"/>
      <c r="I57" s="1279"/>
      <c r="J57" s="1279">
        <f t="shared" si="25"/>
        <v>0</v>
      </c>
      <c r="K57" s="1279">
        <f t="shared" ref="K57:K105" si="56">+C57+G57</f>
        <v>0</v>
      </c>
      <c r="L57" s="1279">
        <f t="shared" ref="L57:L105" si="57">+D57+H57</f>
        <v>70764000</v>
      </c>
      <c r="M57" s="1279">
        <f t="shared" ref="M57:M105" si="58">+E57+I57</f>
        <v>0</v>
      </c>
      <c r="N57" s="1279">
        <f t="shared" ref="N57:N105" si="59">SUM(K57:M57)</f>
        <v>70764000</v>
      </c>
      <c r="O57" s="1279">
        <v>0</v>
      </c>
      <c r="P57" s="1279">
        <v>70764000</v>
      </c>
      <c r="Q57" s="1279">
        <v>0</v>
      </c>
      <c r="R57" s="1279">
        <f t="shared" si="6"/>
        <v>70764000</v>
      </c>
      <c r="S57" s="1279"/>
      <c r="T57" s="1279"/>
      <c r="U57" s="1279"/>
      <c r="V57" s="1279">
        <f t="shared" si="33"/>
        <v>0</v>
      </c>
      <c r="W57" s="1279">
        <f>-+'OSEC-CY'!H158</f>
        <v>0</v>
      </c>
      <c r="X57" s="1279">
        <f>-+'OSEC-CY'!H159</f>
        <v>0</v>
      </c>
      <c r="Y57" s="1279">
        <f>-+'OSEC-CY'!H160</f>
        <v>0</v>
      </c>
      <c r="Z57" s="1279">
        <f t="shared" si="7"/>
        <v>0</v>
      </c>
      <c r="AA57" s="1279">
        <f t="shared" si="8"/>
        <v>0</v>
      </c>
      <c r="AB57" s="1279">
        <f t="shared" si="9"/>
        <v>70764000</v>
      </c>
      <c r="AC57" s="1279">
        <f t="shared" si="10"/>
        <v>0</v>
      </c>
      <c r="AD57" s="1279">
        <f t="shared" si="11"/>
        <v>70764000</v>
      </c>
      <c r="AE57" s="1279">
        <f>+'OSEC-CY'!I158</f>
        <v>0</v>
      </c>
      <c r="AF57" s="1279">
        <f>+'OSEC-CY'!I159</f>
        <v>45080269.630000003</v>
      </c>
      <c r="AG57" s="1279">
        <f>+'OSEC-CY'!I160</f>
        <v>0</v>
      </c>
      <c r="AH57" s="1279">
        <f t="shared" si="34"/>
        <v>45080269.630000003</v>
      </c>
      <c r="AI57" s="1279"/>
      <c r="AJ57" s="1279"/>
      <c r="AK57" s="1279"/>
      <c r="AL57" s="1279">
        <f t="shared" si="35"/>
        <v>0</v>
      </c>
      <c r="AM57" s="1279">
        <f t="shared" si="53"/>
        <v>0</v>
      </c>
      <c r="AN57" s="1279">
        <f t="shared" si="54"/>
        <v>45080269.630000003</v>
      </c>
      <c r="AO57" s="1279">
        <f t="shared" si="55"/>
        <v>0</v>
      </c>
      <c r="AP57" s="1279">
        <f t="shared" si="12"/>
        <v>45080269.630000003</v>
      </c>
      <c r="AQ57" s="1279">
        <f t="shared" si="13"/>
        <v>0</v>
      </c>
      <c r="AR57" s="1279">
        <f t="shared" si="14"/>
        <v>25683730.369999997</v>
      </c>
      <c r="AS57" s="1279">
        <f t="shared" si="15"/>
        <v>0</v>
      </c>
      <c r="AT57" s="1279">
        <f t="shared" si="16"/>
        <v>25683730.369999997</v>
      </c>
      <c r="AU57" s="1280" t="str">
        <f t="shared" si="17"/>
        <v xml:space="preserve"> </v>
      </c>
      <c r="AV57" s="1280">
        <f t="shared" si="18"/>
        <v>0.637050896359731</v>
      </c>
      <c r="AW57" s="1280" t="str">
        <f t="shared" si="19"/>
        <v xml:space="preserve"> </v>
      </c>
      <c r="AX57" s="1280">
        <f t="shared" si="20"/>
        <v>0.637050896359731</v>
      </c>
      <c r="AY57" s="1279">
        <f t="shared" si="21"/>
        <v>0</v>
      </c>
      <c r="AZ57" s="1279">
        <f t="shared" si="22"/>
        <v>0</v>
      </c>
      <c r="BA57" s="1279">
        <f t="shared" si="23"/>
        <v>0</v>
      </c>
      <c r="BB57" s="1279">
        <f t="shared" si="24"/>
        <v>0</v>
      </c>
      <c r="BC57" s="590"/>
      <c r="BP57" s="147">
        <f>+'OSEC-CY'!F158</f>
        <v>0</v>
      </c>
      <c r="BQ57" s="95">
        <f>+'OSEC-CY'!F159</f>
        <v>70764000</v>
      </c>
      <c r="BR57" s="95">
        <f>+'OSEC-CY'!F160</f>
        <v>0</v>
      </c>
      <c r="BT57" s="111">
        <f t="shared" si="26"/>
        <v>0</v>
      </c>
      <c r="BU57" s="111">
        <f t="shared" si="27"/>
        <v>0</v>
      </c>
      <c r="BV57" s="111">
        <f t="shared" si="28"/>
        <v>0</v>
      </c>
    </row>
    <row r="58" spans="1:74" s="95" customFormat="1">
      <c r="A58" s="95" t="s">
        <v>908</v>
      </c>
      <c r="B58" s="1296" t="s">
        <v>505</v>
      </c>
      <c r="C58" s="1279">
        <v>0</v>
      </c>
      <c r="D58" s="1279">
        <v>2539420000</v>
      </c>
      <c r="E58" s="1279">
        <v>0</v>
      </c>
      <c r="F58" s="1279">
        <f t="shared" ref="F58:F106" si="60">SUM(C58:E58)</f>
        <v>2539420000</v>
      </c>
      <c r="G58" s="1279"/>
      <c r="H58" s="1279"/>
      <c r="I58" s="1279"/>
      <c r="J58" s="1279">
        <f t="shared" ref="J58:J106" si="61">SUM(G58:I58)</f>
        <v>0</v>
      </c>
      <c r="K58" s="1279">
        <f t="shared" si="56"/>
        <v>0</v>
      </c>
      <c r="L58" s="1279">
        <f t="shared" si="57"/>
        <v>2539420000</v>
      </c>
      <c r="M58" s="1279">
        <f t="shared" si="58"/>
        <v>0</v>
      </c>
      <c r="N58" s="1279">
        <f t="shared" si="59"/>
        <v>2539420000</v>
      </c>
      <c r="O58" s="1279">
        <v>0</v>
      </c>
      <c r="P58" s="1279">
        <v>2539420000</v>
      </c>
      <c r="Q58" s="1279">
        <v>0</v>
      </c>
      <c r="R58" s="1279">
        <f t="shared" si="6"/>
        <v>2539420000</v>
      </c>
      <c r="S58" s="1279"/>
      <c r="T58" s="1279"/>
      <c r="U58" s="1279"/>
      <c r="V58" s="1279">
        <f t="shared" si="33"/>
        <v>0</v>
      </c>
      <c r="W58" s="1279">
        <f>-+'OSEC-CY'!H164</f>
        <v>0</v>
      </c>
      <c r="X58" s="1279">
        <f>-+'OSEC-CY'!H165</f>
        <v>-690876015</v>
      </c>
      <c r="Y58" s="1279">
        <f>-+'OSEC-CY'!H166</f>
        <v>0</v>
      </c>
      <c r="Z58" s="1279">
        <f t="shared" si="7"/>
        <v>-690876015</v>
      </c>
      <c r="AA58" s="1279">
        <f t="shared" si="8"/>
        <v>0</v>
      </c>
      <c r="AB58" s="1279">
        <f t="shared" si="9"/>
        <v>1848543985</v>
      </c>
      <c r="AC58" s="1279">
        <f t="shared" si="10"/>
        <v>0</v>
      </c>
      <c r="AD58" s="1279">
        <f t="shared" si="11"/>
        <v>1848543985</v>
      </c>
      <c r="AE58" s="1279">
        <f>+'OSEC-CY'!I164</f>
        <v>0</v>
      </c>
      <c r="AF58" s="1279">
        <f>+'OSEC-CY'!I165</f>
        <v>1456783728.8300004</v>
      </c>
      <c r="AG58" s="1279">
        <f>+'OSEC-CY'!I166</f>
        <v>0</v>
      </c>
      <c r="AH58" s="1279">
        <f t="shared" ref="AH58:AH106" si="62">SUM(AE58:AG58)</f>
        <v>1456783728.8300004</v>
      </c>
      <c r="AI58" s="1279"/>
      <c r="AJ58" s="1279"/>
      <c r="AK58" s="1279"/>
      <c r="AL58" s="1279">
        <f t="shared" ref="AL58:AL106" si="63">SUM(AI58:AK58)</f>
        <v>0</v>
      </c>
      <c r="AM58" s="1279">
        <f t="shared" si="53"/>
        <v>0</v>
      </c>
      <c r="AN58" s="1279">
        <f t="shared" si="54"/>
        <v>1456783728.8300004</v>
      </c>
      <c r="AO58" s="1279">
        <f t="shared" si="55"/>
        <v>0</v>
      </c>
      <c r="AP58" s="1279">
        <f t="shared" si="12"/>
        <v>1456783728.8300004</v>
      </c>
      <c r="AQ58" s="1279">
        <f t="shared" si="13"/>
        <v>0</v>
      </c>
      <c r="AR58" s="1279">
        <f t="shared" si="14"/>
        <v>391760256.1699996</v>
      </c>
      <c r="AS58" s="1279">
        <f t="shared" si="15"/>
        <v>0</v>
      </c>
      <c r="AT58" s="1279">
        <f t="shared" si="16"/>
        <v>391760256.1699996</v>
      </c>
      <c r="AU58" s="1280" t="str">
        <f t="shared" si="17"/>
        <v xml:space="preserve"> </v>
      </c>
      <c r="AV58" s="1280">
        <f t="shared" si="18"/>
        <v>0.7880709037226401</v>
      </c>
      <c r="AW58" s="1280" t="str">
        <f t="shared" si="19"/>
        <v xml:space="preserve"> </v>
      </c>
      <c r="AX58" s="1280">
        <f t="shared" si="20"/>
        <v>0.7880709037226401</v>
      </c>
      <c r="AY58" s="1279">
        <f t="shared" si="21"/>
        <v>0</v>
      </c>
      <c r="AZ58" s="1279">
        <f t="shared" si="22"/>
        <v>0</v>
      </c>
      <c r="BA58" s="1279">
        <f t="shared" si="23"/>
        <v>0</v>
      </c>
      <c r="BB58" s="1279">
        <f t="shared" si="24"/>
        <v>0</v>
      </c>
      <c r="BC58" s="590"/>
      <c r="BP58" s="147">
        <f>+'OSEC-CY'!F164</f>
        <v>0</v>
      </c>
      <c r="BQ58" s="95">
        <f>+'OSEC-CY'!F165</f>
        <v>2539420000</v>
      </c>
      <c r="BR58" s="95">
        <f>+'OSEC-CY'!F166</f>
        <v>0</v>
      </c>
      <c r="BT58" s="111">
        <f t="shared" si="26"/>
        <v>0</v>
      </c>
      <c r="BU58" s="111">
        <f t="shared" si="27"/>
        <v>0</v>
      </c>
      <c r="BV58" s="111">
        <f t="shared" si="28"/>
        <v>0</v>
      </c>
    </row>
    <row r="59" spans="1:74" s="95" customFormat="1">
      <c r="A59" s="95" t="s">
        <v>908</v>
      </c>
      <c r="B59" s="1296" t="s">
        <v>506</v>
      </c>
      <c r="C59" s="1279">
        <v>0</v>
      </c>
      <c r="D59" s="1279">
        <v>51866000</v>
      </c>
      <c r="E59" s="1279">
        <v>0</v>
      </c>
      <c r="F59" s="1279">
        <f t="shared" si="60"/>
        <v>51866000</v>
      </c>
      <c r="G59" s="1279"/>
      <c r="H59" s="1279"/>
      <c r="I59" s="1279"/>
      <c r="J59" s="1279">
        <f t="shared" si="61"/>
        <v>0</v>
      </c>
      <c r="K59" s="1279">
        <f t="shared" si="56"/>
        <v>0</v>
      </c>
      <c r="L59" s="1279">
        <f t="shared" si="57"/>
        <v>51866000</v>
      </c>
      <c r="M59" s="1279">
        <f t="shared" si="58"/>
        <v>0</v>
      </c>
      <c r="N59" s="1279">
        <f t="shared" si="59"/>
        <v>51866000</v>
      </c>
      <c r="O59" s="1279">
        <v>0</v>
      </c>
      <c r="P59" s="1279">
        <v>51866000</v>
      </c>
      <c r="Q59" s="1279">
        <v>0</v>
      </c>
      <c r="R59" s="1279">
        <f t="shared" si="6"/>
        <v>51866000</v>
      </c>
      <c r="S59" s="1279"/>
      <c r="T59" s="1279"/>
      <c r="U59" s="1279"/>
      <c r="V59" s="1279">
        <f t="shared" si="33"/>
        <v>0</v>
      </c>
      <c r="W59" s="1279">
        <f>-+'OSEC-CY'!H170</f>
        <v>0</v>
      </c>
      <c r="X59" s="1279">
        <f>-+'OSEC-CY'!H171</f>
        <v>-5564652</v>
      </c>
      <c r="Y59" s="1279">
        <f>-+'OSEC-CY'!H172</f>
        <v>0</v>
      </c>
      <c r="Z59" s="1279">
        <f t="shared" si="7"/>
        <v>-5564652</v>
      </c>
      <c r="AA59" s="1279">
        <f t="shared" si="8"/>
        <v>0</v>
      </c>
      <c r="AB59" s="1279">
        <f t="shared" si="9"/>
        <v>46301348</v>
      </c>
      <c r="AC59" s="1279">
        <f t="shared" si="10"/>
        <v>0</v>
      </c>
      <c r="AD59" s="1279">
        <f t="shared" si="11"/>
        <v>46301348</v>
      </c>
      <c r="AE59" s="1279">
        <f>+'OSEC-CY'!I170</f>
        <v>0</v>
      </c>
      <c r="AF59" s="1279">
        <f>+'OSEC-CY'!I171</f>
        <v>21839409.300000004</v>
      </c>
      <c r="AG59" s="1279">
        <f>+'OSEC-CY'!I172</f>
        <v>0</v>
      </c>
      <c r="AH59" s="1279">
        <f t="shared" si="62"/>
        <v>21839409.300000004</v>
      </c>
      <c r="AI59" s="1279"/>
      <c r="AJ59" s="1279"/>
      <c r="AK59" s="1279"/>
      <c r="AL59" s="1279">
        <f t="shared" si="63"/>
        <v>0</v>
      </c>
      <c r="AM59" s="1279">
        <f t="shared" si="53"/>
        <v>0</v>
      </c>
      <c r="AN59" s="1279">
        <f t="shared" si="54"/>
        <v>21839409.300000004</v>
      </c>
      <c r="AO59" s="1279">
        <f t="shared" si="55"/>
        <v>0</v>
      </c>
      <c r="AP59" s="1279">
        <f t="shared" si="12"/>
        <v>21839409.300000004</v>
      </c>
      <c r="AQ59" s="1279">
        <f t="shared" si="13"/>
        <v>0</v>
      </c>
      <c r="AR59" s="1279">
        <f t="shared" si="14"/>
        <v>24461938.699999996</v>
      </c>
      <c r="AS59" s="1279">
        <f t="shared" si="15"/>
        <v>0</v>
      </c>
      <c r="AT59" s="1279">
        <f t="shared" si="16"/>
        <v>24461938.699999996</v>
      </c>
      <c r="AU59" s="1280" t="str">
        <f t="shared" si="17"/>
        <v xml:space="preserve"> </v>
      </c>
      <c r="AV59" s="1280">
        <f t="shared" si="18"/>
        <v>0.47167977269257916</v>
      </c>
      <c r="AW59" s="1280" t="str">
        <f t="shared" si="19"/>
        <v xml:space="preserve"> </v>
      </c>
      <c r="AX59" s="1280">
        <f t="shared" si="20"/>
        <v>0.47167977269257916</v>
      </c>
      <c r="AY59" s="1279">
        <f t="shared" si="21"/>
        <v>0</v>
      </c>
      <c r="AZ59" s="1279">
        <f t="shared" si="22"/>
        <v>0</v>
      </c>
      <c r="BA59" s="1279">
        <f t="shared" si="23"/>
        <v>0</v>
      </c>
      <c r="BB59" s="1279">
        <f t="shared" si="24"/>
        <v>0</v>
      </c>
      <c r="BC59" s="590"/>
      <c r="BP59" s="147">
        <f>+'OSEC-CY'!F170</f>
        <v>0</v>
      </c>
      <c r="BQ59" s="95">
        <f>+'OSEC-CY'!F171</f>
        <v>51866000</v>
      </c>
      <c r="BR59" s="95">
        <f>+'OSEC-CY'!F172</f>
        <v>0</v>
      </c>
      <c r="BT59" s="111">
        <f t="shared" si="26"/>
        <v>0</v>
      </c>
      <c r="BU59" s="111">
        <f t="shared" si="27"/>
        <v>0</v>
      </c>
      <c r="BV59" s="111">
        <f t="shared" si="28"/>
        <v>0</v>
      </c>
    </row>
    <row r="60" spans="1:74" s="95" customFormat="1">
      <c r="A60" s="95" t="s">
        <v>904</v>
      </c>
      <c r="B60" s="1289" t="s">
        <v>507</v>
      </c>
      <c r="C60" s="1279">
        <v>2183000</v>
      </c>
      <c r="D60" s="1279">
        <v>8281000</v>
      </c>
      <c r="E60" s="1279">
        <v>0</v>
      </c>
      <c r="F60" s="1279">
        <f t="shared" si="60"/>
        <v>10464000</v>
      </c>
      <c r="G60" s="1279"/>
      <c r="H60" s="1279"/>
      <c r="I60" s="1279"/>
      <c r="J60" s="1279">
        <f t="shared" si="61"/>
        <v>0</v>
      </c>
      <c r="K60" s="1279">
        <f t="shared" si="56"/>
        <v>2183000</v>
      </c>
      <c r="L60" s="1279">
        <f t="shared" si="57"/>
        <v>8281000</v>
      </c>
      <c r="M60" s="1279">
        <f t="shared" si="58"/>
        <v>0</v>
      </c>
      <c r="N60" s="1279">
        <f t="shared" si="59"/>
        <v>10464000</v>
      </c>
      <c r="O60" s="1279">
        <v>2183000</v>
      </c>
      <c r="P60" s="1279">
        <v>8281000</v>
      </c>
      <c r="Q60" s="1279">
        <v>0</v>
      </c>
      <c r="R60" s="1279">
        <f t="shared" si="6"/>
        <v>10464000</v>
      </c>
      <c r="S60" s="1279"/>
      <c r="T60" s="1279"/>
      <c r="U60" s="1279"/>
      <c r="V60" s="1279">
        <f t="shared" si="33"/>
        <v>0</v>
      </c>
      <c r="W60" s="1279">
        <f>-+'OSEC-CY'!H176</f>
        <v>0</v>
      </c>
      <c r="X60" s="1279">
        <f>-+'OSEC-CY'!H177</f>
        <v>0</v>
      </c>
      <c r="Y60" s="1279">
        <f>-+'OSEC-CY'!H178</f>
        <v>0</v>
      </c>
      <c r="Z60" s="1279">
        <f t="shared" si="7"/>
        <v>0</v>
      </c>
      <c r="AA60" s="1279">
        <f t="shared" si="8"/>
        <v>2183000</v>
      </c>
      <c r="AB60" s="1279">
        <f t="shared" si="9"/>
        <v>8281000</v>
      </c>
      <c r="AC60" s="1279">
        <f t="shared" si="10"/>
        <v>0</v>
      </c>
      <c r="AD60" s="1279">
        <f t="shared" si="11"/>
        <v>10464000</v>
      </c>
      <c r="AE60" s="1279">
        <f>+'OSEC-CY'!I176</f>
        <v>2083047.31</v>
      </c>
      <c r="AF60" s="1279">
        <f>+'OSEC-CY'!I177</f>
        <v>6870770.6999999993</v>
      </c>
      <c r="AG60" s="1279">
        <f>+'OSEC-CY'!I178</f>
        <v>0</v>
      </c>
      <c r="AH60" s="1279">
        <f t="shared" si="62"/>
        <v>8953818.0099999998</v>
      </c>
      <c r="AI60" s="1279"/>
      <c r="AJ60" s="1279"/>
      <c r="AK60" s="1279"/>
      <c r="AL60" s="1279">
        <f t="shared" si="63"/>
        <v>0</v>
      </c>
      <c r="AM60" s="1279">
        <f t="shared" si="53"/>
        <v>2083047.31</v>
      </c>
      <c r="AN60" s="1279">
        <f t="shared" si="54"/>
        <v>6870770.6999999993</v>
      </c>
      <c r="AO60" s="1279">
        <f t="shared" si="55"/>
        <v>0</v>
      </c>
      <c r="AP60" s="1279">
        <f t="shared" si="12"/>
        <v>8953818.0099999998</v>
      </c>
      <c r="AQ60" s="1279">
        <f t="shared" si="13"/>
        <v>99952.689999999944</v>
      </c>
      <c r="AR60" s="1279">
        <f t="shared" si="14"/>
        <v>1410229.3000000007</v>
      </c>
      <c r="AS60" s="1279">
        <f t="shared" si="15"/>
        <v>0</v>
      </c>
      <c r="AT60" s="1279">
        <f t="shared" si="16"/>
        <v>1510181.9900000007</v>
      </c>
      <c r="AU60" s="1280">
        <f t="shared" si="17"/>
        <v>0.95421315162620246</v>
      </c>
      <c r="AV60" s="1280">
        <f t="shared" si="18"/>
        <v>0.82970301895906284</v>
      </c>
      <c r="AW60" s="1280" t="str">
        <f t="shared" si="19"/>
        <v xml:space="preserve"> </v>
      </c>
      <c r="AX60" s="1280">
        <f t="shared" si="20"/>
        <v>0.85567832664373089</v>
      </c>
      <c r="AY60" s="1279">
        <f t="shared" si="21"/>
        <v>0</v>
      </c>
      <c r="AZ60" s="1279">
        <f t="shared" si="22"/>
        <v>0</v>
      </c>
      <c r="BA60" s="1279">
        <f t="shared" si="23"/>
        <v>0</v>
      </c>
      <c r="BB60" s="1279">
        <f t="shared" si="24"/>
        <v>0</v>
      </c>
      <c r="BC60" s="590"/>
      <c r="BP60" s="147">
        <f>+'OSEC-CY'!F176</f>
        <v>2183000</v>
      </c>
      <c r="BQ60" s="95">
        <f>+'OSEC-CY'!F177</f>
        <v>8281000</v>
      </c>
      <c r="BR60" s="95">
        <f>+'OSEC-CY'!F178</f>
        <v>0</v>
      </c>
      <c r="BT60" s="111">
        <f t="shared" si="26"/>
        <v>0</v>
      </c>
      <c r="BU60" s="111">
        <f t="shared" si="27"/>
        <v>0</v>
      </c>
      <c r="BV60" s="111">
        <f t="shared" si="28"/>
        <v>0</v>
      </c>
    </row>
    <row r="61" spans="1:74" s="95" customFormat="1">
      <c r="A61" s="95" t="s">
        <v>908</v>
      </c>
      <c r="B61" s="1289" t="s">
        <v>508</v>
      </c>
      <c r="C61" s="1279">
        <v>17952000</v>
      </c>
      <c r="D61" s="1279">
        <v>144527000</v>
      </c>
      <c r="E61" s="1279">
        <v>0</v>
      </c>
      <c r="F61" s="1279">
        <f t="shared" si="60"/>
        <v>162479000</v>
      </c>
      <c r="G61" s="1279"/>
      <c r="H61" s="1279">
        <v>-7000000</v>
      </c>
      <c r="I61" s="1279"/>
      <c r="J61" s="1279">
        <f t="shared" si="61"/>
        <v>-7000000</v>
      </c>
      <c r="K61" s="1279">
        <f t="shared" si="56"/>
        <v>17952000</v>
      </c>
      <c r="L61" s="1279">
        <f t="shared" si="57"/>
        <v>137527000</v>
      </c>
      <c r="M61" s="1279">
        <f t="shared" si="58"/>
        <v>0</v>
      </c>
      <c r="N61" s="1279">
        <f t="shared" si="59"/>
        <v>155479000</v>
      </c>
      <c r="O61" s="1279">
        <v>17952000</v>
      </c>
      <c r="P61" s="1279">
        <v>137527000</v>
      </c>
      <c r="Q61" s="1279">
        <v>0</v>
      </c>
      <c r="R61" s="1279">
        <f t="shared" si="6"/>
        <v>155479000</v>
      </c>
      <c r="S61" s="1279"/>
      <c r="T61" s="1279"/>
      <c r="U61" s="1279"/>
      <c r="V61" s="1279">
        <f t="shared" ref="V61:V107" si="64">SUM(S61:U61)</f>
        <v>0</v>
      </c>
      <c r="W61" s="1279">
        <f>-+'OSEC-CY'!H182</f>
        <v>0</v>
      </c>
      <c r="X61" s="1279">
        <f>-+'OSEC-CY'!H183</f>
        <v>-4230000</v>
      </c>
      <c r="Y61" s="1279">
        <f>-+'OSEC-CY'!H184</f>
        <v>0</v>
      </c>
      <c r="Z61" s="1279">
        <f t="shared" si="7"/>
        <v>-4230000</v>
      </c>
      <c r="AA61" s="1279">
        <f t="shared" si="8"/>
        <v>17952000</v>
      </c>
      <c r="AB61" s="1279">
        <f t="shared" si="9"/>
        <v>133297000</v>
      </c>
      <c r="AC61" s="1279">
        <f t="shared" si="10"/>
        <v>0</v>
      </c>
      <c r="AD61" s="1279">
        <f t="shared" si="11"/>
        <v>151249000</v>
      </c>
      <c r="AE61" s="1279">
        <f>+'OSEC-CY'!I182</f>
        <v>14840343.440000001</v>
      </c>
      <c r="AF61" s="1279">
        <f>+'OSEC-CY'!I183</f>
        <v>115130827.45000002</v>
      </c>
      <c r="AG61" s="1279">
        <f>+'OSEC-CY'!I184</f>
        <v>0</v>
      </c>
      <c r="AH61" s="1279">
        <f t="shared" si="62"/>
        <v>129971170.89000002</v>
      </c>
      <c r="AI61" s="1279"/>
      <c r="AJ61" s="1279"/>
      <c r="AK61" s="1279"/>
      <c r="AL61" s="1279">
        <f t="shared" si="63"/>
        <v>0</v>
      </c>
      <c r="AM61" s="1279">
        <f t="shared" si="53"/>
        <v>14840343.440000001</v>
      </c>
      <c r="AN61" s="1279">
        <f t="shared" si="54"/>
        <v>115130827.45000002</v>
      </c>
      <c r="AO61" s="1279">
        <f t="shared" si="55"/>
        <v>0</v>
      </c>
      <c r="AP61" s="1279">
        <f t="shared" si="12"/>
        <v>129971170.89000002</v>
      </c>
      <c r="AQ61" s="1279">
        <f t="shared" si="13"/>
        <v>3111656.5599999987</v>
      </c>
      <c r="AR61" s="1279">
        <f t="shared" si="14"/>
        <v>18166172.549999982</v>
      </c>
      <c r="AS61" s="1279">
        <f t="shared" si="15"/>
        <v>0</v>
      </c>
      <c r="AT61" s="1279">
        <f t="shared" si="16"/>
        <v>21277829.109999981</v>
      </c>
      <c r="AU61" s="1280">
        <f t="shared" si="17"/>
        <v>0.82666797237076661</v>
      </c>
      <c r="AV61" s="1280">
        <f t="shared" si="18"/>
        <v>0.8637165686399545</v>
      </c>
      <c r="AW61" s="1280" t="str">
        <f t="shared" si="19"/>
        <v xml:space="preserve"> </v>
      </c>
      <c r="AX61" s="1280">
        <f t="shared" si="20"/>
        <v>0.85931920799476369</v>
      </c>
      <c r="AY61" s="1279">
        <f t="shared" si="21"/>
        <v>0</v>
      </c>
      <c r="AZ61" s="1279">
        <f t="shared" si="22"/>
        <v>0</v>
      </c>
      <c r="BA61" s="1279">
        <f t="shared" si="23"/>
        <v>0</v>
      </c>
      <c r="BB61" s="1279">
        <f t="shared" si="24"/>
        <v>0</v>
      </c>
      <c r="BC61" s="590"/>
      <c r="BP61" s="147">
        <f>+'OSEC-CY'!F182</f>
        <v>17952000</v>
      </c>
      <c r="BQ61" s="95">
        <f>+'OSEC-CY'!F183</f>
        <v>137527000</v>
      </c>
      <c r="BR61" s="95">
        <f>+'OSEC-CY'!F184</f>
        <v>0</v>
      </c>
      <c r="BT61" s="111">
        <f t="shared" si="26"/>
        <v>0</v>
      </c>
      <c r="BU61" s="111">
        <f t="shared" si="27"/>
        <v>0</v>
      </c>
      <c r="BV61" s="111">
        <f t="shared" si="28"/>
        <v>0</v>
      </c>
    </row>
    <row r="62" spans="1:74" s="95" customFormat="1" ht="24">
      <c r="A62" s="95" t="s">
        <v>908</v>
      </c>
      <c r="B62" s="1290" t="s">
        <v>509</v>
      </c>
      <c r="C62" s="1279">
        <v>5956000</v>
      </c>
      <c r="D62" s="1279">
        <v>164907000</v>
      </c>
      <c r="E62" s="1279">
        <v>0</v>
      </c>
      <c r="F62" s="1279">
        <f t="shared" si="60"/>
        <v>170863000</v>
      </c>
      <c r="G62" s="1279"/>
      <c r="H62" s="1279"/>
      <c r="I62" s="1279"/>
      <c r="J62" s="1279">
        <f t="shared" si="61"/>
        <v>0</v>
      </c>
      <c r="K62" s="1279">
        <f t="shared" si="56"/>
        <v>5956000</v>
      </c>
      <c r="L62" s="1279">
        <f t="shared" si="57"/>
        <v>164907000</v>
      </c>
      <c r="M62" s="1279">
        <f t="shared" si="58"/>
        <v>0</v>
      </c>
      <c r="N62" s="1279">
        <f t="shared" si="59"/>
        <v>170863000</v>
      </c>
      <c r="O62" s="1279">
        <v>5956000</v>
      </c>
      <c r="P62" s="1279">
        <v>164907000</v>
      </c>
      <c r="Q62" s="1279">
        <v>0</v>
      </c>
      <c r="R62" s="1279">
        <f t="shared" si="6"/>
        <v>170863000</v>
      </c>
      <c r="S62" s="1279"/>
      <c r="T62" s="1279"/>
      <c r="U62" s="1279"/>
      <c r="V62" s="1279">
        <f t="shared" si="64"/>
        <v>0</v>
      </c>
      <c r="W62" s="1279">
        <f>-+'OSEC-CY'!H188</f>
        <v>0</v>
      </c>
      <c r="X62" s="1279">
        <f>-+'OSEC-CY'!H189</f>
        <v>-55600000</v>
      </c>
      <c r="Y62" s="1279">
        <f>-+'OSEC-CY'!H190</f>
        <v>0</v>
      </c>
      <c r="Z62" s="1279">
        <f t="shared" si="7"/>
        <v>-55600000</v>
      </c>
      <c r="AA62" s="1279">
        <f t="shared" si="8"/>
        <v>5956000</v>
      </c>
      <c r="AB62" s="1279">
        <f t="shared" si="9"/>
        <v>109307000</v>
      </c>
      <c r="AC62" s="1279">
        <f t="shared" si="10"/>
        <v>0</v>
      </c>
      <c r="AD62" s="1279">
        <f t="shared" si="11"/>
        <v>115263000</v>
      </c>
      <c r="AE62" s="1279">
        <f>+'OSEC-CY'!I188</f>
        <v>5918927.8699999992</v>
      </c>
      <c r="AF62" s="1279">
        <f>+'OSEC-CY'!I189</f>
        <v>71317354.670000002</v>
      </c>
      <c r="AG62" s="1279">
        <f>+'OSEC-CY'!I190</f>
        <v>0</v>
      </c>
      <c r="AH62" s="1279">
        <f t="shared" si="62"/>
        <v>77236282.540000007</v>
      </c>
      <c r="AI62" s="1279"/>
      <c r="AJ62" s="1279"/>
      <c r="AK62" s="1279"/>
      <c r="AL62" s="1279">
        <f t="shared" si="63"/>
        <v>0</v>
      </c>
      <c r="AM62" s="1279">
        <f t="shared" si="53"/>
        <v>5918927.8699999992</v>
      </c>
      <c r="AN62" s="1279">
        <f t="shared" si="54"/>
        <v>71317354.670000002</v>
      </c>
      <c r="AO62" s="1279">
        <f t="shared" si="55"/>
        <v>0</v>
      </c>
      <c r="AP62" s="1279">
        <f t="shared" si="12"/>
        <v>77236282.540000007</v>
      </c>
      <c r="AQ62" s="1279">
        <f t="shared" si="13"/>
        <v>37072.13000000082</v>
      </c>
      <c r="AR62" s="1279">
        <f t="shared" si="14"/>
        <v>37989645.329999998</v>
      </c>
      <c r="AS62" s="1279">
        <f t="shared" si="15"/>
        <v>0</v>
      </c>
      <c r="AT62" s="1279">
        <f t="shared" si="16"/>
        <v>38026717.460000001</v>
      </c>
      <c r="AU62" s="1280">
        <f t="shared" si="17"/>
        <v>0.99377566655473459</v>
      </c>
      <c r="AV62" s="1280">
        <f t="shared" si="18"/>
        <v>0.65245002305433319</v>
      </c>
      <c r="AW62" s="1280" t="str">
        <f t="shared" si="19"/>
        <v xml:space="preserve"> </v>
      </c>
      <c r="AX62" s="1280">
        <f t="shared" si="20"/>
        <v>0.67008738745304219</v>
      </c>
      <c r="AY62" s="1279">
        <f t="shared" si="21"/>
        <v>0</v>
      </c>
      <c r="AZ62" s="1279">
        <f t="shared" si="22"/>
        <v>0</v>
      </c>
      <c r="BA62" s="1279">
        <f t="shared" si="23"/>
        <v>0</v>
      </c>
      <c r="BB62" s="1279">
        <f t="shared" si="24"/>
        <v>0</v>
      </c>
      <c r="BC62" s="590"/>
      <c r="BP62" s="147">
        <f>+'OSEC-CY'!F188</f>
        <v>5956000</v>
      </c>
      <c r="BQ62" s="95">
        <f>+'OSEC-CY'!F189</f>
        <v>164907000</v>
      </c>
      <c r="BR62" s="95">
        <f>+'OSEC-CY'!F190</f>
        <v>0</v>
      </c>
      <c r="BT62" s="111">
        <f t="shared" si="26"/>
        <v>0</v>
      </c>
      <c r="BU62" s="111">
        <f t="shared" si="27"/>
        <v>0</v>
      </c>
      <c r="BV62" s="111">
        <f t="shared" si="28"/>
        <v>0</v>
      </c>
    </row>
    <row r="63" spans="1:74" s="95" customFormat="1" ht="24">
      <c r="A63" s="95" t="s">
        <v>921</v>
      </c>
      <c r="B63" s="1282" t="s">
        <v>510</v>
      </c>
      <c r="C63" s="1279">
        <v>0</v>
      </c>
      <c r="D63" s="1279">
        <v>0</v>
      </c>
      <c r="E63" s="1279">
        <v>0</v>
      </c>
      <c r="F63" s="1279">
        <f t="shared" si="60"/>
        <v>0</v>
      </c>
      <c r="G63" s="1279"/>
      <c r="H63" s="1279"/>
      <c r="I63" s="1279"/>
      <c r="J63" s="1279">
        <f t="shared" si="61"/>
        <v>0</v>
      </c>
      <c r="K63" s="1279">
        <f t="shared" si="56"/>
        <v>0</v>
      </c>
      <c r="L63" s="1279">
        <f t="shared" si="57"/>
        <v>0</v>
      </c>
      <c r="M63" s="1279">
        <f t="shared" si="58"/>
        <v>0</v>
      </c>
      <c r="N63" s="1279">
        <f t="shared" si="59"/>
        <v>0</v>
      </c>
      <c r="O63" s="1279">
        <v>0</v>
      </c>
      <c r="P63" s="1279">
        <v>0</v>
      </c>
      <c r="Q63" s="1279">
        <v>0</v>
      </c>
      <c r="R63" s="1279">
        <f t="shared" si="6"/>
        <v>0</v>
      </c>
      <c r="S63" s="1279"/>
      <c r="T63" s="1279"/>
      <c r="U63" s="1279"/>
      <c r="V63" s="1279">
        <f t="shared" si="64"/>
        <v>0</v>
      </c>
      <c r="W63" s="1279"/>
      <c r="X63" s="1279"/>
      <c r="Y63" s="1279"/>
      <c r="Z63" s="1279">
        <f t="shared" si="7"/>
        <v>0</v>
      </c>
      <c r="AA63" s="1279">
        <f t="shared" si="8"/>
        <v>0</v>
      </c>
      <c r="AB63" s="1279">
        <f t="shared" si="9"/>
        <v>0</v>
      </c>
      <c r="AC63" s="1279">
        <f t="shared" si="10"/>
        <v>0</v>
      </c>
      <c r="AD63" s="1279">
        <f t="shared" si="11"/>
        <v>0</v>
      </c>
      <c r="AE63" s="1279"/>
      <c r="AF63" s="1279"/>
      <c r="AG63" s="1279"/>
      <c r="AH63" s="1279">
        <f t="shared" si="62"/>
        <v>0</v>
      </c>
      <c r="AI63" s="1279"/>
      <c r="AJ63" s="1279"/>
      <c r="AK63" s="1279"/>
      <c r="AL63" s="1279">
        <f t="shared" si="63"/>
        <v>0</v>
      </c>
      <c r="AM63" s="1279">
        <f t="shared" si="53"/>
        <v>0</v>
      </c>
      <c r="AN63" s="1279">
        <f t="shared" si="54"/>
        <v>0</v>
      </c>
      <c r="AO63" s="1279">
        <f t="shared" si="55"/>
        <v>0</v>
      </c>
      <c r="AP63" s="1279">
        <f t="shared" si="12"/>
        <v>0</v>
      </c>
      <c r="AQ63" s="1279">
        <f t="shared" si="13"/>
        <v>0</v>
      </c>
      <c r="AR63" s="1279">
        <f t="shared" si="14"/>
        <v>0</v>
      </c>
      <c r="AS63" s="1279">
        <f t="shared" si="15"/>
        <v>0</v>
      </c>
      <c r="AT63" s="1279">
        <f t="shared" si="16"/>
        <v>0</v>
      </c>
      <c r="AU63" s="1280" t="str">
        <f t="shared" si="17"/>
        <v xml:space="preserve"> </v>
      </c>
      <c r="AV63" s="1280" t="str">
        <f t="shared" si="18"/>
        <v xml:space="preserve"> </v>
      </c>
      <c r="AW63" s="1280" t="str">
        <f t="shared" si="19"/>
        <v xml:space="preserve"> </v>
      </c>
      <c r="AX63" s="1280" t="str">
        <f t="shared" si="20"/>
        <v xml:space="preserve"> </v>
      </c>
      <c r="AY63" s="1279">
        <f t="shared" si="21"/>
        <v>0</v>
      </c>
      <c r="AZ63" s="1279">
        <f t="shared" si="22"/>
        <v>0</v>
      </c>
      <c r="BA63" s="1279">
        <f t="shared" si="23"/>
        <v>0</v>
      </c>
      <c r="BB63" s="1279">
        <f t="shared" si="24"/>
        <v>0</v>
      </c>
      <c r="BC63" s="590"/>
      <c r="BP63" s="147"/>
      <c r="BT63" s="111">
        <f t="shared" si="26"/>
        <v>0</v>
      </c>
      <c r="BU63" s="111">
        <f t="shared" si="27"/>
        <v>0</v>
      </c>
      <c r="BV63" s="111">
        <f t="shared" si="28"/>
        <v>0</v>
      </c>
    </row>
    <row r="64" spans="1:74" s="95" customFormat="1" ht="36">
      <c r="A64" s="95" t="s">
        <v>921</v>
      </c>
      <c r="B64" s="1291" t="s">
        <v>511</v>
      </c>
      <c r="C64" s="1279">
        <v>22910000</v>
      </c>
      <c r="D64" s="1279">
        <v>125200000</v>
      </c>
      <c r="E64" s="1279">
        <v>0</v>
      </c>
      <c r="F64" s="1279">
        <f t="shared" si="60"/>
        <v>148110000</v>
      </c>
      <c r="G64" s="1279"/>
      <c r="H64" s="1279"/>
      <c r="I64" s="1279"/>
      <c r="J64" s="1279">
        <f t="shared" si="61"/>
        <v>0</v>
      </c>
      <c r="K64" s="1279">
        <f t="shared" si="56"/>
        <v>22910000</v>
      </c>
      <c r="L64" s="1279">
        <f t="shared" si="57"/>
        <v>125200000</v>
      </c>
      <c r="M64" s="1279">
        <f t="shared" si="58"/>
        <v>0</v>
      </c>
      <c r="N64" s="1279">
        <f t="shared" si="59"/>
        <v>148110000</v>
      </c>
      <c r="O64" s="1279">
        <v>22910000</v>
      </c>
      <c r="P64" s="1279">
        <v>125200000</v>
      </c>
      <c r="Q64" s="1279">
        <v>0</v>
      </c>
      <c r="R64" s="1279">
        <f t="shared" si="6"/>
        <v>148110000</v>
      </c>
      <c r="S64" s="1279"/>
      <c r="T64" s="1279"/>
      <c r="U64" s="1279"/>
      <c r="V64" s="1279">
        <f t="shared" si="64"/>
        <v>0</v>
      </c>
      <c r="W64" s="1279">
        <f>-+'OSEC-CY'!H194</f>
        <v>0</v>
      </c>
      <c r="X64" s="1279">
        <f>-+'OSEC-CY'!H195</f>
        <v>-15843683</v>
      </c>
      <c r="Y64" s="1279">
        <f>-+'OSEC-CY'!H196</f>
        <v>0</v>
      </c>
      <c r="Z64" s="1279">
        <f t="shared" si="7"/>
        <v>-15843683</v>
      </c>
      <c r="AA64" s="1279">
        <f t="shared" si="8"/>
        <v>22910000</v>
      </c>
      <c r="AB64" s="1279">
        <f t="shared" si="9"/>
        <v>109356317</v>
      </c>
      <c r="AC64" s="1279">
        <f t="shared" si="10"/>
        <v>0</v>
      </c>
      <c r="AD64" s="1279">
        <f t="shared" si="11"/>
        <v>132266317</v>
      </c>
      <c r="AE64" s="1279">
        <f>+'OSEC-CY'!I194</f>
        <v>22740551.5</v>
      </c>
      <c r="AF64" s="1279">
        <f>+'OSEC-CY'!I195</f>
        <v>22380037.229999997</v>
      </c>
      <c r="AG64" s="1279">
        <f>+'OSEC-CY'!I196</f>
        <v>0</v>
      </c>
      <c r="AH64" s="1279">
        <f t="shared" si="62"/>
        <v>45120588.729999997</v>
      </c>
      <c r="AI64" s="1279"/>
      <c r="AJ64" s="1279"/>
      <c r="AK64" s="1279"/>
      <c r="AL64" s="1279">
        <f t="shared" si="63"/>
        <v>0</v>
      </c>
      <c r="AM64" s="1279">
        <f t="shared" si="53"/>
        <v>22740551.5</v>
      </c>
      <c r="AN64" s="1279">
        <f t="shared" si="54"/>
        <v>22380037.229999997</v>
      </c>
      <c r="AO64" s="1279">
        <f t="shared" si="55"/>
        <v>0</v>
      </c>
      <c r="AP64" s="1279">
        <f t="shared" si="12"/>
        <v>45120588.729999997</v>
      </c>
      <c r="AQ64" s="1279">
        <f t="shared" si="13"/>
        <v>169448.5</v>
      </c>
      <c r="AR64" s="1279">
        <f t="shared" si="14"/>
        <v>86976279.770000011</v>
      </c>
      <c r="AS64" s="1279">
        <f t="shared" si="15"/>
        <v>0</v>
      </c>
      <c r="AT64" s="1279">
        <f t="shared" si="16"/>
        <v>87145728.270000011</v>
      </c>
      <c r="AU64" s="1280">
        <f t="shared" si="17"/>
        <v>0.99260373199476215</v>
      </c>
      <c r="AV64" s="1280">
        <f t="shared" si="18"/>
        <v>0.20465244115710296</v>
      </c>
      <c r="AW64" s="1280" t="str">
        <f t="shared" si="19"/>
        <v xml:space="preserve"> </v>
      </c>
      <c r="AX64" s="1280">
        <f t="shared" si="20"/>
        <v>0.34113438518137612</v>
      </c>
      <c r="AY64" s="1279">
        <f t="shared" si="21"/>
        <v>0</v>
      </c>
      <c r="AZ64" s="1279">
        <f t="shared" si="22"/>
        <v>0</v>
      </c>
      <c r="BA64" s="1279">
        <f t="shared" si="23"/>
        <v>0</v>
      </c>
      <c r="BB64" s="1279">
        <f t="shared" si="24"/>
        <v>0</v>
      </c>
      <c r="BC64" s="590"/>
      <c r="BP64" s="147">
        <f>+'OSEC-CY'!F194</f>
        <v>22910000</v>
      </c>
      <c r="BQ64" s="95">
        <f>+'OSEC-CY'!F195</f>
        <v>125200000</v>
      </c>
      <c r="BR64" s="95">
        <f>+'OSEC-CY'!F196</f>
        <v>0</v>
      </c>
      <c r="BT64" s="111">
        <f t="shared" si="26"/>
        <v>0</v>
      </c>
      <c r="BU64" s="111">
        <f t="shared" si="27"/>
        <v>0</v>
      </c>
      <c r="BV64" s="111">
        <f t="shared" si="28"/>
        <v>0</v>
      </c>
    </row>
    <row r="65" spans="1:74" s="95" customFormat="1" ht="24">
      <c r="A65" s="95" t="s">
        <v>921</v>
      </c>
      <c r="B65" s="1291" t="s">
        <v>919</v>
      </c>
      <c r="C65" s="1279">
        <v>8198000</v>
      </c>
      <c r="D65" s="1279">
        <v>112594000</v>
      </c>
      <c r="E65" s="1279">
        <v>0</v>
      </c>
      <c r="F65" s="1279">
        <f t="shared" si="60"/>
        <v>120792000</v>
      </c>
      <c r="G65" s="1279"/>
      <c r="H65" s="1279"/>
      <c r="I65" s="1279"/>
      <c r="J65" s="1279">
        <f t="shared" si="61"/>
        <v>0</v>
      </c>
      <c r="K65" s="1279">
        <f t="shared" si="56"/>
        <v>8198000</v>
      </c>
      <c r="L65" s="1279">
        <f t="shared" si="57"/>
        <v>112594000</v>
      </c>
      <c r="M65" s="1279">
        <f t="shared" si="58"/>
        <v>0</v>
      </c>
      <c r="N65" s="1279">
        <f t="shared" si="59"/>
        <v>120792000</v>
      </c>
      <c r="O65" s="1279">
        <v>8198000</v>
      </c>
      <c r="P65" s="1279">
        <v>112594000</v>
      </c>
      <c r="Q65" s="1279">
        <v>0</v>
      </c>
      <c r="R65" s="1279">
        <f t="shared" si="6"/>
        <v>120792000</v>
      </c>
      <c r="S65" s="1279"/>
      <c r="T65" s="1279"/>
      <c r="U65" s="1279"/>
      <c r="V65" s="1279">
        <f t="shared" si="64"/>
        <v>0</v>
      </c>
      <c r="W65" s="1279">
        <f>-+'OSEC-CY'!H200</f>
        <v>0</v>
      </c>
      <c r="X65" s="1279">
        <f>-+'OSEC-CY'!H201</f>
        <v>-79970435</v>
      </c>
      <c r="Y65" s="1279">
        <f>-+'OSEC-CY'!H202</f>
        <v>0</v>
      </c>
      <c r="Z65" s="1279">
        <f t="shared" si="7"/>
        <v>-79970435</v>
      </c>
      <c r="AA65" s="1279">
        <f t="shared" si="8"/>
        <v>8198000</v>
      </c>
      <c r="AB65" s="1279">
        <f t="shared" si="9"/>
        <v>32623565</v>
      </c>
      <c r="AC65" s="1279">
        <f t="shared" si="10"/>
        <v>0</v>
      </c>
      <c r="AD65" s="1279">
        <f t="shared" si="11"/>
        <v>40821565</v>
      </c>
      <c r="AE65" s="1279">
        <f>+'OSEC-CY'!I200</f>
        <v>7109104.0300000003</v>
      </c>
      <c r="AF65" s="1279">
        <f>+'OSEC-CY'!I201</f>
        <v>21193594.819999978</v>
      </c>
      <c r="AG65" s="1279">
        <f>+'OSEC-CY'!I202</f>
        <v>0</v>
      </c>
      <c r="AH65" s="1279">
        <f t="shared" si="62"/>
        <v>28302698.849999979</v>
      </c>
      <c r="AI65" s="1279"/>
      <c r="AJ65" s="1279"/>
      <c r="AK65" s="1279"/>
      <c r="AL65" s="1279">
        <f t="shared" si="63"/>
        <v>0</v>
      </c>
      <c r="AM65" s="1279">
        <f t="shared" si="53"/>
        <v>7109104.0300000003</v>
      </c>
      <c r="AN65" s="1279">
        <f t="shared" si="54"/>
        <v>21193594.819999978</v>
      </c>
      <c r="AO65" s="1279">
        <f t="shared" si="55"/>
        <v>0</v>
      </c>
      <c r="AP65" s="1279">
        <f t="shared" si="12"/>
        <v>28302698.849999979</v>
      </c>
      <c r="AQ65" s="1279">
        <f t="shared" si="13"/>
        <v>1088895.9699999997</v>
      </c>
      <c r="AR65" s="1279">
        <f t="shared" si="14"/>
        <v>11429970.180000022</v>
      </c>
      <c r="AS65" s="1279">
        <f t="shared" si="15"/>
        <v>0</v>
      </c>
      <c r="AT65" s="1279">
        <f t="shared" si="16"/>
        <v>12518866.150000021</v>
      </c>
      <c r="AU65" s="1280">
        <f t="shared" si="17"/>
        <v>0.86717541229568196</v>
      </c>
      <c r="AV65" s="1280">
        <f t="shared" si="18"/>
        <v>0.64964067599601627</v>
      </c>
      <c r="AW65" s="1280" t="str">
        <f t="shared" si="19"/>
        <v xml:space="preserve"> </v>
      </c>
      <c r="AX65" s="1280">
        <f t="shared" si="20"/>
        <v>0.69332713848672822</v>
      </c>
      <c r="AY65" s="1279">
        <f t="shared" si="21"/>
        <v>0</v>
      </c>
      <c r="AZ65" s="1279">
        <f t="shared" si="22"/>
        <v>0</v>
      </c>
      <c r="BA65" s="1279">
        <f t="shared" si="23"/>
        <v>0</v>
      </c>
      <c r="BB65" s="1279">
        <f t="shared" si="24"/>
        <v>0</v>
      </c>
      <c r="BC65" s="590"/>
      <c r="BP65" s="147">
        <f>+'OSEC-CY'!F200</f>
        <v>8198000</v>
      </c>
      <c r="BQ65" s="95">
        <f>+'OSEC-CY'!F201</f>
        <v>112594000</v>
      </c>
      <c r="BR65" s="95">
        <f>+'OSEC-CY'!F202</f>
        <v>0</v>
      </c>
      <c r="BT65" s="111">
        <f t="shared" si="26"/>
        <v>0</v>
      </c>
      <c r="BU65" s="111">
        <f t="shared" si="27"/>
        <v>0</v>
      </c>
      <c r="BV65" s="111">
        <f t="shared" si="28"/>
        <v>0</v>
      </c>
    </row>
    <row r="66" spans="1:74" s="95" customFormat="1">
      <c r="A66" s="95" t="s">
        <v>921</v>
      </c>
      <c r="B66" s="1288" t="s">
        <v>512</v>
      </c>
      <c r="C66" s="1279">
        <v>0</v>
      </c>
      <c r="D66" s="1279">
        <v>0</v>
      </c>
      <c r="E66" s="1279">
        <v>10772495000</v>
      </c>
      <c r="F66" s="1279">
        <f t="shared" si="60"/>
        <v>10772495000</v>
      </c>
      <c r="G66" s="1279"/>
      <c r="H66" s="1279"/>
      <c r="I66" s="1279"/>
      <c r="J66" s="1279">
        <f t="shared" si="61"/>
        <v>0</v>
      </c>
      <c r="K66" s="1279">
        <f t="shared" si="56"/>
        <v>0</v>
      </c>
      <c r="L66" s="1279">
        <f t="shared" si="57"/>
        <v>0</v>
      </c>
      <c r="M66" s="1279">
        <f t="shared" si="58"/>
        <v>10772495000</v>
      </c>
      <c r="N66" s="1279">
        <f t="shared" si="59"/>
        <v>10772495000</v>
      </c>
      <c r="O66" s="1279">
        <v>0</v>
      </c>
      <c r="P66" s="1279">
        <v>0</v>
      </c>
      <c r="Q66" s="1279">
        <v>10772495000</v>
      </c>
      <c r="R66" s="1279">
        <f t="shared" si="6"/>
        <v>10772495000</v>
      </c>
      <c r="S66" s="1279"/>
      <c r="T66" s="1279"/>
      <c r="U66" s="1279"/>
      <c r="V66" s="1279">
        <f t="shared" si="64"/>
        <v>0</v>
      </c>
      <c r="W66" s="1279">
        <f>-+'OSEC-CY'!H206</f>
        <v>0</v>
      </c>
      <c r="X66" s="1279">
        <f>-+'OSEC-CY'!H207</f>
        <v>0</v>
      </c>
      <c r="Y66" s="1279">
        <f>-+'OSEC-CY'!H208</f>
        <v>-5666909586.1000004</v>
      </c>
      <c r="Z66" s="1279">
        <f t="shared" si="7"/>
        <v>-5666909586.1000004</v>
      </c>
      <c r="AA66" s="1279">
        <f t="shared" si="8"/>
        <v>0</v>
      </c>
      <c r="AB66" s="1279">
        <f t="shared" si="9"/>
        <v>0</v>
      </c>
      <c r="AC66" s="1279">
        <f t="shared" si="10"/>
        <v>5105585413.8999996</v>
      </c>
      <c r="AD66" s="1279">
        <f t="shared" si="11"/>
        <v>5105585413.8999996</v>
      </c>
      <c r="AE66" s="1279">
        <f>+'OSEC-CY'!I206</f>
        <v>0</v>
      </c>
      <c r="AF66" s="1279">
        <f>+'OSEC-CY'!I207</f>
        <v>0</v>
      </c>
      <c r="AG66" s="1279">
        <f>+'OSEC-CY'!I208</f>
        <v>1131694554.2099991</v>
      </c>
      <c r="AH66" s="1279">
        <f t="shared" si="62"/>
        <v>1131694554.2099991</v>
      </c>
      <c r="AI66" s="1279"/>
      <c r="AJ66" s="1279"/>
      <c r="AK66" s="1279"/>
      <c r="AL66" s="1279">
        <f t="shared" si="63"/>
        <v>0</v>
      </c>
      <c r="AM66" s="1279">
        <f>+AE66+AI66</f>
        <v>0</v>
      </c>
      <c r="AN66" s="1279">
        <f>+AF66+AJ66</f>
        <v>0</v>
      </c>
      <c r="AO66" s="1279">
        <f>+AG66+AK66</f>
        <v>1131694554.2099991</v>
      </c>
      <c r="AP66" s="1279">
        <f t="shared" si="12"/>
        <v>1131694554.2099991</v>
      </c>
      <c r="AQ66" s="1279">
        <f t="shared" si="13"/>
        <v>0</v>
      </c>
      <c r="AR66" s="1279">
        <f t="shared" si="14"/>
        <v>0</v>
      </c>
      <c r="AS66" s="1279">
        <f t="shared" si="15"/>
        <v>3973890859.6900005</v>
      </c>
      <c r="AT66" s="1279">
        <f t="shared" si="16"/>
        <v>3973890859.6900005</v>
      </c>
      <c r="AU66" s="1280" t="str">
        <f t="shared" si="17"/>
        <v xml:space="preserve"> </v>
      </c>
      <c r="AV66" s="1280" t="str">
        <f t="shared" si="18"/>
        <v xml:space="preserve"> </v>
      </c>
      <c r="AW66" s="1280">
        <f t="shared" si="19"/>
        <v>0.22165813760141023</v>
      </c>
      <c r="AX66" s="1280">
        <f t="shared" si="20"/>
        <v>0.22165813760141023</v>
      </c>
      <c r="AY66" s="1279">
        <f t="shared" si="21"/>
        <v>0</v>
      </c>
      <c r="AZ66" s="1279">
        <f t="shared" si="22"/>
        <v>0</v>
      </c>
      <c r="BA66" s="1279">
        <f t="shared" si="23"/>
        <v>0</v>
      </c>
      <c r="BB66" s="1279">
        <f t="shared" si="24"/>
        <v>0</v>
      </c>
      <c r="BC66" s="590"/>
      <c r="BP66" s="147">
        <f>+'OSEC-CY'!F206</f>
        <v>0</v>
      </c>
      <c r="BQ66" s="95">
        <f>+'OSEC-CY'!F207</f>
        <v>0</v>
      </c>
      <c r="BR66" s="95">
        <f>+'OSEC-CY'!F208</f>
        <v>10772495000</v>
      </c>
      <c r="BT66" s="111">
        <f t="shared" si="26"/>
        <v>0</v>
      </c>
      <c r="BU66" s="111">
        <f t="shared" si="27"/>
        <v>0</v>
      </c>
      <c r="BV66" s="111">
        <f t="shared" si="28"/>
        <v>0</v>
      </c>
    </row>
    <row r="67" spans="1:74" ht="36">
      <c r="A67" s="587" t="s">
        <v>939</v>
      </c>
      <c r="B67" s="1298" t="s">
        <v>513</v>
      </c>
      <c r="C67" s="1218"/>
      <c r="D67" s="1218"/>
      <c r="E67" s="1218"/>
      <c r="F67" s="1218">
        <f t="shared" si="60"/>
        <v>0</v>
      </c>
      <c r="G67" s="1218"/>
      <c r="H67" s="1218"/>
      <c r="I67" s="1218"/>
      <c r="J67" s="1218">
        <f t="shared" si="61"/>
        <v>0</v>
      </c>
      <c r="K67" s="1218">
        <f t="shared" si="56"/>
        <v>0</v>
      </c>
      <c r="L67" s="1218">
        <f t="shared" si="57"/>
        <v>0</v>
      </c>
      <c r="M67" s="1218">
        <f t="shared" si="58"/>
        <v>0</v>
      </c>
      <c r="N67" s="1218">
        <f t="shared" si="59"/>
        <v>0</v>
      </c>
      <c r="O67" s="1218"/>
      <c r="P67" s="1218"/>
      <c r="Q67" s="1218"/>
      <c r="R67" s="1218">
        <f t="shared" si="6"/>
        <v>0</v>
      </c>
      <c r="S67" s="1218"/>
      <c r="T67" s="1218"/>
      <c r="U67" s="1218"/>
      <c r="V67" s="1218">
        <f t="shared" si="64"/>
        <v>0</v>
      </c>
      <c r="W67" s="1299"/>
      <c r="X67" s="1299"/>
      <c r="Y67" s="1299"/>
      <c r="Z67" s="1218">
        <f t="shared" si="7"/>
        <v>0</v>
      </c>
      <c r="AA67" s="1218">
        <f t="shared" si="8"/>
        <v>0</v>
      </c>
      <c r="AB67" s="1218">
        <f t="shared" si="9"/>
        <v>0</v>
      </c>
      <c r="AC67" s="1218">
        <f t="shared" si="10"/>
        <v>0</v>
      </c>
      <c r="AD67" s="1218">
        <f t="shared" si="11"/>
        <v>0</v>
      </c>
      <c r="AE67" s="1299"/>
      <c r="AF67" s="1299"/>
      <c r="AG67" s="1299"/>
      <c r="AH67" s="1218">
        <f t="shared" si="62"/>
        <v>0</v>
      </c>
      <c r="AI67" s="1218"/>
      <c r="AJ67" s="1218"/>
      <c r="AK67" s="1218"/>
      <c r="AL67" s="1218">
        <f t="shared" si="63"/>
        <v>0</v>
      </c>
      <c r="AM67" s="1218">
        <f t="shared" ref="AM67:AM79" si="65">+AE67+AI67</f>
        <v>0</v>
      </c>
      <c r="AN67" s="1218">
        <f t="shared" ref="AN67:AN79" si="66">+AF67+AJ67</f>
        <v>0</v>
      </c>
      <c r="AO67" s="1218">
        <f t="shared" ref="AO67:AO79" si="67">+AG67+AK67</f>
        <v>0</v>
      </c>
      <c r="AP67" s="1218">
        <f t="shared" si="12"/>
        <v>0</v>
      </c>
      <c r="AQ67" s="1218">
        <f t="shared" si="13"/>
        <v>0</v>
      </c>
      <c r="AR67" s="1218">
        <f t="shared" si="14"/>
        <v>0</v>
      </c>
      <c r="AS67" s="1218">
        <f t="shared" si="15"/>
        <v>0</v>
      </c>
      <c r="AT67" s="1218">
        <f t="shared" si="16"/>
        <v>0</v>
      </c>
      <c r="AU67" s="1219" t="str">
        <f t="shared" si="17"/>
        <v xml:space="preserve"> </v>
      </c>
      <c r="AV67" s="1219" t="str">
        <f t="shared" si="18"/>
        <v xml:space="preserve"> </v>
      </c>
      <c r="AW67" s="1219" t="str">
        <f t="shared" si="19"/>
        <v xml:space="preserve"> </v>
      </c>
      <c r="AX67" s="1219" t="str">
        <f t="shared" si="20"/>
        <v xml:space="preserve"> </v>
      </c>
      <c r="AY67" s="1218">
        <f t="shared" si="21"/>
        <v>0</v>
      </c>
      <c r="AZ67" s="1218">
        <f t="shared" si="22"/>
        <v>0</v>
      </c>
      <c r="BA67" s="1218">
        <f t="shared" si="23"/>
        <v>0</v>
      </c>
      <c r="BB67" s="1218">
        <f t="shared" si="24"/>
        <v>0</v>
      </c>
      <c r="BC67" s="125"/>
      <c r="BT67" s="111">
        <f t="shared" si="26"/>
        <v>0</v>
      </c>
      <c r="BU67" s="111">
        <f t="shared" si="27"/>
        <v>0</v>
      </c>
      <c r="BV67" s="111">
        <f t="shared" si="28"/>
        <v>0</v>
      </c>
    </row>
    <row r="68" spans="1:74" ht="12.75">
      <c r="A68" s="587" t="s">
        <v>939</v>
      </c>
      <c r="B68" s="1300" t="s">
        <v>514</v>
      </c>
      <c r="C68" s="1218">
        <v>359352000</v>
      </c>
      <c r="D68" s="1218">
        <v>105914000</v>
      </c>
      <c r="E68" s="1218">
        <v>0</v>
      </c>
      <c r="F68" s="1218">
        <f t="shared" si="60"/>
        <v>465266000</v>
      </c>
      <c r="G68" s="1218">
        <v>12694555</v>
      </c>
      <c r="H68" s="1218">
        <v>-12694555</v>
      </c>
      <c r="I68" s="1218"/>
      <c r="J68" s="1218">
        <f t="shared" si="61"/>
        <v>0</v>
      </c>
      <c r="K68" s="1218">
        <f t="shared" si="56"/>
        <v>372046555</v>
      </c>
      <c r="L68" s="1218">
        <f t="shared" si="57"/>
        <v>93219445</v>
      </c>
      <c r="M68" s="1218">
        <f t="shared" si="58"/>
        <v>0</v>
      </c>
      <c r="N68" s="1218">
        <f t="shared" si="59"/>
        <v>465266000</v>
      </c>
      <c r="O68" s="1279">
        <v>372046555</v>
      </c>
      <c r="P68" s="1279">
        <v>93219445</v>
      </c>
      <c r="Q68" s="1218">
        <v>0</v>
      </c>
      <c r="R68" s="1218">
        <f t="shared" si="6"/>
        <v>465266000</v>
      </c>
      <c r="S68" s="1218"/>
      <c r="T68" s="1218"/>
      <c r="U68" s="1218"/>
      <c r="V68" s="1218">
        <f t="shared" si="64"/>
        <v>0</v>
      </c>
      <c r="W68" s="1218">
        <f>+'CY (ALL FUNDS)'!F1434</f>
        <v>0</v>
      </c>
      <c r="X68" s="1218">
        <f>+'CY (ALL FUNDS)'!G1434</f>
        <v>42600000</v>
      </c>
      <c r="Y68" s="1218">
        <f>+'CY (ALL FUNDS)'!H1434</f>
        <v>115000000</v>
      </c>
      <c r="Z68" s="1218">
        <f t="shared" si="7"/>
        <v>157600000</v>
      </c>
      <c r="AA68" s="1218">
        <f t="shared" si="8"/>
        <v>372046555</v>
      </c>
      <c r="AB68" s="1218">
        <f t="shared" si="9"/>
        <v>135819445</v>
      </c>
      <c r="AC68" s="1218">
        <f t="shared" si="10"/>
        <v>115000000</v>
      </c>
      <c r="AD68" s="1218">
        <f t="shared" si="11"/>
        <v>622866000</v>
      </c>
      <c r="AE68" s="1218">
        <f>+'CY (ALL FUNDS)'!J1433</f>
        <v>338318736.92000002</v>
      </c>
      <c r="AF68" s="1218">
        <f>+'CY (ALL FUNDS)'!K1433</f>
        <v>69571794.229999989</v>
      </c>
      <c r="AG68" s="1218">
        <f>+'CY (ALL FUNDS)'!L1433</f>
        <v>0</v>
      </c>
      <c r="AH68" s="1218">
        <f t="shared" si="62"/>
        <v>407890531.14999998</v>
      </c>
      <c r="AI68" s="1218">
        <f>+'CY (ALL FUNDS)'!J1434</f>
        <v>0</v>
      </c>
      <c r="AJ68" s="1218">
        <f>+'CY (ALL FUNDS)'!K1434</f>
        <v>25919506.360000003</v>
      </c>
      <c r="AK68" s="1218">
        <f>+'CY (ALL FUNDS)'!L1434</f>
        <v>74967988.280000001</v>
      </c>
      <c r="AL68" s="1218">
        <f t="shared" si="63"/>
        <v>100887494.64</v>
      </c>
      <c r="AM68" s="1218">
        <f t="shared" si="65"/>
        <v>338318736.92000002</v>
      </c>
      <c r="AN68" s="1218">
        <f t="shared" si="66"/>
        <v>95491300.589999989</v>
      </c>
      <c r="AO68" s="1218">
        <f t="shared" si="67"/>
        <v>74967988.280000001</v>
      </c>
      <c r="AP68" s="1218">
        <f t="shared" si="12"/>
        <v>508778025.78999996</v>
      </c>
      <c r="AQ68" s="1218">
        <f t="shared" si="13"/>
        <v>33727818.079999983</v>
      </c>
      <c r="AR68" s="1218">
        <f t="shared" si="14"/>
        <v>40328144.410000011</v>
      </c>
      <c r="AS68" s="1218">
        <f t="shared" si="15"/>
        <v>40032011.719999999</v>
      </c>
      <c r="AT68" s="1218">
        <f t="shared" si="16"/>
        <v>114087974.20999999</v>
      </c>
      <c r="AU68" s="1219">
        <f t="shared" si="17"/>
        <v>0.90934516762290685</v>
      </c>
      <c r="AV68" s="1219">
        <f t="shared" si="18"/>
        <v>0.70307532614346924</v>
      </c>
      <c r="AW68" s="1219">
        <f t="shared" si="19"/>
        <v>0.65189555026086954</v>
      </c>
      <c r="AX68" s="1219">
        <f t="shared" si="20"/>
        <v>0.81683383872293558</v>
      </c>
      <c r="AY68" s="1218">
        <f t="shared" si="21"/>
        <v>0</v>
      </c>
      <c r="AZ68" s="1218">
        <f t="shared" si="22"/>
        <v>0</v>
      </c>
      <c r="BA68" s="1218">
        <f t="shared" si="23"/>
        <v>0</v>
      </c>
      <c r="BB68" s="1218">
        <f t="shared" si="24"/>
        <v>0</v>
      </c>
      <c r="BC68" s="125"/>
      <c r="BF68" s="105">
        <f>+P68-AF68</f>
        <v>23647650.770000011</v>
      </c>
      <c r="BP68" s="149">
        <f>+'CY (ALL FUNDS)'!F1433</f>
        <v>372046555</v>
      </c>
      <c r="BQ68" s="105">
        <f>+'CY (ALL FUNDS)'!G1433</f>
        <v>93219445</v>
      </c>
      <c r="BR68" s="105">
        <f>+'CY (ALL FUNDS)'!H1433</f>
        <v>0</v>
      </c>
      <c r="BT68" s="111">
        <f t="shared" ref="BT68:BT79" si="68">+O68-BP68</f>
        <v>0</v>
      </c>
      <c r="BU68" s="111">
        <f t="shared" ref="BU68:BU79" si="69">+P68-BQ68</f>
        <v>0</v>
      </c>
      <c r="BV68" s="111">
        <f t="shared" ref="BV68:BV79" si="70">+Q68-BR68</f>
        <v>0</v>
      </c>
    </row>
    <row r="69" spans="1:74" ht="12.75">
      <c r="A69" s="587" t="s">
        <v>939</v>
      </c>
      <c r="B69" s="1300" t="s">
        <v>515</v>
      </c>
      <c r="C69" s="1218">
        <v>182139000</v>
      </c>
      <c r="D69" s="1218">
        <v>68763000</v>
      </c>
      <c r="E69" s="1218">
        <v>0</v>
      </c>
      <c r="F69" s="1218">
        <f t="shared" si="60"/>
        <v>250902000</v>
      </c>
      <c r="G69" s="1218">
        <v>0</v>
      </c>
      <c r="H69" s="1218">
        <v>0</v>
      </c>
      <c r="I69" s="1218"/>
      <c r="J69" s="1218">
        <f t="shared" si="61"/>
        <v>0</v>
      </c>
      <c r="K69" s="1218">
        <f t="shared" si="56"/>
        <v>182139000</v>
      </c>
      <c r="L69" s="1218">
        <f t="shared" si="57"/>
        <v>68763000</v>
      </c>
      <c r="M69" s="1218">
        <f t="shared" si="58"/>
        <v>0</v>
      </c>
      <c r="N69" s="1218">
        <f t="shared" si="59"/>
        <v>250902000</v>
      </c>
      <c r="O69" s="1218">
        <v>182139000</v>
      </c>
      <c r="P69" s="1218">
        <v>68763000</v>
      </c>
      <c r="Q69" s="1218">
        <v>0</v>
      </c>
      <c r="R69" s="1218">
        <f t="shared" si="6"/>
        <v>250902000</v>
      </c>
      <c r="S69" s="1218"/>
      <c r="T69" s="1218"/>
      <c r="U69" s="1218"/>
      <c r="V69" s="1218">
        <f t="shared" si="64"/>
        <v>0</v>
      </c>
      <c r="W69" s="1218">
        <f>+'CY (ALL FUNDS)'!F1450</f>
        <v>0</v>
      </c>
      <c r="X69" s="1218">
        <f>+'CY (ALL FUNDS)'!G1450</f>
        <v>91242000</v>
      </c>
      <c r="Y69" s="1218">
        <f>+'CY (ALL FUNDS)'!H1450</f>
        <v>55000000</v>
      </c>
      <c r="Z69" s="1218">
        <f t="shared" si="7"/>
        <v>146242000</v>
      </c>
      <c r="AA69" s="1218">
        <f t="shared" si="8"/>
        <v>182139000</v>
      </c>
      <c r="AB69" s="1218">
        <f t="shared" si="9"/>
        <v>160005000</v>
      </c>
      <c r="AC69" s="1218">
        <f t="shared" si="10"/>
        <v>55000000</v>
      </c>
      <c r="AD69" s="1218">
        <f t="shared" si="11"/>
        <v>397144000</v>
      </c>
      <c r="AE69" s="1218">
        <f>+'CY (ALL FUNDS)'!J1449</f>
        <v>172186343.55999997</v>
      </c>
      <c r="AF69" s="1218">
        <f>+'CY (ALL FUNDS)'!K1449</f>
        <v>67395842.020000011</v>
      </c>
      <c r="AG69" s="1218">
        <f>+'CY (ALL FUNDS)'!L1449</f>
        <v>0</v>
      </c>
      <c r="AH69" s="1218">
        <f t="shared" si="62"/>
        <v>239582185.57999998</v>
      </c>
      <c r="AI69" s="1218">
        <f>+'CY (ALL FUNDS)'!J1450</f>
        <v>0</v>
      </c>
      <c r="AJ69" s="1218">
        <f>+'CY (ALL FUNDS)'!K1450</f>
        <v>84259854.929999992</v>
      </c>
      <c r="AK69" s="1218">
        <f>+'CY (ALL FUNDS)'!L1450</f>
        <v>50548924.090000004</v>
      </c>
      <c r="AL69" s="1218">
        <f t="shared" si="63"/>
        <v>134808779.01999998</v>
      </c>
      <c r="AM69" s="1218">
        <f t="shared" si="65"/>
        <v>172186343.55999997</v>
      </c>
      <c r="AN69" s="1218">
        <f t="shared" si="66"/>
        <v>151655696.94999999</v>
      </c>
      <c r="AO69" s="1218">
        <f t="shared" si="67"/>
        <v>50548924.090000004</v>
      </c>
      <c r="AP69" s="1218">
        <f t="shared" si="12"/>
        <v>374390964.60000002</v>
      </c>
      <c r="AQ69" s="1218">
        <f t="shared" si="13"/>
        <v>9952656.4400000274</v>
      </c>
      <c r="AR69" s="1218">
        <f t="shared" si="14"/>
        <v>8349303.0500000119</v>
      </c>
      <c r="AS69" s="1218">
        <f t="shared" si="15"/>
        <v>4451075.9099999964</v>
      </c>
      <c r="AT69" s="1218">
        <f t="shared" si="16"/>
        <v>22753035.400000036</v>
      </c>
      <c r="AU69" s="1219">
        <f t="shared" si="17"/>
        <v>0.94535680749317819</v>
      </c>
      <c r="AV69" s="1219">
        <f t="shared" si="18"/>
        <v>0.9478184866097934</v>
      </c>
      <c r="AW69" s="1219">
        <f t="shared" si="19"/>
        <v>0.91907134709090921</v>
      </c>
      <c r="AX69" s="1219">
        <f t="shared" si="20"/>
        <v>0.94270834911266443</v>
      </c>
      <c r="AY69" s="1218">
        <f t="shared" si="21"/>
        <v>0</v>
      </c>
      <c r="AZ69" s="1218">
        <f t="shared" si="22"/>
        <v>0</v>
      </c>
      <c r="BA69" s="1218">
        <f t="shared" si="23"/>
        <v>0</v>
      </c>
      <c r="BB69" s="1218">
        <f t="shared" si="24"/>
        <v>0</v>
      </c>
      <c r="BC69" s="125"/>
      <c r="BF69" s="105">
        <f t="shared" ref="BF69:BF132" si="71">+P69-AF69</f>
        <v>1367157.9799999893</v>
      </c>
      <c r="BP69" s="149">
        <f>+'CY (ALL FUNDS)'!F1449</f>
        <v>182139000</v>
      </c>
      <c r="BQ69" s="105">
        <f>+'CY (ALL FUNDS)'!G1449</f>
        <v>68763000</v>
      </c>
      <c r="BR69" s="105">
        <f>+'CY (ALL FUNDS)'!H1449</f>
        <v>0</v>
      </c>
      <c r="BT69" s="111">
        <f t="shared" si="68"/>
        <v>0</v>
      </c>
      <c r="BU69" s="111">
        <f t="shared" si="69"/>
        <v>0</v>
      </c>
      <c r="BV69" s="111">
        <f t="shared" si="70"/>
        <v>0</v>
      </c>
    </row>
    <row r="70" spans="1:74" ht="12.75">
      <c r="A70" s="587" t="s">
        <v>939</v>
      </c>
      <c r="B70" s="1300" t="s">
        <v>516</v>
      </c>
      <c r="C70" s="1218">
        <v>353528000</v>
      </c>
      <c r="D70" s="1218">
        <v>137890000</v>
      </c>
      <c r="E70" s="1218">
        <v>0</v>
      </c>
      <c r="F70" s="1218">
        <f t="shared" si="60"/>
        <v>491418000</v>
      </c>
      <c r="G70" s="1218">
        <v>0</v>
      </c>
      <c r="H70" s="1218">
        <v>0</v>
      </c>
      <c r="I70" s="1218"/>
      <c r="J70" s="1218">
        <f t="shared" si="61"/>
        <v>0</v>
      </c>
      <c r="K70" s="1218">
        <f t="shared" si="56"/>
        <v>353528000</v>
      </c>
      <c r="L70" s="1218">
        <f t="shared" si="57"/>
        <v>137890000</v>
      </c>
      <c r="M70" s="1218">
        <f t="shared" si="58"/>
        <v>0</v>
      </c>
      <c r="N70" s="1218">
        <f t="shared" si="59"/>
        <v>491418000</v>
      </c>
      <c r="O70" s="1218">
        <v>353528000</v>
      </c>
      <c r="P70" s="1218">
        <v>137890000</v>
      </c>
      <c r="Q70" s="1218">
        <v>0</v>
      </c>
      <c r="R70" s="1218">
        <f t="shared" si="6"/>
        <v>491418000</v>
      </c>
      <c r="S70" s="1218"/>
      <c r="T70" s="1218"/>
      <c r="U70" s="1218"/>
      <c r="V70" s="1218">
        <f t="shared" si="64"/>
        <v>0</v>
      </c>
      <c r="W70" s="1218">
        <f>+'CY (ALL FUNDS)'!F1465</f>
        <v>0</v>
      </c>
      <c r="X70" s="1218">
        <f>+'CY (ALL FUNDS)'!G1465</f>
        <v>104428458</v>
      </c>
      <c r="Y70" s="1218">
        <f>+'CY (ALL FUNDS)'!H1465</f>
        <v>231448322</v>
      </c>
      <c r="Z70" s="1218">
        <f t="shared" si="7"/>
        <v>335876780</v>
      </c>
      <c r="AA70" s="1218">
        <f t="shared" si="8"/>
        <v>353528000</v>
      </c>
      <c r="AB70" s="1218">
        <f t="shared" si="9"/>
        <v>242318458</v>
      </c>
      <c r="AC70" s="1218">
        <f t="shared" si="10"/>
        <v>231448322</v>
      </c>
      <c r="AD70" s="1218">
        <f t="shared" si="11"/>
        <v>827294780</v>
      </c>
      <c r="AE70" s="1218">
        <f>+'CY (ALL FUNDS)'!J1464</f>
        <v>343726463.06</v>
      </c>
      <c r="AF70" s="1218">
        <f>+'CY (ALL FUNDS)'!K1464</f>
        <v>129557540.55</v>
      </c>
      <c r="AG70" s="1218">
        <f>+'CY (ALL FUNDS)'!L1464</f>
        <v>0</v>
      </c>
      <c r="AH70" s="1218">
        <f t="shared" si="62"/>
        <v>473284003.61000001</v>
      </c>
      <c r="AI70" s="1218">
        <f>+'CY (ALL FUNDS)'!J1465</f>
        <v>0</v>
      </c>
      <c r="AJ70" s="1218">
        <f>+'CY (ALL FUNDS)'!K1465</f>
        <v>79877802.289999992</v>
      </c>
      <c r="AK70" s="1218">
        <f>+'CY (ALL FUNDS)'!L1465</f>
        <v>227749770.18000001</v>
      </c>
      <c r="AL70" s="1218">
        <f t="shared" si="63"/>
        <v>307627572.47000003</v>
      </c>
      <c r="AM70" s="1218">
        <f t="shared" si="65"/>
        <v>343726463.06</v>
      </c>
      <c r="AN70" s="1218">
        <f t="shared" si="66"/>
        <v>209435342.83999997</v>
      </c>
      <c r="AO70" s="1218">
        <f t="shared" si="67"/>
        <v>227749770.18000001</v>
      </c>
      <c r="AP70" s="1218">
        <f t="shared" si="12"/>
        <v>780911576.07999992</v>
      </c>
      <c r="AQ70" s="1218">
        <f t="shared" si="13"/>
        <v>9801536.9399999976</v>
      </c>
      <c r="AR70" s="1218">
        <f t="shared" si="14"/>
        <v>32883115.160000026</v>
      </c>
      <c r="AS70" s="1218">
        <f t="shared" si="15"/>
        <v>3698551.8199999928</v>
      </c>
      <c r="AT70" s="1218">
        <f t="shared" si="16"/>
        <v>46383203.920000017</v>
      </c>
      <c r="AU70" s="1219">
        <f t="shared" si="17"/>
        <v>0.97227507597700891</v>
      </c>
      <c r="AV70" s="1219">
        <f t="shared" si="18"/>
        <v>0.86429793491010076</v>
      </c>
      <c r="AW70" s="1219">
        <f t="shared" si="19"/>
        <v>0.98401996701449412</v>
      </c>
      <c r="AX70" s="1219">
        <f t="shared" si="20"/>
        <v>0.94393388542835954</v>
      </c>
      <c r="AY70" s="1218">
        <f t="shared" si="21"/>
        <v>0</v>
      </c>
      <c r="AZ70" s="1218">
        <f t="shared" si="22"/>
        <v>0</v>
      </c>
      <c r="BA70" s="1218">
        <f t="shared" si="23"/>
        <v>0</v>
      </c>
      <c r="BB70" s="1218">
        <f t="shared" si="24"/>
        <v>0</v>
      </c>
      <c r="BC70" s="125"/>
      <c r="BF70" s="105">
        <f t="shared" si="71"/>
        <v>8332459.450000003</v>
      </c>
      <c r="BP70" s="149">
        <f>+'CY (ALL FUNDS)'!F1464</f>
        <v>353528000</v>
      </c>
      <c r="BQ70" s="105">
        <f>+'CY (ALL FUNDS)'!G1464</f>
        <v>137890000</v>
      </c>
      <c r="BR70" s="105">
        <f>+'CY (ALL FUNDS)'!H1464</f>
        <v>0</v>
      </c>
      <c r="BT70" s="111">
        <f t="shared" si="68"/>
        <v>0</v>
      </c>
      <c r="BU70" s="111">
        <f t="shared" si="69"/>
        <v>0</v>
      </c>
      <c r="BV70" s="111">
        <f t="shared" si="70"/>
        <v>0</v>
      </c>
    </row>
    <row r="71" spans="1:74" ht="12.75">
      <c r="A71" s="587" t="s">
        <v>939</v>
      </c>
      <c r="B71" s="1300" t="s">
        <v>517</v>
      </c>
      <c r="C71" s="1218">
        <v>181120000</v>
      </c>
      <c r="D71" s="1218">
        <v>69544000</v>
      </c>
      <c r="E71" s="1218">
        <v>0</v>
      </c>
      <c r="F71" s="1218">
        <f t="shared" si="60"/>
        <v>250664000</v>
      </c>
      <c r="G71" s="1218">
        <v>0</v>
      </c>
      <c r="H71" s="1218">
        <v>0</v>
      </c>
      <c r="I71" s="1218"/>
      <c r="J71" s="1218">
        <f t="shared" si="61"/>
        <v>0</v>
      </c>
      <c r="K71" s="1218">
        <f t="shared" si="56"/>
        <v>181120000</v>
      </c>
      <c r="L71" s="1218">
        <f t="shared" si="57"/>
        <v>69544000</v>
      </c>
      <c r="M71" s="1218">
        <f t="shared" si="58"/>
        <v>0</v>
      </c>
      <c r="N71" s="1218">
        <f t="shared" si="59"/>
        <v>250664000</v>
      </c>
      <c r="O71" s="1218">
        <v>181120000</v>
      </c>
      <c r="P71" s="1218">
        <v>69544000</v>
      </c>
      <c r="Q71" s="1218">
        <v>0</v>
      </c>
      <c r="R71" s="1218">
        <f t="shared" si="6"/>
        <v>250664000</v>
      </c>
      <c r="S71" s="1218"/>
      <c r="T71" s="1218"/>
      <c r="U71" s="1218"/>
      <c r="V71" s="1218">
        <f t="shared" si="64"/>
        <v>0</v>
      </c>
      <c r="W71" s="1218">
        <f>+'CY (ALL FUNDS)'!F1480</f>
        <v>0</v>
      </c>
      <c r="X71" s="1218">
        <f>+'CY (ALL FUNDS)'!G1480</f>
        <v>26836000</v>
      </c>
      <c r="Y71" s="1218">
        <f>+'CY (ALL FUNDS)'!H1480</f>
        <v>140000000</v>
      </c>
      <c r="Z71" s="1218">
        <f t="shared" si="7"/>
        <v>166836000</v>
      </c>
      <c r="AA71" s="1218">
        <f t="shared" si="8"/>
        <v>181120000</v>
      </c>
      <c r="AB71" s="1218">
        <f t="shared" si="9"/>
        <v>96380000</v>
      </c>
      <c r="AC71" s="1218">
        <f t="shared" si="10"/>
        <v>140000000</v>
      </c>
      <c r="AD71" s="1218">
        <f t="shared" si="11"/>
        <v>417500000</v>
      </c>
      <c r="AE71" s="1218">
        <f>+'CY (ALL FUNDS)'!J1479</f>
        <v>168580900.63</v>
      </c>
      <c r="AF71" s="1218">
        <f>+'CY (ALL FUNDS)'!K1479</f>
        <v>41887765.219999999</v>
      </c>
      <c r="AG71" s="1218">
        <f>+'CY (ALL FUNDS)'!L1479</f>
        <v>0</v>
      </c>
      <c r="AH71" s="1218">
        <f t="shared" si="62"/>
        <v>210468665.84999999</v>
      </c>
      <c r="AI71" s="1218">
        <f>+'CY (ALL FUNDS)'!J1480</f>
        <v>0</v>
      </c>
      <c r="AJ71" s="1218">
        <f>+'CY (ALL FUNDS)'!K1480</f>
        <v>20098682.649999999</v>
      </c>
      <c r="AK71" s="1218">
        <f>+'CY (ALL FUNDS)'!L1480</f>
        <v>110724212.73999999</v>
      </c>
      <c r="AL71" s="1218">
        <f t="shared" si="63"/>
        <v>130822895.38999999</v>
      </c>
      <c r="AM71" s="1218">
        <f t="shared" si="65"/>
        <v>168580900.63</v>
      </c>
      <c r="AN71" s="1218">
        <f t="shared" si="66"/>
        <v>61986447.869999997</v>
      </c>
      <c r="AO71" s="1218">
        <f t="shared" si="67"/>
        <v>110724212.73999999</v>
      </c>
      <c r="AP71" s="1218">
        <f t="shared" si="12"/>
        <v>341291561.24000001</v>
      </c>
      <c r="AQ71" s="1218">
        <f t="shared" si="13"/>
        <v>12539099.370000005</v>
      </c>
      <c r="AR71" s="1218">
        <f t="shared" si="14"/>
        <v>34393552.130000003</v>
      </c>
      <c r="AS71" s="1218">
        <f t="shared" si="15"/>
        <v>29275787.260000005</v>
      </c>
      <c r="AT71" s="1218">
        <f t="shared" si="16"/>
        <v>76208438.76000002</v>
      </c>
      <c r="AU71" s="1219">
        <f t="shared" si="17"/>
        <v>0.93076910683524727</v>
      </c>
      <c r="AV71" s="1219">
        <f t="shared" si="18"/>
        <v>0.64314637756796011</v>
      </c>
      <c r="AW71" s="1219">
        <f t="shared" si="19"/>
        <v>0.79088723385714277</v>
      </c>
      <c r="AX71" s="1219">
        <f t="shared" si="20"/>
        <v>0.81746481734131737</v>
      </c>
      <c r="AY71" s="1218">
        <f t="shared" si="21"/>
        <v>0</v>
      </c>
      <c r="AZ71" s="1218">
        <f t="shared" si="22"/>
        <v>0</v>
      </c>
      <c r="BA71" s="1218">
        <f t="shared" si="23"/>
        <v>0</v>
      </c>
      <c r="BB71" s="1218">
        <f t="shared" si="24"/>
        <v>0</v>
      </c>
      <c r="BC71" s="125"/>
      <c r="BF71" s="105">
        <f t="shared" si="71"/>
        <v>27656234.780000001</v>
      </c>
      <c r="BP71" s="149">
        <f>+'CY (ALL FUNDS)'!F1479</f>
        <v>181120000</v>
      </c>
      <c r="BQ71" s="105">
        <f>+'CY (ALL FUNDS)'!G1479</f>
        <v>69544000</v>
      </c>
      <c r="BR71" s="105">
        <f>+'CY (ALL FUNDS)'!H1479</f>
        <v>0</v>
      </c>
      <c r="BT71" s="111">
        <f t="shared" si="68"/>
        <v>0</v>
      </c>
      <c r="BU71" s="111">
        <f t="shared" si="69"/>
        <v>0</v>
      </c>
      <c r="BV71" s="111">
        <f t="shared" si="70"/>
        <v>0</v>
      </c>
    </row>
    <row r="72" spans="1:74" ht="12.75">
      <c r="A72" s="587" t="s">
        <v>939</v>
      </c>
      <c r="B72" s="1300" t="s">
        <v>518</v>
      </c>
      <c r="C72" s="1218">
        <v>130115000</v>
      </c>
      <c r="D72" s="1218">
        <v>46966000</v>
      </c>
      <c r="E72" s="1218">
        <v>0</v>
      </c>
      <c r="F72" s="1218">
        <f t="shared" si="60"/>
        <v>177081000</v>
      </c>
      <c r="G72" s="1218">
        <v>0</v>
      </c>
      <c r="H72" s="1218">
        <v>0</v>
      </c>
      <c r="I72" s="1218"/>
      <c r="J72" s="1218">
        <f t="shared" si="61"/>
        <v>0</v>
      </c>
      <c r="K72" s="1218">
        <f t="shared" si="56"/>
        <v>130115000</v>
      </c>
      <c r="L72" s="1218">
        <f t="shared" si="57"/>
        <v>46966000</v>
      </c>
      <c r="M72" s="1218">
        <f t="shared" si="58"/>
        <v>0</v>
      </c>
      <c r="N72" s="1218">
        <f t="shared" si="59"/>
        <v>177081000</v>
      </c>
      <c r="O72" s="1218">
        <v>130115000</v>
      </c>
      <c r="P72" s="1218">
        <v>46966000</v>
      </c>
      <c r="Q72" s="1218">
        <v>0</v>
      </c>
      <c r="R72" s="1218">
        <f t="shared" si="6"/>
        <v>177081000</v>
      </c>
      <c r="S72" s="1218"/>
      <c r="T72" s="1218"/>
      <c r="U72" s="1218"/>
      <c r="V72" s="1218">
        <f t="shared" si="64"/>
        <v>0</v>
      </c>
      <c r="W72" s="1218">
        <f>+'CY (ALL FUNDS)'!F1495</f>
        <v>0</v>
      </c>
      <c r="X72" s="1218">
        <f>+'CY (ALL FUNDS)'!G1495</f>
        <v>20040000</v>
      </c>
      <c r="Y72" s="1218">
        <f>+'CY (ALL FUNDS)'!H1495</f>
        <v>26170000</v>
      </c>
      <c r="Z72" s="1218">
        <f t="shared" si="7"/>
        <v>46210000</v>
      </c>
      <c r="AA72" s="1218">
        <f t="shared" si="8"/>
        <v>130115000</v>
      </c>
      <c r="AB72" s="1218">
        <f t="shared" si="9"/>
        <v>67006000</v>
      </c>
      <c r="AC72" s="1218">
        <f t="shared" si="10"/>
        <v>26170000</v>
      </c>
      <c r="AD72" s="1218">
        <f t="shared" si="11"/>
        <v>223291000</v>
      </c>
      <c r="AE72" s="1218">
        <f>+'CY (ALL FUNDS)'!J1494</f>
        <v>124033581.09999998</v>
      </c>
      <c r="AF72" s="1218">
        <f>+'CY (ALL FUNDS)'!K1494</f>
        <v>45755858.340000004</v>
      </c>
      <c r="AG72" s="1218">
        <f>+'CY (ALL FUNDS)'!L1494</f>
        <v>0</v>
      </c>
      <c r="AH72" s="1218">
        <f t="shared" si="62"/>
        <v>169789439.44</v>
      </c>
      <c r="AI72" s="1218">
        <f>+'CY (ALL FUNDS)'!J1495</f>
        <v>0</v>
      </c>
      <c r="AJ72" s="1218">
        <f>+'CY (ALL FUNDS)'!K1495</f>
        <v>14897194.180000002</v>
      </c>
      <c r="AK72" s="1218">
        <f>+'CY (ALL FUNDS)'!L1495</f>
        <v>12951802.83</v>
      </c>
      <c r="AL72" s="1218">
        <f t="shared" si="63"/>
        <v>27848997.010000002</v>
      </c>
      <c r="AM72" s="1218">
        <f t="shared" si="65"/>
        <v>124033581.09999998</v>
      </c>
      <c r="AN72" s="1218">
        <f t="shared" si="66"/>
        <v>60653052.520000003</v>
      </c>
      <c r="AO72" s="1218">
        <f t="shared" si="67"/>
        <v>12951802.83</v>
      </c>
      <c r="AP72" s="1218">
        <f t="shared" si="12"/>
        <v>197638436.44999999</v>
      </c>
      <c r="AQ72" s="1218">
        <f t="shared" si="13"/>
        <v>6081418.9000000209</v>
      </c>
      <c r="AR72" s="1218">
        <f t="shared" si="14"/>
        <v>6352947.4799999967</v>
      </c>
      <c r="AS72" s="1218">
        <f t="shared" si="15"/>
        <v>13218197.17</v>
      </c>
      <c r="AT72" s="1218">
        <f t="shared" si="16"/>
        <v>25652563.550000019</v>
      </c>
      <c r="AU72" s="1219">
        <f t="shared" si="17"/>
        <v>0.95326120047650142</v>
      </c>
      <c r="AV72" s="1219">
        <f t="shared" si="18"/>
        <v>0.90518837895113879</v>
      </c>
      <c r="AW72" s="1219">
        <f t="shared" si="19"/>
        <v>0.49491031066106228</v>
      </c>
      <c r="AX72" s="1219">
        <f t="shared" si="20"/>
        <v>0.88511599862959089</v>
      </c>
      <c r="AY72" s="1218">
        <f t="shared" si="21"/>
        <v>0</v>
      </c>
      <c r="AZ72" s="1218">
        <f t="shared" si="22"/>
        <v>0</v>
      </c>
      <c r="BA72" s="1218">
        <f t="shared" si="23"/>
        <v>0</v>
      </c>
      <c r="BB72" s="1218">
        <f t="shared" si="24"/>
        <v>0</v>
      </c>
      <c r="BC72" s="125"/>
      <c r="BF72" s="105">
        <f t="shared" si="71"/>
        <v>1210141.6599999964</v>
      </c>
      <c r="BP72" s="149">
        <f>+'CY (ALL FUNDS)'!F1494</f>
        <v>130115000</v>
      </c>
      <c r="BQ72" s="105">
        <f>+'CY (ALL FUNDS)'!G1494</f>
        <v>46966000</v>
      </c>
      <c r="BR72" s="105">
        <f>+'CY (ALL FUNDS)'!H1494</f>
        <v>0</v>
      </c>
      <c r="BT72" s="111">
        <f t="shared" si="68"/>
        <v>0</v>
      </c>
      <c r="BU72" s="111">
        <f t="shared" si="69"/>
        <v>0</v>
      </c>
      <c r="BV72" s="111">
        <f t="shared" si="70"/>
        <v>0</v>
      </c>
    </row>
    <row r="73" spans="1:74" ht="12.75">
      <c r="A73" s="587" t="s">
        <v>939</v>
      </c>
      <c r="B73" s="1300" t="s">
        <v>519</v>
      </c>
      <c r="C73" s="1218">
        <v>312471000</v>
      </c>
      <c r="D73" s="1218">
        <v>77709000</v>
      </c>
      <c r="E73" s="1218">
        <v>0</v>
      </c>
      <c r="F73" s="1218">
        <f t="shared" si="60"/>
        <v>390180000</v>
      </c>
      <c r="G73" s="1218">
        <v>24769753</v>
      </c>
      <c r="H73" s="1218">
        <v>-24769753</v>
      </c>
      <c r="I73" s="1218"/>
      <c r="J73" s="1218">
        <f t="shared" si="61"/>
        <v>0</v>
      </c>
      <c r="K73" s="1218">
        <f t="shared" si="56"/>
        <v>337240753</v>
      </c>
      <c r="L73" s="1218">
        <f t="shared" si="57"/>
        <v>52939247</v>
      </c>
      <c r="M73" s="1218">
        <f t="shared" si="58"/>
        <v>0</v>
      </c>
      <c r="N73" s="1218">
        <f t="shared" si="59"/>
        <v>390180000</v>
      </c>
      <c r="O73" s="1218">
        <v>337240753</v>
      </c>
      <c r="P73" s="1218">
        <v>52939247</v>
      </c>
      <c r="Q73" s="1218">
        <v>0</v>
      </c>
      <c r="R73" s="1218">
        <f t="shared" si="6"/>
        <v>390180000</v>
      </c>
      <c r="S73" s="1218"/>
      <c r="T73" s="1218"/>
      <c r="U73" s="1218"/>
      <c r="V73" s="1218">
        <f t="shared" si="64"/>
        <v>0</v>
      </c>
      <c r="W73" s="1218">
        <f>+'CY (ALL FUNDS)'!F1510</f>
        <v>0</v>
      </c>
      <c r="X73" s="1218">
        <f>+'CY (ALL FUNDS)'!G1510</f>
        <v>42912000</v>
      </c>
      <c r="Y73" s="1218">
        <f>+'CY (ALL FUNDS)'!H1510</f>
        <v>750000000</v>
      </c>
      <c r="Z73" s="1218">
        <f t="shared" si="7"/>
        <v>792912000</v>
      </c>
      <c r="AA73" s="1218">
        <f t="shared" si="8"/>
        <v>337240753</v>
      </c>
      <c r="AB73" s="1218">
        <f t="shared" si="9"/>
        <v>95851247</v>
      </c>
      <c r="AC73" s="1218">
        <f t="shared" si="10"/>
        <v>750000000</v>
      </c>
      <c r="AD73" s="1218">
        <f t="shared" si="11"/>
        <v>1183092000</v>
      </c>
      <c r="AE73" s="1218">
        <f>+'CY (ALL FUNDS)'!J1509</f>
        <v>320185684.16999996</v>
      </c>
      <c r="AF73" s="1218">
        <f>+'CY (ALL FUNDS)'!K1509</f>
        <v>44774450.359999999</v>
      </c>
      <c r="AG73" s="1218">
        <f>+'CY (ALL FUNDS)'!L1509</f>
        <v>0</v>
      </c>
      <c r="AH73" s="1218">
        <f t="shared" si="62"/>
        <v>364960134.52999997</v>
      </c>
      <c r="AI73" s="1218">
        <f>+'CY (ALL FUNDS)'!J1510</f>
        <v>0</v>
      </c>
      <c r="AJ73" s="1218">
        <f>+'CY (ALL FUNDS)'!K1510</f>
        <v>40624267.020000003</v>
      </c>
      <c r="AK73" s="1218">
        <f>+'CY (ALL FUNDS)'!L1510</f>
        <v>0</v>
      </c>
      <c r="AL73" s="1218">
        <f t="shared" si="63"/>
        <v>40624267.020000003</v>
      </c>
      <c r="AM73" s="1218">
        <f t="shared" si="65"/>
        <v>320185684.16999996</v>
      </c>
      <c r="AN73" s="1218">
        <f t="shared" si="66"/>
        <v>85398717.379999995</v>
      </c>
      <c r="AO73" s="1218">
        <f t="shared" si="67"/>
        <v>0</v>
      </c>
      <c r="AP73" s="1218">
        <f t="shared" si="12"/>
        <v>405584401.54999995</v>
      </c>
      <c r="AQ73" s="1218">
        <f t="shared" si="13"/>
        <v>17055068.830000043</v>
      </c>
      <c r="AR73" s="1218">
        <f t="shared" si="14"/>
        <v>10452529.620000005</v>
      </c>
      <c r="AS73" s="1218">
        <f t="shared" si="15"/>
        <v>750000000</v>
      </c>
      <c r="AT73" s="1218">
        <f t="shared" si="16"/>
        <v>777507598.45000005</v>
      </c>
      <c r="AU73" s="1219">
        <f t="shared" si="17"/>
        <v>0.949427616092412</v>
      </c>
      <c r="AV73" s="1219">
        <f t="shared" si="18"/>
        <v>0.89095050980400903</v>
      </c>
      <c r="AW73" s="1219">
        <f t="shared" si="19"/>
        <v>0</v>
      </c>
      <c r="AX73" s="1219">
        <f t="shared" si="20"/>
        <v>0.34281729700648805</v>
      </c>
      <c r="AY73" s="1218">
        <f t="shared" si="21"/>
        <v>0</v>
      </c>
      <c r="AZ73" s="1218">
        <f t="shared" si="22"/>
        <v>0</v>
      </c>
      <c r="BA73" s="1218">
        <f t="shared" si="23"/>
        <v>0</v>
      </c>
      <c r="BB73" s="1218">
        <f t="shared" si="24"/>
        <v>0</v>
      </c>
      <c r="BC73" s="125"/>
      <c r="BF73" s="105">
        <f t="shared" si="71"/>
        <v>8164796.6400000006</v>
      </c>
      <c r="BP73" s="149">
        <f>+'CY (ALL FUNDS)'!F1509</f>
        <v>337240753</v>
      </c>
      <c r="BQ73" s="105">
        <f>+'CY (ALL FUNDS)'!G1509</f>
        <v>52939247</v>
      </c>
      <c r="BR73" s="105">
        <f>+'CY (ALL FUNDS)'!H1509</f>
        <v>0</v>
      </c>
      <c r="BT73" s="111">
        <f t="shared" si="68"/>
        <v>0</v>
      </c>
      <c r="BU73" s="111">
        <f t="shared" si="69"/>
        <v>0</v>
      </c>
      <c r="BV73" s="111">
        <f t="shared" si="70"/>
        <v>0</v>
      </c>
    </row>
    <row r="74" spans="1:74" ht="12.75">
      <c r="A74" s="587" t="s">
        <v>939</v>
      </c>
      <c r="B74" s="1300" t="s">
        <v>520</v>
      </c>
      <c r="C74" s="1218">
        <v>143649000</v>
      </c>
      <c r="D74" s="1218">
        <v>59733000</v>
      </c>
      <c r="E74" s="1218">
        <v>0</v>
      </c>
      <c r="F74" s="1218">
        <f t="shared" si="60"/>
        <v>203382000</v>
      </c>
      <c r="G74" s="1218">
        <v>0</v>
      </c>
      <c r="H74" s="1218">
        <v>0</v>
      </c>
      <c r="I74" s="1218"/>
      <c r="J74" s="1218">
        <f t="shared" si="61"/>
        <v>0</v>
      </c>
      <c r="K74" s="1218">
        <f t="shared" si="56"/>
        <v>143649000</v>
      </c>
      <c r="L74" s="1218">
        <f t="shared" si="57"/>
        <v>59733000</v>
      </c>
      <c r="M74" s="1218">
        <f t="shared" si="58"/>
        <v>0</v>
      </c>
      <c r="N74" s="1218">
        <f t="shared" si="59"/>
        <v>203382000</v>
      </c>
      <c r="O74" s="1218">
        <v>143649000</v>
      </c>
      <c r="P74" s="1218">
        <v>59733000</v>
      </c>
      <c r="Q74" s="1218">
        <v>0</v>
      </c>
      <c r="R74" s="1218">
        <f t="shared" si="6"/>
        <v>203382000</v>
      </c>
      <c r="S74" s="1218"/>
      <c r="T74" s="1218"/>
      <c r="U74" s="1218"/>
      <c r="V74" s="1218">
        <f t="shared" si="64"/>
        <v>0</v>
      </c>
      <c r="W74" s="1218">
        <f>+'CY (ALL FUNDS)'!F1525</f>
        <v>0</v>
      </c>
      <c r="X74" s="1218">
        <f>+'CY (ALL FUNDS)'!G1525</f>
        <v>20312000</v>
      </c>
      <c r="Y74" s="1218">
        <f>+'CY (ALL FUNDS)'!H1525</f>
        <v>82000000</v>
      </c>
      <c r="Z74" s="1218">
        <f t="shared" si="7"/>
        <v>102312000</v>
      </c>
      <c r="AA74" s="1218">
        <f t="shared" si="8"/>
        <v>143649000</v>
      </c>
      <c r="AB74" s="1218">
        <f t="shared" si="9"/>
        <v>80045000</v>
      </c>
      <c r="AC74" s="1218">
        <f t="shared" si="10"/>
        <v>82000000</v>
      </c>
      <c r="AD74" s="1218">
        <f t="shared" si="11"/>
        <v>305694000</v>
      </c>
      <c r="AE74" s="1218">
        <f>+'CY (ALL FUNDS)'!J1524</f>
        <v>132623644.61999999</v>
      </c>
      <c r="AF74" s="1218">
        <f>+'CY (ALL FUNDS)'!K1524</f>
        <v>56585842.620000005</v>
      </c>
      <c r="AG74" s="1218">
        <f>+'CY (ALL FUNDS)'!L1524</f>
        <v>0</v>
      </c>
      <c r="AH74" s="1218">
        <f t="shared" si="62"/>
        <v>189209487.24000001</v>
      </c>
      <c r="AI74" s="1218">
        <f>+'CY (ALL FUNDS)'!J1525</f>
        <v>0</v>
      </c>
      <c r="AJ74" s="1218">
        <f>+'CY (ALL FUNDS)'!K1525</f>
        <v>20312000</v>
      </c>
      <c r="AK74" s="1218">
        <f>+'CY (ALL FUNDS)'!L1525</f>
        <v>81972586.260000005</v>
      </c>
      <c r="AL74" s="1218">
        <f t="shared" si="63"/>
        <v>102284586.26000001</v>
      </c>
      <c r="AM74" s="1218">
        <f t="shared" si="65"/>
        <v>132623644.61999999</v>
      </c>
      <c r="AN74" s="1218">
        <f t="shared" si="66"/>
        <v>76897842.620000005</v>
      </c>
      <c r="AO74" s="1218">
        <f t="shared" si="67"/>
        <v>81972586.260000005</v>
      </c>
      <c r="AP74" s="1218">
        <f t="shared" si="12"/>
        <v>291494073.5</v>
      </c>
      <c r="AQ74" s="1218">
        <f t="shared" si="13"/>
        <v>11025355.38000001</v>
      </c>
      <c r="AR74" s="1218">
        <f t="shared" si="14"/>
        <v>3147157.3799999952</v>
      </c>
      <c r="AS74" s="1218">
        <f t="shared" si="15"/>
        <v>27413.739999994636</v>
      </c>
      <c r="AT74" s="1218">
        <f t="shared" si="16"/>
        <v>14199926.5</v>
      </c>
      <c r="AU74" s="1219">
        <f t="shared" si="17"/>
        <v>0.92324794895892059</v>
      </c>
      <c r="AV74" s="1219">
        <f t="shared" si="18"/>
        <v>0.96068264876007248</v>
      </c>
      <c r="AW74" s="1219">
        <f t="shared" si="19"/>
        <v>0.99966568609756101</v>
      </c>
      <c r="AX74" s="1219">
        <f t="shared" si="20"/>
        <v>0.95354855999790644</v>
      </c>
      <c r="AY74" s="1218">
        <f t="shared" si="21"/>
        <v>0</v>
      </c>
      <c r="AZ74" s="1218">
        <f t="shared" si="22"/>
        <v>0</v>
      </c>
      <c r="BA74" s="1218">
        <f t="shared" si="23"/>
        <v>0</v>
      </c>
      <c r="BB74" s="1218">
        <f t="shared" si="24"/>
        <v>0</v>
      </c>
      <c r="BC74" s="125"/>
      <c r="BF74" s="105">
        <f t="shared" si="71"/>
        <v>3147157.3799999952</v>
      </c>
      <c r="BP74" s="149">
        <f>+'CY (ALL FUNDS)'!F1524</f>
        <v>143649000</v>
      </c>
      <c r="BQ74" s="105">
        <f>+'CY (ALL FUNDS)'!G1524</f>
        <v>59733000</v>
      </c>
      <c r="BR74" s="105">
        <f>+'CY (ALL FUNDS)'!H1524</f>
        <v>0</v>
      </c>
      <c r="BT74" s="111">
        <f t="shared" si="68"/>
        <v>0</v>
      </c>
      <c r="BU74" s="111">
        <f t="shared" si="69"/>
        <v>0</v>
      </c>
      <c r="BV74" s="111">
        <f t="shared" si="70"/>
        <v>0</v>
      </c>
    </row>
    <row r="75" spans="1:74" ht="12.75">
      <c r="A75" s="587" t="s">
        <v>939</v>
      </c>
      <c r="B75" s="1300" t="s">
        <v>521</v>
      </c>
      <c r="C75" s="1218">
        <v>430202000</v>
      </c>
      <c r="D75" s="1218">
        <v>218995000</v>
      </c>
      <c r="E75" s="1218">
        <v>0</v>
      </c>
      <c r="F75" s="1218">
        <f t="shared" si="60"/>
        <v>649197000</v>
      </c>
      <c r="G75" s="1218">
        <v>11576363</v>
      </c>
      <c r="H75" s="1218">
        <v>-11576363</v>
      </c>
      <c r="I75" s="1218"/>
      <c r="J75" s="1218">
        <f t="shared" si="61"/>
        <v>0</v>
      </c>
      <c r="K75" s="1218">
        <f t="shared" si="56"/>
        <v>441778363</v>
      </c>
      <c r="L75" s="1218">
        <f t="shared" si="57"/>
        <v>207418637</v>
      </c>
      <c r="M75" s="1218">
        <f t="shared" si="58"/>
        <v>0</v>
      </c>
      <c r="N75" s="1218">
        <f t="shared" si="59"/>
        <v>649197000</v>
      </c>
      <c r="O75" s="1218">
        <v>441778363</v>
      </c>
      <c r="P75" s="1218">
        <v>207418637</v>
      </c>
      <c r="Q75" s="1218">
        <v>0</v>
      </c>
      <c r="R75" s="1218">
        <f t="shared" si="6"/>
        <v>649197000</v>
      </c>
      <c r="S75" s="1218"/>
      <c r="T75" s="1218"/>
      <c r="U75" s="1218"/>
      <c r="V75" s="1218">
        <f t="shared" si="64"/>
        <v>0</v>
      </c>
      <c r="W75" s="1218">
        <f>+'CY (ALL FUNDS)'!F1540</f>
        <v>0</v>
      </c>
      <c r="X75" s="1218">
        <f>+'CY (ALL FUNDS)'!G1540</f>
        <v>49358660</v>
      </c>
      <c r="Y75" s="1218">
        <f>+'CY (ALL FUNDS)'!H1540</f>
        <v>30750000</v>
      </c>
      <c r="Z75" s="1218">
        <f t="shared" si="7"/>
        <v>80108660</v>
      </c>
      <c r="AA75" s="1218">
        <f t="shared" si="8"/>
        <v>441778363</v>
      </c>
      <c r="AB75" s="1218">
        <f t="shared" si="9"/>
        <v>256777297</v>
      </c>
      <c r="AC75" s="1218">
        <f t="shared" si="10"/>
        <v>30750000</v>
      </c>
      <c r="AD75" s="1218">
        <f t="shared" si="11"/>
        <v>729305660</v>
      </c>
      <c r="AE75" s="1218">
        <f>+'CY (ALL FUNDS)'!J1539</f>
        <v>414116356.85999995</v>
      </c>
      <c r="AF75" s="1218">
        <f>+'CY (ALL FUNDS)'!K1539</f>
        <v>197757300.81999999</v>
      </c>
      <c r="AG75" s="1218">
        <f>+'CY (ALL FUNDS)'!L1539</f>
        <v>0</v>
      </c>
      <c r="AH75" s="1218">
        <f t="shared" si="62"/>
        <v>611873657.67999995</v>
      </c>
      <c r="AI75" s="1218">
        <f>+'CY (ALL FUNDS)'!J1540</f>
        <v>0</v>
      </c>
      <c r="AJ75" s="1218">
        <f>+'CY (ALL FUNDS)'!K1540</f>
        <v>42580770.739999995</v>
      </c>
      <c r="AK75" s="1218">
        <f>+'CY (ALL FUNDS)'!L1540</f>
        <v>28518602.640000001</v>
      </c>
      <c r="AL75" s="1218">
        <f t="shared" si="63"/>
        <v>71099373.379999995</v>
      </c>
      <c r="AM75" s="1218">
        <f t="shared" si="65"/>
        <v>414116356.85999995</v>
      </c>
      <c r="AN75" s="1218">
        <f t="shared" si="66"/>
        <v>240338071.56</v>
      </c>
      <c r="AO75" s="1218">
        <f t="shared" si="67"/>
        <v>28518602.640000001</v>
      </c>
      <c r="AP75" s="1218">
        <f t="shared" si="12"/>
        <v>682973031.05999994</v>
      </c>
      <c r="AQ75" s="1218">
        <f t="shared" si="13"/>
        <v>27662006.140000045</v>
      </c>
      <c r="AR75" s="1218">
        <f t="shared" si="14"/>
        <v>16439225.439999998</v>
      </c>
      <c r="AS75" s="1218">
        <f t="shared" si="15"/>
        <v>2231397.3599999994</v>
      </c>
      <c r="AT75" s="1218">
        <f t="shared" si="16"/>
        <v>46332628.940000042</v>
      </c>
      <c r="AU75" s="1219">
        <f t="shared" si="17"/>
        <v>0.93738487790086711</v>
      </c>
      <c r="AV75" s="1219">
        <f t="shared" si="18"/>
        <v>0.93597866465585544</v>
      </c>
      <c r="AW75" s="1219">
        <f t="shared" si="19"/>
        <v>0.927434232195122</v>
      </c>
      <c r="AX75" s="1219">
        <f t="shared" si="20"/>
        <v>0.93647021889285753</v>
      </c>
      <c r="AY75" s="1218">
        <f t="shared" si="21"/>
        <v>0</v>
      </c>
      <c r="AZ75" s="1218">
        <f t="shared" si="22"/>
        <v>0</v>
      </c>
      <c r="BA75" s="1218">
        <f t="shared" si="23"/>
        <v>0</v>
      </c>
      <c r="BB75" s="1218">
        <f t="shared" si="24"/>
        <v>0</v>
      </c>
      <c r="BC75" s="125"/>
      <c r="BF75" s="105">
        <f t="shared" si="71"/>
        <v>9661336.1800000072</v>
      </c>
      <c r="BP75" s="149">
        <f>+'CY (ALL FUNDS)'!F1539</f>
        <v>441778363</v>
      </c>
      <c r="BQ75" s="105">
        <f>+'CY (ALL FUNDS)'!G1539</f>
        <v>207418637</v>
      </c>
      <c r="BR75" s="105">
        <f>+'CY (ALL FUNDS)'!H1539</f>
        <v>0</v>
      </c>
      <c r="BT75" s="111">
        <f t="shared" si="68"/>
        <v>0</v>
      </c>
      <c r="BU75" s="111">
        <f t="shared" si="69"/>
        <v>0</v>
      </c>
      <c r="BV75" s="111">
        <f t="shared" si="70"/>
        <v>0</v>
      </c>
    </row>
    <row r="76" spans="1:74" ht="12.75">
      <c r="A76" s="587" t="s">
        <v>939</v>
      </c>
      <c r="B76" s="1300" t="s">
        <v>522</v>
      </c>
      <c r="C76" s="1218">
        <v>302047000</v>
      </c>
      <c r="D76" s="1218">
        <v>111603000</v>
      </c>
      <c r="E76" s="1218">
        <v>0</v>
      </c>
      <c r="F76" s="1218">
        <f t="shared" si="60"/>
        <v>413650000</v>
      </c>
      <c r="G76" s="1218"/>
      <c r="H76" s="1218"/>
      <c r="I76" s="1218"/>
      <c r="J76" s="1218">
        <f t="shared" si="61"/>
        <v>0</v>
      </c>
      <c r="K76" s="1218">
        <f t="shared" si="56"/>
        <v>302047000</v>
      </c>
      <c r="L76" s="1218">
        <f t="shared" si="57"/>
        <v>111603000</v>
      </c>
      <c r="M76" s="1218">
        <f t="shared" si="58"/>
        <v>0</v>
      </c>
      <c r="N76" s="1218">
        <f t="shared" si="59"/>
        <v>413650000</v>
      </c>
      <c r="O76" s="1218">
        <v>302047000</v>
      </c>
      <c r="P76" s="1218">
        <v>111603000</v>
      </c>
      <c r="Q76" s="1218">
        <v>0</v>
      </c>
      <c r="R76" s="1218">
        <f t="shared" si="6"/>
        <v>413650000</v>
      </c>
      <c r="S76" s="1218"/>
      <c r="T76" s="1218"/>
      <c r="U76" s="1218"/>
      <c r="V76" s="1218">
        <f t="shared" si="64"/>
        <v>0</v>
      </c>
      <c r="W76" s="1218">
        <f>+'CY (ALL FUNDS)'!F1555</f>
        <v>0</v>
      </c>
      <c r="X76" s="1218">
        <f>+'CY (ALL FUNDS)'!G1555</f>
        <v>29700000</v>
      </c>
      <c r="Y76" s="1218">
        <f>+'CY (ALL FUNDS)'!H1555</f>
        <v>18000000</v>
      </c>
      <c r="Z76" s="1218">
        <f t="shared" si="7"/>
        <v>47700000</v>
      </c>
      <c r="AA76" s="1218">
        <f t="shared" si="8"/>
        <v>302047000</v>
      </c>
      <c r="AB76" s="1218">
        <f t="shared" si="9"/>
        <v>141303000</v>
      </c>
      <c r="AC76" s="1218">
        <f t="shared" si="10"/>
        <v>18000000</v>
      </c>
      <c r="AD76" s="1218">
        <f t="shared" si="11"/>
        <v>461350000</v>
      </c>
      <c r="AE76" s="1218">
        <f>+'CY (ALL FUNDS)'!J1554</f>
        <v>278013800.74000001</v>
      </c>
      <c r="AF76" s="1218">
        <f>+'CY (ALL FUNDS)'!K1554</f>
        <v>99599547.560000002</v>
      </c>
      <c r="AG76" s="1218">
        <f>+'CY (ALL FUNDS)'!L1554</f>
        <v>0</v>
      </c>
      <c r="AH76" s="1218">
        <f t="shared" si="62"/>
        <v>377613348.30000001</v>
      </c>
      <c r="AI76" s="1218">
        <f>+'CY (ALL FUNDS)'!J1555</f>
        <v>0</v>
      </c>
      <c r="AJ76" s="1218">
        <f>+'CY (ALL FUNDS)'!K1555</f>
        <v>20018789.68</v>
      </c>
      <c r="AK76" s="1218">
        <f>+'CY (ALL FUNDS)'!L1555</f>
        <v>13000000</v>
      </c>
      <c r="AL76" s="1218">
        <f t="shared" si="63"/>
        <v>33018789.68</v>
      </c>
      <c r="AM76" s="1218">
        <f t="shared" si="65"/>
        <v>278013800.74000001</v>
      </c>
      <c r="AN76" s="1218">
        <f t="shared" si="66"/>
        <v>119618337.24000001</v>
      </c>
      <c r="AO76" s="1218">
        <f t="shared" si="67"/>
        <v>13000000</v>
      </c>
      <c r="AP76" s="1218">
        <f t="shared" si="12"/>
        <v>410632137.98000002</v>
      </c>
      <c r="AQ76" s="1218">
        <f t="shared" si="13"/>
        <v>24033199.25999999</v>
      </c>
      <c r="AR76" s="1218">
        <f t="shared" si="14"/>
        <v>21684662.75999999</v>
      </c>
      <c r="AS76" s="1218">
        <f t="shared" si="15"/>
        <v>5000000</v>
      </c>
      <c r="AT76" s="1218">
        <f t="shared" si="16"/>
        <v>50717862.019999981</v>
      </c>
      <c r="AU76" s="1219">
        <f t="shared" si="17"/>
        <v>0.92043225305995424</v>
      </c>
      <c r="AV76" s="1219">
        <f t="shared" si="18"/>
        <v>0.84653784590560721</v>
      </c>
      <c r="AW76" s="1219">
        <f t="shared" si="19"/>
        <v>0.72222222222222221</v>
      </c>
      <c r="AX76" s="1219">
        <f t="shared" si="20"/>
        <v>0.89006640940717463</v>
      </c>
      <c r="AY76" s="1218">
        <f t="shared" si="21"/>
        <v>0</v>
      </c>
      <c r="AZ76" s="1218">
        <f t="shared" si="22"/>
        <v>0</v>
      </c>
      <c r="BA76" s="1218">
        <f t="shared" si="23"/>
        <v>0</v>
      </c>
      <c r="BB76" s="1218">
        <f t="shared" si="24"/>
        <v>0</v>
      </c>
      <c r="BC76" s="125"/>
      <c r="BF76" s="105">
        <f t="shared" si="71"/>
        <v>12003452.439999998</v>
      </c>
      <c r="BP76" s="149">
        <f>+'CY (ALL FUNDS)'!F1554</f>
        <v>302047000</v>
      </c>
      <c r="BQ76" s="105">
        <f>+'CY (ALL FUNDS)'!G1554</f>
        <v>111603000</v>
      </c>
      <c r="BR76" s="105">
        <f>+'CY (ALL FUNDS)'!H1554</f>
        <v>0</v>
      </c>
      <c r="BT76" s="111">
        <f t="shared" si="68"/>
        <v>0</v>
      </c>
      <c r="BU76" s="111">
        <f t="shared" si="69"/>
        <v>0</v>
      </c>
      <c r="BV76" s="111">
        <f t="shared" si="70"/>
        <v>0</v>
      </c>
    </row>
    <row r="77" spans="1:74" ht="12.75">
      <c r="A77" s="587" t="s">
        <v>939</v>
      </c>
      <c r="B77" s="1300" t="s">
        <v>523</v>
      </c>
      <c r="C77" s="1218">
        <v>233701000</v>
      </c>
      <c r="D77" s="1218">
        <v>165112000</v>
      </c>
      <c r="E77" s="1218">
        <v>0</v>
      </c>
      <c r="F77" s="1218">
        <f t="shared" si="60"/>
        <v>398813000</v>
      </c>
      <c r="G77" s="1218"/>
      <c r="H77" s="1218"/>
      <c r="I77" s="1218"/>
      <c r="J77" s="1218">
        <f t="shared" si="61"/>
        <v>0</v>
      </c>
      <c r="K77" s="1218">
        <f t="shared" si="56"/>
        <v>233701000</v>
      </c>
      <c r="L77" s="1218">
        <f t="shared" si="57"/>
        <v>165112000</v>
      </c>
      <c r="M77" s="1218">
        <f t="shared" si="58"/>
        <v>0</v>
      </c>
      <c r="N77" s="1218">
        <f t="shared" si="59"/>
        <v>398813000</v>
      </c>
      <c r="O77" s="1218">
        <v>233701000</v>
      </c>
      <c r="P77" s="1218">
        <v>165112000</v>
      </c>
      <c r="Q77" s="1218">
        <v>0</v>
      </c>
      <c r="R77" s="1218">
        <f t="shared" ref="R77:R140" si="72">SUM(O77:Q77)</f>
        <v>398813000</v>
      </c>
      <c r="S77" s="1218"/>
      <c r="T77" s="1218"/>
      <c r="U77" s="1218"/>
      <c r="V77" s="1218">
        <f t="shared" si="64"/>
        <v>0</v>
      </c>
      <c r="W77" s="1218">
        <f>+'CY (ALL FUNDS)'!F1570</f>
        <v>0</v>
      </c>
      <c r="X77" s="1218">
        <f>+'CY (ALL FUNDS)'!G1570</f>
        <v>59020000</v>
      </c>
      <c r="Y77" s="1218">
        <f>+'CY (ALL FUNDS)'!H1570</f>
        <v>54326113.100000001</v>
      </c>
      <c r="Z77" s="1218">
        <f t="shared" ref="Z77:Z140" si="73">SUM(W77:Y77)</f>
        <v>113346113.09999999</v>
      </c>
      <c r="AA77" s="1218">
        <f t="shared" ref="AA77:AA140" si="74">+O77+W77+S77</f>
        <v>233701000</v>
      </c>
      <c r="AB77" s="1218">
        <f t="shared" ref="AB77:AB140" si="75">+P77+X77+T77</f>
        <v>224132000</v>
      </c>
      <c r="AC77" s="1218">
        <f t="shared" ref="AC77:AC140" si="76">+Q77+Y77+U77</f>
        <v>54326113.100000001</v>
      </c>
      <c r="AD77" s="1218">
        <f t="shared" ref="AD77:AD140" si="77">SUM(AA77:AC77)</f>
        <v>512159113.10000002</v>
      </c>
      <c r="AE77" s="1218">
        <f>+'CY (ALL FUNDS)'!J1569</f>
        <v>217281268.67000002</v>
      </c>
      <c r="AF77" s="1218">
        <f>+'CY (ALL FUNDS)'!K1569</f>
        <v>117388907.45</v>
      </c>
      <c r="AG77" s="1218">
        <f>+'CY (ALL FUNDS)'!L1569</f>
        <v>0</v>
      </c>
      <c r="AH77" s="1218">
        <f t="shared" si="62"/>
        <v>334670176.12</v>
      </c>
      <c r="AI77" s="1218">
        <f>+'CY (ALL FUNDS)'!J1570</f>
        <v>0</v>
      </c>
      <c r="AJ77" s="1218">
        <f>+'CY (ALL FUNDS)'!K1570</f>
        <v>48208446.509999998</v>
      </c>
      <c r="AK77" s="1218">
        <f>+'CY (ALL FUNDS)'!L1570</f>
        <v>46068070.750000007</v>
      </c>
      <c r="AL77" s="1218">
        <f t="shared" si="63"/>
        <v>94276517.260000005</v>
      </c>
      <c r="AM77" s="1218">
        <f t="shared" si="65"/>
        <v>217281268.67000002</v>
      </c>
      <c r="AN77" s="1218">
        <f t="shared" si="66"/>
        <v>165597353.96000001</v>
      </c>
      <c r="AO77" s="1218">
        <f t="shared" si="67"/>
        <v>46068070.750000007</v>
      </c>
      <c r="AP77" s="1218">
        <f t="shared" ref="AP77:AP140" si="78">SUM(AM77:AO77)</f>
        <v>428946693.38</v>
      </c>
      <c r="AQ77" s="1218">
        <f t="shared" ref="AQ77:AQ140" si="79">+AA77-AM77</f>
        <v>16419731.329999983</v>
      </c>
      <c r="AR77" s="1218">
        <f t="shared" ref="AR77:AR140" si="80">+AB77-AN77</f>
        <v>58534646.039999992</v>
      </c>
      <c r="AS77" s="1218">
        <f t="shared" ref="AS77:AS140" si="81">+AC77-AO77</f>
        <v>8258042.349999994</v>
      </c>
      <c r="AT77" s="1218">
        <f t="shared" ref="AT77:AT140" si="82">SUM(AQ77:AS77)</f>
        <v>83212419.719999969</v>
      </c>
      <c r="AU77" s="1219">
        <f t="shared" ref="AU77:AU140" si="83">IF(AA77=0," ",AM77/AA77)</f>
        <v>0.9297404318766288</v>
      </c>
      <c r="AV77" s="1219">
        <f t="shared" ref="AV77:AV140" si="84">IF(AB77=0," ",AN77/AB77)</f>
        <v>0.73883851462531014</v>
      </c>
      <c r="AW77" s="1219">
        <f t="shared" ref="AW77:AW140" si="85">IF(AC77=0," ",AO77/AC77)</f>
        <v>0.84799129039842913</v>
      </c>
      <c r="AX77" s="1219">
        <f t="shared" ref="AX77:AX140" si="86">IF(AD77=0," ",AP77/AD77)</f>
        <v>0.83752623434476958</v>
      </c>
      <c r="AY77" s="1218">
        <f t="shared" ref="AY77:AY140" si="87">+K77-O77</f>
        <v>0</v>
      </c>
      <c r="AZ77" s="1218">
        <f t="shared" ref="AZ77:AZ140" si="88">+L77-P77</f>
        <v>0</v>
      </c>
      <c r="BA77" s="1218">
        <f t="shared" ref="BA77:BA140" si="89">+M77-Q77</f>
        <v>0</v>
      </c>
      <c r="BB77" s="1218">
        <f t="shared" ref="BB77:BB140" si="90">+N77-R77</f>
        <v>0</v>
      </c>
      <c r="BC77" s="125"/>
      <c r="BF77" s="105">
        <f t="shared" si="71"/>
        <v>47723092.549999997</v>
      </c>
      <c r="BP77" s="149">
        <f>+'CY (ALL FUNDS)'!F1569</f>
        <v>233701000</v>
      </c>
      <c r="BQ77" s="105">
        <f>+'CY (ALL FUNDS)'!G1569</f>
        <v>165112000</v>
      </c>
      <c r="BR77" s="105">
        <f>+'CY (ALL FUNDS)'!H1569</f>
        <v>0</v>
      </c>
      <c r="BT77" s="111">
        <f t="shared" si="68"/>
        <v>0</v>
      </c>
      <c r="BU77" s="111">
        <f t="shared" si="69"/>
        <v>0</v>
      </c>
      <c r="BV77" s="111">
        <f t="shared" si="70"/>
        <v>0</v>
      </c>
    </row>
    <row r="78" spans="1:74" ht="12.75">
      <c r="A78" s="587" t="s">
        <v>939</v>
      </c>
      <c r="B78" s="1300" t="s">
        <v>524</v>
      </c>
      <c r="C78" s="1218">
        <v>143539000</v>
      </c>
      <c r="D78" s="1218">
        <v>97120000</v>
      </c>
      <c r="E78" s="1218">
        <v>0</v>
      </c>
      <c r="F78" s="1218">
        <f t="shared" si="60"/>
        <v>240659000</v>
      </c>
      <c r="G78" s="1218"/>
      <c r="H78" s="1218"/>
      <c r="I78" s="1218"/>
      <c r="J78" s="1218">
        <f t="shared" si="61"/>
        <v>0</v>
      </c>
      <c r="K78" s="1218">
        <f t="shared" si="56"/>
        <v>143539000</v>
      </c>
      <c r="L78" s="1218">
        <f t="shared" si="57"/>
        <v>97120000</v>
      </c>
      <c r="M78" s="1218">
        <f t="shared" si="58"/>
        <v>0</v>
      </c>
      <c r="N78" s="1218">
        <f t="shared" si="59"/>
        <v>240659000</v>
      </c>
      <c r="O78" s="1218">
        <v>143539000</v>
      </c>
      <c r="P78" s="1218">
        <v>97120000</v>
      </c>
      <c r="Q78" s="1218">
        <v>0</v>
      </c>
      <c r="R78" s="1218">
        <f t="shared" si="72"/>
        <v>240659000</v>
      </c>
      <c r="S78" s="1218"/>
      <c r="T78" s="1218"/>
      <c r="U78" s="1218"/>
      <c r="V78" s="1218">
        <f t="shared" si="64"/>
        <v>0</v>
      </c>
      <c r="W78" s="1218">
        <f>+'CY (ALL FUNDS)'!F1585</f>
        <v>0</v>
      </c>
      <c r="X78" s="1218">
        <f>+'CY (ALL FUNDS)'!G1585</f>
        <v>153982750</v>
      </c>
      <c r="Y78" s="1218">
        <f>+'CY (ALL FUNDS)'!H1585</f>
        <v>470975000</v>
      </c>
      <c r="Z78" s="1218">
        <f t="shared" si="73"/>
        <v>624957750</v>
      </c>
      <c r="AA78" s="1218">
        <f t="shared" si="74"/>
        <v>143539000</v>
      </c>
      <c r="AB78" s="1218">
        <f t="shared" si="75"/>
        <v>251102750</v>
      </c>
      <c r="AC78" s="1218">
        <f t="shared" si="76"/>
        <v>470975000</v>
      </c>
      <c r="AD78" s="1218">
        <f t="shared" si="77"/>
        <v>865616750</v>
      </c>
      <c r="AE78" s="1218">
        <f>+'CY (ALL FUNDS)'!J1584</f>
        <v>132906356.50999999</v>
      </c>
      <c r="AF78" s="1218">
        <f>+'CY (ALL FUNDS)'!K1584</f>
        <v>91446356.310000002</v>
      </c>
      <c r="AG78" s="1218">
        <f>+'CY (ALL FUNDS)'!L1584</f>
        <v>0</v>
      </c>
      <c r="AH78" s="1218">
        <f t="shared" si="62"/>
        <v>224352712.81999999</v>
      </c>
      <c r="AI78" s="1218">
        <f>+'CY (ALL FUNDS)'!J1585</f>
        <v>0</v>
      </c>
      <c r="AJ78" s="1218">
        <f>+'CY (ALL FUNDS)'!K1585</f>
        <v>93990625.400000021</v>
      </c>
      <c r="AK78" s="1218">
        <f>+'CY (ALL FUNDS)'!L1585</f>
        <v>3842397.88</v>
      </c>
      <c r="AL78" s="1218">
        <f t="shared" si="63"/>
        <v>97833023.280000016</v>
      </c>
      <c r="AM78" s="1218">
        <f t="shared" si="65"/>
        <v>132906356.50999999</v>
      </c>
      <c r="AN78" s="1218">
        <f t="shared" si="66"/>
        <v>185436981.71000004</v>
      </c>
      <c r="AO78" s="1218">
        <f t="shared" si="67"/>
        <v>3842397.88</v>
      </c>
      <c r="AP78" s="1218">
        <f t="shared" si="78"/>
        <v>322185736.10000002</v>
      </c>
      <c r="AQ78" s="1218">
        <f t="shared" si="79"/>
        <v>10632643.49000001</v>
      </c>
      <c r="AR78" s="1218">
        <f t="shared" si="80"/>
        <v>65665768.289999962</v>
      </c>
      <c r="AS78" s="1218">
        <f t="shared" si="81"/>
        <v>467132602.12</v>
      </c>
      <c r="AT78" s="1218">
        <f t="shared" si="82"/>
        <v>543431013.89999998</v>
      </c>
      <c r="AU78" s="1219">
        <f t="shared" si="83"/>
        <v>0.92592505528114299</v>
      </c>
      <c r="AV78" s="1219">
        <f t="shared" si="84"/>
        <v>0.73849044548496601</v>
      </c>
      <c r="AW78" s="1219">
        <f t="shared" si="85"/>
        <v>8.1583903179574292E-3</v>
      </c>
      <c r="AX78" s="1219">
        <f t="shared" si="86"/>
        <v>0.37220367570290203</v>
      </c>
      <c r="AY78" s="1218">
        <f t="shared" si="87"/>
        <v>0</v>
      </c>
      <c r="AZ78" s="1218">
        <f t="shared" si="88"/>
        <v>0</v>
      </c>
      <c r="BA78" s="1218">
        <f t="shared" si="89"/>
        <v>0</v>
      </c>
      <c r="BB78" s="1218">
        <f t="shared" si="90"/>
        <v>0</v>
      </c>
      <c r="BC78" s="125"/>
      <c r="BF78" s="105">
        <f t="shared" si="71"/>
        <v>5673643.6899999976</v>
      </c>
      <c r="BP78" s="149">
        <f>+'CY (ALL FUNDS)'!F1584</f>
        <v>143539000</v>
      </c>
      <c r="BQ78" s="105">
        <f>+'CY (ALL FUNDS)'!G1584</f>
        <v>97120000</v>
      </c>
      <c r="BR78" s="105">
        <f>+'CY (ALL FUNDS)'!H1584</f>
        <v>0</v>
      </c>
      <c r="BT78" s="111">
        <f t="shared" si="68"/>
        <v>0</v>
      </c>
      <c r="BU78" s="111">
        <f t="shared" si="69"/>
        <v>0</v>
      </c>
      <c r="BV78" s="111">
        <f t="shared" si="70"/>
        <v>0</v>
      </c>
    </row>
    <row r="79" spans="1:74" ht="12.75">
      <c r="A79" s="587" t="s">
        <v>939</v>
      </c>
      <c r="B79" s="1300" t="s">
        <v>525</v>
      </c>
      <c r="C79" s="1218">
        <v>109683000</v>
      </c>
      <c r="D79" s="1218">
        <v>38781000</v>
      </c>
      <c r="E79" s="1218">
        <v>0</v>
      </c>
      <c r="F79" s="1218">
        <f t="shared" si="60"/>
        <v>148464000</v>
      </c>
      <c r="G79" s="1218"/>
      <c r="H79" s="1218"/>
      <c r="I79" s="1218"/>
      <c r="J79" s="1218">
        <f t="shared" si="61"/>
        <v>0</v>
      </c>
      <c r="K79" s="1218">
        <f t="shared" si="56"/>
        <v>109683000</v>
      </c>
      <c r="L79" s="1218">
        <f t="shared" si="57"/>
        <v>38781000</v>
      </c>
      <c r="M79" s="1218">
        <f t="shared" si="58"/>
        <v>0</v>
      </c>
      <c r="N79" s="1218">
        <f t="shared" si="59"/>
        <v>148464000</v>
      </c>
      <c r="O79" s="1218">
        <v>109683000</v>
      </c>
      <c r="P79" s="1218">
        <v>38781000</v>
      </c>
      <c r="Q79" s="1218">
        <v>0</v>
      </c>
      <c r="R79" s="1218">
        <f t="shared" si="72"/>
        <v>148464000</v>
      </c>
      <c r="S79" s="1218"/>
      <c r="T79" s="1218"/>
      <c r="U79" s="1218"/>
      <c r="V79" s="1218">
        <f t="shared" si="64"/>
        <v>0</v>
      </c>
      <c r="W79" s="1218">
        <f>+'CY (ALL FUNDS)'!F1600</f>
        <v>0</v>
      </c>
      <c r="X79" s="1218">
        <f>+'CY (ALL FUNDS)'!G1600</f>
        <v>15848000</v>
      </c>
      <c r="Y79" s="1218">
        <f>+'CY (ALL FUNDS)'!H1600</f>
        <v>18000000</v>
      </c>
      <c r="Z79" s="1218">
        <f t="shared" si="73"/>
        <v>33848000</v>
      </c>
      <c r="AA79" s="1218">
        <f t="shared" si="74"/>
        <v>109683000</v>
      </c>
      <c r="AB79" s="1218">
        <f t="shared" si="75"/>
        <v>54629000</v>
      </c>
      <c r="AC79" s="1218">
        <f t="shared" si="76"/>
        <v>18000000</v>
      </c>
      <c r="AD79" s="1218">
        <f t="shared" si="77"/>
        <v>182312000</v>
      </c>
      <c r="AE79" s="1218">
        <f>+'CY (ALL FUNDS)'!J1599</f>
        <v>101335636</v>
      </c>
      <c r="AF79" s="1218">
        <f>+'CY (ALL FUNDS)'!K1599</f>
        <v>29267091.990000002</v>
      </c>
      <c r="AG79" s="1218">
        <f>+'CY (ALL FUNDS)'!L1599</f>
        <v>0</v>
      </c>
      <c r="AH79" s="1218">
        <f t="shared" si="62"/>
        <v>130602727.99000001</v>
      </c>
      <c r="AI79" s="1218">
        <f>+'CY (ALL FUNDS)'!J1600</f>
        <v>0</v>
      </c>
      <c r="AJ79" s="1218">
        <f>+'CY (ALL FUNDS)'!K1600</f>
        <v>10972608.619999999</v>
      </c>
      <c r="AK79" s="1218">
        <f>+'CY (ALL FUNDS)'!L1600</f>
        <v>17999252.949999999</v>
      </c>
      <c r="AL79" s="1218">
        <f t="shared" si="63"/>
        <v>28971861.57</v>
      </c>
      <c r="AM79" s="1218">
        <f t="shared" si="65"/>
        <v>101335636</v>
      </c>
      <c r="AN79" s="1218">
        <f t="shared" si="66"/>
        <v>40239700.609999999</v>
      </c>
      <c r="AO79" s="1218">
        <f t="shared" si="67"/>
        <v>17999252.949999999</v>
      </c>
      <c r="AP79" s="1218">
        <f t="shared" si="78"/>
        <v>159574589.56</v>
      </c>
      <c r="AQ79" s="1218">
        <f t="shared" si="79"/>
        <v>8347364</v>
      </c>
      <c r="AR79" s="1218">
        <f t="shared" si="80"/>
        <v>14389299.390000001</v>
      </c>
      <c r="AS79" s="1218">
        <f t="shared" si="81"/>
        <v>747.05000000074506</v>
      </c>
      <c r="AT79" s="1218">
        <f t="shared" si="82"/>
        <v>22737410.440000001</v>
      </c>
      <c r="AU79" s="1219">
        <f t="shared" si="83"/>
        <v>0.92389555354977526</v>
      </c>
      <c r="AV79" s="1219">
        <f t="shared" si="84"/>
        <v>0.73659961943290198</v>
      </c>
      <c r="AW79" s="1219">
        <f t="shared" si="85"/>
        <v>0.99995849722222219</v>
      </c>
      <c r="AX79" s="1219">
        <f t="shared" si="86"/>
        <v>0.87528297402255473</v>
      </c>
      <c r="AY79" s="1218">
        <f t="shared" si="87"/>
        <v>0</v>
      </c>
      <c r="AZ79" s="1218">
        <f t="shared" si="88"/>
        <v>0</v>
      </c>
      <c r="BA79" s="1218">
        <f t="shared" si="89"/>
        <v>0</v>
      </c>
      <c r="BB79" s="1218">
        <f t="shared" si="90"/>
        <v>0</v>
      </c>
      <c r="BC79" s="125"/>
      <c r="BF79" s="105">
        <f t="shared" si="71"/>
        <v>9513908.0099999979</v>
      </c>
      <c r="BP79" s="149">
        <f>+'CY (ALL FUNDS)'!F1599</f>
        <v>109683000</v>
      </c>
      <c r="BQ79" s="105">
        <f>+'CY (ALL FUNDS)'!G1599</f>
        <v>38781000</v>
      </c>
      <c r="BR79" s="105">
        <f>+'CY (ALL FUNDS)'!H1599</f>
        <v>0</v>
      </c>
      <c r="BT79" s="111">
        <f t="shared" si="68"/>
        <v>0</v>
      </c>
      <c r="BU79" s="111">
        <f t="shared" si="69"/>
        <v>0</v>
      </c>
      <c r="BV79" s="111">
        <f t="shared" si="70"/>
        <v>0</v>
      </c>
    </row>
    <row r="80" spans="1:74">
      <c r="B80" s="1301"/>
      <c r="C80" s="1218">
        <v>0</v>
      </c>
      <c r="D80" s="1218">
        <v>0</v>
      </c>
      <c r="E80" s="1218">
        <v>0</v>
      </c>
      <c r="F80" s="1218">
        <f t="shared" si="60"/>
        <v>0</v>
      </c>
      <c r="G80" s="1218"/>
      <c r="H80" s="1218"/>
      <c r="I80" s="1218"/>
      <c r="J80" s="1218">
        <f t="shared" si="61"/>
        <v>0</v>
      </c>
      <c r="K80" s="1218">
        <f t="shared" si="56"/>
        <v>0</v>
      </c>
      <c r="L80" s="1218">
        <f t="shared" si="57"/>
        <v>0</v>
      </c>
      <c r="M80" s="1218">
        <f t="shared" si="58"/>
        <v>0</v>
      </c>
      <c r="N80" s="1218">
        <f t="shared" si="59"/>
        <v>0</v>
      </c>
      <c r="O80" s="1218">
        <v>0</v>
      </c>
      <c r="P80" s="1218">
        <v>0</v>
      </c>
      <c r="Q80" s="1218">
        <v>0</v>
      </c>
      <c r="R80" s="1218">
        <f t="shared" si="72"/>
        <v>0</v>
      </c>
      <c r="S80" s="1218"/>
      <c r="T80" s="1218"/>
      <c r="U80" s="1218"/>
      <c r="V80" s="1218">
        <f t="shared" si="64"/>
        <v>0</v>
      </c>
      <c r="W80" s="1218"/>
      <c r="X80" s="1218"/>
      <c r="Y80" s="1218"/>
      <c r="Z80" s="1218">
        <f t="shared" si="73"/>
        <v>0</v>
      </c>
      <c r="AA80" s="1218">
        <f t="shared" si="74"/>
        <v>0</v>
      </c>
      <c r="AB80" s="1218">
        <f t="shared" si="75"/>
        <v>0</v>
      </c>
      <c r="AC80" s="1218">
        <f t="shared" si="76"/>
        <v>0</v>
      </c>
      <c r="AD80" s="1218">
        <f t="shared" si="77"/>
        <v>0</v>
      </c>
      <c r="AE80" s="1218"/>
      <c r="AF80" s="1218"/>
      <c r="AG80" s="1218"/>
      <c r="AH80" s="1218">
        <f t="shared" si="62"/>
        <v>0</v>
      </c>
      <c r="AI80" s="1218"/>
      <c r="AJ80" s="1218"/>
      <c r="AK80" s="1218"/>
      <c r="AL80" s="1218">
        <f t="shared" si="63"/>
        <v>0</v>
      </c>
      <c r="AM80" s="1218">
        <f t="shared" ref="AM80:AM94" si="91">+AE80+AI80</f>
        <v>0</v>
      </c>
      <c r="AN80" s="1218">
        <f t="shared" ref="AN80:AN94" si="92">+AF80+AJ80</f>
        <v>0</v>
      </c>
      <c r="AO80" s="1218">
        <f t="shared" ref="AO80:AO94" si="93">+AG80+AK80</f>
        <v>0</v>
      </c>
      <c r="AP80" s="1218">
        <f t="shared" si="78"/>
        <v>0</v>
      </c>
      <c r="AQ80" s="1218">
        <f t="shared" si="79"/>
        <v>0</v>
      </c>
      <c r="AR80" s="1218">
        <f t="shared" si="80"/>
        <v>0</v>
      </c>
      <c r="AS80" s="1218">
        <f t="shared" si="81"/>
        <v>0</v>
      </c>
      <c r="AT80" s="1218">
        <f t="shared" si="82"/>
        <v>0</v>
      </c>
      <c r="AU80" s="1219" t="str">
        <f t="shared" si="83"/>
        <v xml:space="preserve"> </v>
      </c>
      <c r="AV80" s="1219" t="str">
        <f t="shared" si="84"/>
        <v xml:space="preserve"> </v>
      </c>
      <c r="AW80" s="1219" t="str">
        <f t="shared" si="85"/>
        <v xml:space="preserve"> </v>
      </c>
      <c r="AX80" s="1219" t="str">
        <f t="shared" si="86"/>
        <v xml:space="preserve"> </v>
      </c>
      <c r="AY80" s="1218">
        <f t="shared" si="87"/>
        <v>0</v>
      </c>
      <c r="AZ80" s="1218">
        <f t="shared" si="88"/>
        <v>0</v>
      </c>
      <c r="BA80" s="1218">
        <f t="shared" si="89"/>
        <v>0</v>
      </c>
      <c r="BB80" s="1218">
        <f t="shared" si="90"/>
        <v>0</v>
      </c>
      <c r="BC80" s="125"/>
      <c r="BF80" s="105">
        <f t="shared" si="71"/>
        <v>0</v>
      </c>
      <c r="BT80" s="111">
        <f t="shared" ref="BT80:BT98" si="94">+O80-BP80</f>
        <v>0</v>
      </c>
      <c r="BU80" s="111">
        <f t="shared" ref="BU80:BU98" si="95">+P80-BQ80</f>
        <v>0</v>
      </c>
      <c r="BV80" s="111">
        <f t="shared" ref="BV80:BV98" si="96">+Q80-BR80</f>
        <v>0</v>
      </c>
    </row>
    <row r="81" spans="1:74" s="95" customFormat="1" ht="36">
      <c r="A81" s="95" t="s">
        <v>916</v>
      </c>
      <c r="B81" s="1290" t="s">
        <v>526</v>
      </c>
      <c r="C81" s="1279"/>
      <c r="D81" s="1279"/>
      <c r="E81" s="1279"/>
      <c r="F81" s="1279">
        <f t="shared" si="60"/>
        <v>0</v>
      </c>
      <c r="G81" s="1279"/>
      <c r="H81" s="1279"/>
      <c r="I81" s="1279"/>
      <c r="J81" s="1279">
        <f t="shared" si="61"/>
        <v>0</v>
      </c>
      <c r="K81" s="1279">
        <f t="shared" si="56"/>
        <v>0</v>
      </c>
      <c r="L81" s="1279">
        <f t="shared" si="57"/>
        <v>0</v>
      </c>
      <c r="M81" s="1279">
        <f t="shared" si="58"/>
        <v>0</v>
      </c>
      <c r="N81" s="1279">
        <f t="shared" si="59"/>
        <v>0</v>
      </c>
      <c r="O81" s="1279"/>
      <c r="P81" s="1279"/>
      <c r="Q81" s="1279"/>
      <c r="R81" s="1279">
        <f t="shared" si="72"/>
        <v>0</v>
      </c>
      <c r="S81" s="1279"/>
      <c r="T81" s="1279"/>
      <c r="U81" s="1279"/>
      <c r="V81" s="1279">
        <f t="shared" si="64"/>
        <v>0</v>
      </c>
      <c r="W81" s="1279"/>
      <c r="X81" s="1279"/>
      <c r="Y81" s="1279"/>
      <c r="Z81" s="1279">
        <f t="shared" si="73"/>
        <v>0</v>
      </c>
      <c r="AA81" s="1279">
        <f t="shared" si="74"/>
        <v>0</v>
      </c>
      <c r="AB81" s="1279">
        <f t="shared" si="75"/>
        <v>0</v>
      </c>
      <c r="AC81" s="1279">
        <f t="shared" si="76"/>
        <v>0</v>
      </c>
      <c r="AD81" s="1279">
        <f t="shared" si="77"/>
        <v>0</v>
      </c>
      <c r="AE81" s="1279"/>
      <c r="AF81" s="1279"/>
      <c r="AG81" s="1279"/>
      <c r="AH81" s="1279">
        <f t="shared" si="62"/>
        <v>0</v>
      </c>
      <c r="AI81" s="1279"/>
      <c r="AJ81" s="1279"/>
      <c r="AK81" s="1279"/>
      <c r="AL81" s="1279">
        <f t="shared" si="63"/>
        <v>0</v>
      </c>
      <c r="AM81" s="1279">
        <f t="shared" si="91"/>
        <v>0</v>
      </c>
      <c r="AN81" s="1279">
        <f t="shared" si="92"/>
        <v>0</v>
      </c>
      <c r="AO81" s="1279">
        <f t="shared" si="93"/>
        <v>0</v>
      </c>
      <c r="AP81" s="1279">
        <f t="shared" si="78"/>
        <v>0</v>
      </c>
      <c r="AQ81" s="1279">
        <f t="shared" si="79"/>
        <v>0</v>
      </c>
      <c r="AR81" s="1279">
        <f t="shared" si="80"/>
        <v>0</v>
      </c>
      <c r="AS81" s="1279">
        <f t="shared" si="81"/>
        <v>0</v>
      </c>
      <c r="AT81" s="1279">
        <f t="shared" si="82"/>
        <v>0</v>
      </c>
      <c r="AU81" s="1280" t="str">
        <f t="shared" si="83"/>
        <v xml:space="preserve"> </v>
      </c>
      <c r="AV81" s="1280" t="str">
        <f t="shared" si="84"/>
        <v xml:space="preserve"> </v>
      </c>
      <c r="AW81" s="1280" t="str">
        <f t="shared" si="85"/>
        <v xml:space="preserve"> </v>
      </c>
      <c r="AX81" s="1280" t="str">
        <f t="shared" si="86"/>
        <v xml:space="preserve"> </v>
      </c>
      <c r="AY81" s="1279">
        <f t="shared" si="87"/>
        <v>0</v>
      </c>
      <c r="AZ81" s="1279">
        <f t="shared" si="88"/>
        <v>0</v>
      </c>
      <c r="BA81" s="1279">
        <f t="shared" si="89"/>
        <v>0</v>
      </c>
      <c r="BB81" s="1279">
        <f t="shared" si="90"/>
        <v>0</v>
      </c>
      <c r="BC81" s="590"/>
      <c r="BF81" s="105">
        <f t="shared" si="71"/>
        <v>0</v>
      </c>
      <c r="BP81" s="147"/>
      <c r="BT81" s="111">
        <f t="shared" si="94"/>
        <v>0</v>
      </c>
      <c r="BU81" s="111">
        <f t="shared" si="95"/>
        <v>0</v>
      </c>
      <c r="BV81" s="111">
        <f t="shared" si="96"/>
        <v>0</v>
      </c>
    </row>
    <row r="82" spans="1:74" s="95" customFormat="1">
      <c r="A82" s="95" t="s">
        <v>916</v>
      </c>
      <c r="B82" s="1288" t="s">
        <v>527</v>
      </c>
      <c r="C82" s="1279">
        <v>9811000</v>
      </c>
      <c r="D82" s="1279">
        <v>19726000</v>
      </c>
      <c r="E82" s="1279">
        <v>0</v>
      </c>
      <c r="F82" s="1279">
        <f t="shared" si="60"/>
        <v>29537000</v>
      </c>
      <c r="G82" s="1279"/>
      <c r="H82" s="1279"/>
      <c r="I82" s="1279"/>
      <c r="J82" s="1279">
        <f t="shared" si="61"/>
        <v>0</v>
      </c>
      <c r="K82" s="1279">
        <f t="shared" si="56"/>
        <v>9811000</v>
      </c>
      <c r="L82" s="1279">
        <f t="shared" si="57"/>
        <v>19726000</v>
      </c>
      <c r="M82" s="1279">
        <f t="shared" si="58"/>
        <v>0</v>
      </c>
      <c r="N82" s="1279">
        <f t="shared" si="59"/>
        <v>29537000</v>
      </c>
      <c r="O82" s="1279">
        <v>9811000</v>
      </c>
      <c r="P82" s="1279">
        <v>19726000</v>
      </c>
      <c r="Q82" s="1279">
        <v>0</v>
      </c>
      <c r="R82" s="1279">
        <f t="shared" si="72"/>
        <v>29537000</v>
      </c>
      <c r="S82" s="1279"/>
      <c r="T82" s="1279"/>
      <c r="U82" s="1279"/>
      <c r="V82" s="1279">
        <f t="shared" si="64"/>
        <v>0</v>
      </c>
      <c r="W82" s="1279">
        <f>-+'OSEC-CY'!H212</f>
        <v>0</v>
      </c>
      <c r="X82" s="1279">
        <f>-+'OSEC-CY'!H213</f>
        <v>-17826000</v>
      </c>
      <c r="Y82" s="1279">
        <f>-+'OSEC-CY'!H214</f>
        <v>0</v>
      </c>
      <c r="Z82" s="1279">
        <f t="shared" si="73"/>
        <v>-17826000</v>
      </c>
      <c r="AA82" s="1279">
        <f t="shared" si="74"/>
        <v>9811000</v>
      </c>
      <c r="AB82" s="1279">
        <f t="shared" si="75"/>
        <v>1900000</v>
      </c>
      <c r="AC82" s="1279">
        <f t="shared" si="76"/>
        <v>0</v>
      </c>
      <c r="AD82" s="1279">
        <f t="shared" si="77"/>
        <v>11711000</v>
      </c>
      <c r="AE82" s="1279">
        <f>+'OSEC-CY'!I212</f>
        <v>9804362.5</v>
      </c>
      <c r="AF82" s="1279">
        <f>+'OSEC-CY'!I213</f>
        <v>48000</v>
      </c>
      <c r="AG82" s="1279">
        <f>+'OSEC-CY'!I214</f>
        <v>0</v>
      </c>
      <c r="AH82" s="1279">
        <f t="shared" si="62"/>
        <v>9852362.5</v>
      </c>
      <c r="AI82" s="1279"/>
      <c r="AJ82" s="1279"/>
      <c r="AK82" s="1279"/>
      <c r="AL82" s="1279">
        <f t="shared" si="63"/>
        <v>0</v>
      </c>
      <c r="AM82" s="1279">
        <f t="shared" si="91"/>
        <v>9804362.5</v>
      </c>
      <c r="AN82" s="1279">
        <f t="shared" si="92"/>
        <v>48000</v>
      </c>
      <c r="AO82" s="1279">
        <f t="shared" si="93"/>
        <v>0</v>
      </c>
      <c r="AP82" s="1279">
        <f t="shared" si="78"/>
        <v>9852362.5</v>
      </c>
      <c r="AQ82" s="1279">
        <f t="shared" si="79"/>
        <v>6637.5</v>
      </c>
      <c r="AR82" s="1279">
        <f t="shared" si="80"/>
        <v>1852000</v>
      </c>
      <c r="AS82" s="1279">
        <f t="shared" si="81"/>
        <v>0</v>
      </c>
      <c r="AT82" s="1279">
        <f t="shared" si="82"/>
        <v>1858637.5</v>
      </c>
      <c r="AU82" s="1280">
        <f t="shared" si="83"/>
        <v>0.99932346345938228</v>
      </c>
      <c r="AV82" s="1280">
        <f t="shared" si="84"/>
        <v>2.5263157894736842E-2</v>
      </c>
      <c r="AW82" s="1280" t="str">
        <f t="shared" si="85"/>
        <v xml:space="preserve"> </v>
      </c>
      <c r="AX82" s="1280">
        <f t="shared" si="86"/>
        <v>0.84129130731790625</v>
      </c>
      <c r="AY82" s="1279">
        <f t="shared" si="87"/>
        <v>0</v>
      </c>
      <c r="AZ82" s="1279">
        <f t="shared" si="88"/>
        <v>0</v>
      </c>
      <c r="BA82" s="1279">
        <f t="shared" si="89"/>
        <v>0</v>
      </c>
      <c r="BB82" s="1279">
        <f t="shared" si="90"/>
        <v>0</v>
      </c>
      <c r="BC82" s="590"/>
      <c r="BF82" s="105">
        <f t="shared" si="71"/>
        <v>19678000</v>
      </c>
      <c r="BP82" s="147">
        <f>+'OSEC-CY'!F212</f>
        <v>9811000</v>
      </c>
      <c r="BQ82" s="95">
        <f>+'OSEC-CY'!F213</f>
        <v>19726000</v>
      </c>
      <c r="BR82" s="95">
        <f>+'OSEC-CY'!F214</f>
        <v>0</v>
      </c>
      <c r="BT82" s="111">
        <f t="shared" si="94"/>
        <v>0</v>
      </c>
      <c r="BU82" s="111">
        <f t="shared" si="95"/>
        <v>0</v>
      </c>
      <c r="BV82" s="111">
        <f t="shared" si="96"/>
        <v>0</v>
      </c>
    </row>
    <row r="83" spans="1:74" s="95" customFormat="1">
      <c r="A83" s="95" t="s">
        <v>916</v>
      </c>
      <c r="B83" s="1288" t="s">
        <v>727</v>
      </c>
      <c r="C83" s="1279">
        <v>3391000</v>
      </c>
      <c r="D83" s="1279">
        <v>12969000</v>
      </c>
      <c r="E83" s="1279">
        <v>0</v>
      </c>
      <c r="F83" s="1279">
        <f t="shared" si="60"/>
        <v>16360000</v>
      </c>
      <c r="G83" s="1279"/>
      <c r="H83" s="1279"/>
      <c r="I83" s="1279"/>
      <c r="J83" s="1279">
        <f t="shared" si="61"/>
        <v>0</v>
      </c>
      <c r="K83" s="1279">
        <f t="shared" si="56"/>
        <v>3391000</v>
      </c>
      <c r="L83" s="1279">
        <f t="shared" si="57"/>
        <v>12969000</v>
      </c>
      <c r="M83" s="1279">
        <f t="shared" si="58"/>
        <v>0</v>
      </c>
      <c r="N83" s="1279">
        <f t="shared" si="59"/>
        <v>16360000</v>
      </c>
      <c r="O83" s="1279">
        <v>3391000</v>
      </c>
      <c r="P83" s="1279">
        <v>12969000</v>
      </c>
      <c r="Q83" s="1279">
        <v>0</v>
      </c>
      <c r="R83" s="1279">
        <f t="shared" si="72"/>
        <v>16360000</v>
      </c>
      <c r="S83" s="1279"/>
      <c r="T83" s="1279"/>
      <c r="U83" s="1279"/>
      <c r="V83" s="1279">
        <f t="shared" si="64"/>
        <v>0</v>
      </c>
      <c r="W83" s="1279">
        <f>-+'OSEC-CY'!H218</f>
        <v>0</v>
      </c>
      <c r="X83" s="1279">
        <f>-+'OSEC-CY'!H219</f>
        <v>-10832100</v>
      </c>
      <c r="Y83" s="1279">
        <f>-+'OSEC-CY'!H220</f>
        <v>0</v>
      </c>
      <c r="Z83" s="1279">
        <f t="shared" si="73"/>
        <v>-10832100</v>
      </c>
      <c r="AA83" s="1279">
        <f t="shared" si="74"/>
        <v>3391000</v>
      </c>
      <c r="AB83" s="1279">
        <f t="shared" si="75"/>
        <v>2136900</v>
      </c>
      <c r="AC83" s="1279">
        <f t="shared" si="76"/>
        <v>0</v>
      </c>
      <c r="AD83" s="1279">
        <f t="shared" si="77"/>
        <v>5527900</v>
      </c>
      <c r="AE83" s="1279">
        <f>+'OSEC-CY'!I218</f>
        <v>3385287.5</v>
      </c>
      <c r="AF83" s="1279">
        <f>+'OSEC-CY'!I219</f>
        <v>22000</v>
      </c>
      <c r="AG83" s="1279">
        <f>+'OSEC-CY'!I220</f>
        <v>0</v>
      </c>
      <c r="AH83" s="1279">
        <f t="shared" si="62"/>
        <v>3407287.5</v>
      </c>
      <c r="AI83" s="1279"/>
      <c r="AJ83" s="1279"/>
      <c r="AK83" s="1279"/>
      <c r="AL83" s="1279">
        <f t="shared" si="63"/>
        <v>0</v>
      </c>
      <c r="AM83" s="1279">
        <f t="shared" si="91"/>
        <v>3385287.5</v>
      </c>
      <c r="AN83" s="1279">
        <f t="shared" si="92"/>
        <v>22000</v>
      </c>
      <c r="AO83" s="1279">
        <f t="shared" si="93"/>
        <v>0</v>
      </c>
      <c r="AP83" s="1279">
        <f t="shared" si="78"/>
        <v>3407287.5</v>
      </c>
      <c r="AQ83" s="1279">
        <f t="shared" si="79"/>
        <v>5712.5</v>
      </c>
      <c r="AR83" s="1279">
        <f t="shared" si="80"/>
        <v>2114900</v>
      </c>
      <c r="AS83" s="1279">
        <f t="shared" si="81"/>
        <v>0</v>
      </c>
      <c r="AT83" s="1279">
        <f t="shared" si="82"/>
        <v>2120612.5</v>
      </c>
      <c r="AU83" s="1280">
        <f t="shared" si="83"/>
        <v>0.99831539368917721</v>
      </c>
      <c r="AV83" s="1280">
        <f t="shared" si="84"/>
        <v>1.0295287566100425E-2</v>
      </c>
      <c r="AW83" s="1280" t="str">
        <f t="shared" si="85"/>
        <v xml:space="preserve"> </v>
      </c>
      <c r="AX83" s="1280">
        <f t="shared" si="86"/>
        <v>0.6163800900884604</v>
      </c>
      <c r="AY83" s="1279">
        <f t="shared" si="87"/>
        <v>0</v>
      </c>
      <c r="AZ83" s="1279">
        <f t="shared" si="88"/>
        <v>0</v>
      </c>
      <c r="BA83" s="1279">
        <f t="shared" si="89"/>
        <v>0</v>
      </c>
      <c r="BB83" s="1279">
        <f t="shared" si="90"/>
        <v>0</v>
      </c>
      <c r="BC83" s="590"/>
      <c r="BF83" s="105">
        <f t="shared" si="71"/>
        <v>12947000</v>
      </c>
      <c r="BP83" s="147">
        <f>+'OSEC-CY'!F218</f>
        <v>3391000</v>
      </c>
      <c r="BQ83" s="95">
        <f>+'OSEC-CY'!F219</f>
        <v>12969000</v>
      </c>
      <c r="BR83" s="95">
        <f>+'OSEC-CY'!F220</f>
        <v>0</v>
      </c>
      <c r="BT83" s="111">
        <f t="shared" si="94"/>
        <v>0</v>
      </c>
      <c r="BU83" s="111">
        <f t="shared" si="95"/>
        <v>0</v>
      </c>
      <c r="BV83" s="111">
        <f t="shared" si="96"/>
        <v>0</v>
      </c>
    </row>
    <row r="84" spans="1:74" s="95" customFormat="1">
      <c r="A84" s="95" t="s">
        <v>916</v>
      </c>
      <c r="B84" s="1288" t="s">
        <v>528</v>
      </c>
      <c r="C84" s="1279">
        <v>3486000</v>
      </c>
      <c r="D84" s="1279">
        <v>5959000</v>
      </c>
      <c r="E84" s="1279">
        <v>0</v>
      </c>
      <c r="F84" s="1279">
        <f t="shared" si="60"/>
        <v>9445000</v>
      </c>
      <c r="G84" s="1279"/>
      <c r="H84" s="1279"/>
      <c r="I84" s="1279"/>
      <c r="J84" s="1279">
        <f t="shared" si="61"/>
        <v>0</v>
      </c>
      <c r="K84" s="1279">
        <f t="shared" si="56"/>
        <v>3486000</v>
      </c>
      <c r="L84" s="1279">
        <f t="shared" si="57"/>
        <v>5959000</v>
      </c>
      <c r="M84" s="1279">
        <f t="shared" si="58"/>
        <v>0</v>
      </c>
      <c r="N84" s="1279">
        <f t="shared" si="59"/>
        <v>9445000</v>
      </c>
      <c r="O84" s="1279">
        <v>3486000</v>
      </c>
      <c r="P84" s="1279">
        <v>5959000</v>
      </c>
      <c r="Q84" s="1279">
        <v>0</v>
      </c>
      <c r="R84" s="1279">
        <f t="shared" si="72"/>
        <v>9445000</v>
      </c>
      <c r="S84" s="1279"/>
      <c r="T84" s="1279"/>
      <c r="U84" s="1279"/>
      <c r="V84" s="1279">
        <f t="shared" si="64"/>
        <v>0</v>
      </c>
      <c r="W84" s="1279">
        <f>-+'OSEC-CY'!H224</f>
        <v>0</v>
      </c>
      <c r="X84" s="1279">
        <f>-+'OSEC-CY'!H225</f>
        <v>-5259000</v>
      </c>
      <c r="Y84" s="1279">
        <f>-+'OSEC-CY'!H226</f>
        <v>0</v>
      </c>
      <c r="Z84" s="1279">
        <f t="shared" si="73"/>
        <v>-5259000</v>
      </c>
      <c r="AA84" s="1279">
        <f t="shared" si="74"/>
        <v>3486000</v>
      </c>
      <c r="AB84" s="1279">
        <f t="shared" si="75"/>
        <v>700000</v>
      </c>
      <c r="AC84" s="1279">
        <f t="shared" si="76"/>
        <v>0</v>
      </c>
      <c r="AD84" s="1279">
        <f t="shared" si="77"/>
        <v>4186000</v>
      </c>
      <c r="AE84" s="1279">
        <f>+'OSEC-CY'!I224</f>
        <v>3480312.5</v>
      </c>
      <c r="AF84" s="1279">
        <f>+'OSEC-CY'!I225</f>
        <v>22000</v>
      </c>
      <c r="AG84" s="1279">
        <f>+'OSEC-CY'!I226</f>
        <v>0</v>
      </c>
      <c r="AH84" s="1279">
        <f t="shared" si="62"/>
        <v>3502312.5</v>
      </c>
      <c r="AI84" s="1279"/>
      <c r="AJ84" s="1279"/>
      <c r="AK84" s="1279"/>
      <c r="AL84" s="1279">
        <f t="shared" si="63"/>
        <v>0</v>
      </c>
      <c r="AM84" s="1279">
        <f t="shared" si="91"/>
        <v>3480312.5</v>
      </c>
      <c r="AN84" s="1279">
        <f t="shared" si="92"/>
        <v>22000</v>
      </c>
      <c r="AO84" s="1279">
        <f t="shared" si="93"/>
        <v>0</v>
      </c>
      <c r="AP84" s="1279">
        <f t="shared" si="78"/>
        <v>3502312.5</v>
      </c>
      <c r="AQ84" s="1279">
        <f t="shared" si="79"/>
        <v>5687.5</v>
      </c>
      <c r="AR84" s="1279">
        <f t="shared" si="80"/>
        <v>678000</v>
      </c>
      <c r="AS84" s="1279">
        <f t="shared" si="81"/>
        <v>0</v>
      </c>
      <c r="AT84" s="1279">
        <f t="shared" si="82"/>
        <v>683687.5</v>
      </c>
      <c r="AU84" s="1280">
        <f t="shared" si="83"/>
        <v>0.99836847389558236</v>
      </c>
      <c r="AV84" s="1280">
        <f t="shared" si="84"/>
        <v>3.1428571428571431E-2</v>
      </c>
      <c r="AW84" s="1280" t="str">
        <f t="shared" si="85"/>
        <v xml:space="preserve"> </v>
      </c>
      <c r="AX84" s="1280">
        <f t="shared" si="86"/>
        <v>0.83667283803153369</v>
      </c>
      <c r="AY84" s="1279">
        <f t="shared" si="87"/>
        <v>0</v>
      </c>
      <c r="AZ84" s="1279">
        <f t="shared" si="88"/>
        <v>0</v>
      </c>
      <c r="BA84" s="1279">
        <f t="shared" si="89"/>
        <v>0</v>
      </c>
      <c r="BB84" s="1279">
        <f t="shared" si="90"/>
        <v>0</v>
      </c>
      <c r="BC84" s="590"/>
      <c r="BF84" s="105">
        <f t="shared" si="71"/>
        <v>5937000</v>
      </c>
      <c r="BP84" s="147">
        <f>+'OSEC-CY'!F224</f>
        <v>3486000</v>
      </c>
      <c r="BQ84" s="95">
        <f>+'OSEC-CY'!F225</f>
        <v>5959000</v>
      </c>
      <c r="BR84" s="95">
        <f>+'OSEC-CY'!F226</f>
        <v>0</v>
      </c>
      <c r="BT84" s="111">
        <f t="shared" si="94"/>
        <v>0</v>
      </c>
      <c r="BU84" s="111">
        <f t="shared" si="95"/>
        <v>0</v>
      </c>
      <c r="BV84" s="111">
        <f t="shared" si="96"/>
        <v>0</v>
      </c>
    </row>
    <row r="85" spans="1:74" s="95" customFormat="1">
      <c r="A85" s="95" t="s">
        <v>916</v>
      </c>
      <c r="B85" s="1288" t="s">
        <v>529</v>
      </c>
      <c r="C85" s="1279">
        <v>0</v>
      </c>
      <c r="D85" s="1279">
        <v>5643000</v>
      </c>
      <c r="E85" s="1279">
        <v>0</v>
      </c>
      <c r="F85" s="1279">
        <f t="shared" si="60"/>
        <v>5643000</v>
      </c>
      <c r="G85" s="1279"/>
      <c r="H85" s="1279"/>
      <c r="I85" s="1279"/>
      <c r="J85" s="1279">
        <f t="shared" si="61"/>
        <v>0</v>
      </c>
      <c r="K85" s="1279">
        <f t="shared" si="56"/>
        <v>0</v>
      </c>
      <c r="L85" s="1279">
        <f t="shared" si="57"/>
        <v>5643000</v>
      </c>
      <c r="M85" s="1279">
        <f t="shared" si="58"/>
        <v>0</v>
      </c>
      <c r="N85" s="1279">
        <f t="shared" si="59"/>
        <v>5643000</v>
      </c>
      <c r="O85" s="1279">
        <v>0</v>
      </c>
      <c r="P85" s="1279">
        <v>5643000</v>
      </c>
      <c r="Q85" s="1279">
        <v>0</v>
      </c>
      <c r="R85" s="1279">
        <f t="shared" si="72"/>
        <v>5643000</v>
      </c>
      <c r="S85" s="1279"/>
      <c r="T85" s="1279"/>
      <c r="U85" s="1279"/>
      <c r="V85" s="1279">
        <f t="shared" si="64"/>
        <v>0</v>
      </c>
      <c r="W85" s="1279">
        <f>-+'OSEC-CY'!H230</f>
        <v>0</v>
      </c>
      <c r="X85" s="1279">
        <f>-+'OSEC-CY'!H231</f>
        <v>-5643000</v>
      </c>
      <c r="Y85" s="1279">
        <f>-+'OSEC-CY'!H232</f>
        <v>0</v>
      </c>
      <c r="Z85" s="1279">
        <f t="shared" si="73"/>
        <v>-5643000</v>
      </c>
      <c r="AA85" s="1279">
        <f t="shared" si="74"/>
        <v>0</v>
      </c>
      <c r="AB85" s="1279">
        <f t="shared" si="75"/>
        <v>0</v>
      </c>
      <c r="AC85" s="1279">
        <f t="shared" si="76"/>
        <v>0</v>
      </c>
      <c r="AD85" s="1279">
        <f t="shared" si="77"/>
        <v>0</v>
      </c>
      <c r="AE85" s="1279">
        <f>+'OSEC-CY'!I230</f>
        <v>0</v>
      </c>
      <c r="AF85" s="1279">
        <f>+'OSEC-CY'!I231</f>
        <v>0</v>
      </c>
      <c r="AG85" s="1279">
        <f>+'OSEC-CY'!I232</f>
        <v>0</v>
      </c>
      <c r="AH85" s="1279">
        <f t="shared" si="62"/>
        <v>0</v>
      </c>
      <c r="AI85" s="1279"/>
      <c r="AJ85" s="1279"/>
      <c r="AK85" s="1279"/>
      <c r="AL85" s="1279">
        <f t="shared" si="63"/>
        <v>0</v>
      </c>
      <c r="AM85" s="1279">
        <f t="shared" si="91"/>
        <v>0</v>
      </c>
      <c r="AN85" s="1279">
        <f t="shared" si="92"/>
        <v>0</v>
      </c>
      <c r="AO85" s="1279">
        <f t="shared" si="93"/>
        <v>0</v>
      </c>
      <c r="AP85" s="1279">
        <f t="shared" si="78"/>
        <v>0</v>
      </c>
      <c r="AQ85" s="1279">
        <f t="shared" si="79"/>
        <v>0</v>
      </c>
      <c r="AR85" s="1279">
        <f t="shared" si="80"/>
        <v>0</v>
      </c>
      <c r="AS85" s="1279">
        <f t="shared" si="81"/>
        <v>0</v>
      </c>
      <c r="AT85" s="1279">
        <f t="shared" si="82"/>
        <v>0</v>
      </c>
      <c r="AU85" s="1280" t="str">
        <f t="shared" si="83"/>
        <v xml:space="preserve"> </v>
      </c>
      <c r="AV85" s="1280" t="str">
        <f t="shared" si="84"/>
        <v xml:space="preserve"> </v>
      </c>
      <c r="AW85" s="1280" t="str">
        <f t="shared" si="85"/>
        <v xml:space="preserve"> </v>
      </c>
      <c r="AX85" s="1280" t="str">
        <f t="shared" si="86"/>
        <v xml:space="preserve"> </v>
      </c>
      <c r="AY85" s="1279">
        <f t="shared" si="87"/>
        <v>0</v>
      </c>
      <c r="AZ85" s="1279">
        <f t="shared" si="88"/>
        <v>0</v>
      </c>
      <c r="BA85" s="1279">
        <f t="shared" si="89"/>
        <v>0</v>
      </c>
      <c r="BB85" s="1279">
        <f t="shared" si="90"/>
        <v>0</v>
      </c>
      <c r="BC85" s="590"/>
      <c r="BF85" s="105">
        <f t="shared" si="71"/>
        <v>5643000</v>
      </c>
      <c r="BP85" s="147">
        <f>+'OSEC-CY'!F230</f>
        <v>0</v>
      </c>
      <c r="BQ85" s="95">
        <f>+'OSEC-CY'!F231</f>
        <v>5643000</v>
      </c>
      <c r="BR85" s="95">
        <f>+'OSEC-CY'!F232</f>
        <v>0</v>
      </c>
      <c r="BT85" s="111">
        <f t="shared" si="94"/>
        <v>0</v>
      </c>
      <c r="BU85" s="111">
        <f t="shared" si="95"/>
        <v>0</v>
      </c>
      <c r="BV85" s="111">
        <f t="shared" si="96"/>
        <v>0</v>
      </c>
    </row>
    <row r="86" spans="1:74" s="95" customFormat="1">
      <c r="A86" s="95" t="s">
        <v>916</v>
      </c>
      <c r="B86" s="1288" t="s">
        <v>530</v>
      </c>
      <c r="C86" s="1279">
        <v>0</v>
      </c>
      <c r="D86" s="1279">
        <v>9910000</v>
      </c>
      <c r="E86" s="1279">
        <v>0</v>
      </c>
      <c r="F86" s="1279">
        <f t="shared" si="60"/>
        <v>9910000</v>
      </c>
      <c r="G86" s="1279"/>
      <c r="H86" s="1279"/>
      <c r="I86" s="1279"/>
      <c r="J86" s="1279">
        <f t="shared" si="61"/>
        <v>0</v>
      </c>
      <c r="K86" s="1279">
        <f t="shared" si="56"/>
        <v>0</v>
      </c>
      <c r="L86" s="1279">
        <f t="shared" si="57"/>
        <v>9910000</v>
      </c>
      <c r="M86" s="1279">
        <f t="shared" si="58"/>
        <v>0</v>
      </c>
      <c r="N86" s="1279">
        <f t="shared" si="59"/>
        <v>9910000</v>
      </c>
      <c r="O86" s="1279">
        <v>0</v>
      </c>
      <c r="P86" s="1279">
        <v>9910000</v>
      </c>
      <c r="Q86" s="1279">
        <v>0</v>
      </c>
      <c r="R86" s="1279">
        <f t="shared" si="72"/>
        <v>9910000</v>
      </c>
      <c r="S86" s="1279"/>
      <c r="T86" s="1279"/>
      <c r="U86" s="1279"/>
      <c r="V86" s="1279">
        <f t="shared" si="64"/>
        <v>0</v>
      </c>
      <c r="W86" s="1279">
        <f>-+'OSEC-CY'!H236</f>
        <v>0</v>
      </c>
      <c r="X86" s="1279">
        <f>-+'OSEC-CY'!H237</f>
        <v>-9187075.0600000005</v>
      </c>
      <c r="Y86" s="1279">
        <f>-+'OSEC-CY'!H238</f>
        <v>0</v>
      </c>
      <c r="Z86" s="1279">
        <f t="shared" si="73"/>
        <v>-9187075.0600000005</v>
      </c>
      <c r="AA86" s="1279">
        <f t="shared" si="74"/>
        <v>0</v>
      </c>
      <c r="AB86" s="1279">
        <f t="shared" si="75"/>
        <v>722924.93999999948</v>
      </c>
      <c r="AC86" s="1279">
        <f t="shared" si="76"/>
        <v>0</v>
      </c>
      <c r="AD86" s="1279">
        <f t="shared" si="77"/>
        <v>722924.93999999948</v>
      </c>
      <c r="AE86" s="1279">
        <f>+'OSEC-CY'!I236</f>
        <v>0</v>
      </c>
      <c r="AF86" s="1279">
        <f>+'OSEC-CY'!I237</f>
        <v>0</v>
      </c>
      <c r="AG86" s="1279">
        <f>+'OSEC-CY'!I238</f>
        <v>0</v>
      </c>
      <c r="AH86" s="1279">
        <f t="shared" si="62"/>
        <v>0</v>
      </c>
      <c r="AI86" s="1279"/>
      <c r="AJ86" s="1279"/>
      <c r="AK86" s="1279"/>
      <c r="AL86" s="1279">
        <f t="shared" si="63"/>
        <v>0</v>
      </c>
      <c r="AM86" s="1279">
        <f t="shared" si="91"/>
        <v>0</v>
      </c>
      <c r="AN86" s="1279">
        <f t="shared" si="92"/>
        <v>0</v>
      </c>
      <c r="AO86" s="1279">
        <f t="shared" si="93"/>
        <v>0</v>
      </c>
      <c r="AP86" s="1279">
        <f t="shared" si="78"/>
        <v>0</v>
      </c>
      <c r="AQ86" s="1279">
        <f t="shared" si="79"/>
        <v>0</v>
      </c>
      <c r="AR86" s="1279">
        <f t="shared" si="80"/>
        <v>722924.93999999948</v>
      </c>
      <c r="AS86" s="1279">
        <f t="shared" si="81"/>
        <v>0</v>
      </c>
      <c r="AT86" s="1279">
        <f t="shared" si="82"/>
        <v>722924.93999999948</v>
      </c>
      <c r="AU86" s="1280" t="str">
        <f t="shared" si="83"/>
        <v xml:space="preserve"> </v>
      </c>
      <c r="AV86" s="1280">
        <f t="shared" si="84"/>
        <v>0</v>
      </c>
      <c r="AW86" s="1280" t="str">
        <f t="shared" si="85"/>
        <v xml:space="preserve"> </v>
      </c>
      <c r="AX86" s="1280">
        <f t="shared" si="86"/>
        <v>0</v>
      </c>
      <c r="AY86" s="1279">
        <f t="shared" si="87"/>
        <v>0</v>
      </c>
      <c r="AZ86" s="1279">
        <f t="shared" si="88"/>
        <v>0</v>
      </c>
      <c r="BA86" s="1279">
        <f t="shared" si="89"/>
        <v>0</v>
      </c>
      <c r="BB86" s="1279">
        <f t="shared" si="90"/>
        <v>0</v>
      </c>
      <c r="BC86" s="590"/>
      <c r="BF86" s="105">
        <f t="shared" si="71"/>
        <v>9910000</v>
      </c>
      <c r="BP86" s="147">
        <f>+'OSEC-CY'!F236</f>
        <v>0</v>
      </c>
      <c r="BQ86" s="95">
        <f>+'OSEC-CY'!F237</f>
        <v>9910000</v>
      </c>
      <c r="BR86" s="95">
        <f>+'OSEC-CY'!F238</f>
        <v>0</v>
      </c>
      <c r="BT86" s="111">
        <f t="shared" si="94"/>
        <v>0</v>
      </c>
      <c r="BU86" s="111">
        <f t="shared" si="95"/>
        <v>0</v>
      </c>
      <c r="BV86" s="111">
        <f t="shared" si="96"/>
        <v>0</v>
      </c>
    </row>
    <row r="87" spans="1:74" s="95" customFormat="1">
      <c r="A87" s="95" t="s">
        <v>916</v>
      </c>
      <c r="B87" s="1288" t="s">
        <v>531</v>
      </c>
      <c r="C87" s="1279">
        <v>0</v>
      </c>
      <c r="D87" s="1279">
        <v>5743000</v>
      </c>
      <c r="E87" s="1279">
        <v>0</v>
      </c>
      <c r="F87" s="1279">
        <f t="shared" si="60"/>
        <v>5743000</v>
      </c>
      <c r="G87" s="1279"/>
      <c r="H87" s="1279"/>
      <c r="I87" s="1279"/>
      <c r="J87" s="1279">
        <f t="shared" si="61"/>
        <v>0</v>
      </c>
      <c r="K87" s="1279">
        <f t="shared" si="56"/>
        <v>0</v>
      </c>
      <c r="L87" s="1279">
        <f t="shared" si="57"/>
        <v>5743000</v>
      </c>
      <c r="M87" s="1279">
        <f t="shared" si="58"/>
        <v>0</v>
      </c>
      <c r="N87" s="1279">
        <f t="shared" si="59"/>
        <v>5743000</v>
      </c>
      <c r="O87" s="1279">
        <v>0</v>
      </c>
      <c r="P87" s="1279">
        <v>5743000</v>
      </c>
      <c r="Q87" s="1279">
        <v>0</v>
      </c>
      <c r="R87" s="1279">
        <f t="shared" si="72"/>
        <v>5743000</v>
      </c>
      <c r="S87" s="1279"/>
      <c r="T87" s="1279"/>
      <c r="U87" s="1279"/>
      <c r="V87" s="1279">
        <f t="shared" si="64"/>
        <v>0</v>
      </c>
      <c r="W87" s="1279">
        <f>-+'OSEC-CY'!H242</f>
        <v>0</v>
      </c>
      <c r="X87" s="1279">
        <f>-+'OSEC-CY'!H243</f>
        <v>-5743000</v>
      </c>
      <c r="Y87" s="1279">
        <f>-+'OSEC-CY'!H244</f>
        <v>0</v>
      </c>
      <c r="Z87" s="1279">
        <f t="shared" si="73"/>
        <v>-5743000</v>
      </c>
      <c r="AA87" s="1279">
        <f t="shared" si="74"/>
        <v>0</v>
      </c>
      <c r="AB87" s="1279">
        <f t="shared" si="75"/>
        <v>0</v>
      </c>
      <c r="AC87" s="1279">
        <f t="shared" si="76"/>
        <v>0</v>
      </c>
      <c r="AD87" s="1279">
        <f t="shared" si="77"/>
        <v>0</v>
      </c>
      <c r="AE87" s="1279">
        <f>+'OSEC-CY'!I242</f>
        <v>0</v>
      </c>
      <c r="AF87" s="1279">
        <f>+'OSEC-CY'!I243</f>
        <v>0</v>
      </c>
      <c r="AG87" s="1279">
        <f>+'OSEC-CY'!I244</f>
        <v>0</v>
      </c>
      <c r="AH87" s="1279">
        <f t="shared" si="62"/>
        <v>0</v>
      </c>
      <c r="AI87" s="1279"/>
      <c r="AJ87" s="1279"/>
      <c r="AK87" s="1279"/>
      <c r="AL87" s="1279">
        <f t="shared" si="63"/>
        <v>0</v>
      </c>
      <c r="AM87" s="1279">
        <f t="shared" si="91"/>
        <v>0</v>
      </c>
      <c r="AN87" s="1279">
        <f t="shared" si="92"/>
        <v>0</v>
      </c>
      <c r="AO87" s="1279">
        <f t="shared" si="93"/>
        <v>0</v>
      </c>
      <c r="AP87" s="1279">
        <f t="shared" si="78"/>
        <v>0</v>
      </c>
      <c r="AQ87" s="1279">
        <f t="shared" si="79"/>
        <v>0</v>
      </c>
      <c r="AR87" s="1279">
        <f t="shared" si="80"/>
        <v>0</v>
      </c>
      <c r="AS87" s="1279">
        <f t="shared" si="81"/>
        <v>0</v>
      </c>
      <c r="AT87" s="1279">
        <f t="shared" si="82"/>
        <v>0</v>
      </c>
      <c r="AU87" s="1280" t="str">
        <f t="shared" si="83"/>
        <v xml:space="preserve"> </v>
      </c>
      <c r="AV87" s="1280" t="str">
        <f t="shared" si="84"/>
        <v xml:space="preserve"> </v>
      </c>
      <c r="AW87" s="1280" t="str">
        <f t="shared" si="85"/>
        <v xml:space="preserve"> </v>
      </c>
      <c r="AX87" s="1280" t="str">
        <f t="shared" si="86"/>
        <v xml:space="preserve"> </v>
      </c>
      <c r="AY87" s="1279">
        <f t="shared" si="87"/>
        <v>0</v>
      </c>
      <c r="AZ87" s="1279">
        <f t="shared" si="88"/>
        <v>0</v>
      </c>
      <c r="BA87" s="1279">
        <f t="shared" si="89"/>
        <v>0</v>
      </c>
      <c r="BB87" s="1279">
        <f t="shared" si="90"/>
        <v>0</v>
      </c>
      <c r="BC87" s="590"/>
      <c r="BF87" s="105">
        <f t="shared" si="71"/>
        <v>5743000</v>
      </c>
      <c r="BP87" s="147">
        <f>+'OSEC-CY'!F242</f>
        <v>0</v>
      </c>
      <c r="BQ87" s="95">
        <f>+'OSEC-CY'!F243</f>
        <v>5743000</v>
      </c>
      <c r="BR87" s="95">
        <f>+'OSEC-CY'!F244</f>
        <v>0</v>
      </c>
      <c r="BT87" s="111">
        <f t="shared" si="94"/>
        <v>0</v>
      </c>
      <c r="BU87" s="111">
        <f t="shared" si="95"/>
        <v>0</v>
      </c>
      <c r="BV87" s="111">
        <f t="shared" si="96"/>
        <v>0</v>
      </c>
    </row>
    <row r="88" spans="1:74" s="95" customFormat="1">
      <c r="A88" s="95" t="s">
        <v>916</v>
      </c>
      <c r="B88" s="1288" t="s">
        <v>532</v>
      </c>
      <c r="C88" s="1279">
        <v>0</v>
      </c>
      <c r="D88" s="1279">
        <v>10398000</v>
      </c>
      <c r="E88" s="1279">
        <v>0</v>
      </c>
      <c r="F88" s="1279">
        <f t="shared" si="60"/>
        <v>10398000</v>
      </c>
      <c r="G88" s="1279"/>
      <c r="H88" s="1279"/>
      <c r="I88" s="1279"/>
      <c r="J88" s="1279">
        <f t="shared" si="61"/>
        <v>0</v>
      </c>
      <c r="K88" s="1279">
        <f t="shared" si="56"/>
        <v>0</v>
      </c>
      <c r="L88" s="1279">
        <f t="shared" si="57"/>
        <v>10398000</v>
      </c>
      <c r="M88" s="1279">
        <f t="shared" si="58"/>
        <v>0</v>
      </c>
      <c r="N88" s="1279">
        <f t="shared" si="59"/>
        <v>10398000</v>
      </c>
      <c r="O88" s="1279">
        <v>0</v>
      </c>
      <c r="P88" s="1279">
        <v>10398000</v>
      </c>
      <c r="Q88" s="1279">
        <v>0</v>
      </c>
      <c r="R88" s="1279">
        <f t="shared" si="72"/>
        <v>10398000</v>
      </c>
      <c r="S88" s="1279"/>
      <c r="T88" s="1279"/>
      <c r="U88" s="1279"/>
      <c r="V88" s="1279">
        <f t="shared" si="64"/>
        <v>0</v>
      </c>
      <c r="W88" s="1279">
        <f>-+'OSEC-CY'!H248</f>
        <v>0</v>
      </c>
      <c r="X88" s="1279">
        <f>-+'OSEC-CY'!H249</f>
        <v>-10398000</v>
      </c>
      <c r="Y88" s="1279">
        <f>-+'OSEC-CY'!H250</f>
        <v>0</v>
      </c>
      <c r="Z88" s="1279">
        <f t="shared" si="73"/>
        <v>-10398000</v>
      </c>
      <c r="AA88" s="1279">
        <f t="shared" si="74"/>
        <v>0</v>
      </c>
      <c r="AB88" s="1279">
        <f t="shared" si="75"/>
        <v>0</v>
      </c>
      <c r="AC88" s="1279">
        <f t="shared" si="76"/>
        <v>0</v>
      </c>
      <c r="AD88" s="1279">
        <f t="shared" si="77"/>
        <v>0</v>
      </c>
      <c r="AE88" s="1279">
        <f>+'OSEC-CY'!I248</f>
        <v>0</v>
      </c>
      <c r="AF88" s="1279">
        <f>+'OSEC-CY'!I249</f>
        <v>0</v>
      </c>
      <c r="AG88" s="1279">
        <f>+'OSEC-CY'!I250</f>
        <v>0</v>
      </c>
      <c r="AH88" s="1279">
        <f t="shared" si="62"/>
        <v>0</v>
      </c>
      <c r="AI88" s="1279"/>
      <c r="AJ88" s="1279"/>
      <c r="AK88" s="1279"/>
      <c r="AL88" s="1279">
        <f t="shared" si="63"/>
        <v>0</v>
      </c>
      <c r="AM88" s="1279">
        <f t="shared" si="91"/>
        <v>0</v>
      </c>
      <c r="AN88" s="1279">
        <f t="shared" si="92"/>
        <v>0</v>
      </c>
      <c r="AO88" s="1279">
        <f t="shared" si="93"/>
        <v>0</v>
      </c>
      <c r="AP88" s="1279">
        <f t="shared" si="78"/>
        <v>0</v>
      </c>
      <c r="AQ88" s="1279">
        <f t="shared" si="79"/>
        <v>0</v>
      </c>
      <c r="AR88" s="1279">
        <f t="shared" si="80"/>
        <v>0</v>
      </c>
      <c r="AS88" s="1279">
        <f t="shared" si="81"/>
        <v>0</v>
      </c>
      <c r="AT88" s="1279">
        <f t="shared" si="82"/>
        <v>0</v>
      </c>
      <c r="AU88" s="1280" t="str">
        <f t="shared" si="83"/>
        <v xml:space="preserve"> </v>
      </c>
      <c r="AV88" s="1280" t="str">
        <f t="shared" si="84"/>
        <v xml:space="preserve"> </v>
      </c>
      <c r="AW88" s="1280" t="str">
        <f t="shared" si="85"/>
        <v xml:space="preserve"> </v>
      </c>
      <c r="AX88" s="1280" t="str">
        <f t="shared" si="86"/>
        <v xml:space="preserve"> </v>
      </c>
      <c r="AY88" s="1279">
        <f t="shared" si="87"/>
        <v>0</v>
      </c>
      <c r="AZ88" s="1279">
        <f t="shared" si="88"/>
        <v>0</v>
      </c>
      <c r="BA88" s="1279">
        <f t="shared" si="89"/>
        <v>0</v>
      </c>
      <c r="BB88" s="1279">
        <f t="shared" si="90"/>
        <v>0</v>
      </c>
      <c r="BC88" s="590"/>
      <c r="BF88" s="105">
        <f t="shared" si="71"/>
        <v>10398000</v>
      </c>
      <c r="BP88" s="147">
        <f>+'OSEC-CY'!F248</f>
        <v>0</v>
      </c>
      <c r="BQ88" s="95">
        <f>+'OSEC-CY'!F249</f>
        <v>10398000</v>
      </c>
      <c r="BR88" s="95">
        <f>+'OSEC-CY'!F250</f>
        <v>0</v>
      </c>
      <c r="BT88" s="111">
        <f t="shared" si="94"/>
        <v>0</v>
      </c>
      <c r="BU88" s="111">
        <f t="shared" si="95"/>
        <v>0</v>
      </c>
      <c r="BV88" s="111">
        <f t="shared" si="96"/>
        <v>0</v>
      </c>
    </row>
    <row r="89" spans="1:74" s="95" customFormat="1">
      <c r="A89" s="95" t="s">
        <v>916</v>
      </c>
      <c r="B89" s="1288" t="s">
        <v>533</v>
      </c>
      <c r="C89" s="1279">
        <v>1008000</v>
      </c>
      <c r="D89" s="1279">
        <v>54806000</v>
      </c>
      <c r="E89" s="1279">
        <v>0</v>
      </c>
      <c r="F89" s="1279">
        <f t="shared" si="60"/>
        <v>55814000</v>
      </c>
      <c r="G89" s="1279"/>
      <c r="H89" s="1279"/>
      <c r="I89" s="1279"/>
      <c r="J89" s="1279">
        <f t="shared" si="61"/>
        <v>0</v>
      </c>
      <c r="K89" s="1279">
        <f t="shared" si="56"/>
        <v>1008000</v>
      </c>
      <c r="L89" s="1279">
        <f t="shared" si="57"/>
        <v>54806000</v>
      </c>
      <c r="M89" s="1279">
        <f t="shared" si="58"/>
        <v>0</v>
      </c>
      <c r="N89" s="1279">
        <f t="shared" si="59"/>
        <v>55814000</v>
      </c>
      <c r="O89" s="1279">
        <v>1008000</v>
      </c>
      <c r="P89" s="1279">
        <v>54806000</v>
      </c>
      <c r="Q89" s="1279">
        <v>0</v>
      </c>
      <c r="R89" s="1279">
        <f t="shared" si="72"/>
        <v>55814000</v>
      </c>
      <c r="S89" s="1279"/>
      <c r="T89" s="1279"/>
      <c r="U89" s="1279"/>
      <c r="V89" s="1279">
        <f t="shared" si="64"/>
        <v>0</v>
      </c>
      <c r="W89" s="1279">
        <f>-+'OSEC-CY'!H254</f>
        <v>0</v>
      </c>
      <c r="X89" s="1279">
        <f>-+'OSEC-CY'!H255</f>
        <v>-54386000</v>
      </c>
      <c r="Y89" s="1279">
        <f>-+'OSEC-CY'!H256</f>
        <v>0</v>
      </c>
      <c r="Z89" s="1279">
        <f t="shared" si="73"/>
        <v>-54386000</v>
      </c>
      <c r="AA89" s="1279">
        <f t="shared" si="74"/>
        <v>1008000</v>
      </c>
      <c r="AB89" s="1279">
        <f t="shared" si="75"/>
        <v>420000</v>
      </c>
      <c r="AC89" s="1279">
        <f t="shared" si="76"/>
        <v>0</v>
      </c>
      <c r="AD89" s="1279">
        <f t="shared" si="77"/>
        <v>1428000</v>
      </c>
      <c r="AE89" s="1279">
        <f>+'OSEC-CY'!I254</f>
        <v>1008000</v>
      </c>
      <c r="AF89" s="1279">
        <f>+'OSEC-CY'!I255</f>
        <v>33000</v>
      </c>
      <c r="AG89" s="1279">
        <f>+'OSEC-CY'!I256</f>
        <v>0</v>
      </c>
      <c r="AH89" s="1279">
        <f t="shared" si="62"/>
        <v>1041000</v>
      </c>
      <c r="AI89" s="1279"/>
      <c r="AJ89" s="1279"/>
      <c r="AK89" s="1279"/>
      <c r="AL89" s="1279">
        <f t="shared" si="63"/>
        <v>0</v>
      </c>
      <c r="AM89" s="1279">
        <f t="shared" si="91"/>
        <v>1008000</v>
      </c>
      <c r="AN89" s="1279">
        <f t="shared" si="92"/>
        <v>33000</v>
      </c>
      <c r="AO89" s="1279">
        <f t="shared" si="93"/>
        <v>0</v>
      </c>
      <c r="AP89" s="1279">
        <f t="shared" si="78"/>
        <v>1041000</v>
      </c>
      <c r="AQ89" s="1279">
        <f t="shared" si="79"/>
        <v>0</v>
      </c>
      <c r="AR89" s="1279">
        <f t="shared" si="80"/>
        <v>387000</v>
      </c>
      <c r="AS89" s="1279">
        <f t="shared" si="81"/>
        <v>0</v>
      </c>
      <c r="AT89" s="1279">
        <f t="shared" si="82"/>
        <v>387000</v>
      </c>
      <c r="AU89" s="1280">
        <f t="shared" si="83"/>
        <v>1</v>
      </c>
      <c r="AV89" s="1280">
        <f t="shared" si="84"/>
        <v>7.857142857142857E-2</v>
      </c>
      <c r="AW89" s="1280" t="str">
        <f t="shared" si="85"/>
        <v xml:space="preserve"> </v>
      </c>
      <c r="AX89" s="1280">
        <f t="shared" si="86"/>
        <v>0.72899159663865543</v>
      </c>
      <c r="AY89" s="1279">
        <f t="shared" si="87"/>
        <v>0</v>
      </c>
      <c r="AZ89" s="1279">
        <f t="shared" si="88"/>
        <v>0</v>
      </c>
      <c r="BA89" s="1279">
        <f t="shared" si="89"/>
        <v>0</v>
      </c>
      <c r="BB89" s="1279">
        <f t="shared" si="90"/>
        <v>0</v>
      </c>
      <c r="BC89" s="590"/>
      <c r="BF89" s="105">
        <f t="shared" si="71"/>
        <v>54773000</v>
      </c>
      <c r="BP89" s="147">
        <f>+'OSEC-CY'!F254</f>
        <v>1008000</v>
      </c>
      <c r="BQ89" s="95">
        <f>+'OSEC-CY'!F255</f>
        <v>54806000</v>
      </c>
      <c r="BR89" s="95">
        <f>+'OSEC-CY'!F256</f>
        <v>0</v>
      </c>
      <c r="BT89" s="111">
        <f t="shared" si="94"/>
        <v>0</v>
      </c>
      <c r="BU89" s="111">
        <f t="shared" si="95"/>
        <v>0</v>
      </c>
      <c r="BV89" s="111">
        <f t="shared" si="96"/>
        <v>0</v>
      </c>
    </row>
    <row r="90" spans="1:74" s="95" customFormat="1">
      <c r="A90" s="95" t="s">
        <v>916</v>
      </c>
      <c r="B90" s="1288" t="s">
        <v>666</v>
      </c>
      <c r="C90" s="1279">
        <v>0</v>
      </c>
      <c r="D90" s="1279">
        <v>4720000</v>
      </c>
      <c r="E90" s="1279">
        <v>0</v>
      </c>
      <c r="F90" s="1279">
        <f t="shared" si="60"/>
        <v>4720000</v>
      </c>
      <c r="G90" s="1279"/>
      <c r="H90" s="1279"/>
      <c r="I90" s="1279"/>
      <c r="J90" s="1279">
        <f t="shared" si="61"/>
        <v>0</v>
      </c>
      <c r="K90" s="1279">
        <f t="shared" si="56"/>
        <v>0</v>
      </c>
      <c r="L90" s="1279">
        <f t="shared" si="57"/>
        <v>4720000</v>
      </c>
      <c r="M90" s="1279">
        <f t="shared" si="58"/>
        <v>0</v>
      </c>
      <c r="N90" s="1279">
        <f t="shared" si="59"/>
        <v>4720000</v>
      </c>
      <c r="O90" s="1279">
        <v>0</v>
      </c>
      <c r="P90" s="1279">
        <v>4720000</v>
      </c>
      <c r="Q90" s="1279">
        <v>0</v>
      </c>
      <c r="R90" s="1279">
        <f t="shared" si="72"/>
        <v>4720000</v>
      </c>
      <c r="S90" s="1279"/>
      <c r="T90" s="1279"/>
      <c r="U90" s="1279"/>
      <c r="V90" s="1279">
        <f t="shared" si="64"/>
        <v>0</v>
      </c>
      <c r="W90" s="1279">
        <f>-+'OSEC-CY'!H260</f>
        <v>0</v>
      </c>
      <c r="X90" s="1279">
        <f>-+'OSEC-CY'!H261</f>
        <v>-4720000</v>
      </c>
      <c r="Y90" s="1279">
        <f>-+'OSEC-CY'!H262</f>
        <v>0</v>
      </c>
      <c r="Z90" s="1279">
        <f t="shared" si="73"/>
        <v>-4720000</v>
      </c>
      <c r="AA90" s="1279">
        <f t="shared" si="74"/>
        <v>0</v>
      </c>
      <c r="AB90" s="1279">
        <f t="shared" si="75"/>
        <v>0</v>
      </c>
      <c r="AC90" s="1279">
        <f t="shared" si="76"/>
        <v>0</v>
      </c>
      <c r="AD90" s="1279">
        <f t="shared" si="77"/>
        <v>0</v>
      </c>
      <c r="AE90" s="1279">
        <f>+'OSEC-CY'!I260</f>
        <v>0</v>
      </c>
      <c r="AF90" s="1279">
        <f>+'OSEC-CY'!I261</f>
        <v>0</v>
      </c>
      <c r="AG90" s="1279">
        <f>+'OSEC-CY'!I262</f>
        <v>0</v>
      </c>
      <c r="AH90" s="1279">
        <f t="shared" si="62"/>
        <v>0</v>
      </c>
      <c r="AI90" s="1279"/>
      <c r="AJ90" s="1279"/>
      <c r="AK90" s="1279"/>
      <c r="AL90" s="1279">
        <f t="shared" si="63"/>
        <v>0</v>
      </c>
      <c r="AM90" s="1279">
        <f t="shared" si="91"/>
        <v>0</v>
      </c>
      <c r="AN90" s="1279">
        <f t="shared" si="92"/>
        <v>0</v>
      </c>
      <c r="AO90" s="1279">
        <f t="shared" si="93"/>
        <v>0</v>
      </c>
      <c r="AP90" s="1279">
        <f t="shared" si="78"/>
        <v>0</v>
      </c>
      <c r="AQ90" s="1279">
        <f t="shared" si="79"/>
        <v>0</v>
      </c>
      <c r="AR90" s="1279">
        <f t="shared" si="80"/>
        <v>0</v>
      </c>
      <c r="AS90" s="1279">
        <f t="shared" si="81"/>
        <v>0</v>
      </c>
      <c r="AT90" s="1279">
        <f t="shared" si="82"/>
        <v>0</v>
      </c>
      <c r="AU90" s="1280" t="str">
        <f t="shared" si="83"/>
        <v xml:space="preserve"> </v>
      </c>
      <c r="AV90" s="1280" t="str">
        <f t="shared" si="84"/>
        <v xml:space="preserve"> </v>
      </c>
      <c r="AW90" s="1280" t="str">
        <f t="shared" si="85"/>
        <v xml:space="preserve"> </v>
      </c>
      <c r="AX90" s="1280" t="str">
        <f t="shared" si="86"/>
        <v xml:space="preserve"> </v>
      </c>
      <c r="AY90" s="1279">
        <f t="shared" si="87"/>
        <v>0</v>
      </c>
      <c r="AZ90" s="1279">
        <f t="shared" si="88"/>
        <v>0</v>
      </c>
      <c r="BA90" s="1279">
        <f t="shared" si="89"/>
        <v>0</v>
      </c>
      <c r="BB90" s="1279">
        <f t="shared" si="90"/>
        <v>0</v>
      </c>
      <c r="BC90" s="590"/>
      <c r="BF90" s="105">
        <f t="shared" si="71"/>
        <v>4720000</v>
      </c>
      <c r="BP90" s="147">
        <f>+'OSEC-CY'!F260</f>
        <v>0</v>
      </c>
      <c r="BQ90" s="95">
        <f>+'OSEC-CY'!F261</f>
        <v>4720000</v>
      </c>
      <c r="BR90" s="95">
        <f>+'OSEC-CY'!F262</f>
        <v>0</v>
      </c>
      <c r="BT90" s="111">
        <f t="shared" si="94"/>
        <v>0</v>
      </c>
      <c r="BU90" s="111">
        <f t="shared" si="95"/>
        <v>0</v>
      </c>
      <c r="BV90" s="111">
        <f t="shared" si="96"/>
        <v>0</v>
      </c>
    </row>
    <row r="91" spans="1:74" s="95" customFormat="1">
      <c r="A91" s="95" t="s">
        <v>916</v>
      </c>
      <c r="B91" s="1288" t="s">
        <v>731</v>
      </c>
      <c r="C91" s="1279"/>
      <c r="D91" s="1279">
        <v>8896000</v>
      </c>
      <c r="E91" s="1279"/>
      <c r="F91" s="1279">
        <f>SUM(C91:E91)</f>
        <v>8896000</v>
      </c>
      <c r="G91" s="1279"/>
      <c r="H91" s="1279"/>
      <c r="I91" s="1279"/>
      <c r="J91" s="1279">
        <f>SUM(G91:I91)</f>
        <v>0</v>
      </c>
      <c r="K91" s="1279">
        <f t="shared" ref="K91:M93" si="97">+C91+G91</f>
        <v>0</v>
      </c>
      <c r="L91" s="1279">
        <f t="shared" si="97"/>
        <v>8896000</v>
      </c>
      <c r="M91" s="1279">
        <f t="shared" si="97"/>
        <v>0</v>
      </c>
      <c r="N91" s="1279">
        <f>SUM(K91:M91)</f>
        <v>8896000</v>
      </c>
      <c r="O91" s="1279"/>
      <c r="P91" s="1279">
        <v>8896000</v>
      </c>
      <c r="Q91" s="1279"/>
      <c r="R91" s="1279">
        <f t="shared" si="72"/>
        <v>8896000</v>
      </c>
      <c r="S91" s="1279"/>
      <c r="T91" s="1279"/>
      <c r="U91" s="1279"/>
      <c r="V91" s="1279">
        <f>SUM(S91:U91)</f>
        <v>0</v>
      </c>
      <c r="W91" s="1279">
        <f>-+'OSEC-CY'!H278</f>
        <v>0</v>
      </c>
      <c r="X91" s="1279">
        <f>-+'OSEC-CY'!H279</f>
        <v>-8896000</v>
      </c>
      <c r="Y91" s="1279">
        <f>-+'OSEC-CY'!H280</f>
        <v>0</v>
      </c>
      <c r="Z91" s="1279">
        <f t="shared" si="73"/>
        <v>-8896000</v>
      </c>
      <c r="AA91" s="1279">
        <f t="shared" si="74"/>
        <v>0</v>
      </c>
      <c r="AB91" s="1279">
        <f t="shared" si="75"/>
        <v>0</v>
      </c>
      <c r="AC91" s="1279">
        <f t="shared" si="76"/>
        <v>0</v>
      </c>
      <c r="AD91" s="1279">
        <f t="shared" si="77"/>
        <v>0</v>
      </c>
      <c r="AE91" s="1279">
        <f>+'OSEC-CY'!I278</f>
        <v>0</v>
      </c>
      <c r="AF91" s="1279">
        <f>+'OSEC-CY'!I279</f>
        <v>0</v>
      </c>
      <c r="AG91" s="1279">
        <f>+'OSEC-CY'!I280</f>
        <v>0</v>
      </c>
      <c r="AH91" s="1279">
        <f>SUM(AE91:AG91)</f>
        <v>0</v>
      </c>
      <c r="AI91" s="1279"/>
      <c r="AJ91" s="1279"/>
      <c r="AK91" s="1279"/>
      <c r="AL91" s="1279">
        <f>SUM(AI91:AK91)</f>
        <v>0</v>
      </c>
      <c r="AM91" s="1279">
        <f t="shared" si="91"/>
        <v>0</v>
      </c>
      <c r="AN91" s="1279">
        <f t="shared" si="92"/>
        <v>0</v>
      </c>
      <c r="AO91" s="1279">
        <f t="shared" si="93"/>
        <v>0</v>
      </c>
      <c r="AP91" s="1279">
        <f t="shared" si="78"/>
        <v>0</v>
      </c>
      <c r="AQ91" s="1279">
        <f t="shared" si="79"/>
        <v>0</v>
      </c>
      <c r="AR91" s="1279">
        <f t="shared" si="80"/>
        <v>0</v>
      </c>
      <c r="AS91" s="1279">
        <f t="shared" si="81"/>
        <v>0</v>
      </c>
      <c r="AT91" s="1279">
        <f t="shared" si="82"/>
        <v>0</v>
      </c>
      <c r="AU91" s="1280" t="str">
        <f t="shared" si="83"/>
        <v xml:space="preserve"> </v>
      </c>
      <c r="AV91" s="1280" t="str">
        <f t="shared" si="84"/>
        <v xml:space="preserve"> </v>
      </c>
      <c r="AW91" s="1280" t="str">
        <f t="shared" si="85"/>
        <v xml:space="preserve"> </v>
      </c>
      <c r="AX91" s="1280" t="str">
        <f t="shared" si="86"/>
        <v xml:space="preserve"> </v>
      </c>
      <c r="AY91" s="1279">
        <f t="shared" si="87"/>
        <v>0</v>
      </c>
      <c r="AZ91" s="1279">
        <f t="shared" si="88"/>
        <v>0</v>
      </c>
      <c r="BA91" s="1279">
        <f t="shared" si="89"/>
        <v>0</v>
      </c>
      <c r="BB91" s="1279">
        <f t="shared" si="90"/>
        <v>0</v>
      </c>
      <c r="BC91" s="590"/>
      <c r="BF91" s="105">
        <f t="shared" si="71"/>
        <v>8896000</v>
      </c>
      <c r="BP91" s="147">
        <f>+'OSEC-CY'!F278</f>
        <v>0</v>
      </c>
      <c r="BQ91" s="95">
        <f>+'OSEC-CY'!F279</f>
        <v>8896000</v>
      </c>
      <c r="BR91" s="95">
        <f>+'OSEC-CY'!F280</f>
        <v>0</v>
      </c>
      <c r="BT91" s="111">
        <f t="shared" si="94"/>
        <v>0</v>
      </c>
      <c r="BU91" s="111">
        <f t="shared" si="95"/>
        <v>0</v>
      </c>
      <c r="BV91" s="111">
        <f t="shared" si="96"/>
        <v>0</v>
      </c>
    </row>
    <row r="92" spans="1:74" s="95" customFormat="1">
      <c r="A92" s="95" t="s">
        <v>916</v>
      </c>
      <c r="B92" s="1288" t="s">
        <v>728</v>
      </c>
      <c r="C92" s="1279"/>
      <c r="D92" s="1279">
        <v>2725000</v>
      </c>
      <c r="E92" s="1279"/>
      <c r="F92" s="1279">
        <f>SUM(C92:E92)</f>
        <v>2725000</v>
      </c>
      <c r="G92" s="1279"/>
      <c r="H92" s="1279"/>
      <c r="I92" s="1279"/>
      <c r="J92" s="1279">
        <f>SUM(G92:I92)</f>
        <v>0</v>
      </c>
      <c r="K92" s="1279">
        <f t="shared" si="97"/>
        <v>0</v>
      </c>
      <c r="L92" s="1279">
        <f t="shared" si="97"/>
        <v>2725000</v>
      </c>
      <c r="M92" s="1279">
        <f t="shared" si="97"/>
        <v>0</v>
      </c>
      <c r="N92" s="1279">
        <f>SUM(K92:M92)</f>
        <v>2725000</v>
      </c>
      <c r="O92" s="1279"/>
      <c r="P92" s="1279">
        <v>2725000</v>
      </c>
      <c r="Q92" s="1279"/>
      <c r="R92" s="1279">
        <f t="shared" si="72"/>
        <v>2725000</v>
      </c>
      <c r="S92" s="1279"/>
      <c r="T92" s="1279"/>
      <c r="U92" s="1279"/>
      <c r="V92" s="1279">
        <f>SUM(S92:U92)</f>
        <v>0</v>
      </c>
      <c r="W92" s="1279">
        <f>-+'OSEC-CY'!H272</f>
        <v>0</v>
      </c>
      <c r="X92" s="1279">
        <f>-+'OSEC-CY'!H273</f>
        <v>-2725000</v>
      </c>
      <c r="Y92" s="1279">
        <f>-+'OSEC-CY'!H274</f>
        <v>0</v>
      </c>
      <c r="Z92" s="1279">
        <f t="shared" si="73"/>
        <v>-2725000</v>
      </c>
      <c r="AA92" s="1279">
        <f t="shared" si="74"/>
        <v>0</v>
      </c>
      <c r="AB92" s="1279">
        <f t="shared" si="75"/>
        <v>0</v>
      </c>
      <c r="AC92" s="1279">
        <f t="shared" si="76"/>
        <v>0</v>
      </c>
      <c r="AD92" s="1279">
        <f t="shared" si="77"/>
        <v>0</v>
      </c>
      <c r="AE92" s="1279">
        <f>+'OSEC-CY'!I272</f>
        <v>0</v>
      </c>
      <c r="AF92" s="1279">
        <f>+'OSEC-CY'!I273</f>
        <v>0</v>
      </c>
      <c r="AG92" s="1279">
        <f>+'OSEC-CY'!I274</f>
        <v>0</v>
      </c>
      <c r="AH92" s="1279">
        <f>SUM(AE92:AG92)</f>
        <v>0</v>
      </c>
      <c r="AI92" s="1279"/>
      <c r="AJ92" s="1279"/>
      <c r="AK92" s="1279"/>
      <c r="AL92" s="1279">
        <f>SUM(AI92:AK92)</f>
        <v>0</v>
      </c>
      <c r="AM92" s="1279">
        <f t="shared" si="91"/>
        <v>0</v>
      </c>
      <c r="AN92" s="1279">
        <f t="shared" si="92"/>
        <v>0</v>
      </c>
      <c r="AO92" s="1279">
        <f t="shared" si="93"/>
        <v>0</v>
      </c>
      <c r="AP92" s="1279">
        <f t="shared" si="78"/>
        <v>0</v>
      </c>
      <c r="AQ92" s="1279">
        <f t="shared" si="79"/>
        <v>0</v>
      </c>
      <c r="AR92" s="1279">
        <f t="shared" si="80"/>
        <v>0</v>
      </c>
      <c r="AS92" s="1279">
        <f t="shared" si="81"/>
        <v>0</v>
      </c>
      <c r="AT92" s="1279">
        <f t="shared" si="82"/>
        <v>0</v>
      </c>
      <c r="AU92" s="1280" t="str">
        <f t="shared" si="83"/>
        <v xml:space="preserve"> </v>
      </c>
      <c r="AV92" s="1280" t="str">
        <f t="shared" si="84"/>
        <v xml:space="preserve"> </v>
      </c>
      <c r="AW92" s="1280" t="str">
        <f t="shared" si="85"/>
        <v xml:space="preserve"> </v>
      </c>
      <c r="AX92" s="1280" t="str">
        <f t="shared" si="86"/>
        <v xml:space="preserve"> </v>
      </c>
      <c r="AY92" s="1279">
        <f t="shared" si="87"/>
        <v>0</v>
      </c>
      <c r="AZ92" s="1279">
        <f t="shared" si="88"/>
        <v>0</v>
      </c>
      <c r="BA92" s="1279">
        <f t="shared" si="89"/>
        <v>0</v>
      </c>
      <c r="BB92" s="1279">
        <f t="shared" si="90"/>
        <v>0</v>
      </c>
      <c r="BC92" s="590"/>
      <c r="BF92" s="105">
        <f t="shared" si="71"/>
        <v>2725000</v>
      </c>
      <c r="BP92" s="147">
        <f>+'OSEC-CY'!F272</f>
        <v>0</v>
      </c>
      <c r="BQ92" s="95">
        <f>+'OSEC-CY'!F273</f>
        <v>2725000</v>
      </c>
      <c r="BR92" s="95">
        <f>+'OSEC-CY'!F274</f>
        <v>0</v>
      </c>
      <c r="BT92" s="111">
        <f t="shared" si="94"/>
        <v>0</v>
      </c>
      <c r="BU92" s="111">
        <f t="shared" si="95"/>
        <v>0</v>
      </c>
      <c r="BV92" s="111">
        <f t="shared" si="96"/>
        <v>0</v>
      </c>
    </row>
    <row r="93" spans="1:74" s="95" customFormat="1">
      <c r="A93" s="95" t="s">
        <v>916</v>
      </c>
      <c r="B93" s="1288" t="s">
        <v>732</v>
      </c>
      <c r="C93" s="1279"/>
      <c r="D93" s="1279">
        <v>15221000</v>
      </c>
      <c r="E93" s="1279"/>
      <c r="F93" s="1279">
        <f>SUM(C93:E93)</f>
        <v>15221000</v>
      </c>
      <c r="G93" s="1279"/>
      <c r="H93" s="1279"/>
      <c r="I93" s="1279"/>
      <c r="J93" s="1279">
        <f>SUM(G93:I93)</f>
        <v>0</v>
      </c>
      <c r="K93" s="1279">
        <f t="shared" si="97"/>
        <v>0</v>
      </c>
      <c r="L93" s="1279">
        <f t="shared" si="97"/>
        <v>15221000</v>
      </c>
      <c r="M93" s="1279">
        <f t="shared" si="97"/>
        <v>0</v>
      </c>
      <c r="N93" s="1279">
        <f>SUM(K93:M93)</f>
        <v>15221000</v>
      </c>
      <c r="O93" s="1279"/>
      <c r="P93" s="1279">
        <v>15221000</v>
      </c>
      <c r="Q93" s="1279"/>
      <c r="R93" s="1279">
        <f t="shared" si="72"/>
        <v>15221000</v>
      </c>
      <c r="S93" s="1279"/>
      <c r="T93" s="1279"/>
      <c r="U93" s="1279"/>
      <c r="V93" s="1279">
        <f>SUM(S93:U93)</f>
        <v>0</v>
      </c>
      <c r="W93" s="1279">
        <f>-+'OSEC-CY'!H266</f>
        <v>0</v>
      </c>
      <c r="X93" s="1279">
        <f>-+'OSEC-CY'!H267</f>
        <v>-15221000</v>
      </c>
      <c r="Y93" s="1279">
        <f>-+'OSEC-CY'!H268</f>
        <v>0</v>
      </c>
      <c r="Z93" s="1279">
        <f t="shared" si="73"/>
        <v>-15221000</v>
      </c>
      <c r="AA93" s="1279">
        <f t="shared" si="74"/>
        <v>0</v>
      </c>
      <c r="AB93" s="1279">
        <f t="shared" si="75"/>
        <v>0</v>
      </c>
      <c r="AC93" s="1279">
        <f t="shared" si="76"/>
        <v>0</v>
      </c>
      <c r="AD93" s="1279">
        <f t="shared" si="77"/>
        <v>0</v>
      </c>
      <c r="AE93" s="1279">
        <f>+'OSEC-CY'!I266</f>
        <v>0</v>
      </c>
      <c r="AF93" s="1279">
        <f>+'OSEC-CY'!I267</f>
        <v>0</v>
      </c>
      <c r="AG93" s="1279">
        <f>+'OSEC-CY'!I268</f>
        <v>0</v>
      </c>
      <c r="AH93" s="1279">
        <f>SUM(AE93:AG93)</f>
        <v>0</v>
      </c>
      <c r="AI93" s="1279"/>
      <c r="AJ93" s="1279"/>
      <c r="AK93" s="1279"/>
      <c r="AL93" s="1279">
        <f>SUM(AI93:AK93)</f>
        <v>0</v>
      </c>
      <c r="AM93" s="1279">
        <f t="shared" si="91"/>
        <v>0</v>
      </c>
      <c r="AN93" s="1279">
        <f t="shared" si="92"/>
        <v>0</v>
      </c>
      <c r="AO93" s="1279">
        <f t="shared" si="93"/>
        <v>0</v>
      </c>
      <c r="AP93" s="1279">
        <f t="shared" si="78"/>
        <v>0</v>
      </c>
      <c r="AQ93" s="1279">
        <f t="shared" si="79"/>
        <v>0</v>
      </c>
      <c r="AR93" s="1279">
        <f t="shared" si="80"/>
        <v>0</v>
      </c>
      <c r="AS93" s="1279">
        <f t="shared" si="81"/>
        <v>0</v>
      </c>
      <c r="AT93" s="1279">
        <f t="shared" si="82"/>
        <v>0</v>
      </c>
      <c r="AU93" s="1280" t="str">
        <f t="shared" si="83"/>
        <v xml:space="preserve"> </v>
      </c>
      <c r="AV93" s="1280" t="str">
        <f t="shared" si="84"/>
        <v xml:space="preserve"> </v>
      </c>
      <c r="AW93" s="1280" t="str">
        <f t="shared" si="85"/>
        <v xml:space="preserve"> </v>
      </c>
      <c r="AX93" s="1280" t="str">
        <f t="shared" si="86"/>
        <v xml:space="preserve"> </v>
      </c>
      <c r="AY93" s="1279">
        <f t="shared" si="87"/>
        <v>0</v>
      </c>
      <c r="AZ93" s="1279">
        <f t="shared" si="88"/>
        <v>0</v>
      </c>
      <c r="BA93" s="1279">
        <f t="shared" si="89"/>
        <v>0</v>
      </c>
      <c r="BB93" s="1279">
        <f t="shared" si="90"/>
        <v>0</v>
      </c>
      <c r="BC93" s="590"/>
      <c r="BF93" s="105">
        <f t="shared" si="71"/>
        <v>15221000</v>
      </c>
      <c r="BP93" s="147">
        <f>+'OSEC-CY'!F266</f>
        <v>0</v>
      </c>
      <c r="BQ93" s="95">
        <f>+'OSEC-CY'!F267</f>
        <v>15221000</v>
      </c>
      <c r="BR93" s="95">
        <f>+'OSEC-CY'!F268</f>
        <v>0</v>
      </c>
      <c r="BT93" s="111">
        <f t="shared" si="94"/>
        <v>0</v>
      </c>
      <c r="BU93" s="111">
        <f t="shared" si="95"/>
        <v>0</v>
      </c>
      <c r="BV93" s="111">
        <f t="shared" si="96"/>
        <v>0</v>
      </c>
    </row>
    <row r="94" spans="1:74" s="95" customFormat="1" ht="72">
      <c r="A94" s="95" t="s">
        <v>916</v>
      </c>
      <c r="B94" s="1302" t="s">
        <v>729</v>
      </c>
      <c r="C94" s="1279">
        <v>0</v>
      </c>
      <c r="D94" s="1279">
        <v>22933000</v>
      </c>
      <c r="E94" s="1279">
        <v>0</v>
      </c>
      <c r="F94" s="1279">
        <f t="shared" si="60"/>
        <v>22933000</v>
      </c>
      <c r="G94" s="1279"/>
      <c r="H94" s="1279"/>
      <c r="I94" s="1279"/>
      <c r="J94" s="1279">
        <f t="shared" si="61"/>
        <v>0</v>
      </c>
      <c r="K94" s="1279">
        <f t="shared" si="56"/>
        <v>0</v>
      </c>
      <c r="L94" s="1279">
        <f t="shared" si="57"/>
        <v>22933000</v>
      </c>
      <c r="M94" s="1279">
        <f t="shared" si="58"/>
        <v>0</v>
      </c>
      <c r="N94" s="1279">
        <f t="shared" si="59"/>
        <v>22933000</v>
      </c>
      <c r="O94" s="1279">
        <v>0</v>
      </c>
      <c r="P94" s="1279">
        <v>22933000</v>
      </c>
      <c r="Q94" s="1279">
        <v>0</v>
      </c>
      <c r="R94" s="1279">
        <f t="shared" si="72"/>
        <v>22933000</v>
      </c>
      <c r="S94" s="1279"/>
      <c r="T94" s="1279"/>
      <c r="U94" s="1279"/>
      <c r="V94" s="1279">
        <f t="shared" si="64"/>
        <v>0</v>
      </c>
      <c r="W94" s="1279">
        <f>-+'OSEC-CY'!H284</f>
        <v>0</v>
      </c>
      <c r="X94" s="1279">
        <f>-+'OSEC-CY'!H285</f>
        <v>-4378660</v>
      </c>
      <c r="Y94" s="1279">
        <f>-+'OSEC-CY'!H286</f>
        <v>0</v>
      </c>
      <c r="Z94" s="1279">
        <f t="shared" si="73"/>
        <v>-4378660</v>
      </c>
      <c r="AA94" s="1279">
        <f t="shared" si="74"/>
        <v>0</v>
      </c>
      <c r="AB94" s="1279">
        <f t="shared" si="75"/>
        <v>18554340</v>
      </c>
      <c r="AC94" s="1279">
        <f t="shared" si="76"/>
        <v>0</v>
      </c>
      <c r="AD94" s="1279">
        <f t="shared" si="77"/>
        <v>18554340</v>
      </c>
      <c r="AE94" s="1279">
        <f>+'OSEC-CY'!I284</f>
        <v>0</v>
      </c>
      <c r="AF94" s="1279">
        <f>+'OSEC-CY'!I285</f>
        <v>13542006.599999998</v>
      </c>
      <c r="AG94" s="1279">
        <f>+'OSEC-CY'!I286</f>
        <v>0</v>
      </c>
      <c r="AH94" s="1279">
        <f t="shared" si="62"/>
        <v>13542006.599999998</v>
      </c>
      <c r="AI94" s="1279"/>
      <c r="AJ94" s="1279"/>
      <c r="AK94" s="1279"/>
      <c r="AL94" s="1279">
        <f t="shared" si="63"/>
        <v>0</v>
      </c>
      <c r="AM94" s="1279">
        <f t="shared" si="91"/>
        <v>0</v>
      </c>
      <c r="AN94" s="1279">
        <f t="shared" si="92"/>
        <v>13542006.599999998</v>
      </c>
      <c r="AO94" s="1279">
        <f t="shared" si="93"/>
        <v>0</v>
      </c>
      <c r="AP94" s="1279">
        <f t="shared" si="78"/>
        <v>13542006.599999998</v>
      </c>
      <c r="AQ94" s="1279">
        <f t="shared" si="79"/>
        <v>0</v>
      </c>
      <c r="AR94" s="1279">
        <f t="shared" si="80"/>
        <v>5012333.4000000022</v>
      </c>
      <c r="AS94" s="1279">
        <f t="shared" si="81"/>
        <v>0</v>
      </c>
      <c r="AT94" s="1279">
        <f t="shared" si="82"/>
        <v>5012333.4000000022</v>
      </c>
      <c r="AU94" s="1280" t="str">
        <f t="shared" si="83"/>
        <v xml:space="preserve"> </v>
      </c>
      <c r="AV94" s="1280">
        <f t="shared" si="84"/>
        <v>0.72985655108184921</v>
      </c>
      <c r="AW94" s="1280" t="str">
        <f t="shared" si="85"/>
        <v xml:space="preserve"> </v>
      </c>
      <c r="AX94" s="1280">
        <f t="shared" si="86"/>
        <v>0.72985655108184921</v>
      </c>
      <c r="AY94" s="1279">
        <f t="shared" si="87"/>
        <v>0</v>
      </c>
      <c r="AZ94" s="1279">
        <f t="shared" si="88"/>
        <v>0</v>
      </c>
      <c r="BA94" s="1279">
        <f t="shared" si="89"/>
        <v>0</v>
      </c>
      <c r="BB94" s="1279">
        <f t="shared" si="90"/>
        <v>0</v>
      </c>
      <c r="BC94" s="590"/>
      <c r="BF94" s="105">
        <f t="shared" si="71"/>
        <v>9390993.4000000022</v>
      </c>
      <c r="BP94" s="147">
        <f>+'OSEC-CY'!F284</f>
        <v>0</v>
      </c>
      <c r="BQ94" s="95">
        <f>+'OSEC-CY'!F285</f>
        <v>22933000</v>
      </c>
      <c r="BR94" s="95">
        <f>+'OSEC-CY'!F286</f>
        <v>0</v>
      </c>
      <c r="BT94" s="111">
        <f t="shared" si="94"/>
        <v>0</v>
      </c>
      <c r="BU94" s="111">
        <f t="shared" si="95"/>
        <v>0</v>
      </c>
      <c r="BV94" s="111">
        <f t="shared" si="96"/>
        <v>0</v>
      </c>
    </row>
    <row r="95" spans="1:74" s="95" customFormat="1">
      <c r="B95" s="1303"/>
      <c r="C95" s="1279"/>
      <c r="D95" s="1279"/>
      <c r="E95" s="1279"/>
      <c r="F95" s="1279"/>
      <c r="G95" s="1279"/>
      <c r="H95" s="1279"/>
      <c r="I95" s="1279"/>
      <c r="J95" s="1279">
        <f t="shared" si="61"/>
        <v>0</v>
      </c>
      <c r="K95" s="1279">
        <f t="shared" si="56"/>
        <v>0</v>
      </c>
      <c r="L95" s="1279">
        <f t="shared" si="57"/>
        <v>0</v>
      </c>
      <c r="M95" s="1279">
        <f t="shared" si="58"/>
        <v>0</v>
      </c>
      <c r="N95" s="1279">
        <f t="shared" si="59"/>
        <v>0</v>
      </c>
      <c r="O95" s="1279"/>
      <c r="P95" s="1279"/>
      <c r="Q95" s="1279"/>
      <c r="R95" s="1279">
        <f t="shared" si="72"/>
        <v>0</v>
      </c>
      <c r="S95" s="1279"/>
      <c r="T95" s="1279"/>
      <c r="U95" s="1279"/>
      <c r="V95" s="1279"/>
      <c r="W95" s="1279"/>
      <c r="X95" s="1279"/>
      <c r="Y95" s="1279"/>
      <c r="Z95" s="1279">
        <f t="shared" si="73"/>
        <v>0</v>
      </c>
      <c r="AA95" s="1279">
        <f t="shared" si="74"/>
        <v>0</v>
      </c>
      <c r="AB95" s="1279">
        <f t="shared" si="75"/>
        <v>0</v>
      </c>
      <c r="AC95" s="1279">
        <f t="shared" si="76"/>
        <v>0</v>
      </c>
      <c r="AD95" s="1279">
        <f t="shared" si="77"/>
        <v>0</v>
      </c>
      <c r="AE95" s="1279"/>
      <c r="AF95" s="1279"/>
      <c r="AG95" s="1279"/>
      <c r="AH95" s="1279"/>
      <c r="AI95" s="1279"/>
      <c r="AJ95" s="1279"/>
      <c r="AK95" s="1279"/>
      <c r="AL95" s="1279"/>
      <c r="AM95" s="1279"/>
      <c r="AN95" s="1279"/>
      <c r="AO95" s="1279"/>
      <c r="AP95" s="1279">
        <f t="shared" si="78"/>
        <v>0</v>
      </c>
      <c r="AQ95" s="1279">
        <f t="shared" si="79"/>
        <v>0</v>
      </c>
      <c r="AR95" s="1279">
        <f t="shared" si="80"/>
        <v>0</v>
      </c>
      <c r="AS95" s="1279">
        <f t="shared" si="81"/>
        <v>0</v>
      </c>
      <c r="AT95" s="1279">
        <f t="shared" si="82"/>
        <v>0</v>
      </c>
      <c r="AU95" s="1280" t="str">
        <f t="shared" si="83"/>
        <v xml:space="preserve"> </v>
      </c>
      <c r="AV95" s="1280" t="str">
        <f t="shared" si="84"/>
        <v xml:space="preserve"> </v>
      </c>
      <c r="AW95" s="1280" t="str">
        <f t="shared" si="85"/>
        <v xml:space="preserve"> </v>
      </c>
      <c r="AX95" s="1280" t="str">
        <f t="shared" si="86"/>
        <v xml:space="preserve"> </v>
      </c>
      <c r="AY95" s="1279">
        <f t="shared" si="87"/>
        <v>0</v>
      </c>
      <c r="AZ95" s="1279">
        <f t="shared" si="88"/>
        <v>0</v>
      </c>
      <c r="BA95" s="1279">
        <f t="shared" si="89"/>
        <v>0</v>
      </c>
      <c r="BB95" s="1279">
        <f t="shared" si="90"/>
        <v>0</v>
      </c>
      <c r="BC95" s="590"/>
      <c r="BF95" s="105">
        <f t="shared" si="71"/>
        <v>0</v>
      </c>
      <c r="BP95" s="147"/>
      <c r="BT95" s="111">
        <f t="shared" si="94"/>
        <v>0</v>
      </c>
      <c r="BU95" s="111">
        <f t="shared" si="95"/>
        <v>0</v>
      </c>
      <c r="BV95" s="111">
        <f t="shared" si="96"/>
        <v>0</v>
      </c>
    </row>
    <row r="96" spans="1:74">
      <c r="B96" s="1271"/>
      <c r="C96" s="1218"/>
      <c r="D96" s="1218"/>
      <c r="E96" s="1218"/>
      <c r="F96" s="1218"/>
      <c r="G96" s="1218"/>
      <c r="H96" s="1218"/>
      <c r="I96" s="1218"/>
      <c r="J96" s="1218">
        <f t="shared" si="61"/>
        <v>0</v>
      </c>
      <c r="K96" s="1218">
        <f t="shared" si="56"/>
        <v>0</v>
      </c>
      <c r="L96" s="1218">
        <f t="shared" si="57"/>
        <v>0</v>
      </c>
      <c r="M96" s="1218">
        <f t="shared" si="58"/>
        <v>0</v>
      </c>
      <c r="N96" s="1218">
        <f t="shared" si="59"/>
        <v>0</v>
      </c>
      <c r="O96" s="1218"/>
      <c r="P96" s="1218"/>
      <c r="Q96" s="1218"/>
      <c r="R96" s="1218">
        <f t="shared" si="72"/>
        <v>0</v>
      </c>
      <c r="S96" s="1218"/>
      <c r="T96" s="1218"/>
      <c r="U96" s="1218"/>
      <c r="V96" s="1218"/>
      <c r="W96" s="1218"/>
      <c r="X96" s="1218"/>
      <c r="Y96" s="1218"/>
      <c r="Z96" s="1218">
        <f t="shared" si="73"/>
        <v>0</v>
      </c>
      <c r="AA96" s="1218">
        <f t="shared" si="74"/>
        <v>0</v>
      </c>
      <c r="AB96" s="1218">
        <f t="shared" si="75"/>
        <v>0</v>
      </c>
      <c r="AC96" s="1218">
        <f t="shared" si="76"/>
        <v>0</v>
      </c>
      <c r="AD96" s="1218">
        <f t="shared" si="77"/>
        <v>0</v>
      </c>
      <c r="AE96" s="1218"/>
      <c r="AF96" s="1218"/>
      <c r="AG96" s="1218"/>
      <c r="AH96" s="1218"/>
      <c r="AI96" s="1218"/>
      <c r="AJ96" s="1218"/>
      <c r="AK96" s="1218"/>
      <c r="AL96" s="1218"/>
      <c r="AM96" s="1218"/>
      <c r="AN96" s="1218"/>
      <c r="AO96" s="1218"/>
      <c r="AP96" s="1218">
        <f t="shared" si="78"/>
        <v>0</v>
      </c>
      <c r="AQ96" s="1218">
        <f t="shared" si="79"/>
        <v>0</v>
      </c>
      <c r="AR96" s="1218">
        <f t="shared" si="80"/>
        <v>0</v>
      </c>
      <c r="AS96" s="1218">
        <f t="shared" si="81"/>
        <v>0</v>
      </c>
      <c r="AT96" s="1218">
        <f t="shared" si="82"/>
        <v>0</v>
      </c>
      <c r="AU96" s="1219" t="str">
        <f t="shared" si="83"/>
        <v xml:space="preserve"> </v>
      </c>
      <c r="AV96" s="1219" t="str">
        <f t="shared" si="84"/>
        <v xml:space="preserve"> </v>
      </c>
      <c r="AW96" s="1219" t="str">
        <f t="shared" si="85"/>
        <v xml:space="preserve"> </v>
      </c>
      <c r="AX96" s="1219" t="str">
        <f t="shared" si="86"/>
        <v xml:space="preserve"> </v>
      </c>
      <c r="AY96" s="1218">
        <f t="shared" si="87"/>
        <v>0</v>
      </c>
      <c r="AZ96" s="1218">
        <f t="shared" si="88"/>
        <v>0</v>
      </c>
      <c r="BA96" s="1218">
        <f t="shared" si="89"/>
        <v>0</v>
      </c>
      <c r="BB96" s="1218">
        <f t="shared" si="90"/>
        <v>0</v>
      </c>
      <c r="BC96" s="125"/>
      <c r="BF96" s="105">
        <f t="shared" si="71"/>
        <v>0</v>
      </c>
      <c r="BT96" s="111">
        <f t="shared" si="94"/>
        <v>0</v>
      </c>
      <c r="BU96" s="111">
        <f t="shared" si="95"/>
        <v>0</v>
      </c>
      <c r="BV96" s="111">
        <f t="shared" si="96"/>
        <v>0</v>
      </c>
    </row>
    <row r="97" spans="1:74" s="107" customFormat="1">
      <c r="B97" s="182" t="s">
        <v>24</v>
      </c>
      <c r="C97" s="179">
        <f>+C99+C109+C118+C128+C138+C149+C156+C164+C173+C183+C195+C203+C217+C226+C234+C242</f>
        <v>5252260000</v>
      </c>
      <c r="D97" s="179">
        <f>+D99+D109+D118+D128+D138+D149+D156+D164+D173+D183+D195+D203+D217+D226+D234+D242</f>
        <v>4446246000</v>
      </c>
      <c r="E97" s="179">
        <f>+E99+E109+E118+E128+E138+E149+E156+E164+E173+E183+E195+E203+E217+E226+E234+E242</f>
        <v>0</v>
      </c>
      <c r="F97" s="179">
        <f t="shared" ref="F97:Q97" si="98">+F99+F109+F118+F128+F138+F149+F156+F164+F173+F183+F195+F203+F217+F226+F234+F242</f>
        <v>9698506000</v>
      </c>
      <c r="G97" s="179">
        <f t="shared" si="98"/>
        <v>43706232</v>
      </c>
      <c r="H97" s="179">
        <f t="shared" si="98"/>
        <v>-45056232</v>
      </c>
      <c r="I97" s="179">
        <f t="shared" si="98"/>
        <v>1350000</v>
      </c>
      <c r="J97" s="179">
        <f t="shared" si="98"/>
        <v>0</v>
      </c>
      <c r="K97" s="179">
        <f t="shared" si="98"/>
        <v>5295966232</v>
      </c>
      <c r="L97" s="179">
        <f t="shared" si="98"/>
        <v>4401189768</v>
      </c>
      <c r="M97" s="179">
        <f t="shared" si="98"/>
        <v>1350000</v>
      </c>
      <c r="N97" s="179">
        <f t="shared" si="98"/>
        <v>9698506000</v>
      </c>
      <c r="O97" s="179">
        <f t="shared" si="98"/>
        <v>5295966232</v>
      </c>
      <c r="P97" s="179">
        <f t="shared" si="98"/>
        <v>4401189768</v>
      </c>
      <c r="Q97" s="179">
        <f t="shared" si="98"/>
        <v>1350000</v>
      </c>
      <c r="R97" s="179">
        <f t="shared" si="72"/>
        <v>9698506000</v>
      </c>
      <c r="S97" s="179"/>
      <c r="T97" s="179"/>
      <c r="U97" s="179"/>
      <c r="V97" s="179">
        <f>+V99+V109+V118+V128+V138+V149+V156+V164+V173+V183+V195+V203+V217+V226+V234+V242</f>
        <v>0</v>
      </c>
      <c r="W97" s="179">
        <f t="shared" ref="W97:AO97" si="99">+W99+W109+W118+W128+W138+W149+W156+W164+W173+W183+W195+W203+W217+W226+W234+W242</f>
        <v>827006</v>
      </c>
      <c r="X97" s="179">
        <f t="shared" si="99"/>
        <v>3303661486.4599996</v>
      </c>
      <c r="Y97" s="179">
        <f t="shared" si="99"/>
        <v>3753937151</v>
      </c>
      <c r="Z97" s="179">
        <f t="shared" si="73"/>
        <v>7058425643.4599991</v>
      </c>
      <c r="AA97" s="179">
        <f t="shared" si="74"/>
        <v>5296793238</v>
      </c>
      <c r="AB97" s="179">
        <f t="shared" si="75"/>
        <v>7704851254.4599991</v>
      </c>
      <c r="AC97" s="179">
        <f t="shared" si="76"/>
        <v>3755287151</v>
      </c>
      <c r="AD97" s="179">
        <f t="shared" si="77"/>
        <v>16756931643.459999</v>
      </c>
      <c r="AE97" s="179">
        <f t="shared" si="99"/>
        <v>4794871224.8900003</v>
      </c>
      <c r="AF97" s="179">
        <f>+AF99+AF109+AF118+AF128+AF138+AF149+AF156+AF164+AF173+AF183+AF195+AF203+AF217+AF226+AF234+AF242</f>
        <v>3360103531.21</v>
      </c>
      <c r="AG97" s="179">
        <f>+AG99+AG109+AG118+AG128+AG138+AG149+AG156+AG164+AG173+AG183+AG195+AG203+AG217+AG226+AG234+AG242</f>
        <v>0</v>
      </c>
      <c r="AH97" s="179">
        <f t="shared" si="99"/>
        <v>8154974756.1000004</v>
      </c>
      <c r="AI97" s="179">
        <f t="shared" si="99"/>
        <v>763888.76999999979</v>
      </c>
      <c r="AJ97" s="179">
        <f t="shared" si="99"/>
        <v>2447728450.6799998</v>
      </c>
      <c r="AK97" s="179">
        <f t="shared" si="99"/>
        <v>3208658452.8499999</v>
      </c>
      <c r="AL97" s="179">
        <f t="shared" si="99"/>
        <v>5657150792.3000002</v>
      </c>
      <c r="AM97" s="179">
        <f t="shared" si="99"/>
        <v>4795635113.6600008</v>
      </c>
      <c r="AN97" s="179">
        <f t="shared" si="99"/>
        <v>5807831981.8900003</v>
      </c>
      <c r="AO97" s="179">
        <f t="shared" si="99"/>
        <v>3208658452.8499999</v>
      </c>
      <c r="AP97" s="179">
        <f t="shared" si="78"/>
        <v>13812125548.400002</v>
      </c>
      <c r="AQ97" s="179">
        <f t="shared" si="79"/>
        <v>501158124.3399992</v>
      </c>
      <c r="AR97" s="179">
        <f t="shared" si="80"/>
        <v>1897019272.5699987</v>
      </c>
      <c r="AS97" s="179">
        <f t="shared" si="81"/>
        <v>546628698.1500001</v>
      </c>
      <c r="AT97" s="179">
        <f t="shared" si="82"/>
        <v>2944806095.059998</v>
      </c>
      <c r="AU97" s="184">
        <f t="shared" si="83"/>
        <v>0.90538461634775269</v>
      </c>
      <c r="AV97" s="184">
        <f t="shared" si="84"/>
        <v>0.75378898178314635</v>
      </c>
      <c r="AW97" s="184">
        <f t="shared" si="85"/>
        <v>0.85443757662994224</v>
      </c>
      <c r="AX97" s="184">
        <f t="shared" si="86"/>
        <v>0.82426340587184321</v>
      </c>
      <c r="AY97" s="179">
        <f t="shared" si="87"/>
        <v>0</v>
      </c>
      <c r="AZ97" s="179">
        <f t="shared" si="88"/>
        <v>0</v>
      </c>
      <c r="BA97" s="179">
        <f t="shared" si="89"/>
        <v>0</v>
      </c>
      <c r="BB97" s="179">
        <f t="shared" si="90"/>
        <v>0</v>
      </c>
      <c r="BC97" s="131"/>
      <c r="BF97" s="105">
        <f t="shared" si="71"/>
        <v>1041086236.79</v>
      </c>
      <c r="BP97" s="150"/>
      <c r="BT97" s="111"/>
      <c r="BU97" s="111"/>
      <c r="BV97" s="111"/>
    </row>
    <row r="98" spans="1:74">
      <c r="B98" s="1279"/>
      <c r="C98" s="1218"/>
      <c r="D98" s="1218"/>
      <c r="E98" s="1218"/>
      <c r="F98" s="1218"/>
      <c r="G98" s="1218"/>
      <c r="H98" s="1218"/>
      <c r="I98" s="1218"/>
      <c r="J98" s="1218">
        <f t="shared" si="61"/>
        <v>0</v>
      </c>
      <c r="K98" s="1218">
        <f t="shared" si="56"/>
        <v>0</v>
      </c>
      <c r="L98" s="1218">
        <f t="shared" si="57"/>
        <v>0</v>
      </c>
      <c r="M98" s="1218">
        <f t="shared" si="58"/>
        <v>0</v>
      </c>
      <c r="N98" s="1218">
        <f t="shared" si="59"/>
        <v>0</v>
      </c>
      <c r="O98" s="1218"/>
      <c r="P98" s="1218"/>
      <c r="Q98" s="1218"/>
      <c r="R98" s="1218">
        <f t="shared" si="72"/>
        <v>0</v>
      </c>
      <c r="S98" s="1218"/>
      <c r="T98" s="1218"/>
      <c r="U98" s="1218"/>
      <c r="V98" s="1218"/>
      <c r="W98" s="1304"/>
      <c r="X98" s="1304"/>
      <c r="Y98" s="1304"/>
      <c r="Z98" s="1218">
        <f t="shared" si="73"/>
        <v>0</v>
      </c>
      <c r="AA98" s="1218">
        <f t="shared" si="74"/>
        <v>0</v>
      </c>
      <c r="AB98" s="1218">
        <f t="shared" si="75"/>
        <v>0</v>
      </c>
      <c r="AC98" s="1218">
        <f t="shared" si="76"/>
        <v>0</v>
      </c>
      <c r="AD98" s="1218">
        <f t="shared" si="77"/>
        <v>0</v>
      </c>
      <c r="AE98" s="1304"/>
      <c r="AF98" s="1304"/>
      <c r="AG98" s="1304"/>
      <c r="AH98" s="1218"/>
      <c r="AI98" s="1218"/>
      <c r="AJ98" s="1218"/>
      <c r="AK98" s="1218"/>
      <c r="AL98" s="1218"/>
      <c r="AM98" s="1218"/>
      <c r="AN98" s="1218"/>
      <c r="AO98" s="1218"/>
      <c r="AP98" s="1218">
        <f t="shared" si="78"/>
        <v>0</v>
      </c>
      <c r="AQ98" s="1218">
        <f t="shared" si="79"/>
        <v>0</v>
      </c>
      <c r="AR98" s="1218">
        <f t="shared" si="80"/>
        <v>0</v>
      </c>
      <c r="AS98" s="1218">
        <f t="shared" si="81"/>
        <v>0</v>
      </c>
      <c r="AT98" s="1218">
        <f t="shared" si="82"/>
        <v>0</v>
      </c>
      <c r="AU98" s="1219" t="str">
        <f t="shared" si="83"/>
        <v xml:space="preserve"> </v>
      </c>
      <c r="AV98" s="1219" t="str">
        <f t="shared" si="84"/>
        <v xml:space="preserve"> </v>
      </c>
      <c r="AW98" s="1219" t="str">
        <f t="shared" si="85"/>
        <v xml:space="preserve"> </v>
      </c>
      <c r="AX98" s="1219" t="str">
        <f t="shared" si="86"/>
        <v xml:space="preserve"> </v>
      </c>
      <c r="AY98" s="1218">
        <f t="shared" si="87"/>
        <v>0</v>
      </c>
      <c r="AZ98" s="1218">
        <f t="shared" si="88"/>
        <v>0</v>
      </c>
      <c r="BA98" s="1218">
        <f t="shared" si="89"/>
        <v>0</v>
      </c>
      <c r="BB98" s="1218">
        <f t="shared" si="90"/>
        <v>0</v>
      </c>
      <c r="BC98" s="125"/>
      <c r="BF98" s="105">
        <f t="shared" si="71"/>
        <v>0</v>
      </c>
      <c r="BT98" s="111">
        <f t="shared" si="94"/>
        <v>0</v>
      </c>
      <c r="BU98" s="111">
        <f t="shared" si="95"/>
        <v>0</v>
      </c>
      <c r="BV98" s="111">
        <f t="shared" si="96"/>
        <v>0</v>
      </c>
    </row>
    <row r="99" spans="1:74" ht="12.75">
      <c r="A99" s="587" t="s">
        <v>939</v>
      </c>
      <c r="B99" s="1305" t="s">
        <v>25</v>
      </c>
      <c r="C99" s="1218">
        <f>SUM(C100:C107)</f>
        <v>282323000</v>
      </c>
      <c r="D99" s="1218">
        <f>SUM(D100:D107)</f>
        <v>308173000</v>
      </c>
      <c r="E99" s="1218">
        <f>SUM(E100:E107)</f>
        <v>0</v>
      </c>
      <c r="F99" s="1218">
        <f t="shared" ref="F99:N99" si="100">SUM(F100:F107)</f>
        <v>590496000</v>
      </c>
      <c r="G99" s="1218">
        <f t="shared" si="100"/>
        <v>0</v>
      </c>
      <c r="H99" s="1218">
        <f t="shared" si="100"/>
        <v>0</v>
      </c>
      <c r="I99" s="1218">
        <f t="shared" si="100"/>
        <v>0</v>
      </c>
      <c r="J99" s="1218">
        <f t="shared" si="100"/>
        <v>0</v>
      </c>
      <c r="K99" s="1218">
        <f t="shared" si="100"/>
        <v>282323000</v>
      </c>
      <c r="L99" s="1218">
        <f t="shared" si="100"/>
        <v>308173000</v>
      </c>
      <c r="M99" s="1218">
        <f t="shared" si="100"/>
        <v>0</v>
      </c>
      <c r="N99" s="1218">
        <f t="shared" si="100"/>
        <v>590496000</v>
      </c>
      <c r="O99" s="1218">
        <f t="shared" ref="O99:AO99" si="101">SUM(O100:O107)</f>
        <v>282323000</v>
      </c>
      <c r="P99" s="1218">
        <f t="shared" si="101"/>
        <v>308173000</v>
      </c>
      <c r="Q99" s="1218">
        <f t="shared" si="101"/>
        <v>0</v>
      </c>
      <c r="R99" s="1218">
        <f t="shared" si="72"/>
        <v>590496000</v>
      </c>
      <c r="S99" s="1218"/>
      <c r="T99" s="1218"/>
      <c r="U99" s="1218"/>
      <c r="V99" s="1218">
        <f>SUM(V100:V107)</f>
        <v>0</v>
      </c>
      <c r="W99" s="1218">
        <f t="shared" si="101"/>
        <v>0</v>
      </c>
      <c r="X99" s="1218">
        <f t="shared" si="101"/>
        <v>144699414</v>
      </c>
      <c r="Y99" s="1218">
        <f t="shared" si="101"/>
        <v>473471882</v>
      </c>
      <c r="Z99" s="1218">
        <f t="shared" si="73"/>
        <v>618171296</v>
      </c>
      <c r="AA99" s="1218">
        <f t="shared" si="74"/>
        <v>282323000</v>
      </c>
      <c r="AB99" s="1218">
        <f t="shared" si="75"/>
        <v>452872414</v>
      </c>
      <c r="AC99" s="1218">
        <f t="shared" si="76"/>
        <v>473471882</v>
      </c>
      <c r="AD99" s="1218">
        <f t="shared" si="77"/>
        <v>1208667296</v>
      </c>
      <c r="AE99" s="1218">
        <f t="shared" si="101"/>
        <v>260300649.81999999</v>
      </c>
      <c r="AF99" s="1218">
        <f>SUM(AF100:AF107)</f>
        <v>253483859.41999996</v>
      </c>
      <c r="AG99" s="1218">
        <f>SUM(AG100:AG107)</f>
        <v>0</v>
      </c>
      <c r="AH99" s="1218">
        <f t="shared" si="101"/>
        <v>513784509.23999995</v>
      </c>
      <c r="AI99" s="1218">
        <f t="shared" si="101"/>
        <v>0</v>
      </c>
      <c r="AJ99" s="1218">
        <f t="shared" si="101"/>
        <v>113489912.02000001</v>
      </c>
      <c r="AK99" s="1218">
        <f t="shared" si="101"/>
        <v>370676018.92000002</v>
      </c>
      <c r="AL99" s="1218">
        <f t="shared" si="101"/>
        <v>484165930.93999994</v>
      </c>
      <c r="AM99" s="1218">
        <f t="shared" si="101"/>
        <v>260300649.81999999</v>
      </c>
      <c r="AN99" s="1218">
        <f t="shared" si="101"/>
        <v>366973771.44</v>
      </c>
      <c r="AO99" s="1218">
        <f t="shared" si="101"/>
        <v>370676018.92000002</v>
      </c>
      <c r="AP99" s="1218">
        <f t="shared" si="78"/>
        <v>997950440.18000007</v>
      </c>
      <c r="AQ99" s="1218">
        <f t="shared" si="79"/>
        <v>22022350.180000007</v>
      </c>
      <c r="AR99" s="1218">
        <f t="shared" si="80"/>
        <v>85898642.560000002</v>
      </c>
      <c r="AS99" s="1218">
        <f t="shared" si="81"/>
        <v>102795863.07999998</v>
      </c>
      <c r="AT99" s="1218">
        <f t="shared" si="82"/>
        <v>210716855.81999999</v>
      </c>
      <c r="AU99" s="1219">
        <f t="shared" si="83"/>
        <v>0.92199590476156745</v>
      </c>
      <c r="AV99" s="1219">
        <f t="shared" si="84"/>
        <v>0.81032485109592034</v>
      </c>
      <c r="AW99" s="1219">
        <f t="shared" si="85"/>
        <v>0.78288919154865466</v>
      </c>
      <c r="AX99" s="1219">
        <f t="shared" si="86"/>
        <v>0.82566182065374594</v>
      </c>
      <c r="AY99" s="1218">
        <f t="shared" si="87"/>
        <v>0</v>
      </c>
      <c r="AZ99" s="1218">
        <f t="shared" si="88"/>
        <v>0</v>
      </c>
      <c r="BA99" s="1218">
        <f t="shared" si="89"/>
        <v>0</v>
      </c>
      <c r="BB99" s="1218">
        <f t="shared" si="90"/>
        <v>0</v>
      </c>
      <c r="BC99" s="125"/>
      <c r="BF99" s="105">
        <f t="shared" si="71"/>
        <v>54689140.580000043</v>
      </c>
    </row>
    <row r="100" spans="1:74" ht="36">
      <c r="A100" s="587" t="s">
        <v>939</v>
      </c>
      <c r="B100" s="1306" t="s">
        <v>534</v>
      </c>
      <c r="C100" s="1218">
        <v>50651000</v>
      </c>
      <c r="D100" s="1218">
        <v>10324000</v>
      </c>
      <c r="E100" s="1218">
        <v>0</v>
      </c>
      <c r="F100" s="1218">
        <f t="shared" si="60"/>
        <v>60975000</v>
      </c>
      <c r="G100" s="1218"/>
      <c r="H100" s="1218"/>
      <c r="I100" s="1218"/>
      <c r="J100" s="1218">
        <f t="shared" si="61"/>
        <v>0</v>
      </c>
      <c r="K100" s="1218">
        <f t="shared" si="56"/>
        <v>50651000</v>
      </c>
      <c r="L100" s="1218">
        <f t="shared" si="57"/>
        <v>10324000</v>
      </c>
      <c r="M100" s="1218">
        <f t="shared" si="58"/>
        <v>0</v>
      </c>
      <c r="N100" s="1218">
        <f t="shared" si="59"/>
        <v>60975000</v>
      </c>
      <c r="O100" s="1218">
        <v>50651000</v>
      </c>
      <c r="P100" s="1218">
        <v>10324000</v>
      </c>
      <c r="Q100" s="1218">
        <v>0</v>
      </c>
      <c r="R100" s="1218">
        <f t="shared" si="72"/>
        <v>60975000</v>
      </c>
      <c r="S100" s="1218"/>
      <c r="T100" s="1218"/>
      <c r="U100" s="1218"/>
      <c r="V100" s="1218">
        <f t="shared" si="64"/>
        <v>0</v>
      </c>
      <c r="W100" s="1218"/>
      <c r="X100" s="1218"/>
      <c r="Y100" s="1218"/>
      <c r="Z100" s="1218">
        <f t="shared" si="73"/>
        <v>0</v>
      </c>
      <c r="AA100" s="1218">
        <f t="shared" si="74"/>
        <v>50651000</v>
      </c>
      <c r="AB100" s="1218">
        <f t="shared" si="75"/>
        <v>10324000</v>
      </c>
      <c r="AC100" s="1218">
        <f t="shared" si="76"/>
        <v>0</v>
      </c>
      <c r="AD100" s="1218">
        <f t="shared" si="77"/>
        <v>60975000</v>
      </c>
      <c r="AE100" s="1218">
        <f>+'CY (ALL FUNDS)'!J44</f>
        <v>45454578.409999996</v>
      </c>
      <c r="AF100" s="1218">
        <f>+'CY (ALL FUNDS)'!K44</f>
        <v>10320622.889999999</v>
      </c>
      <c r="AG100" s="1218">
        <f>+'CY (ALL FUNDS)'!L44</f>
        <v>0</v>
      </c>
      <c r="AH100" s="1218">
        <f t="shared" si="62"/>
        <v>55775201.299999997</v>
      </c>
      <c r="AI100" s="1218"/>
      <c r="AJ100" s="1218"/>
      <c r="AK100" s="1218"/>
      <c r="AL100" s="1218">
        <f t="shared" si="63"/>
        <v>0</v>
      </c>
      <c r="AM100" s="1218">
        <f t="shared" ref="AM100:AM107" si="102">+AE100+AI100</f>
        <v>45454578.409999996</v>
      </c>
      <c r="AN100" s="1218">
        <f t="shared" ref="AN100:AN107" si="103">+AF100+AJ100</f>
        <v>10320622.889999999</v>
      </c>
      <c r="AO100" s="1218">
        <f t="shared" ref="AO100:AO107" si="104">+AG100+AK100</f>
        <v>0</v>
      </c>
      <c r="AP100" s="1218">
        <f t="shared" si="78"/>
        <v>55775201.299999997</v>
      </c>
      <c r="AQ100" s="1218">
        <f t="shared" si="79"/>
        <v>5196421.5900000036</v>
      </c>
      <c r="AR100" s="1218">
        <f t="shared" si="80"/>
        <v>3377.1100000012666</v>
      </c>
      <c r="AS100" s="1218">
        <f t="shared" si="81"/>
        <v>0</v>
      </c>
      <c r="AT100" s="1218">
        <f t="shared" si="82"/>
        <v>5199798.7000000048</v>
      </c>
      <c r="AU100" s="1219">
        <f t="shared" si="83"/>
        <v>0.89740732483070418</v>
      </c>
      <c r="AV100" s="1219">
        <f t="shared" si="84"/>
        <v>0.999672887446726</v>
      </c>
      <c r="AW100" s="1219" t="str">
        <f t="shared" si="85"/>
        <v xml:space="preserve"> </v>
      </c>
      <c r="AX100" s="1219">
        <f t="shared" si="86"/>
        <v>0.91472244854448537</v>
      </c>
      <c r="AY100" s="1218">
        <f t="shared" si="87"/>
        <v>0</v>
      </c>
      <c r="AZ100" s="1218">
        <f t="shared" si="88"/>
        <v>0</v>
      </c>
      <c r="BA100" s="1218">
        <f t="shared" si="89"/>
        <v>0</v>
      </c>
      <c r="BB100" s="1218">
        <f t="shared" si="90"/>
        <v>0</v>
      </c>
      <c r="BC100" s="125"/>
      <c r="BD100" s="105">
        <f>+AT100-'CY (ALL FUNDS)'!Q44</f>
        <v>0</v>
      </c>
      <c r="BF100" s="105">
        <f t="shared" si="71"/>
        <v>3377.1100000012666</v>
      </c>
      <c r="BP100" s="149">
        <f>+'CY (ALL FUNDS)'!F44</f>
        <v>50651000</v>
      </c>
      <c r="BQ100" s="149">
        <f>+'CY (ALL FUNDS)'!G44</f>
        <v>10324000</v>
      </c>
      <c r="BR100" s="149">
        <f>+'CY (ALL FUNDS)'!H44</f>
        <v>0</v>
      </c>
      <c r="BT100" s="111">
        <f t="shared" ref="BT100:BT107" si="105">+O100-BP100</f>
        <v>0</v>
      </c>
      <c r="BU100" s="111">
        <f t="shared" ref="BU100:BU107" si="106">+P100-BQ100</f>
        <v>0</v>
      </c>
      <c r="BV100" s="111">
        <f t="shared" ref="BV100:BV107" si="107">+Q100-BR100</f>
        <v>0</v>
      </c>
    </row>
    <row r="101" spans="1:74" ht="12.75">
      <c r="A101" s="587" t="s">
        <v>939</v>
      </c>
      <c r="B101" s="1307" t="s">
        <v>535</v>
      </c>
      <c r="C101" s="1218">
        <v>0</v>
      </c>
      <c r="D101" s="1218">
        <v>7375000</v>
      </c>
      <c r="E101" s="1218">
        <v>0</v>
      </c>
      <c r="F101" s="1218">
        <f t="shared" si="60"/>
        <v>7375000</v>
      </c>
      <c r="G101" s="1218"/>
      <c r="H101" s="1218"/>
      <c r="I101" s="1218"/>
      <c r="J101" s="1218">
        <f t="shared" si="61"/>
        <v>0</v>
      </c>
      <c r="K101" s="1218">
        <f t="shared" si="56"/>
        <v>0</v>
      </c>
      <c r="L101" s="1218">
        <f t="shared" si="57"/>
        <v>7375000</v>
      </c>
      <c r="M101" s="1218">
        <f t="shared" si="58"/>
        <v>0</v>
      </c>
      <c r="N101" s="1218">
        <f t="shared" si="59"/>
        <v>7375000</v>
      </c>
      <c r="O101" s="1218">
        <v>0</v>
      </c>
      <c r="P101" s="1218">
        <v>7375000</v>
      </c>
      <c r="Q101" s="1218">
        <v>0</v>
      </c>
      <c r="R101" s="1218">
        <f t="shared" si="72"/>
        <v>7375000</v>
      </c>
      <c r="S101" s="1218"/>
      <c r="T101" s="1218"/>
      <c r="U101" s="1218"/>
      <c r="V101" s="1218">
        <f t="shared" si="64"/>
        <v>0</v>
      </c>
      <c r="W101" s="1218"/>
      <c r="X101" s="1218"/>
      <c r="Y101" s="1218"/>
      <c r="Z101" s="1218">
        <f t="shared" si="73"/>
        <v>0</v>
      </c>
      <c r="AA101" s="1218">
        <f t="shared" si="74"/>
        <v>0</v>
      </c>
      <c r="AB101" s="1218">
        <f t="shared" si="75"/>
        <v>7375000</v>
      </c>
      <c r="AC101" s="1218">
        <f t="shared" si="76"/>
        <v>0</v>
      </c>
      <c r="AD101" s="1218">
        <f t="shared" si="77"/>
        <v>7375000</v>
      </c>
      <c r="AE101" s="1218">
        <f>+'CY (ALL FUNDS)'!J45</f>
        <v>0</v>
      </c>
      <c r="AF101" s="1218">
        <f>+'CY (ALL FUNDS)'!K45</f>
        <v>4772290.49</v>
      </c>
      <c r="AG101" s="1218">
        <f>+'CY (ALL FUNDS)'!L45</f>
        <v>0</v>
      </c>
      <c r="AH101" s="1218">
        <f t="shared" si="62"/>
        <v>4772290.49</v>
      </c>
      <c r="AI101" s="1218"/>
      <c r="AJ101" s="1218"/>
      <c r="AK101" s="1218"/>
      <c r="AL101" s="1218">
        <f t="shared" si="63"/>
        <v>0</v>
      </c>
      <c r="AM101" s="1218">
        <f t="shared" si="102"/>
        <v>0</v>
      </c>
      <c r="AN101" s="1218">
        <f t="shared" si="103"/>
        <v>4772290.49</v>
      </c>
      <c r="AO101" s="1218">
        <f t="shared" si="104"/>
        <v>0</v>
      </c>
      <c r="AP101" s="1218">
        <f t="shared" si="78"/>
        <v>4772290.49</v>
      </c>
      <c r="AQ101" s="1218">
        <f t="shared" si="79"/>
        <v>0</v>
      </c>
      <c r="AR101" s="1218">
        <f t="shared" si="80"/>
        <v>2602709.5099999998</v>
      </c>
      <c r="AS101" s="1218">
        <f t="shared" si="81"/>
        <v>0</v>
      </c>
      <c r="AT101" s="1218">
        <f t="shared" si="82"/>
        <v>2602709.5099999998</v>
      </c>
      <c r="AU101" s="1219" t="str">
        <f t="shared" si="83"/>
        <v xml:space="preserve"> </v>
      </c>
      <c r="AV101" s="1219">
        <f t="shared" si="84"/>
        <v>0.64709023593220338</v>
      </c>
      <c r="AW101" s="1219" t="str">
        <f t="shared" si="85"/>
        <v xml:space="preserve"> </v>
      </c>
      <c r="AX101" s="1219">
        <f t="shared" si="86"/>
        <v>0.64709023593220338</v>
      </c>
      <c r="AY101" s="1218">
        <f t="shared" si="87"/>
        <v>0</v>
      </c>
      <c r="AZ101" s="1218">
        <f t="shared" si="88"/>
        <v>0</v>
      </c>
      <c r="BA101" s="1218">
        <f t="shared" si="89"/>
        <v>0</v>
      </c>
      <c r="BB101" s="1218">
        <f t="shared" si="90"/>
        <v>0</v>
      </c>
      <c r="BC101" s="125"/>
      <c r="BD101" s="105">
        <f>+AT101-'CY (ALL FUNDS)'!Q45</f>
        <v>0</v>
      </c>
      <c r="BF101" s="105">
        <f t="shared" si="71"/>
        <v>2602709.5099999998</v>
      </c>
      <c r="BP101" s="149">
        <f>+'CY (ALL FUNDS)'!F45</f>
        <v>0</v>
      </c>
      <c r="BQ101" s="149">
        <f>+'CY (ALL FUNDS)'!G45</f>
        <v>7375000</v>
      </c>
      <c r="BR101" s="149">
        <f>+'CY (ALL FUNDS)'!H45</f>
        <v>0</v>
      </c>
      <c r="BT101" s="111">
        <f t="shared" si="105"/>
        <v>0</v>
      </c>
      <c r="BU101" s="111">
        <f t="shared" si="106"/>
        <v>0</v>
      </c>
      <c r="BV101" s="111">
        <f t="shared" si="107"/>
        <v>0</v>
      </c>
    </row>
    <row r="102" spans="1:74" ht="36">
      <c r="A102" s="587" t="s">
        <v>939</v>
      </c>
      <c r="B102" s="1306" t="s">
        <v>536</v>
      </c>
      <c r="C102" s="1218">
        <v>18439000</v>
      </c>
      <c r="D102" s="1218">
        <v>195675000</v>
      </c>
      <c r="E102" s="1218">
        <v>0</v>
      </c>
      <c r="F102" s="1218">
        <f t="shared" si="60"/>
        <v>214114000</v>
      </c>
      <c r="G102" s="1218"/>
      <c r="H102" s="1218"/>
      <c r="I102" s="1218"/>
      <c r="J102" s="1218">
        <f t="shared" si="61"/>
        <v>0</v>
      </c>
      <c r="K102" s="1218">
        <f t="shared" si="56"/>
        <v>18439000</v>
      </c>
      <c r="L102" s="1218">
        <f t="shared" si="57"/>
        <v>195675000</v>
      </c>
      <c r="M102" s="1218">
        <f t="shared" si="58"/>
        <v>0</v>
      </c>
      <c r="N102" s="1218">
        <f t="shared" si="59"/>
        <v>214114000</v>
      </c>
      <c r="O102" s="1218">
        <v>18439000</v>
      </c>
      <c r="P102" s="1218">
        <v>195675000</v>
      </c>
      <c r="Q102" s="1218">
        <v>0</v>
      </c>
      <c r="R102" s="1218">
        <f t="shared" si="72"/>
        <v>214114000</v>
      </c>
      <c r="S102" s="1218"/>
      <c r="T102" s="1218"/>
      <c r="U102" s="1218"/>
      <c r="V102" s="1218">
        <f t="shared" si="64"/>
        <v>0</v>
      </c>
      <c r="W102" s="1218">
        <f>+'CY (ALL FUNDS)'!F47</f>
        <v>0</v>
      </c>
      <c r="X102" s="1218">
        <f>+'CY (ALL FUNDS)'!G47</f>
        <v>82281414</v>
      </c>
      <c r="Y102" s="1218">
        <f>+'CY (ALL FUNDS)'!H47</f>
        <v>146598000</v>
      </c>
      <c r="Z102" s="1218">
        <f t="shared" si="73"/>
        <v>228879414</v>
      </c>
      <c r="AA102" s="1218">
        <f t="shared" si="74"/>
        <v>18439000</v>
      </c>
      <c r="AB102" s="1218">
        <f t="shared" si="75"/>
        <v>277956414</v>
      </c>
      <c r="AC102" s="1218">
        <f t="shared" si="76"/>
        <v>146598000</v>
      </c>
      <c r="AD102" s="1218">
        <f t="shared" si="77"/>
        <v>442993414</v>
      </c>
      <c r="AE102" s="1218">
        <f>+'CY (ALL FUNDS)'!J46</f>
        <v>17031427.32</v>
      </c>
      <c r="AF102" s="1218">
        <f>+'CY (ALL FUNDS)'!K46</f>
        <v>153801639.99999997</v>
      </c>
      <c r="AG102" s="1218">
        <f>+'CY (ALL FUNDS)'!L46</f>
        <v>0</v>
      </c>
      <c r="AH102" s="1218">
        <f t="shared" si="62"/>
        <v>170833067.31999996</v>
      </c>
      <c r="AI102" s="1218">
        <f>+'CY (ALL FUNDS)'!J47</f>
        <v>0</v>
      </c>
      <c r="AJ102" s="1218">
        <f>+'CY (ALL FUNDS)'!K47</f>
        <v>58364371.490000002</v>
      </c>
      <c r="AK102" s="1218">
        <f>+'CY (ALL FUNDS)'!L47</f>
        <v>45987665.68</v>
      </c>
      <c r="AL102" s="1218">
        <f t="shared" si="63"/>
        <v>104352037.17</v>
      </c>
      <c r="AM102" s="1218">
        <f t="shared" si="102"/>
        <v>17031427.32</v>
      </c>
      <c r="AN102" s="1218">
        <f t="shared" si="103"/>
        <v>212166011.48999998</v>
      </c>
      <c r="AO102" s="1218">
        <f t="shared" si="104"/>
        <v>45987665.68</v>
      </c>
      <c r="AP102" s="1218">
        <f t="shared" si="78"/>
        <v>275185104.48999995</v>
      </c>
      <c r="AQ102" s="1218">
        <f t="shared" si="79"/>
        <v>1407572.6799999997</v>
      </c>
      <c r="AR102" s="1218">
        <f t="shared" si="80"/>
        <v>65790402.51000002</v>
      </c>
      <c r="AS102" s="1218">
        <f t="shared" si="81"/>
        <v>100610334.31999999</v>
      </c>
      <c r="AT102" s="1218">
        <f t="shared" si="82"/>
        <v>167808309.51000002</v>
      </c>
      <c r="AU102" s="1219">
        <f t="shared" si="83"/>
        <v>0.92366328542762621</v>
      </c>
      <c r="AV102" s="1219">
        <f t="shared" si="84"/>
        <v>0.76330676611045922</v>
      </c>
      <c r="AW102" s="1219">
        <f t="shared" si="85"/>
        <v>0.31369913423102636</v>
      </c>
      <c r="AX102" s="1219">
        <f t="shared" si="86"/>
        <v>0.62119457263533928</v>
      </c>
      <c r="AY102" s="1218">
        <f t="shared" si="87"/>
        <v>0</v>
      </c>
      <c r="AZ102" s="1218">
        <f t="shared" si="88"/>
        <v>0</v>
      </c>
      <c r="BA102" s="1218">
        <f t="shared" si="89"/>
        <v>0</v>
      </c>
      <c r="BB102" s="1218">
        <f t="shared" si="90"/>
        <v>0</v>
      </c>
      <c r="BC102" s="125"/>
      <c r="BD102" s="105">
        <f>+AT102-'CY (ALL FUNDS)'!Q46-'CY (ALL FUNDS)'!Q47</f>
        <v>0</v>
      </c>
      <c r="BF102" s="105">
        <f t="shared" si="71"/>
        <v>41873360.00000003</v>
      </c>
      <c r="BP102" s="149">
        <f>+'CY (ALL FUNDS)'!F46</f>
        <v>18439000</v>
      </c>
      <c r="BQ102" s="149">
        <f>+'CY (ALL FUNDS)'!G46</f>
        <v>195675000</v>
      </c>
      <c r="BR102" s="149">
        <f>+'CY (ALL FUNDS)'!H46</f>
        <v>0</v>
      </c>
      <c r="BT102" s="111">
        <f t="shared" si="105"/>
        <v>0</v>
      </c>
      <c r="BU102" s="111">
        <f t="shared" si="106"/>
        <v>0</v>
      </c>
      <c r="BV102" s="111">
        <f t="shared" si="107"/>
        <v>0</v>
      </c>
    </row>
    <row r="103" spans="1:74" ht="12.75">
      <c r="A103" s="587" t="s">
        <v>939</v>
      </c>
      <c r="B103" s="1307" t="s">
        <v>537</v>
      </c>
      <c r="C103" s="1218"/>
      <c r="D103" s="1218">
        <v>0</v>
      </c>
      <c r="E103" s="1218">
        <v>0</v>
      </c>
      <c r="F103" s="1218">
        <f t="shared" si="60"/>
        <v>0</v>
      </c>
      <c r="G103" s="1218"/>
      <c r="H103" s="1218"/>
      <c r="I103" s="1218"/>
      <c r="J103" s="1218">
        <f t="shared" si="61"/>
        <v>0</v>
      </c>
      <c r="K103" s="1218">
        <f t="shared" si="56"/>
        <v>0</v>
      </c>
      <c r="L103" s="1218">
        <f t="shared" si="57"/>
        <v>0</v>
      </c>
      <c r="M103" s="1218">
        <f t="shared" si="58"/>
        <v>0</v>
      </c>
      <c r="N103" s="1218">
        <f t="shared" si="59"/>
        <v>0</v>
      </c>
      <c r="O103" s="1218"/>
      <c r="P103" s="1218">
        <v>0</v>
      </c>
      <c r="Q103" s="1218">
        <v>0</v>
      </c>
      <c r="R103" s="1218">
        <f t="shared" si="72"/>
        <v>0</v>
      </c>
      <c r="S103" s="1218"/>
      <c r="T103" s="1218"/>
      <c r="U103" s="1218"/>
      <c r="V103" s="1218">
        <f t="shared" si="64"/>
        <v>0</v>
      </c>
      <c r="W103" s="1218"/>
      <c r="X103" s="1218"/>
      <c r="Y103" s="1218"/>
      <c r="Z103" s="1218">
        <f t="shared" si="73"/>
        <v>0</v>
      </c>
      <c r="AA103" s="1218">
        <f t="shared" si="74"/>
        <v>0</v>
      </c>
      <c r="AB103" s="1218">
        <f t="shared" si="75"/>
        <v>0</v>
      </c>
      <c r="AC103" s="1218">
        <f t="shared" si="76"/>
        <v>0</v>
      </c>
      <c r="AD103" s="1218">
        <f t="shared" si="77"/>
        <v>0</v>
      </c>
      <c r="AE103" s="1218"/>
      <c r="AF103" s="1218"/>
      <c r="AG103" s="1218"/>
      <c r="AH103" s="1218">
        <f t="shared" si="62"/>
        <v>0</v>
      </c>
      <c r="AI103" s="1218"/>
      <c r="AJ103" s="1218"/>
      <c r="AK103" s="1218"/>
      <c r="AL103" s="1218">
        <f t="shared" si="63"/>
        <v>0</v>
      </c>
      <c r="AM103" s="1218">
        <f t="shared" si="102"/>
        <v>0</v>
      </c>
      <c r="AN103" s="1218">
        <f t="shared" si="103"/>
        <v>0</v>
      </c>
      <c r="AO103" s="1218">
        <f t="shared" si="104"/>
        <v>0</v>
      </c>
      <c r="AP103" s="1218">
        <f t="shared" si="78"/>
        <v>0</v>
      </c>
      <c r="AQ103" s="1218">
        <f t="shared" si="79"/>
        <v>0</v>
      </c>
      <c r="AR103" s="1218">
        <f t="shared" si="80"/>
        <v>0</v>
      </c>
      <c r="AS103" s="1218">
        <f t="shared" si="81"/>
        <v>0</v>
      </c>
      <c r="AT103" s="1218">
        <f t="shared" si="82"/>
        <v>0</v>
      </c>
      <c r="AU103" s="1219" t="str">
        <f t="shared" si="83"/>
        <v xml:space="preserve"> </v>
      </c>
      <c r="AV103" s="1219" t="str">
        <f t="shared" si="84"/>
        <v xml:space="preserve"> </v>
      </c>
      <c r="AW103" s="1219" t="str">
        <f t="shared" si="85"/>
        <v xml:space="preserve"> </v>
      </c>
      <c r="AX103" s="1219" t="str">
        <f t="shared" si="86"/>
        <v xml:space="preserve"> </v>
      </c>
      <c r="AY103" s="1218">
        <f t="shared" si="87"/>
        <v>0</v>
      </c>
      <c r="AZ103" s="1218">
        <f t="shared" si="88"/>
        <v>0</v>
      </c>
      <c r="BA103" s="1218">
        <f t="shared" si="89"/>
        <v>0</v>
      </c>
      <c r="BB103" s="1218">
        <f t="shared" si="90"/>
        <v>0</v>
      </c>
      <c r="BC103" s="125"/>
      <c r="BF103" s="105">
        <f t="shared" si="71"/>
        <v>0</v>
      </c>
      <c r="BQ103" s="149"/>
      <c r="BR103" s="149"/>
      <c r="BT103" s="111">
        <f t="shared" si="105"/>
        <v>0</v>
      </c>
      <c r="BU103" s="111">
        <f t="shared" si="106"/>
        <v>0</v>
      </c>
      <c r="BV103" s="111">
        <f t="shared" si="107"/>
        <v>0</v>
      </c>
    </row>
    <row r="104" spans="1:74" ht="24">
      <c r="A104" s="587" t="s">
        <v>939</v>
      </c>
      <c r="B104" s="1308" t="s">
        <v>538</v>
      </c>
      <c r="C104" s="1218">
        <v>59182000</v>
      </c>
      <c r="D104" s="1218">
        <v>21837000</v>
      </c>
      <c r="E104" s="1218">
        <v>0</v>
      </c>
      <c r="F104" s="1218">
        <f t="shared" si="60"/>
        <v>81019000</v>
      </c>
      <c r="G104" s="1218"/>
      <c r="H104" s="1218"/>
      <c r="I104" s="1218"/>
      <c r="J104" s="1218">
        <f t="shared" si="61"/>
        <v>0</v>
      </c>
      <c r="K104" s="1218">
        <f t="shared" si="56"/>
        <v>59182000</v>
      </c>
      <c r="L104" s="1218">
        <f t="shared" si="57"/>
        <v>21837000</v>
      </c>
      <c r="M104" s="1218">
        <f t="shared" si="58"/>
        <v>0</v>
      </c>
      <c r="N104" s="1218">
        <f t="shared" si="59"/>
        <v>81019000</v>
      </c>
      <c r="O104" s="1218">
        <v>59182000</v>
      </c>
      <c r="P104" s="1218">
        <v>21837000</v>
      </c>
      <c r="Q104" s="1218">
        <v>0</v>
      </c>
      <c r="R104" s="1218">
        <f t="shared" si="72"/>
        <v>81019000</v>
      </c>
      <c r="S104" s="1218"/>
      <c r="T104" s="1218"/>
      <c r="U104" s="1218"/>
      <c r="V104" s="1218">
        <f t="shared" si="64"/>
        <v>0</v>
      </c>
      <c r="W104" s="1218">
        <f>+'CY (ALL FUNDS)'!F64</f>
        <v>0</v>
      </c>
      <c r="X104" s="1218">
        <f>+'CY (ALL FUNDS)'!G64</f>
        <v>21600000</v>
      </c>
      <c r="Y104" s="1218">
        <f>+'CY (ALL FUNDS)'!H64</f>
        <v>11000000</v>
      </c>
      <c r="Z104" s="1218">
        <f t="shared" si="73"/>
        <v>32600000</v>
      </c>
      <c r="AA104" s="1218">
        <f t="shared" si="74"/>
        <v>59182000</v>
      </c>
      <c r="AB104" s="1218">
        <f t="shared" si="75"/>
        <v>43437000</v>
      </c>
      <c r="AC104" s="1218">
        <f t="shared" si="76"/>
        <v>11000000</v>
      </c>
      <c r="AD104" s="1218">
        <f t="shared" si="77"/>
        <v>113619000</v>
      </c>
      <c r="AE104" s="1218">
        <f>+'CY (ALL FUNDS)'!J63</f>
        <v>53852853.309999995</v>
      </c>
      <c r="AF104" s="1218">
        <f>+'CY (ALL FUNDS)'!K63</f>
        <v>18376737.690000001</v>
      </c>
      <c r="AG104" s="1218">
        <f>+'CY (ALL FUNDS)'!L63</f>
        <v>0</v>
      </c>
      <c r="AH104" s="1218">
        <f t="shared" si="62"/>
        <v>72229591</v>
      </c>
      <c r="AI104" s="1218">
        <f>+'CY (ALL FUNDS)'!J64</f>
        <v>0</v>
      </c>
      <c r="AJ104" s="1218">
        <f>+'CY (ALL FUNDS)'!K64</f>
        <v>20906344.82</v>
      </c>
      <c r="AK104" s="1218">
        <f>+'CY (ALL FUNDS)'!L64</f>
        <v>10979529.48</v>
      </c>
      <c r="AL104" s="1218">
        <f t="shared" si="63"/>
        <v>31885874.300000001</v>
      </c>
      <c r="AM104" s="1218">
        <f t="shared" si="102"/>
        <v>53852853.309999995</v>
      </c>
      <c r="AN104" s="1218">
        <f t="shared" si="103"/>
        <v>39283082.510000005</v>
      </c>
      <c r="AO104" s="1218">
        <f t="shared" si="104"/>
        <v>10979529.48</v>
      </c>
      <c r="AP104" s="1218">
        <f t="shared" si="78"/>
        <v>104115465.3</v>
      </c>
      <c r="AQ104" s="1218">
        <f t="shared" si="79"/>
        <v>5329146.6900000051</v>
      </c>
      <c r="AR104" s="1218">
        <f t="shared" si="80"/>
        <v>4153917.4899999946</v>
      </c>
      <c r="AS104" s="1218">
        <f t="shared" si="81"/>
        <v>20470.519999999553</v>
      </c>
      <c r="AT104" s="1218">
        <f t="shared" si="82"/>
        <v>9503534.6999999993</v>
      </c>
      <c r="AU104" s="1219">
        <f t="shared" si="83"/>
        <v>0.90995325115744641</v>
      </c>
      <c r="AV104" s="1219">
        <f t="shared" si="84"/>
        <v>0.90436914404770141</v>
      </c>
      <c r="AW104" s="1219">
        <f t="shared" si="85"/>
        <v>0.99813904363636363</v>
      </c>
      <c r="AX104" s="1219">
        <f t="shared" si="86"/>
        <v>0.91635611385419691</v>
      </c>
      <c r="AY104" s="1218">
        <f t="shared" si="87"/>
        <v>0</v>
      </c>
      <c r="AZ104" s="1218">
        <f t="shared" si="88"/>
        <v>0</v>
      </c>
      <c r="BA104" s="1218">
        <f t="shared" si="89"/>
        <v>0</v>
      </c>
      <c r="BB104" s="1218">
        <f t="shared" si="90"/>
        <v>0</v>
      </c>
      <c r="BC104" s="125"/>
      <c r="BF104" s="105">
        <f t="shared" si="71"/>
        <v>3460262.3099999987</v>
      </c>
      <c r="BP104" s="149">
        <f>+'CY (ALL FUNDS)'!F63</f>
        <v>59182000</v>
      </c>
      <c r="BQ104" s="149">
        <f>+'CY (ALL FUNDS)'!G63</f>
        <v>21837000</v>
      </c>
      <c r="BR104" s="149">
        <f>+'CY (ALL FUNDS)'!H63</f>
        <v>0</v>
      </c>
      <c r="BT104" s="111">
        <f t="shared" si="105"/>
        <v>0</v>
      </c>
      <c r="BU104" s="111">
        <f t="shared" si="106"/>
        <v>0</v>
      </c>
      <c r="BV104" s="111">
        <f t="shared" si="107"/>
        <v>0</v>
      </c>
    </row>
    <row r="105" spans="1:74" ht="36">
      <c r="A105" s="587" t="s">
        <v>939</v>
      </c>
      <c r="B105" s="1308" t="s">
        <v>539</v>
      </c>
      <c r="C105" s="1218">
        <v>47596000</v>
      </c>
      <c r="D105" s="1218">
        <v>18954000</v>
      </c>
      <c r="E105" s="1218">
        <v>0</v>
      </c>
      <c r="F105" s="1218">
        <f t="shared" si="60"/>
        <v>66550000</v>
      </c>
      <c r="G105" s="1218"/>
      <c r="H105" s="1218"/>
      <c r="I105" s="1218"/>
      <c r="J105" s="1218">
        <f t="shared" si="61"/>
        <v>0</v>
      </c>
      <c r="K105" s="1218">
        <f t="shared" si="56"/>
        <v>47596000</v>
      </c>
      <c r="L105" s="1218">
        <f t="shared" si="57"/>
        <v>18954000</v>
      </c>
      <c r="M105" s="1218">
        <f t="shared" si="58"/>
        <v>0</v>
      </c>
      <c r="N105" s="1218">
        <f t="shared" si="59"/>
        <v>66550000</v>
      </c>
      <c r="O105" s="1218">
        <v>47596000</v>
      </c>
      <c r="P105" s="1218">
        <v>18954000</v>
      </c>
      <c r="Q105" s="1218">
        <v>0</v>
      </c>
      <c r="R105" s="1218">
        <f t="shared" si="72"/>
        <v>66550000</v>
      </c>
      <c r="S105" s="1218"/>
      <c r="T105" s="1218"/>
      <c r="U105" s="1218"/>
      <c r="V105" s="1218">
        <f t="shared" si="64"/>
        <v>0</v>
      </c>
      <c r="W105" s="1218">
        <f>+'CY (ALL FUNDS)'!F79</f>
        <v>0</v>
      </c>
      <c r="X105" s="1218">
        <f>+'CY (ALL FUNDS)'!G79</f>
        <v>15936000</v>
      </c>
      <c r="Y105" s="1218">
        <f>+'CY (ALL FUNDS)'!H79</f>
        <v>18000000</v>
      </c>
      <c r="Z105" s="1218">
        <f t="shared" si="73"/>
        <v>33936000</v>
      </c>
      <c r="AA105" s="1218">
        <f t="shared" si="74"/>
        <v>47596000</v>
      </c>
      <c r="AB105" s="1218">
        <f t="shared" si="75"/>
        <v>34890000</v>
      </c>
      <c r="AC105" s="1218">
        <f t="shared" si="76"/>
        <v>18000000</v>
      </c>
      <c r="AD105" s="1218">
        <f t="shared" si="77"/>
        <v>100486000</v>
      </c>
      <c r="AE105" s="1218">
        <f>+'CY (ALL FUNDS)'!J78</f>
        <v>44594024.159999996</v>
      </c>
      <c r="AF105" s="1218">
        <f>+'CY (ALL FUNDS)'!K78</f>
        <v>15147857.899999999</v>
      </c>
      <c r="AG105" s="1218">
        <f>+'CY (ALL FUNDS)'!L78</f>
        <v>0</v>
      </c>
      <c r="AH105" s="1218">
        <f t="shared" si="62"/>
        <v>59741882.059999995</v>
      </c>
      <c r="AI105" s="1218">
        <f>+'CY (ALL FUNDS)'!J79</f>
        <v>0</v>
      </c>
      <c r="AJ105" s="1218">
        <f>+'CY (ALL FUNDS)'!K79</f>
        <v>10581541.210000001</v>
      </c>
      <c r="AK105" s="1218">
        <f>+'CY (ALL FUNDS)'!L79</f>
        <v>15986180.65</v>
      </c>
      <c r="AL105" s="1218">
        <f t="shared" si="63"/>
        <v>26567721.859999999</v>
      </c>
      <c r="AM105" s="1218">
        <f t="shared" si="102"/>
        <v>44594024.159999996</v>
      </c>
      <c r="AN105" s="1218">
        <f t="shared" si="103"/>
        <v>25729399.109999999</v>
      </c>
      <c r="AO105" s="1218">
        <f t="shared" si="104"/>
        <v>15986180.65</v>
      </c>
      <c r="AP105" s="1218">
        <f t="shared" si="78"/>
        <v>86309603.920000002</v>
      </c>
      <c r="AQ105" s="1218">
        <f t="shared" si="79"/>
        <v>3001975.8400000036</v>
      </c>
      <c r="AR105" s="1218">
        <f t="shared" si="80"/>
        <v>9160600.8900000006</v>
      </c>
      <c r="AS105" s="1218">
        <f t="shared" si="81"/>
        <v>2013819.3499999996</v>
      </c>
      <c r="AT105" s="1218">
        <f t="shared" si="82"/>
        <v>14176396.080000004</v>
      </c>
      <c r="AU105" s="1219">
        <f t="shared" si="83"/>
        <v>0.93692798050256321</v>
      </c>
      <c r="AV105" s="1219">
        <f t="shared" si="84"/>
        <v>0.73744336801375754</v>
      </c>
      <c r="AW105" s="1219">
        <f t="shared" si="85"/>
        <v>0.88812114722222224</v>
      </c>
      <c r="AX105" s="1219">
        <f t="shared" si="86"/>
        <v>0.8589216798359971</v>
      </c>
      <c r="AY105" s="1218">
        <f t="shared" si="87"/>
        <v>0</v>
      </c>
      <c r="AZ105" s="1218">
        <f t="shared" si="88"/>
        <v>0</v>
      </c>
      <c r="BA105" s="1218">
        <f t="shared" si="89"/>
        <v>0</v>
      </c>
      <c r="BB105" s="1218">
        <f t="shared" si="90"/>
        <v>0</v>
      </c>
      <c r="BC105" s="125"/>
      <c r="BF105" s="105">
        <f t="shared" si="71"/>
        <v>3806142.1000000015</v>
      </c>
      <c r="BP105" s="149">
        <f>+'CY (ALL FUNDS)'!F78</f>
        <v>47596000</v>
      </c>
      <c r="BQ105" s="149">
        <f>+'CY (ALL FUNDS)'!G78</f>
        <v>18954000</v>
      </c>
      <c r="BR105" s="149">
        <f>+'CY (ALL FUNDS)'!H78</f>
        <v>0</v>
      </c>
      <c r="BT105" s="111">
        <f t="shared" si="105"/>
        <v>0</v>
      </c>
      <c r="BU105" s="111">
        <f t="shared" si="106"/>
        <v>0</v>
      </c>
      <c r="BV105" s="111">
        <f t="shared" si="107"/>
        <v>0</v>
      </c>
    </row>
    <row r="106" spans="1:74" ht="36">
      <c r="A106" s="587" t="s">
        <v>939</v>
      </c>
      <c r="B106" s="1309" t="s">
        <v>540</v>
      </c>
      <c r="C106" s="1218">
        <v>9103000</v>
      </c>
      <c r="D106" s="1218">
        <v>9635000</v>
      </c>
      <c r="E106" s="1218">
        <v>0</v>
      </c>
      <c r="F106" s="1218">
        <f t="shared" si="60"/>
        <v>18738000</v>
      </c>
      <c r="G106" s="1218"/>
      <c r="H106" s="1218"/>
      <c r="I106" s="1218"/>
      <c r="J106" s="1218">
        <f t="shared" si="61"/>
        <v>0</v>
      </c>
      <c r="K106" s="1218">
        <f t="shared" ref="K106:K169" si="108">+C106+G106</f>
        <v>9103000</v>
      </c>
      <c r="L106" s="1218">
        <f t="shared" ref="L106:L169" si="109">+D106+H106</f>
        <v>9635000</v>
      </c>
      <c r="M106" s="1218">
        <f t="shared" ref="M106:M169" si="110">+E106+I106</f>
        <v>0</v>
      </c>
      <c r="N106" s="1218">
        <f t="shared" ref="N106:N169" si="111">SUM(K106:M106)</f>
        <v>18738000</v>
      </c>
      <c r="O106" s="1218">
        <v>9103000</v>
      </c>
      <c r="P106" s="1218">
        <v>9635000</v>
      </c>
      <c r="Q106" s="1218">
        <v>0</v>
      </c>
      <c r="R106" s="1218">
        <f t="shared" si="72"/>
        <v>18738000</v>
      </c>
      <c r="S106" s="1218"/>
      <c r="T106" s="1218"/>
      <c r="U106" s="1218"/>
      <c r="V106" s="1218">
        <f t="shared" si="64"/>
        <v>0</v>
      </c>
      <c r="W106" s="1218">
        <f>+'CY (ALL FUNDS)'!F94</f>
        <v>0</v>
      </c>
      <c r="X106" s="1218">
        <f>+'CY (ALL FUNDS)'!G94</f>
        <v>3290000</v>
      </c>
      <c r="Y106" s="1218">
        <f>+'CY (ALL FUNDS)'!H94</f>
        <v>8000000</v>
      </c>
      <c r="Z106" s="1218">
        <f t="shared" si="73"/>
        <v>11290000</v>
      </c>
      <c r="AA106" s="1218">
        <f t="shared" si="74"/>
        <v>9103000</v>
      </c>
      <c r="AB106" s="1218">
        <f t="shared" si="75"/>
        <v>12925000</v>
      </c>
      <c r="AC106" s="1218">
        <f t="shared" si="76"/>
        <v>8000000</v>
      </c>
      <c r="AD106" s="1218">
        <f t="shared" si="77"/>
        <v>30028000</v>
      </c>
      <c r="AE106" s="1218">
        <f>+'CY (ALL FUNDS)'!J93</f>
        <v>8496555.0299999993</v>
      </c>
      <c r="AF106" s="1218">
        <f>+'CY (ALL FUNDS)'!K93</f>
        <v>7876985.0599999996</v>
      </c>
      <c r="AG106" s="1218">
        <f>+'CY (ALL FUNDS)'!L93</f>
        <v>0</v>
      </c>
      <c r="AH106" s="1218">
        <f t="shared" si="62"/>
        <v>16373540.09</v>
      </c>
      <c r="AI106" s="1218">
        <f>+'CY (ALL FUNDS)'!J94</f>
        <v>0</v>
      </c>
      <c r="AJ106" s="1218">
        <f>+'CY (ALL FUNDS)'!K94</f>
        <v>2117920.2800000003</v>
      </c>
      <c r="AK106" s="1218">
        <f>+'CY (ALL FUNDS)'!L94</f>
        <v>7892101.29</v>
      </c>
      <c r="AL106" s="1218">
        <f t="shared" si="63"/>
        <v>10010021.57</v>
      </c>
      <c r="AM106" s="1218">
        <f t="shared" si="102"/>
        <v>8496555.0299999993</v>
      </c>
      <c r="AN106" s="1218">
        <f t="shared" si="103"/>
        <v>9994905.3399999999</v>
      </c>
      <c r="AO106" s="1218">
        <f t="shared" si="104"/>
        <v>7892101.29</v>
      </c>
      <c r="AP106" s="1218">
        <f t="shared" si="78"/>
        <v>26383561.659999996</v>
      </c>
      <c r="AQ106" s="1218">
        <f t="shared" si="79"/>
        <v>606444.97000000067</v>
      </c>
      <c r="AR106" s="1218">
        <f t="shared" si="80"/>
        <v>2930094.66</v>
      </c>
      <c r="AS106" s="1218">
        <f t="shared" si="81"/>
        <v>107898.70999999996</v>
      </c>
      <c r="AT106" s="1218">
        <f t="shared" si="82"/>
        <v>3644438.3400000008</v>
      </c>
      <c r="AU106" s="1219">
        <f t="shared" si="83"/>
        <v>0.93337965835438863</v>
      </c>
      <c r="AV106" s="1219">
        <f t="shared" si="84"/>
        <v>0.77330021972920693</v>
      </c>
      <c r="AW106" s="1219">
        <f t="shared" si="85"/>
        <v>0.98651266125000003</v>
      </c>
      <c r="AX106" s="1219">
        <f t="shared" si="86"/>
        <v>0.87863199880111886</v>
      </c>
      <c r="AY106" s="1218">
        <f t="shared" si="87"/>
        <v>0</v>
      </c>
      <c r="AZ106" s="1218">
        <f t="shared" si="88"/>
        <v>0</v>
      </c>
      <c r="BA106" s="1218">
        <f t="shared" si="89"/>
        <v>0</v>
      </c>
      <c r="BB106" s="1218">
        <f t="shared" si="90"/>
        <v>0</v>
      </c>
      <c r="BC106" s="125"/>
      <c r="BF106" s="105">
        <f t="shared" si="71"/>
        <v>1758014.9400000004</v>
      </c>
      <c r="BP106" s="149">
        <f>+'CY (ALL FUNDS)'!F93</f>
        <v>9103000</v>
      </c>
      <c r="BQ106" s="149">
        <f>+'CY (ALL FUNDS)'!G93</f>
        <v>9635000</v>
      </c>
      <c r="BR106" s="149">
        <f>+'CY (ALL FUNDS)'!H93</f>
        <v>0</v>
      </c>
      <c r="BT106" s="111">
        <f t="shared" si="105"/>
        <v>0</v>
      </c>
      <c r="BU106" s="111">
        <f t="shared" si="106"/>
        <v>0</v>
      </c>
      <c r="BV106" s="111">
        <f t="shared" si="107"/>
        <v>0</v>
      </c>
    </row>
    <row r="107" spans="1:74" ht="36">
      <c r="A107" s="587" t="s">
        <v>939</v>
      </c>
      <c r="B107" s="1308" t="s">
        <v>541</v>
      </c>
      <c r="C107" s="1218">
        <v>97352000</v>
      </c>
      <c r="D107" s="1218">
        <v>44373000</v>
      </c>
      <c r="E107" s="1218">
        <v>0</v>
      </c>
      <c r="F107" s="1218">
        <f t="shared" ref="F107:F170" si="112">SUM(C107:E107)</f>
        <v>141725000</v>
      </c>
      <c r="G107" s="1218"/>
      <c r="H107" s="1218"/>
      <c r="I107" s="1218"/>
      <c r="J107" s="1218">
        <f t="shared" ref="J107:J170" si="113">SUM(G107:I107)</f>
        <v>0</v>
      </c>
      <c r="K107" s="1218">
        <f t="shared" si="108"/>
        <v>97352000</v>
      </c>
      <c r="L107" s="1218">
        <f t="shared" si="109"/>
        <v>44373000</v>
      </c>
      <c r="M107" s="1218">
        <f t="shared" si="110"/>
        <v>0</v>
      </c>
      <c r="N107" s="1218">
        <f t="shared" si="111"/>
        <v>141725000</v>
      </c>
      <c r="O107" s="1218">
        <v>97352000</v>
      </c>
      <c r="P107" s="1218">
        <v>44373000</v>
      </c>
      <c r="Q107" s="1218">
        <v>0</v>
      </c>
      <c r="R107" s="1218">
        <f t="shared" si="72"/>
        <v>141725000</v>
      </c>
      <c r="S107" s="1218"/>
      <c r="T107" s="1218"/>
      <c r="U107" s="1218"/>
      <c r="V107" s="1218">
        <f t="shared" si="64"/>
        <v>0</v>
      </c>
      <c r="W107" s="1218">
        <f>+'CY (ALL FUNDS)'!F109</f>
        <v>0</v>
      </c>
      <c r="X107" s="1218">
        <f>+'CY (ALL FUNDS)'!G109</f>
        <v>21592000</v>
      </c>
      <c r="Y107" s="1218">
        <f>+'CY (ALL FUNDS)'!H109</f>
        <v>289873882</v>
      </c>
      <c r="Z107" s="1218">
        <f t="shared" si="73"/>
        <v>311465882</v>
      </c>
      <c r="AA107" s="1218">
        <f t="shared" si="74"/>
        <v>97352000</v>
      </c>
      <c r="AB107" s="1218">
        <f t="shared" si="75"/>
        <v>65965000</v>
      </c>
      <c r="AC107" s="1218">
        <f t="shared" si="76"/>
        <v>289873882</v>
      </c>
      <c r="AD107" s="1218">
        <f t="shared" si="77"/>
        <v>453190882</v>
      </c>
      <c r="AE107" s="1218">
        <f>+'CY (ALL FUNDS)'!J108</f>
        <v>90871211.590000004</v>
      </c>
      <c r="AF107" s="1218">
        <f>+'CY (ALL FUNDS)'!K108</f>
        <v>43187725.390000001</v>
      </c>
      <c r="AG107" s="1218">
        <f>+'CY (ALL FUNDS)'!L108</f>
        <v>0</v>
      </c>
      <c r="AH107" s="1218">
        <f t="shared" ref="AH107:AH170" si="114">SUM(AE107:AG107)</f>
        <v>134058936.98</v>
      </c>
      <c r="AI107" s="1218">
        <f>+'CY (ALL FUNDS)'!J109</f>
        <v>0</v>
      </c>
      <c r="AJ107" s="1218">
        <f>+'CY (ALL FUNDS)'!K109</f>
        <v>21519734.219999999</v>
      </c>
      <c r="AK107" s="1218">
        <f>+'CY (ALL FUNDS)'!L109</f>
        <v>289830541.81999999</v>
      </c>
      <c r="AL107" s="1218">
        <f t="shared" ref="AL107:AL170" si="115">SUM(AI107:AK107)</f>
        <v>311350276.03999996</v>
      </c>
      <c r="AM107" s="1218">
        <f t="shared" si="102"/>
        <v>90871211.590000004</v>
      </c>
      <c r="AN107" s="1218">
        <f t="shared" si="103"/>
        <v>64707459.609999999</v>
      </c>
      <c r="AO107" s="1218">
        <f t="shared" si="104"/>
        <v>289830541.81999999</v>
      </c>
      <c r="AP107" s="1218">
        <f t="shared" si="78"/>
        <v>445409213.01999998</v>
      </c>
      <c r="AQ107" s="1218">
        <f t="shared" si="79"/>
        <v>6480788.4099999964</v>
      </c>
      <c r="AR107" s="1218">
        <f t="shared" si="80"/>
        <v>1257540.3900000006</v>
      </c>
      <c r="AS107" s="1218">
        <f t="shared" si="81"/>
        <v>43340.180000007153</v>
      </c>
      <c r="AT107" s="1218">
        <f t="shared" si="82"/>
        <v>7781668.9800000042</v>
      </c>
      <c r="AU107" s="1219">
        <f t="shared" si="83"/>
        <v>0.93342932441038706</v>
      </c>
      <c r="AV107" s="1219">
        <f t="shared" si="84"/>
        <v>0.98093624816190406</v>
      </c>
      <c r="AW107" s="1219">
        <f t="shared" si="85"/>
        <v>0.99985048608139171</v>
      </c>
      <c r="AX107" s="1219">
        <f t="shared" si="86"/>
        <v>0.98282915811179095</v>
      </c>
      <c r="AY107" s="1218">
        <f t="shared" si="87"/>
        <v>0</v>
      </c>
      <c r="AZ107" s="1218">
        <f t="shared" si="88"/>
        <v>0</v>
      </c>
      <c r="BA107" s="1218">
        <f t="shared" si="89"/>
        <v>0</v>
      </c>
      <c r="BB107" s="1218">
        <f t="shared" si="90"/>
        <v>0</v>
      </c>
      <c r="BC107" s="125"/>
      <c r="BF107" s="105">
        <f t="shared" si="71"/>
        <v>1185274.6099999994</v>
      </c>
      <c r="BP107" s="149">
        <f>+'CY (ALL FUNDS)'!F108</f>
        <v>97352000</v>
      </c>
      <c r="BQ107" s="149">
        <f>+'CY (ALL FUNDS)'!G108</f>
        <v>44373000</v>
      </c>
      <c r="BR107" s="149">
        <f>+'CY (ALL FUNDS)'!H108</f>
        <v>0</v>
      </c>
      <c r="BT107" s="111">
        <f t="shared" si="105"/>
        <v>0</v>
      </c>
      <c r="BU107" s="111">
        <f t="shared" si="106"/>
        <v>0</v>
      </c>
      <c r="BV107" s="111">
        <f t="shared" si="107"/>
        <v>0</v>
      </c>
    </row>
    <row r="108" spans="1:74">
      <c r="B108" s="1310"/>
      <c r="C108" s="1218"/>
      <c r="D108" s="1218"/>
      <c r="E108" s="1218"/>
      <c r="F108" s="1218"/>
      <c r="G108" s="1218"/>
      <c r="H108" s="1218"/>
      <c r="I108" s="1218"/>
      <c r="J108" s="1218">
        <f t="shared" si="113"/>
        <v>0</v>
      </c>
      <c r="K108" s="1218">
        <f t="shared" si="108"/>
        <v>0</v>
      </c>
      <c r="L108" s="1218">
        <f t="shared" si="109"/>
        <v>0</v>
      </c>
      <c r="M108" s="1218">
        <f t="shared" si="110"/>
        <v>0</v>
      </c>
      <c r="N108" s="1218">
        <f t="shared" si="111"/>
        <v>0</v>
      </c>
      <c r="O108" s="1218"/>
      <c r="P108" s="1218"/>
      <c r="Q108" s="1218"/>
      <c r="R108" s="1218">
        <f t="shared" si="72"/>
        <v>0</v>
      </c>
      <c r="S108" s="1218"/>
      <c r="T108" s="1218"/>
      <c r="U108" s="1218"/>
      <c r="V108" s="1218"/>
      <c r="W108" s="1218"/>
      <c r="X108" s="1218"/>
      <c r="Y108" s="1218"/>
      <c r="Z108" s="1218">
        <f t="shared" si="73"/>
        <v>0</v>
      </c>
      <c r="AA108" s="1218">
        <f t="shared" si="74"/>
        <v>0</v>
      </c>
      <c r="AB108" s="1218">
        <f t="shared" si="75"/>
        <v>0</v>
      </c>
      <c r="AC108" s="1218">
        <f t="shared" si="76"/>
        <v>0</v>
      </c>
      <c r="AD108" s="1218">
        <f t="shared" si="77"/>
        <v>0</v>
      </c>
      <c r="AE108" s="1218"/>
      <c r="AF108" s="1218"/>
      <c r="AG108" s="1218"/>
      <c r="AH108" s="1218"/>
      <c r="AI108" s="1218"/>
      <c r="AJ108" s="1218"/>
      <c r="AK108" s="1218"/>
      <c r="AL108" s="1218"/>
      <c r="AM108" s="1218"/>
      <c r="AN108" s="1218"/>
      <c r="AO108" s="1218"/>
      <c r="AP108" s="1218">
        <f t="shared" si="78"/>
        <v>0</v>
      </c>
      <c r="AQ108" s="1218">
        <f t="shared" si="79"/>
        <v>0</v>
      </c>
      <c r="AR108" s="1218">
        <f t="shared" si="80"/>
        <v>0</v>
      </c>
      <c r="AS108" s="1218">
        <f t="shared" si="81"/>
        <v>0</v>
      </c>
      <c r="AT108" s="1218">
        <f t="shared" si="82"/>
        <v>0</v>
      </c>
      <c r="AU108" s="1219" t="str">
        <f t="shared" si="83"/>
        <v xml:space="preserve"> </v>
      </c>
      <c r="AV108" s="1219" t="str">
        <f t="shared" si="84"/>
        <v xml:space="preserve"> </v>
      </c>
      <c r="AW108" s="1219" t="str">
        <f t="shared" si="85"/>
        <v xml:space="preserve"> </v>
      </c>
      <c r="AX108" s="1219" t="str">
        <f t="shared" si="86"/>
        <v xml:space="preserve"> </v>
      </c>
      <c r="AY108" s="1218">
        <f t="shared" si="87"/>
        <v>0</v>
      </c>
      <c r="AZ108" s="1218">
        <f t="shared" si="88"/>
        <v>0</v>
      </c>
      <c r="BA108" s="1218">
        <f t="shared" si="89"/>
        <v>0</v>
      </c>
      <c r="BB108" s="1218">
        <f t="shared" si="90"/>
        <v>0</v>
      </c>
      <c r="BC108" s="125"/>
      <c r="BF108" s="105">
        <f t="shared" si="71"/>
        <v>0</v>
      </c>
      <c r="BQ108" s="149"/>
      <c r="BR108" s="149"/>
    </row>
    <row r="109" spans="1:74" ht="12.75">
      <c r="A109" s="587" t="s">
        <v>936</v>
      </c>
      <c r="B109" s="1305" t="s">
        <v>26</v>
      </c>
      <c r="C109" s="1218">
        <f>SUM(C110:C116)</f>
        <v>408702000</v>
      </c>
      <c r="D109" s="1218">
        <f>SUM(D110:D116)</f>
        <v>248619000</v>
      </c>
      <c r="E109" s="1218">
        <f>SUM(E110:E116)</f>
        <v>0</v>
      </c>
      <c r="F109" s="1218">
        <f t="shared" ref="F109:Q109" si="116">SUM(F110:F116)</f>
        <v>657321000</v>
      </c>
      <c r="G109" s="1218">
        <f t="shared" si="116"/>
        <v>0</v>
      </c>
      <c r="H109" s="1218">
        <f t="shared" si="116"/>
        <v>0</v>
      </c>
      <c r="I109" s="1218">
        <f t="shared" si="116"/>
        <v>0</v>
      </c>
      <c r="J109" s="1218">
        <f t="shared" si="116"/>
        <v>0</v>
      </c>
      <c r="K109" s="1218">
        <f t="shared" si="116"/>
        <v>408702000</v>
      </c>
      <c r="L109" s="1218">
        <f t="shared" si="116"/>
        <v>248619000</v>
      </c>
      <c r="M109" s="1218">
        <f t="shared" si="116"/>
        <v>0</v>
      </c>
      <c r="N109" s="1218">
        <f t="shared" si="116"/>
        <v>657321000</v>
      </c>
      <c r="O109" s="1218">
        <f t="shared" si="116"/>
        <v>408702000</v>
      </c>
      <c r="P109" s="1218">
        <f t="shared" si="116"/>
        <v>248619000</v>
      </c>
      <c r="Q109" s="1218">
        <f t="shared" si="116"/>
        <v>0</v>
      </c>
      <c r="R109" s="1218">
        <f t="shared" si="72"/>
        <v>657321000</v>
      </c>
      <c r="S109" s="1218"/>
      <c r="T109" s="1218"/>
      <c r="U109" s="1218"/>
      <c r="V109" s="1218">
        <f>SUM(V110:V116)</f>
        <v>0</v>
      </c>
      <c r="W109" s="1218">
        <f t="shared" ref="W109:AO109" si="117">SUM(W110:W116)</f>
        <v>0</v>
      </c>
      <c r="X109" s="1218">
        <f t="shared" si="117"/>
        <v>217675441</v>
      </c>
      <c r="Y109" s="1218">
        <f t="shared" si="117"/>
        <v>298230229</v>
      </c>
      <c r="Z109" s="1218">
        <f t="shared" si="73"/>
        <v>515905670</v>
      </c>
      <c r="AA109" s="1218">
        <f t="shared" si="74"/>
        <v>408702000</v>
      </c>
      <c r="AB109" s="1218">
        <f t="shared" si="75"/>
        <v>466294441</v>
      </c>
      <c r="AC109" s="1218">
        <f t="shared" si="76"/>
        <v>298230229</v>
      </c>
      <c r="AD109" s="1218">
        <f t="shared" si="77"/>
        <v>1173226670</v>
      </c>
      <c r="AE109" s="1218">
        <f t="shared" si="117"/>
        <v>371304829.38999999</v>
      </c>
      <c r="AF109" s="1218">
        <f>SUM(AF110:AF116)</f>
        <v>206249063</v>
      </c>
      <c r="AG109" s="1218">
        <f>SUM(AG110:AG116)</f>
        <v>0</v>
      </c>
      <c r="AH109" s="1218">
        <f t="shared" si="117"/>
        <v>577553892.38999999</v>
      </c>
      <c r="AI109" s="1218">
        <f t="shared" si="117"/>
        <v>0</v>
      </c>
      <c r="AJ109" s="1218">
        <f t="shared" si="117"/>
        <v>181987002.38</v>
      </c>
      <c r="AK109" s="1218">
        <f t="shared" si="117"/>
        <v>294070135.32000005</v>
      </c>
      <c r="AL109" s="1218">
        <f t="shared" si="117"/>
        <v>476057137.69999999</v>
      </c>
      <c r="AM109" s="1218">
        <f t="shared" si="117"/>
        <v>371304829.38999999</v>
      </c>
      <c r="AN109" s="1218">
        <f t="shared" si="117"/>
        <v>388236065.38</v>
      </c>
      <c r="AO109" s="1218">
        <f t="shared" si="117"/>
        <v>294070135.32000005</v>
      </c>
      <c r="AP109" s="1218">
        <f t="shared" si="78"/>
        <v>1053611030.09</v>
      </c>
      <c r="AQ109" s="1218">
        <f t="shared" si="79"/>
        <v>37397170.610000014</v>
      </c>
      <c r="AR109" s="1218">
        <f t="shared" si="80"/>
        <v>78058375.620000005</v>
      </c>
      <c r="AS109" s="1218">
        <f t="shared" si="81"/>
        <v>4160093.6799999475</v>
      </c>
      <c r="AT109" s="1218">
        <f t="shared" si="82"/>
        <v>119615639.90999997</v>
      </c>
      <c r="AU109" s="1219">
        <f t="shared" si="83"/>
        <v>0.90849770588350431</v>
      </c>
      <c r="AV109" s="1219">
        <f t="shared" si="84"/>
        <v>0.8325985284049312</v>
      </c>
      <c r="AW109" s="1219">
        <f t="shared" si="85"/>
        <v>0.98605073102767204</v>
      </c>
      <c r="AX109" s="1219">
        <f t="shared" si="86"/>
        <v>0.89804558405580737</v>
      </c>
      <c r="AY109" s="1218">
        <f t="shared" si="87"/>
        <v>0</v>
      </c>
      <c r="AZ109" s="1218">
        <f t="shared" si="88"/>
        <v>0</v>
      </c>
      <c r="BA109" s="1218">
        <f t="shared" si="89"/>
        <v>0</v>
      </c>
      <c r="BB109" s="1218">
        <f t="shared" si="90"/>
        <v>0</v>
      </c>
      <c r="BC109" s="125"/>
      <c r="BF109" s="105">
        <f t="shared" si="71"/>
        <v>42369937</v>
      </c>
      <c r="BQ109" s="149"/>
      <c r="BR109" s="149"/>
    </row>
    <row r="110" spans="1:74" ht="36">
      <c r="A110" s="587" t="s">
        <v>936</v>
      </c>
      <c r="B110" s="1306" t="s">
        <v>534</v>
      </c>
      <c r="C110" s="1218">
        <v>23244000</v>
      </c>
      <c r="D110" s="1218">
        <v>6180000</v>
      </c>
      <c r="E110" s="1218">
        <v>0</v>
      </c>
      <c r="F110" s="1218">
        <f t="shared" si="112"/>
        <v>29424000</v>
      </c>
      <c r="G110" s="1218"/>
      <c r="H110" s="1218"/>
      <c r="I110" s="1218"/>
      <c r="J110" s="1218">
        <f t="shared" si="113"/>
        <v>0</v>
      </c>
      <c r="K110" s="1218">
        <f t="shared" si="108"/>
        <v>23244000</v>
      </c>
      <c r="L110" s="1218">
        <f t="shared" si="109"/>
        <v>6180000</v>
      </c>
      <c r="M110" s="1218">
        <f t="shared" si="110"/>
        <v>0</v>
      </c>
      <c r="N110" s="1218">
        <f t="shared" si="111"/>
        <v>29424000</v>
      </c>
      <c r="O110" s="1218">
        <v>23244000</v>
      </c>
      <c r="P110" s="1218">
        <v>6180000</v>
      </c>
      <c r="Q110" s="1218">
        <v>0</v>
      </c>
      <c r="R110" s="1218">
        <f t="shared" si="72"/>
        <v>29424000</v>
      </c>
      <c r="S110" s="1218"/>
      <c r="T110" s="1218"/>
      <c r="U110" s="1218"/>
      <c r="V110" s="1218">
        <f t="shared" ref="V110:V171" si="118">SUM(S110:U110)</f>
        <v>0</v>
      </c>
      <c r="W110" s="1218"/>
      <c r="X110" s="1218"/>
      <c r="Y110" s="1218"/>
      <c r="Z110" s="1218">
        <f t="shared" si="73"/>
        <v>0</v>
      </c>
      <c r="AA110" s="1218">
        <f t="shared" si="74"/>
        <v>23244000</v>
      </c>
      <c r="AB110" s="1218">
        <f t="shared" si="75"/>
        <v>6180000</v>
      </c>
      <c r="AC110" s="1218">
        <f t="shared" si="76"/>
        <v>0</v>
      </c>
      <c r="AD110" s="1218">
        <f t="shared" si="77"/>
        <v>29424000</v>
      </c>
      <c r="AE110" s="1218">
        <f>+'CY (ALL FUNDS)'!J235</f>
        <v>22083788.240000002</v>
      </c>
      <c r="AF110" s="1218">
        <f>+'CY (ALL FUNDS)'!K235</f>
        <v>6142009.7200000007</v>
      </c>
      <c r="AG110" s="1218">
        <f>+'CY (ALL FUNDS)'!L235</f>
        <v>0</v>
      </c>
      <c r="AH110" s="1218">
        <f t="shared" si="114"/>
        <v>28225797.960000001</v>
      </c>
      <c r="AI110" s="1218"/>
      <c r="AJ110" s="1218"/>
      <c r="AK110" s="1218"/>
      <c r="AL110" s="1218">
        <f t="shared" si="115"/>
        <v>0</v>
      </c>
      <c r="AM110" s="1218">
        <f t="shared" ref="AM110:AM116" si="119">+AE110+AI110</f>
        <v>22083788.240000002</v>
      </c>
      <c r="AN110" s="1218">
        <f t="shared" ref="AN110:AN116" si="120">+AF110+AJ110</f>
        <v>6142009.7200000007</v>
      </c>
      <c r="AO110" s="1218">
        <f t="shared" ref="AO110:AO116" si="121">+AG110+AK110</f>
        <v>0</v>
      </c>
      <c r="AP110" s="1218">
        <f t="shared" si="78"/>
        <v>28225797.960000001</v>
      </c>
      <c r="AQ110" s="1218">
        <f t="shared" si="79"/>
        <v>1160211.7599999979</v>
      </c>
      <c r="AR110" s="1218">
        <f t="shared" si="80"/>
        <v>37990.279999999329</v>
      </c>
      <c r="AS110" s="1218">
        <f t="shared" si="81"/>
        <v>0</v>
      </c>
      <c r="AT110" s="1218">
        <f t="shared" si="82"/>
        <v>1198202.0399999972</v>
      </c>
      <c r="AU110" s="1219">
        <f t="shared" si="83"/>
        <v>0.95008553777318883</v>
      </c>
      <c r="AV110" s="1219">
        <f t="shared" si="84"/>
        <v>0.99385270550161819</v>
      </c>
      <c r="AW110" s="1219" t="str">
        <f t="shared" si="85"/>
        <v xml:space="preserve"> </v>
      </c>
      <c r="AX110" s="1219">
        <f t="shared" si="86"/>
        <v>0.95927807096247963</v>
      </c>
      <c r="AY110" s="1218">
        <f t="shared" si="87"/>
        <v>0</v>
      </c>
      <c r="AZ110" s="1218">
        <f t="shared" si="88"/>
        <v>0</v>
      </c>
      <c r="BA110" s="1218">
        <f t="shared" si="89"/>
        <v>0</v>
      </c>
      <c r="BB110" s="1218">
        <f t="shared" si="90"/>
        <v>0</v>
      </c>
      <c r="BC110" s="125"/>
      <c r="BD110" s="105">
        <f>+AT110-'CY (ALL FUNDS)'!Q235</f>
        <v>0</v>
      </c>
      <c r="BF110" s="105">
        <f t="shared" si="71"/>
        <v>37990.279999999329</v>
      </c>
      <c r="BP110" s="149">
        <f>+'CY (ALL FUNDS)'!F235</f>
        <v>23244000</v>
      </c>
      <c r="BQ110" s="149">
        <f>+'CY (ALL FUNDS)'!G235</f>
        <v>6180000</v>
      </c>
      <c r="BR110" s="149">
        <f>+'CY (ALL FUNDS)'!H235</f>
        <v>0</v>
      </c>
      <c r="BT110" s="111">
        <f t="shared" ref="BT110:BT116" si="122">+O110-BP110</f>
        <v>0</v>
      </c>
      <c r="BU110" s="111">
        <f t="shared" ref="BU110:BU116" si="123">+P110-BQ110</f>
        <v>0</v>
      </c>
      <c r="BV110" s="111">
        <f t="shared" ref="BV110:BV116" si="124">+Q110-BR110</f>
        <v>0</v>
      </c>
    </row>
    <row r="111" spans="1:74" ht="12.75">
      <c r="A111" s="587" t="s">
        <v>936</v>
      </c>
      <c r="B111" s="1307" t="s">
        <v>535</v>
      </c>
      <c r="C111" s="1218">
        <v>1902000</v>
      </c>
      <c r="D111" s="1218">
        <v>9104000</v>
      </c>
      <c r="E111" s="1218">
        <v>0</v>
      </c>
      <c r="F111" s="1218">
        <f t="shared" si="112"/>
        <v>11006000</v>
      </c>
      <c r="G111" s="1218"/>
      <c r="H111" s="1218"/>
      <c r="I111" s="1218"/>
      <c r="J111" s="1218">
        <f t="shared" si="113"/>
        <v>0</v>
      </c>
      <c r="K111" s="1218">
        <f t="shared" si="108"/>
        <v>1902000</v>
      </c>
      <c r="L111" s="1218">
        <f t="shared" si="109"/>
        <v>9104000</v>
      </c>
      <c r="M111" s="1218">
        <f t="shared" si="110"/>
        <v>0</v>
      </c>
      <c r="N111" s="1218">
        <f t="shared" si="111"/>
        <v>11006000</v>
      </c>
      <c r="O111" s="1218">
        <v>1902000</v>
      </c>
      <c r="P111" s="1218">
        <v>9104000</v>
      </c>
      <c r="Q111" s="1218">
        <v>0</v>
      </c>
      <c r="R111" s="1218">
        <f t="shared" si="72"/>
        <v>11006000</v>
      </c>
      <c r="S111" s="1218"/>
      <c r="T111" s="1218"/>
      <c r="U111" s="1218"/>
      <c r="V111" s="1218">
        <f t="shared" si="118"/>
        <v>0</v>
      </c>
      <c r="W111" s="1218"/>
      <c r="X111" s="1218"/>
      <c r="Y111" s="1218"/>
      <c r="Z111" s="1218">
        <f t="shared" si="73"/>
        <v>0</v>
      </c>
      <c r="AA111" s="1218">
        <f t="shared" si="74"/>
        <v>1902000</v>
      </c>
      <c r="AB111" s="1218">
        <f t="shared" si="75"/>
        <v>9104000</v>
      </c>
      <c r="AC111" s="1218">
        <f t="shared" si="76"/>
        <v>0</v>
      </c>
      <c r="AD111" s="1218">
        <f t="shared" si="77"/>
        <v>11006000</v>
      </c>
      <c r="AE111" s="1218">
        <f>+'CY (ALL FUNDS)'!J236</f>
        <v>1549230.56</v>
      </c>
      <c r="AF111" s="1218">
        <f>+'CY (ALL FUNDS)'!K236</f>
        <v>5910291.7100000009</v>
      </c>
      <c r="AG111" s="1218">
        <f>+'CY (ALL FUNDS)'!L236</f>
        <v>0</v>
      </c>
      <c r="AH111" s="1218">
        <f t="shared" si="114"/>
        <v>7459522.2700000014</v>
      </c>
      <c r="AI111" s="1218"/>
      <c r="AJ111" s="1218"/>
      <c r="AK111" s="1218"/>
      <c r="AL111" s="1218">
        <f t="shared" si="115"/>
        <v>0</v>
      </c>
      <c r="AM111" s="1218">
        <f t="shared" si="119"/>
        <v>1549230.56</v>
      </c>
      <c r="AN111" s="1218">
        <f t="shared" si="120"/>
        <v>5910291.7100000009</v>
      </c>
      <c r="AO111" s="1218">
        <f t="shared" si="121"/>
        <v>0</v>
      </c>
      <c r="AP111" s="1218">
        <f t="shared" si="78"/>
        <v>7459522.2700000014</v>
      </c>
      <c r="AQ111" s="1218">
        <f t="shared" si="79"/>
        <v>352769.43999999994</v>
      </c>
      <c r="AR111" s="1218">
        <f t="shared" si="80"/>
        <v>3193708.2899999991</v>
      </c>
      <c r="AS111" s="1218">
        <f t="shared" si="81"/>
        <v>0</v>
      </c>
      <c r="AT111" s="1218">
        <f t="shared" si="82"/>
        <v>3546477.7299999991</v>
      </c>
      <c r="AU111" s="1219">
        <f t="shared" si="83"/>
        <v>0.81452710830704522</v>
      </c>
      <c r="AV111" s="1219">
        <f t="shared" si="84"/>
        <v>0.6491972440685414</v>
      </c>
      <c r="AW111" s="1219" t="str">
        <f t="shared" si="85"/>
        <v xml:space="preserve"> </v>
      </c>
      <c r="AX111" s="1219">
        <f t="shared" si="86"/>
        <v>0.67776869616572788</v>
      </c>
      <c r="AY111" s="1218">
        <f t="shared" si="87"/>
        <v>0</v>
      </c>
      <c r="AZ111" s="1218">
        <f t="shared" si="88"/>
        <v>0</v>
      </c>
      <c r="BA111" s="1218">
        <f t="shared" si="89"/>
        <v>0</v>
      </c>
      <c r="BB111" s="1218">
        <f t="shared" si="90"/>
        <v>0</v>
      </c>
      <c r="BC111" s="125"/>
      <c r="BD111" s="105">
        <f>+AT111-'CY (ALL FUNDS)'!Q236</f>
        <v>0</v>
      </c>
      <c r="BF111" s="105">
        <f t="shared" si="71"/>
        <v>3193708.2899999991</v>
      </c>
      <c r="BP111" s="149">
        <f>+'CY (ALL FUNDS)'!F236</f>
        <v>1902000</v>
      </c>
      <c r="BQ111" s="149">
        <f>+'CY (ALL FUNDS)'!G236</f>
        <v>9104000</v>
      </c>
      <c r="BR111" s="149">
        <f>+'CY (ALL FUNDS)'!H236</f>
        <v>0</v>
      </c>
      <c r="BT111" s="111">
        <f t="shared" si="122"/>
        <v>0</v>
      </c>
      <c r="BU111" s="111">
        <f t="shared" si="123"/>
        <v>0</v>
      </c>
      <c r="BV111" s="111">
        <f t="shared" si="124"/>
        <v>0</v>
      </c>
    </row>
    <row r="112" spans="1:74" ht="36">
      <c r="A112" s="587" t="s">
        <v>936</v>
      </c>
      <c r="B112" s="1306" t="s">
        <v>536</v>
      </c>
      <c r="C112" s="1218">
        <v>66325000</v>
      </c>
      <c r="D112" s="1218">
        <v>126572000</v>
      </c>
      <c r="E112" s="1218">
        <v>0</v>
      </c>
      <c r="F112" s="1218">
        <f t="shared" si="112"/>
        <v>192897000</v>
      </c>
      <c r="G112" s="1218"/>
      <c r="H112" s="1218"/>
      <c r="I112" s="1218"/>
      <c r="J112" s="1218">
        <f t="shared" si="113"/>
        <v>0</v>
      </c>
      <c r="K112" s="1218">
        <f t="shared" si="108"/>
        <v>66325000</v>
      </c>
      <c r="L112" s="1218">
        <f t="shared" si="109"/>
        <v>126572000</v>
      </c>
      <c r="M112" s="1218">
        <f t="shared" si="110"/>
        <v>0</v>
      </c>
      <c r="N112" s="1218">
        <f t="shared" si="111"/>
        <v>192897000</v>
      </c>
      <c r="O112" s="1218">
        <v>66325000</v>
      </c>
      <c r="P112" s="1218">
        <v>126572000</v>
      </c>
      <c r="Q112" s="1218">
        <v>0</v>
      </c>
      <c r="R112" s="1218">
        <f t="shared" si="72"/>
        <v>192897000</v>
      </c>
      <c r="S112" s="1218"/>
      <c r="T112" s="1218"/>
      <c r="U112" s="1218"/>
      <c r="V112" s="1218">
        <f t="shared" si="118"/>
        <v>0</v>
      </c>
      <c r="W112" s="1218">
        <f>+'CY (ALL FUNDS)'!F238</f>
        <v>0</v>
      </c>
      <c r="X112" s="1218">
        <f>+'CY (ALL FUNDS)'!G238</f>
        <v>145265571</v>
      </c>
      <c r="Y112" s="1218">
        <f>+'CY (ALL FUNDS)'!H238</f>
        <v>15600000</v>
      </c>
      <c r="Z112" s="1218">
        <f t="shared" si="73"/>
        <v>160865571</v>
      </c>
      <c r="AA112" s="1218">
        <f t="shared" si="74"/>
        <v>66325000</v>
      </c>
      <c r="AB112" s="1218">
        <f t="shared" si="75"/>
        <v>271837571</v>
      </c>
      <c r="AC112" s="1218">
        <f t="shared" si="76"/>
        <v>15600000</v>
      </c>
      <c r="AD112" s="1218">
        <f t="shared" si="77"/>
        <v>353762571</v>
      </c>
      <c r="AE112" s="1218">
        <f>+'CY (ALL FUNDS)'!J237</f>
        <v>56301715.130000003</v>
      </c>
      <c r="AF112" s="1218">
        <f>+'CY (ALL FUNDS)'!K237</f>
        <v>96486784.640000001</v>
      </c>
      <c r="AG112" s="1218">
        <f>+'CY (ALL FUNDS)'!L237</f>
        <v>0</v>
      </c>
      <c r="AH112" s="1218">
        <f t="shared" si="114"/>
        <v>152788499.77000001</v>
      </c>
      <c r="AI112" s="1218">
        <f>+'CY (ALL FUNDS)'!J238</f>
        <v>0</v>
      </c>
      <c r="AJ112" s="1218">
        <f>+'CY (ALL FUNDS)'!K238</f>
        <v>119511632.09999999</v>
      </c>
      <c r="AK112" s="1218">
        <f>+'CY (ALL FUNDS)'!L238</f>
        <v>15206602.370000001</v>
      </c>
      <c r="AL112" s="1218">
        <f t="shared" si="115"/>
        <v>134718234.47</v>
      </c>
      <c r="AM112" s="1218">
        <f t="shared" si="119"/>
        <v>56301715.130000003</v>
      </c>
      <c r="AN112" s="1218">
        <f t="shared" si="120"/>
        <v>215998416.74000001</v>
      </c>
      <c r="AO112" s="1218">
        <f t="shared" si="121"/>
        <v>15206602.370000001</v>
      </c>
      <c r="AP112" s="1218">
        <f t="shared" si="78"/>
        <v>287506734.24000001</v>
      </c>
      <c r="AQ112" s="1218">
        <f t="shared" si="79"/>
        <v>10023284.869999997</v>
      </c>
      <c r="AR112" s="1218">
        <f t="shared" si="80"/>
        <v>55839154.25999999</v>
      </c>
      <c r="AS112" s="1218">
        <f t="shared" si="81"/>
        <v>393397.62999999896</v>
      </c>
      <c r="AT112" s="1218">
        <f t="shared" si="82"/>
        <v>66255836.75999999</v>
      </c>
      <c r="AU112" s="1219">
        <f t="shared" si="83"/>
        <v>0.84887621756502074</v>
      </c>
      <c r="AV112" s="1219">
        <f t="shared" si="84"/>
        <v>0.79458632574376564</v>
      </c>
      <c r="AW112" s="1219">
        <f t="shared" si="85"/>
        <v>0.97478220320512832</v>
      </c>
      <c r="AX112" s="1219">
        <f t="shared" si="86"/>
        <v>0.81271100395751028</v>
      </c>
      <c r="AY112" s="1218">
        <f t="shared" si="87"/>
        <v>0</v>
      </c>
      <c r="AZ112" s="1218">
        <f t="shared" si="88"/>
        <v>0</v>
      </c>
      <c r="BA112" s="1218">
        <f t="shared" si="89"/>
        <v>0</v>
      </c>
      <c r="BB112" s="1218">
        <f t="shared" si="90"/>
        <v>0</v>
      </c>
      <c r="BC112" s="125"/>
      <c r="BD112" s="105">
        <f>+AT112-'CY (ALL FUNDS)'!Q237-'CY (ALL FUNDS)'!Q238</f>
        <v>0</v>
      </c>
      <c r="BF112" s="105">
        <f t="shared" si="71"/>
        <v>30085215.359999999</v>
      </c>
      <c r="BP112" s="149">
        <f>+'CY (ALL FUNDS)'!F237</f>
        <v>66325000</v>
      </c>
      <c r="BQ112" s="149">
        <f>+'CY (ALL FUNDS)'!G237</f>
        <v>126572000</v>
      </c>
      <c r="BR112" s="149">
        <f>+'CY (ALL FUNDS)'!H237</f>
        <v>0</v>
      </c>
      <c r="BT112" s="111">
        <f t="shared" si="122"/>
        <v>0</v>
      </c>
      <c r="BU112" s="111">
        <f t="shared" si="123"/>
        <v>0</v>
      </c>
      <c r="BV112" s="111">
        <f t="shared" si="124"/>
        <v>0</v>
      </c>
    </row>
    <row r="113" spans="1:74" ht="12.75">
      <c r="A113" s="587" t="s">
        <v>936</v>
      </c>
      <c r="B113" s="1307" t="s">
        <v>537</v>
      </c>
      <c r="C113" s="1218">
        <v>0</v>
      </c>
      <c r="D113" s="1218">
        <v>0</v>
      </c>
      <c r="E113" s="1218">
        <v>0</v>
      </c>
      <c r="F113" s="1218">
        <f t="shared" si="112"/>
        <v>0</v>
      </c>
      <c r="G113" s="1218"/>
      <c r="H113" s="1218"/>
      <c r="I113" s="1218"/>
      <c r="J113" s="1218">
        <f t="shared" si="113"/>
        <v>0</v>
      </c>
      <c r="K113" s="1218">
        <f t="shared" si="108"/>
        <v>0</v>
      </c>
      <c r="L113" s="1218">
        <f t="shared" si="109"/>
        <v>0</v>
      </c>
      <c r="M113" s="1218">
        <f t="shared" si="110"/>
        <v>0</v>
      </c>
      <c r="N113" s="1218">
        <f t="shared" si="111"/>
        <v>0</v>
      </c>
      <c r="O113" s="1218">
        <v>0</v>
      </c>
      <c r="P113" s="1218">
        <v>0</v>
      </c>
      <c r="Q113" s="1218">
        <v>0</v>
      </c>
      <c r="R113" s="1218">
        <f t="shared" si="72"/>
        <v>0</v>
      </c>
      <c r="S113" s="1218"/>
      <c r="T113" s="1218"/>
      <c r="U113" s="1218"/>
      <c r="V113" s="1218">
        <f t="shared" si="118"/>
        <v>0</v>
      </c>
      <c r="W113" s="1218"/>
      <c r="X113" s="1218"/>
      <c r="Y113" s="1218"/>
      <c r="Z113" s="1218">
        <f t="shared" si="73"/>
        <v>0</v>
      </c>
      <c r="AA113" s="1218">
        <f t="shared" si="74"/>
        <v>0</v>
      </c>
      <c r="AB113" s="1218">
        <f t="shared" si="75"/>
        <v>0</v>
      </c>
      <c r="AC113" s="1218">
        <f t="shared" si="76"/>
        <v>0</v>
      </c>
      <c r="AD113" s="1218">
        <f t="shared" si="77"/>
        <v>0</v>
      </c>
      <c r="AE113" s="1218"/>
      <c r="AF113" s="1218"/>
      <c r="AG113" s="1218"/>
      <c r="AH113" s="1218">
        <f t="shared" si="114"/>
        <v>0</v>
      </c>
      <c r="AI113" s="1218"/>
      <c r="AJ113" s="1218"/>
      <c r="AK113" s="1218"/>
      <c r="AL113" s="1218">
        <f t="shared" si="115"/>
        <v>0</v>
      </c>
      <c r="AM113" s="1218">
        <f t="shared" si="119"/>
        <v>0</v>
      </c>
      <c r="AN113" s="1218">
        <f t="shared" si="120"/>
        <v>0</v>
      </c>
      <c r="AO113" s="1218">
        <f t="shared" si="121"/>
        <v>0</v>
      </c>
      <c r="AP113" s="1218">
        <f t="shared" si="78"/>
        <v>0</v>
      </c>
      <c r="AQ113" s="1218">
        <f t="shared" si="79"/>
        <v>0</v>
      </c>
      <c r="AR113" s="1218">
        <f t="shared" si="80"/>
        <v>0</v>
      </c>
      <c r="AS113" s="1218">
        <f t="shared" si="81"/>
        <v>0</v>
      </c>
      <c r="AT113" s="1218">
        <f t="shared" si="82"/>
        <v>0</v>
      </c>
      <c r="AU113" s="1219" t="str">
        <f t="shared" si="83"/>
        <v xml:space="preserve"> </v>
      </c>
      <c r="AV113" s="1219" t="str">
        <f t="shared" si="84"/>
        <v xml:space="preserve"> </v>
      </c>
      <c r="AW113" s="1219" t="str">
        <f t="shared" si="85"/>
        <v xml:space="preserve"> </v>
      </c>
      <c r="AX113" s="1219" t="str">
        <f t="shared" si="86"/>
        <v xml:space="preserve"> </v>
      </c>
      <c r="AY113" s="1218">
        <f t="shared" si="87"/>
        <v>0</v>
      </c>
      <c r="AZ113" s="1218">
        <f t="shared" si="88"/>
        <v>0</v>
      </c>
      <c r="BA113" s="1218">
        <f t="shared" si="89"/>
        <v>0</v>
      </c>
      <c r="BB113" s="1218">
        <f t="shared" si="90"/>
        <v>0</v>
      </c>
      <c r="BC113" s="125"/>
      <c r="BF113" s="105">
        <f t="shared" si="71"/>
        <v>0</v>
      </c>
      <c r="BQ113" s="149"/>
      <c r="BR113" s="149"/>
      <c r="BT113" s="111">
        <f t="shared" si="122"/>
        <v>0</v>
      </c>
      <c r="BU113" s="111">
        <f t="shared" si="123"/>
        <v>0</v>
      </c>
      <c r="BV113" s="111">
        <f t="shared" si="124"/>
        <v>0</v>
      </c>
    </row>
    <row r="114" spans="1:74" ht="36">
      <c r="A114" s="587" t="s">
        <v>936</v>
      </c>
      <c r="B114" s="1308" t="s">
        <v>542</v>
      </c>
      <c r="C114" s="1218">
        <v>80499000</v>
      </c>
      <c r="D114" s="1218">
        <v>32754000</v>
      </c>
      <c r="E114" s="1218">
        <v>0</v>
      </c>
      <c r="F114" s="1218">
        <f t="shared" si="112"/>
        <v>113253000</v>
      </c>
      <c r="G114" s="1218"/>
      <c r="H114" s="1218"/>
      <c r="I114" s="1218"/>
      <c r="J114" s="1218">
        <f t="shared" si="113"/>
        <v>0</v>
      </c>
      <c r="K114" s="1218">
        <f t="shared" si="108"/>
        <v>80499000</v>
      </c>
      <c r="L114" s="1218">
        <f t="shared" si="109"/>
        <v>32754000</v>
      </c>
      <c r="M114" s="1218">
        <f t="shared" si="110"/>
        <v>0</v>
      </c>
      <c r="N114" s="1218">
        <f t="shared" si="111"/>
        <v>113253000</v>
      </c>
      <c r="O114" s="1218">
        <v>80499000</v>
      </c>
      <c r="P114" s="1218">
        <v>32754000</v>
      </c>
      <c r="Q114" s="1218">
        <v>0</v>
      </c>
      <c r="R114" s="1218">
        <f t="shared" si="72"/>
        <v>113253000</v>
      </c>
      <c r="S114" s="1218"/>
      <c r="T114" s="1218"/>
      <c r="U114" s="1218"/>
      <c r="V114" s="1218">
        <f t="shared" si="118"/>
        <v>0</v>
      </c>
      <c r="W114" s="1218">
        <f>+'CY (ALL FUNDS)'!F269</f>
        <v>0</v>
      </c>
      <c r="X114" s="1218">
        <f>+'CY (ALL FUNDS)'!G269</f>
        <v>17161820</v>
      </c>
      <c r="Y114" s="1218">
        <f>+'CY (ALL FUNDS)'!H269</f>
        <v>152810229</v>
      </c>
      <c r="Z114" s="1218">
        <f t="shared" si="73"/>
        <v>169972049</v>
      </c>
      <c r="AA114" s="1218">
        <f t="shared" si="74"/>
        <v>80499000</v>
      </c>
      <c r="AB114" s="1218">
        <f t="shared" si="75"/>
        <v>49915820</v>
      </c>
      <c r="AC114" s="1218">
        <f t="shared" si="76"/>
        <v>152810229</v>
      </c>
      <c r="AD114" s="1218">
        <f t="shared" si="77"/>
        <v>283225049</v>
      </c>
      <c r="AE114" s="1218">
        <f>+'CY (ALL FUNDS)'!J268</f>
        <v>72316478.269999996</v>
      </c>
      <c r="AF114" s="1218">
        <f>+'CY (ALL FUNDS)'!K268</f>
        <v>28102333.619999997</v>
      </c>
      <c r="AG114" s="1218">
        <f>+'CY (ALL FUNDS)'!L268</f>
        <v>0</v>
      </c>
      <c r="AH114" s="1218">
        <f t="shared" si="114"/>
        <v>100418811.88999999</v>
      </c>
      <c r="AI114" s="1218">
        <f>+'CY (ALL FUNDS)'!J269</f>
        <v>0</v>
      </c>
      <c r="AJ114" s="1218">
        <f>+'CY (ALL FUNDS)'!K269</f>
        <v>15147136.390000001</v>
      </c>
      <c r="AK114" s="1218">
        <f>+'CY (ALL FUNDS)'!L269</f>
        <v>152591060.67000002</v>
      </c>
      <c r="AL114" s="1218">
        <f t="shared" si="115"/>
        <v>167738197.06</v>
      </c>
      <c r="AM114" s="1218">
        <f t="shared" si="119"/>
        <v>72316478.269999996</v>
      </c>
      <c r="AN114" s="1218">
        <f t="shared" si="120"/>
        <v>43249470.009999998</v>
      </c>
      <c r="AO114" s="1218">
        <f t="shared" si="121"/>
        <v>152591060.67000002</v>
      </c>
      <c r="AP114" s="1218">
        <f t="shared" si="78"/>
        <v>268157008.95000002</v>
      </c>
      <c r="AQ114" s="1218">
        <f t="shared" si="79"/>
        <v>8182521.7300000042</v>
      </c>
      <c r="AR114" s="1218">
        <f t="shared" si="80"/>
        <v>6666349.9900000021</v>
      </c>
      <c r="AS114" s="1218">
        <f t="shared" si="81"/>
        <v>219168.32999998331</v>
      </c>
      <c r="AT114" s="1218">
        <f t="shared" si="82"/>
        <v>15068040.04999999</v>
      </c>
      <c r="AU114" s="1219">
        <f t="shared" si="83"/>
        <v>0.89835250462738658</v>
      </c>
      <c r="AV114" s="1219">
        <f t="shared" si="84"/>
        <v>0.86644815230922778</v>
      </c>
      <c r="AW114" s="1219">
        <f t="shared" si="85"/>
        <v>0.99856574830471601</v>
      </c>
      <c r="AX114" s="1219">
        <f t="shared" si="86"/>
        <v>0.94679834956970921</v>
      </c>
      <c r="AY114" s="1218">
        <f t="shared" si="87"/>
        <v>0</v>
      </c>
      <c r="AZ114" s="1218">
        <f t="shared" si="88"/>
        <v>0</v>
      </c>
      <c r="BA114" s="1218">
        <f t="shared" si="89"/>
        <v>0</v>
      </c>
      <c r="BB114" s="1218">
        <f t="shared" si="90"/>
        <v>0</v>
      </c>
      <c r="BC114" s="125"/>
      <c r="BF114" s="105">
        <f t="shared" si="71"/>
        <v>4651666.3800000027</v>
      </c>
      <c r="BP114" s="149">
        <f>+'CY (ALL FUNDS)'!F268</f>
        <v>80499000</v>
      </c>
      <c r="BQ114" s="149">
        <f>+'CY (ALL FUNDS)'!G268</f>
        <v>32754000</v>
      </c>
      <c r="BR114" s="149">
        <f>+'CY (ALL FUNDS)'!H268</f>
        <v>0</v>
      </c>
      <c r="BT114" s="111">
        <f t="shared" si="122"/>
        <v>0</v>
      </c>
      <c r="BU114" s="111">
        <f t="shared" si="123"/>
        <v>0</v>
      </c>
      <c r="BV114" s="111">
        <f t="shared" si="124"/>
        <v>0</v>
      </c>
    </row>
    <row r="115" spans="1:74" ht="24">
      <c r="A115" s="587" t="s">
        <v>936</v>
      </c>
      <c r="B115" s="1308" t="s">
        <v>543</v>
      </c>
      <c r="C115" s="1218">
        <v>120480000</v>
      </c>
      <c r="D115" s="1218">
        <v>45549000</v>
      </c>
      <c r="E115" s="1218">
        <v>0</v>
      </c>
      <c r="F115" s="1218">
        <f t="shared" si="112"/>
        <v>166029000</v>
      </c>
      <c r="G115" s="1218"/>
      <c r="H115" s="1218"/>
      <c r="I115" s="1218"/>
      <c r="J115" s="1218">
        <f t="shared" si="113"/>
        <v>0</v>
      </c>
      <c r="K115" s="1218">
        <f t="shared" si="108"/>
        <v>120480000</v>
      </c>
      <c r="L115" s="1218">
        <f t="shared" si="109"/>
        <v>45549000</v>
      </c>
      <c r="M115" s="1218">
        <f t="shared" si="110"/>
        <v>0</v>
      </c>
      <c r="N115" s="1218">
        <f t="shared" si="111"/>
        <v>166029000</v>
      </c>
      <c r="O115" s="1218">
        <v>120480000</v>
      </c>
      <c r="P115" s="1218">
        <v>45549000</v>
      </c>
      <c r="Q115" s="1218">
        <v>0</v>
      </c>
      <c r="R115" s="1218">
        <f t="shared" si="72"/>
        <v>166029000</v>
      </c>
      <c r="S115" s="1218"/>
      <c r="T115" s="1218"/>
      <c r="U115" s="1218"/>
      <c r="V115" s="1218">
        <f t="shared" si="118"/>
        <v>0</v>
      </c>
      <c r="W115" s="1218">
        <f>+'CY (ALL FUNDS)'!F254</f>
        <v>0</v>
      </c>
      <c r="X115" s="1218">
        <f>+'CY (ALL FUNDS)'!G254</f>
        <v>36206180</v>
      </c>
      <c r="Y115" s="1218">
        <f>+'CY (ALL FUNDS)'!H254</f>
        <v>129820000</v>
      </c>
      <c r="Z115" s="1218">
        <f t="shared" si="73"/>
        <v>166026180</v>
      </c>
      <c r="AA115" s="1218">
        <f t="shared" si="74"/>
        <v>120480000</v>
      </c>
      <c r="AB115" s="1218">
        <f t="shared" si="75"/>
        <v>81755180</v>
      </c>
      <c r="AC115" s="1218">
        <f t="shared" si="76"/>
        <v>129820000</v>
      </c>
      <c r="AD115" s="1218">
        <f t="shared" si="77"/>
        <v>332055180</v>
      </c>
      <c r="AE115" s="1218">
        <f>+'CY (ALL FUNDS)'!J253</f>
        <v>111141874.48000003</v>
      </c>
      <c r="AF115" s="1218">
        <f>+'CY (ALL FUNDS)'!K253</f>
        <v>41730245.310000002</v>
      </c>
      <c r="AG115" s="1218">
        <f>+'CY (ALL FUNDS)'!L253</f>
        <v>0</v>
      </c>
      <c r="AH115" s="1218">
        <f t="shared" si="114"/>
        <v>152872119.79000002</v>
      </c>
      <c r="AI115" s="1218">
        <f>+'CY (ALL FUNDS)'!J254</f>
        <v>0</v>
      </c>
      <c r="AJ115" s="1218">
        <f>+'CY (ALL FUNDS)'!K254</f>
        <v>31294444.890000001</v>
      </c>
      <c r="AK115" s="1218">
        <f>+'CY (ALL FUNDS)'!L254</f>
        <v>126272472.28</v>
      </c>
      <c r="AL115" s="1218">
        <f t="shared" si="115"/>
        <v>157566917.17000002</v>
      </c>
      <c r="AM115" s="1218">
        <f t="shared" si="119"/>
        <v>111141874.48000003</v>
      </c>
      <c r="AN115" s="1218">
        <f t="shared" si="120"/>
        <v>73024690.200000003</v>
      </c>
      <c r="AO115" s="1218">
        <f t="shared" si="121"/>
        <v>126272472.28</v>
      </c>
      <c r="AP115" s="1218">
        <f t="shared" si="78"/>
        <v>310439036.96000004</v>
      </c>
      <c r="AQ115" s="1218">
        <f t="shared" si="79"/>
        <v>9338125.519999966</v>
      </c>
      <c r="AR115" s="1218">
        <f t="shared" si="80"/>
        <v>8730489.799999997</v>
      </c>
      <c r="AS115" s="1218">
        <f t="shared" si="81"/>
        <v>3547527.7199999988</v>
      </c>
      <c r="AT115" s="1218">
        <f t="shared" si="82"/>
        <v>21616143.039999962</v>
      </c>
      <c r="AU115" s="1219">
        <f t="shared" si="83"/>
        <v>0.92249231806108922</v>
      </c>
      <c r="AV115" s="1219">
        <f t="shared" si="84"/>
        <v>0.8932117842563615</v>
      </c>
      <c r="AW115" s="1219">
        <f t="shared" si="85"/>
        <v>0.97267348852256974</v>
      </c>
      <c r="AX115" s="1219">
        <f t="shared" si="86"/>
        <v>0.93490195503048634</v>
      </c>
      <c r="AY115" s="1218">
        <f t="shared" si="87"/>
        <v>0</v>
      </c>
      <c r="AZ115" s="1218">
        <f t="shared" si="88"/>
        <v>0</v>
      </c>
      <c r="BA115" s="1218">
        <f t="shared" si="89"/>
        <v>0</v>
      </c>
      <c r="BB115" s="1218">
        <f t="shared" si="90"/>
        <v>0</v>
      </c>
      <c r="BC115" s="125"/>
      <c r="BF115" s="105">
        <f t="shared" si="71"/>
        <v>3818754.6899999976</v>
      </c>
      <c r="BP115" s="149">
        <f>+'CY (ALL FUNDS)'!F253</f>
        <v>120480000</v>
      </c>
      <c r="BQ115" s="149">
        <f>+'CY (ALL FUNDS)'!G253</f>
        <v>45549000</v>
      </c>
      <c r="BR115" s="149">
        <f>+'CY (ALL FUNDS)'!H253</f>
        <v>0</v>
      </c>
      <c r="BT115" s="111">
        <f t="shared" si="122"/>
        <v>0</v>
      </c>
      <c r="BU115" s="111">
        <f t="shared" si="123"/>
        <v>0</v>
      </c>
      <c r="BV115" s="111">
        <f t="shared" si="124"/>
        <v>0</v>
      </c>
    </row>
    <row r="116" spans="1:74" ht="36">
      <c r="A116" s="587" t="s">
        <v>936</v>
      </c>
      <c r="B116" s="1308" t="s">
        <v>544</v>
      </c>
      <c r="C116" s="1218">
        <v>116252000</v>
      </c>
      <c r="D116" s="1218">
        <v>28460000</v>
      </c>
      <c r="E116" s="1218">
        <v>0</v>
      </c>
      <c r="F116" s="1218">
        <f t="shared" si="112"/>
        <v>144712000</v>
      </c>
      <c r="G116" s="1218"/>
      <c r="H116" s="1218"/>
      <c r="I116" s="1218"/>
      <c r="J116" s="1218">
        <f t="shared" si="113"/>
        <v>0</v>
      </c>
      <c r="K116" s="1218">
        <f t="shared" si="108"/>
        <v>116252000</v>
      </c>
      <c r="L116" s="1218">
        <f t="shared" si="109"/>
        <v>28460000</v>
      </c>
      <c r="M116" s="1218">
        <f t="shared" si="110"/>
        <v>0</v>
      </c>
      <c r="N116" s="1218">
        <f t="shared" si="111"/>
        <v>144712000</v>
      </c>
      <c r="O116" s="1218">
        <v>116252000</v>
      </c>
      <c r="P116" s="1218">
        <v>28460000</v>
      </c>
      <c r="Q116" s="1218">
        <v>0</v>
      </c>
      <c r="R116" s="1218">
        <f t="shared" si="72"/>
        <v>144712000</v>
      </c>
      <c r="S116" s="1218"/>
      <c r="T116" s="1218"/>
      <c r="U116" s="1218"/>
      <c r="V116" s="1218">
        <f t="shared" si="118"/>
        <v>0</v>
      </c>
      <c r="W116" s="1218">
        <f>+'CY (ALL FUNDS)'!F284</f>
        <v>0</v>
      </c>
      <c r="X116" s="1218">
        <f>+'CY (ALL FUNDS)'!G284</f>
        <v>19041870</v>
      </c>
      <c r="Y116" s="1218">
        <f>+'CY (ALL FUNDS)'!H284</f>
        <v>0</v>
      </c>
      <c r="Z116" s="1218">
        <f t="shared" si="73"/>
        <v>19041870</v>
      </c>
      <c r="AA116" s="1218">
        <f t="shared" si="74"/>
        <v>116252000</v>
      </c>
      <c r="AB116" s="1218">
        <f t="shared" si="75"/>
        <v>47501870</v>
      </c>
      <c r="AC116" s="1218">
        <f t="shared" si="76"/>
        <v>0</v>
      </c>
      <c r="AD116" s="1218">
        <f t="shared" si="77"/>
        <v>163753870</v>
      </c>
      <c r="AE116" s="1218">
        <f>+'CY (ALL FUNDS)'!J283</f>
        <v>107911742.70999998</v>
      </c>
      <c r="AF116" s="1218">
        <f>+'CY (ALL FUNDS)'!K283</f>
        <v>27877398</v>
      </c>
      <c r="AG116" s="1218">
        <f>+'CY (ALL FUNDS)'!L283</f>
        <v>0</v>
      </c>
      <c r="AH116" s="1218">
        <f t="shared" si="114"/>
        <v>135789140.70999998</v>
      </c>
      <c r="AI116" s="1218">
        <f>+'CY (ALL FUNDS)'!J284</f>
        <v>0</v>
      </c>
      <c r="AJ116" s="1218">
        <f>+'CY (ALL FUNDS)'!K284</f>
        <v>16033789</v>
      </c>
      <c r="AK116" s="1218">
        <f>+'CY (ALL FUNDS)'!L284</f>
        <v>0</v>
      </c>
      <c r="AL116" s="1218">
        <f t="shared" si="115"/>
        <v>16033789</v>
      </c>
      <c r="AM116" s="1218">
        <f t="shared" si="119"/>
        <v>107911742.70999998</v>
      </c>
      <c r="AN116" s="1218">
        <f t="shared" si="120"/>
        <v>43911187</v>
      </c>
      <c r="AO116" s="1218">
        <f t="shared" si="121"/>
        <v>0</v>
      </c>
      <c r="AP116" s="1218">
        <f t="shared" si="78"/>
        <v>151822929.70999998</v>
      </c>
      <c r="AQ116" s="1218">
        <f t="shared" si="79"/>
        <v>8340257.2900000215</v>
      </c>
      <c r="AR116" s="1218">
        <f t="shared" si="80"/>
        <v>3590683</v>
      </c>
      <c r="AS116" s="1218">
        <f t="shared" si="81"/>
        <v>0</v>
      </c>
      <c r="AT116" s="1218">
        <f t="shared" si="82"/>
        <v>11930940.290000021</v>
      </c>
      <c r="AU116" s="1219">
        <f t="shared" si="83"/>
        <v>0.92825708555551711</v>
      </c>
      <c r="AV116" s="1219">
        <f t="shared" si="84"/>
        <v>0.92440964955695426</v>
      </c>
      <c r="AW116" s="1219" t="str">
        <f t="shared" si="85"/>
        <v xml:space="preserve"> </v>
      </c>
      <c r="AX116" s="1219">
        <f t="shared" si="86"/>
        <v>0.92714101785808167</v>
      </c>
      <c r="AY116" s="1218">
        <f t="shared" si="87"/>
        <v>0</v>
      </c>
      <c r="AZ116" s="1218">
        <f t="shared" si="88"/>
        <v>0</v>
      </c>
      <c r="BA116" s="1218">
        <f t="shared" si="89"/>
        <v>0</v>
      </c>
      <c r="BB116" s="1218">
        <f t="shared" si="90"/>
        <v>0</v>
      </c>
      <c r="BC116" s="125"/>
      <c r="BF116" s="105">
        <f t="shared" si="71"/>
        <v>582602</v>
      </c>
      <c r="BP116" s="149">
        <f>+'CY (ALL FUNDS)'!F283</f>
        <v>116252000</v>
      </c>
      <c r="BQ116" s="149">
        <f>+'CY (ALL FUNDS)'!G283</f>
        <v>28460000</v>
      </c>
      <c r="BR116" s="149">
        <f>+'CY (ALL FUNDS)'!H283</f>
        <v>0</v>
      </c>
      <c r="BT116" s="111">
        <f t="shared" si="122"/>
        <v>0</v>
      </c>
      <c r="BU116" s="111">
        <f t="shared" si="123"/>
        <v>0</v>
      </c>
      <c r="BV116" s="111">
        <f t="shared" si="124"/>
        <v>0</v>
      </c>
    </row>
    <row r="117" spans="1:74">
      <c r="B117" s="1310"/>
      <c r="C117" s="1218"/>
      <c r="D117" s="1218"/>
      <c r="E117" s="1218"/>
      <c r="F117" s="1218"/>
      <c r="G117" s="1218"/>
      <c r="H117" s="1218"/>
      <c r="I117" s="1218"/>
      <c r="J117" s="1218">
        <f t="shared" si="113"/>
        <v>0</v>
      </c>
      <c r="K117" s="1218">
        <f t="shared" si="108"/>
        <v>0</v>
      </c>
      <c r="L117" s="1218">
        <f t="shared" si="109"/>
        <v>0</v>
      </c>
      <c r="M117" s="1218">
        <f t="shared" si="110"/>
        <v>0</v>
      </c>
      <c r="N117" s="1218">
        <f t="shared" si="111"/>
        <v>0</v>
      </c>
      <c r="O117" s="1218"/>
      <c r="P117" s="1218"/>
      <c r="Q117" s="1218"/>
      <c r="R117" s="1218">
        <f t="shared" si="72"/>
        <v>0</v>
      </c>
      <c r="S117" s="1218"/>
      <c r="T117" s="1218"/>
      <c r="U117" s="1218"/>
      <c r="V117" s="1218"/>
      <c r="W117" s="1218"/>
      <c r="X117" s="1218"/>
      <c r="Y117" s="1218"/>
      <c r="Z117" s="1218">
        <f t="shared" si="73"/>
        <v>0</v>
      </c>
      <c r="AA117" s="1218">
        <f t="shared" si="74"/>
        <v>0</v>
      </c>
      <c r="AB117" s="1218">
        <f t="shared" si="75"/>
        <v>0</v>
      </c>
      <c r="AC117" s="1218">
        <f t="shared" si="76"/>
        <v>0</v>
      </c>
      <c r="AD117" s="1218">
        <f t="shared" si="77"/>
        <v>0</v>
      </c>
      <c r="AE117" s="1218"/>
      <c r="AF117" s="1218"/>
      <c r="AG117" s="1218"/>
      <c r="AH117" s="1218"/>
      <c r="AI117" s="1218"/>
      <c r="AJ117" s="1218"/>
      <c r="AK117" s="1218"/>
      <c r="AL117" s="1218"/>
      <c r="AM117" s="1218"/>
      <c r="AN117" s="1218"/>
      <c r="AO117" s="1218"/>
      <c r="AP117" s="1218">
        <f t="shared" si="78"/>
        <v>0</v>
      </c>
      <c r="AQ117" s="1218">
        <f t="shared" si="79"/>
        <v>0</v>
      </c>
      <c r="AR117" s="1218">
        <f t="shared" si="80"/>
        <v>0</v>
      </c>
      <c r="AS117" s="1218">
        <f t="shared" si="81"/>
        <v>0</v>
      </c>
      <c r="AT117" s="1218">
        <f t="shared" si="82"/>
        <v>0</v>
      </c>
      <c r="AU117" s="1219" t="str">
        <f t="shared" si="83"/>
        <v xml:space="preserve"> </v>
      </c>
      <c r="AV117" s="1219" t="str">
        <f t="shared" si="84"/>
        <v xml:space="preserve"> </v>
      </c>
      <c r="AW117" s="1219" t="str">
        <f t="shared" si="85"/>
        <v xml:space="preserve"> </v>
      </c>
      <c r="AX117" s="1219" t="str">
        <f t="shared" si="86"/>
        <v xml:space="preserve"> </v>
      </c>
      <c r="AY117" s="1218">
        <f t="shared" si="87"/>
        <v>0</v>
      </c>
      <c r="AZ117" s="1218">
        <f t="shared" si="88"/>
        <v>0</v>
      </c>
      <c r="BA117" s="1218">
        <f t="shared" si="89"/>
        <v>0</v>
      </c>
      <c r="BB117" s="1218">
        <f t="shared" si="90"/>
        <v>0</v>
      </c>
      <c r="BC117" s="125"/>
      <c r="BF117" s="105">
        <f t="shared" si="71"/>
        <v>0</v>
      </c>
      <c r="BQ117" s="149"/>
      <c r="BR117" s="149"/>
    </row>
    <row r="118" spans="1:74" ht="12.75">
      <c r="A118" s="587" t="s">
        <v>936</v>
      </c>
      <c r="B118" s="1305" t="s">
        <v>27</v>
      </c>
      <c r="C118" s="1218">
        <f>SUM(C119:C126)</f>
        <v>336145000</v>
      </c>
      <c r="D118" s="1218">
        <f>SUM(D119:D126)</f>
        <v>247569000</v>
      </c>
      <c r="E118" s="1218">
        <f>SUM(E119:E126)</f>
        <v>0</v>
      </c>
      <c r="F118" s="1218">
        <f t="shared" ref="F118:P118" si="125">SUM(F119:F126)</f>
        <v>583714000</v>
      </c>
      <c r="G118" s="1218">
        <f t="shared" si="125"/>
        <v>0</v>
      </c>
      <c r="H118" s="1218">
        <f t="shared" si="125"/>
        <v>0</v>
      </c>
      <c r="I118" s="1218">
        <f t="shared" si="125"/>
        <v>0</v>
      </c>
      <c r="J118" s="1218">
        <f t="shared" si="125"/>
        <v>0</v>
      </c>
      <c r="K118" s="1218">
        <f t="shared" si="125"/>
        <v>336145000</v>
      </c>
      <c r="L118" s="1218">
        <f t="shared" si="125"/>
        <v>247569000</v>
      </c>
      <c r="M118" s="1218">
        <f t="shared" si="125"/>
        <v>0</v>
      </c>
      <c r="N118" s="1218">
        <f t="shared" si="125"/>
        <v>583714000</v>
      </c>
      <c r="O118" s="1218">
        <f t="shared" si="125"/>
        <v>336145000</v>
      </c>
      <c r="P118" s="1218">
        <f t="shared" si="125"/>
        <v>247569000</v>
      </c>
      <c r="Q118" s="1218">
        <f t="shared" ref="Q118:AO118" si="126">SUM(Q119:Q126)</f>
        <v>0</v>
      </c>
      <c r="R118" s="1218">
        <f t="shared" si="72"/>
        <v>583714000</v>
      </c>
      <c r="S118" s="1218"/>
      <c r="T118" s="1218"/>
      <c r="U118" s="1218"/>
      <c r="V118" s="1218">
        <f>SUM(V119:V126)</f>
        <v>0</v>
      </c>
      <c r="W118" s="1218">
        <f t="shared" si="126"/>
        <v>0</v>
      </c>
      <c r="X118" s="1218">
        <f t="shared" si="126"/>
        <v>152669232</v>
      </c>
      <c r="Y118" s="1218">
        <f t="shared" si="126"/>
        <v>64550000</v>
      </c>
      <c r="Z118" s="1218">
        <f t="shared" si="73"/>
        <v>217219232</v>
      </c>
      <c r="AA118" s="1218">
        <f t="shared" si="74"/>
        <v>336145000</v>
      </c>
      <c r="AB118" s="1218">
        <f t="shared" si="75"/>
        <v>400238232</v>
      </c>
      <c r="AC118" s="1218">
        <f t="shared" si="76"/>
        <v>64550000</v>
      </c>
      <c r="AD118" s="1218">
        <f t="shared" si="77"/>
        <v>800933232</v>
      </c>
      <c r="AE118" s="1218">
        <f t="shared" si="126"/>
        <v>311023533.09999996</v>
      </c>
      <c r="AF118" s="1218">
        <f>SUM(AF119:AF126)</f>
        <v>225438953.56000006</v>
      </c>
      <c r="AG118" s="1218">
        <f>SUM(AG119:AG126)</f>
        <v>0</v>
      </c>
      <c r="AH118" s="1218">
        <f t="shared" si="126"/>
        <v>536462486.66000003</v>
      </c>
      <c r="AI118" s="1218">
        <f t="shared" si="126"/>
        <v>0</v>
      </c>
      <c r="AJ118" s="1218">
        <f t="shared" si="126"/>
        <v>135713638.26999998</v>
      </c>
      <c r="AK118" s="1218">
        <f t="shared" si="126"/>
        <v>59739805.579999998</v>
      </c>
      <c r="AL118" s="1218">
        <f t="shared" si="126"/>
        <v>195453443.84999996</v>
      </c>
      <c r="AM118" s="1218">
        <f t="shared" si="126"/>
        <v>311023533.09999996</v>
      </c>
      <c r="AN118" s="1218">
        <f t="shared" si="126"/>
        <v>361152591.82999998</v>
      </c>
      <c r="AO118" s="1218">
        <f t="shared" si="126"/>
        <v>59739805.579999998</v>
      </c>
      <c r="AP118" s="1218">
        <f t="shared" si="78"/>
        <v>731915930.50999999</v>
      </c>
      <c r="AQ118" s="1218">
        <f t="shared" si="79"/>
        <v>25121466.900000036</v>
      </c>
      <c r="AR118" s="1218">
        <f t="shared" si="80"/>
        <v>39085640.170000017</v>
      </c>
      <c r="AS118" s="1218">
        <f t="shared" si="81"/>
        <v>4810194.4200000018</v>
      </c>
      <c r="AT118" s="1218">
        <f t="shared" si="82"/>
        <v>69017301.490000054</v>
      </c>
      <c r="AU118" s="1219">
        <f t="shared" si="83"/>
        <v>0.92526598075235378</v>
      </c>
      <c r="AV118" s="1219">
        <f t="shared" si="84"/>
        <v>0.90234406149885249</v>
      </c>
      <c r="AW118" s="1219">
        <f t="shared" si="85"/>
        <v>0.92548110890782331</v>
      </c>
      <c r="AX118" s="1219">
        <f t="shared" si="86"/>
        <v>0.91382889517811894</v>
      </c>
      <c r="AY118" s="1218">
        <f t="shared" si="87"/>
        <v>0</v>
      </c>
      <c r="AZ118" s="1218">
        <f t="shared" si="88"/>
        <v>0</v>
      </c>
      <c r="BA118" s="1218">
        <f t="shared" si="89"/>
        <v>0</v>
      </c>
      <c r="BB118" s="1218">
        <f t="shared" si="90"/>
        <v>0</v>
      </c>
      <c r="BC118" s="125"/>
      <c r="BF118" s="105">
        <f t="shared" si="71"/>
        <v>22130046.439999938</v>
      </c>
      <c r="BQ118" s="149"/>
      <c r="BR118" s="149"/>
    </row>
    <row r="119" spans="1:74" ht="36">
      <c r="A119" s="587" t="s">
        <v>936</v>
      </c>
      <c r="B119" s="1306" t="s">
        <v>534</v>
      </c>
      <c r="C119" s="1218">
        <v>21588000</v>
      </c>
      <c r="D119" s="1218">
        <v>5842000</v>
      </c>
      <c r="E119" s="1218">
        <v>0</v>
      </c>
      <c r="F119" s="1218">
        <f t="shared" si="112"/>
        <v>27430000</v>
      </c>
      <c r="G119" s="1218"/>
      <c r="H119" s="1218"/>
      <c r="I119" s="1218"/>
      <c r="J119" s="1218">
        <f t="shared" si="113"/>
        <v>0</v>
      </c>
      <c r="K119" s="1218">
        <f t="shared" si="108"/>
        <v>21588000</v>
      </c>
      <c r="L119" s="1218">
        <f t="shared" si="109"/>
        <v>5842000</v>
      </c>
      <c r="M119" s="1218">
        <f t="shared" si="110"/>
        <v>0</v>
      </c>
      <c r="N119" s="1218">
        <f t="shared" si="111"/>
        <v>27430000</v>
      </c>
      <c r="O119" s="1218">
        <v>21588000</v>
      </c>
      <c r="P119" s="1218">
        <v>5842000</v>
      </c>
      <c r="Q119" s="1218">
        <v>0</v>
      </c>
      <c r="R119" s="1218">
        <f t="shared" si="72"/>
        <v>27430000</v>
      </c>
      <c r="S119" s="1218"/>
      <c r="T119" s="1218"/>
      <c r="U119" s="1218"/>
      <c r="V119" s="1218">
        <f t="shared" si="118"/>
        <v>0</v>
      </c>
      <c r="W119" s="1218"/>
      <c r="X119" s="1218"/>
      <c r="Y119" s="1218"/>
      <c r="Z119" s="1218">
        <f t="shared" si="73"/>
        <v>0</v>
      </c>
      <c r="AA119" s="1218">
        <f t="shared" si="74"/>
        <v>21588000</v>
      </c>
      <c r="AB119" s="1218">
        <f t="shared" si="75"/>
        <v>5842000</v>
      </c>
      <c r="AC119" s="1218">
        <f t="shared" si="76"/>
        <v>0</v>
      </c>
      <c r="AD119" s="1218">
        <f t="shared" si="77"/>
        <v>27430000</v>
      </c>
      <c r="AE119" s="1218">
        <f>+'CY (ALL FUNDS)'!J140</f>
        <v>18671427.720000003</v>
      </c>
      <c r="AF119" s="1218">
        <f>+'CY (ALL FUNDS)'!K140</f>
        <v>5232933.4800000014</v>
      </c>
      <c r="AG119" s="1218">
        <f>+'CY (ALL FUNDS)'!L140</f>
        <v>0</v>
      </c>
      <c r="AH119" s="1218">
        <f t="shared" si="114"/>
        <v>23904361.200000003</v>
      </c>
      <c r="AI119" s="1218"/>
      <c r="AJ119" s="1218"/>
      <c r="AK119" s="1218"/>
      <c r="AL119" s="1218">
        <f t="shared" si="115"/>
        <v>0</v>
      </c>
      <c r="AM119" s="1218">
        <f t="shared" ref="AM119:AM126" si="127">+AE119+AI119</f>
        <v>18671427.720000003</v>
      </c>
      <c r="AN119" s="1218">
        <f t="shared" ref="AN119:AN126" si="128">+AF119+AJ119</f>
        <v>5232933.4800000014</v>
      </c>
      <c r="AO119" s="1218">
        <f t="shared" ref="AO119:AO126" si="129">+AG119+AK119</f>
        <v>0</v>
      </c>
      <c r="AP119" s="1218">
        <f t="shared" si="78"/>
        <v>23904361.200000003</v>
      </c>
      <c r="AQ119" s="1218">
        <f t="shared" si="79"/>
        <v>2916572.2799999975</v>
      </c>
      <c r="AR119" s="1218">
        <f t="shared" si="80"/>
        <v>609066.51999999862</v>
      </c>
      <c r="AS119" s="1218">
        <f t="shared" si="81"/>
        <v>0</v>
      </c>
      <c r="AT119" s="1218">
        <f t="shared" si="82"/>
        <v>3525638.7999999961</v>
      </c>
      <c r="AU119" s="1219">
        <f t="shared" si="83"/>
        <v>0.8648984491384103</v>
      </c>
      <c r="AV119" s="1219">
        <f t="shared" si="84"/>
        <v>0.89574349195481018</v>
      </c>
      <c r="AW119" s="1219" t="str">
        <f t="shared" si="85"/>
        <v xml:space="preserve"> </v>
      </c>
      <c r="AX119" s="1219">
        <f t="shared" si="86"/>
        <v>0.87146777980313539</v>
      </c>
      <c r="AY119" s="1218">
        <f t="shared" si="87"/>
        <v>0</v>
      </c>
      <c r="AZ119" s="1218">
        <f t="shared" si="88"/>
        <v>0</v>
      </c>
      <c r="BA119" s="1218">
        <f t="shared" si="89"/>
        <v>0</v>
      </c>
      <c r="BB119" s="1218">
        <f t="shared" si="90"/>
        <v>0</v>
      </c>
      <c r="BC119" s="125"/>
      <c r="BD119" s="105">
        <f>+AT119-'CY (ALL FUNDS)'!Q140</f>
        <v>0</v>
      </c>
      <c r="BF119" s="105">
        <f t="shared" si="71"/>
        <v>609066.51999999862</v>
      </c>
      <c r="BP119" s="149">
        <f>+'CY (ALL FUNDS)'!F140</f>
        <v>21588000</v>
      </c>
      <c r="BQ119" s="149">
        <f>+'CY (ALL FUNDS)'!G140</f>
        <v>5842000</v>
      </c>
      <c r="BR119" s="149">
        <f>+'CY (ALL FUNDS)'!H140</f>
        <v>0</v>
      </c>
      <c r="BT119" s="111">
        <f t="shared" ref="BT119:BT126" si="130">+O119-BP119</f>
        <v>0</v>
      </c>
      <c r="BU119" s="111">
        <f t="shared" ref="BU119:BU126" si="131">+P119-BQ119</f>
        <v>0</v>
      </c>
      <c r="BV119" s="111">
        <f t="shared" ref="BV119:BV126" si="132">+Q119-BR119</f>
        <v>0</v>
      </c>
    </row>
    <row r="120" spans="1:74" ht="12.75">
      <c r="A120" s="587" t="s">
        <v>936</v>
      </c>
      <c r="B120" s="1307" t="s">
        <v>535</v>
      </c>
      <c r="C120" s="1218">
        <v>0</v>
      </c>
      <c r="D120" s="1218">
        <v>5197000</v>
      </c>
      <c r="E120" s="1218">
        <v>0</v>
      </c>
      <c r="F120" s="1218">
        <f t="shared" si="112"/>
        <v>5197000</v>
      </c>
      <c r="G120" s="1218"/>
      <c r="H120" s="1218"/>
      <c r="I120" s="1218"/>
      <c r="J120" s="1218">
        <f t="shared" si="113"/>
        <v>0</v>
      </c>
      <c r="K120" s="1218">
        <f t="shared" si="108"/>
        <v>0</v>
      </c>
      <c r="L120" s="1218">
        <f t="shared" si="109"/>
        <v>5197000</v>
      </c>
      <c r="M120" s="1218">
        <f t="shared" si="110"/>
        <v>0</v>
      </c>
      <c r="N120" s="1218">
        <f t="shared" si="111"/>
        <v>5197000</v>
      </c>
      <c r="O120" s="1218">
        <v>0</v>
      </c>
      <c r="P120" s="1218">
        <v>5197000</v>
      </c>
      <c r="Q120" s="1218">
        <v>0</v>
      </c>
      <c r="R120" s="1218">
        <f t="shared" si="72"/>
        <v>5197000</v>
      </c>
      <c r="S120" s="1218"/>
      <c r="T120" s="1218"/>
      <c r="U120" s="1218"/>
      <c r="V120" s="1218">
        <f t="shared" si="118"/>
        <v>0</v>
      </c>
      <c r="W120" s="1218"/>
      <c r="X120" s="1218"/>
      <c r="Y120" s="1218"/>
      <c r="Z120" s="1218">
        <f t="shared" si="73"/>
        <v>0</v>
      </c>
      <c r="AA120" s="1218">
        <f t="shared" si="74"/>
        <v>0</v>
      </c>
      <c r="AB120" s="1218">
        <f t="shared" si="75"/>
        <v>5197000</v>
      </c>
      <c r="AC120" s="1218">
        <f t="shared" si="76"/>
        <v>0</v>
      </c>
      <c r="AD120" s="1218">
        <f t="shared" si="77"/>
        <v>5197000</v>
      </c>
      <c r="AE120" s="1218">
        <f>+'CY (ALL FUNDS)'!J141</f>
        <v>0</v>
      </c>
      <c r="AF120" s="1218">
        <f>+'CY (ALL FUNDS)'!K141</f>
        <v>4530362.66</v>
      </c>
      <c r="AG120" s="1218">
        <f>+'CY (ALL FUNDS)'!L141</f>
        <v>0</v>
      </c>
      <c r="AH120" s="1218">
        <f t="shared" si="114"/>
        <v>4530362.66</v>
      </c>
      <c r="AI120" s="1218"/>
      <c r="AJ120" s="1218"/>
      <c r="AK120" s="1218"/>
      <c r="AL120" s="1218">
        <f t="shared" si="115"/>
        <v>0</v>
      </c>
      <c r="AM120" s="1218">
        <f t="shared" si="127"/>
        <v>0</v>
      </c>
      <c r="AN120" s="1218">
        <f t="shared" si="128"/>
        <v>4530362.66</v>
      </c>
      <c r="AO120" s="1218">
        <f t="shared" si="129"/>
        <v>0</v>
      </c>
      <c r="AP120" s="1218">
        <f t="shared" si="78"/>
        <v>4530362.66</v>
      </c>
      <c r="AQ120" s="1218">
        <f t="shared" si="79"/>
        <v>0</v>
      </c>
      <c r="AR120" s="1218">
        <f t="shared" si="80"/>
        <v>666637.33999999985</v>
      </c>
      <c r="AS120" s="1218">
        <f t="shared" si="81"/>
        <v>0</v>
      </c>
      <c r="AT120" s="1218">
        <f t="shared" si="82"/>
        <v>666637.33999999985</v>
      </c>
      <c r="AU120" s="1219" t="str">
        <f t="shared" si="83"/>
        <v xml:space="preserve"> </v>
      </c>
      <c r="AV120" s="1219">
        <f t="shared" si="84"/>
        <v>0.87172650760053882</v>
      </c>
      <c r="AW120" s="1219" t="str">
        <f t="shared" si="85"/>
        <v xml:space="preserve"> </v>
      </c>
      <c r="AX120" s="1219">
        <f t="shared" si="86"/>
        <v>0.87172650760053882</v>
      </c>
      <c r="AY120" s="1218">
        <f t="shared" si="87"/>
        <v>0</v>
      </c>
      <c r="AZ120" s="1218">
        <f t="shared" si="88"/>
        <v>0</v>
      </c>
      <c r="BA120" s="1218">
        <f t="shared" si="89"/>
        <v>0</v>
      </c>
      <c r="BB120" s="1218">
        <f t="shared" si="90"/>
        <v>0</v>
      </c>
      <c r="BC120" s="125"/>
      <c r="BD120" s="105">
        <f>+AT120-'CY (ALL FUNDS)'!Q141</f>
        <v>0</v>
      </c>
      <c r="BF120" s="105">
        <f t="shared" si="71"/>
        <v>666637.33999999985</v>
      </c>
      <c r="BP120" s="149">
        <f>+'CY (ALL FUNDS)'!F141</f>
        <v>0</v>
      </c>
      <c r="BQ120" s="149">
        <f>+'CY (ALL FUNDS)'!G141</f>
        <v>5197000</v>
      </c>
      <c r="BR120" s="149">
        <f>+'CY (ALL FUNDS)'!H141</f>
        <v>0</v>
      </c>
      <c r="BT120" s="111">
        <f t="shared" si="130"/>
        <v>0</v>
      </c>
      <c r="BU120" s="111">
        <f t="shared" si="131"/>
        <v>0</v>
      </c>
      <c r="BV120" s="111">
        <f t="shared" si="132"/>
        <v>0</v>
      </c>
    </row>
    <row r="121" spans="1:74" ht="36">
      <c r="A121" s="587" t="s">
        <v>936</v>
      </c>
      <c r="B121" s="1306" t="s">
        <v>536</v>
      </c>
      <c r="C121" s="1218">
        <v>30335000</v>
      </c>
      <c r="D121" s="1218">
        <v>106910000</v>
      </c>
      <c r="E121" s="1218">
        <v>0</v>
      </c>
      <c r="F121" s="1218">
        <f t="shared" si="112"/>
        <v>137245000</v>
      </c>
      <c r="G121" s="1218"/>
      <c r="H121" s="1218"/>
      <c r="I121" s="1218"/>
      <c r="J121" s="1218">
        <f t="shared" si="113"/>
        <v>0</v>
      </c>
      <c r="K121" s="1218">
        <f t="shared" si="108"/>
        <v>30335000</v>
      </c>
      <c r="L121" s="1218">
        <f t="shared" si="109"/>
        <v>106910000</v>
      </c>
      <c r="M121" s="1218">
        <f t="shared" si="110"/>
        <v>0</v>
      </c>
      <c r="N121" s="1218">
        <f t="shared" si="111"/>
        <v>137245000</v>
      </c>
      <c r="O121" s="1218">
        <v>30335000</v>
      </c>
      <c r="P121" s="1218">
        <v>106910000</v>
      </c>
      <c r="Q121" s="1218">
        <v>0</v>
      </c>
      <c r="R121" s="1218">
        <f t="shared" si="72"/>
        <v>137245000</v>
      </c>
      <c r="S121" s="1218"/>
      <c r="T121" s="1218"/>
      <c r="U121" s="1218"/>
      <c r="V121" s="1218">
        <f t="shared" si="118"/>
        <v>0</v>
      </c>
      <c r="W121" s="1218">
        <f>+'CY (ALL FUNDS)'!F143</f>
        <v>0</v>
      </c>
      <c r="X121" s="1218">
        <f>+'CY (ALL FUNDS)'!G143</f>
        <v>109923232</v>
      </c>
      <c r="Y121" s="1218">
        <f>+'CY (ALL FUNDS)'!H143</f>
        <v>35750000</v>
      </c>
      <c r="Z121" s="1218">
        <f t="shared" si="73"/>
        <v>145673232</v>
      </c>
      <c r="AA121" s="1218">
        <f t="shared" si="74"/>
        <v>30335000</v>
      </c>
      <c r="AB121" s="1218">
        <f t="shared" si="75"/>
        <v>216833232</v>
      </c>
      <c r="AC121" s="1218">
        <f t="shared" si="76"/>
        <v>35750000</v>
      </c>
      <c r="AD121" s="1218">
        <f t="shared" si="77"/>
        <v>282918232</v>
      </c>
      <c r="AE121" s="1218">
        <f>+'CY (ALL FUNDS)'!J142</f>
        <v>29011154.879999999</v>
      </c>
      <c r="AF121" s="1218">
        <f>+'CY (ALL FUNDS)'!K142</f>
        <v>94318835.150000021</v>
      </c>
      <c r="AG121" s="1218">
        <f>+'CY (ALL FUNDS)'!L142</f>
        <v>0</v>
      </c>
      <c r="AH121" s="1218">
        <f t="shared" si="114"/>
        <v>123329990.03000002</v>
      </c>
      <c r="AI121" s="1218">
        <f>+'CY (ALL FUNDS)'!J143</f>
        <v>0</v>
      </c>
      <c r="AJ121" s="1218">
        <f>+'CY (ALL FUNDS)'!K143</f>
        <v>97804242.659999996</v>
      </c>
      <c r="AK121" s="1218">
        <f>+'CY (ALL FUNDS)'!L143</f>
        <v>32069235.32</v>
      </c>
      <c r="AL121" s="1218">
        <f t="shared" si="115"/>
        <v>129873477.97999999</v>
      </c>
      <c r="AM121" s="1218">
        <f t="shared" si="127"/>
        <v>29011154.879999999</v>
      </c>
      <c r="AN121" s="1218">
        <f t="shared" si="128"/>
        <v>192123077.81</v>
      </c>
      <c r="AO121" s="1218">
        <f t="shared" si="129"/>
        <v>32069235.32</v>
      </c>
      <c r="AP121" s="1218">
        <f t="shared" si="78"/>
        <v>253203468.00999999</v>
      </c>
      <c r="AQ121" s="1218">
        <f t="shared" si="79"/>
        <v>1323845.120000001</v>
      </c>
      <c r="AR121" s="1218">
        <f t="shared" si="80"/>
        <v>24710154.189999998</v>
      </c>
      <c r="AS121" s="1218">
        <f t="shared" si="81"/>
        <v>3680764.6799999997</v>
      </c>
      <c r="AT121" s="1218">
        <f t="shared" si="82"/>
        <v>29714763.989999998</v>
      </c>
      <c r="AU121" s="1219">
        <f t="shared" si="83"/>
        <v>0.95635915213449807</v>
      </c>
      <c r="AV121" s="1219">
        <f t="shared" si="84"/>
        <v>0.88604074217737994</v>
      </c>
      <c r="AW121" s="1219">
        <f t="shared" si="85"/>
        <v>0.89704154741258746</v>
      </c>
      <c r="AX121" s="1219">
        <f t="shared" si="86"/>
        <v>0.89497048747993024</v>
      </c>
      <c r="AY121" s="1218">
        <f t="shared" si="87"/>
        <v>0</v>
      </c>
      <c r="AZ121" s="1218">
        <f t="shared" si="88"/>
        <v>0</v>
      </c>
      <c r="BA121" s="1218">
        <f t="shared" si="89"/>
        <v>0</v>
      </c>
      <c r="BB121" s="1218">
        <f t="shared" si="90"/>
        <v>0</v>
      </c>
      <c r="BC121" s="125"/>
      <c r="BD121" s="105">
        <f>+AT121-'CY (ALL FUNDS)'!Q142-'CY (ALL FUNDS)'!Q143</f>
        <v>1.4901161193847656E-8</v>
      </c>
      <c r="BF121" s="105">
        <f t="shared" si="71"/>
        <v>12591164.849999979</v>
      </c>
      <c r="BP121" s="149">
        <f>+'CY (ALL FUNDS)'!F142</f>
        <v>30335000</v>
      </c>
      <c r="BQ121" s="149">
        <f>+'CY (ALL FUNDS)'!G142</f>
        <v>106910000</v>
      </c>
      <c r="BR121" s="149">
        <f>+'CY (ALL FUNDS)'!H142</f>
        <v>0</v>
      </c>
      <c r="BT121" s="111">
        <f t="shared" si="130"/>
        <v>0</v>
      </c>
      <c r="BU121" s="111">
        <f t="shared" si="131"/>
        <v>0</v>
      </c>
      <c r="BV121" s="111">
        <f t="shared" si="132"/>
        <v>0</v>
      </c>
    </row>
    <row r="122" spans="1:74" ht="12.75">
      <c r="A122" s="587" t="s">
        <v>936</v>
      </c>
      <c r="B122" s="1307" t="s">
        <v>537</v>
      </c>
      <c r="C122" s="1218">
        <v>0</v>
      </c>
      <c r="D122" s="1218">
        <v>0</v>
      </c>
      <c r="E122" s="1218">
        <v>0</v>
      </c>
      <c r="F122" s="1218">
        <f t="shared" si="112"/>
        <v>0</v>
      </c>
      <c r="G122" s="1218"/>
      <c r="H122" s="1218"/>
      <c r="I122" s="1218"/>
      <c r="J122" s="1218">
        <f t="shared" si="113"/>
        <v>0</v>
      </c>
      <c r="K122" s="1218">
        <f t="shared" si="108"/>
        <v>0</v>
      </c>
      <c r="L122" s="1218">
        <f t="shared" si="109"/>
        <v>0</v>
      </c>
      <c r="M122" s="1218">
        <f t="shared" si="110"/>
        <v>0</v>
      </c>
      <c r="N122" s="1218">
        <f t="shared" si="111"/>
        <v>0</v>
      </c>
      <c r="O122" s="1218">
        <v>0</v>
      </c>
      <c r="P122" s="1218">
        <v>0</v>
      </c>
      <c r="Q122" s="1218">
        <v>0</v>
      </c>
      <c r="R122" s="1218">
        <f t="shared" si="72"/>
        <v>0</v>
      </c>
      <c r="S122" s="1218"/>
      <c r="T122" s="1218"/>
      <c r="U122" s="1218"/>
      <c r="V122" s="1218">
        <f t="shared" si="118"/>
        <v>0</v>
      </c>
      <c r="W122" s="1218"/>
      <c r="X122" s="1218"/>
      <c r="Y122" s="1218"/>
      <c r="Z122" s="1218">
        <f t="shared" si="73"/>
        <v>0</v>
      </c>
      <c r="AA122" s="1218">
        <f t="shared" si="74"/>
        <v>0</v>
      </c>
      <c r="AB122" s="1218">
        <f t="shared" si="75"/>
        <v>0</v>
      </c>
      <c r="AC122" s="1218">
        <f t="shared" si="76"/>
        <v>0</v>
      </c>
      <c r="AD122" s="1218">
        <f t="shared" si="77"/>
        <v>0</v>
      </c>
      <c r="AE122" s="1218"/>
      <c r="AF122" s="1218"/>
      <c r="AG122" s="1218"/>
      <c r="AH122" s="1218">
        <f t="shared" si="114"/>
        <v>0</v>
      </c>
      <c r="AI122" s="1218"/>
      <c r="AJ122" s="1218"/>
      <c r="AK122" s="1218"/>
      <c r="AL122" s="1218">
        <f t="shared" si="115"/>
        <v>0</v>
      </c>
      <c r="AM122" s="1218">
        <f t="shared" si="127"/>
        <v>0</v>
      </c>
      <c r="AN122" s="1218">
        <f t="shared" si="128"/>
        <v>0</v>
      </c>
      <c r="AO122" s="1218">
        <f t="shared" si="129"/>
        <v>0</v>
      </c>
      <c r="AP122" s="1218">
        <f t="shared" si="78"/>
        <v>0</v>
      </c>
      <c r="AQ122" s="1218">
        <f t="shared" si="79"/>
        <v>0</v>
      </c>
      <c r="AR122" s="1218">
        <f t="shared" si="80"/>
        <v>0</v>
      </c>
      <c r="AS122" s="1218">
        <f t="shared" si="81"/>
        <v>0</v>
      </c>
      <c r="AT122" s="1218">
        <f t="shared" si="82"/>
        <v>0</v>
      </c>
      <c r="AU122" s="1219" t="str">
        <f t="shared" si="83"/>
        <v xml:space="preserve"> </v>
      </c>
      <c r="AV122" s="1219" t="str">
        <f t="shared" si="84"/>
        <v xml:space="preserve"> </v>
      </c>
      <c r="AW122" s="1219" t="str">
        <f t="shared" si="85"/>
        <v xml:space="preserve"> </v>
      </c>
      <c r="AX122" s="1219" t="str">
        <f t="shared" si="86"/>
        <v xml:space="preserve"> </v>
      </c>
      <c r="AY122" s="1218">
        <f t="shared" si="87"/>
        <v>0</v>
      </c>
      <c r="AZ122" s="1218">
        <f t="shared" si="88"/>
        <v>0</v>
      </c>
      <c r="BA122" s="1218">
        <f t="shared" si="89"/>
        <v>0</v>
      </c>
      <c r="BB122" s="1218">
        <f t="shared" si="90"/>
        <v>0</v>
      </c>
      <c r="BC122" s="125"/>
      <c r="BF122" s="105">
        <f t="shared" si="71"/>
        <v>0</v>
      </c>
      <c r="BQ122" s="149"/>
      <c r="BR122" s="149"/>
      <c r="BT122" s="111">
        <f t="shared" si="130"/>
        <v>0</v>
      </c>
      <c r="BU122" s="111">
        <f t="shared" si="131"/>
        <v>0</v>
      </c>
      <c r="BV122" s="111">
        <f t="shared" si="132"/>
        <v>0</v>
      </c>
    </row>
    <row r="123" spans="1:74" ht="36">
      <c r="A123" s="587" t="s">
        <v>936</v>
      </c>
      <c r="B123" s="1308" t="s">
        <v>545</v>
      </c>
      <c r="C123" s="1218">
        <v>229323000</v>
      </c>
      <c r="D123" s="1218">
        <v>97777000</v>
      </c>
      <c r="E123" s="1218">
        <v>0</v>
      </c>
      <c r="F123" s="1218">
        <f t="shared" si="112"/>
        <v>327100000</v>
      </c>
      <c r="G123" s="1218"/>
      <c r="H123" s="1218"/>
      <c r="I123" s="1218"/>
      <c r="J123" s="1218">
        <f t="shared" si="113"/>
        <v>0</v>
      </c>
      <c r="K123" s="1218">
        <f t="shared" si="108"/>
        <v>229323000</v>
      </c>
      <c r="L123" s="1218">
        <f t="shared" si="109"/>
        <v>97777000</v>
      </c>
      <c r="M123" s="1218">
        <f t="shared" si="110"/>
        <v>0</v>
      </c>
      <c r="N123" s="1218">
        <f t="shared" si="111"/>
        <v>327100000</v>
      </c>
      <c r="O123" s="1218">
        <v>229323000</v>
      </c>
      <c r="P123" s="1218">
        <v>97777000</v>
      </c>
      <c r="Q123" s="1218">
        <v>0</v>
      </c>
      <c r="R123" s="1218">
        <f t="shared" si="72"/>
        <v>327100000</v>
      </c>
      <c r="S123" s="1218"/>
      <c r="T123" s="1218"/>
      <c r="U123" s="1218"/>
      <c r="V123" s="1218">
        <f t="shared" si="118"/>
        <v>0</v>
      </c>
      <c r="W123" s="1218">
        <f>+'CY (ALL FUNDS)'!F159</f>
        <v>0</v>
      </c>
      <c r="X123" s="1218">
        <f>+'CY (ALL FUNDS)'!G159</f>
        <v>35560000</v>
      </c>
      <c r="Y123" s="1218">
        <f>+'CY (ALL FUNDS)'!H159</f>
        <v>28800000</v>
      </c>
      <c r="Z123" s="1218">
        <f t="shared" si="73"/>
        <v>64360000</v>
      </c>
      <c r="AA123" s="1218">
        <f t="shared" si="74"/>
        <v>229323000</v>
      </c>
      <c r="AB123" s="1218">
        <f t="shared" si="75"/>
        <v>133337000</v>
      </c>
      <c r="AC123" s="1218">
        <f t="shared" si="76"/>
        <v>28800000</v>
      </c>
      <c r="AD123" s="1218">
        <f t="shared" si="77"/>
        <v>391460000</v>
      </c>
      <c r="AE123" s="1218">
        <f>+'CY (ALL FUNDS)'!J158</f>
        <v>213359977.38</v>
      </c>
      <c r="AF123" s="1218">
        <f>+'CY (ALL FUNDS)'!K158</f>
        <v>91943587.220000014</v>
      </c>
      <c r="AG123" s="1218">
        <f>+'CY (ALL FUNDS)'!L158</f>
        <v>0</v>
      </c>
      <c r="AH123" s="1218">
        <f t="shared" si="114"/>
        <v>305303564.60000002</v>
      </c>
      <c r="AI123" s="1218">
        <f>+'CY (ALL FUNDS)'!J159</f>
        <v>0</v>
      </c>
      <c r="AJ123" s="1218">
        <f>+'CY (ALL FUNDS)'!K159</f>
        <v>32227452.66</v>
      </c>
      <c r="AK123" s="1218">
        <f>+'CY (ALL FUNDS)'!L159</f>
        <v>27670570.260000002</v>
      </c>
      <c r="AL123" s="1218">
        <f t="shared" si="115"/>
        <v>59898022.920000002</v>
      </c>
      <c r="AM123" s="1218">
        <f t="shared" si="127"/>
        <v>213359977.38</v>
      </c>
      <c r="AN123" s="1218">
        <f t="shared" si="128"/>
        <v>124171039.88000001</v>
      </c>
      <c r="AO123" s="1218">
        <f t="shared" si="129"/>
        <v>27670570.260000002</v>
      </c>
      <c r="AP123" s="1218">
        <f t="shared" si="78"/>
        <v>365201587.51999998</v>
      </c>
      <c r="AQ123" s="1218">
        <f t="shared" si="79"/>
        <v>15963022.620000005</v>
      </c>
      <c r="AR123" s="1218">
        <f t="shared" si="80"/>
        <v>9165960.1199999899</v>
      </c>
      <c r="AS123" s="1218">
        <f t="shared" si="81"/>
        <v>1129429.7399999984</v>
      </c>
      <c r="AT123" s="1218">
        <f t="shared" si="82"/>
        <v>26258412.479999993</v>
      </c>
      <c r="AU123" s="1219">
        <f t="shared" si="83"/>
        <v>0.93039066024777273</v>
      </c>
      <c r="AV123" s="1219">
        <f t="shared" si="84"/>
        <v>0.93125718952728809</v>
      </c>
      <c r="AW123" s="1219">
        <f t="shared" si="85"/>
        <v>0.96078368958333338</v>
      </c>
      <c r="AX123" s="1219">
        <f t="shared" si="86"/>
        <v>0.93292185030399011</v>
      </c>
      <c r="AY123" s="1218">
        <f t="shared" si="87"/>
        <v>0</v>
      </c>
      <c r="AZ123" s="1218">
        <f t="shared" si="88"/>
        <v>0</v>
      </c>
      <c r="BA123" s="1218">
        <f t="shared" si="89"/>
        <v>0</v>
      </c>
      <c r="BB123" s="1218">
        <f t="shared" si="90"/>
        <v>0</v>
      </c>
      <c r="BC123" s="125"/>
      <c r="BF123" s="105">
        <f t="shared" si="71"/>
        <v>5833412.7799999863</v>
      </c>
      <c r="BP123" s="149">
        <f>+'CY (ALL FUNDS)'!F158</f>
        <v>229323000</v>
      </c>
      <c r="BQ123" s="149">
        <f>+'CY (ALL FUNDS)'!G158</f>
        <v>97777000</v>
      </c>
      <c r="BR123" s="149">
        <f>+'CY (ALL FUNDS)'!H158</f>
        <v>0</v>
      </c>
      <c r="BT123" s="111">
        <f t="shared" si="130"/>
        <v>0</v>
      </c>
      <c r="BU123" s="111">
        <f t="shared" si="131"/>
        <v>0</v>
      </c>
      <c r="BV123" s="111">
        <f t="shared" si="132"/>
        <v>0</v>
      </c>
    </row>
    <row r="124" spans="1:74" ht="36">
      <c r="A124" s="587" t="s">
        <v>936</v>
      </c>
      <c r="B124" s="1308" t="s">
        <v>546</v>
      </c>
      <c r="C124" s="1218">
        <v>26754000</v>
      </c>
      <c r="D124" s="1218">
        <v>16686000</v>
      </c>
      <c r="E124" s="1218">
        <v>0</v>
      </c>
      <c r="F124" s="1218">
        <f t="shared" si="112"/>
        <v>43440000</v>
      </c>
      <c r="G124" s="1218"/>
      <c r="H124" s="1218"/>
      <c r="I124" s="1218"/>
      <c r="J124" s="1218">
        <f t="shared" si="113"/>
        <v>0</v>
      </c>
      <c r="K124" s="1218">
        <f t="shared" si="108"/>
        <v>26754000</v>
      </c>
      <c r="L124" s="1218">
        <f t="shared" si="109"/>
        <v>16686000</v>
      </c>
      <c r="M124" s="1218">
        <f t="shared" si="110"/>
        <v>0</v>
      </c>
      <c r="N124" s="1218">
        <f t="shared" si="111"/>
        <v>43440000</v>
      </c>
      <c r="O124" s="1218">
        <v>26754000</v>
      </c>
      <c r="P124" s="1218">
        <v>16686000</v>
      </c>
      <c r="Q124" s="1218">
        <v>0</v>
      </c>
      <c r="R124" s="1218">
        <f t="shared" si="72"/>
        <v>43440000</v>
      </c>
      <c r="S124" s="1218"/>
      <c r="T124" s="1218"/>
      <c r="U124" s="1218"/>
      <c r="V124" s="1218">
        <f t="shared" si="118"/>
        <v>0</v>
      </c>
      <c r="W124" s="1218">
        <f>+'CY (ALL FUNDS)'!F174</f>
        <v>0</v>
      </c>
      <c r="X124" s="1218">
        <f>+'CY (ALL FUNDS)'!G174</f>
        <v>4190000</v>
      </c>
      <c r="Y124" s="1218">
        <f>+'CY (ALL FUNDS)'!H174</f>
        <v>0</v>
      </c>
      <c r="Z124" s="1218">
        <f t="shared" si="73"/>
        <v>4190000</v>
      </c>
      <c r="AA124" s="1218">
        <f t="shared" si="74"/>
        <v>26754000</v>
      </c>
      <c r="AB124" s="1218">
        <f t="shared" si="75"/>
        <v>20876000</v>
      </c>
      <c r="AC124" s="1218">
        <f t="shared" si="76"/>
        <v>0</v>
      </c>
      <c r="AD124" s="1218">
        <f t="shared" si="77"/>
        <v>47630000</v>
      </c>
      <c r="AE124" s="1218">
        <f>+'CY (ALL FUNDS)'!J173</f>
        <v>25239304.550000001</v>
      </c>
      <c r="AF124" s="1218">
        <f>+'CY (ALL FUNDS)'!K173</f>
        <v>15745799.550000001</v>
      </c>
      <c r="AG124" s="1218">
        <f>+'CY (ALL FUNDS)'!L173</f>
        <v>0</v>
      </c>
      <c r="AH124" s="1218">
        <f t="shared" si="114"/>
        <v>40985104.100000001</v>
      </c>
      <c r="AI124" s="1218">
        <f>+'CY (ALL FUNDS)'!J174</f>
        <v>0</v>
      </c>
      <c r="AJ124" s="1218">
        <f>+'CY (ALL FUNDS)'!K174</f>
        <v>3413817.95</v>
      </c>
      <c r="AK124" s="1218">
        <f>+'CY (ALL FUNDS)'!L174</f>
        <v>0</v>
      </c>
      <c r="AL124" s="1218">
        <f t="shared" si="115"/>
        <v>3413817.95</v>
      </c>
      <c r="AM124" s="1218">
        <f t="shared" si="127"/>
        <v>25239304.550000001</v>
      </c>
      <c r="AN124" s="1218">
        <f t="shared" si="128"/>
        <v>19159617.5</v>
      </c>
      <c r="AO124" s="1218">
        <f t="shared" si="129"/>
        <v>0</v>
      </c>
      <c r="AP124" s="1218">
        <f t="shared" si="78"/>
        <v>44398922.049999997</v>
      </c>
      <c r="AQ124" s="1218">
        <f t="shared" si="79"/>
        <v>1514695.4499999993</v>
      </c>
      <c r="AR124" s="1218">
        <f t="shared" si="80"/>
        <v>1716382.5</v>
      </c>
      <c r="AS124" s="1218">
        <f t="shared" si="81"/>
        <v>0</v>
      </c>
      <c r="AT124" s="1218">
        <f t="shared" si="82"/>
        <v>3231077.9499999993</v>
      </c>
      <c r="AU124" s="1219">
        <f t="shared" si="83"/>
        <v>0.94338433692158186</v>
      </c>
      <c r="AV124" s="1219">
        <f t="shared" si="84"/>
        <v>0.91778202241808771</v>
      </c>
      <c r="AW124" s="1219" t="str">
        <f t="shared" si="85"/>
        <v xml:space="preserve"> </v>
      </c>
      <c r="AX124" s="1219">
        <f t="shared" si="86"/>
        <v>0.93216296556791933</v>
      </c>
      <c r="AY124" s="1218">
        <f t="shared" si="87"/>
        <v>0</v>
      </c>
      <c r="AZ124" s="1218">
        <f t="shared" si="88"/>
        <v>0</v>
      </c>
      <c r="BA124" s="1218">
        <f t="shared" si="89"/>
        <v>0</v>
      </c>
      <c r="BB124" s="1218">
        <f t="shared" si="90"/>
        <v>0</v>
      </c>
      <c r="BC124" s="125"/>
      <c r="BF124" s="105">
        <f t="shared" si="71"/>
        <v>940200.44999999925</v>
      </c>
      <c r="BP124" s="149">
        <f>+'CY (ALL FUNDS)'!F173</f>
        <v>26754000</v>
      </c>
      <c r="BQ124" s="149">
        <f>+'CY (ALL FUNDS)'!G173</f>
        <v>16686000</v>
      </c>
      <c r="BR124" s="149">
        <f>+'CY (ALL FUNDS)'!H173</f>
        <v>0</v>
      </c>
      <c r="BT124" s="111">
        <f t="shared" si="130"/>
        <v>0</v>
      </c>
      <c r="BU124" s="111">
        <f t="shared" si="131"/>
        <v>0</v>
      </c>
      <c r="BV124" s="111">
        <f t="shared" si="132"/>
        <v>0</v>
      </c>
    </row>
    <row r="125" spans="1:74" ht="12.75">
      <c r="A125" s="587" t="s">
        <v>936</v>
      </c>
      <c r="B125" s="1311" t="s">
        <v>547</v>
      </c>
      <c r="C125" s="1218">
        <v>11833000</v>
      </c>
      <c r="D125" s="1218">
        <v>4695000</v>
      </c>
      <c r="E125" s="1218">
        <v>0</v>
      </c>
      <c r="F125" s="1218">
        <f t="shared" si="112"/>
        <v>16528000</v>
      </c>
      <c r="G125" s="1218"/>
      <c r="H125" s="1218"/>
      <c r="I125" s="1218"/>
      <c r="J125" s="1218">
        <f t="shared" si="113"/>
        <v>0</v>
      </c>
      <c r="K125" s="1218">
        <f t="shared" si="108"/>
        <v>11833000</v>
      </c>
      <c r="L125" s="1218">
        <f t="shared" si="109"/>
        <v>4695000</v>
      </c>
      <c r="M125" s="1218">
        <f t="shared" si="110"/>
        <v>0</v>
      </c>
      <c r="N125" s="1218">
        <f t="shared" si="111"/>
        <v>16528000</v>
      </c>
      <c r="O125" s="1218">
        <v>11833000</v>
      </c>
      <c r="P125" s="1218">
        <v>4695000</v>
      </c>
      <c r="Q125" s="1218">
        <v>0</v>
      </c>
      <c r="R125" s="1218">
        <f t="shared" si="72"/>
        <v>16528000</v>
      </c>
      <c r="S125" s="1218"/>
      <c r="T125" s="1218"/>
      <c r="U125" s="1218"/>
      <c r="V125" s="1218">
        <f t="shared" si="118"/>
        <v>0</v>
      </c>
      <c r="W125" s="1218">
        <f>+'CY (ALL FUNDS)'!F189</f>
        <v>0</v>
      </c>
      <c r="X125" s="1218">
        <f>+'CY (ALL FUNDS)'!G189</f>
        <v>826000</v>
      </c>
      <c r="Y125" s="1218">
        <f>+'CY (ALL FUNDS)'!H189</f>
        <v>0</v>
      </c>
      <c r="Z125" s="1218">
        <f t="shared" si="73"/>
        <v>826000</v>
      </c>
      <c r="AA125" s="1218">
        <f t="shared" si="74"/>
        <v>11833000</v>
      </c>
      <c r="AB125" s="1218">
        <f t="shared" si="75"/>
        <v>5521000</v>
      </c>
      <c r="AC125" s="1218">
        <f t="shared" si="76"/>
        <v>0</v>
      </c>
      <c r="AD125" s="1218">
        <f t="shared" si="77"/>
        <v>17354000</v>
      </c>
      <c r="AE125" s="1218">
        <f>+'CY (ALL FUNDS)'!J188</f>
        <v>10355513.009999998</v>
      </c>
      <c r="AF125" s="1218">
        <f>+'CY (ALL FUNDS)'!K188</f>
        <v>4694154.3499999996</v>
      </c>
      <c r="AG125" s="1218">
        <f>+'CY (ALL FUNDS)'!L188</f>
        <v>0</v>
      </c>
      <c r="AH125" s="1218">
        <f t="shared" si="114"/>
        <v>15049667.359999998</v>
      </c>
      <c r="AI125" s="1218">
        <f>+'CY (ALL FUNDS)'!J189</f>
        <v>0</v>
      </c>
      <c r="AJ125" s="1218">
        <f>+'CY (ALL FUNDS)'!K189</f>
        <v>754000</v>
      </c>
      <c r="AK125" s="1218">
        <f>+'CY (ALL FUNDS)'!L189</f>
        <v>0</v>
      </c>
      <c r="AL125" s="1218">
        <f t="shared" si="115"/>
        <v>754000</v>
      </c>
      <c r="AM125" s="1218">
        <f t="shared" si="127"/>
        <v>10355513.009999998</v>
      </c>
      <c r="AN125" s="1218">
        <f t="shared" si="128"/>
        <v>5448154.3499999996</v>
      </c>
      <c r="AO125" s="1218">
        <f t="shared" si="129"/>
        <v>0</v>
      </c>
      <c r="AP125" s="1218">
        <f t="shared" si="78"/>
        <v>15803667.359999998</v>
      </c>
      <c r="AQ125" s="1218">
        <f t="shared" si="79"/>
        <v>1477486.9900000021</v>
      </c>
      <c r="AR125" s="1218">
        <f t="shared" si="80"/>
        <v>72845.650000000373</v>
      </c>
      <c r="AS125" s="1218">
        <f t="shared" si="81"/>
        <v>0</v>
      </c>
      <c r="AT125" s="1218">
        <f t="shared" si="82"/>
        <v>1550332.6400000025</v>
      </c>
      <c r="AU125" s="1219">
        <f t="shared" si="83"/>
        <v>0.87513842727964153</v>
      </c>
      <c r="AV125" s="1219">
        <f t="shared" si="84"/>
        <v>0.98680571454446653</v>
      </c>
      <c r="AW125" s="1219" t="str">
        <f t="shared" si="85"/>
        <v xml:space="preserve"> </v>
      </c>
      <c r="AX125" s="1219">
        <f t="shared" si="86"/>
        <v>0.91066424801198553</v>
      </c>
      <c r="AY125" s="1218">
        <f t="shared" si="87"/>
        <v>0</v>
      </c>
      <c r="AZ125" s="1218">
        <f t="shared" si="88"/>
        <v>0</v>
      </c>
      <c r="BA125" s="1218">
        <f t="shared" si="89"/>
        <v>0</v>
      </c>
      <c r="BB125" s="1218">
        <f t="shared" si="90"/>
        <v>0</v>
      </c>
      <c r="BC125" s="125"/>
      <c r="BF125" s="105">
        <f t="shared" si="71"/>
        <v>845.65000000037253</v>
      </c>
      <c r="BP125" s="149">
        <f>+'CY (ALL FUNDS)'!F188</f>
        <v>11833000</v>
      </c>
      <c r="BQ125" s="149">
        <f>+'CY (ALL FUNDS)'!G188</f>
        <v>4695000</v>
      </c>
      <c r="BR125" s="149">
        <f>+'CY (ALL FUNDS)'!H188</f>
        <v>0</v>
      </c>
      <c r="BT125" s="111">
        <f t="shared" si="130"/>
        <v>0</v>
      </c>
      <c r="BU125" s="111">
        <f t="shared" si="131"/>
        <v>0</v>
      </c>
      <c r="BV125" s="111">
        <f t="shared" si="132"/>
        <v>0</v>
      </c>
    </row>
    <row r="126" spans="1:74" ht="36">
      <c r="A126" s="587" t="s">
        <v>936</v>
      </c>
      <c r="B126" s="1308" t="s">
        <v>548</v>
      </c>
      <c r="C126" s="1218">
        <v>16312000</v>
      </c>
      <c r="D126" s="1218">
        <v>10462000</v>
      </c>
      <c r="E126" s="1218">
        <v>0</v>
      </c>
      <c r="F126" s="1218">
        <f t="shared" si="112"/>
        <v>26774000</v>
      </c>
      <c r="G126" s="1218"/>
      <c r="H126" s="1218"/>
      <c r="I126" s="1218"/>
      <c r="J126" s="1218">
        <f t="shared" si="113"/>
        <v>0</v>
      </c>
      <c r="K126" s="1218">
        <f t="shared" si="108"/>
        <v>16312000</v>
      </c>
      <c r="L126" s="1218">
        <f t="shared" si="109"/>
        <v>10462000</v>
      </c>
      <c r="M126" s="1218">
        <f t="shared" si="110"/>
        <v>0</v>
      </c>
      <c r="N126" s="1218">
        <f t="shared" si="111"/>
        <v>26774000</v>
      </c>
      <c r="O126" s="1218">
        <v>16312000</v>
      </c>
      <c r="P126" s="1218">
        <v>10462000</v>
      </c>
      <c r="Q126" s="1218">
        <v>0</v>
      </c>
      <c r="R126" s="1218">
        <f t="shared" si="72"/>
        <v>26774000</v>
      </c>
      <c r="S126" s="1218"/>
      <c r="T126" s="1218"/>
      <c r="U126" s="1218"/>
      <c r="V126" s="1218">
        <f t="shared" si="118"/>
        <v>0</v>
      </c>
      <c r="W126" s="1218">
        <f>+'CY (ALL FUNDS)'!F204</f>
        <v>0</v>
      </c>
      <c r="X126" s="1218">
        <f>+'CY (ALL FUNDS)'!G204</f>
        <v>2170000</v>
      </c>
      <c r="Y126" s="1218">
        <f>+'CY (ALL FUNDS)'!H204</f>
        <v>0</v>
      </c>
      <c r="Z126" s="1218">
        <f t="shared" si="73"/>
        <v>2170000</v>
      </c>
      <c r="AA126" s="1218">
        <f t="shared" si="74"/>
        <v>16312000</v>
      </c>
      <c r="AB126" s="1218">
        <f t="shared" si="75"/>
        <v>12632000</v>
      </c>
      <c r="AC126" s="1218">
        <f t="shared" si="76"/>
        <v>0</v>
      </c>
      <c r="AD126" s="1218">
        <f t="shared" si="77"/>
        <v>28944000</v>
      </c>
      <c r="AE126" s="1218">
        <f>+'CY (ALL FUNDS)'!J203</f>
        <v>14386155.559999999</v>
      </c>
      <c r="AF126" s="1218">
        <f>+'CY (ALL FUNDS)'!K203</f>
        <v>8973281.1499999985</v>
      </c>
      <c r="AG126" s="1218">
        <f>+'CY (ALL FUNDS)'!L203</f>
        <v>0</v>
      </c>
      <c r="AH126" s="1218">
        <f t="shared" si="114"/>
        <v>23359436.709999997</v>
      </c>
      <c r="AI126" s="1218">
        <f>+'CY (ALL FUNDS)'!J204</f>
        <v>0</v>
      </c>
      <c r="AJ126" s="1218">
        <f>+'CY (ALL FUNDS)'!K204</f>
        <v>1514125</v>
      </c>
      <c r="AK126" s="1218">
        <f>+'CY (ALL FUNDS)'!L204</f>
        <v>0</v>
      </c>
      <c r="AL126" s="1218">
        <f t="shared" si="115"/>
        <v>1514125</v>
      </c>
      <c r="AM126" s="1218">
        <f t="shared" si="127"/>
        <v>14386155.559999999</v>
      </c>
      <c r="AN126" s="1218">
        <f t="shared" si="128"/>
        <v>10487406.149999999</v>
      </c>
      <c r="AO126" s="1218">
        <f t="shared" si="129"/>
        <v>0</v>
      </c>
      <c r="AP126" s="1218">
        <f t="shared" si="78"/>
        <v>24873561.709999997</v>
      </c>
      <c r="AQ126" s="1218">
        <f t="shared" si="79"/>
        <v>1925844.4400000013</v>
      </c>
      <c r="AR126" s="1218">
        <f t="shared" si="80"/>
        <v>2144593.8500000015</v>
      </c>
      <c r="AS126" s="1218">
        <f t="shared" si="81"/>
        <v>0</v>
      </c>
      <c r="AT126" s="1218">
        <f t="shared" si="82"/>
        <v>4070438.2900000028</v>
      </c>
      <c r="AU126" s="1219">
        <f t="shared" si="83"/>
        <v>0.8819369519372241</v>
      </c>
      <c r="AV126" s="1219">
        <f t="shared" si="84"/>
        <v>0.83022531269791</v>
      </c>
      <c r="AW126" s="1219" t="str">
        <f t="shared" si="85"/>
        <v xml:space="preserve"> </v>
      </c>
      <c r="AX126" s="1219">
        <f t="shared" si="86"/>
        <v>0.85936849467938081</v>
      </c>
      <c r="AY126" s="1218">
        <f t="shared" si="87"/>
        <v>0</v>
      </c>
      <c r="AZ126" s="1218">
        <f t="shared" si="88"/>
        <v>0</v>
      </c>
      <c r="BA126" s="1218">
        <f t="shared" si="89"/>
        <v>0</v>
      </c>
      <c r="BB126" s="1218">
        <f t="shared" si="90"/>
        <v>0</v>
      </c>
      <c r="BC126" s="125"/>
      <c r="BF126" s="105">
        <f t="shared" si="71"/>
        <v>1488718.8500000015</v>
      </c>
      <c r="BP126" s="149">
        <f>+'CY (ALL FUNDS)'!F203</f>
        <v>16312000</v>
      </c>
      <c r="BQ126" s="149">
        <f>+'CY (ALL FUNDS)'!G203</f>
        <v>10462000</v>
      </c>
      <c r="BR126" s="149">
        <f>+'CY (ALL FUNDS)'!H203</f>
        <v>0</v>
      </c>
      <c r="BT126" s="111">
        <f t="shared" si="130"/>
        <v>0</v>
      </c>
      <c r="BU126" s="111">
        <f t="shared" si="131"/>
        <v>0</v>
      </c>
      <c r="BV126" s="111">
        <f t="shared" si="132"/>
        <v>0</v>
      </c>
    </row>
    <row r="127" spans="1:74">
      <c r="B127" s="1310"/>
      <c r="C127" s="1218"/>
      <c r="D127" s="1218"/>
      <c r="E127" s="1218"/>
      <c r="F127" s="1218"/>
      <c r="G127" s="1218"/>
      <c r="H127" s="1218"/>
      <c r="I127" s="1218"/>
      <c r="J127" s="1218">
        <f t="shared" si="113"/>
        <v>0</v>
      </c>
      <c r="K127" s="1218">
        <f t="shared" si="108"/>
        <v>0</v>
      </c>
      <c r="L127" s="1218">
        <f t="shared" si="109"/>
        <v>0</v>
      </c>
      <c r="M127" s="1218">
        <f t="shared" si="110"/>
        <v>0</v>
      </c>
      <c r="N127" s="1218">
        <f t="shared" si="111"/>
        <v>0</v>
      </c>
      <c r="O127" s="1218"/>
      <c r="P127" s="1218"/>
      <c r="Q127" s="1218"/>
      <c r="R127" s="1218">
        <f t="shared" si="72"/>
        <v>0</v>
      </c>
      <c r="S127" s="1218"/>
      <c r="T127" s="1218"/>
      <c r="U127" s="1218"/>
      <c r="V127" s="1218"/>
      <c r="W127" s="1218"/>
      <c r="X127" s="1218"/>
      <c r="Y127" s="1218"/>
      <c r="Z127" s="1218">
        <f t="shared" si="73"/>
        <v>0</v>
      </c>
      <c r="AA127" s="1218">
        <f t="shared" si="74"/>
        <v>0</v>
      </c>
      <c r="AB127" s="1218">
        <f t="shared" si="75"/>
        <v>0</v>
      </c>
      <c r="AC127" s="1218">
        <f t="shared" si="76"/>
        <v>0</v>
      </c>
      <c r="AD127" s="1218">
        <f t="shared" si="77"/>
        <v>0</v>
      </c>
      <c r="AE127" s="1218"/>
      <c r="AF127" s="1218"/>
      <c r="AG127" s="1218"/>
      <c r="AH127" s="1218"/>
      <c r="AI127" s="1218"/>
      <c r="AJ127" s="1218"/>
      <c r="AK127" s="1218"/>
      <c r="AL127" s="1218"/>
      <c r="AM127" s="1218"/>
      <c r="AN127" s="1218"/>
      <c r="AO127" s="1218"/>
      <c r="AP127" s="1218">
        <f t="shared" si="78"/>
        <v>0</v>
      </c>
      <c r="AQ127" s="1218">
        <f t="shared" si="79"/>
        <v>0</v>
      </c>
      <c r="AR127" s="1218">
        <f t="shared" si="80"/>
        <v>0</v>
      </c>
      <c r="AS127" s="1218">
        <f t="shared" si="81"/>
        <v>0</v>
      </c>
      <c r="AT127" s="1218">
        <f t="shared" si="82"/>
        <v>0</v>
      </c>
      <c r="AU127" s="1219" t="str">
        <f t="shared" si="83"/>
        <v xml:space="preserve"> </v>
      </c>
      <c r="AV127" s="1219" t="str">
        <f t="shared" si="84"/>
        <v xml:space="preserve"> </v>
      </c>
      <c r="AW127" s="1219" t="str">
        <f t="shared" si="85"/>
        <v xml:space="preserve"> </v>
      </c>
      <c r="AX127" s="1219" t="str">
        <f t="shared" si="86"/>
        <v xml:space="preserve"> </v>
      </c>
      <c r="AY127" s="1218">
        <f t="shared" si="87"/>
        <v>0</v>
      </c>
      <c r="AZ127" s="1218">
        <f t="shared" si="88"/>
        <v>0</v>
      </c>
      <c r="BA127" s="1218">
        <f t="shared" si="89"/>
        <v>0</v>
      </c>
      <c r="BB127" s="1218">
        <f t="shared" si="90"/>
        <v>0</v>
      </c>
      <c r="BC127" s="125"/>
      <c r="BF127" s="105">
        <f t="shared" si="71"/>
        <v>0</v>
      </c>
      <c r="BQ127" s="149"/>
      <c r="BR127" s="149"/>
    </row>
    <row r="128" spans="1:74" ht="12.75">
      <c r="A128" s="587" t="s">
        <v>936</v>
      </c>
      <c r="B128" s="1305" t="s">
        <v>28</v>
      </c>
      <c r="C128" s="1218">
        <f>SUM(C129:C136)</f>
        <v>339824000</v>
      </c>
      <c r="D128" s="1218">
        <f>SUM(D129:D136)</f>
        <v>223470000</v>
      </c>
      <c r="E128" s="1218">
        <f>SUM(E129:E136)</f>
        <v>0</v>
      </c>
      <c r="F128" s="1218">
        <f t="shared" ref="F128:Q128" si="133">SUM(F129:F136)</f>
        <v>563294000</v>
      </c>
      <c r="G128" s="1218">
        <f t="shared" si="133"/>
        <v>0</v>
      </c>
      <c r="H128" s="1218">
        <f t="shared" si="133"/>
        <v>0</v>
      </c>
      <c r="I128" s="1218">
        <f t="shared" si="133"/>
        <v>0</v>
      </c>
      <c r="J128" s="1218">
        <f t="shared" si="133"/>
        <v>0</v>
      </c>
      <c r="K128" s="1218">
        <f t="shared" si="133"/>
        <v>339824000</v>
      </c>
      <c r="L128" s="1218">
        <f t="shared" si="133"/>
        <v>223470000</v>
      </c>
      <c r="M128" s="1218">
        <f t="shared" si="133"/>
        <v>0</v>
      </c>
      <c r="N128" s="1218">
        <f t="shared" si="133"/>
        <v>563294000</v>
      </c>
      <c r="O128" s="1218">
        <f t="shared" si="133"/>
        <v>339824000</v>
      </c>
      <c r="P128" s="1218">
        <f t="shared" si="133"/>
        <v>223470000</v>
      </c>
      <c r="Q128" s="1218">
        <f t="shared" si="133"/>
        <v>0</v>
      </c>
      <c r="R128" s="1218">
        <f t="shared" si="72"/>
        <v>563294000</v>
      </c>
      <c r="S128" s="1218"/>
      <c r="T128" s="1218"/>
      <c r="U128" s="1218"/>
      <c r="V128" s="1218">
        <f>SUM(V129:V136)</f>
        <v>0</v>
      </c>
      <c r="W128" s="1218">
        <f t="shared" ref="W128:AO128" si="134">SUM(W129:W136)</f>
        <v>0</v>
      </c>
      <c r="X128" s="1218">
        <f t="shared" si="134"/>
        <v>167639684</v>
      </c>
      <c r="Y128" s="1218">
        <f t="shared" si="134"/>
        <v>412488500</v>
      </c>
      <c r="Z128" s="1218">
        <f t="shared" si="73"/>
        <v>580128184</v>
      </c>
      <c r="AA128" s="1218">
        <f t="shared" si="74"/>
        <v>339824000</v>
      </c>
      <c r="AB128" s="1218">
        <f t="shared" si="75"/>
        <v>391109684</v>
      </c>
      <c r="AC128" s="1218">
        <f t="shared" si="76"/>
        <v>412488500</v>
      </c>
      <c r="AD128" s="1218">
        <f t="shared" si="77"/>
        <v>1143422184</v>
      </c>
      <c r="AE128" s="1218">
        <f t="shared" si="134"/>
        <v>303830308.55000001</v>
      </c>
      <c r="AF128" s="1218">
        <f>SUM(AF129:AF136)</f>
        <v>171208628.93999997</v>
      </c>
      <c r="AG128" s="1218">
        <f>SUM(AG129:AG136)</f>
        <v>0</v>
      </c>
      <c r="AH128" s="1218">
        <f t="shared" si="134"/>
        <v>475038937.48999995</v>
      </c>
      <c r="AI128" s="1218">
        <f t="shared" si="134"/>
        <v>0</v>
      </c>
      <c r="AJ128" s="1218">
        <f t="shared" si="134"/>
        <v>127209037.57999998</v>
      </c>
      <c r="AK128" s="1218">
        <f t="shared" si="134"/>
        <v>401602644.66000003</v>
      </c>
      <c r="AL128" s="1218">
        <f t="shared" si="134"/>
        <v>528811682.23999995</v>
      </c>
      <c r="AM128" s="1218">
        <f t="shared" si="134"/>
        <v>303830308.55000001</v>
      </c>
      <c r="AN128" s="1218">
        <f t="shared" si="134"/>
        <v>298417666.51999998</v>
      </c>
      <c r="AO128" s="1218">
        <f t="shared" si="134"/>
        <v>401602644.66000003</v>
      </c>
      <c r="AP128" s="1218">
        <f t="shared" si="78"/>
        <v>1003850619.73</v>
      </c>
      <c r="AQ128" s="1218">
        <f t="shared" si="79"/>
        <v>35993691.449999988</v>
      </c>
      <c r="AR128" s="1218">
        <f t="shared" si="80"/>
        <v>92692017.480000019</v>
      </c>
      <c r="AS128" s="1218">
        <f t="shared" si="81"/>
        <v>10885855.339999974</v>
      </c>
      <c r="AT128" s="1218">
        <f t="shared" si="82"/>
        <v>139571564.26999998</v>
      </c>
      <c r="AU128" s="1219">
        <f t="shared" si="83"/>
        <v>0.89408137315198455</v>
      </c>
      <c r="AV128" s="1219">
        <f t="shared" si="84"/>
        <v>0.76300249962616618</v>
      </c>
      <c r="AW128" s="1219">
        <f t="shared" si="85"/>
        <v>0.97360931192021116</v>
      </c>
      <c r="AX128" s="1219">
        <f t="shared" si="86"/>
        <v>0.87793523142804442</v>
      </c>
      <c r="AY128" s="1218">
        <f t="shared" si="87"/>
        <v>0</v>
      </c>
      <c r="AZ128" s="1218">
        <f t="shared" si="88"/>
        <v>0</v>
      </c>
      <c r="BA128" s="1218">
        <f t="shared" si="89"/>
        <v>0</v>
      </c>
      <c r="BB128" s="1218">
        <f t="shared" si="90"/>
        <v>0</v>
      </c>
      <c r="BC128" s="125"/>
      <c r="BF128" s="105">
        <f t="shared" si="71"/>
        <v>52261371.060000032</v>
      </c>
      <c r="BQ128" s="149"/>
      <c r="BR128" s="149"/>
    </row>
    <row r="129" spans="1:74" ht="36">
      <c r="A129" s="587" t="s">
        <v>936</v>
      </c>
      <c r="B129" s="1306" t="s">
        <v>534</v>
      </c>
      <c r="C129" s="1218">
        <v>33436000</v>
      </c>
      <c r="D129" s="1218">
        <v>7949000</v>
      </c>
      <c r="E129" s="1218">
        <v>0</v>
      </c>
      <c r="F129" s="1218">
        <f t="shared" si="112"/>
        <v>41385000</v>
      </c>
      <c r="G129" s="1218"/>
      <c r="H129" s="1218"/>
      <c r="I129" s="1218"/>
      <c r="J129" s="1218">
        <f t="shared" si="113"/>
        <v>0</v>
      </c>
      <c r="K129" s="1218">
        <f t="shared" si="108"/>
        <v>33436000</v>
      </c>
      <c r="L129" s="1218">
        <f t="shared" si="109"/>
        <v>7949000</v>
      </c>
      <c r="M129" s="1218">
        <f t="shared" si="110"/>
        <v>0</v>
      </c>
      <c r="N129" s="1218">
        <f t="shared" si="111"/>
        <v>41385000</v>
      </c>
      <c r="O129" s="1218">
        <v>33436000</v>
      </c>
      <c r="P129" s="1218">
        <v>7949000</v>
      </c>
      <c r="Q129" s="1218">
        <v>0</v>
      </c>
      <c r="R129" s="1218">
        <f t="shared" si="72"/>
        <v>41385000</v>
      </c>
      <c r="S129" s="1218"/>
      <c r="T129" s="1218"/>
      <c r="U129" s="1218"/>
      <c r="V129" s="1218">
        <f t="shared" si="118"/>
        <v>0</v>
      </c>
      <c r="W129" s="1218"/>
      <c r="X129" s="1218"/>
      <c r="Y129" s="1218"/>
      <c r="Z129" s="1218">
        <f t="shared" si="73"/>
        <v>0</v>
      </c>
      <c r="AA129" s="1218">
        <f t="shared" si="74"/>
        <v>33436000</v>
      </c>
      <c r="AB129" s="1218">
        <f t="shared" si="75"/>
        <v>7949000</v>
      </c>
      <c r="AC129" s="1218">
        <f t="shared" si="76"/>
        <v>0</v>
      </c>
      <c r="AD129" s="1218">
        <f t="shared" si="77"/>
        <v>41385000</v>
      </c>
      <c r="AE129" s="1218">
        <f>+'CY (ALL FUNDS)'!J315</f>
        <v>28638815.879999999</v>
      </c>
      <c r="AF129" s="1218">
        <f>+'CY (ALL FUNDS)'!K315</f>
        <v>6490642.4900000002</v>
      </c>
      <c r="AG129" s="1218">
        <f>+'CY (ALL FUNDS)'!L315</f>
        <v>0</v>
      </c>
      <c r="AH129" s="1218">
        <f t="shared" si="114"/>
        <v>35129458.369999997</v>
      </c>
      <c r="AI129" s="1218"/>
      <c r="AJ129" s="1218"/>
      <c r="AK129" s="1218"/>
      <c r="AL129" s="1218">
        <f t="shared" si="115"/>
        <v>0</v>
      </c>
      <c r="AM129" s="1218">
        <f t="shared" ref="AM129:AM136" si="135">+AE129+AI129</f>
        <v>28638815.879999999</v>
      </c>
      <c r="AN129" s="1218">
        <f t="shared" ref="AN129:AN136" si="136">+AF129+AJ129</f>
        <v>6490642.4900000002</v>
      </c>
      <c r="AO129" s="1218">
        <f t="shared" ref="AO129:AO136" si="137">+AG129+AK129</f>
        <v>0</v>
      </c>
      <c r="AP129" s="1218">
        <f t="shared" si="78"/>
        <v>35129458.369999997</v>
      </c>
      <c r="AQ129" s="1218">
        <f t="shared" si="79"/>
        <v>4797184.120000001</v>
      </c>
      <c r="AR129" s="1218">
        <f t="shared" si="80"/>
        <v>1458357.5099999998</v>
      </c>
      <c r="AS129" s="1218">
        <f t="shared" si="81"/>
        <v>0</v>
      </c>
      <c r="AT129" s="1218">
        <f t="shared" si="82"/>
        <v>6255541.6300000008</v>
      </c>
      <c r="AU129" s="1219">
        <f t="shared" si="83"/>
        <v>0.85652637516449337</v>
      </c>
      <c r="AV129" s="1219">
        <f t="shared" si="84"/>
        <v>0.81653572650647888</v>
      </c>
      <c r="AW129" s="1219" t="str">
        <f t="shared" si="85"/>
        <v xml:space="preserve"> </v>
      </c>
      <c r="AX129" s="1219">
        <f t="shared" si="86"/>
        <v>0.84884519439410411</v>
      </c>
      <c r="AY129" s="1218">
        <f t="shared" si="87"/>
        <v>0</v>
      </c>
      <c r="AZ129" s="1218">
        <f t="shared" si="88"/>
        <v>0</v>
      </c>
      <c r="BA129" s="1218">
        <f t="shared" si="89"/>
        <v>0</v>
      </c>
      <c r="BB129" s="1218">
        <f t="shared" si="90"/>
        <v>0</v>
      </c>
      <c r="BC129" s="125"/>
      <c r="BD129" s="105">
        <f>+AT129-'CY (ALL FUNDS)'!Q315</f>
        <v>0</v>
      </c>
      <c r="BF129" s="105">
        <f t="shared" si="71"/>
        <v>1458357.5099999998</v>
      </c>
      <c r="BP129" s="149">
        <f>+'CY (ALL FUNDS)'!F315</f>
        <v>33436000</v>
      </c>
      <c r="BQ129" s="149">
        <f>+'CY (ALL FUNDS)'!G315</f>
        <v>7949000</v>
      </c>
      <c r="BR129" s="149">
        <f>+'CY (ALL FUNDS)'!H315</f>
        <v>0</v>
      </c>
      <c r="BT129" s="111">
        <f t="shared" ref="BT129:BT136" si="138">+O129-BP129</f>
        <v>0</v>
      </c>
      <c r="BU129" s="111">
        <f t="shared" ref="BU129:BU136" si="139">+P129-BQ129</f>
        <v>0</v>
      </c>
      <c r="BV129" s="111">
        <f t="shared" ref="BV129:BV136" si="140">+Q129-BR129</f>
        <v>0</v>
      </c>
    </row>
    <row r="130" spans="1:74" ht="12.75">
      <c r="A130" s="587" t="s">
        <v>936</v>
      </c>
      <c r="B130" s="1307" t="s">
        <v>535</v>
      </c>
      <c r="C130" s="1218">
        <v>1165000</v>
      </c>
      <c r="D130" s="1218">
        <v>8132000</v>
      </c>
      <c r="E130" s="1218">
        <v>0</v>
      </c>
      <c r="F130" s="1218">
        <f t="shared" si="112"/>
        <v>9297000</v>
      </c>
      <c r="G130" s="1218"/>
      <c r="H130" s="1218"/>
      <c r="I130" s="1218"/>
      <c r="J130" s="1218">
        <f t="shared" si="113"/>
        <v>0</v>
      </c>
      <c r="K130" s="1218">
        <f t="shared" si="108"/>
        <v>1165000</v>
      </c>
      <c r="L130" s="1218">
        <f t="shared" si="109"/>
        <v>8132000</v>
      </c>
      <c r="M130" s="1218">
        <f t="shared" si="110"/>
        <v>0</v>
      </c>
      <c r="N130" s="1218">
        <f t="shared" si="111"/>
        <v>9297000</v>
      </c>
      <c r="O130" s="1218">
        <v>1165000</v>
      </c>
      <c r="P130" s="1218">
        <v>8132000</v>
      </c>
      <c r="Q130" s="1218">
        <v>0</v>
      </c>
      <c r="R130" s="1218">
        <f t="shared" si="72"/>
        <v>9297000</v>
      </c>
      <c r="S130" s="1218"/>
      <c r="T130" s="1218"/>
      <c r="U130" s="1218"/>
      <c r="V130" s="1218">
        <f t="shared" si="118"/>
        <v>0</v>
      </c>
      <c r="W130" s="1218"/>
      <c r="X130" s="1218"/>
      <c r="Y130" s="1218"/>
      <c r="Z130" s="1218">
        <f t="shared" si="73"/>
        <v>0</v>
      </c>
      <c r="AA130" s="1218">
        <f t="shared" si="74"/>
        <v>1165000</v>
      </c>
      <c r="AB130" s="1218">
        <f t="shared" si="75"/>
        <v>8132000</v>
      </c>
      <c r="AC130" s="1218">
        <f t="shared" si="76"/>
        <v>0</v>
      </c>
      <c r="AD130" s="1218">
        <f t="shared" si="77"/>
        <v>9297000</v>
      </c>
      <c r="AE130" s="1218">
        <f>+'CY (ALL FUNDS)'!J316</f>
        <v>1072007.9700000002</v>
      </c>
      <c r="AF130" s="1218">
        <f>+'CY (ALL FUNDS)'!K316</f>
        <v>3837560.2199999997</v>
      </c>
      <c r="AG130" s="1218">
        <f>+'CY (ALL FUNDS)'!L316</f>
        <v>0</v>
      </c>
      <c r="AH130" s="1218">
        <f t="shared" si="114"/>
        <v>4909568.1899999995</v>
      </c>
      <c r="AI130" s="1218"/>
      <c r="AJ130" s="1218"/>
      <c r="AK130" s="1218"/>
      <c r="AL130" s="1218">
        <f t="shared" si="115"/>
        <v>0</v>
      </c>
      <c r="AM130" s="1218">
        <f t="shared" si="135"/>
        <v>1072007.9700000002</v>
      </c>
      <c r="AN130" s="1218">
        <f t="shared" si="136"/>
        <v>3837560.2199999997</v>
      </c>
      <c r="AO130" s="1218">
        <f t="shared" si="137"/>
        <v>0</v>
      </c>
      <c r="AP130" s="1218">
        <f t="shared" si="78"/>
        <v>4909568.1899999995</v>
      </c>
      <c r="AQ130" s="1218">
        <f t="shared" si="79"/>
        <v>92992.029999999795</v>
      </c>
      <c r="AR130" s="1218">
        <f t="shared" si="80"/>
        <v>4294439.78</v>
      </c>
      <c r="AS130" s="1218">
        <f t="shared" si="81"/>
        <v>0</v>
      </c>
      <c r="AT130" s="1218">
        <f t="shared" si="82"/>
        <v>4387431.8100000005</v>
      </c>
      <c r="AU130" s="1219">
        <f t="shared" si="83"/>
        <v>0.92017851502145942</v>
      </c>
      <c r="AV130" s="1219">
        <f t="shared" si="84"/>
        <v>0.47190853664535165</v>
      </c>
      <c r="AW130" s="1219" t="str">
        <f t="shared" si="85"/>
        <v xml:space="preserve"> </v>
      </c>
      <c r="AX130" s="1219">
        <f t="shared" si="86"/>
        <v>0.5280809067441109</v>
      </c>
      <c r="AY130" s="1218">
        <f t="shared" si="87"/>
        <v>0</v>
      </c>
      <c r="AZ130" s="1218">
        <f t="shared" si="88"/>
        <v>0</v>
      </c>
      <c r="BA130" s="1218">
        <f t="shared" si="89"/>
        <v>0</v>
      </c>
      <c r="BB130" s="1218">
        <f t="shared" si="90"/>
        <v>0</v>
      </c>
      <c r="BC130" s="125"/>
      <c r="BD130" s="105">
        <f>+AT130-'CY (ALL FUNDS)'!Q316</f>
        <v>0</v>
      </c>
      <c r="BF130" s="105">
        <f t="shared" si="71"/>
        <v>4294439.78</v>
      </c>
      <c r="BP130" s="149">
        <f>+'CY (ALL FUNDS)'!F316</f>
        <v>1165000</v>
      </c>
      <c r="BQ130" s="149">
        <f>+'CY (ALL FUNDS)'!G316</f>
        <v>8132000</v>
      </c>
      <c r="BR130" s="149">
        <f>+'CY (ALL FUNDS)'!H316</f>
        <v>0</v>
      </c>
      <c r="BT130" s="111">
        <f t="shared" si="138"/>
        <v>0</v>
      </c>
      <c r="BU130" s="111">
        <f t="shared" si="139"/>
        <v>0</v>
      </c>
      <c r="BV130" s="111">
        <f t="shared" si="140"/>
        <v>0</v>
      </c>
    </row>
    <row r="131" spans="1:74" ht="36">
      <c r="A131" s="587" t="s">
        <v>936</v>
      </c>
      <c r="B131" s="1306" t="s">
        <v>536</v>
      </c>
      <c r="C131" s="1218">
        <v>50495000</v>
      </c>
      <c r="D131" s="1218">
        <v>99610000</v>
      </c>
      <c r="E131" s="1218">
        <v>0</v>
      </c>
      <c r="F131" s="1218">
        <f t="shared" si="112"/>
        <v>150105000</v>
      </c>
      <c r="G131" s="1218"/>
      <c r="H131" s="1218"/>
      <c r="I131" s="1218"/>
      <c r="J131" s="1218">
        <f t="shared" si="113"/>
        <v>0</v>
      </c>
      <c r="K131" s="1218">
        <f t="shared" si="108"/>
        <v>50495000</v>
      </c>
      <c r="L131" s="1218">
        <f t="shared" si="109"/>
        <v>99610000</v>
      </c>
      <c r="M131" s="1218">
        <f t="shared" si="110"/>
        <v>0</v>
      </c>
      <c r="N131" s="1218">
        <f t="shared" si="111"/>
        <v>150105000</v>
      </c>
      <c r="O131" s="1218">
        <v>50495000</v>
      </c>
      <c r="P131" s="1218">
        <v>99610000</v>
      </c>
      <c r="Q131" s="1218">
        <v>0</v>
      </c>
      <c r="R131" s="1218">
        <f t="shared" si="72"/>
        <v>150105000</v>
      </c>
      <c r="S131" s="1218"/>
      <c r="T131" s="1218"/>
      <c r="U131" s="1218"/>
      <c r="V131" s="1218">
        <f t="shared" si="118"/>
        <v>0</v>
      </c>
      <c r="W131" s="1218">
        <f>+'CY (ALL FUNDS)'!F318</f>
        <v>0</v>
      </c>
      <c r="X131" s="1218">
        <f>+'CY (ALL FUNDS)'!G318</f>
        <v>122944284</v>
      </c>
      <c r="Y131" s="1218">
        <f>+'CY (ALL FUNDS)'!H318</f>
        <v>22358500</v>
      </c>
      <c r="Z131" s="1218">
        <f t="shared" si="73"/>
        <v>145302784</v>
      </c>
      <c r="AA131" s="1218">
        <f t="shared" si="74"/>
        <v>50495000</v>
      </c>
      <c r="AB131" s="1218">
        <f t="shared" si="75"/>
        <v>222554284</v>
      </c>
      <c r="AC131" s="1218">
        <f t="shared" si="76"/>
        <v>22358500</v>
      </c>
      <c r="AD131" s="1218">
        <f t="shared" si="77"/>
        <v>295407784</v>
      </c>
      <c r="AE131" s="1218">
        <f>+'CY (ALL FUNDS)'!J317</f>
        <v>42991535.93</v>
      </c>
      <c r="AF131" s="1218">
        <f>+'CY (ALL FUNDS)'!K317</f>
        <v>68071075.419999987</v>
      </c>
      <c r="AG131" s="1218">
        <f>+'CY (ALL FUNDS)'!L317</f>
        <v>0</v>
      </c>
      <c r="AH131" s="1218">
        <f t="shared" si="114"/>
        <v>111062611.34999999</v>
      </c>
      <c r="AI131" s="1218">
        <f>+'CY (ALL FUNDS)'!J318</f>
        <v>0</v>
      </c>
      <c r="AJ131" s="1218">
        <f>+'CY (ALL FUNDS)'!K318</f>
        <v>91068860.539999992</v>
      </c>
      <c r="AK131" s="1218">
        <f>+'CY (ALL FUNDS)'!L318</f>
        <v>21686351.640000001</v>
      </c>
      <c r="AL131" s="1218">
        <f t="shared" si="115"/>
        <v>112755212.17999999</v>
      </c>
      <c r="AM131" s="1218">
        <f t="shared" si="135"/>
        <v>42991535.93</v>
      </c>
      <c r="AN131" s="1218">
        <f t="shared" si="136"/>
        <v>159139935.95999998</v>
      </c>
      <c r="AO131" s="1218">
        <f t="shared" si="137"/>
        <v>21686351.640000001</v>
      </c>
      <c r="AP131" s="1218">
        <f t="shared" si="78"/>
        <v>223817823.52999997</v>
      </c>
      <c r="AQ131" s="1218">
        <f t="shared" si="79"/>
        <v>7503464.0700000003</v>
      </c>
      <c r="AR131" s="1218">
        <f t="shared" si="80"/>
        <v>63414348.040000021</v>
      </c>
      <c r="AS131" s="1218">
        <f t="shared" si="81"/>
        <v>672148.3599999994</v>
      </c>
      <c r="AT131" s="1218">
        <f t="shared" si="82"/>
        <v>71589960.470000014</v>
      </c>
      <c r="AU131" s="1219">
        <f t="shared" si="83"/>
        <v>0.8514018403802357</v>
      </c>
      <c r="AV131" s="1219">
        <f t="shared" si="84"/>
        <v>0.71506121158287828</v>
      </c>
      <c r="AW131" s="1219">
        <f t="shared" si="85"/>
        <v>0.96993768097144262</v>
      </c>
      <c r="AX131" s="1219">
        <f t="shared" si="86"/>
        <v>0.75765716292025664</v>
      </c>
      <c r="AY131" s="1218">
        <f t="shared" si="87"/>
        <v>0</v>
      </c>
      <c r="AZ131" s="1218">
        <f t="shared" si="88"/>
        <v>0</v>
      </c>
      <c r="BA131" s="1218">
        <f t="shared" si="89"/>
        <v>0</v>
      </c>
      <c r="BB131" s="1218">
        <f t="shared" si="90"/>
        <v>0</v>
      </c>
      <c r="BC131" s="125" t="s">
        <v>696</v>
      </c>
      <c r="BD131" s="105">
        <f>+AT131-'CY (ALL FUNDS)'!Q317-'CY (ALL FUNDS)'!Q318</f>
        <v>0</v>
      </c>
      <c r="BF131" s="105">
        <f t="shared" si="71"/>
        <v>31538924.580000013</v>
      </c>
      <c r="BP131" s="149">
        <f>+'CY (ALL FUNDS)'!F317</f>
        <v>50495000</v>
      </c>
      <c r="BQ131" s="149">
        <f>+'CY (ALL FUNDS)'!G317</f>
        <v>99610000</v>
      </c>
      <c r="BR131" s="149">
        <f>+'CY (ALL FUNDS)'!H317</f>
        <v>0</v>
      </c>
      <c r="BT131" s="111">
        <f t="shared" si="138"/>
        <v>0</v>
      </c>
      <c r="BU131" s="111">
        <f t="shared" si="139"/>
        <v>0</v>
      </c>
      <c r="BV131" s="111">
        <f t="shared" si="140"/>
        <v>0</v>
      </c>
    </row>
    <row r="132" spans="1:74" ht="12.75">
      <c r="A132" s="587" t="s">
        <v>936</v>
      </c>
      <c r="B132" s="1307" t="s">
        <v>537</v>
      </c>
      <c r="C132" s="1218">
        <v>0</v>
      </c>
      <c r="D132" s="1218">
        <v>0</v>
      </c>
      <c r="E132" s="1218">
        <v>0</v>
      </c>
      <c r="F132" s="1218">
        <f t="shared" si="112"/>
        <v>0</v>
      </c>
      <c r="G132" s="1218"/>
      <c r="H132" s="1218"/>
      <c r="I132" s="1218"/>
      <c r="J132" s="1218">
        <f t="shared" si="113"/>
        <v>0</v>
      </c>
      <c r="K132" s="1218">
        <f t="shared" si="108"/>
        <v>0</v>
      </c>
      <c r="L132" s="1218">
        <f t="shared" si="109"/>
        <v>0</v>
      </c>
      <c r="M132" s="1218">
        <f t="shared" si="110"/>
        <v>0</v>
      </c>
      <c r="N132" s="1218">
        <f t="shared" si="111"/>
        <v>0</v>
      </c>
      <c r="O132" s="1218">
        <v>0</v>
      </c>
      <c r="P132" s="1218">
        <v>0</v>
      </c>
      <c r="Q132" s="1218">
        <v>0</v>
      </c>
      <c r="R132" s="1218">
        <f t="shared" si="72"/>
        <v>0</v>
      </c>
      <c r="S132" s="1218"/>
      <c r="T132" s="1218"/>
      <c r="U132" s="1218"/>
      <c r="V132" s="1218">
        <f t="shared" si="118"/>
        <v>0</v>
      </c>
      <c r="W132" s="1218"/>
      <c r="X132" s="1218"/>
      <c r="Y132" s="1218"/>
      <c r="Z132" s="1218">
        <f t="shared" si="73"/>
        <v>0</v>
      </c>
      <c r="AA132" s="1218">
        <f t="shared" si="74"/>
        <v>0</v>
      </c>
      <c r="AB132" s="1218">
        <f t="shared" si="75"/>
        <v>0</v>
      </c>
      <c r="AC132" s="1218">
        <f t="shared" si="76"/>
        <v>0</v>
      </c>
      <c r="AD132" s="1218">
        <f t="shared" si="77"/>
        <v>0</v>
      </c>
      <c r="AE132" s="1218"/>
      <c r="AF132" s="1218"/>
      <c r="AG132" s="1218"/>
      <c r="AH132" s="1218">
        <f t="shared" si="114"/>
        <v>0</v>
      </c>
      <c r="AI132" s="1218"/>
      <c r="AJ132" s="1218"/>
      <c r="AK132" s="1218"/>
      <c r="AL132" s="1218">
        <f t="shared" si="115"/>
        <v>0</v>
      </c>
      <c r="AM132" s="1218">
        <f t="shared" si="135"/>
        <v>0</v>
      </c>
      <c r="AN132" s="1218">
        <f t="shared" si="136"/>
        <v>0</v>
      </c>
      <c r="AO132" s="1218">
        <f t="shared" si="137"/>
        <v>0</v>
      </c>
      <c r="AP132" s="1218">
        <f t="shared" si="78"/>
        <v>0</v>
      </c>
      <c r="AQ132" s="1218">
        <f t="shared" si="79"/>
        <v>0</v>
      </c>
      <c r="AR132" s="1218">
        <f t="shared" si="80"/>
        <v>0</v>
      </c>
      <c r="AS132" s="1218">
        <f t="shared" si="81"/>
        <v>0</v>
      </c>
      <c r="AT132" s="1218">
        <f t="shared" si="82"/>
        <v>0</v>
      </c>
      <c r="AU132" s="1219" t="str">
        <f t="shared" si="83"/>
        <v xml:space="preserve"> </v>
      </c>
      <c r="AV132" s="1219" t="str">
        <f t="shared" si="84"/>
        <v xml:space="preserve"> </v>
      </c>
      <c r="AW132" s="1219" t="str">
        <f t="shared" si="85"/>
        <v xml:space="preserve"> </v>
      </c>
      <c r="AX132" s="1219" t="str">
        <f t="shared" si="86"/>
        <v xml:space="preserve"> </v>
      </c>
      <c r="AY132" s="1218">
        <f t="shared" si="87"/>
        <v>0</v>
      </c>
      <c r="AZ132" s="1218">
        <f t="shared" si="88"/>
        <v>0</v>
      </c>
      <c r="BA132" s="1218">
        <f t="shared" si="89"/>
        <v>0</v>
      </c>
      <c r="BB132" s="1218">
        <f t="shared" si="90"/>
        <v>0</v>
      </c>
      <c r="BC132" s="125"/>
      <c r="BF132" s="105">
        <f t="shared" si="71"/>
        <v>0</v>
      </c>
      <c r="BQ132" s="149"/>
      <c r="BR132" s="149"/>
      <c r="BT132" s="111">
        <f t="shared" si="138"/>
        <v>0</v>
      </c>
      <c r="BU132" s="111">
        <f t="shared" si="139"/>
        <v>0</v>
      </c>
      <c r="BV132" s="111">
        <f t="shared" si="140"/>
        <v>0</v>
      </c>
    </row>
    <row r="133" spans="1:74" ht="36">
      <c r="A133" s="587" t="s">
        <v>936</v>
      </c>
      <c r="B133" s="1308" t="s">
        <v>549</v>
      </c>
      <c r="C133" s="1218">
        <v>124554000</v>
      </c>
      <c r="D133" s="1218">
        <v>62413000</v>
      </c>
      <c r="E133" s="1218">
        <v>0</v>
      </c>
      <c r="F133" s="1218">
        <f t="shared" si="112"/>
        <v>186967000</v>
      </c>
      <c r="G133" s="1218"/>
      <c r="H133" s="1218"/>
      <c r="I133" s="1218"/>
      <c r="J133" s="1218">
        <f t="shared" si="113"/>
        <v>0</v>
      </c>
      <c r="K133" s="1218">
        <f t="shared" si="108"/>
        <v>124554000</v>
      </c>
      <c r="L133" s="1218">
        <f t="shared" si="109"/>
        <v>62413000</v>
      </c>
      <c r="M133" s="1218">
        <f t="shared" si="110"/>
        <v>0</v>
      </c>
      <c r="N133" s="1218">
        <f t="shared" si="111"/>
        <v>186967000</v>
      </c>
      <c r="O133" s="1218">
        <v>124554000</v>
      </c>
      <c r="P133" s="1279">
        <v>62413000</v>
      </c>
      <c r="Q133" s="1218">
        <v>0</v>
      </c>
      <c r="R133" s="1218">
        <f t="shared" si="72"/>
        <v>186967000</v>
      </c>
      <c r="S133" s="1218"/>
      <c r="T133" s="1218"/>
      <c r="U133" s="1218"/>
      <c r="V133" s="1218">
        <f t="shared" si="118"/>
        <v>0</v>
      </c>
      <c r="W133" s="1218">
        <f>+'CY (ALL FUNDS)'!F334</f>
        <v>0</v>
      </c>
      <c r="X133" s="1218">
        <f>+'CY (ALL FUNDS)'!G334</f>
        <v>23384000</v>
      </c>
      <c r="Y133" s="1218">
        <f>+'CY (ALL FUNDS)'!H334</f>
        <v>44130000</v>
      </c>
      <c r="Z133" s="1218">
        <f t="shared" si="73"/>
        <v>67514000</v>
      </c>
      <c r="AA133" s="1218">
        <f t="shared" si="74"/>
        <v>124554000</v>
      </c>
      <c r="AB133" s="1218">
        <f t="shared" si="75"/>
        <v>85797000</v>
      </c>
      <c r="AC133" s="1218">
        <f t="shared" si="76"/>
        <v>44130000</v>
      </c>
      <c r="AD133" s="1218">
        <f t="shared" si="77"/>
        <v>254481000</v>
      </c>
      <c r="AE133" s="1218">
        <f>+'CY (ALL FUNDS)'!J333</f>
        <v>112718064.14</v>
      </c>
      <c r="AF133" s="1218">
        <f>+'CY (ALL FUNDS)'!K333</f>
        <v>58537225.75</v>
      </c>
      <c r="AG133" s="1218">
        <f>+'CY (ALL FUNDS)'!L333</f>
        <v>0</v>
      </c>
      <c r="AH133" s="1218">
        <f t="shared" si="114"/>
        <v>171255289.88999999</v>
      </c>
      <c r="AI133" s="1218">
        <f>+'CY (ALL FUNDS)'!J334</f>
        <v>0</v>
      </c>
      <c r="AJ133" s="1218">
        <f>+'CY (ALL FUNDS)'!K334</f>
        <v>18378141.779999997</v>
      </c>
      <c r="AK133" s="1218">
        <f>+'CY (ALL FUNDS)'!L334</f>
        <v>37563939.250000007</v>
      </c>
      <c r="AL133" s="1218">
        <f t="shared" si="115"/>
        <v>55942081.030000001</v>
      </c>
      <c r="AM133" s="1218">
        <f t="shared" si="135"/>
        <v>112718064.14</v>
      </c>
      <c r="AN133" s="1218">
        <f t="shared" si="136"/>
        <v>76915367.530000001</v>
      </c>
      <c r="AO133" s="1218">
        <f t="shared" si="137"/>
        <v>37563939.250000007</v>
      </c>
      <c r="AP133" s="1218">
        <f t="shared" si="78"/>
        <v>227197370.92000002</v>
      </c>
      <c r="AQ133" s="1218">
        <f t="shared" si="79"/>
        <v>11835935.859999999</v>
      </c>
      <c r="AR133" s="1218">
        <f t="shared" si="80"/>
        <v>8881632.4699999988</v>
      </c>
      <c r="AS133" s="1218">
        <f t="shared" si="81"/>
        <v>6566060.7499999925</v>
      </c>
      <c r="AT133" s="1218">
        <f t="shared" si="82"/>
        <v>27283629.079999991</v>
      </c>
      <c r="AU133" s="1219">
        <f t="shared" si="83"/>
        <v>0.90497345841964127</v>
      </c>
      <c r="AV133" s="1219">
        <f t="shared" si="84"/>
        <v>0.89648085049593806</v>
      </c>
      <c r="AW133" s="1219">
        <f t="shared" si="85"/>
        <v>0.85121095060049867</v>
      </c>
      <c r="AX133" s="1219">
        <f t="shared" si="86"/>
        <v>0.89278716650751933</v>
      </c>
      <c r="AY133" s="1218">
        <f t="shared" si="87"/>
        <v>0</v>
      </c>
      <c r="AZ133" s="1218">
        <f t="shared" si="88"/>
        <v>0</v>
      </c>
      <c r="BA133" s="1218">
        <f t="shared" si="89"/>
        <v>0</v>
      </c>
      <c r="BB133" s="1218">
        <f t="shared" si="90"/>
        <v>0</v>
      </c>
      <c r="BC133" s="125"/>
      <c r="BF133" s="105">
        <f t="shared" ref="BF133:BF196" si="141">+P133-AF133</f>
        <v>3875774.25</v>
      </c>
      <c r="BP133" s="149">
        <f>+'CY (ALL FUNDS)'!F333</f>
        <v>124554000</v>
      </c>
      <c r="BQ133" s="149">
        <f>+'CY (ALL FUNDS)'!G333</f>
        <v>62413000</v>
      </c>
      <c r="BR133" s="149">
        <f>+'CY (ALL FUNDS)'!H333</f>
        <v>0</v>
      </c>
      <c r="BT133" s="111">
        <f t="shared" si="138"/>
        <v>0</v>
      </c>
      <c r="BU133" s="111">
        <f t="shared" si="139"/>
        <v>0</v>
      </c>
      <c r="BV133" s="111">
        <f t="shared" si="140"/>
        <v>0</v>
      </c>
    </row>
    <row r="134" spans="1:74" ht="36">
      <c r="A134" s="587" t="s">
        <v>936</v>
      </c>
      <c r="B134" s="1308" t="s">
        <v>550</v>
      </c>
      <c r="C134" s="1218">
        <v>86436000</v>
      </c>
      <c r="D134" s="1218">
        <v>28587000</v>
      </c>
      <c r="E134" s="1218">
        <v>0</v>
      </c>
      <c r="F134" s="1218">
        <f t="shared" si="112"/>
        <v>115023000</v>
      </c>
      <c r="G134" s="1218"/>
      <c r="H134" s="1218"/>
      <c r="I134" s="1218"/>
      <c r="J134" s="1218">
        <f t="shared" si="113"/>
        <v>0</v>
      </c>
      <c r="K134" s="1218">
        <f t="shared" si="108"/>
        <v>86436000</v>
      </c>
      <c r="L134" s="1218">
        <f t="shared" si="109"/>
        <v>28587000</v>
      </c>
      <c r="M134" s="1218">
        <f t="shared" si="110"/>
        <v>0</v>
      </c>
      <c r="N134" s="1218">
        <f t="shared" si="111"/>
        <v>115023000</v>
      </c>
      <c r="O134" s="1218">
        <v>86436000</v>
      </c>
      <c r="P134" s="1218">
        <v>28587000</v>
      </c>
      <c r="Q134" s="1218">
        <v>0</v>
      </c>
      <c r="R134" s="1218">
        <f t="shared" si="72"/>
        <v>115023000</v>
      </c>
      <c r="S134" s="1218"/>
      <c r="T134" s="1218"/>
      <c r="U134" s="1218"/>
      <c r="V134" s="1218">
        <f t="shared" si="118"/>
        <v>0</v>
      </c>
      <c r="W134" s="1218">
        <f>+'CY (ALL FUNDS)'!F349</f>
        <v>0</v>
      </c>
      <c r="X134" s="1218">
        <f>+'CY (ALL FUNDS)'!G349</f>
        <v>13933400</v>
      </c>
      <c r="Y134" s="1218">
        <f>+'CY (ALL FUNDS)'!H349</f>
        <v>100000000</v>
      </c>
      <c r="Z134" s="1218">
        <f t="shared" si="73"/>
        <v>113933400</v>
      </c>
      <c r="AA134" s="1218">
        <f t="shared" si="74"/>
        <v>86436000</v>
      </c>
      <c r="AB134" s="1218">
        <f t="shared" si="75"/>
        <v>42520400</v>
      </c>
      <c r="AC134" s="1218">
        <f t="shared" si="76"/>
        <v>100000000</v>
      </c>
      <c r="AD134" s="1218">
        <f t="shared" si="77"/>
        <v>228956400</v>
      </c>
      <c r="AE134" s="1218">
        <f>+'CY (ALL FUNDS)'!J348</f>
        <v>79120486.75</v>
      </c>
      <c r="AF134" s="1218">
        <f>+'CY (ALL FUNDS)'!K348</f>
        <v>20143649.919999998</v>
      </c>
      <c r="AG134" s="1218">
        <f>+'CY (ALL FUNDS)'!L348</f>
        <v>0</v>
      </c>
      <c r="AH134" s="1218">
        <f t="shared" si="114"/>
        <v>99264136.670000002</v>
      </c>
      <c r="AI134" s="1218">
        <f>+'CY (ALL FUNDS)'!J349</f>
        <v>0</v>
      </c>
      <c r="AJ134" s="1218">
        <f>+'CY (ALL FUNDS)'!K349</f>
        <v>12615063.07</v>
      </c>
      <c r="AK134" s="1218">
        <f>+'CY (ALL FUNDS)'!L349</f>
        <v>96715086</v>
      </c>
      <c r="AL134" s="1218">
        <f t="shared" si="115"/>
        <v>109330149.06999999</v>
      </c>
      <c r="AM134" s="1218">
        <f t="shared" si="135"/>
        <v>79120486.75</v>
      </c>
      <c r="AN134" s="1218">
        <f t="shared" si="136"/>
        <v>32758712.989999998</v>
      </c>
      <c r="AO134" s="1218">
        <f t="shared" si="137"/>
        <v>96715086</v>
      </c>
      <c r="AP134" s="1218">
        <f t="shared" si="78"/>
        <v>208594285.74000001</v>
      </c>
      <c r="AQ134" s="1218">
        <f t="shared" si="79"/>
        <v>7315513.25</v>
      </c>
      <c r="AR134" s="1218">
        <f t="shared" si="80"/>
        <v>9761687.0100000016</v>
      </c>
      <c r="AS134" s="1218">
        <f t="shared" si="81"/>
        <v>3284914</v>
      </c>
      <c r="AT134" s="1218">
        <f t="shared" si="82"/>
        <v>20362114.260000002</v>
      </c>
      <c r="AU134" s="1219">
        <f t="shared" si="83"/>
        <v>0.915364972349484</v>
      </c>
      <c r="AV134" s="1219">
        <f t="shared" si="84"/>
        <v>0.77042344357061543</v>
      </c>
      <c r="AW134" s="1219">
        <f t="shared" si="85"/>
        <v>0.96715085999999995</v>
      </c>
      <c r="AX134" s="1219">
        <f t="shared" si="86"/>
        <v>0.91106553798015699</v>
      </c>
      <c r="AY134" s="1218">
        <f t="shared" si="87"/>
        <v>0</v>
      </c>
      <c r="AZ134" s="1218">
        <f t="shared" si="88"/>
        <v>0</v>
      </c>
      <c r="BA134" s="1218">
        <f t="shared" si="89"/>
        <v>0</v>
      </c>
      <c r="BB134" s="1218">
        <f t="shared" si="90"/>
        <v>0</v>
      </c>
      <c r="BC134" s="125"/>
      <c r="BF134" s="105">
        <f t="shared" si="141"/>
        <v>8443350.0800000019</v>
      </c>
      <c r="BP134" s="149">
        <f>+'CY (ALL FUNDS)'!F348</f>
        <v>86436000</v>
      </c>
      <c r="BQ134" s="149">
        <f>+'CY (ALL FUNDS)'!G348</f>
        <v>28587000</v>
      </c>
      <c r="BR134" s="149">
        <f>+'CY (ALL FUNDS)'!H348</f>
        <v>0</v>
      </c>
      <c r="BT134" s="111">
        <f t="shared" si="138"/>
        <v>0</v>
      </c>
      <c r="BU134" s="111">
        <f t="shared" si="139"/>
        <v>0</v>
      </c>
      <c r="BV134" s="111">
        <f t="shared" si="140"/>
        <v>0</v>
      </c>
    </row>
    <row r="135" spans="1:74" ht="24">
      <c r="A135" s="587" t="s">
        <v>936</v>
      </c>
      <c r="B135" s="1309" t="s">
        <v>551</v>
      </c>
      <c r="C135" s="1218">
        <v>17591000</v>
      </c>
      <c r="D135" s="1218">
        <v>7003000</v>
      </c>
      <c r="E135" s="1218">
        <v>0</v>
      </c>
      <c r="F135" s="1218">
        <f t="shared" si="112"/>
        <v>24594000</v>
      </c>
      <c r="G135" s="1218"/>
      <c r="H135" s="1218"/>
      <c r="I135" s="1218"/>
      <c r="J135" s="1218">
        <f t="shared" si="113"/>
        <v>0</v>
      </c>
      <c r="K135" s="1218">
        <f t="shared" si="108"/>
        <v>17591000</v>
      </c>
      <c r="L135" s="1218">
        <f t="shared" si="109"/>
        <v>7003000</v>
      </c>
      <c r="M135" s="1218">
        <f t="shared" si="110"/>
        <v>0</v>
      </c>
      <c r="N135" s="1218">
        <f t="shared" si="111"/>
        <v>24594000</v>
      </c>
      <c r="O135" s="1218">
        <v>17591000</v>
      </c>
      <c r="P135" s="1218">
        <v>7003000</v>
      </c>
      <c r="Q135" s="1218">
        <v>0</v>
      </c>
      <c r="R135" s="1218">
        <f t="shared" si="72"/>
        <v>24594000</v>
      </c>
      <c r="S135" s="1218"/>
      <c r="T135" s="1218"/>
      <c r="U135" s="1218"/>
      <c r="V135" s="1218">
        <f t="shared" si="118"/>
        <v>0</v>
      </c>
      <c r="W135" s="1218">
        <f>+'CY (ALL FUNDS)'!F364</f>
        <v>0</v>
      </c>
      <c r="X135" s="1218">
        <f>+'CY (ALL FUNDS)'!G364</f>
        <v>3572000</v>
      </c>
      <c r="Y135" s="1218">
        <f>+'CY (ALL FUNDS)'!H364</f>
        <v>95000000</v>
      </c>
      <c r="Z135" s="1218">
        <f t="shared" si="73"/>
        <v>98572000</v>
      </c>
      <c r="AA135" s="1218">
        <f t="shared" si="74"/>
        <v>17591000</v>
      </c>
      <c r="AB135" s="1218">
        <f t="shared" si="75"/>
        <v>10575000</v>
      </c>
      <c r="AC135" s="1218">
        <f t="shared" si="76"/>
        <v>95000000</v>
      </c>
      <c r="AD135" s="1218">
        <f t="shared" si="77"/>
        <v>123166000</v>
      </c>
      <c r="AE135" s="1218">
        <f>+'CY (ALL FUNDS)'!J363</f>
        <v>15901788.83</v>
      </c>
      <c r="AF135" s="1218">
        <f>+'CY (ALL FUNDS)'!K363</f>
        <v>5830192.04</v>
      </c>
      <c r="AG135" s="1218">
        <f>+'CY (ALL FUNDS)'!L363</f>
        <v>0</v>
      </c>
      <c r="AH135" s="1218">
        <f t="shared" si="114"/>
        <v>21731980.870000001</v>
      </c>
      <c r="AI135" s="1218">
        <f>+'CY (ALL FUNDS)'!J364</f>
        <v>0</v>
      </c>
      <c r="AJ135" s="1218">
        <f>+'CY (ALL FUNDS)'!K364</f>
        <v>3144372.21</v>
      </c>
      <c r="AK135" s="1218">
        <f>+'CY (ALL FUNDS)'!L364</f>
        <v>95000000</v>
      </c>
      <c r="AL135" s="1218">
        <f t="shared" si="115"/>
        <v>98144372.209999993</v>
      </c>
      <c r="AM135" s="1218">
        <f t="shared" si="135"/>
        <v>15901788.83</v>
      </c>
      <c r="AN135" s="1218">
        <f t="shared" si="136"/>
        <v>8974564.25</v>
      </c>
      <c r="AO135" s="1218">
        <f t="shared" si="137"/>
        <v>95000000</v>
      </c>
      <c r="AP135" s="1218">
        <f t="shared" si="78"/>
        <v>119876353.08</v>
      </c>
      <c r="AQ135" s="1218">
        <f t="shared" si="79"/>
        <v>1689211.17</v>
      </c>
      <c r="AR135" s="1218">
        <f t="shared" si="80"/>
        <v>1600435.75</v>
      </c>
      <c r="AS135" s="1218">
        <f t="shared" si="81"/>
        <v>0</v>
      </c>
      <c r="AT135" s="1218">
        <f t="shared" si="82"/>
        <v>3289646.92</v>
      </c>
      <c r="AU135" s="1219">
        <f t="shared" si="83"/>
        <v>0.90397298789153546</v>
      </c>
      <c r="AV135" s="1219">
        <f t="shared" si="84"/>
        <v>0.84865855791962175</v>
      </c>
      <c r="AW135" s="1219">
        <f t="shared" si="85"/>
        <v>1</v>
      </c>
      <c r="AX135" s="1219">
        <f t="shared" si="86"/>
        <v>0.97329094945033534</v>
      </c>
      <c r="AY135" s="1218">
        <f t="shared" si="87"/>
        <v>0</v>
      </c>
      <c r="AZ135" s="1218">
        <f t="shared" si="88"/>
        <v>0</v>
      </c>
      <c r="BA135" s="1218">
        <f t="shared" si="89"/>
        <v>0</v>
      </c>
      <c r="BB135" s="1218">
        <f t="shared" si="90"/>
        <v>0</v>
      </c>
      <c r="BC135" s="125"/>
      <c r="BF135" s="105">
        <f t="shared" si="141"/>
        <v>1172807.96</v>
      </c>
      <c r="BP135" s="149">
        <f>+'CY (ALL FUNDS)'!F363</f>
        <v>17591000</v>
      </c>
      <c r="BQ135" s="149">
        <f>+'CY (ALL FUNDS)'!G363</f>
        <v>7003000</v>
      </c>
      <c r="BR135" s="149">
        <f>+'CY (ALL FUNDS)'!H363</f>
        <v>0</v>
      </c>
      <c r="BT135" s="111">
        <f t="shared" si="138"/>
        <v>0</v>
      </c>
      <c r="BU135" s="111">
        <f t="shared" si="139"/>
        <v>0</v>
      </c>
      <c r="BV135" s="111">
        <f t="shared" si="140"/>
        <v>0</v>
      </c>
    </row>
    <row r="136" spans="1:74" ht="24">
      <c r="A136" s="587" t="s">
        <v>936</v>
      </c>
      <c r="B136" s="1309" t="s">
        <v>552</v>
      </c>
      <c r="C136" s="1218">
        <v>26147000</v>
      </c>
      <c r="D136" s="1218">
        <v>9776000</v>
      </c>
      <c r="E136" s="1218">
        <v>0</v>
      </c>
      <c r="F136" s="1218">
        <f t="shared" si="112"/>
        <v>35923000</v>
      </c>
      <c r="G136" s="1218"/>
      <c r="H136" s="1218"/>
      <c r="I136" s="1218"/>
      <c r="J136" s="1218">
        <f t="shared" si="113"/>
        <v>0</v>
      </c>
      <c r="K136" s="1218">
        <f t="shared" si="108"/>
        <v>26147000</v>
      </c>
      <c r="L136" s="1218">
        <f t="shared" si="109"/>
        <v>9776000</v>
      </c>
      <c r="M136" s="1218">
        <f t="shared" si="110"/>
        <v>0</v>
      </c>
      <c r="N136" s="1218">
        <f t="shared" si="111"/>
        <v>35923000</v>
      </c>
      <c r="O136" s="1218">
        <v>26147000</v>
      </c>
      <c r="P136" s="1218">
        <v>9776000</v>
      </c>
      <c r="Q136" s="1218">
        <v>0</v>
      </c>
      <c r="R136" s="1218">
        <f t="shared" si="72"/>
        <v>35923000</v>
      </c>
      <c r="S136" s="1218"/>
      <c r="T136" s="1218"/>
      <c r="U136" s="1218"/>
      <c r="V136" s="1218">
        <f t="shared" si="118"/>
        <v>0</v>
      </c>
      <c r="W136" s="1218">
        <f>+'CY (ALL FUNDS)'!F379</f>
        <v>0</v>
      </c>
      <c r="X136" s="1218">
        <f>+'CY (ALL FUNDS)'!G379</f>
        <v>3806000</v>
      </c>
      <c r="Y136" s="1218">
        <f>+'CY (ALL FUNDS)'!H379</f>
        <v>151000000</v>
      </c>
      <c r="Z136" s="1218">
        <f t="shared" si="73"/>
        <v>154806000</v>
      </c>
      <c r="AA136" s="1218">
        <f t="shared" si="74"/>
        <v>26147000</v>
      </c>
      <c r="AB136" s="1218">
        <f t="shared" si="75"/>
        <v>13582000</v>
      </c>
      <c r="AC136" s="1218">
        <f t="shared" si="76"/>
        <v>151000000</v>
      </c>
      <c r="AD136" s="1218">
        <f t="shared" si="77"/>
        <v>190729000</v>
      </c>
      <c r="AE136" s="1218">
        <f>+'CY (ALL FUNDS)'!J378</f>
        <v>23387609.050000001</v>
      </c>
      <c r="AF136" s="1218">
        <f>+'CY (ALL FUNDS)'!K378</f>
        <v>8298283.1000000006</v>
      </c>
      <c r="AG136" s="1218">
        <f>+'CY (ALL FUNDS)'!L378</f>
        <v>0</v>
      </c>
      <c r="AH136" s="1218">
        <f t="shared" si="114"/>
        <v>31685892.150000002</v>
      </c>
      <c r="AI136" s="1218">
        <f>+'CY (ALL FUNDS)'!J379</f>
        <v>0</v>
      </c>
      <c r="AJ136" s="1218">
        <f>+'CY (ALL FUNDS)'!K379</f>
        <v>2002599.98</v>
      </c>
      <c r="AK136" s="1218">
        <f>+'CY (ALL FUNDS)'!L379</f>
        <v>150637267.77000001</v>
      </c>
      <c r="AL136" s="1218">
        <f t="shared" si="115"/>
        <v>152639867.75</v>
      </c>
      <c r="AM136" s="1218">
        <f t="shared" si="135"/>
        <v>23387609.050000001</v>
      </c>
      <c r="AN136" s="1218">
        <f t="shared" si="136"/>
        <v>10300883.08</v>
      </c>
      <c r="AO136" s="1218">
        <f t="shared" si="137"/>
        <v>150637267.77000001</v>
      </c>
      <c r="AP136" s="1218">
        <f t="shared" si="78"/>
        <v>184325759.90000001</v>
      </c>
      <c r="AQ136" s="1218">
        <f t="shared" si="79"/>
        <v>2759390.9499999993</v>
      </c>
      <c r="AR136" s="1218">
        <f t="shared" si="80"/>
        <v>3281116.92</v>
      </c>
      <c r="AS136" s="1218">
        <f t="shared" si="81"/>
        <v>362732.22999998927</v>
      </c>
      <c r="AT136" s="1218">
        <f t="shared" si="82"/>
        <v>6403240.0999999885</v>
      </c>
      <c r="AU136" s="1219">
        <f t="shared" si="83"/>
        <v>0.89446625043025974</v>
      </c>
      <c r="AV136" s="1219">
        <f t="shared" si="84"/>
        <v>0.75842166691208956</v>
      </c>
      <c r="AW136" s="1219">
        <f t="shared" si="85"/>
        <v>0.99759779980132457</v>
      </c>
      <c r="AX136" s="1219">
        <f t="shared" si="86"/>
        <v>0.96642754851123847</v>
      </c>
      <c r="AY136" s="1218">
        <f t="shared" si="87"/>
        <v>0</v>
      </c>
      <c r="AZ136" s="1218">
        <f t="shared" si="88"/>
        <v>0</v>
      </c>
      <c r="BA136" s="1218">
        <f t="shared" si="89"/>
        <v>0</v>
      </c>
      <c r="BB136" s="1218">
        <f t="shared" si="90"/>
        <v>0</v>
      </c>
      <c r="BC136" s="125"/>
      <c r="BF136" s="105">
        <f t="shared" si="141"/>
        <v>1477716.8999999994</v>
      </c>
      <c r="BP136" s="149">
        <f>+'CY (ALL FUNDS)'!F378</f>
        <v>26147000</v>
      </c>
      <c r="BQ136" s="149">
        <f>+'CY (ALL FUNDS)'!G378</f>
        <v>9776000</v>
      </c>
      <c r="BR136" s="149">
        <f>+'CY (ALL FUNDS)'!H378</f>
        <v>0</v>
      </c>
      <c r="BT136" s="111">
        <f t="shared" si="138"/>
        <v>0</v>
      </c>
      <c r="BU136" s="111">
        <f t="shared" si="139"/>
        <v>0</v>
      </c>
      <c r="BV136" s="111">
        <f t="shared" si="140"/>
        <v>0</v>
      </c>
    </row>
    <row r="137" spans="1:74">
      <c r="B137" s="1310"/>
      <c r="C137" s="1218"/>
      <c r="D137" s="1218"/>
      <c r="E137" s="1218"/>
      <c r="F137" s="1218"/>
      <c r="G137" s="1218"/>
      <c r="H137" s="1218"/>
      <c r="I137" s="1218"/>
      <c r="J137" s="1218">
        <f t="shared" si="113"/>
        <v>0</v>
      </c>
      <c r="K137" s="1218">
        <f t="shared" si="108"/>
        <v>0</v>
      </c>
      <c r="L137" s="1218">
        <f t="shared" si="109"/>
        <v>0</v>
      </c>
      <c r="M137" s="1218">
        <f t="shared" si="110"/>
        <v>0</v>
      </c>
      <c r="N137" s="1218">
        <f t="shared" si="111"/>
        <v>0</v>
      </c>
      <c r="O137" s="1218"/>
      <c r="P137" s="1218"/>
      <c r="Q137" s="1218"/>
      <c r="R137" s="1218">
        <f t="shared" si="72"/>
        <v>0</v>
      </c>
      <c r="S137" s="1218"/>
      <c r="T137" s="1218"/>
      <c r="U137" s="1218"/>
      <c r="V137" s="1218"/>
      <c r="W137" s="1218"/>
      <c r="X137" s="1218"/>
      <c r="Y137" s="1218"/>
      <c r="Z137" s="1218">
        <f t="shared" si="73"/>
        <v>0</v>
      </c>
      <c r="AA137" s="1218">
        <f t="shared" si="74"/>
        <v>0</v>
      </c>
      <c r="AB137" s="1218">
        <f t="shared" si="75"/>
        <v>0</v>
      </c>
      <c r="AC137" s="1218">
        <f t="shared" si="76"/>
        <v>0</v>
      </c>
      <c r="AD137" s="1218">
        <f t="shared" si="77"/>
        <v>0</v>
      </c>
      <c r="AE137" s="1218"/>
      <c r="AF137" s="1218"/>
      <c r="AG137" s="1218"/>
      <c r="AH137" s="1218"/>
      <c r="AI137" s="1218"/>
      <c r="AJ137" s="1218"/>
      <c r="AK137" s="1218"/>
      <c r="AL137" s="1218"/>
      <c r="AM137" s="1218"/>
      <c r="AN137" s="1218"/>
      <c r="AO137" s="1218"/>
      <c r="AP137" s="1218">
        <f t="shared" si="78"/>
        <v>0</v>
      </c>
      <c r="AQ137" s="1218">
        <f t="shared" si="79"/>
        <v>0</v>
      </c>
      <c r="AR137" s="1218">
        <f t="shared" si="80"/>
        <v>0</v>
      </c>
      <c r="AS137" s="1218">
        <f t="shared" si="81"/>
        <v>0</v>
      </c>
      <c r="AT137" s="1218">
        <f t="shared" si="82"/>
        <v>0</v>
      </c>
      <c r="AU137" s="1219" t="str">
        <f t="shared" si="83"/>
        <v xml:space="preserve"> </v>
      </c>
      <c r="AV137" s="1219" t="str">
        <f t="shared" si="84"/>
        <v xml:space="preserve"> </v>
      </c>
      <c r="AW137" s="1219" t="str">
        <f t="shared" si="85"/>
        <v xml:space="preserve"> </v>
      </c>
      <c r="AX137" s="1219" t="str">
        <f t="shared" si="86"/>
        <v xml:space="preserve"> </v>
      </c>
      <c r="AY137" s="1218">
        <f t="shared" si="87"/>
        <v>0</v>
      </c>
      <c r="AZ137" s="1218">
        <f t="shared" si="88"/>
        <v>0</v>
      </c>
      <c r="BA137" s="1218">
        <f t="shared" si="89"/>
        <v>0</v>
      </c>
      <c r="BB137" s="1218">
        <f t="shared" si="90"/>
        <v>0</v>
      </c>
      <c r="BC137" s="125"/>
      <c r="BF137" s="105">
        <f t="shared" si="141"/>
        <v>0</v>
      </c>
      <c r="BQ137" s="149"/>
      <c r="BR137" s="149"/>
    </row>
    <row r="138" spans="1:74" ht="12.75">
      <c r="A138" s="587" t="s">
        <v>936</v>
      </c>
      <c r="B138" s="1305" t="s">
        <v>29</v>
      </c>
      <c r="C138" s="1218">
        <f>SUM(C139:C147)</f>
        <v>441423000</v>
      </c>
      <c r="D138" s="1218">
        <f>SUM(D139:D147)</f>
        <v>349381000</v>
      </c>
      <c r="E138" s="1218">
        <f>SUM(E139:E147)</f>
        <v>0</v>
      </c>
      <c r="F138" s="1218">
        <f t="shared" ref="F138:W138" si="142">SUM(F139:F147)</f>
        <v>790804000</v>
      </c>
      <c r="G138" s="1218">
        <f t="shared" si="142"/>
        <v>0</v>
      </c>
      <c r="H138" s="1218">
        <f t="shared" si="142"/>
        <v>0</v>
      </c>
      <c r="I138" s="1218">
        <f t="shared" si="142"/>
        <v>0</v>
      </c>
      <c r="J138" s="1218">
        <f t="shared" si="142"/>
        <v>0</v>
      </c>
      <c r="K138" s="1218">
        <f t="shared" si="142"/>
        <v>441423000</v>
      </c>
      <c r="L138" s="1218">
        <f t="shared" si="142"/>
        <v>349381000</v>
      </c>
      <c r="M138" s="1218">
        <f t="shared" si="142"/>
        <v>0</v>
      </c>
      <c r="N138" s="1218">
        <f t="shared" si="142"/>
        <v>790804000</v>
      </c>
      <c r="O138" s="1218">
        <f t="shared" si="142"/>
        <v>441423000</v>
      </c>
      <c r="P138" s="1218">
        <f t="shared" si="142"/>
        <v>349381000</v>
      </c>
      <c r="Q138" s="1218">
        <f t="shared" si="142"/>
        <v>0</v>
      </c>
      <c r="R138" s="1218">
        <f t="shared" si="72"/>
        <v>790804000</v>
      </c>
      <c r="S138" s="1218"/>
      <c r="T138" s="1218"/>
      <c r="U138" s="1218"/>
      <c r="V138" s="1218">
        <f>SUM(V139:V147)</f>
        <v>0</v>
      </c>
      <c r="W138" s="1218">
        <f t="shared" si="142"/>
        <v>827006</v>
      </c>
      <c r="X138" s="1218">
        <f t="shared" ref="X138:AO138" si="143">SUM(X139:X147)</f>
        <v>255789950</v>
      </c>
      <c r="Y138" s="1218">
        <f t="shared" si="143"/>
        <v>327292000</v>
      </c>
      <c r="Z138" s="1218">
        <f t="shared" si="73"/>
        <v>583908956</v>
      </c>
      <c r="AA138" s="1218">
        <f t="shared" si="74"/>
        <v>442250006</v>
      </c>
      <c r="AB138" s="1218">
        <f t="shared" si="75"/>
        <v>605170950</v>
      </c>
      <c r="AC138" s="1218">
        <f t="shared" si="76"/>
        <v>327292000</v>
      </c>
      <c r="AD138" s="1218">
        <f t="shared" si="77"/>
        <v>1374712956</v>
      </c>
      <c r="AE138" s="1218">
        <f t="shared" si="143"/>
        <v>386886712.24000001</v>
      </c>
      <c r="AF138" s="1218">
        <f>SUM(AF139:AF147)</f>
        <v>218789753.56999999</v>
      </c>
      <c r="AG138" s="1218">
        <f>SUM(AG139:AG147)</f>
        <v>0</v>
      </c>
      <c r="AH138" s="1218">
        <f t="shared" si="143"/>
        <v>605676465.80999994</v>
      </c>
      <c r="AI138" s="1218">
        <f t="shared" si="143"/>
        <v>763888.76999999979</v>
      </c>
      <c r="AJ138" s="1218">
        <f t="shared" si="143"/>
        <v>186549292.82000002</v>
      </c>
      <c r="AK138" s="1218">
        <f t="shared" si="143"/>
        <v>316797794.56999999</v>
      </c>
      <c r="AL138" s="1218">
        <f t="shared" si="143"/>
        <v>504110976.15999997</v>
      </c>
      <c r="AM138" s="1218">
        <f t="shared" si="143"/>
        <v>387650601.00999999</v>
      </c>
      <c r="AN138" s="1218">
        <f t="shared" si="143"/>
        <v>405339046.38999999</v>
      </c>
      <c r="AO138" s="1218">
        <f t="shared" si="143"/>
        <v>316797794.56999999</v>
      </c>
      <c r="AP138" s="1218">
        <f t="shared" si="78"/>
        <v>1109787441.97</v>
      </c>
      <c r="AQ138" s="1218">
        <f t="shared" si="79"/>
        <v>54599404.99000001</v>
      </c>
      <c r="AR138" s="1218">
        <f t="shared" si="80"/>
        <v>199831903.61000001</v>
      </c>
      <c r="AS138" s="1218">
        <f t="shared" si="81"/>
        <v>10494205.430000007</v>
      </c>
      <c r="AT138" s="1218">
        <f t="shared" si="82"/>
        <v>264925514.03000003</v>
      </c>
      <c r="AU138" s="1219">
        <f t="shared" si="83"/>
        <v>0.87654176540587769</v>
      </c>
      <c r="AV138" s="1219">
        <f t="shared" si="84"/>
        <v>0.66979263692350066</v>
      </c>
      <c r="AW138" s="1219">
        <f t="shared" si="85"/>
        <v>0.96793626049521531</v>
      </c>
      <c r="AX138" s="1219">
        <f t="shared" si="86"/>
        <v>0.80728666819227968</v>
      </c>
      <c r="AY138" s="1218">
        <f t="shared" si="87"/>
        <v>0</v>
      </c>
      <c r="AZ138" s="1218">
        <f t="shared" si="88"/>
        <v>0</v>
      </c>
      <c r="BA138" s="1218">
        <f t="shared" si="89"/>
        <v>0</v>
      </c>
      <c r="BB138" s="1218">
        <f t="shared" si="90"/>
        <v>0</v>
      </c>
      <c r="BC138" s="125"/>
      <c r="BF138" s="105">
        <f t="shared" si="141"/>
        <v>130591246.43000001</v>
      </c>
      <c r="BQ138" s="149"/>
      <c r="BR138" s="149"/>
    </row>
    <row r="139" spans="1:74" ht="36">
      <c r="A139" s="587" t="s">
        <v>936</v>
      </c>
      <c r="B139" s="1306" t="s">
        <v>534</v>
      </c>
      <c r="C139" s="1218">
        <v>27137000</v>
      </c>
      <c r="D139" s="1218">
        <v>20701000</v>
      </c>
      <c r="E139" s="1218">
        <v>0</v>
      </c>
      <c r="F139" s="1218">
        <f t="shared" si="112"/>
        <v>47838000</v>
      </c>
      <c r="G139" s="1218"/>
      <c r="H139" s="1218"/>
      <c r="I139" s="1218"/>
      <c r="J139" s="1218">
        <f t="shared" si="113"/>
        <v>0</v>
      </c>
      <c r="K139" s="1218">
        <f t="shared" si="108"/>
        <v>27137000</v>
      </c>
      <c r="L139" s="1218">
        <f t="shared" si="109"/>
        <v>20701000</v>
      </c>
      <c r="M139" s="1218">
        <f t="shared" si="110"/>
        <v>0</v>
      </c>
      <c r="N139" s="1218">
        <f t="shared" si="111"/>
        <v>47838000</v>
      </c>
      <c r="O139" s="1218">
        <v>27137000</v>
      </c>
      <c r="P139" s="1218">
        <v>20701000</v>
      </c>
      <c r="Q139" s="1218">
        <v>0</v>
      </c>
      <c r="R139" s="1218">
        <f t="shared" si="72"/>
        <v>47838000</v>
      </c>
      <c r="S139" s="1218"/>
      <c r="T139" s="1218"/>
      <c r="U139" s="1218"/>
      <c r="V139" s="1218">
        <f t="shared" si="118"/>
        <v>0</v>
      </c>
      <c r="W139" s="1218"/>
      <c r="X139" s="1218"/>
      <c r="Y139" s="1218"/>
      <c r="Z139" s="1218">
        <f t="shared" si="73"/>
        <v>0</v>
      </c>
      <c r="AA139" s="1218">
        <f t="shared" si="74"/>
        <v>27137000</v>
      </c>
      <c r="AB139" s="1218">
        <f t="shared" si="75"/>
        <v>20701000</v>
      </c>
      <c r="AC139" s="1218">
        <f t="shared" si="76"/>
        <v>0</v>
      </c>
      <c r="AD139" s="1218">
        <f t="shared" si="77"/>
        <v>47838000</v>
      </c>
      <c r="AE139" s="1218">
        <f>+'CY (ALL FUNDS)'!J410</f>
        <v>21441874.870000001</v>
      </c>
      <c r="AF139" s="1218">
        <f>+'CY (ALL FUNDS)'!K410</f>
        <v>18205651.82</v>
      </c>
      <c r="AG139" s="1218">
        <f>+'CY (ALL FUNDS)'!L410</f>
        <v>0</v>
      </c>
      <c r="AH139" s="1218">
        <f t="shared" si="114"/>
        <v>39647526.689999998</v>
      </c>
      <c r="AI139" s="1218"/>
      <c r="AJ139" s="1218"/>
      <c r="AK139" s="1218"/>
      <c r="AL139" s="1218">
        <f t="shared" si="115"/>
        <v>0</v>
      </c>
      <c r="AM139" s="1218">
        <f t="shared" ref="AM139:AM147" si="144">+AE139+AI139</f>
        <v>21441874.870000001</v>
      </c>
      <c r="AN139" s="1218">
        <f t="shared" ref="AN139:AN147" si="145">+AF139+AJ139</f>
        <v>18205651.82</v>
      </c>
      <c r="AO139" s="1218">
        <f t="shared" ref="AO139:AO147" si="146">+AG139+AK139</f>
        <v>0</v>
      </c>
      <c r="AP139" s="1218">
        <f t="shared" si="78"/>
        <v>39647526.689999998</v>
      </c>
      <c r="AQ139" s="1218">
        <f t="shared" si="79"/>
        <v>5695125.129999999</v>
      </c>
      <c r="AR139" s="1218">
        <f t="shared" si="80"/>
        <v>2495348.1799999997</v>
      </c>
      <c r="AS139" s="1218">
        <f t="shared" si="81"/>
        <v>0</v>
      </c>
      <c r="AT139" s="1218">
        <f t="shared" si="82"/>
        <v>8190473.3099999987</v>
      </c>
      <c r="AU139" s="1219">
        <f t="shared" si="83"/>
        <v>0.79013431366768627</v>
      </c>
      <c r="AV139" s="1219">
        <f t="shared" si="84"/>
        <v>0.87945760204821022</v>
      </c>
      <c r="AW139" s="1219" t="str">
        <f t="shared" si="85"/>
        <v xml:space="preserve"> </v>
      </c>
      <c r="AX139" s="1219">
        <f t="shared" si="86"/>
        <v>0.82878729650068983</v>
      </c>
      <c r="AY139" s="1218">
        <f t="shared" si="87"/>
        <v>0</v>
      </c>
      <c r="AZ139" s="1218">
        <f t="shared" si="88"/>
        <v>0</v>
      </c>
      <c r="BA139" s="1218">
        <f t="shared" si="89"/>
        <v>0</v>
      </c>
      <c r="BB139" s="1218">
        <f t="shared" si="90"/>
        <v>0</v>
      </c>
      <c r="BC139" s="125"/>
      <c r="BD139" s="105">
        <f>+AT139-'CY (ALL FUNDS)'!Q410</f>
        <v>0</v>
      </c>
      <c r="BF139" s="105">
        <f t="shared" si="141"/>
        <v>2495348.1799999997</v>
      </c>
      <c r="BP139" s="149">
        <f>+'CY (ALL FUNDS)'!F410</f>
        <v>27137000</v>
      </c>
      <c r="BQ139" s="149">
        <f>+'CY (ALL FUNDS)'!G410</f>
        <v>20701000</v>
      </c>
      <c r="BR139" s="149">
        <f>+'CY (ALL FUNDS)'!H410</f>
        <v>0</v>
      </c>
      <c r="BT139" s="111">
        <f t="shared" ref="BT139:BT147" si="147">+O139-BP139</f>
        <v>0</v>
      </c>
      <c r="BU139" s="111">
        <f t="shared" ref="BU139:BU147" si="148">+P139-BQ139</f>
        <v>0</v>
      </c>
      <c r="BV139" s="111">
        <f t="shared" ref="BV139:BV147" si="149">+Q139-BR139</f>
        <v>0</v>
      </c>
    </row>
    <row r="140" spans="1:74" ht="12.75">
      <c r="A140" s="587" t="s">
        <v>936</v>
      </c>
      <c r="B140" s="1307" t="s">
        <v>535</v>
      </c>
      <c r="C140" s="1218">
        <v>2308000</v>
      </c>
      <c r="D140" s="1218">
        <v>8783000</v>
      </c>
      <c r="E140" s="1218">
        <v>0</v>
      </c>
      <c r="F140" s="1218">
        <f t="shared" si="112"/>
        <v>11091000</v>
      </c>
      <c r="G140" s="1218"/>
      <c r="H140" s="1218"/>
      <c r="I140" s="1218"/>
      <c r="J140" s="1218">
        <f t="shared" si="113"/>
        <v>0</v>
      </c>
      <c r="K140" s="1218">
        <f t="shared" si="108"/>
        <v>2308000</v>
      </c>
      <c r="L140" s="1218">
        <f t="shared" si="109"/>
        <v>8783000</v>
      </c>
      <c r="M140" s="1218">
        <f t="shared" si="110"/>
        <v>0</v>
      </c>
      <c r="N140" s="1218">
        <f t="shared" si="111"/>
        <v>11091000</v>
      </c>
      <c r="O140" s="1218">
        <v>2308000</v>
      </c>
      <c r="P140" s="1218">
        <v>8783000</v>
      </c>
      <c r="Q140" s="1218">
        <v>0</v>
      </c>
      <c r="R140" s="1218">
        <f t="shared" si="72"/>
        <v>11091000</v>
      </c>
      <c r="S140" s="1218"/>
      <c r="T140" s="1218"/>
      <c r="U140" s="1218"/>
      <c r="V140" s="1218">
        <f t="shared" si="118"/>
        <v>0</v>
      </c>
      <c r="W140" s="1218"/>
      <c r="X140" s="1218"/>
      <c r="Y140" s="1218"/>
      <c r="Z140" s="1218">
        <f t="shared" si="73"/>
        <v>0</v>
      </c>
      <c r="AA140" s="1218">
        <f t="shared" si="74"/>
        <v>2308000</v>
      </c>
      <c r="AB140" s="1218">
        <f t="shared" si="75"/>
        <v>8783000</v>
      </c>
      <c r="AC140" s="1218">
        <f t="shared" si="76"/>
        <v>0</v>
      </c>
      <c r="AD140" s="1218">
        <f t="shared" si="77"/>
        <v>11091000</v>
      </c>
      <c r="AE140" s="1218">
        <f>+'CY (ALL FUNDS)'!J411</f>
        <v>2235685.61</v>
      </c>
      <c r="AF140" s="1218">
        <f>+'CY (ALL FUNDS)'!K411</f>
        <v>4839846.97</v>
      </c>
      <c r="AG140" s="1218">
        <f>+'CY (ALL FUNDS)'!L411</f>
        <v>0</v>
      </c>
      <c r="AH140" s="1218">
        <f t="shared" si="114"/>
        <v>7075532.5800000001</v>
      </c>
      <c r="AI140" s="1218"/>
      <c r="AJ140" s="1218"/>
      <c r="AK140" s="1218"/>
      <c r="AL140" s="1218">
        <f t="shared" si="115"/>
        <v>0</v>
      </c>
      <c r="AM140" s="1218">
        <f t="shared" si="144"/>
        <v>2235685.61</v>
      </c>
      <c r="AN140" s="1218">
        <f t="shared" si="145"/>
        <v>4839846.97</v>
      </c>
      <c r="AO140" s="1218">
        <f t="shared" si="146"/>
        <v>0</v>
      </c>
      <c r="AP140" s="1218">
        <f t="shared" si="78"/>
        <v>7075532.5800000001</v>
      </c>
      <c r="AQ140" s="1218">
        <f t="shared" si="79"/>
        <v>72314.39000000013</v>
      </c>
      <c r="AR140" s="1218">
        <f t="shared" si="80"/>
        <v>3943153.0300000003</v>
      </c>
      <c r="AS140" s="1218">
        <f t="shared" si="81"/>
        <v>0</v>
      </c>
      <c r="AT140" s="1218">
        <f t="shared" si="82"/>
        <v>4015467.4200000004</v>
      </c>
      <c r="AU140" s="1219">
        <f t="shared" si="83"/>
        <v>0.96866794194107442</v>
      </c>
      <c r="AV140" s="1219">
        <f t="shared" si="84"/>
        <v>0.55104713309803022</v>
      </c>
      <c r="AW140" s="1219" t="str">
        <f t="shared" si="85"/>
        <v xml:space="preserve"> </v>
      </c>
      <c r="AX140" s="1219">
        <f t="shared" si="86"/>
        <v>0.63795262645388151</v>
      </c>
      <c r="AY140" s="1218">
        <f t="shared" si="87"/>
        <v>0</v>
      </c>
      <c r="AZ140" s="1218">
        <f t="shared" si="88"/>
        <v>0</v>
      </c>
      <c r="BA140" s="1218">
        <f t="shared" si="89"/>
        <v>0</v>
      </c>
      <c r="BB140" s="1218">
        <f t="shared" si="90"/>
        <v>0</v>
      </c>
      <c r="BC140" s="125"/>
      <c r="BD140" s="105">
        <f>+AT140-'CY (ALL FUNDS)'!Q411</f>
        <v>0</v>
      </c>
      <c r="BF140" s="105">
        <f t="shared" si="141"/>
        <v>3943153.0300000003</v>
      </c>
      <c r="BP140" s="149">
        <f>+'CY (ALL FUNDS)'!F411</f>
        <v>2308000</v>
      </c>
      <c r="BQ140" s="149">
        <f>+'CY (ALL FUNDS)'!G411</f>
        <v>8783000</v>
      </c>
      <c r="BR140" s="149">
        <f>+'CY (ALL FUNDS)'!H411</f>
        <v>0</v>
      </c>
      <c r="BT140" s="111">
        <f t="shared" si="147"/>
        <v>0</v>
      </c>
      <c r="BU140" s="111">
        <f t="shared" si="148"/>
        <v>0</v>
      </c>
      <c r="BV140" s="111">
        <f t="shared" si="149"/>
        <v>0</v>
      </c>
    </row>
    <row r="141" spans="1:74" ht="36">
      <c r="A141" s="587" t="s">
        <v>936</v>
      </c>
      <c r="B141" s="1306" t="s">
        <v>536</v>
      </c>
      <c r="C141" s="1218">
        <v>58177000</v>
      </c>
      <c r="D141" s="1218">
        <v>151098000</v>
      </c>
      <c r="E141" s="1218">
        <v>0</v>
      </c>
      <c r="F141" s="1218">
        <f t="shared" si="112"/>
        <v>209275000</v>
      </c>
      <c r="G141" s="1218"/>
      <c r="H141" s="1218"/>
      <c r="I141" s="1218"/>
      <c r="J141" s="1218">
        <f t="shared" si="113"/>
        <v>0</v>
      </c>
      <c r="K141" s="1218">
        <f t="shared" si="108"/>
        <v>58177000</v>
      </c>
      <c r="L141" s="1218">
        <f t="shared" si="109"/>
        <v>151098000</v>
      </c>
      <c r="M141" s="1218">
        <f t="shared" si="110"/>
        <v>0</v>
      </c>
      <c r="N141" s="1218">
        <f t="shared" si="111"/>
        <v>209275000</v>
      </c>
      <c r="O141" s="1218">
        <v>58177000</v>
      </c>
      <c r="P141" s="1218">
        <v>151098000</v>
      </c>
      <c r="Q141" s="1218">
        <v>0</v>
      </c>
      <c r="R141" s="1218">
        <f t="shared" ref="R141:R204" si="150">SUM(O141:Q141)</f>
        <v>209275000</v>
      </c>
      <c r="S141" s="1218"/>
      <c r="T141" s="1218"/>
      <c r="U141" s="1218"/>
      <c r="V141" s="1218">
        <f t="shared" si="118"/>
        <v>0</v>
      </c>
      <c r="W141" s="1218">
        <f>+'CY (ALL FUNDS)'!F413</f>
        <v>0</v>
      </c>
      <c r="X141" s="1218">
        <f>+'CY (ALL FUNDS)'!G413</f>
        <v>191506950</v>
      </c>
      <c r="Y141" s="1218">
        <f>+'CY (ALL FUNDS)'!H413</f>
        <v>3000000</v>
      </c>
      <c r="Z141" s="1218">
        <f t="shared" ref="Z141:Z204" si="151">SUM(W141:Y141)</f>
        <v>194506950</v>
      </c>
      <c r="AA141" s="1218">
        <f t="shared" ref="AA141:AA204" si="152">+O141+W141+S141</f>
        <v>58177000</v>
      </c>
      <c r="AB141" s="1218">
        <f t="shared" ref="AB141:AB204" si="153">+P141+X141+T141</f>
        <v>342604950</v>
      </c>
      <c r="AC141" s="1218">
        <f t="shared" ref="AC141:AC204" si="154">+Q141+Y141+U141</f>
        <v>3000000</v>
      </c>
      <c r="AD141" s="1218">
        <f t="shared" ref="AD141:AD204" si="155">SUM(AA141:AC141)</f>
        <v>403781950</v>
      </c>
      <c r="AE141" s="1218">
        <f>+'CY (ALL FUNDS)'!J412</f>
        <v>48072536.659999996</v>
      </c>
      <c r="AF141" s="1218">
        <f>+'CY (ALL FUNDS)'!K412</f>
        <v>73437348.609999999</v>
      </c>
      <c r="AG141" s="1218">
        <f>+'CY (ALL FUNDS)'!L412</f>
        <v>0</v>
      </c>
      <c r="AH141" s="1218">
        <f t="shared" si="114"/>
        <v>121509885.27</v>
      </c>
      <c r="AI141" s="1218">
        <f>+'CY (ALL FUNDS)'!J413</f>
        <v>0</v>
      </c>
      <c r="AJ141" s="1218">
        <f>+'CY (ALL FUNDS)'!K413</f>
        <v>132681824.97</v>
      </c>
      <c r="AK141" s="1218">
        <f>+'CY (ALL FUNDS)'!L413</f>
        <v>999094.71</v>
      </c>
      <c r="AL141" s="1218">
        <f t="shared" si="115"/>
        <v>133680919.67999999</v>
      </c>
      <c r="AM141" s="1218">
        <f t="shared" si="144"/>
        <v>48072536.659999996</v>
      </c>
      <c r="AN141" s="1218">
        <f t="shared" si="145"/>
        <v>206119173.57999998</v>
      </c>
      <c r="AO141" s="1218">
        <f t="shared" si="146"/>
        <v>999094.71</v>
      </c>
      <c r="AP141" s="1218">
        <f t="shared" ref="AP141:AP204" si="156">SUM(AM141:AO141)</f>
        <v>255190804.94999999</v>
      </c>
      <c r="AQ141" s="1218">
        <f t="shared" ref="AQ141:AQ204" si="157">+AA141-AM141</f>
        <v>10104463.340000004</v>
      </c>
      <c r="AR141" s="1218">
        <f t="shared" ref="AR141:AR204" si="158">+AB141-AN141</f>
        <v>136485776.42000002</v>
      </c>
      <c r="AS141" s="1218">
        <f t="shared" ref="AS141:AS204" si="159">+AC141-AO141</f>
        <v>2000905.29</v>
      </c>
      <c r="AT141" s="1218">
        <f t="shared" ref="AT141:AT204" si="160">SUM(AQ141:AS141)</f>
        <v>148591145.05000001</v>
      </c>
      <c r="AU141" s="1219">
        <f t="shared" ref="AU141:AU204" si="161">IF(AA141=0," ",AM141/AA141)</f>
        <v>0.82631515306736336</v>
      </c>
      <c r="AV141" s="1219">
        <f t="shared" ref="AV141:AV204" si="162">IF(AB141=0," ",AN141/AB141)</f>
        <v>0.60162345459398636</v>
      </c>
      <c r="AW141" s="1219">
        <f t="shared" ref="AW141:AW204" si="163">IF(AC141=0," ",AO141/AC141)</f>
        <v>0.33303157</v>
      </c>
      <c r="AX141" s="1219">
        <f t="shared" ref="AX141:AX204" si="164">IF(AD141=0," ",AP141/AD141)</f>
        <v>0.6320015170316553</v>
      </c>
      <c r="AY141" s="1218">
        <f t="shared" ref="AY141:AY204" si="165">+K141-O141</f>
        <v>0</v>
      </c>
      <c r="AZ141" s="1218">
        <f t="shared" ref="AZ141:AZ204" si="166">+L141-P141</f>
        <v>0</v>
      </c>
      <c r="BA141" s="1218">
        <f t="shared" ref="BA141:BA204" si="167">+M141-Q141</f>
        <v>0</v>
      </c>
      <c r="BB141" s="1218">
        <f t="shared" ref="BB141:BB204" si="168">+N141-R141</f>
        <v>0</v>
      </c>
      <c r="BC141" s="125"/>
      <c r="BD141" s="105">
        <f>+AT141-'CY (ALL FUNDS)'!Q412-'CY (ALL FUNDS)'!Q413</f>
        <v>0</v>
      </c>
      <c r="BF141" s="105">
        <f t="shared" si="141"/>
        <v>77660651.390000001</v>
      </c>
      <c r="BP141" s="149">
        <f>+'CY (ALL FUNDS)'!F412</f>
        <v>58177000</v>
      </c>
      <c r="BQ141" s="149">
        <f>+'CY (ALL FUNDS)'!G412</f>
        <v>151098000</v>
      </c>
      <c r="BR141" s="149">
        <f>+'CY (ALL FUNDS)'!H412</f>
        <v>0</v>
      </c>
      <c r="BT141" s="111">
        <f t="shared" si="147"/>
        <v>0</v>
      </c>
      <c r="BU141" s="111">
        <f t="shared" si="148"/>
        <v>0</v>
      </c>
      <c r="BV141" s="111">
        <f t="shared" si="149"/>
        <v>0</v>
      </c>
    </row>
    <row r="142" spans="1:74" ht="12.75">
      <c r="A142" s="587" t="s">
        <v>936</v>
      </c>
      <c r="B142" s="1307" t="s">
        <v>537</v>
      </c>
      <c r="C142" s="1218">
        <v>0</v>
      </c>
      <c r="D142" s="1218">
        <v>0</v>
      </c>
      <c r="E142" s="1218">
        <v>0</v>
      </c>
      <c r="F142" s="1218">
        <f t="shared" si="112"/>
        <v>0</v>
      </c>
      <c r="G142" s="1218"/>
      <c r="H142" s="1218"/>
      <c r="I142" s="1218"/>
      <c r="J142" s="1218">
        <f t="shared" si="113"/>
        <v>0</v>
      </c>
      <c r="K142" s="1218">
        <f t="shared" si="108"/>
        <v>0</v>
      </c>
      <c r="L142" s="1218">
        <f t="shared" si="109"/>
        <v>0</v>
      </c>
      <c r="M142" s="1218">
        <f t="shared" si="110"/>
        <v>0</v>
      </c>
      <c r="N142" s="1218">
        <f t="shared" si="111"/>
        <v>0</v>
      </c>
      <c r="O142" s="1218">
        <v>0</v>
      </c>
      <c r="P142" s="1218">
        <v>0</v>
      </c>
      <c r="Q142" s="1218">
        <v>0</v>
      </c>
      <c r="R142" s="1218">
        <f t="shared" si="150"/>
        <v>0</v>
      </c>
      <c r="S142" s="1218"/>
      <c r="T142" s="1218"/>
      <c r="U142" s="1218"/>
      <c r="V142" s="1218">
        <f t="shared" si="118"/>
        <v>0</v>
      </c>
      <c r="W142" s="1218"/>
      <c r="X142" s="1218"/>
      <c r="Y142" s="1218"/>
      <c r="Z142" s="1218">
        <f t="shared" si="151"/>
        <v>0</v>
      </c>
      <c r="AA142" s="1218">
        <f t="shared" si="152"/>
        <v>0</v>
      </c>
      <c r="AB142" s="1218">
        <f t="shared" si="153"/>
        <v>0</v>
      </c>
      <c r="AC142" s="1218">
        <f t="shared" si="154"/>
        <v>0</v>
      </c>
      <c r="AD142" s="1218">
        <f t="shared" si="155"/>
        <v>0</v>
      </c>
      <c r="AE142" s="1218"/>
      <c r="AF142" s="1218"/>
      <c r="AG142" s="1218"/>
      <c r="AH142" s="1218">
        <f t="shared" si="114"/>
        <v>0</v>
      </c>
      <c r="AI142" s="1218"/>
      <c r="AJ142" s="1218"/>
      <c r="AK142" s="1218"/>
      <c r="AL142" s="1218">
        <f t="shared" si="115"/>
        <v>0</v>
      </c>
      <c r="AM142" s="1218">
        <f t="shared" si="144"/>
        <v>0</v>
      </c>
      <c r="AN142" s="1218">
        <f t="shared" si="145"/>
        <v>0</v>
      </c>
      <c r="AO142" s="1218">
        <f t="shared" si="146"/>
        <v>0</v>
      </c>
      <c r="AP142" s="1218">
        <f t="shared" si="156"/>
        <v>0</v>
      </c>
      <c r="AQ142" s="1218">
        <f t="shared" si="157"/>
        <v>0</v>
      </c>
      <c r="AR142" s="1218">
        <f t="shared" si="158"/>
        <v>0</v>
      </c>
      <c r="AS142" s="1218">
        <f t="shared" si="159"/>
        <v>0</v>
      </c>
      <c r="AT142" s="1218">
        <f t="shared" si="160"/>
        <v>0</v>
      </c>
      <c r="AU142" s="1219" t="str">
        <f t="shared" si="161"/>
        <v xml:space="preserve"> </v>
      </c>
      <c r="AV142" s="1219" t="str">
        <f t="shared" si="162"/>
        <v xml:space="preserve"> </v>
      </c>
      <c r="AW142" s="1219" t="str">
        <f t="shared" si="163"/>
        <v xml:space="preserve"> </v>
      </c>
      <c r="AX142" s="1219" t="str">
        <f t="shared" si="164"/>
        <v xml:space="preserve"> </v>
      </c>
      <c r="AY142" s="1218">
        <f t="shared" si="165"/>
        <v>0</v>
      </c>
      <c r="AZ142" s="1218">
        <f t="shared" si="166"/>
        <v>0</v>
      </c>
      <c r="BA142" s="1218">
        <f t="shared" si="167"/>
        <v>0</v>
      </c>
      <c r="BB142" s="1218">
        <f t="shared" si="168"/>
        <v>0</v>
      </c>
      <c r="BC142" s="125"/>
      <c r="BF142" s="105">
        <f t="shared" si="141"/>
        <v>0</v>
      </c>
      <c r="BQ142" s="149"/>
      <c r="BR142" s="149"/>
      <c r="BT142" s="111">
        <f t="shared" si="147"/>
        <v>0</v>
      </c>
      <c r="BU142" s="111">
        <f t="shared" si="148"/>
        <v>0</v>
      </c>
      <c r="BV142" s="111">
        <f t="shared" si="149"/>
        <v>0</v>
      </c>
    </row>
    <row r="143" spans="1:74" ht="36">
      <c r="A143" s="587" t="s">
        <v>936</v>
      </c>
      <c r="B143" s="1308" t="s">
        <v>553</v>
      </c>
      <c r="C143" s="1218">
        <v>146749000</v>
      </c>
      <c r="D143" s="1218">
        <v>65891000</v>
      </c>
      <c r="E143" s="1218">
        <v>0</v>
      </c>
      <c r="F143" s="1218">
        <f t="shared" si="112"/>
        <v>212640000</v>
      </c>
      <c r="G143" s="1218"/>
      <c r="H143" s="1218"/>
      <c r="I143" s="1218"/>
      <c r="J143" s="1218">
        <f t="shared" si="113"/>
        <v>0</v>
      </c>
      <c r="K143" s="1218">
        <f t="shared" si="108"/>
        <v>146749000</v>
      </c>
      <c r="L143" s="1218">
        <f t="shared" si="109"/>
        <v>65891000</v>
      </c>
      <c r="M143" s="1218">
        <f t="shared" si="110"/>
        <v>0</v>
      </c>
      <c r="N143" s="1218">
        <f t="shared" si="111"/>
        <v>212640000</v>
      </c>
      <c r="O143" s="1218">
        <v>146749000</v>
      </c>
      <c r="P143" s="1218">
        <v>65891000</v>
      </c>
      <c r="Q143" s="1218">
        <v>0</v>
      </c>
      <c r="R143" s="1218">
        <f t="shared" si="150"/>
        <v>212640000</v>
      </c>
      <c r="S143" s="1218"/>
      <c r="T143" s="1218"/>
      <c r="U143" s="1218"/>
      <c r="V143" s="1218">
        <f t="shared" si="118"/>
        <v>0</v>
      </c>
      <c r="W143" s="1218">
        <f>+'CY (ALL FUNDS)'!F429</f>
        <v>0</v>
      </c>
      <c r="X143" s="1218">
        <f>+'CY (ALL FUNDS)'!G429</f>
        <v>23095000</v>
      </c>
      <c r="Y143" s="1218">
        <f>+'CY (ALL FUNDS)'!H429</f>
        <v>54292000</v>
      </c>
      <c r="Z143" s="1218">
        <f t="shared" si="151"/>
        <v>77387000</v>
      </c>
      <c r="AA143" s="1218">
        <f t="shared" si="152"/>
        <v>146749000</v>
      </c>
      <c r="AB143" s="1218">
        <f t="shared" si="153"/>
        <v>88986000</v>
      </c>
      <c r="AC143" s="1218">
        <f t="shared" si="154"/>
        <v>54292000</v>
      </c>
      <c r="AD143" s="1218">
        <f t="shared" si="155"/>
        <v>290027000</v>
      </c>
      <c r="AE143" s="1218">
        <f>+'CY (ALL FUNDS)'!J428</f>
        <v>128935466.89</v>
      </c>
      <c r="AF143" s="1218">
        <f>+'CY (ALL FUNDS)'!K428</f>
        <v>51088599.540000007</v>
      </c>
      <c r="AG143" s="1218">
        <f>+'CY (ALL FUNDS)'!L428</f>
        <v>0</v>
      </c>
      <c r="AH143" s="1218">
        <f t="shared" si="114"/>
        <v>180024066.43000001</v>
      </c>
      <c r="AI143" s="1218">
        <f>+'CY (ALL FUNDS)'!J429</f>
        <v>0</v>
      </c>
      <c r="AJ143" s="1218">
        <f>+'CY (ALL FUNDS)'!K429</f>
        <v>19249475.559999999</v>
      </c>
      <c r="AK143" s="1218">
        <f>+'CY (ALL FUNDS)'!L429</f>
        <v>53456776.759999998</v>
      </c>
      <c r="AL143" s="1218">
        <f t="shared" si="115"/>
        <v>72706252.319999993</v>
      </c>
      <c r="AM143" s="1218">
        <f t="shared" si="144"/>
        <v>128935466.89</v>
      </c>
      <c r="AN143" s="1218">
        <f t="shared" si="145"/>
        <v>70338075.100000009</v>
      </c>
      <c r="AO143" s="1218">
        <f t="shared" si="146"/>
        <v>53456776.759999998</v>
      </c>
      <c r="AP143" s="1218">
        <f t="shared" si="156"/>
        <v>252730318.75</v>
      </c>
      <c r="AQ143" s="1218">
        <f t="shared" si="157"/>
        <v>17813533.109999999</v>
      </c>
      <c r="AR143" s="1218">
        <f t="shared" si="158"/>
        <v>18647924.899999991</v>
      </c>
      <c r="AS143" s="1218">
        <f t="shared" si="159"/>
        <v>835223.24000000209</v>
      </c>
      <c r="AT143" s="1218">
        <f t="shared" si="160"/>
        <v>37296681.249999993</v>
      </c>
      <c r="AU143" s="1219">
        <f t="shared" si="161"/>
        <v>0.8786122351089275</v>
      </c>
      <c r="AV143" s="1219">
        <f t="shared" si="162"/>
        <v>0.79043978940507509</v>
      </c>
      <c r="AW143" s="1219">
        <f t="shared" si="163"/>
        <v>0.98461609003168049</v>
      </c>
      <c r="AX143" s="1219">
        <f t="shared" si="164"/>
        <v>0.87140272715988509</v>
      </c>
      <c r="AY143" s="1218">
        <f t="shared" si="165"/>
        <v>0</v>
      </c>
      <c r="AZ143" s="1218">
        <f t="shared" si="166"/>
        <v>0</v>
      </c>
      <c r="BA143" s="1218">
        <f t="shared" si="167"/>
        <v>0</v>
      </c>
      <c r="BB143" s="1218">
        <f t="shared" si="168"/>
        <v>0</v>
      </c>
      <c r="BC143" s="125"/>
      <c r="BF143" s="105">
        <f t="shared" si="141"/>
        <v>14802400.459999993</v>
      </c>
      <c r="BP143" s="149">
        <f>+'CY (ALL FUNDS)'!F428</f>
        <v>146749000</v>
      </c>
      <c r="BQ143" s="149">
        <f>+'CY (ALL FUNDS)'!G428</f>
        <v>65891000</v>
      </c>
      <c r="BR143" s="149">
        <f>+'CY (ALL FUNDS)'!H428</f>
        <v>0</v>
      </c>
      <c r="BT143" s="111">
        <f t="shared" si="147"/>
        <v>0</v>
      </c>
      <c r="BU143" s="111">
        <f t="shared" si="148"/>
        <v>0</v>
      </c>
      <c r="BV143" s="111">
        <f t="shared" si="149"/>
        <v>0</v>
      </c>
    </row>
    <row r="144" spans="1:74" ht="24">
      <c r="A144" s="587" t="s">
        <v>936</v>
      </c>
      <c r="B144" s="1308" t="s">
        <v>554</v>
      </c>
      <c r="C144" s="1218">
        <v>13165000</v>
      </c>
      <c r="D144" s="1218">
        <v>3633000</v>
      </c>
      <c r="E144" s="1218">
        <v>0</v>
      </c>
      <c r="F144" s="1218">
        <f t="shared" si="112"/>
        <v>16798000</v>
      </c>
      <c r="G144" s="1218"/>
      <c r="H144" s="1218"/>
      <c r="I144" s="1218"/>
      <c r="J144" s="1218">
        <f t="shared" si="113"/>
        <v>0</v>
      </c>
      <c r="K144" s="1218">
        <f t="shared" si="108"/>
        <v>13165000</v>
      </c>
      <c r="L144" s="1218">
        <f t="shared" si="109"/>
        <v>3633000</v>
      </c>
      <c r="M144" s="1218">
        <f t="shared" si="110"/>
        <v>0</v>
      </c>
      <c r="N144" s="1218">
        <f t="shared" si="111"/>
        <v>16798000</v>
      </c>
      <c r="O144" s="1218">
        <v>13165000</v>
      </c>
      <c r="P144" s="1218">
        <v>3633000</v>
      </c>
      <c r="Q144" s="1218">
        <v>0</v>
      </c>
      <c r="R144" s="1218">
        <f t="shared" si="150"/>
        <v>16798000</v>
      </c>
      <c r="S144" s="1218"/>
      <c r="T144" s="1218"/>
      <c r="U144" s="1218"/>
      <c r="V144" s="1218">
        <f t="shared" si="118"/>
        <v>0</v>
      </c>
      <c r="W144" s="1218">
        <f>+'CY (ALL FUNDS)'!F444</f>
        <v>0</v>
      </c>
      <c r="X144" s="1218">
        <f>+'CY (ALL FUNDS)'!G444</f>
        <v>1786000</v>
      </c>
      <c r="Y144" s="1218">
        <f>+'CY (ALL FUNDS)'!H444</f>
        <v>0</v>
      </c>
      <c r="Z144" s="1218">
        <f t="shared" si="151"/>
        <v>1786000</v>
      </c>
      <c r="AA144" s="1218">
        <f t="shared" si="152"/>
        <v>13165000</v>
      </c>
      <c r="AB144" s="1218">
        <f t="shared" si="153"/>
        <v>5419000</v>
      </c>
      <c r="AC144" s="1218">
        <f t="shared" si="154"/>
        <v>0</v>
      </c>
      <c r="AD144" s="1218">
        <f t="shared" si="155"/>
        <v>18584000</v>
      </c>
      <c r="AE144" s="1218">
        <f>+'CY (ALL FUNDS)'!J443</f>
        <v>11900577.4</v>
      </c>
      <c r="AF144" s="1218">
        <f>+'CY (ALL FUNDS)'!K443</f>
        <v>2176244.88</v>
      </c>
      <c r="AG144" s="1218">
        <f>+'CY (ALL FUNDS)'!L443</f>
        <v>0</v>
      </c>
      <c r="AH144" s="1218">
        <f t="shared" si="114"/>
        <v>14076822.280000001</v>
      </c>
      <c r="AI144" s="1218">
        <f>+'CY (ALL FUNDS)'!J444</f>
        <v>0</v>
      </c>
      <c r="AJ144" s="1218">
        <f>+'CY (ALL FUNDS)'!K444</f>
        <v>1360386.05</v>
      </c>
      <c r="AK144" s="1218">
        <f>+'CY (ALL FUNDS)'!L444</f>
        <v>0</v>
      </c>
      <c r="AL144" s="1218">
        <f t="shared" si="115"/>
        <v>1360386.05</v>
      </c>
      <c r="AM144" s="1218">
        <f t="shared" si="144"/>
        <v>11900577.4</v>
      </c>
      <c r="AN144" s="1218">
        <f t="shared" si="145"/>
        <v>3536630.9299999997</v>
      </c>
      <c r="AO144" s="1218">
        <f t="shared" si="146"/>
        <v>0</v>
      </c>
      <c r="AP144" s="1218">
        <f t="shared" si="156"/>
        <v>15437208.33</v>
      </c>
      <c r="AQ144" s="1218">
        <f t="shared" si="157"/>
        <v>1264422.5999999996</v>
      </c>
      <c r="AR144" s="1218">
        <f t="shared" si="158"/>
        <v>1882369.0700000003</v>
      </c>
      <c r="AS144" s="1218">
        <f t="shared" si="159"/>
        <v>0</v>
      </c>
      <c r="AT144" s="1218">
        <f t="shared" si="160"/>
        <v>3146791.67</v>
      </c>
      <c r="AU144" s="1219">
        <f t="shared" si="161"/>
        <v>0.9039557462969996</v>
      </c>
      <c r="AV144" s="1219">
        <f t="shared" si="162"/>
        <v>0.65263534415943891</v>
      </c>
      <c r="AW144" s="1219" t="str">
        <f t="shared" si="163"/>
        <v xml:space="preserve"> </v>
      </c>
      <c r="AX144" s="1219">
        <f t="shared" si="164"/>
        <v>0.83067199365045197</v>
      </c>
      <c r="AY144" s="1218">
        <f t="shared" si="165"/>
        <v>0</v>
      </c>
      <c r="AZ144" s="1218">
        <f t="shared" si="166"/>
        <v>0</v>
      </c>
      <c r="BA144" s="1218">
        <f t="shared" si="167"/>
        <v>0</v>
      </c>
      <c r="BB144" s="1218">
        <f t="shared" si="168"/>
        <v>0</v>
      </c>
      <c r="BC144" s="125"/>
      <c r="BF144" s="105">
        <f t="shared" si="141"/>
        <v>1456755.12</v>
      </c>
      <c r="BP144" s="149">
        <f>+'CY (ALL FUNDS)'!F443</f>
        <v>13165000</v>
      </c>
      <c r="BQ144" s="149">
        <f>+'CY (ALL FUNDS)'!G443</f>
        <v>3633000</v>
      </c>
      <c r="BR144" s="149">
        <f>+'CY (ALL FUNDS)'!H443</f>
        <v>0</v>
      </c>
      <c r="BT144" s="111">
        <f t="shared" si="147"/>
        <v>0</v>
      </c>
      <c r="BU144" s="111">
        <f t="shared" si="148"/>
        <v>0</v>
      </c>
      <c r="BV144" s="111">
        <f t="shared" si="149"/>
        <v>0</v>
      </c>
    </row>
    <row r="145" spans="1:74" ht="36">
      <c r="A145" s="587" t="s">
        <v>936</v>
      </c>
      <c r="B145" s="1308" t="s">
        <v>555</v>
      </c>
      <c r="C145" s="1218">
        <v>116247000</v>
      </c>
      <c r="D145" s="1218">
        <v>42240000</v>
      </c>
      <c r="E145" s="1218">
        <v>0</v>
      </c>
      <c r="F145" s="1218">
        <f t="shared" si="112"/>
        <v>158487000</v>
      </c>
      <c r="G145" s="1218"/>
      <c r="H145" s="1218"/>
      <c r="I145" s="1218"/>
      <c r="J145" s="1218">
        <f t="shared" si="113"/>
        <v>0</v>
      </c>
      <c r="K145" s="1218">
        <f t="shared" si="108"/>
        <v>116247000</v>
      </c>
      <c r="L145" s="1218">
        <f t="shared" si="109"/>
        <v>42240000</v>
      </c>
      <c r="M145" s="1218">
        <f t="shared" si="110"/>
        <v>0</v>
      </c>
      <c r="N145" s="1218">
        <f t="shared" si="111"/>
        <v>158487000</v>
      </c>
      <c r="O145" s="1218">
        <v>116247000</v>
      </c>
      <c r="P145" s="1218">
        <v>42240000</v>
      </c>
      <c r="Q145" s="1218">
        <v>0</v>
      </c>
      <c r="R145" s="1218">
        <f t="shared" si="150"/>
        <v>158487000</v>
      </c>
      <c r="S145" s="1218"/>
      <c r="T145" s="1218"/>
      <c r="U145" s="1218"/>
      <c r="V145" s="1218">
        <f t="shared" si="118"/>
        <v>0</v>
      </c>
      <c r="W145" s="1218">
        <f>+'CY (ALL FUNDS)'!F459</f>
        <v>0</v>
      </c>
      <c r="X145" s="1218">
        <f>+'CY (ALL FUNDS)'!G459</f>
        <v>18972000</v>
      </c>
      <c r="Y145" s="1218">
        <f>+'CY (ALL FUNDS)'!H459</f>
        <v>250000000</v>
      </c>
      <c r="Z145" s="1218">
        <f t="shared" si="151"/>
        <v>268972000</v>
      </c>
      <c r="AA145" s="1218">
        <f t="shared" si="152"/>
        <v>116247000</v>
      </c>
      <c r="AB145" s="1218">
        <f t="shared" si="153"/>
        <v>61212000</v>
      </c>
      <c r="AC145" s="1218">
        <f t="shared" si="154"/>
        <v>250000000</v>
      </c>
      <c r="AD145" s="1218">
        <f t="shared" si="155"/>
        <v>427459000</v>
      </c>
      <c r="AE145" s="1218">
        <f>+'CY (ALL FUNDS)'!J458</f>
        <v>105172288.81</v>
      </c>
      <c r="AF145" s="1218">
        <f>+'CY (ALL FUNDS)'!K458</f>
        <v>25785276.439999998</v>
      </c>
      <c r="AG145" s="1218">
        <f>+'CY (ALL FUNDS)'!L458</f>
        <v>0</v>
      </c>
      <c r="AH145" s="1218">
        <f t="shared" si="114"/>
        <v>130957565.25</v>
      </c>
      <c r="AI145" s="1218">
        <f>+'CY (ALL FUNDS)'!J459</f>
        <v>0</v>
      </c>
      <c r="AJ145" s="1218">
        <f>+'CY (ALL FUNDS)'!K459</f>
        <v>15312851.430000002</v>
      </c>
      <c r="AK145" s="1218">
        <f>+'CY (ALL FUNDS)'!L459</f>
        <v>244815134.41999999</v>
      </c>
      <c r="AL145" s="1218">
        <f t="shared" si="115"/>
        <v>260127985.84999999</v>
      </c>
      <c r="AM145" s="1218">
        <f t="shared" si="144"/>
        <v>105172288.81</v>
      </c>
      <c r="AN145" s="1218">
        <f t="shared" si="145"/>
        <v>41098127.869999997</v>
      </c>
      <c r="AO145" s="1218">
        <f t="shared" si="146"/>
        <v>244815134.41999999</v>
      </c>
      <c r="AP145" s="1218">
        <f t="shared" si="156"/>
        <v>391085551.10000002</v>
      </c>
      <c r="AQ145" s="1218">
        <f t="shared" si="157"/>
        <v>11074711.189999998</v>
      </c>
      <c r="AR145" s="1218">
        <f t="shared" si="158"/>
        <v>20113872.130000003</v>
      </c>
      <c r="AS145" s="1218">
        <f t="shared" si="159"/>
        <v>5184865.5800000131</v>
      </c>
      <c r="AT145" s="1218">
        <f t="shared" si="160"/>
        <v>36373448.900000013</v>
      </c>
      <c r="AU145" s="1219">
        <f t="shared" si="161"/>
        <v>0.90473120863334111</v>
      </c>
      <c r="AV145" s="1219">
        <f t="shared" si="162"/>
        <v>0.67140638877997771</v>
      </c>
      <c r="AW145" s="1219">
        <f t="shared" si="163"/>
        <v>0.97926053767999999</v>
      </c>
      <c r="AX145" s="1219">
        <f t="shared" si="164"/>
        <v>0.91490774811151487</v>
      </c>
      <c r="AY145" s="1218">
        <f t="shared" si="165"/>
        <v>0</v>
      </c>
      <c r="AZ145" s="1218">
        <f t="shared" si="166"/>
        <v>0</v>
      </c>
      <c r="BA145" s="1218">
        <f t="shared" si="167"/>
        <v>0</v>
      </c>
      <c r="BB145" s="1218">
        <f t="shared" si="168"/>
        <v>0</v>
      </c>
      <c r="BC145" s="125"/>
      <c r="BF145" s="105">
        <f t="shared" si="141"/>
        <v>16454723.560000002</v>
      </c>
      <c r="BP145" s="149">
        <f>+'CY (ALL FUNDS)'!F458</f>
        <v>116247000</v>
      </c>
      <c r="BQ145" s="149">
        <f>+'CY (ALL FUNDS)'!G458</f>
        <v>42240000</v>
      </c>
      <c r="BR145" s="149">
        <f>+'CY (ALL FUNDS)'!H458</f>
        <v>0</v>
      </c>
      <c r="BT145" s="111">
        <f t="shared" si="147"/>
        <v>0</v>
      </c>
      <c r="BU145" s="111">
        <f t="shared" si="148"/>
        <v>0</v>
      </c>
      <c r="BV145" s="111">
        <f t="shared" si="149"/>
        <v>0</v>
      </c>
    </row>
    <row r="146" spans="1:74" ht="12.75">
      <c r="A146" s="587" t="s">
        <v>936</v>
      </c>
      <c r="B146" s="1311" t="s">
        <v>556</v>
      </c>
      <c r="C146" s="1218">
        <v>21038000</v>
      </c>
      <c r="D146" s="1218">
        <v>39648000</v>
      </c>
      <c r="E146" s="1218">
        <v>0</v>
      </c>
      <c r="F146" s="1218">
        <f t="shared" si="112"/>
        <v>60686000</v>
      </c>
      <c r="G146" s="1218"/>
      <c r="H146" s="1218"/>
      <c r="I146" s="1218"/>
      <c r="J146" s="1218">
        <f t="shared" si="113"/>
        <v>0</v>
      </c>
      <c r="K146" s="1218">
        <f t="shared" si="108"/>
        <v>21038000</v>
      </c>
      <c r="L146" s="1218">
        <f t="shared" si="109"/>
        <v>39648000</v>
      </c>
      <c r="M146" s="1218">
        <f t="shared" si="110"/>
        <v>0</v>
      </c>
      <c r="N146" s="1218">
        <f t="shared" si="111"/>
        <v>60686000</v>
      </c>
      <c r="O146" s="1218">
        <v>21038000</v>
      </c>
      <c r="P146" s="1218">
        <v>39648000</v>
      </c>
      <c r="Q146" s="1218">
        <v>0</v>
      </c>
      <c r="R146" s="1218">
        <f t="shared" si="150"/>
        <v>60686000</v>
      </c>
      <c r="S146" s="1218"/>
      <c r="T146" s="1218"/>
      <c r="U146" s="1218"/>
      <c r="V146" s="1218">
        <f t="shared" si="118"/>
        <v>0</v>
      </c>
      <c r="W146" s="1218">
        <f>+'CY (ALL FUNDS)'!F475</f>
        <v>0</v>
      </c>
      <c r="X146" s="1218">
        <f>+'CY (ALL FUNDS)'!G475</f>
        <v>6970000</v>
      </c>
      <c r="Y146" s="1218">
        <f>+'CY (ALL FUNDS)'!H475</f>
        <v>20000000</v>
      </c>
      <c r="Z146" s="1218">
        <f t="shared" si="151"/>
        <v>26970000</v>
      </c>
      <c r="AA146" s="1218">
        <f t="shared" si="152"/>
        <v>21038000</v>
      </c>
      <c r="AB146" s="1218">
        <f t="shared" si="153"/>
        <v>46618000</v>
      </c>
      <c r="AC146" s="1218">
        <f t="shared" si="154"/>
        <v>20000000</v>
      </c>
      <c r="AD146" s="1218">
        <f t="shared" si="155"/>
        <v>87656000</v>
      </c>
      <c r="AE146" s="1218">
        <f>+'CY (ALL FUNDS)'!J474</f>
        <v>19154232.379999999</v>
      </c>
      <c r="AF146" s="1218">
        <f>+'CY (ALL FUNDS)'!K474</f>
        <v>30090472.549999997</v>
      </c>
      <c r="AG146" s="1218">
        <f>+'CY (ALL FUNDS)'!L474</f>
        <v>0</v>
      </c>
      <c r="AH146" s="1218">
        <f t="shared" si="114"/>
        <v>49244704.929999992</v>
      </c>
      <c r="AI146" s="1218">
        <f>+'CY (ALL FUNDS)'!J475</f>
        <v>0</v>
      </c>
      <c r="AJ146" s="1218">
        <f>+'CY (ALL FUNDS)'!K475</f>
        <v>5324104.37</v>
      </c>
      <c r="AK146" s="1218">
        <f>+'CY (ALL FUNDS)'!L475</f>
        <v>17526788.68</v>
      </c>
      <c r="AL146" s="1218">
        <f t="shared" si="115"/>
        <v>22850893.050000001</v>
      </c>
      <c r="AM146" s="1218">
        <f t="shared" si="144"/>
        <v>19154232.379999999</v>
      </c>
      <c r="AN146" s="1218">
        <f t="shared" si="145"/>
        <v>35414576.919999994</v>
      </c>
      <c r="AO146" s="1218">
        <f t="shared" si="146"/>
        <v>17526788.68</v>
      </c>
      <c r="AP146" s="1218">
        <f t="shared" si="156"/>
        <v>72095597.979999989</v>
      </c>
      <c r="AQ146" s="1218">
        <f t="shared" si="157"/>
        <v>1883767.620000001</v>
      </c>
      <c r="AR146" s="1218">
        <f t="shared" si="158"/>
        <v>11203423.080000006</v>
      </c>
      <c r="AS146" s="1218">
        <f t="shared" si="159"/>
        <v>2473211.3200000003</v>
      </c>
      <c r="AT146" s="1218">
        <f t="shared" si="160"/>
        <v>15560402.020000007</v>
      </c>
      <c r="AU146" s="1219">
        <f t="shared" si="161"/>
        <v>0.91045880692080994</v>
      </c>
      <c r="AV146" s="1219">
        <f t="shared" si="162"/>
        <v>0.75967602471148477</v>
      </c>
      <c r="AW146" s="1219">
        <f t="shared" si="163"/>
        <v>0.87633943400000003</v>
      </c>
      <c r="AX146" s="1219">
        <f t="shared" si="164"/>
        <v>0.82248332093638754</v>
      </c>
      <c r="AY146" s="1218">
        <f t="shared" si="165"/>
        <v>0</v>
      </c>
      <c r="AZ146" s="1218">
        <f t="shared" si="166"/>
        <v>0</v>
      </c>
      <c r="BA146" s="1218">
        <f t="shared" si="167"/>
        <v>0</v>
      </c>
      <c r="BB146" s="1218">
        <f t="shared" si="168"/>
        <v>0</v>
      </c>
      <c r="BC146" s="125"/>
      <c r="BF146" s="105">
        <f t="shared" si="141"/>
        <v>9557527.450000003</v>
      </c>
      <c r="BP146" s="149">
        <f>+'CY (ALL FUNDS)'!F474</f>
        <v>21038000</v>
      </c>
      <c r="BQ146" s="149">
        <f>+'CY (ALL FUNDS)'!G474</f>
        <v>39648000</v>
      </c>
      <c r="BR146" s="149">
        <f>+'CY (ALL FUNDS)'!H474</f>
        <v>0</v>
      </c>
      <c r="BT146" s="111">
        <f t="shared" si="147"/>
        <v>0</v>
      </c>
      <c r="BU146" s="111">
        <f t="shared" si="148"/>
        <v>0</v>
      </c>
      <c r="BV146" s="111">
        <f t="shared" si="149"/>
        <v>0</v>
      </c>
    </row>
    <row r="147" spans="1:74" ht="24">
      <c r="A147" s="587" t="s">
        <v>936</v>
      </c>
      <c r="B147" s="1309" t="s">
        <v>557</v>
      </c>
      <c r="C147" s="1218">
        <v>56602000</v>
      </c>
      <c r="D147" s="1218">
        <v>17387000</v>
      </c>
      <c r="E147" s="1218">
        <v>0</v>
      </c>
      <c r="F147" s="1218">
        <f t="shared" si="112"/>
        <v>73989000</v>
      </c>
      <c r="G147" s="1218"/>
      <c r="H147" s="1218"/>
      <c r="I147" s="1218"/>
      <c r="J147" s="1218">
        <f t="shared" si="113"/>
        <v>0</v>
      </c>
      <c r="K147" s="1218">
        <f t="shared" si="108"/>
        <v>56602000</v>
      </c>
      <c r="L147" s="1218">
        <f t="shared" si="109"/>
        <v>17387000</v>
      </c>
      <c r="M147" s="1218">
        <f t="shared" si="110"/>
        <v>0</v>
      </c>
      <c r="N147" s="1218">
        <f t="shared" si="111"/>
        <v>73989000</v>
      </c>
      <c r="O147" s="1218">
        <v>56602000</v>
      </c>
      <c r="P147" s="1218">
        <v>17387000</v>
      </c>
      <c r="Q147" s="1218">
        <v>0</v>
      </c>
      <c r="R147" s="1218">
        <f t="shared" si="150"/>
        <v>73989000</v>
      </c>
      <c r="S147" s="1218"/>
      <c r="T147" s="1218"/>
      <c r="U147" s="1218"/>
      <c r="V147" s="1218">
        <f t="shared" si="118"/>
        <v>0</v>
      </c>
      <c r="W147" s="1218">
        <f>+'CY (ALL FUNDS)'!F490</f>
        <v>827006</v>
      </c>
      <c r="X147" s="1218">
        <f>+'CY (ALL FUNDS)'!G490</f>
        <v>13460000</v>
      </c>
      <c r="Y147" s="1218">
        <f>+'CY (ALL FUNDS)'!H490</f>
        <v>0</v>
      </c>
      <c r="Z147" s="1218">
        <f t="shared" si="151"/>
        <v>14287006</v>
      </c>
      <c r="AA147" s="1218">
        <f t="shared" si="152"/>
        <v>57429006</v>
      </c>
      <c r="AB147" s="1218">
        <f t="shared" si="153"/>
        <v>30847000</v>
      </c>
      <c r="AC147" s="1218">
        <f t="shared" si="154"/>
        <v>0</v>
      </c>
      <c r="AD147" s="1218">
        <f t="shared" si="155"/>
        <v>88276006</v>
      </c>
      <c r="AE147" s="1218">
        <f>+'CY (ALL FUNDS)'!J489</f>
        <v>49974049.61999999</v>
      </c>
      <c r="AF147" s="1218">
        <f>+'CY (ALL FUNDS)'!K489</f>
        <v>13166312.760000002</v>
      </c>
      <c r="AG147" s="1218">
        <f>+'CY (ALL FUNDS)'!L489</f>
        <v>0</v>
      </c>
      <c r="AH147" s="1218">
        <f t="shared" si="114"/>
        <v>63140362.379999995</v>
      </c>
      <c r="AI147" s="1218">
        <f>+'CY (ALL FUNDS)'!J490</f>
        <v>763888.76999999979</v>
      </c>
      <c r="AJ147" s="1218">
        <f>+'CY (ALL FUNDS)'!K490</f>
        <v>12620650.439999999</v>
      </c>
      <c r="AK147" s="1218">
        <f>+'CY (ALL FUNDS)'!L490</f>
        <v>0</v>
      </c>
      <c r="AL147" s="1218">
        <f t="shared" si="115"/>
        <v>13384539.209999999</v>
      </c>
      <c r="AM147" s="1218">
        <f t="shared" si="144"/>
        <v>50737938.389999993</v>
      </c>
      <c r="AN147" s="1218">
        <f t="shared" si="145"/>
        <v>25786963.200000003</v>
      </c>
      <c r="AO147" s="1218">
        <f t="shared" si="146"/>
        <v>0</v>
      </c>
      <c r="AP147" s="1218">
        <f t="shared" si="156"/>
        <v>76524901.590000004</v>
      </c>
      <c r="AQ147" s="1218">
        <f t="shared" si="157"/>
        <v>6691067.6100000069</v>
      </c>
      <c r="AR147" s="1218">
        <f t="shared" si="158"/>
        <v>5060036.799999997</v>
      </c>
      <c r="AS147" s="1218">
        <f t="shared" si="159"/>
        <v>0</v>
      </c>
      <c r="AT147" s="1218">
        <f t="shared" si="160"/>
        <v>11751104.410000004</v>
      </c>
      <c r="AU147" s="1219">
        <f t="shared" si="161"/>
        <v>0.88348975411484565</v>
      </c>
      <c r="AV147" s="1219">
        <f t="shared" si="162"/>
        <v>0.83596340649009637</v>
      </c>
      <c r="AW147" s="1219" t="str">
        <f t="shared" si="163"/>
        <v xml:space="preserve"> </v>
      </c>
      <c r="AX147" s="1219">
        <f t="shared" si="164"/>
        <v>0.86688223739982073</v>
      </c>
      <c r="AY147" s="1218">
        <f t="shared" si="165"/>
        <v>0</v>
      </c>
      <c r="AZ147" s="1218">
        <f t="shared" si="166"/>
        <v>0</v>
      </c>
      <c r="BA147" s="1218">
        <f t="shared" si="167"/>
        <v>0</v>
      </c>
      <c r="BB147" s="1218">
        <f t="shared" si="168"/>
        <v>0</v>
      </c>
      <c r="BC147" s="125"/>
      <c r="BF147" s="105">
        <f t="shared" si="141"/>
        <v>4220687.2399999984</v>
      </c>
      <c r="BP147" s="149">
        <f>+'CY (ALL FUNDS)'!F489</f>
        <v>56602000</v>
      </c>
      <c r="BQ147" s="149">
        <f>+'CY (ALL FUNDS)'!G489</f>
        <v>17387000</v>
      </c>
      <c r="BR147" s="149">
        <f>+'CY (ALL FUNDS)'!H489</f>
        <v>0</v>
      </c>
      <c r="BT147" s="111">
        <f t="shared" si="147"/>
        <v>0</v>
      </c>
      <c r="BU147" s="111">
        <f t="shared" si="148"/>
        <v>0</v>
      </c>
      <c r="BV147" s="111">
        <f t="shared" si="149"/>
        <v>0</v>
      </c>
    </row>
    <row r="148" spans="1:74">
      <c r="B148" s="1310"/>
      <c r="C148" s="1218"/>
      <c r="D148" s="1218"/>
      <c r="E148" s="1218"/>
      <c r="F148" s="1218"/>
      <c r="G148" s="1218"/>
      <c r="H148" s="1218"/>
      <c r="I148" s="1218"/>
      <c r="J148" s="1218">
        <f t="shared" si="113"/>
        <v>0</v>
      </c>
      <c r="K148" s="1218">
        <f t="shared" si="108"/>
        <v>0</v>
      </c>
      <c r="L148" s="1218">
        <f t="shared" si="109"/>
        <v>0</v>
      </c>
      <c r="M148" s="1218">
        <f t="shared" si="110"/>
        <v>0</v>
      </c>
      <c r="N148" s="1218">
        <f t="shared" si="111"/>
        <v>0</v>
      </c>
      <c r="O148" s="1218"/>
      <c r="P148" s="1218"/>
      <c r="Q148" s="1218"/>
      <c r="R148" s="1218">
        <f t="shared" si="150"/>
        <v>0</v>
      </c>
      <c r="S148" s="1218"/>
      <c r="T148" s="1218"/>
      <c r="U148" s="1218"/>
      <c r="V148" s="1218"/>
      <c r="W148" s="1218"/>
      <c r="X148" s="1218"/>
      <c r="Y148" s="1218"/>
      <c r="Z148" s="1218">
        <f t="shared" si="151"/>
        <v>0</v>
      </c>
      <c r="AA148" s="1218">
        <f t="shared" si="152"/>
        <v>0</v>
      </c>
      <c r="AB148" s="1218">
        <f t="shared" si="153"/>
        <v>0</v>
      </c>
      <c r="AC148" s="1218">
        <f t="shared" si="154"/>
        <v>0</v>
      </c>
      <c r="AD148" s="1218">
        <f t="shared" si="155"/>
        <v>0</v>
      </c>
      <c r="AE148" s="1218"/>
      <c r="AF148" s="1218"/>
      <c r="AG148" s="1218"/>
      <c r="AH148" s="1218"/>
      <c r="AI148" s="1218"/>
      <c r="AJ148" s="1218"/>
      <c r="AK148" s="1218"/>
      <c r="AL148" s="1218"/>
      <c r="AM148" s="1218"/>
      <c r="AN148" s="1218"/>
      <c r="AO148" s="1218"/>
      <c r="AP148" s="1218">
        <f t="shared" si="156"/>
        <v>0</v>
      </c>
      <c r="AQ148" s="1218">
        <f t="shared" si="157"/>
        <v>0</v>
      </c>
      <c r="AR148" s="1218">
        <f t="shared" si="158"/>
        <v>0</v>
      </c>
      <c r="AS148" s="1218">
        <f t="shared" si="159"/>
        <v>0</v>
      </c>
      <c r="AT148" s="1218">
        <f t="shared" si="160"/>
        <v>0</v>
      </c>
      <c r="AU148" s="1219" t="str">
        <f t="shared" si="161"/>
        <v xml:space="preserve"> </v>
      </c>
      <c r="AV148" s="1219" t="str">
        <f t="shared" si="162"/>
        <v xml:space="preserve"> </v>
      </c>
      <c r="AW148" s="1219" t="str">
        <f t="shared" si="163"/>
        <v xml:space="preserve"> </v>
      </c>
      <c r="AX148" s="1219" t="str">
        <f t="shared" si="164"/>
        <v xml:space="preserve"> </v>
      </c>
      <c r="AY148" s="1218">
        <f t="shared" si="165"/>
        <v>0</v>
      </c>
      <c r="AZ148" s="1218">
        <f t="shared" si="166"/>
        <v>0</v>
      </c>
      <c r="BA148" s="1218">
        <f t="shared" si="167"/>
        <v>0</v>
      </c>
      <c r="BB148" s="1218">
        <f t="shared" si="168"/>
        <v>0</v>
      </c>
      <c r="BC148" s="125"/>
      <c r="BF148" s="105">
        <f t="shared" si="141"/>
        <v>0</v>
      </c>
      <c r="BQ148" s="149"/>
      <c r="BR148" s="149"/>
    </row>
    <row r="149" spans="1:74" ht="12.75">
      <c r="A149" s="587" t="s">
        <v>939</v>
      </c>
      <c r="B149" s="1305" t="s">
        <v>30</v>
      </c>
      <c r="C149" s="1218">
        <f>SUM(C150:C154)</f>
        <v>208238000</v>
      </c>
      <c r="D149" s="1218">
        <f>SUM(D150:D154)</f>
        <v>224761000</v>
      </c>
      <c r="E149" s="1218">
        <f>SUM(E150:E154)</f>
        <v>0</v>
      </c>
      <c r="F149" s="1218">
        <f t="shared" ref="F149:Q149" si="169">SUM(F150:F154)</f>
        <v>432999000</v>
      </c>
      <c r="G149" s="1218">
        <f t="shared" si="169"/>
        <v>0</v>
      </c>
      <c r="H149" s="1218">
        <f t="shared" si="169"/>
        <v>0</v>
      </c>
      <c r="I149" s="1218">
        <f t="shared" si="169"/>
        <v>0</v>
      </c>
      <c r="J149" s="1218">
        <f t="shared" si="169"/>
        <v>0</v>
      </c>
      <c r="K149" s="1218">
        <f t="shared" si="169"/>
        <v>208238000</v>
      </c>
      <c r="L149" s="1218">
        <f t="shared" si="169"/>
        <v>224761000</v>
      </c>
      <c r="M149" s="1218">
        <f t="shared" si="169"/>
        <v>0</v>
      </c>
      <c r="N149" s="1218">
        <f t="shared" si="169"/>
        <v>432999000</v>
      </c>
      <c r="O149" s="1218">
        <f t="shared" si="169"/>
        <v>208238000</v>
      </c>
      <c r="P149" s="1218">
        <f t="shared" si="169"/>
        <v>224761000</v>
      </c>
      <c r="Q149" s="1218">
        <f t="shared" si="169"/>
        <v>0</v>
      </c>
      <c r="R149" s="1218">
        <f t="shared" si="150"/>
        <v>432999000</v>
      </c>
      <c r="S149" s="1218"/>
      <c r="T149" s="1218"/>
      <c r="U149" s="1218"/>
      <c r="V149" s="1218">
        <f>SUM(V150:V154)</f>
        <v>0</v>
      </c>
      <c r="W149" s="1218">
        <f t="shared" ref="W149:AO149" si="170">SUM(W150:W154)</f>
        <v>0</v>
      </c>
      <c r="X149" s="1218">
        <f t="shared" si="170"/>
        <v>218676768.78999999</v>
      </c>
      <c r="Y149" s="1218">
        <f t="shared" si="170"/>
        <v>354065592</v>
      </c>
      <c r="Z149" s="1218">
        <f t="shared" si="151"/>
        <v>572742360.78999996</v>
      </c>
      <c r="AA149" s="1218">
        <f t="shared" si="152"/>
        <v>208238000</v>
      </c>
      <c r="AB149" s="1218">
        <f t="shared" si="153"/>
        <v>443437768.78999996</v>
      </c>
      <c r="AC149" s="1218">
        <f t="shared" si="154"/>
        <v>354065592</v>
      </c>
      <c r="AD149" s="1218">
        <f t="shared" si="155"/>
        <v>1005741360.79</v>
      </c>
      <c r="AE149" s="1218">
        <f t="shared" si="170"/>
        <v>191650876.61999997</v>
      </c>
      <c r="AF149" s="1218">
        <f>SUM(AF150:AF154)</f>
        <v>200394683.25999999</v>
      </c>
      <c r="AG149" s="1218">
        <f>SUM(AG150:AG154)</f>
        <v>0</v>
      </c>
      <c r="AH149" s="1218">
        <f t="shared" si="170"/>
        <v>392045559.88</v>
      </c>
      <c r="AI149" s="1218">
        <f t="shared" si="170"/>
        <v>0</v>
      </c>
      <c r="AJ149" s="1218">
        <f t="shared" si="170"/>
        <v>182387998.73000005</v>
      </c>
      <c r="AK149" s="1218">
        <f t="shared" si="170"/>
        <v>333410181.06999999</v>
      </c>
      <c r="AL149" s="1218">
        <f t="shared" si="170"/>
        <v>515798179.80000001</v>
      </c>
      <c r="AM149" s="1218">
        <f t="shared" si="170"/>
        <v>191650876.61999997</v>
      </c>
      <c r="AN149" s="1218">
        <f t="shared" si="170"/>
        <v>382782681.99000001</v>
      </c>
      <c r="AO149" s="1218">
        <f t="shared" si="170"/>
        <v>333410181.06999999</v>
      </c>
      <c r="AP149" s="1218">
        <f t="shared" si="156"/>
        <v>907843739.68000007</v>
      </c>
      <c r="AQ149" s="1218">
        <f t="shared" si="157"/>
        <v>16587123.380000025</v>
      </c>
      <c r="AR149" s="1218">
        <f t="shared" si="158"/>
        <v>60655086.799999952</v>
      </c>
      <c r="AS149" s="1218">
        <f t="shared" si="159"/>
        <v>20655410.930000007</v>
      </c>
      <c r="AT149" s="1218">
        <f t="shared" si="160"/>
        <v>97897621.109999985</v>
      </c>
      <c r="AU149" s="1219">
        <f t="shared" si="161"/>
        <v>0.92034535781173454</v>
      </c>
      <c r="AV149" s="1219">
        <f t="shared" si="162"/>
        <v>0.86321623671003866</v>
      </c>
      <c r="AW149" s="1219">
        <f t="shared" si="163"/>
        <v>0.94166219085756286</v>
      </c>
      <c r="AX149" s="1219">
        <f t="shared" si="164"/>
        <v>0.90266123585381608</v>
      </c>
      <c r="AY149" s="1218">
        <f t="shared" si="165"/>
        <v>0</v>
      </c>
      <c r="AZ149" s="1218">
        <f t="shared" si="166"/>
        <v>0</v>
      </c>
      <c r="BA149" s="1218">
        <f t="shared" si="167"/>
        <v>0</v>
      </c>
      <c r="BB149" s="1218">
        <f t="shared" si="168"/>
        <v>0</v>
      </c>
      <c r="BC149" s="125"/>
      <c r="BF149" s="105">
        <f t="shared" si="141"/>
        <v>24366316.74000001</v>
      </c>
      <c r="BQ149" s="149"/>
      <c r="BR149" s="149"/>
    </row>
    <row r="150" spans="1:74" ht="36">
      <c r="A150" s="587" t="s">
        <v>939</v>
      </c>
      <c r="B150" s="1306" t="s">
        <v>534</v>
      </c>
      <c r="C150" s="1218">
        <v>22712000</v>
      </c>
      <c r="D150" s="1218">
        <v>11770000</v>
      </c>
      <c r="E150" s="1218">
        <v>0</v>
      </c>
      <c r="F150" s="1218">
        <f t="shared" si="112"/>
        <v>34482000</v>
      </c>
      <c r="G150" s="1218"/>
      <c r="H150" s="1218"/>
      <c r="I150" s="1218"/>
      <c r="J150" s="1218">
        <f t="shared" si="113"/>
        <v>0</v>
      </c>
      <c r="K150" s="1218">
        <f t="shared" si="108"/>
        <v>22712000</v>
      </c>
      <c r="L150" s="1218">
        <f t="shared" si="109"/>
        <v>11770000</v>
      </c>
      <c r="M150" s="1218">
        <f t="shared" si="110"/>
        <v>0</v>
      </c>
      <c r="N150" s="1218">
        <f t="shared" si="111"/>
        <v>34482000</v>
      </c>
      <c r="O150" s="1218">
        <v>22712000</v>
      </c>
      <c r="P150" s="1218">
        <v>11770000</v>
      </c>
      <c r="Q150" s="1218">
        <v>0</v>
      </c>
      <c r="R150" s="1218">
        <f t="shared" si="150"/>
        <v>34482000</v>
      </c>
      <c r="S150" s="1218"/>
      <c r="T150" s="1218"/>
      <c r="U150" s="1218"/>
      <c r="V150" s="1218">
        <f t="shared" si="118"/>
        <v>0</v>
      </c>
      <c r="W150" s="1304"/>
      <c r="X150" s="1304"/>
      <c r="Y150" s="1304"/>
      <c r="Z150" s="1218">
        <f t="shared" si="151"/>
        <v>0</v>
      </c>
      <c r="AA150" s="1218">
        <f t="shared" si="152"/>
        <v>22712000</v>
      </c>
      <c r="AB150" s="1218">
        <f t="shared" si="153"/>
        <v>11770000</v>
      </c>
      <c r="AC150" s="1218">
        <f t="shared" si="154"/>
        <v>0</v>
      </c>
      <c r="AD150" s="1218">
        <f t="shared" si="155"/>
        <v>34482000</v>
      </c>
      <c r="AE150" s="1304">
        <f>+'CY (ALL FUNDS)'!J524</f>
        <v>18993930.82</v>
      </c>
      <c r="AF150" s="1304">
        <f>+'CY (ALL FUNDS)'!K524</f>
        <v>8990731.629999999</v>
      </c>
      <c r="AG150" s="1304">
        <f>+'CY (ALL FUNDS)'!L524</f>
        <v>0</v>
      </c>
      <c r="AH150" s="1218">
        <f t="shared" si="114"/>
        <v>27984662.449999999</v>
      </c>
      <c r="AI150" s="1304"/>
      <c r="AJ150" s="1304"/>
      <c r="AK150" s="1304"/>
      <c r="AL150" s="1218">
        <f t="shared" si="115"/>
        <v>0</v>
      </c>
      <c r="AM150" s="1218">
        <f t="shared" ref="AM150:AO154" si="171">+AE150+AI150</f>
        <v>18993930.82</v>
      </c>
      <c r="AN150" s="1218">
        <f t="shared" si="171"/>
        <v>8990731.629999999</v>
      </c>
      <c r="AO150" s="1218">
        <f t="shared" si="171"/>
        <v>0</v>
      </c>
      <c r="AP150" s="1218">
        <f t="shared" si="156"/>
        <v>27984662.449999999</v>
      </c>
      <c r="AQ150" s="1218">
        <f t="shared" si="157"/>
        <v>3718069.1799999997</v>
      </c>
      <c r="AR150" s="1218">
        <f t="shared" si="158"/>
        <v>2779268.370000001</v>
      </c>
      <c r="AS150" s="1218">
        <f t="shared" si="159"/>
        <v>0</v>
      </c>
      <c r="AT150" s="1218">
        <f t="shared" si="160"/>
        <v>6497337.5500000007</v>
      </c>
      <c r="AU150" s="1219">
        <f t="shared" si="161"/>
        <v>0.83629494628390277</v>
      </c>
      <c r="AV150" s="1219">
        <f t="shared" si="162"/>
        <v>0.76386844774851304</v>
      </c>
      <c r="AW150" s="1219" t="str">
        <f t="shared" si="163"/>
        <v xml:space="preserve"> </v>
      </c>
      <c r="AX150" s="1219">
        <f t="shared" si="164"/>
        <v>0.81157306565744447</v>
      </c>
      <c r="AY150" s="1218">
        <f t="shared" si="165"/>
        <v>0</v>
      </c>
      <c r="AZ150" s="1218">
        <f t="shared" si="166"/>
        <v>0</v>
      </c>
      <c r="BA150" s="1218">
        <f t="shared" si="167"/>
        <v>0</v>
      </c>
      <c r="BB150" s="1218">
        <f t="shared" si="168"/>
        <v>0</v>
      </c>
      <c r="BC150" s="125"/>
      <c r="BD150" s="105">
        <f>+AT150-'CY (ALL FUNDS)'!Q524</f>
        <v>0</v>
      </c>
      <c r="BF150" s="105">
        <f t="shared" si="141"/>
        <v>2779268.370000001</v>
      </c>
      <c r="BP150" s="1312">
        <f>+'CY (ALL FUNDS)'!F524</f>
        <v>22712000</v>
      </c>
      <c r="BQ150" s="1312">
        <f>+'CY (ALL FUNDS)'!G524</f>
        <v>11770000</v>
      </c>
      <c r="BR150" s="1312">
        <f>+'CY (ALL FUNDS)'!H524</f>
        <v>0</v>
      </c>
      <c r="BT150" s="111">
        <f t="shared" ref="BT150:BT152" si="172">+O150-BP150</f>
        <v>0</v>
      </c>
      <c r="BU150" s="111">
        <f t="shared" ref="BU150:BU152" si="173">+P150-BQ150</f>
        <v>0</v>
      </c>
      <c r="BV150" s="111">
        <f t="shared" ref="BV150:BV152" si="174">+Q150-BR150</f>
        <v>0</v>
      </c>
    </row>
    <row r="151" spans="1:74" ht="12.75">
      <c r="A151" s="587" t="s">
        <v>939</v>
      </c>
      <c r="B151" s="1307" t="s">
        <v>535</v>
      </c>
      <c r="C151" s="1218">
        <v>1943000</v>
      </c>
      <c r="D151" s="1218">
        <v>6268000</v>
      </c>
      <c r="E151" s="1218">
        <v>0</v>
      </c>
      <c r="F151" s="1218">
        <f t="shared" si="112"/>
        <v>8211000</v>
      </c>
      <c r="G151" s="1218"/>
      <c r="H151" s="1218"/>
      <c r="I151" s="1218"/>
      <c r="J151" s="1218">
        <f t="shared" si="113"/>
        <v>0</v>
      </c>
      <c r="K151" s="1218">
        <f t="shared" si="108"/>
        <v>1943000</v>
      </c>
      <c r="L151" s="1218">
        <f t="shared" si="109"/>
        <v>6268000</v>
      </c>
      <c r="M151" s="1218">
        <f t="shared" si="110"/>
        <v>0</v>
      </c>
      <c r="N151" s="1218">
        <f t="shared" si="111"/>
        <v>8211000</v>
      </c>
      <c r="O151" s="1218">
        <v>1943000</v>
      </c>
      <c r="P151" s="1218">
        <v>6268000</v>
      </c>
      <c r="Q151" s="1218">
        <v>0</v>
      </c>
      <c r="R151" s="1218">
        <f t="shared" si="150"/>
        <v>8211000</v>
      </c>
      <c r="S151" s="1218"/>
      <c r="T151" s="1218"/>
      <c r="U151" s="1218"/>
      <c r="V151" s="1218">
        <f t="shared" si="118"/>
        <v>0</v>
      </c>
      <c r="W151" s="1304"/>
      <c r="X151" s="1304"/>
      <c r="Y151" s="1304"/>
      <c r="Z151" s="1218">
        <f t="shared" si="151"/>
        <v>0</v>
      </c>
      <c r="AA151" s="1218">
        <f t="shared" si="152"/>
        <v>1943000</v>
      </c>
      <c r="AB151" s="1218">
        <f t="shared" si="153"/>
        <v>6268000</v>
      </c>
      <c r="AC151" s="1218">
        <f t="shared" si="154"/>
        <v>0</v>
      </c>
      <c r="AD151" s="1218">
        <f t="shared" si="155"/>
        <v>8211000</v>
      </c>
      <c r="AE151" s="1304">
        <f>+'CY (ALL FUNDS)'!J525</f>
        <v>1936424</v>
      </c>
      <c r="AF151" s="1304">
        <f>+'CY (ALL FUNDS)'!K525</f>
        <v>3973093.4800000004</v>
      </c>
      <c r="AG151" s="1304">
        <f>+'CY (ALL FUNDS)'!L525</f>
        <v>0</v>
      </c>
      <c r="AH151" s="1218">
        <f t="shared" si="114"/>
        <v>5909517.4800000004</v>
      </c>
      <c r="AI151" s="1304"/>
      <c r="AJ151" s="1304"/>
      <c r="AK151" s="1304"/>
      <c r="AL151" s="1218">
        <f t="shared" si="115"/>
        <v>0</v>
      </c>
      <c r="AM151" s="1218">
        <f t="shared" si="171"/>
        <v>1936424</v>
      </c>
      <c r="AN151" s="1218">
        <f t="shared" si="171"/>
        <v>3973093.4800000004</v>
      </c>
      <c r="AO151" s="1218">
        <f t="shared" si="171"/>
        <v>0</v>
      </c>
      <c r="AP151" s="1218">
        <f t="shared" si="156"/>
        <v>5909517.4800000004</v>
      </c>
      <c r="AQ151" s="1218">
        <f t="shared" si="157"/>
        <v>6576</v>
      </c>
      <c r="AR151" s="1218">
        <f t="shared" si="158"/>
        <v>2294906.5199999996</v>
      </c>
      <c r="AS151" s="1218">
        <f t="shared" si="159"/>
        <v>0</v>
      </c>
      <c r="AT151" s="1218">
        <f t="shared" si="160"/>
        <v>2301482.5199999996</v>
      </c>
      <c r="AU151" s="1219">
        <f t="shared" si="161"/>
        <v>0.99661554297478128</v>
      </c>
      <c r="AV151" s="1219">
        <f t="shared" si="162"/>
        <v>0.6338694128908744</v>
      </c>
      <c r="AW151" s="1219" t="str">
        <f t="shared" si="163"/>
        <v xml:space="preserve"> </v>
      </c>
      <c r="AX151" s="1219">
        <f t="shared" si="164"/>
        <v>0.71970740226525398</v>
      </c>
      <c r="AY151" s="1218">
        <f t="shared" si="165"/>
        <v>0</v>
      </c>
      <c r="AZ151" s="1218">
        <f t="shared" si="166"/>
        <v>0</v>
      </c>
      <c r="BA151" s="1218">
        <f t="shared" si="167"/>
        <v>0</v>
      </c>
      <c r="BB151" s="1218">
        <f t="shared" si="168"/>
        <v>0</v>
      </c>
      <c r="BC151" s="125"/>
      <c r="BD151" s="105">
        <f>+AT151-'CY (ALL FUNDS)'!Q525</f>
        <v>0</v>
      </c>
      <c r="BF151" s="105">
        <f t="shared" si="141"/>
        <v>2294906.5199999996</v>
      </c>
      <c r="BP151" s="1312">
        <f>+'CY (ALL FUNDS)'!F525</f>
        <v>1943000</v>
      </c>
      <c r="BQ151" s="1312">
        <f>+'CY (ALL FUNDS)'!G525</f>
        <v>6268000</v>
      </c>
      <c r="BR151" s="1312">
        <f>+'CY (ALL FUNDS)'!H525</f>
        <v>0</v>
      </c>
      <c r="BT151" s="111">
        <f t="shared" si="172"/>
        <v>0</v>
      </c>
      <c r="BU151" s="111">
        <f t="shared" si="173"/>
        <v>0</v>
      </c>
      <c r="BV151" s="111">
        <f t="shared" si="174"/>
        <v>0</v>
      </c>
    </row>
    <row r="152" spans="1:74" ht="36">
      <c r="A152" s="587" t="s">
        <v>939</v>
      </c>
      <c r="B152" s="1306" t="s">
        <v>536</v>
      </c>
      <c r="C152" s="1218">
        <v>55694000</v>
      </c>
      <c r="D152" s="1218">
        <v>159877000</v>
      </c>
      <c r="E152" s="1218">
        <v>0</v>
      </c>
      <c r="F152" s="1218">
        <f t="shared" si="112"/>
        <v>215571000</v>
      </c>
      <c r="G152" s="1218"/>
      <c r="H152" s="1218"/>
      <c r="I152" s="1218"/>
      <c r="J152" s="1218">
        <f t="shared" si="113"/>
        <v>0</v>
      </c>
      <c r="K152" s="1218">
        <f t="shared" si="108"/>
        <v>55694000</v>
      </c>
      <c r="L152" s="1218">
        <f t="shared" si="109"/>
        <v>159877000</v>
      </c>
      <c r="M152" s="1218">
        <f t="shared" si="110"/>
        <v>0</v>
      </c>
      <c r="N152" s="1218">
        <f t="shared" si="111"/>
        <v>215571000</v>
      </c>
      <c r="O152" s="1218">
        <v>55694000</v>
      </c>
      <c r="P152" s="1218">
        <v>159877000</v>
      </c>
      <c r="Q152" s="1218">
        <v>0</v>
      </c>
      <c r="R152" s="1218">
        <f t="shared" si="150"/>
        <v>215571000</v>
      </c>
      <c r="S152" s="1218"/>
      <c r="T152" s="1218"/>
      <c r="U152" s="1218"/>
      <c r="V152" s="1218">
        <f t="shared" si="118"/>
        <v>0</v>
      </c>
      <c r="W152" s="1304">
        <f>+'CY (ALL FUNDS)'!F527</f>
        <v>0</v>
      </c>
      <c r="X152" s="1304">
        <f>+'CY (ALL FUNDS)'!G527</f>
        <v>194791768.78999999</v>
      </c>
      <c r="Y152" s="1304">
        <f>+'CY (ALL FUNDS)'!H527</f>
        <v>309065592</v>
      </c>
      <c r="Z152" s="1218">
        <f t="shared" si="151"/>
        <v>503857360.78999996</v>
      </c>
      <c r="AA152" s="1218">
        <f t="shared" si="152"/>
        <v>55694000</v>
      </c>
      <c r="AB152" s="1218">
        <f t="shared" si="153"/>
        <v>354668768.78999996</v>
      </c>
      <c r="AC152" s="1218">
        <f t="shared" si="154"/>
        <v>309065592</v>
      </c>
      <c r="AD152" s="1218">
        <f t="shared" si="155"/>
        <v>719428360.78999996</v>
      </c>
      <c r="AE152" s="1304">
        <f>+'CY (ALL FUNDS)'!J526</f>
        <v>53071846.560000002</v>
      </c>
      <c r="AF152" s="1304">
        <f>+'CY (ALL FUNDS)'!K526</f>
        <v>146921672.97</v>
      </c>
      <c r="AG152" s="1304">
        <f>+'CY (ALL FUNDS)'!L526</f>
        <v>0</v>
      </c>
      <c r="AH152" s="1218">
        <f t="shared" si="114"/>
        <v>199993519.53</v>
      </c>
      <c r="AI152" s="1304">
        <f>+'CY (ALL FUNDS)'!J527</f>
        <v>0</v>
      </c>
      <c r="AJ152" s="1304">
        <f>+'CY (ALL FUNDS)'!K527</f>
        <v>166558129.52000004</v>
      </c>
      <c r="AK152" s="1304">
        <f>+'CY (ALL FUNDS)'!L527</f>
        <v>288424376.06999999</v>
      </c>
      <c r="AL152" s="1218">
        <f t="shared" si="115"/>
        <v>454982505.59000003</v>
      </c>
      <c r="AM152" s="1218">
        <f t="shared" si="171"/>
        <v>53071846.560000002</v>
      </c>
      <c r="AN152" s="1218">
        <f t="shared" si="171"/>
        <v>313479802.49000001</v>
      </c>
      <c r="AO152" s="1218">
        <f t="shared" si="171"/>
        <v>288424376.06999999</v>
      </c>
      <c r="AP152" s="1218">
        <f t="shared" si="156"/>
        <v>654976025.12</v>
      </c>
      <c r="AQ152" s="1218">
        <f t="shared" si="157"/>
        <v>2622153.4399999976</v>
      </c>
      <c r="AR152" s="1218">
        <f t="shared" si="158"/>
        <v>41188966.299999952</v>
      </c>
      <c r="AS152" s="1218">
        <f t="shared" si="159"/>
        <v>20641215.930000007</v>
      </c>
      <c r="AT152" s="1218">
        <f t="shared" si="160"/>
        <v>64452335.669999957</v>
      </c>
      <c r="AU152" s="1219">
        <f t="shared" si="161"/>
        <v>0.95291856501598027</v>
      </c>
      <c r="AV152" s="1219">
        <f t="shared" si="162"/>
        <v>0.88386638485107771</v>
      </c>
      <c r="AW152" s="1219">
        <f t="shared" si="163"/>
        <v>0.9332141252074414</v>
      </c>
      <c r="AX152" s="1219">
        <f t="shared" si="164"/>
        <v>0.91041173912128615</v>
      </c>
      <c r="AY152" s="1218">
        <f t="shared" si="165"/>
        <v>0</v>
      </c>
      <c r="AZ152" s="1218">
        <f t="shared" si="166"/>
        <v>0</v>
      </c>
      <c r="BA152" s="1218">
        <f t="shared" si="167"/>
        <v>0</v>
      </c>
      <c r="BB152" s="1218">
        <f t="shared" si="168"/>
        <v>0</v>
      </c>
      <c r="BC152" s="125"/>
      <c r="BD152" s="105">
        <f>+AT152-'CY (ALL FUNDS)'!Q526-'CY (ALL FUNDS)'!Q527</f>
        <v>0</v>
      </c>
      <c r="BF152" s="105">
        <f t="shared" si="141"/>
        <v>12955327.030000001</v>
      </c>
      <c r="BP152" s="1312">
        <f>+'CY (ALL FUNDS)'!F526</f>
        <v>55694000</v>
      </c>
      <c r="BQ152" s="1312">
        <f>+'CY (ALL FUNDS)'!G526</f>
        <v>159877000</v>
      </c>
      <c r="BR152" s="1312">
        <f>+'CY (ALL FUNDS)'!H526</f>
        <v>0</v>
      </c>
      <c r="BT152" s="111">
        <f t="shared" si="172"/>
        <v>0</v>
      </c>
      <c r="BU152" s="111">
        <f t="shared" si="173"/>
        <v>0</v>
      </c>
      <c r="BV152" s="111">
        <f t="shared" si="174"/>
        <v>0</v>
      </c>
    </row>
    <row r="153" spans="1:74" ht="12.75">
      <c r="A153" s="587" t="s">
        <v>939</v>
      </c>
      <c r="B153" s="1307" t="s">
        <v>537</v>
      </c>
      <c r="C153" s="1218"/>
      <c r="D153" s="1218"/>
      <c r="E153" s="1218"/>
      <c r="F153" s="1218">
        <f t="shared" si="112"/>
        <v>0</v>
      </c>
      <c r="G153" s="1218"/>
      <c r="H153" s="1218"/>
      <c r="I153" s="1218"/>
      <c r="J153" s="1218">
        <f t="shared" si="113"/>
        <v>0</v>
      </c>
      <c r="K153" s="1218">
        <f t="shared" si="108"/>
        <v>0</v>
      </c>
      <c r="L153" s="1218">
        <f t="shared" si="109"/>
        <v>0</v>
      </c>
      <c r="M153" s="1218">
        <f t="shared" si="110"/>
        <v>0</v>
      </c>
      <c r="N153" s="1218">
        <f t="shared" si="111"/>
        <v>0</v>
      </c>
      <c r="O153" s="1218"/>
      <c r="P153" s="1218"/>
      <c r="Q153" s="1218"/>
      <c r="R153" s="1218">
        <f t="shared" si="150"/>
        <v>0</v>
      </c>
      <c r="S153" s="1218"/>
      <c r="T153" s="1218"/>
      <c r="U153" s="1218"/>
      <c r="V153" s="1218">
        <f t="shared" si="118"/>
        <v>0</v>
      </c>
      <c r="W153" s="1304"/>
      <c r="X153" s="1304"/>
      <c r="Y153" s="1304"/>
      <c r="Z153" s="1218">
        <f t="shared" si="151"/>
        <v>0</v>
      </c>
      <c r="AA153" s="1218">
        <f t="shared" si="152"/>
        <v>0</v>
      </c>
      <c r="AB153" s="1218">
        <f t="shared" si="153"/>
        <v>0</v>
      </c>
      <c r="AC153" s="1218">
        <f t="shared" si="154"/>
        <v>0</v>
      </c>
      <c r="AD153" s="1218">
        <f t="shared" si="155"/>
        <v>0</v>
      </c>
      <c r="AE153" s="1304"/>
      <c r="AF153" s="1304"/>
      <c r="AG153" s="1304"/>
      <c r="AH153" s="1218">
        <f t="shared" si="114"/>
        <v>0</v>
      </c>
      <c r="AI153" s="1304"/>
      <c r="AJ153" s="1304"/>
      <c r="AK153" s="1304"/>
      <c r="AL153" s="1218">
        <f t="shared" si="115"/>
        <v>0</v>
      </c>
      <c r="AM153" s="1218">
        <f t="shared" si="171"/>
        <v>0</v>
      </c>
      <c r="AN153" s="1218">
        <f t="shared" si="171"/>
        <v>0</v>
      </c>
      <c r="AO153" s="1218">
        <f t="shared" si="171"/>
        <v>0</v>
      </c>
      <c r="AP153" s="1218">
        <f t="shared" si="156"/>
        <v>0</v>
      </c>
      <c r="AQ153" s="1218">
        <f t="shared" si="157"/>
        <v>0</v>
      </c>
      <c r="AR153" s="1218">
        <f t="shared" si="158"/>
        <v>0</v>
      </c>
      <c r="AS153" s="1218">
        <f t="shared" si="159"/>
        <v>0</v>
      </c>
      <c r="AT153" s="1218">
        <f t="shared" si="160"/>
        <v>0</v>
      </c>
      <c r="AU153" s="1219" t="str">
        <f t="shared" si="161"/>
        <v xml:space="preserve"> </v>
      </c>
      <c r="AV153" s="1219" t="str">
        <f t="shared" si="162"/>
        <v xml:space="preserve"> </v>
      </c>
      <c r="AW153" s="1219" t="str">
        <f t="shared" si="163"/>
        <v xml:space="preserve"> </v>
      </c>
      <c r="AX153" s="1219" t="str">
        <f t="shared" si="164"/>
        <v xml:space="preserve"> </v>
      </c>
      <c r="AY153" s="1218">
        <f t="shared" si="165"/>
        <v>0</v>
      </c>
      <c r="AZ153" s="1218">
        <f t="shared" si="166"/>
        <v>0</v>
      </c>
      <c r="BA153" s="1218">
        <f t="shared" si="167"/>
        <v>0</v>
      </c>
      <c r="BB153" s="1218">
        <f t="shared" si="168"/>
        <v>0</v>
      </c>
      <c r="BC153" s="125"/>
      <c r="BF153" s="105">
        <f t="shared" si="141"/>
        <v>0</v>
      </c>
      <c r="BP153" s="1312"/>
      <c r="BQ153" s="1312"/>
      <c r="BR153" s="1312"/>
    </row>
    <row r="154" spans="1:74" ht="24">
      <c r="A154" s="587" t="s">
        <v>939</v>
      </c>
      <c r="B154" s="1308" t="s">
        <v>558</v>
      </c>
      <c r="C154" s="1218">
        <v>127889000</v>
      </c>
      <c r="D154" s="1218">
        <v>46846000</v>
      </c>
      <c r="E154" s="1218">
        <v>0</v>
      </c>
      <c r="F154" s="1218">
        <f t="shared" si="112"/>
        <v>174735000</v>
      </c>
      <c r="G154" s="1218"/>
      <c r="H154" s="1218"/>
      <c r="I154" s="1218"/>
      <c r="J154" s="1218">
        <f t="shared" si="113"/>
        <v>0</v>
      </c>
      <c r="K154" s="1218">
        <f t="shared" si="108"/>
        <v>127889000</v>
      </c>
      <c r="L154" s="1218">
        <f t="shared" si="109"/>
        <v>46846000</v>
      </c>
      <c r="M154" s="1218">
        <f t="shared" si="110"/>
        <v>0</v>
      </c>
      <c r="N154" s="1218">
        <f t="shared" si="111"/>
        <v>174735000</v>
      </c>
      <c r="O154" s="1218">
        <v>127889000</v>
      </c>
      <c r="P154" s="1218">
        <v>46846000</v>
      </c>
      <c r="Q154" s="1218">
        <v>0</v>
      </c>
      <c r="R154" s="1218">
        <f t="shared" si="150"/>
        <v>174735000</v>
      </c>
      <c r="S154" s="1218"/>
      <c r="T154" s="1218"/>
      <c r="U154" s="1218"/>
      <c r="V154" s="1218">
        <f t="shared" si="118"/>
        <v>0</v>
      </c>
      <c r="W154" s="1304">
        <f>+'CY (ALL FUNDS)'!F543</f>
        <v>0</v>
      </c>
      <c r="X154" s="1304">
        <f>+'CY (ALL FUNDS)'!G543</f>
        <v>23885000</v>
      </c>
      <c r="Y154" s="1304">
        <f>+'CY (ALL FUNDS)'!H543</f>
        <v>45000000</v>
      </c>
      <c r="Z154" s="1218">
        <f t="shared" si="151"/>
        <v>68885000</v>
      </c>
      <c r="AA154" s="1218">
        <f t="shared" si="152"/>
        <v>127889000</v>
      </c>
      <c r="AB154" s="1218">
        <f t="shared" si="153"/>
        <v>70731000</v>
      </c>
      <c r="AC154" s="1218">
        <f t="shared" si="154"/>
        <v>45000000</v>
      </c>
      <c r="AD154" s="1218">
        <f t="shared" si="155"/>
        <v>243620000</v>
      </c>
      <c r="AE154" s="1304">
        <f>+'CY (ALL FUNDS)'!J542</f>
        <v>117648675.23999998</v>
      </c>
      <c r="AF154" s="1304">
        <f>+'CY (ALL FUNDS)'!K542</f>
        <v>40509185.180000007</v>
      </c>
      <c r="AG154" s="1304">
        <f>+'CY (ALL FUNDS)'!L542</f>
        <v>0</v>
      </c>
      <c r="AH154" s="1218">
        <f t="shared" si="114"/>
        <v>158157860.41999999</v>
      </c>
      <c r="AI154" s="1304">
        <f>+'CY (ALL FUNDS)'!J543</f>
        <v>0</v>
      </c>
      <c r="AJ154" s="1304">
        <f>+'CY (ALL FUNDS)'!K543</f>
        <v>15829869.209999999</v>
      </c>
      <c r="AK154" s="1304">
        <f>+'CY (ALL FUNDS)'!L543</f>
        <v>44985805</v>
      </c>
      <c r="AL154" s="1218">
        <f t="shared" si="115"/>
        <v>60815674.210000001</v>
      </c>
      <c r="AM154" s="1218">
        <f t="shared" si="171"/>
        <v>117648675.23999998</v>
      </c>
      <c r="AN154" s="1218">
        <f t="shared" si="171"/>
        <v>56339054.390000008</v>
      </c>
      <c r="AO154" s="1218">
        <f t="shared" si="171"/>
        <v>44985805</v>
      </c>
      <c r="AP154" s="1218">
        <f t="shared" si="156"/>
        <v>218973534.63</v>
      </c>
      <c r="AQ154" s="1218">
        <f t="shared" si="157"/>
        <v>10240324.76000002</v>
      </c>
      <c r="AR154" s="1218">
        <f t="shared" si="158"/>
        <v>14391945.609999992</v>
      </c>
      <c r="AS154" s="1218">
        <f t="shared" si="159"/>
        <v>14195</v>
      </c>
      <c r="AT154" s="1218">
        <f t="shared" si="160"/>
        <v>24646465.370000012</v>
      </c>
      <c r="AU154" s="1219">
        <f t="shared" si="161"/>
        <v>0.91992802539702379</v>
      </c>
      <c r="AV154" s="1219">
        <f t="shared" si="162"/>
        <v>0.79652563077010097</v>
      </c>
      <c r="AW154" s="1219">
        <f t="shared" si="163"/>
        <v>0.99968455555555558</v>
      </c>
      <c r="AX154" s="1219">
        <f t="shared" si="164"/>
        <v>0.89883233983252608</v>
      </c>
      <c r="AY154" s="1218">
        <f t="shared" si="165"/>
        <v>0</v>
      </c>
      <c r="AZ154" s="1218">
        <f t="shared" si="166"/>
        <v>0</v>
      </c>
      <c r="BA154" s="1218">
        <f t="shared" si="167"/>
        <v>0</v>
      </c>
      <c r="BB154" s="1218">
        <f t="shared" si="168"/>
        <v>0</v>
      </c>
      <c r="BC154" s="125"/>
      <c r="BF154" s="105">
        <f t="shared" si="141"/>
        <v>6336814.8199999928</v>
      </c>
      <c r="BP154" s="1312">
        <f>+'CY (ALL FUNDS)'!F542</f>
        <v>127889000</v>
      </c>
      <c r="BQ154" s="1312">
        <f>+'CY (ALL FUNDS)'!G542</f>
        <v>46846000</v>
      </c>
      <c r="BR154" s="1312">
        <f>+'CY (ALL FUNDS)'!H542</f>
        <v>0</v>
      </c>
      <c r="BT154" s="111">
        <f t="shared" ref="BT154" si="175">+O154-BP154</f>
        <v>0</v>
      </c>
      <c r="BU154" s="111">
        <f t="shared" ref="BU154" si="176">+P154-BQ154</f>
        <v>0</v>
      </c>
      <c r="BV154" s="111">
        <f t="shared" ref="BV154" si="177">+Q154-BR154</f>
        <v>0</v>
      </c>
    </row>
    <row r="155" spans="1:74">
      <c r="B155" s="1310"/>
      <c r="C155" s="1218"/>
      <c r="D155" s="1218"/>
      <c r="E155" s="1218"/>
      <c r="F155" s="1218"/>
      <c r="G155" s="1218"/>
      <c r="H155" s="1218"/>
      <c r="I155" s="1218"/>
      <c r="J155" s="1218">
        <f t="shared" si="113"/>
        <v>0</v>
      </c>
      <c r="K155" s="1218">
        <f t="shared" si="108"/>
        <v>0</v>
      </c>
      <c r="L155" s="1218">
        <f t="shared" si="109"/>
        <v>0</v>
      </c>
      <c r="M155" s="1218">
        <f t="shared" si="110"/>
        <v>0</v>
      </c>
      <c r="N155" s="1218">
        <f t="shared" si="111"/>
        <v>0</v>
      </c>
      <c r="O155" s="1218"/>
      <c r="P155" s="1218"/>
      <c r="Q155" s="1218"/>
      <c r="R155" s="1218">
        <f t="shared" si="150"/>
        <v>0</v>
      </c>
      <c r="S155" s="1218"/>
      <c r="T155" s="1218"/>
      <c r="U155" s="1218"/>
      <c r="V155" s="1218"/>
      <c r="W155" s="1304"/>
      <c r="X155" s="1304"/>
      <c r="Y155" s="1304"/>
      <c r="Z155" s="1218">
        <f t="shared" si="151"/>
        <v>0</v>
      </c>
      <c r="AA155" s="1218">
        <f t="shared" si="152"/>
        <v>0</v>
      </c>
      <c r="AB155" s="1218">
        <f t="shared" si="153"/>
        <v>0</v>
      </c>
      <c r="AC155" s="1218">
        <f t="shared" si="154"/>
        <v>0</v>
      </c>
      <c r="AD155" s="1218">
        <f t="shared" si="155"/>
        <v>0</v>
      </c>
      <c r="AE155" s="1304"/>
      <c r="AF155" s="1304"/>
      <c r="AG155" s="1304"/>
      <c r="AH155" s="1218"/>
      <c r="AI155" s="1304"/>
      <c r="AJ155" s="1304"/>
      <c r="AK155" s="1304"/>
      <c r="AL155" s="1218"/>
      <c r="AM155" s="1218"/>
      <c r="AN155" s="1218"/>
      <c r="AO155" s="1218"/>
      <c r="AP155" s="1218">
        <f t="shared" si="156"/>
        <v>0</v>
      </c>
      <c r="AQ155" s="1218">
        <f t="shared" si="157"/>
        <v>0</v>
      </c>
      <c r="AR155" s="1218">
        <f t="shared" si="158"/>
        <v>0</v>
      </c>
      <c r="AS155" s="1218">
        <f t="shared" si="159"/>
        <v>0</v>
      </c>
      <c r="AT155" s="1218">
        <f t="shared" si="160"/>
        <v>0</v>
      </c>
      <c r="AU155" s="1219" t="str">
        <f t="shared" si="161"/>
        <v xml:space="preserve"> </v>
      </c>
      <c r="AV155" s="1219" t="str">
        <f t="shared" si="162"/>
        <v xml:space="preserve"> </v>
      </c>
      <c r="AW155" s="1219" t="str">
        <f t="shared" si="163"/>
        <v xml:space="preserve"> </v>
      </c>
      <c r="AX155" s="1219" t="str">
        <f t="shared" si="164"/>
        <v xml:space="preserve"> </v>
      </c>
      <c r="AY155" s="1218">
        <f t="shared" si="165"/>
        <v>0</v>
      </c>
      <c r="AZ155" s="1218">
        <f t="shared" si="166"/>
        <v>0</v>
      </c>
      <c r="BA155" s="1218">
        <f t="shared" si="167"/>
        <v>0</v>
      </c>
      <c r="BB155" s="1218">
        <f t="shared" si="168"/>
        <v>0</v>
      </c>
      <c r="BC155" s="125"/>
      <c r="BF155" s="105">
        <f t="shared" si="141"/>
        <v>0</v>
      </c>
      <c r="BP155" s="1312"/>
      <c r="BQ155" s="1312"/>
      <c r="BR155" s="1312"/>
    </row>
    <row r="156" spans="1:74" ht="12.75">
      <c r="A156" s="587" t="s">
        <v>939</v>
      </c>
      <c r="B156" s="1305" t="s">
        <v>31</v>
      </c>
      <c r="C156" s="1218">
        <f>SUM(C157:C162)</f>
        <v>126459000</v>
      </c>
      <c r="D156" s="1218">
        <f>SUM(D157:D162)</f>
        <v>198746000</v>
      </c>
      <c r="E156" s="1218">
        <f>SUM(E157:E162)</f>
        <v>0</v>
      </c>
      <c r="F156" s="1218">
        <f t="shared" ref="F156:W156" si="178">SUM(F157:F162)</f>
        <v>325205000</v>
      </c>
      <c r="G156" s="1218">
        <f t="shared" si="178"/>
        <v>0</v>
      </c>
      <c r="H156" s="1218">
        <f t="shared" si="178"/>
        <v>0</v>
      </c>
      <c r="I156" s="1218">
        <f t="shared" si="178"/>
        <v>0</v>
      </c>
      <c r="J156" s="1218">
        <f t="shared" si="178"/>
        <v>0</v>
      </c>
      <c r="K156" s="1218">
        <f t="shared" si="178"/>
        <v>126459000</v>
      </c>
      <c r="L156" s="1218">
        <f t="shared" si="178"/>
        <v>198746000</v>
      </c>
      <c r="M156" s="1218">
        <f t="shared" si="178"/>
        <v>0</v>
      </c>
      <c r="N156" s="1218">
        <f t="shared" si="178"/>
        <v>325205000</v>
      </c>
      <c r="O156" s="1218">
        <f t="shared" si="178"/>
        <v>126459000</v>
      </c>
      <c r="P156" s="1218">
        <f t="shared" si="178"/>
        <v>198746000</v>
      </c>
      <c r="Q156" s="1218">
        <f t="shared" si="178"/>
        <v>0</v>
      </c>
      <c r="R156" s="1218">
        <f t="shared" si="150"/>
        <v>325205000</v>
      </c>
      <c r="S156" s="1218"/>
      <c r="T156" s="1218"/>
      <c r="U156" s="1218"/>
      <c r="V156" s="1218">
        <f>SUM(V157:V162)</f>
        <v>0</v>
      </c>
      <c r="W156" s="1218">
        <f t="shared" si="178"/>
        <v>0</v>
      </c>
      <c r="X156" s="1218">
        <f t="shared" ref="X156:AO156" si="179">SUM(X157:X162)</f>
        <v>135594717</v>
      </c>
      <c r="Y156" s="1218">
        <f t="shared" si="179"/>
        <v>52000000</v>
      </c>
      <c r="Z156" s="1218">
        <f t="shared" si="151"/>
        <v>187594717</v>
      </c>
      <c r="AA156" s="1218">
        <f t="shared" si="152"/>
        <v>126459000</v>
      </c>
      <c r="AB156" s="1218">
        <f t="shared" si="153"/>
        <v>334340717</v>
      </c>
      <c r="AC156" s="1218">
        <f t="shared" si="154"/>
        <v>52000000</v>
      </c>
      <c r="AD156" s="1218">
        <f t="shared" si="155"/>
        <v>512799717</v>
      </c>
      <c r="AE156" s="1218">
        <f t="shared" si="179"/>
        <v>115210349.85000002</v>
      </c>
      <c r="AF156" s="1218">
        <f>SUM(AF157:AF162)</f>
        <v>163142673.00999999</v>
      </c>
      <c r="AG156" s="1218">
        <f>SUM(AG157:AG162)</f>
        <v>0</v>
      </c>
      <c r="AH156" s="1218">
        <f t="shared" si="179"/>
        <v>278353022.86000001</v>
      </c>
      <c r="AI156" s="1218">
        <f t="shared" si="179"/>
        <v>0</v>
      </c>
      <c r="AJ156" s="1218">
        <f t="shared" si="179"/>
        <v>106075487.45999999</v>
      </c>
      <c r="AK156" s="1218">
        <f t="shared" si="179"/>
        <v>45415000</v>
      </c>
      <c r="AL156" s="1218">
        <f t="shared" si="179"/>
        <v>151490487.45999998</v>
      </c>
      <c r="AM156" s="1218">
        <f t="shared" si="179"/>
        <v>115210349.85000002</v>
      </c>
      <c r="AN156" s="1218">
        <f t="shared" si="179"/>
        <v>269218160.46999997</v>
      </c>
      <c r="AO156" s="1218">
        <f t="shared" si="179"/>
        <v>45415000</v>
      </c>
      <c r="AP156" s="1218">
        <f t="shared" si="156"/>
        <v>429843510.31999999</v>
      </c>
      <c r="AQ156" s="1218">
        <f t="shared" si="157"/>
        <v>11248650.149999976</v>
      </c>
      <c r="AR156" s="1218">
        <f t="shared" si="158"/>
        <v>65122556.530000031</v>
      </c>
      <c r="AS156" s="1218">
        <f t="shared" si="159"/>
        <v>6585000</v>
      </c>
      <c r="AT156" s="1218">
        <f t="shared" si="160"/>
        <v>82956206.680000007</v>
      </c>
      <c r="AU156" s="1219">
        <f t="shared" si="161"/>
        <v>0.91104903446967023</v>
      </c>
      <c r="AV156" s="1219">
        <f t="shared" si="162"/>
        <v>0.8052209820139854</v>
      </c>
      <c r="AW156" s="1219">
        <f t="shared" si="163"/>
        <v>0.8733653846153846</v>
      </c>
      <c r="AX156" s="1219">
        <f t="shared" si="164"/>
        <v>0.8382288368540578</v>
      </c>
      <c r="AY156" s="1218">
        <f t="shared" si="165"/>
        <v>0</v>
      </c>
      <c r="AZ156" s="1218">
        <f t="shared" si="166"/>
        <v>0</v>
      </c>
      <c r="BA156" s="1218">
        <f t="shared" si="167"/>
        <v>0</v>
      </c>
      <c r="BB156" s="1218">
        <f t="shared" si="168"/>
        <v>0</v>
      </c>
      <c r="BC156" s="125"/>
      <c r="BF156" s="105">
        <f t="shared" si="141"/>
        <v>35603326.99000001</v>
      </c>
      <c r="BP156" s="1313"/>
      <c r="BQ156" s="1313"/>
      <c r="BR156" s="1313"/>
    </row>
    <row r="157" spans="1:74" ht="36">
      <c r="A157" s="587" t="s">
        <v>939</v>
      </c>
      <c r="B157" s="1306" t="s">
        <v>534</v>
      </c>
      <c r="C157" s="1218">
        <v>17962000</v>
      </c>
      <c r="D157" s="1218">
        <v>10339000</v>
      </c>
      <c r="E157" s="1218">
        <v>0</v>
      </c>
      <c r="F157" s="1218">
        <f t="shared" si="112"/>
        <v>28301000</v>
      </c>
      <c r="G157" s="1218"/>
      <c r="H157" s="1218"/>
      <c r="I157" s="1218"/>
      <c r="J157" s="1218">
        <f t="shared" si="113"/>
        <v>0</v>
      </c>
      <c r="K157" s="1218">
        <f t="shared" si="108"/>
        <v>17962000</v>
      </c>
      <c r="L157" s="1218">
        <f t="shared" si="109"/>
        <v>10339000</v>
      </c>
      <c r="M157" s="1218">
        <f t="shared" si="110"/>
        <v>0</v>
      </c>
      <c r="N157" s="1218">
        <f t="shared" si="111"/>
        <v>28301000</v>
      </c>
      <c r="O157" s="1218">
        <v>17962000</v>
      </c>
      <c r="P157" s="1218">
        <v>10339000</v>
      </c>
      <c r="Q157" s="1218">
        <v>0</v>
      </c>
      <c r="R157" s="1218">
        <f t="shared" si="150"/>
        <v>28301000</v>
      </c>
      <c r="S157" s="1218"/>
      <c r="T157" s="1218"/>
      <c r="U157" s="1218"/>
      <c r="V157" s="1218">
        <f t="shared" si="118"/>
        <v>0</v>
      </c>
      <c r="W157" s="1304"/>
      <c r="X157" s="1304"/>
      <c r="Y157" s="1304"/>
      <c r="Z157" s="1218">
        <f t="shared" si="151"/>
        <v>0</v>
      </c>
      <c r="AA157" s="1218">
        <f t="shared" si="152"/>
        <v>17962000</v>
      </c>
      <c r="AB157" s="1218">
        <f t="shared" si="153"/>
        <v>10339000</v>
      </c>
      <c r="AC157" s="1218">
        <f t="shared" si="154"/>
        <v>0</v>
      </c>
      <c r="AD157" s="1218">
        <f t="shared" si="155"/>
        <v>28301000</v>
      </c>
      <c r="AE157" s="1304">
        <f>+'CY (ALL FUNDS)'!J573</f>
        <v>16482438.110000001</v>
      </c>
      <c r="AF157" s="1304">
        <f>+'CY (ALL FUNDS)'!K573</f>
        <v>10263933.640000001</v>
      </c>
      <c r="AG157" s="1304">
        <f>+'CY (ALL FUNDS)'!L573</f>
        <v>0</v>
      </c>
      <c r="AH157" s="1218">
        <f t="shared" si="114"/>
        <v>26746371.75</v>
      </c>
      <c r="AI157" s="1304"/>
      <c r="AJ157" s="1304"/>
      <c r="AK157" s="1304"/>
      <c r="AL157" s="1218">
        <f t="shared" si="115"/>
        <v>0</v>
      </c>
      <c r="AM157" s="1218">
        <f t="shared" ref="AM157:AM162" si="180">+AE157+AI157</f>
        <v>16482438.110000001</v>
      </c>
      <c r="AN157" s="1218">
        <f t="shared" ref="AN157:AN162" si="181">+AF157+AJ157</f>
        <v>10263933.640000001</v>
      </c>
      <c r="AO157" s="1218">
        <f t="shared" ref="AO157:AO162" si="182">+AG157+AK157</f>
        <v>0</v>
      </c>
      <c r="AP157" s="1218">
        <f t="shared" si="156"/>
        <v>26746371.75</v>
      </c>
      <c r="AQ157" s="1218">
        <f t="shared" si="157"/>
        <v>1479561.8899999987</v>
      </c>
      <c r="AR157" s="1218">
        <f t="shared" si="158"/>
        <v>75066.359999999404</v>
      </c>
      <c r="AS157" s="1218">
        <f t="shared" si="159"/>
        <v>0</v>
      </c>
      <c r="AT157" s="1218">
        <f t="shared" si="160"/>
        <v>1554628.2499999981</v>
      </c>
      <c r="AU157" s="1219">
        <f t="shared" si="161"/>
        <v>0.91762822124485033</v>
      </c>
      <c r="AV157" s="1219">
        <f t="shared" si="162"/>
        <v>0.99273949511558179</v>
      </c>
      <c r="AW157" s="1219" t="str">
        <f t="shared" si="163"/>
        <v xml:space="preserve"> </v>
      </c>
      <c r="AX157" s="1219">
        <f t="shared" si="164"/>
        <v>0.94506808063319314</v>
      </c>
      <c r="AY157" s="1218">
        <f t="shared" si="165"/>
        <v>0</v>
      </c>
      <c r="AZ157" s="1218">
        <f t="shared" si="166"/>
        <v>0</v>
      </c>
      <c r="BA157" s="1218">
        <f t="shared" si="167"/>
        <v>0</v>
      </c>
      <c r="BB157" s="1218">
        <f t="shared" si="168"/>
        <v>0</v>
      </c>
      <c r="BC157" s="125"/>
      <c r="BD157" s="105">
        <f>+AT157-'CY (ALL FUNDS)'!Q573</f>
        <v>0</v>
      </c>
      <c r="BF157" s="105">
        <f t="shared" si="141"/>
        <v>75066.359999999404</v>
      </c>
      <c r="BP157" s="1312">
        <f>+'CY (ALL FUNDS)'!F573</f>
        <v>17962000</v>
      </c>
      <c r="BQ157" s="1312">
        <f>+'CY (ALL FUNDS)'!G573</f>
        <v>10339000</v>
      </c>
      <c r="BR157" s="1312">
        <f>+'CY (ALL FUNDS)'!H573</f>
        <v>0</v>
      </c>
      <c r="BT157" s="111">
        <f t="shared" ref="BT157:BT159" si="183">+O157-BP157</f>
        <v>0</v>
      </c>
      <c r="BU157" s="111">
        <f t="shared" ref="BU157:BU159" si="184">+P157-BQ157</f>
        <v>0</v>
      </c>
      <c r="BV157" s="111">
        <f t="shared" ref="BV157:BV159" si="185">+Q157-BR157</f>
        <v>0</v>
      </c>
    </row>
    <row r="158" spans="1:74" ht="12.75">
      <c r="A158" s="587" t="s">
        <v>939</v>
      </c>
      <c r="B158" s="1307" t="s">
        <v>535</v>
      </c>
      <c r="C158" s="1218">
        <v>776000</v>
      </c>
      <c r="D158" s="1218">
        <v>5176000</v>
      </c>
      <c r="E158" s="1218">
        <v>0</v>
      </c>
      <c r="F158" s="1218">
        <f t="shared" si="112"/>
        <v>5952000</v>
      </c>
      <c r="G158" s="1218"/>
      <c r="H158" s="1218"/>
      <c r="I158" s="1218"/>
      <c r="J158" s="1218">
        <f t="shared" si="113"/>
        <v>0</v>
      </c>
      <c r="K158" s="1218">
        <f t="shared" si="108"/>
        <v>776000</v>
      </c>
      <c r="L158" s="1218">
        <f t="shared" si="109"/>
        <v>5176000</v>
      </c>
      <c r="M158" s="1218">
        <f t="shared" si="110"/>
        <v>0</v>
      </c>
      <c r="N158" s="1218">
        <f t="shared" si="111"/>
        <v>5952000</v>
      </c>
      <c r="O158" s="1218">
        <v>776000</v>
      </c>
      <c r="P158" s="1218">
        <v>5176000</v>
      </c>
      <c r="Q158" s="1218">
        <v>0</v>
      </c>
      <c r="R158" s="1218">
        <f t="shared" si="150"/>
        <v>5952000</v>
      </c>
      <c r="S158" s="1218"/>
      <c r="T158" s="1218"/>
      <c r="U158" s="1218"/>
      <c r="V158" s="1218">
        <f t="shared" si="118"/>
        <v>0</v>
      </c>
      <c r="W158" s="1304"/>
      <c r="X158" s="1304"/>
      <c r="Y158" s="1304"/>
      <c r="Z158" s="1218">
        <f t="shared" si="151"/>
        <v>0</v>
      </c>
      <c r="AA158" s="1218">
        <f t="shared" si="152"/>
        <v>776000</v>
      </c>
      <c r="AB158" s="1218">
        <f t="shared" si="153"/>
        <v>5176000</v>
      </c>
      <c r="AC158" s="1218">
        <f t="shared" si="154"/>
        <v>0</v>
      </c>
      <c r="AD158" s="1218">
        <f t="shared" si="155"/>
        <v>5952000</v>
      </c>
      <c r="AE158" s="1304">
        <f>+'CY (ALL FUNDS)'!J574</f>
        <v>743846.2</v>
      </c>
      <c r="AF158" s="1304">
        <f>+'CY (ALL FUNDS)'!K574</f>
        <v>3111765.73</v>
      </c>
      <c r="AG158" s="1304">
        <f>+'CY (ALL FUNDS)'!L574</f>
        <v>0</v>
      </c>
      <c r="AH158" s="1218">
        <f t="shared" si="114"/>
        <v>3855611.9299999997</v>
      </c>
      <c r="AI158" s="1304"/>
      <c r="AJ158" s="1304"/>
      <c r="AK158" s="1304"/>
      <c r="AL158" s="1218">
        <f t="shared" si="115"/>
        <v>0</v>
      </c>
      <c r="AM158" s="1218">
        <f t="shared" si="180"/>
        <v>743846.2</v>
      </c>
      <c r="AN158" s="1218">
        <f t="shared" si="181"/>
        <v>3111765.73</v>
      </c>
      <c r="AO158" s="1218">
        <f t="shared" si="182"/>
        <v>0</v>
      </c>
      <c r="AP158" s="1218">
        <f t="shared" si="156"/>
        <v>3855611.9299999997</v>
      </c>
      <c r="AQ158" s="1218">
        <f t="shared" si="157"/>
        <v>32153.800000000047</v>
      </c>
      <c r="AR158" s="1218">
        <f t="shared" si="158"/>
        <v>2064234.27</v>
      </c>
      <c r="AS158" s="1218">
        <f t="shared" si="159"/>
        <v>0</v>
      </c>
      <c r="AT158" s="1218">
        <f t="shared" si="160"/>
        <v>2096388.07</v>
      </c>
      <c r="AU158" s="1219">
        <f t="shared" si="161"/>
        <v>0.9585646907216494</v>
      </c>
      <c r="AV158" s="1219">
        <f t="shared" si="162"/>
        <v>0.60119121522411123</v>
      </c>
      <c r="AW158" s="1219" t="str">
        <f t="shared" si="163"/>
        <v xml:space="preserve"> </v>
      </c>
      <c r="AX158" s="1219">
        <f t="shared" si="164"/>
        <v>0.64778426243279563</v>
      </c>
      <c r="AY158" s="1218">
        <f t="shared" si="165"/>
        <v>0</v>
      </c>
      <c r="AZ158" s="1218">
        <f t="shared" si="166"/>
        <v>0</v>
      </c>
      <c r="BA158" s="1218">
        <f t="shared" si="167"/>
        <v>0</v>
      </c>
      <c r="BB158" s="1218">
        <f t="shared" si="168"/>
        <v>0</v>
      </c>
      <c r="BC158" s="125"/>
      <c r="BD158" s="105">
        <f>+AT158-'CY (ALL FUNDS)'!Q574</f>
        <v>0</v>
      </c>
      <c r="BF158" s="105">
        <f t="shared" si="141"/>
        <v>2064234.27</v>
      </c>
      <c r="BP158" s="1312">
        <f>+'CY (ALL FUNDS)'!F574</f>
        <v>776000</v>
      </c>
      <c r="BQ158" s="1312">
        <f>+'CY (ALL FUNDS)'!G574</f>
        <v>5176000</v>
      </c>
      <c r="BR158" s="1312">
        <f>+'CY (ALL FUNDS)'!H574</f>
        <v>0</v>
      </c>
      <c r="BT158" s="111">
        <f t="shared" si="183"/>
        <v>0</v>
      </c>
      <c r="BU158" s="111">
        <f t="shared" si="184"/>
        <v>0</v>
      </c>
      <c r="BV158" s="111">
        <f t="shared" si="185"/>
        <v>0</v>
      </c>
    </row>
    <row r="159" spans="1:74" ht="36">
      <c r="A159" s="587" t="s">
        <v>939</v>
      </c>
      <c r="B159" s="1306" t="s">
        <v>536</v>
      </c>
      <c r="C159" s="1218">
        <v>38311000</v>
      </c>
      <c r="D159" s="1218">
        <v>146336000</v>
      </c>
      <c r="E159" s="1218">
        <v>0</v>
      </c>
      <c r="F159" s="1218">
        <f t="shared" si="112"/>
        <v>184647000</v>
      </c>
      <c r="G159" s="1218"/>
      <c r="H159" s="1218"/>
      <c r="I159" s="1218"/>
      <c r="J159" s="1218">
        <f t="shared" si="113"/>
        <v>0</v>
      </c>
      <c r="K159" s="1218">
        <f t="shared" si="108"/>
        <v>38311000</v>
      </c>
      <c r="L159" s="1218">
        <f t="shared" si="109"/>
        <v>146336000</v>
      </c>
      <c r="M159" s="1218">
        <f t="shared" si="110"/>
        <v>0</v>
      </c>
      <c r="N159" s="1218">
        <f t="shared" si="111"/>
        <v>184647000</v>
      </c>
      <c r="O159" s="1218">
        <v>38311000</v>
      </c>
      <c r="P159" s="1218">
        <v>146336000</v>
      </c>
      <c r="Q159" s="1218">
        <v>0</v>
      </c>
      <c r="R159" s="1218">
        <f t="shared" si="150"/>
        <v>184647000</v>
      </c>
      <c r="S159" s="1218"/>
      <c r="T159" s="1218"/>
      <c r="U159" s="1218"/>
      <c r="V159" s="1218">
        <f t="shared" si="118"/>
        <v>0</v>
      </c>
      <c r="W159" s="1304">
        <f>+'CY (ALL FUNDS)'!F576</f>
        <v>0</v>
      </c>
      <c r="X159" s="1304">
        <f>+'CY (ALL FUNDS)'!G576</f>
        <v>124048717</v>
      </c>
      <c r="Y159" s="1304">
        <f>+'CY (ALL FUNDS)'!H576</f>
        <v>22000000</v>
      </c>
      <c r="Z159" s="1218">
        <f t="shared" si="151"/>
        <v>146048717</v>
      </c>
      <c r="AA159" s="1218">
        <f t="shared" si="152"/>
        <v>38311000</v>
      </c>
      <c r="AB159" s="1218">
        <f t="shared" si="153"/>
        <v>270384717</v>
      </c>
      <c r="AC159" s="1218">
        <f t="shared" si="154"/>
        <v>22000000</v>
      </c>
      <c r="AD159" s="1218">
        <f t="shared" si="155"/>
        <v>330695717</v>
      </c>
      <c r="AE159" s="1304">
        <f>+'CY (ALL FUNDS)'!J575</f>
        <v>34521291.310000002</v>
      </c>
      <c r="AF159" s="1304">
        <f>+'CY (ALL FUNDS)'!K575</f>
        <v>119582493.75</v>
      </c>
      <c r="AG159" s="1304">
        <f>+'CY (ALL FUNDS)'!L575</f>
        <v>0</v>
      </c>
      <c r="AH159" s="1218">
        <f t="shared" si="114"/>
        <v>154103785.06</v>
      </c>
      <c r="AI159" s="1304">
        <f>+'CY (ALL FUNDS)'!J576</f>
        <v>0</v>
      </c>
      <c r="AJ159" s="1304">
        <f>+'CY (ALL FUNDS)'!K576</f>
        <v>96803491.879999995</v>
      </c>
      <c r="AK159" s="1304">
        <f>+'CY (ALL FUNDS)'!L576</f>
        <v>15500000</v>
      </c>
      <c r="AL159" s="1218">
        <f t="shared" si="115"/>
        <v>112303491.88</v>
      </c>
      <c r="AM159" s="1218">
        <f t="shared" si="180"/>
        <v>34521291.310000002</v>
      </c>
      <c r="AN159" s="1218">
        <f t="shared" si="181"/>
        <v>216385985.63</v>
      </c>
      <c r="AO159" s="1218">
        <f t="shared" si="182"/>
        <v>15500000</v>
      </c>
      <c r="AP159" s="1218">
        <f t="shared" si="156"/>
        <v>266407276.94</v>
      </c>
      <c r="AQ159" s="1218">
        <f t="shared" si="157"/>
        <v>3789708.6899999976</v>
      </c>
      <c r="AR159" s="1218">
        <f t="shared" si="158"/>
        <v>53998731.370000005</v>
      </c>
      <c r="AS159" s="1218">
        <f t="shared" si="159"/>
        <v>6500000</v>
      </c>
      <c r="AT159" s="1218">
        <f t="shared" si="160"/>
        <v>64288440.060000002</v>
      </c>
      <c r="AU159" s="1219">
        <f t="shared" si="161"/>
        <v>0.90108040275638857</v>
      </c>
      <c r="AV159" s="1219">
        <f t="shared" si="162"/>
        <v>0.80028926202215789</v>
      </c>
      <c r="AW159" s="1219">
        <f t="shared" si="163"/>
        <v>0.70454545454545459</v>
      </c>
      <c r="AX159" s="1219">
        <f t="shared" si="164"/>
        <v>0.80559639343620526</v>
      </c>
      <c r="AY159" s="1218">
        <f t="shared" si="165"/>
        <v>0</v>
      </c>
      <c r="AZ159" s="1218">
        <f t="shared" si="166"/>
        <v>0</v>
      </c>
      <c r="BA159" s="1218">
        <f t="shared" si="167"/>
        <v>0</v>
      </c>
      <c r="BB159" s="1218">
        <f t="shared" si="168"/>
        <v>0</v>
      </c>
      <c r="BC159" s="125"/>
      <c r="BD159" s="105">
        <f>+AT159-'CY (ALL FUNDS)'!Q575-'CY (ALL FUNDS)'!Q576</f>
        <v>0</v>
      </c>
      <c r="BF159" s="105">
        <f t="shared" si="141"/>
        <v>26753506.25</v>
      </c>
      <c r="BP159" s="1312">
        <f>+'CY (ALL FUNDS)'!F575</f>
        <v>38311000</v>
      </c>
      <c r="BQ159" s="1312">
        <f>+'CY (ALL FUNDS)'!G575</f>
        <v>146336000</v>
      </c>
      <c r="BR159" s="1312">
        <f>+'CY (ALL FUNDS)'!H575</f>
        <v>0</v>
      </c>
      <c r="BT159" s="111">
        <f t="shared" si="183"/>
        <v>0</v>
      </c>
      <c r="BU159" s="111">
        <f t="shared" si="184"/>
        <v>0</v>
      </c>
      <c r="BV159" s="111">
        <f t="shared" si="185"/>
        <v>0</v>
      </c>
    </row>
    <row r="160" spans="1:74" ht="12.75">
      <c r="A160" s="587" t="s">
        <v>939</v>
      </c>
      <c r="B160" s="1307" t="s">
        <v>537</v>
      </c>
      <c r="C160" s="1218">
        <v>0</v>
      </c>
      <c r="D160" s="1218">
        <v>0</v>
      </c>
      <c r="E160" s="1218">
        <v>0</v>
      </c>
      <c r="F160" s="1218">
        <f t="shared" si="112"/>
        <v>0</v>
      </c>
      <c r="G160" s="1218"/>
      <c r="H160" s="1218"/>
      <c r="I160" s="1218"/>
      <c r="J160" s="1218">
        <f t="shared" si="113"/>
        <v>0</v>
      </c>
      <c r="K160" s="1218">
        <f t="shared" si="108"/>
        <v>0</v>
      </c>
      <c r="L160" s="1218">
        <f t="shared" si="109"/>
        <v>0</v>
      </c>
      <c r="M160" s="1218">
        <f t="shared" si="110"/>
        <v>0</v>
      </c>
      <c r="N160" s="1218">
        <f t="shared" si="111"/>
        <v>0</v>
      </c>
      <c r="O160" s="1218">
        <v>0</v>
      </c>
      <c r="P160" s="1218">
        <v>0</v>
      </c>
      <c r="Q160" s="1218">
        <v>0</v>
      </c>
      <c r="R160" s="1218">
        <f t="shared" si="150"/>
        <v>0</v>
      </c>
      <c r="S160" s="1218"/>
      <c r="T160" s="1218"/>
      <c r="U160" s="1218"/>
      <c r="V160" s="1218">
        <f t="shared" si="118"/>
        <v>0</v>
      </c>
      <c r="W160" s="1304"/>
      <c r="X160" s="1304"/>
      <c r="Y160" s="1304"/>
      <c r="Z160" s="1218">
        <f t="shared" si="151"/>
        <v>0</v>
      </c>
      <c r="AA160" s="1218">
        <f t="shared" si="152"/>
        <v>0</v>
      </c>
      <c r="AB160" s="1218">
        <f t="shared" si="153"/>
        <v>0</v>
      </c>
      <c r="AC160" s="1218">
        <f t="shared" si="154"/>
        <v>0</v>
      </c>
      <c r="AD160" s="1218">
        <f t="shared" si="155"/>
        <v>0</v>
      </c>
      <c r="AE160" s="1304"/>
      <c r="AF160" s="1304"/>
      <c r="AG160" s="1304"/>
      <c r="AH160" s="1218">
        <f t="shared" si="114"/>
        <v>0</v>
      </c>
      <c r="AI160" s="1304"/>
      <c r="AJ160" s="1304"/>
      <c r="AK160" s="1304"/>
      <c r="AL160" s="1218">
        <f t="shared" si="115"/>
        <v>0</v>
      </c>
      <c r="AM160" s="1218">
        <f t="shared" si="180"/>
        <v>0</v>
      </c>
      <c r="AN160" s="1218">
        <f t="shared" si="181"/>
        <v>0</v>
      </c>
      <c r="AO160" s="1218">
        <f t="shared" si="182"/>
        <v>0</v>
      </c>
      <c r="AP160" s="1218">
        <f t="shared" si="156"/>
        <v>0</v>
      </c>
      <c r="AQ160" s="1218">
        <f t="shared" si="157"/>
        <v>0</v>
      </c>
      <c r="AR160" s="1218">
        <f t="shared" si="158"/>
        <v>0</v>
      </c>
      <c r="AS160" s="1218">
        <f t="shared" si="159"/>
        <v>0</v>
      </c>
      <c r="AT160" s="1218">
        <f t="shared" si="160"/>
        <v>0</v>
      </c>
      <c r="AU160" s="1219" t="str">
        <f t="shared" si="161"/>
        <v xml:space="preserve"> </v>
      </c>
      <c r="AV160" s="1219" t="str">
        <f t="shared" si="162"/>
        <v xml:space="preserve"> </v>
      </c>
      <c r="AW160" s="1219" t="str">
        <f t="shared" si="163"/>
        <v xml:space="preserve"> </v>
      </c>
      <c r="AX160" s="1219" t="str">
        <f t="shared" si="164"/>
        <v xml:space="preserve"> </v>
      </c>
      <c r="AY160" s="1218">
        <f t="shared" si="165"/>
        <v>0</v>
      </c>
      <c r="AZ160" s="1218">
        <f t="shared" si="166"/>
        <v>0</v>
      </c>
      <c r="BA160" s="1218">
        <f t="shared" si="167"/>
        <v>0</v>
      </c>
      <c r="BB160" s="1218">
        <f t="shared" si="168"/>
        <v>0</v>
      </c>
      <c r="BC160" s="125"/>
      <c r="BF160" s="105">
        <f t="shared" si="141"/>
        <v>0</v>
      </c>
      <c r="BP160" s="1312"/>
      <c r="BQ160" s="1312"/>
      <c r="BR160" s="1312"/>
    </row>
    <row r="161" spans="1:74" ht="36">
      <c r="A161" s="587" t="s">
        <v>939</v>
      </c>
      <c r="B161" s="1308" t="s">
        <v>1105</v>
      </c>
      <c r="C161" s="1218">
        <v>44111000</v>
      </c>
      <c r="D161" s="1218">
        <v>16327000</v>
      </c>
      <c r="E161" s="1218">
        <v>0</v>
      </c>
      <c r="F161" s="1218">
        <f t="shared" si="112"/>
        <v>60438000</v>
      </c>
      <c r="G161" s="1218"/>
      <c r="H161" s="1218"/>
      <c r="I161" s="1218"/>
      <c r="J161" s="1218">
        <f t="shared" si="113"/>
        <v>0</v>
      </c>
      <c r="K161" s="1218">
        <f t="shared" si="108"/>
        <v>44111000</v>
      </c>
      <c r="L161" s="1218">
        <f t="shared" si="109"/>
        <v>16327000</v>
      </c>
      <c r="M161" s="1218">
        <f t="shared" si="110"/>
        <v>0</v>
      </c>
      <c r="N161" s="1218">
        <f t="shared" si="111"/>
        <v>60438000</v>
      </c>
      <c r="O161" s="1218">
        <v>44111000</v>
      </c>
      <c r="P161" s="1218">
        <v>16327000</v>
      </c>
      <c r="Q161" s="1218">
        <v>0</v>
      </c>
      <c r="R161" s="1218">
        <f t="shared" si="150"/>
        <v>60438000</v>
      </c>
      <c r="S161" s="1218"/>
      <c r="T161" s="1218"/>
      <c r="U161" s="1218"/>
      <c r="V161" s="1218">
        <f t="shared" si="118"/>
        <v>0</v>
      </c>
      <c r="W161" s="1304">
        <f>+'CY (ALL FUNDS)'!F592</f>
        <v>0</v>
      </c>
      <c r="X161" s="1304">
        <f>+'CY (ALL FUNDS)'!G592</f>
        <v>4898000</v>
      </c>
      <c r="Y161" s="1304">
        <f>+'CY (ALL FUNDS)'!H592</f>
        <v>0</v>
      </c>
      <c r="Z161" s="1218">
        <f t="shared" si="151"/>
        <v>4898000</v>
      </c>
      <c r="AA161" s="1218">
        <f t="shared" si="152"/>
        <v>44111000</v>
      </c>
      <c r="AB161" s="1218">
        <f t="shared" si="153"/>
        <v>21225000</v>
      </c>
      <c r="AC161" s="1218">
        <f t="shared" si="154"/>
        <v>0</v>
      </c>
      <c r="AD161" s="1218">
        <f t="shared" si="155"/>
        <v>65336000</v>
      </c>
      <c r="AE161" s="1304">
        <f>+'CY (ALL FUNDS)'!J591</f>
        <v>40870108.800000004</v>
      </c>
      <c r="AF161" s="1304">
        <f>+'CY (ALL FUNDS)'!K591</f>
        <v>15238096.57</v>
      </c>
      <c r="AG161" s="1304">
        <f>+'CY (ALL FUNDS)'!L591</f>
        <v>0</v>
      </c>
      <c r="AH161" s="1218">
        <f t="shared" si="114"/>
        <v>56108205.370000005</v>
      </c>
      <c r="AI161" s="1304">
        <f>+'CY (ALL FUNDS)'!J592</f>
        <v>0</v>
      </c>
      <c r="AJ161" s="1304">
        <f>+'CY (ALL FUNDS)'!K592</f>
        <v>3620691.19</v>
      </c>
      <c r="AK161" s="1304">
        <f>+'CY (ALL FUNDS)'!L592</f>
        <v>0</v>
      </c>
      <c r="AL161" s="1218">
        <f t="shared" si="115"/>
        <v>3620691.19</v>
      </c>
      <c r="AM161" s="1218">
        <f t="shared" si="180"/>
        <v>40870108.800000004</v>
      </c>
      <c r="AN161" s="1218">
        <f t="shared" si="181"/>
        <v>18858787.760000002</v>
      </c>
      <c r="AO161" s="1218">
        <f t="shared" si="182"/>
        <v>0</v>
      </c>
      <c r="AP161" s="1218">
        <f t="shared" si="156"/>
        <v>59728896.560000002</v>
      </c>
      <c r="AQ161" s="1218">
        <f t="shared" si="157"/>
        <v>3240891.1999999955</v>
      </c>
      <c r="AR161" s="1218">
        <f t="shared" si="158"/>
        <v>2366212.2399999984</v>
      </c>
      <c r="AS161" s="1218">
        <f t="shared" si="159"/>
        <v>0</v>
      </c>
      <c r="AT161" s="1218">
        <f t="shared" si="160"/>
        <v>5607103.4399999939</v>
      </c>
      <c r="AU161" s="1219">
        <f t="shared" si="161"/>
        <v>0.92652872979528922</v>
      </c>
      <c r="AV161" s="1219">
        <f t="shared" si="162"/>
        <v>0.8885176800942286</v>
      </c>
      <c r="AW161" s="1219" t="str">
        <f t="shared" si="163"/>
        <v xml:space="preserve"> </v>
      </c>
      <c r="AX161" s="1219">
        <f t="shared" si="164"/>
        <v>0.91418049100036736</v>
      </c>
      <c r="AY161" s="1218">
        <f t="shared" si="165"/>
        <v>0</v>
      </c>
      <c r="AZ161" s="1218">
        <f t="shared" si="166"/>
        <v>0</v>
      </c>
      <c r="BA161" s="1218">
        <f t="shared" si="167"/>
        <v>0</v>
      </c>
      <c r="BB161" s="1218">
        <f t="shared" si="168"/>
        <v>0</v>
      </c>
      <c r="BC161" s="125"/>
      <c r="BF161" s="105">
        <f t="shared" si="141"/>
        <v>1088903.4299999997</v>
      </c>
      <c r="BP161" s="1312">
        <f>+'CY (ALL FUNDS)'!F591</f>
        <v>44111000</v>
      </c>
      <c r="BQ161" s="1312">
        <f>+'CY (ALL FUNDS)'!G591</f>
        <v>16327000</v>
      </c>
      <c r="BR161" s="1312">
        <f>+'CY (ALL FUNDS)'!H591</f>
        <v>0</v>
      </c>
      <c r="BT161" s="111">
        <f t="shared" ref="BT161:BT162" si="186">+O161-BP161</f>
        <v>0</v>
      </c>
      <c r="BU161" s="111">
        <f t="shared" ref="BU161:BU162" si="187">+P161-BQ161</f>
        <v>0</v>
      </c>
      <c r="BV161" s="111">
        <f t="shared" ref="BV161:BV162" si="188">+Q161-BR161</f>
        <v>0</v>
      </c>
    </row>
    <row r="162" spans="1:74" ht="24">
      <c r="A162" s="587" t="s">
        <v>939</v>
      </c>
      <c r="B162" s="1309" t="s">
        <v>560</v>
      </c>
      <c r="C162" s="1218">
        <v>25299000</v>
      </c>
      <c r="D162" s="1218">
        <v>20568000</v>
      </c>
      <c r="E162" s="1218">
        <v>0</v>
      </c>
      <c r="F162" s="1218">
        <f t="shared" si="112"/>
        <v>45867000</v>
      </c>
      <c r="G162" s="1218"/>
      <c r="H162" s="1218"/>
      <c r="I162" s="1218"/>
      <c r="J162" s="1218">
        <f t="shared" si="113"/>
        <v>0</v>
      </c>
      <c r="K162" s="1218">
        <f t="shared" si="108"/>
        <v>25299000</v>
      </c>
      <c r="L162" s="1218">
        <f t="shared" si="109"/>
        <v>20568000</v>
      </c>
      <c r="M162" s="1218">
        <f t="shared" si="110"/>
        <v>0</v>
      </c>
      <c r="N162" s="1218">
        <f t="shared" si="111"/>
        <v>45867000</v>
      </c>
      <c r="O162" s="1218">
        <v>25299000</v>
      </c>
      <c r="P162" s="1218">
        <v>20568000</v>
      </c>
      <c r="Q162" s="1218">
        <v>0</v>
      </c>
      <c r="R162" s="1218">
        <f t="shared" si="150"/>
        <v>45867000</v>
      </c>
      <c r="S162" s="1218"/>
      <c r="T162" s="1218"/>
      <c r="U162" s="1218"/>
      <c r="V162" s="1218">
        <f t="shared" si="118"/>
        <v>0</v>
      </c>
      <c r="W162" s="1304">
        <f>+'CY (ALL FUNDS)'!F607</f>
        <v>0</v>
      </c>
      <c r="X162" s="1304">
        <f>+'CY (ALL FUNDS)'!G607</f>
        <v>6648000</v>
      </c>
      <c r="Y162" s="1304">
        <f>+'CY (ALL FUNDS)'!H607</f>
        <v>30000000</v>
      </c>
      <c r="Z162" s="1218">
        <f t="shared" si="151"/>
        <v>36648000</v>
      </c>
      <c r="AA162" s="1218">
        <f t="shared" si="152"/>
        <v>25299000</v>
      </c>
      <c r="AB162" s="1218">
        <f t="shared" si="153"/>
        <v>27216000</v>
      </c>
      <c r="AC162" s="1218">
        <f t="shared" si="154"/>
        <v>30000000</v>
      </c>
      <c r="AD162" s="1218">
        <f t="shared" si="155"/>
        <v>82515000</v>
      </c>
      <c r="AE162" s="1304">
        <f>+'CY (ALL FUNDS)'!J606</f>
        <v>22592665.43</v>
      </c>
      <c r="AF162" s="1304">
        <f>+'CY (ALL FUNDS)'!K606</f>
        <v>14946383.320000002</v>
      </c>
      <c r="AG162" s="1304">
        <f>+'CY (ALL FUNDS)'!L606</f>
        <v>0</v>
      </c>
      <c r="AH162" s="1218">
        <f t="shared" si="114"/>
        <v>37539048.75</v>
      </c>
      <c r="AI162" s="1304">
        <f>+'CY (ALL FUNDS)'!J607</f>
        <v>0</v>
      </c>
      <c r="AJ162" s="1304">
        <f>+'CY (ALL FUNDS)'!K607</f>
        <v>5651304.3900000006</v>
      </c>
      <c r="AK162" s="1304">
        <f>+'CY (ALL FUNDS)'!L607</f>
        <v>29915000</v>
      </c>
      <c r="AL162" s="1218">
        <f t="shared" si="115"/>
        <v>35566304.390000001</v>
      </c>
      <c r="AM162" s="1218">
        <f t="shared" si="180"/>
        <v>22592665.43</v>
      </c>
      <c r="AN162" s="1218">
        <f t="shared" si="181"/>
        <v>20597687.710000001</v>
      </c>
      <c r="AO162" s="1218">
        <f t="shared" si="182"/>
        <v>29915000</v>
      </c>
      <c r="AP162" s="1218">
        <f t="shared" si="156"/>
        <v>73105353.140000001</v>
      </c>
      <c r="AQ162" s="1218">
        <f t="shared" si="157"/>
        <v>2706334.5700000003</v>
      </c>
      <c r="AR162" s="1218">
        <f t="shared" si="158"/>
        <v>6618312.2899999991</v>
      </c>
      <c r="AS162" s="1218">
        <f t="shared" si="159"/>
        <v>85000</v>
      </c>
      <c r="AT162" s="1218">
        <f t="shared" si="160"/>
        <v>9409646.8599999994</v>
      </c>
      <c r="AU162" s="1219">
        <f t="shared" si="161"/>
        <v>0.89302602592987868</v>
      </c>
      <c r="AV162" s="1219">
        <f t="shared" si="162"/>
        <v>0.75682274066725463</v>
      </c>
      <c r="AW162" s="1219">
        <f t="shared" si="163"/>
        <v>0.99716666666666665</v>
      </c>
      <c r="AX162" s="1219">
        <f t="shared" si="164"/>
        <v>0.88596440816821187</v>
      </c>
      <c r="AY162" s="1218">
        <f t="shared" si="165"/>
        <v>0</v>
      </c>
      <c r="AZ162" s="1218">
        <f t="shared" si="166"/>
        <v>0</v>
      </c>
      <c r="BA162" s="1218">
        <f t="shared" si="167"/>
        <v>0</v>
      </c>
      <c r="BB162" s="1218">
        <f t="shared" si="168"/>
        <v>0</v>
      </c>
      <c r="BC162" s="125"/>
      <c r="BF162" s="105">
        <f t="shared" si="141"/>
        <v>5621616.6799999978</v>
      </c>
      <c r="BP162" s="1312">
        <f>+'CY (ALL FUNDS)'!F606</f>
        <v>25299000</v>
      </c>
      <c r="BQ162" s="1312">
        <f>+'CY (ALL FUNDS)'!G606</f>
        <v>20568000</v>
      </c>
      <c r="BR162" s="1312">
        <f>+'CY (ALL FUNDS)'!H606</f>
        <v>0</v>
      </c>
      <c r="BT162" s="111">
        <f t="shared" si="186"/>
        <v>0</v>
      </c>
      <c r="BU162" s="111">
        <f t="shared" si="187"/>
        <v>0</v>
      </c>
      <c r="BV162" s="111">
        <f t="shared" si="188"/>
        <v>0</v>
      </c>
    </row>
    <row r="163" spans="1:74">
      <c r="B163" s="1310"/>
      <c r="C163" s="1218"/>
      <c r="D163" s="1218"/>
      <c r="E163" s="1218"/>
      <c r="F163" s="1218"/>
      <c r="G163" s="1218"/>
      <c r="H163" s="1218"/>
      <c r="I163" s="1218"/>
      <c r="J163" s="1218">
        <f t="shared" si="113"/>
        <v>0</v>
      </c>
      <c r="K163" s="1218">
        <f t="shared" si="108"/>
        <v>0</v>
      </c>
      <c r="L163" s="1218">
        <f t="shared" si="109"/>
        <v>0</v>
      </c>
      <c r="M163" s="1218">
        <f t="shared" si="110"/>
        <v>0</v>
      </c>
      <c r="N163" s="1218">
        <f t="shared" si="111"/>
        <v>0</v>
      </c>
      <c r="O163" s="1218"/>
      <c r="P163" s="1218"/>
      <c r="Q163" s="1218"/>
      <c r="R163" s="1218">
        <f t="shared" si="150"/>
        <v>0</v>
      </c>
      <c r="S163" s="1218"/>
      <c r="T163" s="1218"/>
      <c r="U163" s="1218"/>
      <c r="V163" s="1218"/>
      <c r="W163" s="1304"/>
      <c r="X163" s="1304"/>
      <c r="Y163" s="1304"/>
      <c r="Z163" s="1218">
        <f t="shared" si="151"/>
        <v>0</v>
      </c>
      <c r="AA163" s="1218">
        <f t="shared" si="152"/>
        <v>0</v>
      </c>
      <c r="AB163" s="1218">
        <f t="shared" si="153"/>
        <v>0</v>
      </c>
      <c r="AC163" s="1218">
        <f t="shared" si="154"/>
        <v>0</v>
      </c>
      <c r="AD163" s="1218">
        <f t="shared" si="155"/>
        <v>0</v>
      </c>
      <c r="AE163" s="1304"/>
      <c r="AF163" s="1304"/>
      <c r="AG163" s="1304"/>
      <c r="AH163" s="1218"/>
      <c r="AI163" s="1304"/>
      <c r="AJ163" s="1304"/>
      <c r="AK163" s="1304"/>
      <c r="AL163" s="1218"/>
      <c r="AM163" s="1218"/>
      <c r="AN163" s="1218"/>
      <c r="AO163" s="1218"/>
      <c r="AP163" s="1218">
        <f t="shared" si="156"/>
        <v>0</v>
      </c>
      <c r="AQ163" s="1218">
        <f t="shared" si="157"/>
        <v>0</v>
      </c>
      <c r="AR163" s="1218">
        <f t="shared" si="158"/>
        <v>0</v>
      </c>
      <c r="AS163" s="1218">
        <f t="shared" si="159"/>
        <v>0</v>
      </c>
      <c r="AT163" s="1218">
        <f t="shared" si="160"/>
        <v>0</v>
      </c>
      <c r="AU163" s="1219" t="str">
        <f t="shared" si="161"/>
        <v xml:space="preserve"> </v>
      </c>
      <c r="AV163" s="1219" t="str">
        <f t="shared" si="162"/>
        <v xml:space="preserve"> </v>
      </c>
      <c r="AW163" s="1219" t="str">
        <f t="shared" si="163"/>
        <v xml:space="preserve"> </v>
      </c>
      <c r="AX163" s="1219" t="str">
        <f t="shared" si="164"/>
        <v xml:space="preserve"> </v>
      </c>
      <c r="AY163" s="1218">
        <f t="shared" si="165"/>
        <v>0</v>
      </c>
      <c r="AZ163" s="1218">
        <f t="shared" si="166"/>
        <v>0</v>
      </c>
      <c r="BA163" s="1218">
        <f t="shared" si="167"/>
        <v>0</v>
      </c>
      <c r="BB163" s="1218">
        <f t="shared" si="168"/>
        <v>0</v>
      </c>
      <c r="BC163" s="125"/>
      <c r="BF163" s="105">
        <f t="shared" si="141"/>
        <v>0</v>
      </c>
      <c r="BP163" s="1312"/>
      <c r="BQ163" s="1312"/>
      <c r="BR163" s="1312"/>
    </row>
    <row r="164" spans="1:74" ht="12.75">
      <c r="A164" s="587" t="s">
        <v>939</v>
      </c>
      <c r="B164" s="1305" t="s">
        <v>32</v>
      </c>
      <c r="C164" s="1218">
        <f>SUM(C165:C171)</f>
        <v>422052000</v>
      </c>
      <c r="D164" s="1218">
        <f>SUM(D165:D171)</f>
        <v>346190000</v>
      </c>
      <c r="E164" s="1218">
        <f>SUM(E165:E171)</f>
        <v>0</v>
      </c>
      <c r="F164" s="1218">
        <f t="shared" ref="F164:AO164" si="189">SUM(F165:F171)</f>
        <v>768242000</v>
      </c>
      <c r="G164" s="1218">
        <f t="shared" si="189"/>
        <v>840825</v>
      </c>
      <c r="H164" s="1218">
        <f t="shared" si="189"/>
        <v>-840825</v>
      </c>
      <c r="I164" s="1218">
        <f t="shared" si="189"/>
        <v>0</v>
      </c>
      <c r="J164" s="1218">
        <f t="shared" si="189"/>
        <v>0</v>
      </c>
      <c r="K164" s="1218">
        <f t="shared" si="189"/>
        <v>422892825</v>
      </c>
      <c r="L164" s="1218">
        <f t="shared" si="189"/>
        <v>345349175</v>
      </c>
      <c r="M164" s="1218">
        <f t="shared" si="189"/>
        <v>0</v>
      </c>
      <c r="N164" s="1218">
        <f t="shared" si="189"/>
        <v>768242000</v>
      </c>
      <c r="O164" s="1218">
        <f t="shared" si="189"/>
        <v>422892825</v>
      </c>
      <c r="P164" s="1218">
        <f t="shared" si="189"/>
        <v>345349175</v>
      </c>
      <c r="Q164" s="1218">
        <f t="shared" si="189"/>
        <v>0</v>
      </c>
      <c r="R164" s="1218">
        <f t="shared" si="150"/>
        <v>768242000</v>
      </c>
      <c r="S164" s="1218"/>
      <c r="T164" s="1218"/>
      <c r="U164" s="1218"/>
      <c r="V164" s="1218">
        <f>SUM(V165:V171)</f>
        <v>0</v>
      </c>
      <c r="W164" s="1218">
        <f t="shared" si="189"/>
        <v>0</v>
      </c>
      <c r="X164" s="1218">
        <f t="shared" si="189"/>
        <v>298964398</v>
      </c>
      <c r="Y164" s="1218">
        <f t="shared" si="189"/>
        <v>293107051</v>
      </c>
      <c r="Z164" s="1218">
        <f t="shared" si="151"/>
        <v>592071449</v>
      </c>
      <c r="AA164" s="1218">
        <f t="shared" si="152"/>
        <v>422892825</v>
      </c>
      <c r="AB164" s="1218">
        <f t="shared" si="153"/>
        <v>644313573</v>
      </c>
      <c r="AC164" s="1218">
        <f t="shared" si="154"/>
        <v>293107051</v>
      </c>
      <c r="AD164" s="1218">
        <f t="shared" si="155"/>
        <v>1360313449</v>
      </c>
      <c r="AE164" s="1218">
        <f t="shared" si="189"/>
        <v>387170938.01999998</v>
      </c>
      <c r="AF164" s="1218">
        <f>SUM(AF165:AF171)</f>
        <v>255183092.64000005</v>
      </c>
      <c r="AG164" s="1218">
        <f>SUM(AG165:AG171)</f>
        <v>0</v>
      </c>
      <c r="AH164" s="1218">
        <f t="shared" si="189"/>
        <v>642354030.65999997</v>
      </c>
      <c r="AI164" s="1218">
        <f t="shared" si="189"/>
        <v>0</v>
      </c>
      <c r="AJ164" s="1218">
        <f t="shared" si="189"/>
        <v>264323745.13</v>
      </c>
      <c r="AK164" s="1218">
        <f t="shared" si="189"/>
        <v>279384702.78000003</v>
      </c>
      <c r="AL164" s="1218">
        <f t="shared" si="189"/>
        <v>543708447.90999997</v>
      </c>
      <c r="AM164" s="1218">
        <f t="shared" si="189"/>
        <v>387170938.01999998</v>
      </c>
      <c r="AN164" s="1218">
        <f t="shared" si="189"/>
        <v>519506837.76999998</v>
      </c>
      <c r="AO164" s="1218">
        <f t="shared" si="189"/>
        <v>279384702.78000003</v>
      </c>
      <c r="AP164" s="1218">
        <f t="shared" si="156"/>
        <v>1186062478.5699999</v>
      </c>
      <c r="AQ164" s="1218">
        <f t="shared" si="157"/>
        <v>35721886.980000019</v>
      </c>
      <c r="AR164" s="1218">
        <f t="shared" si="158"/>
        <v>124806735.23000002</v>
      </c>
      <c r="AS164" s="1218">
        <f t="shared" si="159"/>
        <v>13722348.219999969</v>
      </c>
      <c r="AT164" s="1218">
        <f t="shared" si="160"/>
        <v>174250970.43000001</v>
      </c>
      <c r="AU164" s="1219">
        <f t="shared" si="161"/>
        <v>0.91552969246995375</v>
      </c>
      <c r="AV164" s="1219">
        <f t="shared" si="162"/>
        <v>0.80629503946520154</v>
      </c>
      <c r="AW164" s="1219">
        <f t="shared" si="163"/>
        <v>0.95318315211734717</v>
      </c>
      <c r="AX164" s="1219">
        <f t="shared" si="164"/>
        <v>0.8719038097005537</v>
      </c>
      <c r="AY164" s="1218">
        <f t="shared" si="165"/>
        <v>0</v>
      </c>
      <c r="AZ164" s="1218">
        <f t="shared" si="166"/>
        <v>0</v>
      </c>
      <c r="BA164" s="1218">
        <f t="shared" si="167"/>
        <v>0</v>
      </c>
      <c r="BB164" s="1218">
        <f t="shared" si="168"/>
        <v>0</v>
      </c>
      <c r="BC164" s="125"/>
      <c r="BF164" s="105">
        <f t="shared" si="141"/>
        <v>90166082.359999955</v>
      </c>
      <c r="BP164" s="1313"/>
      <c r="BQ164" s="1313"/>
      <c r="BR164" s="1313"/>
    </row>
    <row r="165" spans="1:74" ht="36">
      <c r="A165" s="587" t="s">
        <v>939</v>
      </c>
      <c r="B165" s="1306" t="s">
        <v>534</v>
      </c>
      <c r="C165" s="1218">
        <v>30665000</v>
      </c>
      <c r="D165" s="1218">
        <v>13969000</v>
      </c>
      <c r="E165" s="1218">
        <v>0</v>
      </c>
      <c r="F165" s="1218">
        <f t="shared" si="112"/>
        <v>44634000</v>
      </c>
      <c r="G165" s="1218">
        <v>0</v>
      </c>
      <c r="H165" s="1218">
        <v>0</v>
      </c>
      <c r="I165" s="1218"/>
      <c r="J165" s="1218">
        <f t="shared" si="113"/>
        <v>0</v>
      </c>
      <c r="K165" s="1218">
        <f t="shared" si="108"/>
        <v>30665000</v>
      </c>
      <c r="L165" s="1218">
        <f t="shared" si="109"/>
        <v>13969000</v>
      </c>
      <c r="M165" s="1218">
        <f t="shared" si="110"/>
        <v>0</v>
      </c>
      <c r="N165" s="1218">
        <f t="shared" si="111"/>
        <v>44634000</v>
      </c>
      <c r="O165" s="1218">
        <v>30665000</v>
      </c>
      <c r="P165" s="1218">
        <v>13969000</v>
      </c>
      <c r="Q165" s="1218">
        <v>0</v>
      </c>
      <c r="R165" s="1218">
        <f t="shared" si="150"/>
        <v>44634000</v>
      </c>
      <c r="S165" s="1218"/>
      <c r="T165" s="1218"/>
      <c r="U165" s="1218"/>
      <c r="V165" s="1218">
        <f t="shared" si="118"/>
        <v>0</v>
      </c>
      <c r="W165" s="1304"/>
      <c r="X165" s="1304"/>
      <c r="Y165" s="1304"/>
      <c r="Z165" s="1218">
        <f t="shared" si="151"/>
        <v>0</v>
      </c>
      <c r="AA165" s="1218">
        <f t="shared" si="152"/>
        <v>30665000</v>
      </c>
      <c r="AB165" s="1218">
        <f t="shared" si="153"/>
        <v>13969000</v>
      </c>
      <c r="AC165" s="1218">
        <f t="shared" si="154"/>
        <v>0</v>
      </c>
      <c r="AD165" s="1218">
        <f t="shared" si="155"/>
        <v>44634000</v>
      </c>
      <c r="AE165" s="1304">
        <f>+'CY (ALL FUNDS)'!J638</f>
        <v>22368925.929999996</v>
      </c>
      <c r="AF165" s="1304">
        <f>+'CY (ALL FUNDS)'!K638</f>
        <v>13968516.989999998</v>
      </c>
      <c r="AG165" s="1304">
        <f>+'CY (ALL FUNDS)'!L638</f>
        <v>0</v>
      </c>
      <c r="AH165" s="1218">
        <f t="shared" si="114"/>
        <v>36337442.919999994</v>
      </c>
      <c r="AI165" s="1304"/>
      <c r="AJ165" s="1304"/>
      <c r="AK165" s="1304"/>
      <c r="AL165" s="1218">
        <f t="shared" si="115"/>
        <v>0</v>
      </c>
      <c r="AM165" s="1218">
        <f t="shared" ref="AM165:AM171" si="190">+AE165+AI165</f>
        <v>22368925.929999996</v>
      </c>
      <c r="AN165" s="1218">
        <f t="shared" ref="AN165:AN171" si="191">+AF165+AJ165</f>
        <v>13968516.989999998</v>
      </c>
      <c r="AO165" s="1218">
        <f t="shared" ref="AO165:AO171" si="192">+AG165+AK165</f>
        <v>0</v>
      </c>
      <c r="AP165" s="1218">
        <f t="shared" si="156"/>
        <v>36337442.919999994</v>
      </c>
      <c r="AQ165" s="1218">
        <f t="shared" si="157"/>
        <v>8296074.070000004</v>
      </c>
      <c r="AR165" s="1218">
        <f t="shared" si="158"/>
        <v>483.01000000163913</v>
      </c>
      <c r="AS165" s="1218">
        <f t="shared" si="159"/>
        <v>0</v>
      </c>
      <c r="AT165" s="1218">
        <f t="shared" si="160"/>
        <v>8296557.0800000057</v>
      </c>
      <c r="AU165" s="1219">
        <f t="shared" si="161"/>
        <v>0.7294611423446925</v>
      </c>
      <c r="AV165" s="1219">
        <f t="shared" si="162"/>
        <v>0.99996542272174083</v>
      </c>
      <c r="AW165" s="1219" t="str">
        <f t="shared" si="163"/>
        <v xml:space="preserve"> </v>
      </c>
      <c r="AX165" s="1219">
        <f t="shared" si="164"/>
        <v>0.81412024286418416</v>
      </c>
      <c r="AY165" s="1218">
        <f t="shared" si="165"/>
        <v>0</v>
      </c>
      <c r="AZ165" s="1218">
        <f t="shared" si="166"/>
        <v>0</v>
      </c>
      <c r="BA165" s="1218">
        <f t="shared" si="167"/>
        <v>0</v>
      </c>
      <c r="BB165" s="1218">
        <f t="shared" si="168"/>
        <v>0</v>
      </c>
      <c r="BC165" s="125"/>
      <c r="BD165" s="105">
        <f>+AT165-'CY (ALL FUNDS)'!Q638</f>
        <v>0</v>
      </c>
      <c r="BF165" s="105">
        <f t="shared" si="141"/>
        <v>483.01000000163913</v>
      </c>
      <c r="BP165" s="1312">
        <f>+'CY (ALL FUNDS)'!F638</f>
        <v>30665000</v>
      </c>
      <c r="BQ165" s="1312">
        <f>+'CY (ALL FUNDS)'!G638</f>
        <v>13969000</v>
      </c>
      <c r="BR165" s="1312">
        <f>+'CY (ALL FUNDS)'!H638</f>
        <v>0</v>
      </c>
      <c r="BT165" s="111">
        <f t="shared" ref="BT165" si="193">+O165-BP165</f>
        <v>0</v>
      </c>
      <c r="BU165" s="111">
        <f t="shared" ref="BU165" si="194">+P165-BQ165</f>
        <v>0</v>
      </c>
      <c r="BV165" s="111">
        <f t="shared" ref="BV165" si="195">+Q165-BR165</f>
        <v>0</v>
      </c>
    </row>
    <row r="166" spans="1:74" ht="12.75">
      <c r="A166" s="587" t="s">
        <v>939</v>
      </c>
      <c r="B166" s="1307" t="s">
        <v>535</v>
      </c>
      <c r="C166" s="1218">
        <v>1914000</v>
      </c>
      <c r="D166" s="1218">
        <v>7277000</v>
      </c>
      <c r="E166" s="1218">
        <v>0</v>
      </c>
      <c r="F166" s="1218">
        <f t="shared" si="112"/>
        <v>9191000</v>
      </c>
      <c r="G166" s="1218">
        <v>629215</v>
      </c>
      <c r="H166" s="1218">
        <v>-629215</v>
      </c>
      <c r="I166" s="1218"/>
      <c r="J166" s="1218">
        <f t="shared" si="113"/>
        <v>0</v>
      </c>
      <c r="K166" s="1218">
        <f t="shared" si="108"/>
        <v>2543215</v>
      </c>
      <c r="L166" s="1218">
        <f t="shared" si="109"/>
        <v>6647785</v>
      </c>
      <c r="M166" s="1218">
        <f t="shared" si="110"/>
        <v>0</v>
      </c>
      <c r="N166" s="1218">
        <f t="shared" si="111"/>
        <v>9191000</v>
      </c>
      <c r="O166" s="1218">
        <v>2543215</v>
      </c>
      <c r="P166" s="1218">
        <v>6647785</v>
      </c>
      <c r="Q166" s="1218">
        <v>0</v>
      </c>
      <c r="R166" s="1218">
        <f t="shared" si="150"/>
        <v>9191000</v>
      </c>
      <c r="S166" s="1218"/>
      <c r="T166" s="1218"/>
      <c r="U166" s="1218"/>
      <c r="V166" s="1218">
        <f t="shared" si="118"/>
        <v>0</v>
      </c>
      <c r="W166" s="1304"/>
      <c r="X166" s="1304"/>
      <c r="Y166" s="1304"/>
      <c r="Z166" s="1218">
        <f t="shared" si="151"/>
        <v>0</v>
      </c>
      <c r="AA166" s="1218">
        <f t="shared" si="152"/>
        <v>2543215</v>
      </c>
      <c r="AB166" s="1218">
        <f t="shared" si="153"/>
        <v>6647785</v>
      </c>
      <c r="AC166" s="1218">
        <f t="shared" si="154"/>
        <v>0</v>
      </c>
      <c r="AD166" s="1218">
        <f t="shared" si="155"/>
        <v>9191000</v>
      </c>
      <c r="AE166" s="1304">
        <f>+'CY (ALL FUNDS)'!J639</f>
        <v>2533355.9800000004</v>
      </c>
      <c r="AF166" s="1304">
        <f>+'CY (ALL FUNDS)'!K639</f>
        <v>4914770.03</v>
      </c>
      <c r="AG166" s="1304">
        <f>+'CY (ALL FUNDS)'!L639</f>
        <v>0</v>
      </c>
      <c r="AH166" s="1218">
        <f t="shared" si="114"/>
        <v>7448126.0100000007</v>
      </c>
      <c r="AI166" s="1304"/>
      <c r="AJ166" s="1304"/>
      <c r="AK166" s="1304"/>
      <c r="AL166" s="1218">
        <f t="shared" si="115"/>
        <v>0</v>
      </c>
      <c r="AM166" s="1218">
        <f t="shared" si="190"/>
        <v>2533355.9800000004</v>
      </c>
      <c r="AN166" s="1218">
        <f t="shared" si="191"/>
        <v>4914770.03</v>
      </c>
      <c r="AO166" s="1218">
        <f t="shared" si="192"/>
        <v>0</v>
      </c>
      <c r="AP166" s="1218">
        <f t="shared" si="156"/>
        <v>7448126.0100000007</v>
      </c>
      <c r="AQ166" s="1218">
        <f t="shared" si="157"/>
        <v>9859.019999999553</v>
      </c>
      <c r="AR166" s="1218">
        <f t="shared" si="158"/>
        <v>1733014.9699999997</v>
      </c>
      <c r="AS166" s="1218">
        <f t="shared" si="159"/>
        <v>0</v>
      </c>
      <c r="AT166" s="1218">
        <f t="shared" si="160"/>
        <v>1742873.9899999993</v>
      </c>
      <c r="AU166" s="1219">
        <f t="shared" si="161"/>
        <v>0.99612340285819345</v>
      </c>
      <c r="AV166" s="1219">
        <f t="shared" si="162"/>
        <v>0.73930941358663083</v>
      </c>
      <c r="AW166" s="1219" t="str">
        <f t="shared" si="163"/>
        <v xml:space="preserve"> </v>
      </c>
      <c r="AX166" s="1219">
        <f t="shared" si="164"/>
        <v>0.81037166902404534</v>
      </c>
      <c r="AY166" s="1218">
        <f t="shared" si="165"/>
        <v>0</v>
      </c>
      <c r="AZ166" s="1218">
        <f t="shared" si="166"/>
        <v>0</v>
      </c>
      <c r="BA166" s="1218">
        <f t="shared" si="167"/>
        <v>0</v>
      </c>
      <c r="BB166" s="1218">
        <f t="shared" si="168"/>
        <v>0</v>
      </c>
      <c r="BC166" s="125"/>
      <c r="BD166" s="105">
        <f>+AT166-'CY (ALL FUNDS)'!Q639</f>
        <v>0</v>
      </c>
      <c r="BF166" s="105">
        <f t="shared" si="141"/>
        <v>1733014.9699999997</v>
      </c>
      <c r="BP166" s="1312">
        <f>+'CY (ALL FUNDS)'!F639</f>
        <v>2543215</v>
      </c>
      <c r="BQ166" s="1312">
        <f>+'CY (ALL FUNDS)'!G639</f>
        <v>6647785</v>
      </c>
      <c r="BR166" s="1312">
        <f>+'CY (ALL FUNDS)'!H639</f>
        <v>0</v>
      </c>
    </row>
    <row r="167" spans="1:74" ht="36">
      <c r="A167" s="587" t="s">
        <v>939</v>
      </c>
      <c r="B167" s="1306" t="s">
        <v>536</v>
      </c>
      <c r="C167" s="1218">
        <v>59400000</v>
      </c>
      <c r="D167" s="1218">
        <v>183501000</v>
      </c>
      <c r="E167" s="1218">
        <v>0</v>
      </c>
      <c r="F167" s="1218">
        <f t="shared" si="112"/>
        <v>242901000</v>
      </c>
      <c r="G167" s="1218">
        <v>211610</v>
      </c>
      <c r="H167" s="1218">
        <v>-211610</v>
      </c>
      <c r="I167" s="1218"/>
      <c r="J167" s="1218">
        <f t="shared" si="113"/>
        <v>0</v>
      </c>
      <c r="K167" s="1218">
        <f t="shared" si="108"/>
        <v>59611610</v>
      </c>
      <c r="L167" s="1218">
        <f t="shared" si="109"/>
        <v>183289390</v>
      </c>
      <c r="M167" s="1218">
        <f t="shared" si="110"/>
        <v>0</v>
      </c>
      <c r="N167" s="1218">
        <f t="shared" si="111"/>
        <v>242901000</v>
      </c>
      <c r="O167" s="1218">
        <v>59611610</v>
      </c>
      <c r="P167" s="1218">
        <v>183289390</v>
      </c>
      <c r="Q167" s="1218">
        <v>0</v>
      </c>
      <c r="R167" s="1218">
        <f t="shared" si="150"/>
        <v>242901000</v>
      </c>
      <c r="S167" s="1218"/>
      <c r="T167" s="1218"/>
      <c r="U167" s="1218"/>
      <c r="V167" s="1218">
        <f t="shared" si="118"/>
        <v>0</v>
      </c>
      <c r="W167" s="1304">
        <f>+'CY (ALL FUNDS)'!F641</f>
        <v>0</v>
      </c>
      <c r="X167" s="1304">
        <f>+'CY (ALL FUNDS)'!G641</f>
        <v>220641643</v>
      </c>
      <c r="Y167" s="1304">
        <f>+'CY (ALL FUNDS)'!H641</f>
        <v>68107051</v>
      </c>
      <c r="Z167" s="1218">
        <f t="shared" si="151"/>
        <v>288748694</v>
      </c>
      <c r="AA167" s="1218">
        <f t="shared" si="152"/>
        <v>59611610</v>
      </c>
      <c r="AB167" s="1218">
        <f t="shared" si="153"/>
        <v>403931033</v>
      </c>
      <c r="AC167" s="1218">
        <f t="shared" si="154"/>
        <v>68107051</v>
      </c>
      <c r="AD167" s="1218">
        <f t="shared" si="155"/>
        <v>531649694</v>
      </c>
      <c r="AE167" s="1304">
        <f>+'CY (ALL FUNDS)'!J640</f>
        <v>55479375.519999996</v>
      </c>
      <c r="AF167" s="1304">
        <f>+'CY (ALL FUNDS)'!K640</f>
        <v>124896513.45000002</v>
      </c>
      <c r="AG167" s="1304">
        <f>+'CY (ALL FUNDS)'!L640</f>
        <v>0</v>
      </c>
      <c r="AH167" s="1218">
        <f t="shared" si="114"/>
        <v>180375888.97000003</v>
      </c>
      <c r="AI167" s="1304">
        <f>+'CY (ALL FUNDS)'!J641</f>
        <v>0</v>
      </c>
      <c r="AJ167" s="1304">
        <f>+'CY (ALL FUNDS)'!K641</f>
        <v>206363901.97999999</v>
      </c>
      <c r="AK167" s="1304">
        <f>+'CY (ALL FUNDS)'!L641</f>
        <v>63088957.359999999</v>
      </c>
      <c r="AL167" s="1218">
        <f t="shared" si="115"/>
        <v>269452859.33999997</v>
      </c>
      <c r="AM167" s="1218">
        <f t="shared" si="190"/>
        <v>55479375.519999996</v>
      </c>
      <c r="AN167" s="1218">
        <f t="shared" si="191"/>
        <v>331260415.43000001</v>
      </c>
      <c r="AO167" s="1218">
        <f t="shared" si="192"/>
        <v>63088957.359999999</v>
      </c>
      <c r="AP167" s="1218">
        <f t="shared" si="156"/>
        <v>449828748.31</v>
      </c>
      <c r="AQ167" s="1218">
        <f t="shared" si="157"/>
        <v>4132234.4800000042</v>
      </c>
      <c r="AR167" s="1218">
        <f t="shared" si="158"/>
        <v>72670617.569999993</v>
      </c>
      <c r="AS167" s="1218">
        <f t="shared" si="159"/>
        <v>5018093.6400000006</v>
      </c>
      <c r="AT167" s="1218">
        <f t="shared" si="160"/>
        <v>81820945.689999998</v>
      </c>
      <c r="AU167" s="1219">
        <f t="shared" si="161"/>
        <v>0.93068071001605213</v>
      </c>
      <c r="AV167" s="1219">
        <f t="shared" si="162"/>
        <v>0.82009152149000641</v>
      </c>
      <c r="AW167" s="1219">
        <f t="shared" si="163"/>
        <v>0.92632049741810141</v>
      </c>
      <c r="AX167" s="1219">
        <f t="shared" si="164"/>
        <v>0.84609989131301933</v>
      </c>
      <c r="AY167" s="1218">
        <f t="shared" si="165"/>
        <v>0</v>
      </c>
      <c r="AZ167" s="1218">
        <f t="shared" si="166"/>
        <v>0</v>
      </c>
      <c r="BA167" s="1218">
        <f t="shared" si="167"/>
        <v>0</v>
      </c>
      <c r="BB167" s="1218">
        <f t="shared" si="168"/>
        <v>0</v>
      </c>
      <c r="BC167" s="125"/>
      <c r="BD167" s="105">
        <f>+AT167-'CY (ALL FUNDS)'!Q640-'CY (ALL FUNDS)'!Q641</f>
        <v>0</v>
      </c>
      <c r="BF167" s="105">
        <f t="shared" si="141"/>
        <v>58392876.549999982</v>
      </c>
      <c r="BP167" s="1312">
        <f>+'CY (ALL FUNDS)'!F640</f>
        <v>59611610</v>
      </c>
      <c r="BQ167" s="1312">
        <f>+'CY (ALL FUNDS)'!G640</f>
        <v>183289390</v>
      </c>
      <c r="BR167" s="1312">
        <f>+'CY (ALL FUNDS)'!H640</f>
        <v>0</v>
      </c>
      <c r="BT167" s="111">
        <f t="shared" ref="BT167" si="196">+O167-BP167</f>
        <v>0</v>
      </c>
      <c r="BU167" s="111">
        <f t="shared" ref="BU167" si="197">+P167-BQ167</f>
        <v>0</v>
      </c>
      <c r="BV167" s="111">
        <f t="shared" ref="BV167" si="198">+Q167-BR167</f>
        <v>0</v>
      </c>
    </row>
    <row r="168" spans="1:74" ht="12.75">
      <c r="A168" s="587" t="s">
        <v>939</v>
      </c>
      <c r="B168" s="1307" t="s">
        <v>537</v>
      </c>
      <c r="C168" s="1218">
        <v>0</v>
      </c>
      <c r="D168" s="1218">
        <v>0</v>
      </c>
      <c r="E168" s="1218">
        <v>0</v>
      </c>
      <c r="F168" s="1218">
        <f t="shared" si="112"/>
        <v>0</v>
      </c>
      <c r="G168" s="1218"/>
      <c r="H168" s="1218"/>
      <c r="I168" s="1218"/>
      <c r="J168" s="1218">
        <f t="shared" si="113"/>
        <v>0</v>
      </c>
      <c r="K168" s="1218">
        <f t="shared" si="108"/>
        <v>0</v>
      </c>
      <c r="L168" s="1218">
        <f t="shared" si="109"/>
        <v>0</v>
      </c>
      <c r="M168" s="1218">
        <f t="shared" si="110"/>
        <v>0</v>
      </c>
      <c r="N168" s="1218">
        <f t="shared" si="111"/>
        <v>0</v>
      </c>
      <c r="O168" s="1218">
        <v>0</v>
      </c>
      <c r="P168" s="1218">
        <v>0</v>
      </c>
      <c r="Q168" s="1218">
        <v>0</v>
      </c>
      <c r="R168" s="1218">
        <f t="shared" si="150"/>
        <v>0</v>
      </c>
      <c r="S168" s="1218"/>
      <c r="T168" s="1218"/>
      <c r="U168" s="1218"/>
      <c r="V168" s="1218">
        <f t="shared" si="118"/>
        <v>0</v>
      </c>
      <c r="W168" s="1304"/>
      <c r="X168" s="1304"/>
      <c r="Y168" s="1304"/>
      <c r="Z168" s="1218">
        <f t="shared" si="151"/>
        <v>0</v>
      </c>
      <c r="AA168" s="1218">
        <f t="shared" si="152"/>
        <v>0</v>
      </c>
      <c r="AB168" s="1218">
        <f t="shared" si="153"/>
        <v>0</v>
      </c>
      <c r="AC168" s="1218">
        <f t="shared" si="154"/>
        <v>0</v>
      </c>
      <c r="AD168" s="1218">
        <f t="shared" si="155"/>
        <v>0</v>
      </c>
      <c r="AE168" s="1304"/>
      <c r="AF168" s="1304"/>
      <c r="AG168" s="1304"/>
      <c r="AH168" s="1218">
        <f t="shared" si="114"/>
        <v>0</v>
      </c>
      <c r="AI168" s="1304"/>
      <c r="AJ168" s="1304"/>
      <c r="AK168" s="1304"/>
      <c r="AL168" s="1218">
        <f t="shared" si="115"/>
        <v>0</v>
      </c>
      <c r="AM168" s="1218">
        <f t="shared" si="190"/>
        <v>0</v>
      </c>
      <c r="AN168" s="1218">
        <f t="shared" si="191"/>
        <v>0</v>
      </c>
      <c r="AO168" s="1218">
        <f t="shared" si="192"/>
        <v>0</v>
      </c>
      <c r="AP168" s="1218">
        <f t="shared" si="156"/>
        <v>0</v>
      </c>
      <c r="AQ168" s="1218">
        <f t="shared" si="157"/>
        <v>0</v>
      </c>
      <c r="AR168" s="1218">
        <f t="shared" si="158"/>
        <v>0</v>
      </c>
      <c r="AS168" s="1218">
        <f t="shared" si="159"/>
        <v>0</v>
      </c>
      <c r="AT168" s="1218">
        <f t="shared" si="160"/>
        <v>0</v>
      </c>
      <c r="AU168" s="1219" t="str">
        <f t="shared" si="161"/>
        <v xml:space="preserve"> </v>
      </c>
      <c r="AV168" s="1219" t="str">
        <f t="shared" si="162"/>
        <v xml:space="preserve"> </v>
      </c>
      <c r="AW168" s="1219" t="str">
        <f t="shared" si="163"/>
        <v xml:space="preserve"> </v>
      </c>
      <c r="AX168" s="1219" t="str">
        <f t="shared" si="164"/>
        <v xml:space="preserve"> </v>
      </c>
      <c r="AY168" s="1218">
        <f t="shared" si="165"/>
        <v>0</v>
      </c>
      <c r="AZ168" s="1218">
        <f t="shared" si="166"/>
        <v>0</v>
      </c>
      <c r="BA168" s="1218">
        <f t="shared" si="167"/>
        <v>0</v>
      </c>
      <c r="BB168" s="1218">
        <f t="shared" si="168"/>
        <v>0</v>
      </c>
      <c r="BC168" s="125"/>
      <c r="BF168" s="105">
        <f t="shared" si="141"/>
        <v>0</v>
      </c>
      <c r="BP168" s="1312"/>
      <c r="BQ168" s="1312"/>
      <c r="BR168" s="1312"/>
    </row>
    <row r="169" spans="1:74" ht="36">
      <c r="A169" s="587" t="s">
        <v>939</v>
      </c>
      <c r="B169" s="1309" t="s">
        <v>561</v>
      </c>
      <c r="C169" s="1218">
        <v>193074000</v>
      </c>
      <c r="D169" s="1218">
        <v>82464000</v>
      </c>
      <c r="E169" s="1218">
        <v>0</v>
      </c>
      <c r="F169" s="1218">
        <f t="shared" si="112"/>
        <v>275538000</v>
      </c>
      <c r="G169" s="1218"/>
      <c r="H169" s="1218"/>
      <c r="I169" s="1218"/>
      <c r="J169" s="1218">
        <f t="shared" si="113"/>
        <v>0</v>
      </c>
      <c r="K169" s="1218">
        <f t="shared" si="108"/>
        <v>193074000</v>
      </c>
      <c r="L169" s="1218">
        <f t="shared" si="109"/>
        <v>82464000</v>
      </c>
      <c r="M169" s="1218">
        <f t="shared" si="110"/>
        <v>0</v>
      </c>
      <c r="N169" s="1218">
        <f t="shared" si="111"/>
        <v>275538000</v>
      </c>
      <c r="O169" s="1218">
        <v>193074000</v>
      </c>
      <c r="P169" s="1218">
        <v>82464000</v>
      </c>
      <c r="Q169" s="1218">
        <v>0</v>
      </c>
      <c r="R169" s="1218">
        <f t="shared" si="150"/>
        <v>275538000</v>
      </c>
      <c r="S169" s="1218"/>
      <c r="T169" s="1218"/>
      <c r="U169" s="1218"/>
      <c r="V169" s="1218">
        <f t="shared" si="118"/>
        <v>0</v>
      </c>
      <c r="W169" s="1304">
        <f>+'CY (ALL FUNDS)'!F657</f>
        <v>0</v>
      </c>
      <c r="X169" s="1304">
        <f>+'CY (ALL FUNDS)'!G657</f>
        <v>46083477</v>
      </c>
      <c r="Y169" s="1304">
        <f>+'CY (ALL FUNDS)'!H657</f>
        <v>200000000</v>
      </c>
      <c r="Z169" s="1218">
        <f t="shared" si="151"/>
        <v>246083477</v>
      </c>
      <c r="AA169" s="1218">
        <f t="shared" si="152"/>
        <v>193074000</v>
      </c>
      <c r="AB169" s="1218">
        <f t="shared" si="153"/>
        <v>128547477</v>
      </c>
      <c r="AC169" s="1218">
        <f t="shared" si="154"/>
        <v>200000000</v>
      </c>
      <c r="AD169" s="1218">
        <f t="shared" si="155"/>
        <v>521621477</v>
      </c>
      <c r="AE169" s="1304">
        <f>+'CY (ALL FUNDS)'!J656</f>
        <v>180282388.15999997</v>
      </c>
      <c r="AF169" s="1304">
        <f>+'CY (ALL FUNDS)'!K656</f>
        <v>70939207.879999995</v>
      </c>
      <c r="AG169" s="1304">
        <f>+'CY (ALL FUNDS)'!L656</f>
        <v>0</v>
      </c>
      <c r="AH169" s="1218">
        <f t="shared" si="114"/>
        <v>251221596.03999996</v>
      </c>
      <c r="AI169" s="1304">
        <f>+'CY (ALL FUNDS)'!J657</f>
        <v>0</v>
      </c>
      <c r="AJ169" s="1304">
        <f>+'CY (ALL FUNDS)'!K657</f>
        <v>35641249.130000003</v>
      </c>
      <c r="AK169" s="1304">
        <f>+'CY (ALL FUNDS)'!L657</f>
        <v>191409165.19999999</v>
      </c>
      <c r="AL169" s="1218">
        <f t="shared" si="115"/>
        <v>227050414.32999998</v>
      </c>
      <c r="AM169" s="1218">
        <f t="shared" si="190"/>
        <v>180282388.15999997</v>
      </c>
      <c r="AN169" s="1218">
        <f t="shared" si="191"/>
        <v>106580457.00999999</v>
      </c>
      <c r="AO169" s="1218">
        <f t="shared" si="192"/>
        <v>191409165.19999999</v>
      </c>
      <c r="AP169" s="1218">
        <f t="shared" si="156"/>
        <v>478272010.36999995</v>
      </c>
      <c r="AQ169" s="1218">
        <f t="shared" si="157"/>
        <v>12791611.840000033</v>
      </c>
      <c r="AR169" s="1218">
        <f t="shared" si="158"/>
        <v>21967019.99000001</v>
      </c>
      <c r="AS169" s="1218">
        <f t="shared" si="159"/>
        <v>8590834.8000000119</v>
      </c>
      <c r="AT169" s="1218">
        <f t="shared" si="160"/>
        <v>43349466.630000055</v>
      </c>
      <c r="AU169" s="1219">
        <f t="shared" si="161"/>
        <v>0.93374762091218899</v>
      </c>
      <c r="AV169" s="1219">
        <f t="shared" si="162"/>
        <v>0.82911356564392147</v>
      </c>
      <c r="AW169" s="1219">
        <f t="shared" si="163"/>
        <v>0.95704582599999999</v>
      </c>
      <c r="AX169" s="1219">
        <f t="shared" si="164"/>
        <v>0.91689478186497286</v>
      </c>
      <c r="AY169" s="1218">
        <f t="shared" si="165"/>
        <v>0</v>
      </c>
      <c r="AZ169" s="1218">
        <f t="shared" si="166"/>
        <v>0</v>
      </c>
      <c r="BA169" s="1218">
        <f t="shared" si="167"/>
        <v>0</v>
      </c>
      <c r="BB169" s="1218">
        <f t="shared" si="168"/>
        <v>0</v>
      </c>
      <c r="BC169" s="125"/>
      <c r="BF169" s="105">
        <f t="shared" si="141"/>
        <v>11524792.120000005</v>
      </c>
      <c r="BP169" s="1312">
        <f>+'CY (ALL FUNDS)'!F656</f>
        <v>193074000</v>
      </c>
      <c r="BQ169" s="1312">
        <f>+'CY (ALL FUNDS)'!G656</f>
        <v>82464000</v>
      </c>
      <c r="BR169" s="1312">
        <f>+'CY (ALL FUNDS)'!H656</f>
        <v>0</v>
      </c>
      <c r="BT169" s="111">
        <f t="shared" ref="BT169:BT171" si="199">+O169-BP169</f>
        <v>0</v>
      </c>
      <c r="BU169" s="111">
        <f t="shared" ref="BU169:BU171" si="200">+P169-BQ169</f>
        <v>0</v>
      </c>
      <c r="BV169" s="111">
        <f t="shared" ref="BV169:BV171" si="201">+Q169-BR169</f>
        <v>0</v>
      </c>
    </row>
    <row r="170" spans="1:74" ht="36">
      <c r="A170" s="587" t="s">
        <v>939</v>
      </c>
      <c r="B170" s="1308" t="s">
        <v>562</v>
      </c>
      <c r="C170" s="1218">
        <v>113914000</v>
      </c>
      <c r="D170" s="1218">
        <v>46432000</v>
      </c>
      <c r="E170" s="1218">
        <v>0</v>
      </c>
      <c r="F170" s="1218">
        <f t="shared" si="112"/>
        <v>160346000</v>
      </c>
      <c r="G170" s="1218"/>
      <c r="H170" s="1218"/>
      <c r="I170" s="1218"/>
      <c r="J170" s="1218">
        <f t="shared" si="113"/>
        <v>0</v>
      </c>
      <c r="K170" s="1218">
        <f t="shared" ref="K170:K232" si="202">+C170+G170</f>
        <v>113914000</v>
      </c>
      <c r="L170" s="1218">
        <f t="shared" ref="L170:L232" si="203">+D170+H170</f>
        <v>46432000</v>
      </c>
      <c r="M170" s="1218">
        <f t="shared" ref="M170:M232" si="204">+E170+I170</f>
        <v>0</v>
      </c>
      <c r="N170" s="1218">
        <f t="shared" ref="N170:N232" si="205">SUM(K170:M170)</f>
        <v>160346000</v>
      </c>
      <c r="O170" s="1218">
        <v>113914000</v>
      </c>
      <c r="P170" s="1218">
        <v>46432000</v>
      </c>
      <c r="Q170" s="1218">
        <v>0</v>
      </c>
      <c r="R170" s="1218">
        <f t="shared" si="150"/>
        <v>160346000</v>
      </c>
      <c r="S170" s="1218"/>
      <c r="T170" s="1218"/>
      <c r="U170" s="1218"/>
      <c r="V170" s="1218">
        <f t="shared" si="118"/>
        <v>0</v>
      </c>
      <c r="W170" s="1304">
        <f>+'CY (ALL FUNDS)'!F672</f>
        <v>0</v>
      </c>
      <c r="X170" s="1304">
        <f>+'CY (ALL FUNDS)'!G672</f>
        <v>25980978</v>
      </c>
      <c r="Y170" s="1304">
        <f>+'CY (ALL FUNDS)'!H672</f>
        <v>20000000</v>
      </c>
      <c r="Z170" s="1218">
        <f t="shared" si="151"/>
        <v>45980978</v>
      </c>
      <c r="AA170" s="1218">
        <f t="shared" si="152"/>
        <v>113914000</v>
      </c>
      <c r="AB170" s="1218">
        <f t="shared" si="153"/>
        <v>72412978</v>
      </c>
      <c r="AC170" s="1218">
        <f t="shared" si="154"/>
        <v>20000000</v>
      </c>
      <c r="AD170" s="1218">
        <f t="shared" si="155"/>
        <v>206326978</v>
      </c>
      <c r="AE170" s="1304">
        <f>+'CY (ALL FUNDS)'!J671</f>
        <v>105558631.65000002</v>
      </c>
      <c r="AF170" s="1304">
        <f>+'CY (ALL FUNDS)'!K671</f>
        <v>29751912.93</v>
      </c>
      <c r="AG170" s="1304">
        <f>+'CY (ALL FUNDS)'!L671</f>
        <v>0</v>
      </c>
      <c r="AH170" s="1218">
        <f t="shared" si="114"/>
        <v>135310544.58000001</v>
      </c>
      <c r="AI170" s="1304">
        <f>+'CY (ALL FUNDS)'!J672</f>
        <v>0</v>
      </c>
      <c r="AJ170" s="1304">
        <f>+'CY (ALL FUNDS)'!K672</f>
        <v>19093113.43</v>
      </c>
      <c r="AK170" s="1304">
        <f>+'CY (ALL FUNDS)'!L672</f>
        <v>19995795</v>
      </c>
      <c r="AL170" s="1218">
        <f t="shared" si="115"/>
        <v>39088908.43</v>
      </c>
      <c r="AM170" s="1218">
        <f t="shared" si="190"/>
        <v>105558631.65000002</v>
      </c>
      <c r="AN170" s="1218">
        <f t="shared" si="191"/>
        <v>48845026.359999999</v>
      </c>
      <c r="AO170" s="1218">
        <f t="shared" si="192"/>
        <v>19995795</v>
      </c>
      <c r="AP170" s="1218">
        <f t="shared" si="156"/>
        <v>174399453.01000002</v>
      </c>
      <c r="AQ170" s="1218">
        <f t="shared" si="157"/>
        <v>8355368.3499999791</v>
      </c>
      <c r="AR170" s="1218">
        <f t="shared" si="158"/>
        <v>23567951.640000001</v>
      </c>
      <c r="AS170" s="1218">
        <f t="shared" si="159"/>
        <v>4205</v>
      </c>
      <c r="AT170" s="1218">
        <f t="shared" si="160"/>
        <v>31927524.98999998</v>
      </c>
      <c r="AU170" s="1219">
        <f t="shared" si="161"/>
        <v>0.92665196244535375</v>
      </c>
      <c r="AV170" s="1219">
        <f t="shared" si="162"/>
        <v>0.67453414718008142</v>
      </c>
      <c r="AW170" s="1219">
        <f t="shared" si="163"/>
        <v>0.99978975000000003</v>
      </c>
      <c r="AX170" s="1219">
        <f t="shared" si="164"/>
        <v>0.84525763281426058</v>
      </c>
      <c r="AY170" s="1218">
        <f t="shared" si="165"/>
        <v>0</v>
      </c>
      <c r="AZ170" s="1218">
        <f t="shared" si="166"/>
        <v>0</v>
      </c>
      <c r="BA170" s="1218">
        <f t="shared" si="167"/>
        <v>0</v>
      </c>
      <c r="BB170" s="1218">
        <f t="shared" si="168"/>
        <v>0</v>
      </c>
      <c r="BC170" s="125"/>
      <c r="BF170" s="105">
        <f t="shared" si="141"/>
        <v>16680087.07</v>
      </c>
      <c r="BP170" s="1312">
        <f>+'CY (ALL FUNDS)'!F671</f>
        <v>113914000</v>
      </c>
      <c r="BQ170" s="1312">
        <f>+'CY (ALL FUNDS)'!G671</f>
        <v>46432000</v>
      </c>
      <c r="BR170" s="1312">
        <f>+'CY (ALL FUNDS)'!H671</f>
        <v>0</v>
      </c>
      <c r="BT170" s="111">
        <f t="shared" si="199"/>
        <v>0</v>
      </c>
      <c r="BU170" s="111">
        <f t="shared" si="200"/>
        <v>0</v>
      </c>
      <c r="BV170" s="111">
        <f t="shared" si="201"/>
        <v>0</v>
      </c>
    </row>
    <row r="171" spans="1:74" ht="24">
      <c r="A171" s="587" t="s">
        <v>939</v>
      </c>
      <c r="B171" s="1309" t="s">
        <v>563</v>
      </c>
      <c r="C171" s="1218">
        <v>23085000</v>
      </c>
      <c r="D171" s="1218">
        <v>12547000</v>
      </c>
      <c r="E171" s="1218">
        <v>0</v>
      </c>
      <c r="F171" s="1218">
        <f t="shared" ref="F171:F232" si="206">SUM(C171:E171)</f>
        <v>35632000</v>
      </c>
      <c r="G171" s="1218"/>
      <c r="H171" s="1218"/>
      <c r="I171" s="1218"/>
      <c r="J171" s="1218">
        <f t="shared" ref="J171:J232" si="207">SUM(G171:I171)</f>
        <v>0</v>
      </c>
      <c r="K171" s="1218">
        <f t="shared" si="202"/>
        <v>23085000</v>
      </c>
      <c r="L171" s="1218">
        <f t="shared" si="203"/>
        <v>12547000</v>
      </c>
      <c r="M171" s="1218">
        <f t="shared" si="204"/>
        <v>0</v>
      </c>
      <c r="N171" s="1218">
        <f t="shared" si="205"/>
        <v>35632000</v>
      </c>
      <c r="O171" s="1218">
        <v>23085000</v>
      </c>
      <c r="P171" s="1218">
        <v>12547000</v>
      </c>
      <c r="Q171" s="1218">
        <v>0</v>
      </c>
      <c r="R171" s="1218">
        <f t="shared" si="150"/>
        <v>35632000</v>
      </c>
      <c r="S171" s="1218"/>
      <c r="T171" s="1218"/>
      <c r="U171" s="1218"/>
      <c r="V171" s="1218">
        <f t="shared" si="118"/>
        <v>0</v>
      </c>
      <c r="W171" s="1304">
        <f>+'CY (ALL FUNDS)'!F687</f>
        <v>0</v>
      </c>
      <c r="X171" s="1304">
        <f>+'CY (ALL FUNDS)'!G687</f>
        <v>6258300</v>
      </c>
      <c r="Y171" s="1304">
        <f>+'CY (ALL FUNDS)'!H687</f>
        <v>5000000</v>
      </c>
      <c r="Z171" s="1218">
        <f t="shared" si="151"/>
        <v>11258300</v>
      </c>
      <c r="AA171" s="1218">
        <f t="shared" si="152"/>
        <v>23085000</v>
      </c>
      <c r="AB171" s="1218">
        <f t="shared" si="153"/>
        <v>18805300</v>
      </c>
      <c r="AC171" s="1218">
        <f t="shared" si="154"/>
        <v>5000000</v>
      </c>
      <c r="AD171" s="1218">
        <f t="shared" si="155"/>
        <v>46890300</v>
      </c>
      <c r="AE171" s="1304">
        <f>+'CY (ALL FUNDS)'!J686</f>
        <v>20948260.780000001</v>
      </c>
      <c r="AF171" s="1304">
        <f>+'CY (ALL FUNDS)'!K686</f>
        <v>10712171.359999999</v>
      </c>
      <c r="AG171" s="1304">
        <f>+'CY (ALL FUNDS)'!L686</f>
        <v>0</v>
      </c>
      <c r="AH171" s="1218">
        <f t="shared" ref="AH171:AH232" si="208">SUM(AE171:AG171)</f>
        <v>31660432.140000001</v>
      </c>
      <c r="AI171" s="1304">
        <f>+'CY (ALL FUNDS)'!J687</f>
        <v>0</v>
      </c>
      <c r="AJ171" s="1304">
        <f>+'CY (ALL FUNDS)'!K687</f>
        <v>3225480.5900000003</v>
      </c>
      <c r="AK171" s="1304">
        <f>+'CY (ALL FUNDS)'!L687</f>
        <v>4890785.22</v>
      </c>
      <c r="AL171" s="1218">
        <f t="shared" ref="AL171:AL232" si="209">SUM(AI171:AK171)</f>
        <v>8116265.8100000005</v>
      </c>
      <c r="AM171" s="1218">
        <f t="shared" si="190"/>
        <v>20948260.780000001</v>
      </c>
      <c r="AN171" s="1218">
        <f t="shared" si="191"/>
        <v>13937651.949999999</v>
      </c>
      <c r="AO171" s="1218">
        <f t="shared" si="192"/>
        <v>4890785.22</v>
      </c>
      <c r="AP171" s="1218">
        <f t="shared" si="156"/>
        <v>39776697.950000003</v>
      </c>
      <c r="AQ171" s="1218">
        <f t="shared" si="157"/>
        <v>2136739.2199999988</v>
      </c>
      <c r="AR171" s="1218">
        <f t="shared" si="158"/>
        <v>4867648.0500000007</v>
      </c>
      <c r="AS171" s="1218">
        <f t="shared" si="159"/>
        <v>109214.78000000026</v>
      </c>
      <c r="AT171" s="1218">
        <f t="shared" si="160"/>
        <v>7113602.0499999998</v>
      </c>
      <c r="AU171" s="1219">
        <f t="shared" si="161"/>
        <v>0.90744036300628117</v>
      </c>
      <c r="AV171" s="1219">
        <f t="shared" si="162"/>
        <v>0.74115552264521167</v>
      </c>
      <c r="AW171" s="1219">
        <f t="shared" si="163"/>
        <v>0.97815704399999992</v>
      </c>
      <c r="AX171" s="1219">
        <f t="shared" si="164"/>
        <v>0.84829267353802396</v>
      </c>
      <c r="AY171" s="1218">
        <f t="shared" si="165"/>
        <v>0</v>
      </c>
      <c r="AZ171" s="1218">
        <f t="shared" si="166"/>
        <v>0</v>
      </c>
      <c r="BA171" s="1218">
        <f t="shared" si="167"/>
        <v>0</v>
      </c>
      <c r="BB171" s="1218">
        <f t="shared" si="168"/>
        <v>0</v>
      </c>
      <c r="BC171" s="125"/>
      <c r="BF171" s="105">
        <f t="shared" si="141"/>
        <v>1834828.6400000006</v>
      </c>
      <c r="BP171" s="1312">
        <f>+'CY (ALL FUNDS)'!F686</f>
        <v>23085000</v>
      </c>
      <c r="BQ171" s="1312">
        <f>+'CY (ALL FUNDS)'!G686</f>
        <v>12547000</v>
      </c>
      <c r="BR171" s="1312">
        <f>+'CY (ALL FUNDS)'!H686</f>
        <v>0</v>
      </c>
      <c r="BT171" s="111">
        <f t="shared" si="199"/>
        <v>0</v>
      </c>
      <c r="BU171" s="111">
        <f t="shared" si="200"/>
        <v>0</v>
      </c>
      <c r="BV171" s="111">
        <f t="shared" si="201"/>
        <v>0</v>
      </c>
    </row>
    <row r="172" spans="1:74">
      <c r="B172" s="1310"/>
      <c r="C172" s="1218"/>
      <c r="D172" s="1218"/>
      <c r="E172" s="1218"/>
      <c r="F172" s="1218"/>
      <c r="G172" s="1218"/>
      <c r="H172" s="1218"/>
      <c r="I172" s="1218"/>
      <c r="J172" s="1218">
        <f t="shared" si="207"/>
        <v>0</v>
      </c>
      <c r="K172" s="1218">
        <f t="shared" si="202"/>
        <v>0</v>
      </c>
      <c r="L172" s="1218">
        <f t="shared" si="203"/>
        <v>0</v>
      </c>
      <c r="M172" s="1218">
        <f t="shared" si="204"/>
        <v>0</v>
      </c>
      <c r="N172" s="1218">
        <f t="shared" si="205"/>
        <v>0</v>
      </c>
      <c r="O172" s="1218"/>
      <c r="P172" s="1218"/>
      <c r="Q172" s="1218"/>
      <c r="R172" s="1218">
        <f t="shared" si="150"/>
        <v>0</v>
      </c>
      <c r="S172" s="1218"/>
      <c r="T172" s="1218"/>
      <c r="U172" s="1218"/>
      <c r="V172" s="1218"/>
      <c r="W172" s="1304"/>
      <c r="X172" s="1304"/>
      <c r="Y172" s="1304"/>
      <c r="Z172" s="1218">
        <f t="shared" si="151"/>
        <v>0</v>
      </c>
      <c r="AA172" s="1218">
        <f t="shared" si="152"/>
        <v>0</v>
      </c>
      <c r="AB172" s="1218">
        <f t="shared" si="153"/>
        <v>0</v>
      </c>
      <c r="AC172" s="1218">
        <f t="shared" si="154"/>
        <v>0</v>
      </c>
      <c r="AD172" s="1218">
        <f t="shared" si="155"/>
        <v>0</v>
      </c>
      <c r="AE172" s="1304"/>
      <c r="AF172" s="1304"/>
      <c r="AG172" s="1304"/>
      <c r="AH172" s="1218"/>
      <c r="AI172" s="1304"/>
      <c r="AJ172" s="1304"/>
      <c r="AK172" s="1304"/>
      <c r="AL172" s="1218"/>
      <c r="AM172" s="1218"/>
      <c r="AN172" s="1218"/>
      <c r="AO172" s="1218"/>
      <c r="AP172" s="1218">
        <f t="shared" si="156"/>
        <v>0</v>
      </c>
      <c r="AQ172" s="1218">
        <f t="shared" si="157"/>
        <v>0</v>
      </c>
      <c r="AR172" s="1218">
        <f t="shared" si="158"/>
        <v>0</v>
      </c>
      <c r="AS172" s="1218">
        <f t="shared" si="159"/>
        <v>0</v>
      </c>
      <c r="AT172" s="1218">
        <f t="shared" si="160"/>
        <v>0</v>
      </c>
      <c r="AU172" s="1219" t="str">
        <f t="shared" si="161"/>
        <v xml:space="preserve"> </v>
      </c>
      <c r="AV172" s="1219" t="str">
        <f t="shared" si="162"/>
        <v xml:space="preserve"> </v>
      </c>
      <c r="AW172" s="1219" t="str">
        <f t="shared" si="163"/>
        <v xml:space="preserve"> </v>
      </c>
      <c r="AX172" s="1219" t="str">
        <f t="shared" si="164"/>
        <v xml:space="preserve"> </v>
      </c>
      <c r="AY172" s="1218">
        <f t="shared" si="165"/>
        <v>0</v>
      </c>
      <c r="AZ172" s="1218">
        <f t="shared" si="166"/>
        <v>0</v>
      </c>
      <c r="BA172" s="1218">
        <f t="shared" si="167"/>
        <v>0</v>
      </c>
      <c r="BB172" s="1218">
        <f t="shared" si="168"/>
        <v>0</v>
      </c>
      <c r="BC172" s="125"/>
      <c r="BF172" s="105">
        <f t="shared" si="141"/>
        <v>0</v>
      </c>
      <c r="BP172" s="1312"/>
      <c r="BQ172" s="1312"/>
      <c r="BR172" s="1312"/>
    </row>
    <row r="173" spans="1:74" ht="12.75">
      <c r="A173" s="587" t="s">
        <v>937</v>
      </c>
      <c r="B173" s="1305" t="s">
        <v>33</v>
      </c>
      <c r="C173" s="1218">
        <f>SUM(C174:C181)</f>
        <v>413566000</v>
      </c>
      <c r="D173" s="1218">
        <f>SUM(D174:D181)</f>
        <v>341822000</v>
      </c>
      <c r="E173" s="1218">
        <f>SUM(E174:E181)</f>
        <v>0</v>
      </c>
      <c r="F173" s="1218">
        <f t="shared" ref="F173:AO173" si="210">SUM(F174:F181)</f>
        <v>755388000</v>
      </c>
      <c r="G173" s="1218">
        <f t="shared" si="210"/>
        <v>16641681</v>
      </c>
      <c r="H173" s="1218">
        <f t="shared" si="210"/>
        <v>-16641681</v>
      </c>
      <c r="I173" s="1218">
        <f t="shared" si="210"/>
        <v>0</v>
      </c>
      <c r="J173" s="1218">
        <f t="shared" si="210"/>
        <v>0</v>
      </c>
      <c r="K173" s="1218">
        <f t="shared" si="210"/>
        <v>430207681</v>
      </c>
      <c r="L173" s="1218">
        <f t="shared" si="210"/>
        <v>325180319</v>
      </c>
      <c r="M173" s="1218">
        <f t="shared" si="210"/>
        <v>0</v>
      </c>
      <c r="N173" s="1218">
        <f t="shared" si="210"/>
        <v>755388000</v>
      </c>
      <c r="O173" s="1218">
        <f t="shared" si="210"/>
        <v>430207681</v>
      </c>
      <c r="P173" s="1218">
        <f t="shared" si="210"/>
        <v>325180319</v>
      </c>
      <c r="Q173" s="1218">
        <f t="shared" si="210"/>
        <v>0</v>
      </c>
      <c r="R173" s="1218">
        <f t="shared" si="150"/>
        <v>755388000</v>
      </c>
      <c r="S173" s="1218"/>
      <c r="T173" s="1218"/>
      <c r="U173" s="1218"/>
      <c r="V173" s="1218">
        <f>SUM(V174:V181)</f>
        <v>0</v>
      </c>
      <c r="W173" s="1218">
        <f t="shared" si="210"/>
        <v>0</v>
      </c>
      <c r="X173" s="1218">
        <f t="shared" si="210"/>
        <v>257522900.06</v>
      </c>
      <c r="Y173" s="1218">
        <f t="shared" si="210"/>
        <v>303830932</v>
      </c>
      <c r="Z173" s="1218">
        <f t="shared" si="151"/>
        <v>561353832.05999994</v>
      </c>
      <c r="AA173" s="1218">
        <f t="shared" si="152"/>
        <v>430207681</v>
      </c>
      <c r="AB173" s="1218">
        <f t="shared" si="153"/>
        <v>582703219.05999994</v>
      </c>
      <c r="AC173" s="1218">
        <f t="shared" si="154"/>
        <v>303830932</v>
      </c>
      <c r="AD173" s="1218">
        <f t="shared" si="155"/>
        <v>1316741832.0599999</v>
      </c>
      <c r="AE173" s="1218">
        <f t="shared" si="210"/>
        <v>396551613.13000005</v>
      </c>
      <c r="AF173" s="1218">
        <f>SUM(AF174:AF181)</f>
        <v>214230165.46000004</v>
      </c>
      <c r="AG173" s="1218">
        <f>SUM(AG174:AG181)</f>
        <v>0</v>
      </c>
      <c r="AH173" s="1218">
        <f t="shared" si="210"/>
        <v>610781778.59000003</v>
      </c>
      <c r="AI173" s="1218">
        <f t="shared" si="210"/>
        <v>0</v>
      </c>
      <c r="AJ173" s="1218">
        <f t="shared" si="210"/>
        <v>180608552.14999998</v>
      </c>
      <c r="AK173" s="1218">
        <f t="shared" si="210"/>
        <v>194779712.66</v>
      </c>
      <c r="AL173" s="1218">
        <f t="shared" si="210"/>
        <v>375388264.81000006</v>
      </c>
      <c r="AM173" s="1218">
        <f t="shared" si="210"/>
        <v>396551613.13000005</v>
      </c>
      <c r="AN173" s="1218">
        <f t="shared" si="210"/>
        <v>394838717.60999995</v>
      </c>
      <c r="AO173" s="1218">
        <f t="shared" si="210"/>
        <v>194779712.66</v>
      </c>
      <c r="AP173" s="1218">
        <f t="shared" si="156"/>
        <v>986170043.39999998</v>
      </c>
      <c r="AQ173" s="1218">
        <f t="shared" si="157"/>
        <v>33656067.869999945</v>
      </c>
      <c r="AR173" s="1218">
        <f t="shared" si="158"/>
        <v>187864501.44999999</v>
      </c>
      <c r="AS173" s="1218">
        <f t="shared" si="159"/>
        <v>109051219.34</v>
      </c>
      <c r="AT173" s="1218">
        <f t="shared" si="160"/>
        <v>330571788.65999997</v>
      </c>
      <c r="AU173" s="1219">
        <f t="shared" si="161"/>
        <v>0.92176785920751625</v>
      </c>
      <c r="AV173" s="1219">
        <f t="shared" si="162"/>
        <v>0.67759831196220677</v>
      </c>
      <c r="AW173" s="1219">
        <f t="shared" si="163"/>
        <v>0.64107927187611036</v>
      </c>
      <c r="AX173" s="1219">
        <f t="shared" si="164"/>
        <v>0.74894715075404639</v>
      </c>
      <c r="AY173" s="1218">
        <f t="shared" si="165"/>
        <v>0</v>
      </c>
      <c r="AZ173" s="1218">
        <f t="shared" si="166"/>
        <v>0</v>
      </c>
      <c r="BA173" s="1218">
        <f t="shared" si="167"/>
        <v>0</v>
      </c>
      <c r="BB173" s="1218">
        <f t="shared" si="168"/>
        <v>0</v>
      </c>
      <c r="BC173" s="125"/>
      <c r="BF173" s="105">
        <f t="shared" si="141"/>
        <v>110950153.53999996</v>
      </c>
      <c r="BP173" s="1313"/>
      <c r="BQ173" s="1313"/>
      <c r="BR173" s="1313"/>
    </row>
    <row r="174" spans="1:74" ht="36">
      <c r="A174" s="587" t="s">
        <v>937</v>
      </c>
      <c r="B174" s="1306" t="s">
        <v>534</v>
      </c>
      <c r="C174" s="1218">
        <v>26290000</v>
      </c>
      <c r="D174" s="1218">
        <v>17959000</v>
      </c>
      <c r="E174" s="1218">
        <v>0</v>
      </c>
      <c r="F174" s="1218">
        <f t="shared" si="206"/>
        <v>44249000</v>
      </c>
      <c r="G174" s="1218"/>
      <c r="H174" s="1218"/>
      <c r="I174" s="1218"/>
      <c r="J174" s="1218">
        <f t="shared" si="207"/>
        <v>0</v>
      </c>
      <c r="K174" s="1218">
        <f t="shared" si="202"/>
        <v>26290000</v>
      </c>
      <c r="L174" s="1218">
        <f t="shared" si="203"/>
        <v>17959000</v>
      </c>
      <c r="M174" s="1218">
        <f t="shared" si="204"/>
        <v>0</v>
      </c>
      <c r="N174" s="1218">
        <f t="shared" si="205"/>
        <v>44249000</v>
      </c>
      <c r="O174" s="1218">
        <v>26290000</v>
      </c>
      <c r="P174" s="1218">
        <v>17959000</v>
      </c>
      <c r="Q174" s="1218">
        <v>0</v>
      </c>
      <c r="R174" s="1218">
        <f t="shared" si="150"/>
        <v>44249000</v>
      </c>
      <c r="S174" s="1218"/>
      <c r="T174" s="1218"/>
      <c r="U174" s="1218"/>
      <c r="V174" s="1218">
        <f t="shared" ref="V174:V232" si="211">SUM(S174:U174)</f>
        <v>0</v>
      </c>
      <c r="W174" s="1304"/>
      <c r="X174" s="1304"/>
      <c r="Y174" s="1304"/>
      <c r="Z174" s="1218">
        <f t="shared" si="151"/>
        <v>0</v>
      </c>
      <c r="AA174" s="1218">
        <f t="shared" si="152"/>
        <v>26290000</v>
      </c>
      <c r="AB174" s="1218">
        <f t="shared" si="153"/>
        <v>17959000</v>
      </c>
      <c r="AC174" s="1218">
        <f t="shared" si="154"/>
        <v>0</v>
      </c>
      <c r="AD174" s="1218">
        <f t="shared" si="155"/>
        <v>44249000</v>
      </c>
      <c r="AE174" s="1304">
        <f>+'CY (ALL FUNDS)'!J718</f>
        <v>23098877.680000003</v>
      </c>
      <c r="AF174" s="1304">
        <f>+'CY (ALL FUNDS)'!K718</f>
        <v>10027500.510000002</v>
      </c>
      <c r="AG174" s="1304">
        <f>+'CY (ALL FUNDS)'!L718</f>
        <v>0</v>
      </c>
      <c r="AH174" s="1218">
        <f t="shared" si="208"/>
        <v>33126378.190000005</v>
      </c>
      <c r="AI174" s="1304"/>
      <c r="AJ174" s="1304"/>
      <c r="AK174" s="1304"/>
      <c r="AL174" s="1218">
        <f t="shared" si="209"/>
        <v>0</v>
      </c>
      <c r="AM174" s="1218">
        <f t="shared" ref="AM174:AM181" si="212">+AE174+AI174</f>
        <v>23098877.680000003</v>
      </c>
      <c r="AN174" s="1218">
        <f t="shared" ref="AN174:AN181" si="213">+AF174+AJ174</f>
        <v>10027500.510000002</v>
      </c>
      <c r="AO174" s="1218">
        <f t="shared" ref="AO174:AO181" si="214">+AG174+AK174</f>
        <v>0</v>
      </c>
      <c r="AP174" s="1218">
        <f t="shared" si="156"/>
        <v>33126378.190000005</v>
      </c>
      <c r="AQ174" s="1218">
        <f t="shared" si="157"/>
        <v>3191122.3199999966</v>
      </c>
      <c r="AR174" s="1218">
        <f t="shared" si="158"/>
        <v>7931499.4899999984</v>
      </c>
      <c r="AS174" s="1218">
        <f t="shared" si="159"/>
        <v>0</v>
      </c>
      <c r="AT174" s="1218">
        <f t="shared" si="160"/>
        <v>11122621.809999995</v>
      </c>
      <c r="AU174" s="1219">
        <f t="shared" si="161"/>
        <v>0.87861839786991269</v>
      </c>
      <c r="AV174" s="1219">
        <f t="shared" si="162"/>
        <v>0.5583551706665183</v>
      </c>
      <c r="AW174" s="1219" t="str">
        <f t="shared" si="163"/>
        <v xml:space="preserve"> </v>
      </c>
      <c r="AX174" s="1219">
        <f t="shared" si="164"/>
        <v>0.74863563447761539</v>
      </c>
      <c r="AY174" s="1218">
        <f t="shared" si="165"/>
        <v>0</v>
      </c>
      <c r="AZ174" s="1218">
        <f t="shared" si="166"/>
        <v>0</v>
      </c>
      <c r="BA174" s="1218">
        <f t="shared" si="167"/>
        <v>0</v>
      </c>
      <c r="BB174" s="1218">
        <f t="shared" si="168"/>
        <v>0</v>
      </c>
      <c r="BC174" s="125"/>
      <c r="BD174" s="105">
        <f>+AT174-'CY (ALL FUNDS)'!Q718</f>
        <v>0</v>
      </c>
      <c r="BF174" s="105">
        <f t="shared" si="141"/>
        <v>7931499.4899999984</v>
      </c>
      <c r="BP174" s="1312">
        <f>+'CY (ALL FUNDS)'!F718</f>
        <v>26290000</v>
      </c>
      <c r="BQ174" s="1312">
        <f>+'CY (ALL FUNDS)'!G718</f>
        <v>17959000</v>
      </c>
      <c r="BR174" s="1312">
        <f>+'CY (ALL FUNDS)'!H718</f>
        <v>0</v>
      </c>
      <c r="BT174" s="111">
        <f t="shared" ref="BT174:BT176" si="215">+O174-BP174</f>
        <v>0</v>
      </c>
      <c r="BU174" s="111">
        <f t="shared" ref="BU174:BU176" si="216">+P174-BQ174</f>
        <v>0</v>
      </c>
      <c r="BV174" s="111">
        <f t="shared" ref="BV174:BV176" si="217">+Q174-BR174</f>
        <v>0</v>
      </c>
    </row>
    <row r="175" spans="1:74" ht="12.75">
      <c r="A175" s="587" t="s">
        <v>937</v>
      </c>
      <c r="B175" s="1307" t="s">
        <v>535</v>
      </c>
      <c r="C175" s="1218">
        <v>0</v>
      </c>
      <c r="D175" s="1218">
        <v>5323000</v>
      </c>
      <c r="E175" s="1218">
        <v>0</v>
      </c>
      <c r="F175" s="1218">
        <f t="shared" si="206"/>
        <v>5323000</v>
      </c>
      <c r="G175" s="1218"/>
      <c r="H175" s="1218"/>
      <c r="I175" s="1218"/>
      <c r="J175" s="1218">
        <f t="shared" si="207"/>
        <v>0</v>
      </c>
      <c r="K175" s="1218">
        <f t="shared" si="202"/>
        <v>0</v>
      </c>
      <c r="L175" s="1218">
        <f t="shared" si="203"/>
        <v>5323000</v>
      </c>
      <c r="M175" s="1218">
        <f t="shared" si="204"/>
        <v>0</v>
      </c>
      <c r="N175" s="1218">
        <f t="shared" si="205"/>
        <v>5323000</v>
      </c>
      <c r="O175" s="1218">
        <v>0</v>
      </c>
      <c r="P175" s="1218">
        <v>5323000</v>
      </c>
      <c r="Q175" s="1218">
        <v>0</v>
      </c>
      <c r="R175" s="1218">
        <f t="shared" si="150"/>
        <v>5323000</v>
      </c>
      <c r="S175" s="1218"/>
      <c r="T175" s="1218"/>
      <c r="U175" s="1218"/>
      <c r="V175" s="1218">
        <f t="shared" si="211"/>
        <v>0</v>
      </c>
      <c r="W175" s="1304"/>
      <c r="X175" s="1304"/>
      <c r="Y175" s="1304"/>
      <c r="Z175" s="1218">
        <f t="shared" si="151"/>
        <v>0</v>
      </c>
      <c r="AA175" s="1218">
        <f t="shared" si="152"/>
        <v>0</v>
      </c>
      <c r="AB175" s="1218">
        <f t="shared" si="153"/>
        <v>5323000</v>
      </c>
      <c r="AC175" s="1218">
        <f t="shared" si="154"/>
        <v>0</v>
      </c>
      <c r="AD175" s="1218">
        <f t="shared" si="155"/>
        <v>5323000</v>
      </c>
      <c r="AE175" s="1304">
        <f>+'CY (ALL FUNDS)'!J719</f>
        <v>0</v>
      </c>
      <c r="AF175" s="1304">
        <f>+'CY (ALL FUNDS)'!K719</f>
        <v>2668414.62</v>
      </c>
      <c r="AG175" s="1304">
        <f>+'CY (ALL FUNDS)'!L719</f>
        <v>0</v>
      </c>
      <c r="AH175" s="1218">
        <f t="shared" si="208"/>
        <v>2668414.62</v>
      </c>
      <c r="AI175" s="1304"/>
      <c r="AJ175" s="1304"/>
      <c r="AK175" s="1304"/>
      <c r="AL175" s="1218">
        <f t="shared" si="209"/>
        <v>0</v>
      </c>
      <c r="AM175" s="1218">
        <f t="shared" si="212"/>
        <v>0</v>
      </c>
      <c r="AN175" s="1218">
        <f t="shared" si="213"/>
        <v>2668414.62</v>
      </c>
      <c r="AO175" s="1218">
        <f t="shared" si="214"/>
        <v>0</v>
      </c>
      <c r="AP175" s="1218">
        <f t="shared" si="156"/>
        <v>2668414.62</v>
      </c>
      <c r="AQ175" s="1218">
        <f t="shared" si="157"/>
        <v>0</v>
      </c>
      <c r="AR175" s="1218">
        <f t="shared" si="158"/>
        <v>2654585.38</v>
      </c>
      <c r="AS175" s="1218">
        <f t="shared" si="159"/>
        <v>0</v>
      </c>
      <c r="AT175" s="1218">
        <f t="shared" si="160"/>
        <v>2654585.38</v>
      </c>
      <c r="AU175" s="1219" t="str">
        <f t="shared" si="161"/>
        <v xml:space="preserve"> </v>
      </c>
      <c r="AV175" s="1219">
        <f t="shared" si="162"/>
        <v>0.50129900807815142</v>
      </c>
      <c r="AW175" s="1219" t="str">
        <f t="shared" si="163"/>
        <v xml:space="preserve"> </v>
      </c>
      <c r="AX175" s="1219">
        <f t="shared" si="164"/>
        <v>0.50129900807815142</v>
      </c>
      <c r="AY175" s="1218">
        <f t="shared" si="165"/>
        <v>0</v>
      </c>
      <c r="AZ175" s="1218">
        <f t="shared" si="166"/>
        <v>0</v>
      </c>
      <c r="BA175" s="1218">
        <f t="shared" si="167"/>
        <v>0</v>
      </c>
      <c r="BB175" s="1218">
        <f t="shared" si="168"/>
        <v>0</v>
      </c>
      <c r="BC175" s="125"/>
      <c r="BD175" s="105">
        <f>+AT175-'CY (ALL FUNDS)'!Q719</f>
        <v>0</v>
      </c>
      <c r="BF175" s="105">
        <f t="shared" si="141"/>
        <v>2654585.38</v>
      </c>
      <c r="BP175" s="1312">
        <f>+'CY (ALL FUNDS)'!F719</f>
        <v>0</v>
      </c>
      <c r="BQ175" s="1312">
        <f>+'CY (ALL FUNDS)'!G719</f>
        <v>5323000</v>
      </c>
      <c r="BR175" s="1312">
        <f>+'CY (ALL FUNDS)'!H719</f>
        <v>0</v>
      </c>
      <c r="BT175" s="111">
        <f t="shared" si="215"/>
        <v>0</v>
      </c>
      <c r="BU175" s="111">
        <f t="shared" si="216"/>
        <v>0</v>
      </c>
      <c r="BV175" s="111">
        <f t="shared" si="217"/>
        <v>0</v>
      </c>
    </row>
    <row r="176" spans="1:74" ht="36">
      <c r="A176" s="587" t="s">
        <v>937</v>
      </c>
      <c r="B176" s="1306" t="s">
        <v>536</v>
      </c>
      <c r="C176" s="1218">
        <v>55862000</v>
      </c>
      <c r="D176" s="1218">
        <v>180215000</v>
      </c>
      <c r="E176" s="1218">
        <v>0</v>
      </c>
      <c r="F176" s="1218">
        <f t="shared" si="206"/>
        <v>236077000</v>
      </c>
      <c r="G176" s="1218"/>
      <c r="H176" s="1218"/>
      <c r="I176" s="1218"/>
      <c r="J176" s="1218">
        <f t="shared" si="207"/>
        <v>0</v>
      </c>
      <c r="K176" s="1218">
        <f t="shared" si="202"/>
        <v>55862000</v>
      </c>
      <c r="L176" s="1218">
        <f t="shared" si="203"/>
        <v>180215000</v>
      </c>
      <c r="M176" s="1218">
        <f t="shared" si="204"/>
        <v>0</v>
      </c>
      <c r="N176" s="1218">
        <f t="shared" si="205"/>
        <v>236077000</v>
      </c>
      <c r="O176" s="1218">
        <v>55862000</v>
      </c>
      <c r="P176" s="1218">
        <v>180215000</v>
      </c>
      <c r="Q176" s="1218">
        <v>0</v>
      </c>
      <c r="R176" s="1218">
        <f t="shared" si="150"/>
        <v>236077000</v>
      </c>
      <c r="S176" s="1218"/>
      <c r="T176" s="1218"/>
      <c r="U176" s="1218"/>
      <c r="V176" s="1218">
        <f t="shared" si="211"/>
        <v>0</v>
      </c>
      <c r="W176" s="1304">
        <f>+'CY (ALL FUNDS)'!F721</f>
        <v>0</v>
      </c>
      <c r="X176" s="1304">
        <f>+'CY (ALL FUNDS)'!G721</f>
        <v>179750925</v>
      </c>
      <c r="Y176" s="1304">
        <f>+'CY (ALL FUNDS)'!H721</f>
        <v>81800000</v>
      </c>
      <c r="Z176" s="1218">
        <f t="shared" si="151"/>
        <v>261550925</v>
      </c>
      <c r="AA176" s="1218">
        <f t="shared" si="152"/>
        <v>55862000</v>
      </c>
      <c r="AB176" s="1218">
        <f t="shared" si="153"/>
        <v>359965925</v>
      </c>
      <c r="AC176" s="1218">
        <f t="shared" si="154"/>
        <v>81800000</v>
      </c>
      <c r="AD176" s="1218">
        <f t="shared" si="155"/>
        <v>497627925</v>
      </c>
      <c r="AE176" s="1304">
        <f>+'CY (ALL FUNDS)'!J720</f>
        <v>50972225.480000004</v>
      </c>
      <c r="AF176" s="1304">
        <f>+'CY (ALL FUNDS)'!K720</f>
        <v>102168852.95</v>
      </c>
      <c r="AG176" s="1304">
        <f>+'CY (ALL FUNDS)'!L720</f>
        <v>0</v>
      </c>
      <c r="AH176" s="1218">
        <f t="shared" si="208"/>
        <v>153141078.43000001</v>
      </c>
      <c r="AI176" s="1304">
        <f>+'CY (ALL FUNDS)'!J721</f>
        <v>0</v>
      </c>
      <c r="AJ176" s="1304">
        <f>+'CY (ALL FUNDS)'!K721</f>
        <v>118567442.73999999</v>
      </c>
      <c r="AK176" s="1304">
        <f>+'CY (ALL FUNDS)'!L721</f>
        <v>81800000</v>
      </c>
      <c r="AL176" s="1218">
        <f t="shared" si="209"/>
        <v>200367442.74000001</v>
      </c>
      <c r="AM176" s="1218">
        <f t="shared" si="212"/>
        <v>50972225.480000004</v>
      </c>
      <c r="AN176" s="1218">
        <f t="shared" si="213"/>
        <v>220736295.69</v>
      </c>
      <c r="AO176" s="1218">
        <f t="shared" si="214"/>
        <v>81800000</v>
      </c>
      <c r="AP176" s="1218">
        <f t="shared" si="156"/>
        <v>353508521.17000002</v>
      </c>
      <c r="AQ176" s="1218">
        <f t="shared" si="157"/>
        <v>4889774.5199999958</v>
      </c>
      <c r="AR176" s="1218">
        <f t="shared" si="158"/>
        <v>139229629.31</v>
      </c>
      <c r="AS176" s="1218">
        <f t="shared" si="159"/>
        <v>0</v>
      </c>
      <c r="AT176" s="1218">
        <f t="shared" si="160"/>
        <v>144119403.82999998</v>
      </c>
      <c r="AU176" s="1219">
        <f t="shared" si="161"/>
        <v>0.91246689126776703</v>
      </c>
      <c r="AV176" s="1219">
        <f t="shared" si="162"/>
        <v>0.6132144193648329</v>
      </c>
      <c r="AW176" s="1219">
        <f t="shared" si="163"/>
        <v>1</v>
      </c>
      <c r="AX176" s="1219">
        <f t="shared" si="164"/>
        <v>0.71038722589774284</v>
      </c>
      <c r="AY176" s="1218">
        <f t="shared" si="165"/>
        <v>0</v>
      </c>
      <c r="AZ176" s="1218">
        <f t="shared" si="166"/>
        <v>0</v>
      </c>
      <c r="BA176" s="1218">
        <f t="shared" si="167"/>
        <v>0</v>
      </c>
      <c r="BB176" s="1218">
        <f t="shared" si="168"/>
        <v>0</v>
      </c>
      <c r="BC176" s="125"/>
      <c r="BD176" s="105">
        <f>+AT176-'CY (ALL FUNDS)'!Q720-'CY (ALL FUNDS)'!Q721</f>
        <v>0</v>
      </c>
      <c r="BF176" s="105">
        <f t="shared" si="141"/>
        <v>78046147.049999997</v>
      </c>
      <c r="BP176" s="1312">
        <f>+'CY (ALL FUNDS)'!F720</f>
        <v>55862000</v>
      </c>
      <c r="BQ176" s="1312">
        <f>+'CY (ALL FUNDS)'!G720</f>
        <v>180215000</v>
      </c>
      <c r="BR176" s="1312">
        <f>+'CY (ALL FUNDS)'!H720</f>
        <v>0</v>
      </c>
      <c r="BT176" s="111">
        <f t="shared" si="215"/>
        <v>0</v>
      </c>
      <c r="BU176" s="111">
        <f t="shared" si="216"/>
        <v>0</v>
      </c>
      <c r="BV176" s="111">
        <f t="shared" si="217"/>
        <v>0</v>
      </c>
    </row>
    <row r="177" spans="1:74" ht="12.75">
      <c r="A177" s="587" t="s">
        <v>937</v>
      </c>
      <c r="B177" s="1307" t="s">
        <v>537</v>
      </c>
      <c r="C177" s="1218">
        <v>0</v>
      </c>
      <c r="D177" s="1218">
        <v>0</v>
      </c>
      <c r="E177" s="1218">
        <v>0</v>
      </c>
      <c r="F177" s="1218">
        <f t="shared" si="206"/>
        <v>0</v>
      </c>
      <c r="G177" s="1218"/>
      <c r="H177" s="1218"/>
      <c r="I177" s="1218"/>
      <c r="J177" s="1218">
        <f t="shared" si="207"/>
        <v>0</v>
      </c>
      <c r="K177" s="1218">
        <f t="shared" si="202"/>
        <v>0</v>
      </c>
      <c r="L177" s="1218">
        <f t="shared" si="203"/>
        <v>0</v>
      </c>
      <c r="M177" s="1218">
        <f t="shared" si="204"/>
        <v>0</v>
      </c>
      <c r="N177" s="1218">
        <f t="shared" si="205"/>
        <v>0</v>
      </c>
      <c r="O177" s="1218">
        <v>0</v>
      </c>
      <c r="P177" s="1218">
        <v>0</v>
      </c>
      <c r="Q177" s="1218">
        <v>0</v>
      </c>
      <c r="R177" s="1218">
        <f t="shared" si="150"/>
        <v>0</v>
      </c>
      <c r="S177" s="1218"/>
      <c r="T177" s="1218"/>
      <c r="U177" s="1218"/>
      <c r="V177" s="1218">
        <f t="shared" si="211"/>
        <v>0</v>
      </c>
      <c r="W177" s="1304"/>
      <c r="X177" s="1304"/>
      <c r="Y177" s="1304"/>
      <c r="Z177" s="1218">
        <f t="shared" si="151"/>
        <v>0</v>
      </c>
      <c r="AA177" s="1218">
        <f t="shared" si="152"/>
        <v>0</v>
      </c>
      <c r="AB177" s="1218">
        <f t="shared" si="153"/>
        <v>0</v>
      </c>
      <c r="AC177" s="1218">
        <f t="shared" si="154"/>
        <v>0</v>
      </c>
      <c r="AD177" s="1218">
        <f t="shared" si="155"/>
        <v>0</v>
      </c>
      <c r="AE177" s="1304"/>
      <c r="AF177" s="1304"/>
      <c r="AG177" s="1304"/>
      <c r="AH177" s="1218">
        <f t="shared" si="208"/>
        <v>0</v>
      </c>
      <c r="AI177" s="1304"/>
      <c r="AJ177" s="1304"/>
      <c r="AK177" s="1304"/>
      <c r="AL177" s="1218">
        <f t="shared" si="209"/>
        <v>0</v>
      </c>
      <c r="AM177" s="1218">
        <f t="shared" si="212"/>
        <v>0</v>
      </c>
      <c r="AN177" s="1218">
        <f t="shared" si="213"/>
        <v>0</v>
      </c>
      <c r="AO177" s="1218">
        <f t="shared" si="214"/>
        <v>0</v>
      </c>
      <c r="AP177" s="1218">
        <f t="shared" si="156"/>
        <v>0</v>
      </c>
      <c r="AQ177" s="1218">
        <f t="shared" si="157"/>
        <v>0</v>
      </c>
      <c r="AR177" s="1218">
        <f t="shared" si="158"/>
        <v>0</v>
      </c>
      <c r="AS177" s="1218">
        <f t="shared" si="159"/>
        <v>0</v>
      </c>
      <c r="AT177" s="1218">
        <f t="shared" si="160"/>
        <v>0</v>
      </c>
      <c r="AU177" s="1219" t="str">
        <f t="shared" si="161"/>
        <v xml:space="preserve"> </v>
      </c>
      <c r="AV177" s="1219" t="str">
        <f t="shared" si="162"/>
        <v xml:space="preserve"> </v>
      </c>
      <c r="AW177" s="1219" t="str">
        <f t="shared" si="163"/>
        <v xml:space="preserve"> </v>
      </c>
      <c r="AX177" s="1219" t="str">
        <f t="shared" si="164"/>
        <v xml:space="preserve"> </v>
      </c>
      <c r="AY177" s="1218">
        <f t="shared" si="165"/>
        <v>0</v>
      </c>
      <c r="AZ177" s="1218">
        <f t="shared" si="166"/>
        <v>0</v>
      </c>
      <c r="BA177" s="1218">
        <f t="shared" si="167"/>
        <v>0</v>
      </c>
      <c r="BB177" s="1218">
        <f t="shared" si="168"/>
        <v>0</v>
      </c>
      <c r="BC177" s="125"/>
      <c r="BF177" s="105">
        <f t="shared" si="141"/>
        <v>0</v>
      </c>
      <c r="BP177" s="1312"/>
      <c r="BQ177" s="1312"/>
      <c r="BR177" s="1312"/>
    </row>
    <row r="178" spans="1:74" ht="24">
      <c r="A178" s="587" t="s">
        <v>937</v>
      </c>
      <c r="B178" s="1308" t="s">
        <v>564</v>
      </c>
      <c r="C178" s="1218">
        <v>171850000</v>
      </c>
      <c r="D178" s="1218">
        <v>64470000</v>
      </c>
      <c r="E178" s="1218">
        <v>0</v>
      </c>
      <c r="F178" s="1218">
        <f t="shared" si="206"/>
        <v>236320000</v>
      </c>
      <c r="G178" s="1218">
        <v>16641681</v>
      </c>
      <c r="H178" s="1218">
        <v>-16641681</v>
      </c>
      <c r="I178" s="1218"/>
      <c r="J178" s="1218">
        <f t="shared" si="207"/>
        <v>0</v>
      </c>
      <c r="K178" s="1218">
        <f t="shared" si="202"/>
        <v>188491681</v>
      </c>
      <c r="L178" s="1218">
        <f t="shared" si="203"/>
        <v>47828319</v>
      </c>
      <c r="M178" s="1218">
        <f t="shared" si="204"/>
        <v>0</v>
      </c>
      <c r="N178" s="1218">
        <f t="shared" si="205"/>
        <v>236320000</v>
      </c>
      <c r="O178" s="1218">
        <v>188491681</v>
      </c>
      <c r="P178" s="1218">
        <v>47828319</v>
      </c>
      <c r="Q178" s="1218">
        <v>0</v>
      </c>
      <c r="R178" s="1218">
        <f t="shared" si="150"/>
        <v>236320000</v>
      </c>
      <c r="S178" s="1218"/>
      <c r="T178" s="1218"/>
      <c r="U178" s="1218"/>
      <c r="V178" s="1218">
        <f t="shared" si="211"/>
        <v>0</v>
      </c>
      <c r="W178" s="1304">
        <f>+'CY (ALL FUNDS)'!F737</f>
        <v>0</v>
      </c>
      <c r="X178" s="1304">
        <f>+'CY (ALL FUNDS)'!G737</f>
        <v>39525975.060000002</v>
      </c>
      <c r="Y178" s="1304">
        <f>+'CY (ALL FUNDS)'!H737</f>
        <v>97780932</v>
      </c>
      <c r="Z178" s="1218">
        <f t="shared" si="151"/>
        <v>137306907.06</v>
      </c>
      <c r="AA178" s="1218">
        <f t="shared" si="152"/>
        <v>188491681</v>
      </c>
      <c r="AB178" s="1218">
        <f t="shared" si="153"/>
        <v>87354294.060000002</v>
      </c>
      <c r="AC178" s="1218">
        <f t="shared" si="154"/>
        <v>97780932</v>
      </c>
      <c r="AD178" s="1218">
        <f t="shared" si="155"/>
        <v>373626907.06</v>
      </c>
      <c r="AE178" s="1304">
        <f>+'CY (ALL FUNDS)'!J736</f>
        <v>175442649.88999999</v>
      </c>
      <c r="AF178" s="1304">
        <f>+'CY (ALL FUNDS)'!K736</f>
        <v>41704696.619999997</v>
      </c>
      <c r="AG178" s="1304">
        <f>+'CY (ALL FUNDS)'!L736</f>
        <v>0</v>
      </c>
      <c r="AH178" s="1218">
        <f t="shared" si="208"/>
        <v>217147346.50999999</v>
      </c>
      <c r="AI178" s="1304">
        <f>+'CY (ALL FUNDS)'!J737</f>
        <v>0</v>
      </c>
      <c r="AJ178" s="1304">
        <f>+'CY (ALL FUNDS)'!K737</f>
        <v>34784359.710000001</v>
      </c>
      <c r="AK178" s="1304">
        <f>+'CY (ALL FUNDS)'!L737</f>
        <v>85202888.879999995</v>
      </c>
      <c r="AL178" s="1218">
        <f t="shared" si="209"/>
        <v>119987248.59</v>
      </c>
      <c r="AM178" s="1218">
        <f t="shared" si="212"/>
        <v>175442649.88999999</v>
      </c>
      <c r="AN178" s="1218">
        <f t="shared" si="213"/>
        <v>76489056.329999998</v>
      </c>
      <c r="AO178" s="1218">
        <f t="shared" si="214"/>
        <v>85202888.879999995</v>
      </c>
      <c r="AP178" s="1218">
        <f t="shared" si="156"/>
        <v>337134595.09999996</v>
      </c>
      <c r="AQ178" s="1218">
        <f t="shared" si="157"/>
        <v>13049031.110000014</v>
      </c>
      <c r="AR178" s="1218">
        <f t="shared" si="158"/>
        <v>10865237.730000004</v>
      </c>
      <c r="AS178" s="1218">
        <f t="shared" si="159"/>
        <v>12578043.120000005</v>
      </c>
      <c r="AT178" s="1218">
        <f t="shared" si="160"/>
        <v>36492311.960000023</v>
      </c>
      <c r="AU178" s="1219">
        <f t="shared" si="161"/>
        <v>0.93077131552559067</v>
      </c>
      <c r="AV178" s="1219">
        <f t="shared" si="162"/>
        <v>0.87561873349308816</v>
      </c>
      <c r="AW178" s="1219">
        <f t="shared" si="163"/>
        <v>0.87136507228219096</v>
      </c>
      <c r="AX178" s="1219">
        <f t="shared" si="164"/>
        <v>0.90232953978836483</v>
      </c>
      <c r="AY178" s="1218">
        <f t="shared" si="165"/>
        <v>0</v>
      </c>
      <c r="AZ178" s="1218">
        <f t="shared" si="166"/>
        <v>0</v>
      </c>
      <c r="BA178" s="1218">
        <f t="shared" si="167"/>
        <v>0</v>
      </c>
      <c r="BB178" s="1218">
        <f t="shared" si="168"/>
        <v>0</v>
      </c>
      <c r="BC178" s="125"/>
      <c r="BF178" s="105">
        <f t="shared" si="141"/>
        <v>6123622.3800000027</v>
      </c>
      <c r="BP178" s="1312">
        <f>+'CY (ALL FUNDS)'!F736</f>
        <v>188491681</v>
      </c>
      <c r="BQ178" s="1312">
        <f>+'CY (ALL FUNDS)'!G736</f>
        <v>47828319</v>
      </c>
      <c r="BR178" s="1312">
        <f>+'CY (ALL FUNDS)'!H736</f>
        <v>0</v>
      </c>
      <c r="BT178" s="111">
        <f t="shared" ref="BT178:BT181" si="218">+O178-BP178</f>
        <v>0</v>
      </c>
      <c r="BU178" s="111">
        <f t="shared" ref="BU178:BU181" si="219">+P178-BQ178</f>
        <v>0</v>
      </c>
      <c r="BV178" s="111">
        <f t="shared" ref="BV178:BV181" si="220">+Q178-BR178</f>
        <v>0</v>
      </c>
    </row>
    <row r="179" spans="1:74" ht="36">
      <c r="A179" s="587" t="s">
        <v>937</v>
      </c>
      <c r="B179" s="1308" t="s">
        <v>565</v>
      </c>
      <c r="C179" s="1218">
        <v>135645000</v>
      </c>
      <c r="D179" s="1218">
        <v>48725000</v>
      </c>
      <c r="E179" s="1218">
        <v>0</v>
      </c>
      <c r="F179" s="1218">
        <f t="shared" si="206"/>
        <v>184370000</v>
      </c>
      <c r="G179" s="1218"/>
      <c r="H179" s="1218"/>
      <c r="I179" s="1218"/>
      <c r="J179" s="1218">
        <f t="shared" si="207"/>
        <v>0</v>
      </c>
      <c r="K179" s="1218">
        <f t="shared" si="202"/>
        <v>135645000</v>
      </c>
      <c r="L179" s="1218">
        <f t="shared" si="203"/>
        <v>48725000</v>
      </c>
      <c r="M179" s="1218">
        <f t="shared" si="204"/>
        <v>0</v>
      </c>
      <c r="N179" s="1218">
        <f t="shared" si="205"/>
        <v>184370000</v>
      </c>
      <c r="O179" s="1218">
        <v>135645000</v>
      </c>
      <c r="P179" s="1218">
        <v>48725000</v>
      </c>
      <c r="Q179" s="1218">
        <v>0</v>
      </c>
      <c r="R179" s="1218">
        <f t="shared" si="150"/>
        <v>184370000</v>
      </c>
      <c r="S179" s="1218"/>
      <c r="T179" s="1218"/>
      <c r="U179" s="1218"/>
      <c r="V179" s="1218">
        <f t="shared" si="211"/>
        <v>0</v>
      </c>
      <c r="W179" s="1304">
        <f>+'CY (ALL FUNDS)'!F782</f>
        <v>0</v>
      </c>
      <c r="X179" s="1304">
        <f>+'CY (ALL FUNDS)'!G782</f>
        <v>30082000</v>
      </c>
      <c r="Y179" s="1304">
        <f>+'CY (ALL FUNDS)'!H782</f>
        <v>120000000</v>
      </c>
      <c r="Z179" s="1218">
        <f t="shared" si="151"/>
        <v>150082000</v>
      </c>
      <c r="AA179" s="1218">
        <f t="shared" si="152"/>
        <v>135645000</v>
      </c>
      <c r="AB179" s="1218">
        <f t="shared" si="153"/>
        <v>78807000</v>
      </c>
      <c r="AC179" s="1218">
        <f t="shared" si="154"/>
        <v>120000000</v>
      </c>
      <c r="AD179" s="1218">
        <f t="shared" si="155"/>
        <v>334452000</v>
      </c>
      <c r="AE179" s="1304">
        <f>+'CY (ALL FUNDS)'!J781</f>
        <v>125042101.80000001</v>
      </c>
      <c r="AF179" s="1304">
        <f>+'CY (ALL FUNDS)'!K781</f>
        <v>34922774.079999998</v>
      </c>
      <c r="AG179" s="1304">
        <f>+'CY (ALL FUNDS)'!L781</f>
        <v>0</v>
      </c>
      <c r="AH179" s="1218">
        <f t="shared" si="208"/>
        <v>159964875.88</v>
      </c>
      <c r="AI179" s="1304">
        <f>+'CY (ALL FUNDS)'!J782</f>
        <v>0</v>
      </c>
      <c r="AJ179" s="1304">
        <f>+'CY (ALL FUNDS)'!K782</f>
        <v>23627885.059999999</v>
      </c>
      <c r="AK179" s="1304">
        <f>+'CY (ALL FUNDS)'!L782</f>
        <v>23786620.66</v>
      </c>
      <c r="AL179" s="1218">
        <f t="shared" si="209"/>
        <v>47414505.719999999</v>
      </c>
      <c r="AM179" s="1218">
        <f t="shared" si="212"/>
        <v>125042101.80000001</v>
      </c>
      <c r="AN179" s="1218">
        <f t="shared" si="213"/>
        <v>58550659.140000001</v>
      </c>
      <c r="AO179" s="1218">
        <f t="shared" si="214"/>
        <v>23786620.66</v>
      </c>
      <c r="AP179" s="1218">
        <f t="shared" si="156"/>
        <v>207379381.59999999</v>
      </c>
      <c r="AQ179" s="1218">
        <f t="shared" si="157"/>
        <v>10602898.199999988</v>
      </c>
      <c r="AR179" s="1218">
        <f t="shared" si="158"/>
        <v>20256340.859999999</v>
      </c>
      <c r="AS179" s="1218">
        <f t="shared" si="159"/>
        <v>96213379.340000004</v>
      </c>
      <c r="AT179" s="1218">
        <f t="shared" si="160"/>
        <v>127072618.39999999</v>
      </c>
      <c r="AU179" s="1219">
        <f t="shared" si="161"/>
        <v>0.92183347561649909</v>
      </c>
      <c r="AV179" s="1219">
        <f t="shared" si="162"/>
        <v>0.74296267006737982</v>
      </c>
      <c r="AW179" s="1219">
        <f t="shared" si="163"/>
        <v>0.19822183883333333</v>
      </c>
      <c r="AX179" s="1219">
        <f t="shared" si="164"/>
        <v>0.62005723272696822</v>
      </c>
      <c r="AY179" s="1218">
        <f t="shared" si="165"/>
        <v>0</v>
      </c>
      <c r="AZ179" s="1218">
        <f t="shared" si="166"/>
        <v>0</v>
      </c>
      <c r="BA179" s="1218">
        <f t="shared" si="167"/>
        <v>0</v>
      </c>
      <c r="BB179" s="1218">
        <f t="shared" si="168"/>
        <v>0</v>
      </c>
      <c r="BC179" s="125"/>
      <c r="BF179" s="105">
        <f t="shared" si="141"/>
        <v>13802225.920000002</v>
      </c>
      <c r="BP179" s="1312">
        <f>+'CY (ALL FUNDS)'!F781</f>
        <v>135645000</v>
      </c>
      <c r="BQ179" s="1312">
        <f>+'CY (ALL FUNDS)'!G781</f>
        <v>48725000</v>
      </c>
      <c r="BR179" s="1312">
        <f>+'CY (ALL FUNDS)'!H781</f>
        <v>0</v>
      </c>
      <c r="BT179" s="111">
        <f t="shared" si="218"/>
        <v>0</v>
      </c>
      <c r="BU179" s="111">
        <f t="shared" si="219"/>
        <v>0</v>
      </c>
      <c r="BV179" s="111">
        <f t="shared" si="220"/>
        <v>0</v>
      </c>
    </row>
    <row r="180" spans="1:74" ht="36">
      <c r="A180" s="587" t="s">
        <v>937</v>
      </c>
      <c r="B180" s="1309" t="s">
        <v>566</v>
      </c>
      <c r="C180" s="1218">
        <v>15606000</v>
      </c>
      <c r="D180" s="1218">
        <v>13105000</v>
      </c>
      <c r="E180" s="1218">
        <v>0</v>
      </c>
      <c r="F180" s="1218">
        <f t="shared" si="206"/>
        <v>28711000</v>
      </c>
      <c r="G180" s="1218"/>
      <c r="H180" s="1218"/>
      <c r="I180" s="1218"/>
      <c r="J180" s="1218">
        <f t="shared" si="207"/>
        <v>0</v>
      </c>
      <c r="K180" s="1218">
        <f t="shared" si="202"/>
        <v>15606000</v>
      </c>
      <c r="L180" s="1218">
        <f t="shared" si="203"/>
        <v>13105000</v>
      </c>
      <c r="M180" s="1218">
        <f t="shared" si="204"/>
        <v>0</v>
      </c>
      <c r="N180" s="1218">
        <f t="shared" si="205"/>
        <v>28711000</v>
      </c>
      <c r="O180" s="1218">
        <v>15606000</v>
      </c>
      <c r="P180" s="1218">
        <v>13105000</v>
      </c>
      <c r="Q180" s="1218">
        <v>0</v>
      </c>
      <c r="R180" s="1218">
        <f t="shared" si="150"/>
        <v>28711000</v>
      </c>
      <c r="S180" s="1218"/>
      <c r="T180" s="1218"/>
      <c r="U180" s="1218"/>
      <c r="V180" s="1218">
        <f t="shared" si="211"/>
        <v>0</v>
      </c>
      <c r="W180" s="1304">
        <f>+'CY (ALL FUNDS)'!F752</f>
        <v>0</v>
      </c>
      <c r="X180" s="1304">
        <f>+'CY (ALL FUNDS)'!G752</f>
        <v>6896000</v>
      </c>
      <c r="Y180" s="1304">
        <f>+'CY (ALL FUNDS)'!H752</f>
        <v>4250000</v>
      </c>
      <c r="Z180" s="1218">
        <f t="shared" si="151"/>
        <v>11146000</v>
      </c>
      <c r="AA180" s="1218">
        <f t="shared" si="152"/>
        <v>15606000</v>
      </c>
      <c r="AB180" s="1218">
        <f t="shared" si="153"/>
        <v>20001000</v>
      </c>
      <c r="AC180" s="1218">
        <f t="shared" si="154"/>
        <v>4250000</v>
      </c>
      <c r="AD180" s="1218">
        <f t="shared" si="155"/>
        <v>39857000</v>
      </c>
      <c r="AE180" s="1304">
        <f>+'CY (ALL FUNDS)'!J751</f>
        <v>14462098.92</v>
      </c>
      <c r="AF180" s="1304">
        <f>+'CY (ALL FUNDS)'!K751</f>
        <v>11411954.800000001</v>
      </c>
      <c r="AG180" s="1304">
        <f>+'CY (ALL FUNDS)'!L751</f>
        <v>0</v>
      </c>
      <c r="AH180" s="1218">
        <f t="shared" si="208"/>
        <v>25874053.719999999</v>
      </c>
      <c r="AI180" s="1304">
        <f>+'CY (ALL FUNDS)'!J752</f>
        <v>0</v>
      </c>
      <c r="AJ180" s="1304">
        <f>+'CY (ALL FUNDS)'!K752</f>
        <v>2645719.75</v>
      </c>
      <c r="AK180" s="1304">
        <f>+'CY (ALL FUNDS)'!L752</f>
        <v>3990203.12</v>
      </c>
      <c r="AL180" s="1218">
        <f t="shared" si="209"/>
        <v>6635922.8700000001</v>
      </c>
      <c r="AM180" s="1218">
        <f t="shared" si="212"/>
        <v>14462098.92</v>
      </c>
      <c r="AN180" s="1218">
        <f t="shared" si="213"/>
        <v>14057674.550000001</v>
      </c>
      <c r="AO180" s="1218">
        <f t="shared" si="214"/>
        <v>3990203.12</v>
      </c>
      <c r="AP180" s="1218">
        <f t="shared" si="156"/>
        <v>32509976.59</v>
      </c>
      <c r="AQ180" s="1218">
        <f t="shared" si="157"/>
        <v>1143901.08</v>
      </c>
      <c r="AR180" s="1218">
        <f t="shared" si="158"/>
        <v>5943325.4499999993</v>
      </c>
      <c r="AS180" s="1218">
        <f t="shared" si="159"/>
        <v>259796.87999999989</v>
      </c>
      <c r="AT180" s="1218">
        <f t="shared" si="160"/>
        <v>7347023.4099999992</v>
      </c>
      <c r="AU180" s="1219">
        <f t="shared" si="161"/>
        <v>0.92670119953863894</v>
      </c>
      <c r="AV180" s="1219">
        <f t="shared" si="162"/>
        <v>0.70284858507074655</v>
      </c>
      <c r="AW180" s="1219">
        <f t="shared" si="163"/>
        <v>0.93887132235294124</v>
      </c>
      <c r="AX180" s="1219">
        <f t="shared" si="164"/>
        <v>0.81566541862157216</v>
      </c>
      <c r="AY180" s="1218">
        <f t="shared" si="165"/>
        <v>0</v>
      </c>
      <c r="AZ180" s="1218">
        <f t="shared" si="166"/>
        <v>0</v>
      </c>
      <c r="BA180" s="1218">
        <f t="shared" si="167"/>
        <v>0</v>
      </c>
      <c r="BB180" s="1218">
        <f t="shared" si="168"/>
        <v>0</v>
      </c>
      <c r="BC180" s="125"/>
      <c r="BF180" s="105">
        <f t="shared" si="141"/>
        <v>1693045.1999999993</v>
      </c>
      <c r="BP180" s="1312">
        <f>+'CY (ALL FUNDS)'!F751</f>
        <v>15606000</v>
      </c>
      <c r="BQ180" s="1312">
        <f>+'CY (ALL FUNDS)'!G751</f>
        <v>13105000</v>
      </c>
      <c r="BR180" s="1312">
        <f>+'CY (ALL FUNDS)'!H751</f>
        <v>0</v>
      </c>
      <c r="BT180" s="111">
        <f t="shared" si="218"/>
        <v>0</v>
      </c>
      <c r="BU180" s="111">
        <f t="shared" si="219"/>
        <v>0</v>
      </c>
      <c r="BV180" s="111">
        <f t="shared" si="220"/>
        <v>0</v>
      </c>
    </row>
    <row r="181" spans="1:74" ht="36">
      <c r="A181" s="587" t="s">
        <v>937</v>
      </c>
      <c r="B181" s="1308" t="s">
        <v>567</v>
      </c>
      <c r="C181" s="1218">
        <v>8313000</v>
      </c>
      <c r="D181" s="1218">
        <v>12025000</v>
      </c>
      <c r="E181" s="1218">
        <v>0</v>
      </c>
      <c r="F181" s="1218">
        <f t="shared" si="206"/>
        <v>20338000</v>
      </c>
      <c r="G181" s="1218"/>
      <c r="H181" s="1218"/>
      <c r="I181" s="1218"/>
      <c r="J181" s="1218">
        <f t="shared" si="207"/>
        <v>0</v>
      </c>
      <c r="K181" s="1218">
        <f t="shared" si="202"/>
        <v>8313000</v>
      </c>
      <c r="L181" s="1218">
        <f t="shared" si="203"/>
        <v>12025000</v>
      </c>
      <c r="M181" s="1218">
        <f t="shared" si="204"/>
        <v>0</v>
      </c>
      <c r="N181" s="1218">
        <f t="shared" si="205"/>
        <v>20338000</v>
      </c>
      <c r="O181" s="1218">
        <v>8313000</v>
      </c>
      <c r="P181" s="1218">
        <v>12025000</v>
      </c>
      <c r="Q181" s="1218">
        <v>0</v>
      </c>
      <c r="R181" s="1218">
        <f t="shared" si="150"/>
        <v>20338000</v>
      </c>
      <c r="S181" s="1218"/>
      <c r="T181" s="1218"/>
      <c r="U181" s="1218"/>
      <c r="V181" s="1218">
        <f t="shared" si="211"/>
        <v>0</v>
      </c>
      <c r="W181" s="1304">
        <f>+'CY (ALL FUNDS)'!F767</f>
        <v>0</v>
      </c>
      <c r="X181" s="1304">
        <f>+'CY (ALL FUNDS)'!G767</f>
        <v>1268000</v>
      </c>
      <c r="Y181" s="1304">
        <f>+'CY (ALL FUNDS)'!H767</f>
        <v>0</v>
      </c>
      <c r="Z181" s="1218">
        <f t="shared" si="151"/>
        <v>1268000</v>
      </c>
      <c r="AA181" s="1218">
        <f t="shared" si="152"/>
        <v>8313000</v>
      </c>
      <c r="AB181" s="1218">
        <f t="shared" si="153"/>
        <v>13293000</v>
      </c>
      <c r="AC181" s="1218">
        <f t="shared" si="154"/>
        <v>0</v>
      </c>
      <c r="AD181" s="1218">
        <f t="shared" si="155"/>
        <v>21606000</v>
      </c>
      <c r="AE181" s="1304">
        <f>+'CY (ALL FUNDS)'!J766</f>
        <v>7533659.3600000003</v>
      </c>
      <c r="AF181" s="1304">
        <f>+'CY (ALL FUNDS)'!K766</f>
        <v>11325971.879999999</v>
      </c>
      <c r="AG181" s="1304">
        <f>+'CY (ALL FUNDS)'!L766</f>
        <v>0</v>
      </c>
      <c r="AH181" s="1218">
        <f t="shared" si="208"/>
        <v>18859631.239999998</v>
      </c>
      <c r="AI181" s="1304">
        <f>+'CY (ALL FUNDS)'!J767</f>
        <v>0</v>
      </c>
      <c r="AJ181" s="1304">
        <f>+'CY (ALL FUNDS)'!K767</f>
        <v>983144.89</v>
      </c>
      <c r="AK181" s="1304">
        <f>+'CY (ALL FUNDS)'!L767</f>
        <v>0</v>
      </c>
      <c r="AL181" s="1218">
        <f t="shared" si="209"/>
        <v>983144.89</v>
      </c>
      <c r="AM181" s="1218">
        <f t="shared" si="212"/>
        <v>7533659.3600000003</v>
      </c>
      <c r="AN181" s="1218">
        <f t="shared" si="213"/>
        <v>12309116.77</v>
      </c>
      <c r="AO181" s="1218">
        <f t="shared" si="214"/>
        <v>0</v>
      </c>
      <c r="AP181" s="1218">
        <f t="shared" si="156"/>
        <v>19842776.129999999</v>
      </c>
      <c r="AQ181" s="1218">
        <f t="shared" si="157"/>
        <v>779340.63999999966</v>
      </c>
      <c r="AR181" s="1218">
        <f t="shared" si="158"/>
        <v>983883.23000000045</v>
      </c>
      <c r="AS181" s="1218">
        <f t="shared" si="159"/>
        <v>0</v>
      </c>
      <c r="AT181" s="1218">
        <f t="shared" si="160"/>
        <v>1763223.87</v>
      </c>
      <c r="AU181" s="1219">
        <f t="shared" si="161"/>
        <v>0.90625037411283538</v>
      </c>
      <c r="AV181" s="1219">
        <f t="shared" si="162"/>
        <v>0.92598486195742113</v>
      </c>
      <c r="AW181" s="1219" t="str">
        <f t="shared" si="163"/>
        <v xml:space="preserve"> </v>
      </c>
      <c r="AX181" s="1219">
        <f t="shared" si="164"/>
        <v>0.91839193418494858</v>
      </c>
      <c r="AY181" s="1218">
        <f t="shared" si="165"/>
        <v>0</v>
      </c>
      <c r="AZ181" s="1218">
        <f t="shared" si="166"/>
        <v>0</v>
      </c>
      <c r="BA181" s="1218">
        <f t="shared" si="167"/>
        <v>0</v>
      </c>
      <c r="BB181" s="1218">
        <f t="shared" si="168"/>
        <v>0</v>
      </c>
      <c r="BC181" s="125"/>
      <c r="BF181" s="105">
        <f t="shared" si="141"/>
        <v>699028.12000000104</v>
      </c>
      <c r="BP181" s="1312">
        <f>+'CY (ALL FUNDS)'!F766</f>
        <v>8313000</v>
      </c>
      <c r="BQ181" s="1312">
        <f>+'CY (ALL FUNDS)'!G766</f>
        <v>12025000</v>
      </c>
      <c r="BR181" s="1312">
        <f>+'CY (ALL FUNDS)'!H766</f>
        <v>0</v>
      </c>
      <c r="BT181" s="111">
        <f t="shared" si="218"/>
        <v>0</v>
      </c>
      <c r="BU181" s="111">
        <f t="shared" si="219"/>
        <v>0</v>
      </c>
      <c r="BV181" s="111">
        <f t="shared" si="220"/>
        <v>0</v>
      </c>
    </row>
    <row r="182" spans="1:74">
      <c r="B182" s="1310"/>
      <c r="C182" s="1218"/>
      <c r="D182" s="1218"/>
      <c r="E182" s="1218"/>
      <c r="F182" s="1218"/>
      <c r="G182" s="1218"/>
      <c r="H182" s="1218"/>
      <c r="I182" s="1218"/>
      <c r="J182" s="1218">
        <f t="shared" si="207"/>
        <v>0</v>
      </c>
      <c r="K182" s="1218">
        <f t="shared" si="202"/>
        <v>0</v>
      </c>
      <c r="L182" s="1218">
        <f t="shared" si="203"/>
        <v>0</v>
      </c>
      <c r="M182" s="1218">
        <f t="shared" si="204"/>
        <v>0</v>
      </c>
      <c r="N182" s="1218">
        <f t="shared" si="205"/>
        <v>0</v>
      </c>
      <c r="O182" s="1218"/>
      <c r="P182" s="1218"/>
      <c r="Q182" s="1218"/>
      <c r="R182" s="1218">
        <f t="shared" si="150"/>
        <v>0</v>
      </c>
      <c r="S182" s="1218"/>
      <c r="T182" s="1218"/>
      <c r="U182" s="1218"/>
      <c r="V182" s="1218"/>
      <c r="W182" s="1304"/>
      <c r="X182" s="1304"/>
      <c r="Y182" s="1304"/>
      <c r="Z182" s="1218">
        <f t="shared" si="151"/>
        <v>0</v>
      </c>
      <c r="AA182" s="1218">
        <f t="shared" si="152"/>
        <v>0</v>
      </c>
      <c r="AB182" s="1218">
        <f t="shared" si="153"/>
        <v>0</v>
      </c>
      <c r="AC182" s="1218">
        <f t="shared" si="154"/>
        <v>0</v>
      </c>
      <c r="AD182" s="1218">
        <f t="shared" si="155"/>
        <v>0</v>
      </c>
      <c r="AE182" s="1304"/>
      <c r="AF182" s="1304"/>
      <c r="AG182" s="1304"/>
      <c r="AH182" s="1218"/>
      <c r="AI182" s="1304"/>
      <c r="AJ182" s="1304"/>
      <c r="AK182" s="1304"/>
      <c r="AL182" s="1218"/>
      <c r="AM182" s="1218"/>
      <c r="AN182" s="1218"/>
      <c r="AO182" s="1218"/>
      <c r="AP182" s="1218">
        <f t="shared" si="156"/>
        <v>0</v>
      </c>
      <c r="AQ182" s="1218">
        <f t="shared" si="157"/>
        <v>0</v>
      </c>
      <c r="AR182" s="1218">
        <f t="shared" si="158"/>
        <v>0</v>
      </c>
      <c r="AS182" s="1218">
        <f t="shared" si="159"/>
        <v>0</v>
      </c>
      <c r="AT182" s="1218">
        <f t="shared" si="160"/>
        <v>0</v>
      </c>
      <c r="AU182" s="1219" t="str">
        <f t="shared" si="161"/>
        <v xml:space="preserve"> </v>
      </c>
      <c r="AV182" s="1219" t="str">
        <f t="shared" si="162"/>
        <v xml:space="preserve"> </v>
      </c>
      <c r="AW182" s="1219" t="str">
        <f t="shared" si="163"/>
        <v xml:space="preserve"> </v>
      </c>
      <c r="AX182" s="1219" t="str">
        <f t="shared" si="164"/>
        <v xml:space="preserve"> </v>
      </c>
      <c r="AY182" s="1218">
        <f t="shared" si="165"/>
        <v>0</v>
      </c>
      <c r="AZ182" s="1218">
        <f t="shared" si="166"/>
        <v>0</v>
      </c>
      <c r="BA182" s="1218">
        <f t="shared" si="167"/>
        <v>0</v>
      </c>
      <c r="BB182" s="1218">
        <f t="shared" si="168"/>
        <v>0</v>
      </c>
      <c r="BC182" s="125"/>
      <c r="BF182" s="105">
        <f t="shared" si="141"/>
        <v>0</v>
      </c>
      <c r="BP182" s="1312"/>
      <c r="BQ182" s="1312"/>
      <c r="BR182" s="1312"/>
    </row>
    <row r="183" spans="1:74" ht="12.75">
      <c r="A183" s="587" t="s">
        <v>937</v>
      </c>
      <c r="B183" s="1305" t="s">
        <v>34</v>
      </c>
      <c r="C183" s="1218">
        <f>SUM(C184:C193)</f>
        <v>498268000</v>
      </c>
      <c r="D183" s="1218">
        <f>SUM(D184:D193)</f>
        <v>420868000</v>
      </c>
      <c r="E183" s="1218">
        <f>SUM(E184:E193)</f>
        <v>0</v>
      </c>
      <c r="F183" s="1218">
        <f t="shared" ref="F183:AO183" si="221">SUM(F184:F193)</f>
        <v>919136000</v>
      </c>
      <c r="G183" s="1218">
        <f t="shared" si="221"/>
        <v>10930156</v>
      </c>
      <c r="H183" s="1218">
        <f t="shared" si="221"/>
        <v>-10930156</v>
      </c>
      <c r="I183" s="1218">
        <f t="shared" si="221"/>
        <v>0</v>
      </c>
      <c r="J183" s="1218">
        <f t="shared" si="221"/>
        <v>0</v>
      </c>
      <c r="K183" s="1218">
        <f t="shared" si="221"/>
        <v>509198156</v>
      </c>
      <c r="L183" s="1218">
        <f t="shared" si="221"/>
        <v>409937844</v>
      </c>
      <c r="M183" s="1218">
        <f t="shared" si="221"/>
        <v>0</v>
      </c>
      <c r="N183" s="1218">
        <f t="shared" si="221"/>
        <v>919136000</v>
      </c>
      <c r="O183" s="1218">
        <f t="shared" si="221"/>
        <v>509198156</v>
      </c>
      <c r="P183" s="1218">
        <f t="shared" si="221"/>
        <v>409937844</v>
      </c>
      <c r="Q183" s="1218">
        <f t="shared" si="221"/>
        <v>0</v>
      </c>
      <c r="R183" s="1218">
        <f t="shared" si="150"/>
        <v>919136000</v>
      </c>
      <c r="S183" s="1218"/>
      <c r="T183" s="1218"/>
      <c r="U183" s="1218"/>
      <c r="V183" s="1218">
        <f>SUM(V184:V193)</f>
        <v>0</v>
      </c>
      <c r="W183" s="1218">
        <f t="shared" si="221"/>
        <v>0</v>
      </c>
      <c r="X183" s="1218">
        <f t="shared" si="221"/>
        <v>307330343.60000002</v>
      </c>
      <c r="Y183" s="1218">
        <f t="shared" si="221"/>
        <v>77874017</v>
      </c>
      <c r="Z183" s="1218">
        <f t="shared" si="151"/>
        <v>385204360.60000002</v>
      </c>
      <c r="AA183" s="1218">
        <f t="shared" si="152"/>
        <v>509198156</v>
      </c>
      <c r="AB183" s="1218">
        <f t="shared" si="153"/>
        <v>717268187.60000002</v>
      </c>
      <c r="AC183" s="1218">
        <f t="shared" si="154"/>
        <v>77874017</v>
      </c>
      <c r="AD183" s="1218">
        <f t="shared" si="155"/>
        <v>1304340360.5999999</v>
      </c>
      <c r="AE183" s="1218">
        <f t="shared" si="221"/>
        <v>471963150.01000005</v>
      </c>
      <c r="AF183" s="1218">
        <f>SUM(AF184:AF193)</f>
        <v>337374898.74000001</v>
      </c>
      <c r="AG183" s="1218">
        <f>SUM(AG184:AG193)</f>
        <v>0</v>
      </c>
      <c r="AH183" s="1218">
        <f t="shared" si="221"/>
        <v>809338048.75</v>
      </c>
      <c r="AI183" s="1218">
        <f t="shared" si="221"/>
        <v>0</v>
      </c>
      <c r="AJ183" s="1218">
        <f t="shared" si="221"/>
        <v>212483854.07000002</v>
      </c>
      <c r="AK183" s="1218">
        <f t="shared" si="221"/>
        <v>55203243.989999995</v>
      </c>
      <c r="AL183" s="1218">
        <f t="shared" si="221"/>
        <v>267687098.06</v>
      </c>
      <c r="AM183" s="1218">
        <f t="shared" si="221"/>
        <v>471963150.01000005</v>
      </c>
      <c r="AN183" s="1218">
        <f t="shared" si="221"/>
        <v>549858752.81000018</v>
      </c>
      <c r="AO183" s="1218">
        <f t="shared" si="221"/>
        <v>55203243.989999995</v>
      </c>
      <c r="AP183" s="1218">
        <f t="shared" si="156"/>
        <v>1077025146.8100002</v>
      </c>
      <c r="AQ183" s="1218">
        <f t="shared" si="157"/>
        <v>37235005.98999995</v>
      </c>
      <c r="AR183" s="1218">
        <f t="shared" si="158"/>
        <v>167409434.78999984</v>
      </c>
      <c r="AS183" s="1218">
        <f t="shared" si="159"/>
        <v>22670773.010000005</v>
      </c>
      <c r="AT183" s="1218">
        <f t="shared" si="160"/>
        <v>227315213.78999978</v>
      </c>
      <c r="AU183" s="1219">
        <f t="shared" si="161"/>
        <v>0.9268752143909964</v>
      </c>
      <c r="AV183" s="1219">
        <f t="shared" si="162"/>
        <v>0.76660133868454894</v>
      </c>
      <c r="AW183" s="1219">
        <f t="shared" si="163"/>
        <v>0.70887885480467761</v>
      </c>
      <c r="AX183" s="1219">
        <f t="shared" si="164"/>
        <v>0.82572400528537337</v>
      </c>
      <c r="AY183" s="1218">
        <f t="shared" si="165"/>
        <v>0</v>
      </c>
      <c r="AZ183" s="1218">
        <f t="shared" si="166"/>
        <v>0</v>
      </c>
      <c r="BA183" s="1218">
        <f t="shared" si="167"/>
        <v>0</v>
      </c>
      <c r="BB183" s="1218">
        <f t="shared" si="168"/>
        <v>0</v>
      </c>
      <c r="BC183" s="125"/>
      <c r="BF183" s="105">
        <f t="shared" si="141"/>
        <v>72562945.25999999</v>
      </c>
      <c r="BP183" s="1313"/>
      <c r="BQ183" s="1313"/>
      <c r="BR183" s="1313"/>
    </row>
    <row r="184" spans="1:74" ht="36">
      <c r="A184" s="587" t="s">
        <v>937</v>
      </c>
      <c r="B184" s="1306" t="s">
        <v>534</v>
      </c>
      <c r="C184" s="1218">
        <v>27460000</v>
      </c>
      <c r="D184" s="1218">
        <v>14345000</v>
      </c>
      <c r="E184" s="1218">
        <v>0</v>
      </c>
      <c r="F184" s="1218">
        <f t="shared" si="206"/>
        <v>41805000</v>
      </c>
      <c r="G184" s="1218"/>
      <c r="H184" s="1218"/>
      <c r="I184" s="1218"/>
      <c r="J184" s="1218">
        <f t="shared" si="207"/>
        <v>0</v>
      </c>
      <c r="K184" s="1218">
        <f t="shared" si="202"/>
        <v>27460000</v>
      </c>
      <c r="L184" s="1218">
        <f t="shared" si="203"/>
        <v>14345000</v>
      </c>
      <c r="M184" s="1218">
        <f t="shared" si="204"/>
        <v>0</v>
      </c>
      <c r="N184" s="1218">
        <f t="shared" si="205"/>
        <v>41805000</v>
      </c>
      <c r="O184" s="1218">
        <v>27460000</v>
      </c>
      <c r="P184" s="1218">
        <v>14345000</v>
      </c>
      <c r="Q184" s="1218">
        <v>0</v>
      </c>
      <c r="R184" s="1218">
        <f t="shared" si="150"/>
        <v>41805000</v>
      </c>
      <c r="S184" s="1218"/>
      <c r="T184" s="1218"/>
      <c r="U184" s="1218"/>
      <c r="V184" s="1218">
        <f t="shared" si="211"/>
        <v>0</v>
      </c>
      <c r="W184" s="1304"/>
      <c r="X184" s="1304"/>
      <c r="Y184" s="1304"/>
      <c r="Z184" s="1218">
        <f t="shared" si="151"/>
        <v>0</v>
      </c>
      <c r="AA184" s="1218">
        <f t="shared" si="152"/>
        <v>27460000</v>
      </c>
      <c r="AB184" s="1218">
        <f t="shared" si="153"/>
        <v>14345000</v>
      </c>
      <c r="AC184" s="1218">
        <f t="shared" si="154"/>
        <v>0</v>
      </c>
      <c r="AD184" s="1218">
        <f t="shared" si="155"/>
        <v>41805000</v>
      </c>
      <c r="AE184" s="1304">
        <f>+'CY (ALL FUNDS)'!J813</f>
        <v>24354953.07</v>
      </c>
      <c r="AF184" s="1304">
        <f>+'CY (ALL FUNDS)'!K813</f>
        <v>12140630.660000002</v>
      </c>
      <c r="AG184" s="1304">
        <f>+'CY (ALL FUNDS)'!L813</f>
        <v>0</v>
      </c>
      <c r="AH184" s="1218">
        <f t="shared" si="208"/>
        <v>36495583.730000004</v>
      </c>
      <c r="AI184" s="1304"/>
      <c r="AJ184" s="1304"/>
      <c r="AK184" s="1304"/>
      <c r="AL184" s="1218">
        <f t="shared" si="209"/>
        <v>0</v>
      </c>
      <c r="AM184" s="1218">
        <f t="shared" ref="AM184:AM193" si="222">+AE184+AI184</f>
        <v>24354953.07</v>
      </c>
      <c r="AN184" s="1218">
        <f t="shared" ref="AN184:AN193" si="223">+AF184+AJ184</f>
        <v>12140630.660000002</v>
      </c>
      <c r="AO184" s="1218">
        <f t="shared" ref="AO184:AO193" si="224">+AG184+AK184</f>
        <v>0</v>
      </c>
      <c r="AP184" s="1218">
        <f t="shared" si="156"/>
        <v>36495583.730000004</v>
      </c>
      <c r="AQ184" s="1218">
        <f t="shared" si="157"/>
        <v>3105046.9299999997</v>
      </c>
      <c r="AR184" s="1218">
        <f t="shared" si="158"/>
        <v>2204369.339999998</v>
      </c>
      <c r="AS184" s="1218">
        <f t="shared" si="159"/>
        <v>0</v>
      </c>
      <c r="AT184" s="1218">
        <f t="shared" si="160"/>
        <v>5309416.2699999977</v>
      </c>
      <c r="AU184" s="1219">
        <f t="shared" si="161"/>
        <v>0.88692472942461764</v>
      </c>
      <c r="AV184" s="1219">
        <f t="shared" si="162"/>
        <v>0.84633186894388301</v>
      </c>
      <c r="AW184" s="1219" t="str">
        <f t="shared" si="163"/>
        <v xml:space="preserve"> </v>
      </c>
      <c r="AX184" s="1219">
        <f t="shared" si="164"/>
        <v>0.87299566391579964</v>
      </c>
      <c r="AY184" s="1218">
        <f t="shared" si="165"/>
        <v>0</v>
      </c>
      <c r="AZ184" s="1218">
        <f t="shared" si="166"/>
        <v>0</v>
      </c>
      <c r="BA184" s="1218">
        <f t="shared" si="167"/>
        <v>0</v>
      </c>
      <c r="BB184" s="1218">
        <f t="shared" si="168"/>
        <v>0</v>
      </c>
      <c r="BC184" s="125"/>
      <c r="BD184" s="105">
        <f>+AT184-'CY (ALL FUNDS)'!Q813</f>
        <v>0</v>
      </c>
      <c r="BF184" s="105">
        <f t="shared" si="141"/>
        <v>2204369.339999998</v>
      </c>
      <c r="BP184" s="1312">
        <f>+'CY (ALL FUNDS)'!F813</f>
        <v>27460000</v>
      </c>
      <c r="BQ184" s="1312">
        <f>+'CY (ALL FUNDS)'!G813</f>
        <v>14345000</v>
      </c>
      <c r="BR184" s="1312">
        <f>+'CY (ALL FUNDS)'!H813</f>
        <v>0</v>
      </c>
      <c r="BT184" s="111">
        <f t="shared" ref="BT184:BT186" si="225">+O184-BP184</f>
        <v>0</v>
      </c>
      <c r="BU184" s="111">
        <f t="shared" ref="BU184:BU186" si="226">+P184-BQ184</f>
        <v>0</v>
      </c>
      <c r="BV184" s="111">
        <f t="shared" ref="BV184:BV186" si="227">+Q184-BR184</f>
        <v>0</v>
      </c>
    </row>
    <row r="185" spans="1:74" ht="12.75">
      <c r="A185" s="587" t="s">
        <v>937</v>
      </c>
      <c r="B185" s="1307" t="s">
        <v>535</v>
      </c>
      <c r="C185" s="1218">
        <v>2287000</v>
      </c>
      <c r="D185" s="1218">
        <v>5508000</v>
      </c>
      <c r="E185" s="1218">
        <v>0</v>
      </c>
      <c r="F185" s="1218">
        <f t="shared" si="206"/>
        <v>7795000</v>
      </c>
      <c r="G185" s="1218"/>
      <c r="H185" s="1218"/>
      <c r="I185" s="1218"/>
      <c r="J185" s="1218">
        <f t="shared" si="207"/>
        <v>0</v>
      </c>
      <c r="K185" s="1218">
        <f t="shared" si="202"/>
        <v>2287000</v>
      </c>
      <c r="L185" s="1218">
        <f t="shared" si="203"/>
        <v>5508000</v>
      </c>
      <c r="M185" s="1218">
        <f t="shared" si="204"/>
        <v>0</v>
      </c>
      <c r="N185" s="1218">
        <f t="shared" si="205"/>
        <v>7795000</v>
      </c>
      <c r="O185" s="1218">
        <v>2287000</v>
      </c>
      <c r="P185" s="1218">
        <v>5508000</v>
      </c>
      <c r="Q185" s="1218">
        <v>0</v>
      </c>
      <c r="R185" s="1218">
        <f t="shared" si="150"/>
        <v>7795000</v>
      </c>
      <c r="S185" s="1218"/>
      <c r="T185" s="1218"/>
      <c r="U185" s="1218"/>
      <c r="V185" s="1218">
        <f t="shared" si="211"/>
        <v>0</v>
      </c>
      <c r="W185" s="1304"/>
      <c r="X185" s="1304"/>
      <c r="Y185" s="1304"/>
      <c r="Z185" s="1218">
        <f t="shared" si="151"/>
        <v>0</v>
      </c>
      <c r="AA185" s="1218">
        <f t="shared" si="152"/>
        <v>2287000</v>
      </c>
      <c r="AB185" s="1218">
        <f t="shared" si="153"/>
        <v>5508000</v>
      </c>
      <c r="AC185" s="1218">
        <f t="shared" si="154"/>
        <v>0</v>
      </c>
      <c r="AD185" s="1218">
        <f t="shared" si="155"/>
        <v>7795000</v>
      </c>
      <c r="AE185" s="1304">
        <f>+'CY (ALL FUNDS)'!J814</f>
        <v>2106309.35</v>
      </c>
      <c r="AF185" s="1304">
        <f>+'CY (ALL FUNDS)'!K814</f>
        <v>4322253.9300000006</v>
      </c>
      <c r="AG185" s="1304">
        <f>+'CY (ALL FUNDS)'!L814</f>
        <v>0</v>
      </c>
      <c r="AH185" s="1218">
        <f t="shared" si="208"/>
        <v>6428563.2800000012</v>
      </c>
      <c r="AI185" s="1304"/>
      <c r="AJ185" s="1304"/>
      <c r="AK185" s="1304"/>
      <c r="AL185" s="1218">
        <f t="shared" si="209"/>
        <v>0</v>
      </c>
      <c r="AM185" s="1218">
        <f t="shared" si="222"/>
        <v>2106309.35</v>
      </c>
      <c r="AN185" s="1218">
        <f t="shared" si="223"/>
        <v>4322253.9300000006</v>
      </c>
      <c r="AO185" s="1218">
        <f t="shared" si="224"/>
        <v>0</v>
      </c>
      <c r="AP185" s="1218">
        <f t="shared" si="156"/>
        <v>6428563.2800000012</v>
      </c>
      <c r="AQ185" s="1218">
        <f t="shared" si="157"/>
        <v>180690.64999999991</v>
      </c>
      <c r="AR185" s="1218">
        <f t="shared" si="158"/>
        <v>1185746.0699999994</v>
      </c>
      <c r="AS185" s="1218">
        <f t="shared" si="159"/>
        <v>0</v>
      </c>
      <c r="AT185" s="1218">
        <f t="shared" si="160"/>
        <v>1366436.7199999993</v>
      </c>
      <c r="AU185" s="1219">
        <f t="shared" si="161"/>
        <v>0.92099228246611287</v>
      </c>
      <c r="AV185" s="1219">
        <f t="shared" si="162"/>
        <v>0.78472293572984764</v>
      </c>
      <c r="AW185" s="1219" t="str">
        <f t="shared" si="163"/>
        <v xml:space="preserve"> </v>
      </c>
      <c r="AX185" s="1219">
        <f t="shared" si="164"/>
        <v>0.82470343553559988</v>
      </c>
      <c r="AY185" s="1218">
        <f t="shared" si="165"/>
        <v>0</v>
      </c>
      <c r="AZ185" s="1218">
        <f t="shared" si="166"/>
        <v>0</v>
      </c>
      <c r="BA185" s="1218">
        <f t="shared" si="167"/>
        <v>0</v>
      </c>
      <c r="BB185" s="1218">
        <f t="shared" si="168"/>
        <v>0</v>
      </c>
      <c r="BC185" s="125"/>
      <c r="BD185" s="105">
        <f>+AT185-'CY (ALL FUNDS)'!Q814</f>
        <v>0</v>
      </c>
      <c r="BF185" s="105">
        <f t="shared" si="141"/>
        <v>1185746.0699999994</v>
      </c>
      <c r="BP185" s="1312">
        <f>+'CY (ALL FUNDS)'!F814</f>
        <v>2287000</v>
      </c>
      <c r="BQ185" s="1312">
        <f>+'CY (ALL FUNDS)'!G814</f>
        <v>5508000</v>
      </c>
      <c r="BR185" s="1312">
        <f>+'CY (ALL FUNDS)'!H814</f>
        <v>0</v>
      </c>
      <c r="BT185" s="111">
        <f t="shared" si="225"/>
        <v>0</v>
      </c>
      <c r="BU185" s="111">
        <f t="shared" si="226"/>
        <v>0</v>
      </c>
      <c r="BV185" s="111">
        <f t="shared" si="227"/>
        <v>0</v>
      </c>
    </row>
    <row r="186" spans="1:74" ht="36">
      <c r="A186" s="587" t="s">
        <v>937</v>
      </c>
      <c r="B186" s="1306" t="s">
        <v>536</v>
      </c>
      <c r="C186" s="1218">
        <v>44118000</v>
      </c>
      <c r="D186" s="1218">
        <v>152168000</v>
      </c>
      <c r="E186" s="1218">
        <v>0</v>
      </c>
      <c r="F186" s="1218">
        <f t="shared" si="206"/>
        <v>196286000</v>
      </c>
      <c r="G186" s="1218"/>
      <c r="H186" s="1218"/>
      <c r="I186" s="1218"/>
      <c r="J186" s="1218">
        <f t="shared" si="207"/>
        <v>0</v>
      </c>
      <c r="K186" s="1218">
        <f t="shared" si="202"/>
        <v>44118000</v>
      </c>
      <c r="L186" s="1218">
        <f t="shared" si="203"/>
        <v>152168000</v>
      </c>
      <c r="M186" s="1218">
        <f t="shared" si="204"/>
        <v>0</v>
      </c>
      <c r="N186" s="1218">
        <f t="shared" si="205"/>
        <v>196286000</v>
      </c>
      <c r="O186" s="1218">
        <v>44118000</v>
      </c>
      <c r="P186" s="1218">
        <v>152168000</v>
      </c>
      <c r="Q186" s="1218">
        <v>0</v>
      </c>
      <c r="R186" s="1218">
        <f t="shared" si="150"/>
        <v>196286000</v>
      </c>
      <c r="S186" s="1218"/>
      <c r="T186" s="1218"/>
      <c r="U186" s="1218"/>
      <c r="V186" s="1218">
        <f t="shared" si="211"/>
        <v>0</v>
      </c>
      <c r="W186" s="1304">
        <f>+'CY (ALL FUNDS)'!F816</f>
        <v>0</v>
      </c>
      <c r="X186" s="1304">
        <f>+'CY (ALL FUNDS)'!G816</f>
        <v>216991143.59999999</v>
      </c>
      <c r="Y186" s="1304">
        <f>+'CY (ALL FUNDS)'!H816</f>
        <v>64842000</v>
      </c>
      <c r="Z186" s="1218">
        <f t="shared" si="151"/>
        <v>281833143.60000002</v>
      </c>
      <c r="AA186" s="1218">
        <f t="shared" si="152"/>
        <v>44118000</v>
      </c>
      <c r="AB186" s="1218">
        <f t="shared" si="153"/>
        <v>369159143.60000002</v>
      </c>
      <c r="AC186" s="1218">
        <f t="shared" si="154"/>
        <v>64842000</v>
      </c>
      <c r="AD186" s="1218">
        <f t="shared" si="155"/>
        <v>478119143.60000002</v>
      </c>
      <c r="AE186" s="1304">
        <f>+'CY (ALL FUNDS)'!J815</f>
        <v>39094728.140000001</v>
      </c>
      <c r="AF186" s="1304">
        <f>+'CY (ALL FUNDS)'!K815</f>
        <v>107482105.55000001</v>
      </c>
      <c r="AG186" s="1304">
        <f>+'CY (ALL FUNDS)'!L815</f>
        <v>0</v>
      </c>
      <c r="AH186" s="1218">
        <f t="shared" si="208"/>
        <v>146576833.69</v>
      </c>
      <c r="AI186" s="1304">
        <f>+'CY (ALL FUNDS)'!J816</f>
        <v>0</v>
      </c>
      <c r="AJ186" s="1304">
        <f>+'CY (ALL FUNDS)'!K816</f>
        <v>133799923.88</v>
      </c>
      <c r="AK186" s="1304">
        <f>+'CY (ALL FUNDS)'!L816</f>
        <v>43168215.460000001</v>
      </c>
      <c r="AL186" s="1218">
        <f t="shared" si="209"/>
        <v>176968139.34</v>
      </c>
      <c r="AM186" s="1218">
        <f t="shared" si="222"/>
        <v>39094728.140000001</v>
      </c>
      <c r="AN186" s="1218">
        <f t="shared" si="223"/>
        <v>241282029.43000001</v>
      </c>
      <c r="AO186" s="1218">
        <f t="shared" si="224"/>
        <v>43168215.460000001</v>
      </c>
      <c r="AP186" s="1218">
        <f t="shared" si="156"/>
        <v>323544973.02999997</v>
      </c>
      <c r="AQ186" s="1218">
        <f t="shared" si="157"/>
        <v>5023271.8599999994</v>
      </c>
      <c r="AR186" s="1218">
        <f t="shared" si="158"/>
        <v>127877114.17000002</v>
      </c>
      <c r="AS186" s="1218">
        <f t="shared" si="159"/>
        <v>21673784.539999999</v>
      </c>
      <c r="AT186" s="1218">
        <f t="shared" si="160"/>
        <v>154574170.57000002</v>
      </c>
      <c r="AU186" s="1219">
        <f t="shared" si="161"/>
        <v>0.88614008205267691</v>
      </c>
      <c r="AV186" s="1219">
        <f t="shared" si="162"/>
        <v>0.65359895214037977</v>
      </c>
      <c r="AW186" s="1219">
        <f t="shared" si="163"/>
        <v>0.66574466333549243</v>
      </c>
      <c r="AX186" s="1219">
        <f t="shared" si="164"/>
        <v>0.67670365715513248</v>
      </c>
      <c r="AY186" s="1218">
        <f t="shared" si="165"/>
        <v>0</v>
      </c>
      <c r="AZ186" s="1218">
        <f t="shared" si="166"/>
        <v>0</v>
      </c>
      <c r="BA186" s="1218">
        <f t="shared" si="167"/>
        <v>0</v>
      </c>
      <c r="BB186" s="1218">
        <f t="shared" si="168"/>
        <v>0</v>
      </c>
      <c r="BC186" s="125"/>
      <c r="BD186" s="105">
        <f>+AT186-'CY (ALL FUNDS)'!Q815-'CY (ALL FUNDS)'!Q816</f>
        <v>0</v>
      </c>
      <c r="BF186" s="105">
        <f t="shared" si="141"/>
        <v>44685894.449999988</v>
      </c>
      <c r="BP186" s="1312">
        <f>+'CY (ALL FUNDS)'!F815</f>
        <v>44118000</v>
      </c>
      <c r="BQ186" s="1312">
        <f>+'CY (ALL FUNDS)'!G815</f>
        <v>152168000</v>
      </c>
      <c r="BR186" s="1312">
        <f>+'CY (ALL FUNDS)'!H815</f>
        <v>0</v>
      </c>
      <c r="BT186" s="111">
        <f t="shared" si="225"/>
        <v>0</v>
      </c>
      <c r="BU186" s="111">
        <f t="shared" si="226"/>
        <v>0</v>
      </c>
      <c r="BV186" s="111">
        <f t="shared" si="227"/>
        <v>0</v>
      </c>
    </row>
    <row r="187" spans="1:74" ht="12.75">
      <c r="A187" s="587" t="s">
        <v>937</v>
      </c>
      <c r="B187" s="1307" t="s">
        <v>537</v>
      </c>
      <c r="C187" s="1218">
        <v>0</v>
      </c>
      <c r="D187" s="1218">
        <v>0</v>
      </c>
      <c r="E187" s="1218">
        <v>0</v>
      </c>
      <c r="F187" s="1218">
        <f t="shared" si="206"/>
        <v>0</v>
      </c>
      <c r="G187" s="1218"/>
      <c r="H187" s="1218"/>
      <c r="I187" s="1218"/>
      <c r="J187" s="1218">
        <f t="shared" si="207"/>
        <v>0</v>
      </c>
      <c r="K187" s="1218">
        <f t="shared" si="202"/>
        <v>0</v>
      </c>
      <c r="L187" s="1218">
        <f t="shared" si="203"/>
        <v>0</v>
      </c>
      <c r="M187" s="1218">
        <f t="shared" si="204"/>
        <v>0</v>
      </c>
      <c r="N187" s="1218">
        <f t="shared" si="205"/>
        <v>0</v>
      </c>
      <c r="O187" s="1218">
        <v>0</v>
      </c>
      <c r="P187" s="1218">
        <v>0</v>
      </c>
      <c r="Q187" s="1218">
        <v>0</v>
      </c>
      <c r="R187" s="1218">
        <f t="shared" si="150"/>
        <v>0</v>
      </c>
      <c r="S187" s="1218"/>
      <c r="T187" s="1218"/>
      <c r="U187" s="1218"/>
      <c r="V187" s="1218">
        <f t="shared" si="211"/>
        <v>0</v>
      </c>
      <c r="W187" s="1304"/>
      <c r="X187" s="1304"/>
      <c r="Y187" s="1304"/>
      <c r="Z187" s="1218">
        <f t="shared" si="151"/>
        <v>0</v>
      </c>
      <c r="AA187" s="1218">
        <f t="shared" si="152"/>
        <v>0</v>
      </c>
      <c r="AB187" s="1218">
        <f t="shared" si="153"/>
        <v>0</v>
      </c>
      <c r="AC187" s="1218">
        <f t="shared" si="154"/>
        <v>0</v>
      </c>
      <c r="AD187" s="1218">
        <f t="shared" si="155"/>
        <v>0</v>
      </c>
      <c r="AE187" s="1304"/>
      <c r="AF187" s="1304"/>
      <c r="AG187" s="1304"/>
      <c r="AH187" s="1218">
        <f t="shared" si="208"/>
        <v>0</v>
      </c>
      <c r="AI187" s="1304"/>
      <c r="AJ187" s="1304"/>
      <c r="AK187" s="1304"/>
      <c r="AL187" s="1218">
        <f t="shared" si="209"/>
        <v>0</v>
      </c>
      <c r="AM187" s="1218">
        <f t="shared" si="222"/>
        <v>0</v>
      </c>
      <c r="AN187" s="1218">
        <f t="shared" si="223"/>
        <v>0</v>
      </c>
      <c r="AO187" s="1218">
        <f t="shared" si="224"/>
        <v>0</v>
      </c>
      <c r="AP187" s="1218">
        <f t="shared" si="156"/>
        <v>0</v>
      </c>
      <c r="AQ187" s="1218">
        <f t="shared" si="157"/>
        <v>0</v>
      </c>
      <c r="AR187" s="1218">
        <f t="shared" si="158"/>
        <v>0</v>
      </c>
      <c r="AS187" s="1218">
        <f t="shared" si="159"/>
        <v>0</v>
      </c>
      <c r="AT187" s="1218">
        <f t="shared" si="160"/>
        <v>0</v>
      </c>
      <c r="AU187" s="1219" t="str">
        <f t="shared" si="161"/>
        <v xml:space="preserve"> </v>
      </c>
      <c r="AV187" s="1219" t="str">
        <f t="shared" si="162"/>
        <v xml:space="preserve"> </v>
      </c>
      <c r="AW187" s="1219" t="str">
        <f t="shared" si="163"/>
        <v xml:space="preserve"> </v>
      </c>
      <c r="AX187" s="1219" t="str">
        <f t="shared" si="164"/>
        <v xml:space="preserve"> </v>
      </c>
      <c r="AY187" s="1218">
        <f t="shared" si="165"/>
        <v>0</v>
      </c>
      <c r="AZ187" s="1218">
        <f t="shared" si="166"/>
        <v>0</v>
      </c>
      <c r="BA187" s="1218">
        <f t="shared" si="167"/>
        <v>0</v>
      </c>
      <c r="BB187" s="1218">
        <f t="shared" si="168"/>
        <v>0</v>
      </c>
      <c r="BC187" s="125"/>
      <c r="BF187" s="105">
        <f t="shared" si="141"/>
        <v>0</v>
      </c>
      <c r="BP187" s="1312"/>
      <c r="BQ187" s="1312"/>
      <c r="BR187" s="1312"/>
    </row>
    <row r="188" spans="1:74" ht="36">
      <c r="A188" s="587" t="s">
        <v>937</v>
      </c>
      <c r="B188" s="1308" t="s">
        <v>568</v>
      </c>
      <c r="C188" s="1218">
        <v>240017000</v>
      </c>
      <c r="D188" s="1218">
        <v>170938000</v>
      </c>
      <c r="E188" s="1218">
        <v>0</v>
      </c>
      <c r="F188" s="1218">
        <f t="shared" si="206"/>
        <v>410955000</v>
      </c>
      <c r="G188" s="1218">
        <f>--4994674</f>
        <v>4994674</v>
      </c>
      <c r="H188" s="1218">
        <v>-4994674</v>
      </c>
      <c r="I188" s="1218"/>
      <c r="J188" s="1218">
        <f t="shared" si="207"/>
        <v>0</v>
      </c>
      <c r="K188" s="1218">
        <f t="shared" si="202"/>
        <v>245011674</v>
      </c>
      <c r="L188" s="1218">
        <f t="shared" si="203"/>
        <v>165943326</v>
      </c>
      <c r="M188" s="1218">
        <f t="shared" si="204"/>
        <v>0</v>
      </c>
      <c r="N188" s="1218">
        <f t="shared" si="205"/>
        <v>410955000</v>
      </c>
      <c r="O188" s="1218">
        <v>245011674</v>
      </c>
      <c r="P188" s="1218">
        <v>165943326</v>
      </c>
      <c r="Q188" s="1218">
        <v>0</v>
      </c>
      <c r="R188" s="1218">
        <f t="shared" si="150"/>
        <v>410955000</v>
      </c>
      <c r="S188" s="1218"/>
      <c r="T188" s="1218"/>
      <c r="U188" s="1218"/>
      <c r="V188" s="1218">
        <f t="shared" si="211"/>
        <v>0</v>
      </c>
      <c r="W188" s="1304">
        <f>+'CY (ALL FUNDS)'!F832</f>
        <v>0</v>
      </c>
      <c r="X188" s="1304">
        <f>+'CY (ALL FUNDS)'!G832</f>
        <v>57467420</v>
      </c>
      <c r="Y188" s="1304">
        <f>+'CY (ALL FUNDS)'!H832</f>
        <v>10032017</v>
      </c>
      <c r="Z188" s="1218">
        <f t="shared" si="151"/>
        <v>67499437</v>
      </c>
      <c r="AA188" s="1218">
        <f t="shared" si="152"/>
        <v>245011674</v>
      </c>
      <c r="AB188" s="1218">
        <f t="shared" si="153"/>
        <v>223410746</v>
      </c>
      <c r="AC188" s="1218">
        <f t="shared" si="154"/>
        <v>10032017</v>
      </c>
      <c r="AD188" s="1218">
        <f t="shared" si="155"/>
        <v>478454437</v>
      </c>
      <c r="AE188" s="1304">
        <f>+'CY (ALL FUNDS)'!J831</f>
        <v>224542877.30000001</v>
      </c>
      <c r="AF188" s="1304">
        <f>+'CY (ALL FUNDS)'!K831</f>
        <v>154296478.00999999</v>
      </c>
      <c r="AG188" s="1304">
        <f>+'CY (ALL FUNDS)'!L831</f>
        <v>0</v>
      </c>
      <c r="AH188" s="1218">
        <f t="shared" si="208"/>
        <v>378839355.31</v>
      </c>
      <c r="AI188" s="1304">
        <f>+'CY (ALL FUNDS)'!J832</f>
        <v>0</v>
      </c>
      <c r="AJ188" s="1304">
        <f>+'CY (ALL FUNDS)'!K832</f>
        <v>51171530.170000009</v>
      </c>
      <c r="AK188" s="1304">
        <f>+'CY (ALL FUNDS)'!L832</f>
        <v>9079372.9499999993</v>
      </c>
      <c r="AL188" s="1218">
        <f t="shared" si="209"/>
        <v>60250903.120000005</v>
      </c>
      <c r="AM188" s="1218">
        <f t="shared" si="222"/>
        <v>224542877.30000001</v>
      </c>
      <c r="AN188" s="1218">
        <f t="shared" si="223"/>
        <v>205468008.18000001</v>
      </c>
      <c r="AO188" s="1218">
        <f t="shared" si="224"/>
        <v>9079372.9499999993</v>
      </c>
      <c r="AP188" s="1218">
        <f t="shared" si="156"/>
        <v>439090258.43000001</v>
      </c>
      <c r="AQ188" s="1218">
        <f t="shared" si="157"/>
        <v>20468796.699999988</v>
      </c>
      <c r="AR188" s="1218">
        <f t="shared" si="158"/>
        <v>17942737.819999993</v>
      </c>
      <c r="AS188" s="1218">
        <f t="shared" si="159"/>
        <v>952644.05000000075</v>
      </c>
      <c r="AT188" s="1218">
        <f t="shared" si="160"/>
        <v>39364178.569999978</v>
      </c>
      <c r="AU188" s="1219">
        <f t="shared" si="161"/>
        <v>0.91645787171757376</v>
      </c>
      <c r="AV188" s="1219">
        <f t="shared" si="162"/>
        <v>0.91968722122256374</v>
      </c>
      <c r="AW188" s="1219">
        <f t="shared" si="163"/>
        <v>0.90503962961785245</v>
      </c>
      <c r="AX188" s="1219">
        <f t="shared" si="164"/>
        <v>0.91772637993113648</v>
      </c>
      <c r="AY188" s="1218">
        <f t="shared" si="165"/>
        <v>0</v>
      </c>
      <c r="AZ188" s="1218">
        <f t="shared" si="166"/>
        <v>0</v>
      </c>
      <c r="BA188" s="1218">
        <f t="shared" si="167"/>
        <v>0</v>
      </c>
      <c r="BB188" s="1218">
        <f t="shared" si="168"/>
        <v>0</v>
      </c>
      <c r="BC188" s="125"/>
      <c r="BF188" s="105">
        <f t="shared" si="141"/>
        <v>11646847.99000001</v>
      </c>
      <c r="BP188" s="1312">
        <f>+'CY (ALL FUNDS)'!F831</f>
        <v>245011674</v>
      </c>
      <c r="BQ188" s="1312">
        <f>+'CY (ALL FUNDS)'!G831</f>
        <v>165943326</v>
      </c>
      <c r="BR188" s="1312">
        <f>+'CY (ALL FUNDS)'!H831</f>
        <v>0</v>
      </c>
      <c r="BT188" s="111">
        <f t="shared" ref="BT188:BT193" si="228">+O188-BP188</f>
        <v>0</v>
      </c>
      <c r="BU188" s="111">
        <f t="shared" ref="BU188:BU193" si="229">+P188-BQ188</f>
        <v>0</v>
      </c>
      <c r="BV188" s="111">
        <f t="shared" ref="BV188:BV193" si="230">+Q188-BR188</f>
        <v>0</v>
      </c>
    </row>
    <row r="189" spans="1:74" ht="36">
      <c r="A189" s="587" t="s">
        <v>937</v>
      </c>
      <c r="B189" s="1308" t="s">
        <v>569</v>
      </c>
      <c r="C189" s="1218">
        <v>123195000</v>
      </c>
      <c r="D189" s="1218">
        <v>43788000</v>
      </c>
      <c r="E189" s="1218">
        <v>0</v>
      </c>
      <c r="F189" s="1218">
        <f t="shared" si="206"/>
        <v>166983000</v>
      </c>
      <c r="G189" s="1218">
        <v>5230366</v>
      </c>
      <c r="H189" s="1218">
        <v>-5230366</v>
      </c>
      <c r="I189" s="1218"/>
      <c r="J189" s="1218">
        <f t="shared" si="207"/>
        <v>0</v>
      </c>
      <c r="K189" s="1218">
        <f t="shared" si="202"/>
        <v>128425366</v>
      </c>
      <c r="L189" s="1218">
        <f t="shared" si="203"/>
        <v>38557634</v>
      </c>
      <c r="M189" s="1218">
        <f t="shared" si="204"/>
        <v>0</v>
      </c>
      <c r="N189" s="1218">
        <f t="shared" si="205"/>
        <v>166983000</v>
      </c>
      <c r="O189" s="1218">
        <v>128425366</v>
      </c>
      <c r="P189" s="1218">
        <v>38557634</v>
      </c>
      <c r="Q189" s="1218">
        <v>0</v>
      </c>
      <c r="R189" s="1218">
        <f t="shared" si="150"/>
        <v>166983000</v>
      </c>
      <c r="S189" s="1218"/>
      <c r="T189" s="1218"/>
      <c r="U189" s="1218"/>
      <c r="V189" s="1218">
        <f t="shared" si="211"/>
        <v>0</v>
      </c>
      <c r="W189" s="1304">
        <f>+'CY (ALL FUNDS)'!F847</f>
        <v>0</v>
      </c>
      <c r="X189" s="1304">
        <f>+'CY (ALL FUNDS)'!G847</f>
        <v>17540780</v>
      </c>
      <c r="Y189" s="1304">
        <f>+'CY (ALL FUNDS)'!H847</f>
        <v>0</v>
      </c>
      <c r="Z189" s="1218">
        <f t="shared" si="151"/>
        <v>17540780</v>
      </c>
      <c r="AA189" s="1218">
        <f t="shared" si="152"/>
        <v>128425366</v>
      </c>
      <c r="AB189" s="1218">
        <f t="shared" si="153"/>
        <v>56098414</v>
      </c>
      <c r="AC189" s="1218">
        <f t="shared" si="154"/>
        <v>0</v>
      </c>
      <c r="AD189" s="1218">
        <f t="shared" si="155"/>
        <v>184523780</v>
      </c>
      <c r="AE189" s="1304">
        <f>+'CY (ALL FUNDS)'!J846</f>
        <v>123925345.52</v>
      </c>
      <c r="AF189" s="1304">
        <f>+'CY (ALL FUNDS)'!K846</f>
        <v>33446304.32</v>
      </c>
      <c r="AG189" s="1304">
        <f>+'CY (ALL FUNDS)'!L846</f>
        <v>0</v>
      </c>
      <c r="AH189" s="1218">
        <f t="shared" si="208"/>
        <v>157371649.84</v>
      </c>
      <c r="AI189" s="1304">
        <f>+'CY (ALL FUNDS)'!J847</f>
        <v>0</v>
      </c>
      <c r="AJ189" s="1304">
        <f>+'CY (ALL FUNDS)'!K847</f>
        <v>14895385.02</v>
      </c>
      <c r="AK189" s="1304">
        <f>+'CY (ALL FUNDS)'!L847</f>
        <v>0</v>
      </c>
      <c r="AL189" s="1218">
        <f t="shared" si="209"/>
        <v>14895385.02</v>
      </c>
      <c r="AM189" s="1218">
        <f t="shared" si="222"/>
        <v>123925345.52</v>
      </c>
      <c r="AN189" s="1218">
        <f t="shared" si="223"/>
        <v>48341689.340000004</v>
      </c>
      <c r="AO189" s="1218">
        <f t="shared" si="224"/>
        <v>0</v>
      </c>
      <c r="AP189" s="1218">
        <f t="shared" si="156"/>
        <v>172267034.86000001</v>
      </c>
      <c r="AQ189" s="1218">
        <f t="shared" si="157"/>
        <v>4500020.4800000042</v>
      </c>
      <c r="AR189" s="1218">
        <f t="shared" si="158"/>
        <v>7756724.6599999964</v>
      </c>
      <c r="AS189" s="1218">
        <f t="shared" si="159"/>
        <v>0</v>
      </c>
      <c r="AT189" s="1218">
        <f t="shared" si="160"/>
        <v>12256745.140000001</v>
      </c>
      <c r="AU189" s="1219">
        <f t="shared" si="161"/>
        <v>0.96496003383007678</v>
      </c>
      <c r="AV189" s="1219">
        <f t="shared" si="162"/>
        <v>0.86173005425786198</v>
      </c>
      <c r="AW189" s="1219" t="str">
        <f t="shared" si="163"/>
        <v xml:space="preserve"> </v>
      </c>
      <c r="AX189" s="1219">
        <f t="shared" si="164"/>
        <v>0.9335763382909239</v>
      </c>
      <c r="AY189" s="1218">
        <f t="shared" si="165"/>
        <v>0</v>
      </c>
      <c r="AZ189" s="1218">
        <f t="shared" si="166"/>
        <v>0</v>
      </c>
      <c r="BA189" s="1218">
        <f t="shared" si="167"/>
        <v>0</v>
      </c>
      <c r="BB189" s="1218">
        <f t="shared" si="168"/>
        <v>0</v>
      </c>
      <c r="BC189" s="125"/>
      <c r="BF189" s="105">
        <f t="shared" si="141"/>
        <v>5111329.68</v>
      </c>
      <c r="BP189" s="1312">
        <f>+'CY (ALL FUNDS)'!F846</f>
        <v>128425366</v>
      </c>
      <c r="BQ189" s="1312">
        <f>+'CY (ALL FUNDS)'!G846</f>
        <v>38557634</v>
      </c>
      <c r="BR189" s="1312">
        <f>+'CY (ALL FUNDS)'!H846</f>
        <v>0</v>
      </c>
      <c r="BT189" s="111">
        <f t="shared" si="228"/>
        <v>0</v>
      </c>
      <c r="BU189" s="111">
        <f t="shared" si="229"/>
        <v>0</v>
      </c>
      <c r="BV189" s="111">
        <f t="shared" si="230"/>
        <v>0</v>
      </c>
    </row>
    <row r="190" spans="1:74" ht="24">
      <c r="A190" s="587" t="s">
        <v>937</v>
      </c>
      <c r="B190" s="1308" t="s">
        <v>570</v>
      </c>
      <c r="C190" s="1218">
        <v>18228000</v>
      </c>
      <c r="D190" s="1218">
        <v>6476000</v>
      </c>
      <c r="E190" s="1218">
        <v>0</v>
      </c>
      <c r="F190" s="1218">
        <f t="shared" si="206"/>
        <v>24704000</v>
      </c>
      <c r="G190" s="1218">
        <v>545970</v>
      </c>
      <c r="H190" s="1218">
        <v>-545970</v>
      </c>
      <c r="I190" s="1218"/>
      <c r="J190" s="1218">
        <f t="shared" si="207"/>
        <v>0</v>
      </c>
      <c r="K190" s="1218">
        <f t="shared" si="202"/>
        <v>18773970</v>
      </c>
      <c r="L190" s="1218">
        <f t="shared" si="203"/>
        <v>5930030</v>
      </c>
      <c r="M190" s="1218">
        <f t="shared" si="204"/>
        <v>0</v>
      </c>
      <c r="N190" s="1218">
        <f t="shared" si="205"/>
        <v>24704000</v>
      </c>
      <c r="O190" s="1218">
        <v>18773970</v>
      </c>
      <c r="P190" s="1218">
        <v>5930030</v>
      </c>
      <c r="Q190" s="1218">
        <v>0</v>
      </c>
      <c r="R190" s="1218">
        <f t="shared" si="150"/>
        <v>24704000</v>
      </c>
      <c r="S190" s="1218"/>
      <c r="T190" s="1218"/>
      <c r="U190" s="1218"/>
      <c r="V190" s="1218">
        <f t="shared" si="211"/>
        <v>0</v>
      </c>
      <c r="W190" s="1304">
        <f>+'CY (ALL FUNDS)'!F862</f>
        <v>0</v>
      </c>
      <c r="X190" s="1304">
        <f>+'CY (ALL FUNDS)'!G862</f>
        <v>2362000</v>
      </c>
      <c r="Y190" s="1304">
        <f>+'CY (ALL FUNDS)'!H862</f>
        <v>0</v>
      </c>
      <c r="Z190" s="1218">
        <f t="shared" si="151"/>
        <v>2362000</v>
      </c>
      <c r="AA190" s="1218">
        <f t="shared" si="152"/>
        <v>18773970</v>
      </c>
      <c r="AB190" s="1218">
        <f t="shared" si="153"/>
        <v>8292030</v>
      </c>
      <c r="AC190" s="1218">
        <f t="shared" si="154"/>
        <v>0</v>
      </c>
      <c r="AD190" s="1218">
        <f t="shared" si="155"/>
        <v>27066000</v>
      </c>
      <c r="AE190" s="1304">
        <f>+'CY (ALL FUNDS)'!J861</f>
        <v>18054635.969999999</v>
      </c>
      <c r="AF190" s="1304">
        <f>+'CY (ALL FUNDS)'!K861</f>
        <v>5176228.2200000007</v>
      </c>
      <c r="AG190" s="1304">
        <f>+'CY (ALL FUNDS)'!L861</f>
        <v>0</v>
      </c>
      <c r="AH190" s="1218">
        <f t="shared" si="208"/>
        <v>23230864.189999998</v>
      </c>
      <c r="AI190" s="1304">
        <f>+'CY (ALL FUNDS)'!J862</f>
        <v>0</v>
      </c>
      <c r="AJ190" s="1304">
        <f>+'CY (ALL FUNDS)'!K862</f>
        <v>2148017.63</v>
      </c>
      <c r="AK190" s="1304">
        <f>+'CY (ALL FUNDS)'!L862</f>
        <v>0</v>
      </c>
      <c r="AL190" s="1218">
        <f t="shared" si="209"/>
        <v>2148017.63</v>
      </c>
      <c r="AM190" s="1218">
        <f t="shared" si="222"/>
        <v>18054635.969999999</v>
      </c>
      <c r="AN190" s="1218">
        <f t="shared" si="223"/>
        <v>7324245.8500000006</v>
      </c>
      <c r="AO190" s="1218">
        <f t="shared" si="224"/>
        <v>0</v>
      </c>
      <c r="AP190" s="1218">
        <f t="shared" si="156"/>
        <v>25378881.82</v>
      </c>
      <c r="AQ190" s="1218">
        <f t="shared" si="157"/>
        <v>719334.03000000119</v>
      </c>
      <c r="AR190" s="1218">
        <f t="shared" si="158"/>
        <v>967784.14999999944</v>
      </c>
      <c r="AS190" s="1218">
        <f t="shared" si="159"/>
        <v>0</v>
      </c>
      <c r="AT190" s="1218">
        <f t="shared" si="160"/>
        <v>1687118.1800000006</v>
      </c>
      <c r="AU190" s="1219">
        <f t="shared" si="161"/>
        <v>0.96168450093400593</v>
      </c>
      <c r="AV190" s="1219">
        <f t="shared" si="162"/>
        <v>0.88328742780718361</v>
      </c>
      <c r="AW190" s="1219" t="str">
        <f t="shared" si="163"/>
        <v xml:space="preserve"> </v>
      </c>
      <c r="AX190" s="1219">
        <f t="shared" si="164"/>
        <v>0.93766651222936526</v>
      </c>
      <c r="AY190" s="1218">
        <f t="shared" si="165"/>
        <v>0</v>
      </c>
      <c r="AZ190" s="1218">
        <f t="shared" si="166"/>
        <v>0</v>
      </c>
      <c r="BA190" s="1218">
        <f t="shared" si="167"/>
        <v>0</v>
      </c>
      <c r="BB190" s="1218">
        <f t="shared" si="168"/>
        <v>0</v>
      </c>
      <c r="BC190" s="125"/>
      <c r="BF190" s="105">
        <f t="shared" si="141"/>
        <v>753801.77999999933</v>
      </c>
      <c r="BP190" s="1312">
        <f>+'CY (ALL FUNDS)'!F861</f>
        <v>18773970</v>
      </c>
      <c r="BQ190" s="1312">
        <f>+'CY (ALL FUNDS)'!G861</f>
        <v>5930030</v>
      </c>
      <c r="BR190" s="1312">
        <f>+'CY (ALL FUNDS)'!H861</f>
        <v>0</v>
      </c>
      <c r="BT190" s="111">
        <f t="shared" si="228"/>
        <v>0</v>
      </c>
      <c r="BU190" s="111">
        <f t="shared" si="229"/>
        <v>0</v>
      </c>
      <c r="BV190" s="111">
        <f t="shared" si="230"/>
        <v>0</v>
      </c>
    </row>
    <row r="191" spans="1:74" ht="36">
      <c r="A191" s="587" t="s">
        <v>937</v>
      </c>
      <c r="B191" s="1309" t="s">
        <v>571</v>
      </c>
      <c r="C191" s="1218">
        <v>16878000</v>
      </c>
      <c r="D191" s="1218">
        <v>15507000</v>
      </c>
      <c r="E191" s="1218">
        <v>0</v>
      </c>
      <c r="F191" s="1218">
        <f t="shared" si="206"/>
        <v>32385000</v>
      </c>
      <c r="G191" s="1218"/>
      <c r="H191" s="1218"/>
      <c r="I191" s="1218"/>
      <c r="J191" s="1218">
        <f t="shared" si="207"/>
        <v>0</v>
      </c>
      <c r="K191" s="1218">
        <f t="shared" si="202"/>
        <v>16878000</v>
      </c>
      <c r="L191" s="1218">
        <f t="shared" si="203"/>
        <v>15507000</v>
      </c>
      <c r="M191" s="1218">
        <f t="shared" si="204"/>
        <v>0</v>
      </c>
      <c r="N191" s="1218">
        <f t="shared" si="205"/>
        <v>32385000</v>
      </c>
      <c r="O191" s="1218">
        <v>16878000</v>
      </c>
      <c r="P191" s="1218">
        <v>15507000</v>
      </c>
      <c r="Q191" s="1218">
        <v>0</v>
      </c>
      <c r="R191" s="1218">
        <f t="shared" si="150"/>
        <v>32385000</v>
      </c>
      <c r="S191" s="1218"/>
      <c r="T191" s="1218"/>
      <c r="U191" s="1218"/>
      <c r="V191" s="1218">
        <f t="shared" si="211"/>
        <v>0</v>
      </c>
      <c r="W191" s="1304">
        <f>+'CY (ALL FUNDS)'!F877</f>
        <v>0</v>
      </c>
      <c r="X191" s="1304">
        <f>+'CY (ALL FUNDS)'!G877</f>
        <v>8813000</v>
      </c>
      <c r="Y191" s="1304">
        <f>+'CY (ALL FUNDS)'!H877</f>
        <v>0</v>
      </c>
      <c r="Z191" s="1218">
        <f t="shared" si="151"/>
        <v>8813000</v>
      </c>
      <c r="AA191" s="1218">
        <f t="shared" si="152"/>
        <v>16878000</v>
      </c>
      <c r="AB191" s="1218">
        <f t="shared" si="153"/>
        <v>24320000</v>
      </c>
      <c r="AC191" s="1218">
        <f t="shared" si="154"/>
        <v>0</v>
      </c>
      <c r="AD191" s="1218">
        <f t="shared" si="155"/>
        <v>41198000</v>
      </c>
      <c r="AE191" s="1304">
        <f>+'CY (ALL FUNDS)'!J876</f>
        <v>15623903.439999999</v>
      </c>
      <c r="AF191" s="1304">
        <f>+'CY (ALL FUNDS)'!K876</f>
        <v>10110953.370000001</v>
      </c>
      <c r="AG191" s="1304">
        <f>+'CY (ALL FUNDS)'!L876</f>
        <v>0</v>
      </c>
      <c r="AH191" s="1218">
        <f t="shared" si="208"/>
        <v>25734856.810000002</v>
      </c>
      <c r="AI191" s="1304">
        <f>+'CY (ALL FUNDS)'!J877</f>
        <v>0</v>
      </c>
      <c r="AJ191" s="1304">
        <f>+'CY (ALL FUNDS)'!K877</f>
        <v>7019968.3399999999</v>
      </c>
      <c r="AK191" s="1304">
        <f>+'CY (ALL FUNDS)'!L877</f>
        <v>0</v>
      </c>
      <c r="AL191" s="1218">
        <f t="shared" si="209"/>
        <v>7019968.3399999999</v>
      </c>
      <c r="AM191" s="1218">
        <f t="shared" si="222"/>
        <v>15623903.439999999</v>
      </c>
      <c r="AN191" s="1218">
        <f t="shared" si="223"/>
        <v>17130921.710000001</v>
      </c>
      <c r="AO191" s="1218">
        <f t="shared" si="224"/>
        <v>0</v>
      </c>
      <c r="AP191" s="1218">
        <f t="shared" si="156"/>
        <v>32754825.149999999</v>
      </c>
      <c r="AQ191" s="1218">
        <f t="shared" si="157"/>
        <v>1254096.5600000005</v>
      </c>
      <c r="AR191" s="1218">
        <f t="shared" si="158"/>
        <v>7189078.2899999991</v>
      </c>
      <c r="AS191" s="1218">
        <f t="shared" si="159"/>
        <v>0</v>
      </c>
      <c r="AT191" s="1218">
        <f t="shared" si="160"/>
        <v>8443174.8499999996</v>
      </c>
      <c r="AU191" s="1219">
        <f t="shared" si="161"/>
        <v>0.92569637634790847</v>
      </c>
      <c r="AV191" s="1219">
        <f t="shared" si="162"/>
        <v>0.70439645189144739</v>
      </c>
      <c r="AW191" s="1219" t="str">
        <f t="shared" si="163"/>
        <v xml:space="preserve"> </v>
      </c>
      <c r="AX191" s="1219">
        <f t="shared" si="164"/>
        <v>0.79505862299140728</v>
      </c>
      <c r="AY191" s="1218">
        <f t="shared" si="165"/>
        <v>0</v>
      </c>
      <c r="AZ191" s="1218">
        <f t="shared" si="166"/>
        <v>0</v>
      </c>
      <c r="BA191" s="1218">
        <f t="shared" si="167"/>
        <v>0</v>
      </c>
      <c r="BB191" s="1218">
        <f t="shared" si="168"/>
        <v>0</v>
      </c>
      <c r="BC191" s="125"/>
      <c r="BF191" s="105">
        <f t="shared" si="141"/>
        <v>5396046.629999999</v>
      </c>
      <c r="BP191" s="1312">
        <f>+'CY (ALL FUNDS)'!F876</f>
        <v>16878000</v>
      </c>
      <c r="BQ191" s="1312">
        <f>+'CY (ALL FUNDS)'!G876</f>
        <v>15507000</v>
      </c>
      <c r="BR191" s="1312">
        <f>+'CY (ALL FUNDS)'!H876</f>
        <v>0</v>
      </c>
      <c r="BT191" s="111">
        <f t="shared" si="228"/>
        <v>0</v>
      </c>
      <c r="BU191" s="111">
        <f t="shared" si="229"/>
        <v>0</v>
      </c>
      <c r="BV191" s="111">
        <f t="shared" si="230"/>
        <v>0</v>
      </c>
    </row>
    <row r="192" spans="1:74" ht="12.75">
      <c r="A192" s="587" t="s">
        <v>937</v>
      </c>
      <c r="B192" s="1311" t="s">
        <v>572</v>
      </c>
      <c r="C192" s="1218">
        <v>11698000</v>
      </c>
      <c r="D192" s="1218">
        <v>4629000</v>
      </c>
      <c r="E192" s="1218">
        <v>0</v>
      </c>
      <c r="F192" s="1218">
        <f t="shared" si="206"/>
        <v>16327000</v>
      </c>
      <c r="G192" s="1218"/>
      <c r="H192" s="1218"/>
      <c r="I192" s="1218"/>
      <c r="J192" s="1218">
        <f t="shared" si="207"/>
        <v>0</v>
      </c>
      <c r="K192" s="1218">
        <f t="shared" si="202"/>
        <v>11698000</v>
      </c>
      <c r="L192" s="1218">
        <f t="shared" si="203"/>
        <v>4629000</v>
      </c>
      <c r="M192" s="1218">
        <f t="shared" si="204"/>
        <v>0</v>
      </c>
      <c r="N192" s="1218">
        <f t="shared" si="205"/>
        <v>16327000</v>
      </c>
      <c r="O192" s="1218">
        <v>11698000</v>
      </c>
      <c r="P192" s="1218">
        <v>4629000</v>
      </c>
      <c r="Q192" s="1218">
        <v>0</v>
      </c>
      <c r="R192" s="1218">
        <f t="shared" si="150"/>
        <v>16327000</v>
      </c>
      <c r="S192" s="1218"/>
      <c r="T192" s="1218"/>
      <c r="U192" s="1218"/>
      <c r="V192" s="1218">
        <f t="shared" si="211"/>
        <v>0</v>
      </c>
      <c r="W192" s="1304">
        <f>+'CY (ALL FUNDS)'!F892</f>
        <v>0</v>
      </c>
      <c r="X192" s="1304">
        <f>+'CY (ALL FUNDS)'!G892</f>
        <v>1310000</v>
      </c>
      <c r="Y192" s="1304">
        <f>+'CY (ALL FUNDS)'!H892</f>
        <v>0</v>
      </c>
      <c r="Z192" s="1218">
        <f t="shared" si="151"/>
        <v>1310000</v>
      </c>
      <c r="AA192" s="1218">
        <f t="shared" si="152"/>
        <v>11698000</v>
      </c>
      <c r="AB192" s="1218">
        <f t="shared" si="153"/>
        <v>5939000</v>
      </c>
      <c r="AC192" s="1218">
        <f t="shared" si="154"/>
        <v>0</v>
      </c>
      <c r="AD192" s="1218">
        <f t="shared" si="155"/>
        <v>17637000</v>
      </c>
      <c r="AE192" s="1304">
        <f>+'CY (ALL FUNDS)'!J891</f>
        <v>10864929.470000003</v>
      </c>
      <c r="AF192" s="1304">
        <f>+'CY (ALL FUNDS)'!K891</f>
        <v>3535313.0999999996</v>
      </c>
      <c r="AG192" s="1304">
        <f>+'CY (ALL FUNDS)'!L891</f>
        <v>0</v>
      </c>
      <c r="AH192" s="1218">
        <f t="shared" si="208"/>
        <v>14400242.570000002</v>
      </c>
      <c r="AI192" s="1304">
        <f>+'CY (ALL FUNDS)'!J892</f>
        <v>0</v>
      </c>
      <c r="AJ192" s="1304">
        <f>+'CY (ALL FUNDS)'!K892</f>
        <v>1089328.6600000001</v>
      </c>
      <c r="AK192" s="1304">
        <f>+'CY (ALL FUNDS)'!L892</f>
        <v>0</v>
      </c>
      <c r="AL192" s="1218">
        <f t="shared" si="209"/>
        <v>1089328.6600000001</v>
      </c>
      <c r="AM192" s="1218">
        <f t="shared" si="222"/>
        <v>10864929.470000003</v>
      </c>
      <c r="AN192" s="1218">
        <f t="shared" si="223"/>
        <v>4624641.76</v>
      </c>
      <c r="AO192" s="1218">
        <f t="shared" si="224"/>
        <v>0</v>
      </c>
      <c r="AP192" s="1218">
        <f t="shared" si="156"/>
        <v>15489571.230000002</v>
      </c>
      <c r="AQ192" s="1218">
        <f t="shared" si="157"/>
        <v>833070.52999999747</v>
      </c>
      <c r="AR192" s="1218">
        <f t="shared" si="158"/>
        <v>1314358.2400000002</v>
      </c>
      <c r="AS192" s="1218">
        <f t="shared" si="159"/>
        <v>0</v>
      </c>
      <c r="AT192" s="1218">
        <f t="shared" si="160"/>
        <v>2147428.7699999977</v>
      </c>
      <c r="AU192" s="1219">
        <f t="shared" si="161"/>
        <v>0.92878521713113371</v>
      </c>
      <c r="AV192" s="1219">
        <f t="shared" si="162"/>
        <v>0.77869031150025259</v>
      </c>
      <c r="AW192" s="1219" t="str">
        <f t="shared" si="163"/>
        <v xml:space="preserve"> </v>
      </c>
      <c r="AX192" s="1219">
        <f t="shared" si="164"/>
        <v>0.87824296819186953</v>
      </c>
      <c r="AY192" s="1218">
        <f t="shared" si="165"/>
        <v>0</v>
      </c>
      <c r="AZ192" s="1218">
        <f t="shared" si="166"/>
        <v>0</v>
      </c>
      <c r="BA192" s="1218">
        <f t="shared" si="167"/>
        <v>0</v>
      </c>
      <c r="BB192" s="1218">
        <f t="shared" si="168"/>
        <v>0</v>
      </c>
      <c r="BC192" s="125"/>
      <c r="BF192" s="105">
        <f t="shared" si="141"/>
        <v>1093686.9000000004</v>
      </c>
      <c r="BP192" s="1312">
        <f>+'CY (ALL FUNDS)'!F891</f>
        <v>11698000</v>
      </c>
      <c r="BQ192" s="1312">
        <f>+'CY (ALL FUNDS)'!G891</f>
        <v>4629000</v>
      </c>
      <c r="BR192" s="1312">
        <f>+'CY (ALL FUNDS)'!H891</f>
        <v>0</v>
      </c>
      <c r="BT192" s="111">
        <f t="shared" si="228"/>
        <v>0</v>
      </c>
      <c r="BU192" s="111">
        <f t="shared" si="229"/>
        <v>0</v>
      </c>
      <c r="BV192" s="111">
        <f t="shared" si="230"/>
        <v>0</v>
      </c>
    </row>
    <row r="193" spans="1:74" ht="24">
      <c r="A193" s="587" t="s">
        <v>937</v>
      </c>
      <c r="B193" s="1309" t="s">
        <v>573</v>
      </c>
      <c r="C193" s="1218">
        <v>14387000</v>
      </c>
      <c r="D193" s="1218">
        <v>7509000</v>
      </c>
      <c r="E193" s="1218">
        <v>0</v>
      </c>
      <c r="F193" s="1218">
        <f t="shared" si="206"/>
        <v>21896000</v>
      </c>
      <c r="G193" s="1218">
        <v>159146</v>
      </c>
      <c r="H193" s="1218">
        <v>-159146</v>
      </c>
      <c r="I193" s="1218"/>
      <c r="J193" s="1218">
        <f t="shared" si="207"/>
        <v>0</v>
      </c>
      <c r="K193" s="1218">
        <f t="shared" si="202"/>
        <v>14546146</v>
      </c>
      <c r="L193" s="1218">
        <f t="shared" si="203"/>
        <v>7349854</v>
      </c>
      <c r="M193" s="1218">
        <f t="shared" si="204"/>
        <v>0</v>
      </c>
      <c r="N193" s="1218">
        <f t="shared" si="205"/>
        <v>21896000</v>
      </c>
      <c r="O193" s="1218">
        <v>14546146</v>
      </c>
      <c r="P193" s="1218">
        <v>7349854</v>
      </c>
      <c r="Q193" s="1218">
        <v>0</v>
      </c>
      <c r="R193" s="1218">
        <f t="shared" si="150"/>
        <v>21896000</v>
      </c>
      <c r="S193" s="1218"/>
      <c r="T193" s="1218"/>
      <c r="U193" s="1218"/>
      <c r="V193" s="1218">
        <f t="shared" si="211"/>
        <v>0</v>
      </c>
      <c r="W193" s="1304">
        <f>+'CY (ALL FUNDS)'!F907</f>
        <v>0</v>
      </c>
      <c r="X193" s="1304">
        <f>+'CY (ALL FUNDS)'!G907</f>
        <v>2846000</v>
      </c>
      <c r="Y193" s="1304">
        <f>+'CY (ALL FUNDS)'!H907</f>
        <v>3000000</v>
      </c>
      <c r="Z193" s="1218">
        <f t="shared" si="151"/>
        <v>5846000</v>
      </c>
      <c r="AA193" s="1218">
        <f t="shared" si="152"/>
        <v>14546146</v>
      </c>
      <c r="AB193" s="1218">
        <f t="shared" si="153"/>
        <v>10195854</v>
      </c>
      <c r="AC193" s="1218">
        <f t="shared" si="154"/>
        <v>3000000</v>
      </c>
      <c r="AD193" s="1218">
        <f t="shared" si="155"/>
        <v>27742000</v>
      </c>
      <c r="AE193" s="1304">
        <f>+'CY (ALL FUNDS)'!J906</f>
        <v>13395467.75</v>
      </c>
      <c r="AF193" s="1304">
        <f>+'CY (ALL FUNDS)'!K906</f>
        <v>6864631.5800000001</v>
      </c>
      <c r="AG193" s="1304">
        <f>+'CY (ALL FUNDS)'!L906</f>
        <v>0</v>
      </c>
      <c r="AH193" s="1218">
        <f t="shared" si="208"/>
        <v>20260099.329999998</v>
      </c>
      <c r="AI193" s="1304">
        <f>+'CY (ALL FUNDS)'!J907</f>
        <v>0</v>
      </c>
      <c r="AJ193" s="1304">
        <f>+'CY (ALL FUNDS)'!K907</f>
        <v>2359700.37</v>
      </c>
      <c r="AK193" s="1304">
        <f>+'CY (ALL FUNDS)'!L907</f>
        <v>2955655.58</v>
      </c>
      <c r="AL193" s="1218">
        <f t="shared" si="209"/>
        <v>5315355.95</v>
      </c>
      <c r="AM193" s="1218">
        <f t="shared" si="222"/>
        <v>13395467.75</v>
      </c>
      <c r="AN193" s="1218">
        <f t="shared" si="223"/>
        <v>9224331.9499999993</v>
      </c>
      <c r="AO193" s="1218">
        <f t="shared" si="224"/>
        <v>2955655.58</v>
      </c>
      <c r="AP193" s="1218">
        <f t="shared" si="156"/>
        <v>25575455.280000001</v>
      </c>
      <c r="AQ193" s="1218">
        <f t="shared" si="157"/>
        <v>1150678.25</v>
      </c>
      <c r="AR193" s="1218">
        <f t="shared" si="158"/>
        <v>971522.05000000075</v>
      </c>
      <c r="AS193" s="1218">
        <f t="shared" si="159"/>
        <v>44344.419999999925</v>
      </c>
      <c r="AT193" s="1218">
        <f t="shared" si="160"/>
        <v>2166544.7200000007</v>
      </c>
      <c r="AU193" s="1219">
        <f t="shared" si="161"/>
        <v>0.92089463078398914</v>
      </c>
      <c r="AV193" s="1219">
        <f t="shared" si="162"/>
        <v>0.90471400924336498</v>
      </c>
      <c r="AW193" s="1219">
        <f t="shared" si="163"/>
        <v>0.98521852666666665</v>
      </c>
      <c r="AX193" s="1219">
        <f t="shared" si="164"/>
        <v>0.92190380217720425</v>
      </c>
      <c r="AY193" s="1218">
        <f t="shared" si="165"/>
        <v>0</v>
      </c>
      <c r="AZ193" s="1218">
        <f t="shared" si="166"/>
        <v>0</v>
      </c>
      <c r="BA193" s="1218">
        <f t="shared" si="167"/>
        <v>0</v>
      </c>
      <c r="BB193" s="1218">
        <f t="shared" si="168"/>
        <v>0</v>
      </c>
      <c r="BC193" s="125"/>
      <c r="BF193" s="105">
        <f t="shared" si="141"/>
        <v>485222.41999999993</v>
      </c>
      <c r="BP193" s="1312">
        <f>+'CY (ALL FUNDS)'!F906</f>
        <v>14546146</v>
      </c>
      <c r="BQ193" s="1312">
        <f>+'CY (ALL FUNDS)'!G906</f>
        <v>7349854</v>
      </c>
      <c r="BR193" s="1312">
        <f>+'CY (ALL FUNDS)'!H906</f>
        <v>0</v>
      </c>
      <c r="BT193" s="111">
        <f t="shared" si="228"/>
        <v>0</v>
      </c>
      <c r="BU193" s="111">
        <f t="shared" si="229"/>
        <v>0</v>
      </c>
      <c r="BV193" s="111">
        <f t="shared" si="230"/>
        <v>0</v>
      </c>
    </row>
    <row r="194" spans="1:74">
      <c r="B194" s="1310"/>
      <c r="C194" s="1218"/>
      <c r="D194" s="1218"/>
      <c r="E194" s="1218"/>
      <c r="F194" s="1218"/>
      <c r="G194" s="1218"/>
      <c r="H194" s="1218"/>
      <c r="I194" s="1218"/>
      <c r="J194" s="1218">
        <f t="shared" si="207"/>
        <v>0</v>
      </c>
      <c r="K194" s="1218">
        <f t="shared" si="202"/>
        <v>0</v>
      </c>
      <c r="L194" s="1218">
        <f t="shared" si="203"/>
        <v>0</v>
      </c>
      <c r="M194" s="1218">
        <f t="shared" si="204"/>
        <v>0</v>
      </c>
      <c r="N194" s="1218">
        <f t="shared" si="205"/>
        <v>0</v>
      </c>
      <c r="O194" s="1218"/>
      <c r="P194" s="1218"/>
      <c r="Q194" s="1218"/>
      <c r="R194" s="1218">
        <f t="shared" si="150"/>
        <v>0</v>
      </c>
      <c r="S194" s="1218"/>
      <c r="T194" s="1218"/>
      <c r="U194" s="1218"/>
      <c r="V194" s="1218"/>
      <c r="W194" s="1304"/>
      <c r="X194" s="1304"/>
      <c r="Y194" s="1304"/>
      <c r="Z194" s="1218">
        <f t="shared" si="151"/>
        <v>0</v>
      </c>
      <c r="AA194" s="1218">
        <f t="shared" si="152"/>
        <v>0</v>
      </c>
      <c r="AB194" s="1218">
        <f t="shared" si="153"/>
        <v>0</v>
      </c>
      <c r="AC194" s="1218">
        <f t="shared" si="154"/>
        <v>0</v>
      </c>
      <c r="AD194" s="1218">
        <f t="shared" si="155"/>
        <v>0</v>
      </c>
      <c r="AE194" s="1304"/>
      <c r="AF194" s="1304"/>
      <c r="AG194" s="1304"/>
      <c r="AH194" s="1218"/>
      <c r="AI194" s="1304"/>
      <c r="AJ194" s="1304"/>
      <c r="AK194" s="1304"/>
      <c r="AL194" s="1218"/>
      <c r="AM194" s="1218"/>
      <c r="AN194" s="1218"/>
      <c r="AO194" s="1218"/>
      <c r="AP194" s="1218">
        <f t="shared" si="156"/>
        <v>0</v>
      </c>
      <c r="AQ194" s="1218">
        <f t="shared" si="157"/>
        <v>0</v>
      </c>
      <c r="AR194" s="1218">
        <f t="shared" si="158"/>
        <v>0</v>
      </c>
      <c r="AS194" s="1218">
        <f t="shared" si="159"/>
        <v>0</v>
      </c>
      <c r="AT194" s="1218">
        <f t="shared" si="160"/>
        <v>0</v>
      </c>
      <c r="AU194" s="1219" t="str">
        <f t="shared" si="161"/>
        <v xml:space="preserve"> </v>
      </c>
      <c r="AV194" s="1219" t="str">
        <f t="shared" si="162"/>
        <v xml:space="preserve"> </v>
      </c>
      <c r="AW194" s="1219" t="str">
        <f t="shared" si="163"/>
        <v xml:space="preserve"> </v>
      </c>
      <c r="AX194" s="1219" t="str">
        <f t="shared" si="164"/>
        <v xml:space="preserve"> </v>
      </c>
      <c r="AY194" s="1218">
        <f t="shared" si="165"/>
        <v>0</v>
      </c>
      <c r="AZ194" s="1218">
        <f t="shared" si="166"/>
        <v>0</v>
      </c>
      <c r="BA194" s="1218">
        <f t="shared" si="167"/>
        <v>0</v>
      </c>
      <c r="BB194" s="1218">
        <f t="shared" si="168"/>
        <v>0</v>
      </c>
      <c r="BC194" s="125"/>
      <c r="BF194" s="105">
        <f t="shared" si="141"/>
        <v>0</v>
      </c>
      <c r="BP194" s="1312"/>
      <c r="BQ194" s="1312"/>
      <c r="BR194" s="1312"/>
    </row>
    <row r="195" spans="1:74" ht="12.75">
      <c r="A195" s="587" t="s">
        <v>937</v>
      </c>
      <c r="B195" s="1305" t="s">
        <v>35</v>
      </c>
      <c r="C195" s="1218">
        <f>SUM(C196:C201)</f>
        <v>270153000</v>
      </c>
      <c r="D195" s="1218">
        <f>SUM(D196:D201)</f>
        <v>229235000</v>
      </c>
      <c r="E195" s="1218">
        <f>SUM(E196:E201)</f>
        <v>0</v>
      </c>
      <c r="F195" s="1218">
        <f t="shared" ref="F195:AO195" si="231">SUM(F196:F201)</f>
        <v>499388000</v>
      </c>
      <c r="G195" s="1218">
        <f t="shared" si="231"/>
        <v>0</v>
      </c>
      <c r="H195" s="1218">
        <f t="shared" si="231"/>
        <v>0</v>
      </c>
      <c r="I195" s="1218">
        <f t="shared" si="231"/>
        <v>0</v>
      </c>
      <c r="J195" s="1218">
        <f t="shared" si="231"/>
        <v>0</v>
      </c>
      <c r="K195" s="1218">
        <f t="shared" si="231"/>
        <v>270153000</v>
      </c>
      <c r="L195" s="1218">
        <f t="shared" si="231"/>
        <v>229235000</v>
      </c>
      <c r="M195" s="1218">
        <f t="shared" si="231"/>
        <v>0</v>
      </c>
      <c r="N195" s="1218">
        <f t="shared" si="231"/>
        <v>499388000</v>
      </c>
      <c r="O195" s="1218">
        <f t="shared" si="231"/>
        <v>270153000</v>
      </c>
      <c r="P195" s="1218">
        <f t="shared" si="231"/>
        <v>229235000</v>
      </c>
      <c r="Q195" s="1218">
        <f t="shared" si="231"/>
        <v>0</v>
      </c>
      <c r="R195" s="1218">
        <f t="shared" si="150"/>
        <v>499388000</v>
      </c>
      <c r="S195" s="1218"/>
      <c r="T195" s="1218"/>
      <c r="U195" s="1218"/>
      <c r="V195" s="1218">
        <f>SUM(V196:V201)</f>
        <v>0</v>
      </c>
      <c r="W195" s="1218">
        <f t="shared" si="231"/>
        <v>0</v>
      </c>
      <c r="X195" s="1218">
        <f t="shared" si="231"/>
        <v>263208389</v>
      </c>
      <c r="Y195" s="1218">
        <f t="shared" si="231"/>
        <v>39885000</v>
      </c>
      <c r="Z195" s="1218">
        <f t="shared" si="151"/>
        <v>303093389</v>
      </c>
      <c r="AA195" s="1218">
        <f t="shared" si="152"/>
        <v>270153000</v>
      </c>
      <c r="AB195" s="1218">
        <f t="shared" si="153"/>
        <v>492443389</v>
      </c>
      <c r="AC195" s="1218">
        <f t="shared" si="154"/>
        <v>39885000</v>
      </c>
      <c r="AD195" s="1218">
        <f t="shared" si="155"/>
        <v>802481389</v>
      </c>
      <c r="AE195" s="1218">
        <f t="shared" si="231"/>
        <v>211566533.57000002</v>
      </c>
      <c r="AF195" s="1218">
        <f>SUM(AF196:AF201)</f>
        <v>170430723.56</v>
      </c>
      <c r="AG195" s="1218">
        <f>SUM(AG196:AG201)</f>
        <v>0</v>
      </c>
      <c r="AH195" s="1218">
        <f t="shared" si="231"/>
        <v>381997257.13</v>
      </c>
      <c r="AI195" s="1218">
        <f t="shared" si="231"/>
        <v>0</v>
      </c>
      <c r="AJ195" s="1218">
        <f t="shared" si="231"/>
        <v>177462548.03999999</v>
      </c>
      <c r="AK195" s="1218">
        <f t="shared" si="231"/>
        <v>31178544.170000002</v>
      </c>
      <c r="AL195" s="1218">
        <f t="shared" si="231"/>
        <v>208641092.21000001</v>
      </c>
      <c r="AM195" s="1218">
        <f t="shared" si="231"/>
        <v>211566533.57000002</v>
      </c>
      <c r="AN195" s="1218">
        <f t="shared" si="231"/>
        <v>347893271.5999999</v>
      </c>
      <c r="AO195" s="1218">
        <f t="shared" si="231"/>
        <v>31178544.170000002</v>
      </c>
      <c r="AP195" s="1218">
        <f t="shared" si="156"/>
        <v>590638349.33999991</v>
      </c>
      <c r="AQ195" s="1218">
        <f t="shared" si="157"/>
        <v>58586466.429999977</v>
      </c>
      <c r="AR195" s="1218">
        <f t="shared" si="158"/>
        <v>144550117.4000001</v>
      </c>
      <c r="AS195" s="1218">
        <f t="shared" si="159"/>
        <v>8706455.8299999982</v>
      </c>
      <c r="AT195" s="1218">
        <f t="shared" si="160"/>
        <v>211843039.66000009</v>
      </c>
      <c r="AU195" s="1219">
        <f t="shared" si="161"/>
        <v>0.78313597690938108</v>
      </c>
      <c r="AV195" s="1219">
        <f t="shared" si="162"/>
        <v>0.70646348264815451</v>
      </c>
      <c r="AW195" s="1219">
        <f t="shared" si="163"/>
        <v>0.78171102344239696</v>
      </c>
      <c r="AX195" s="1219">
        <f t="shared" si="164"/>
        <v>0.73601501223101873</v>
      </c>
      <c r="AY195" s="1218">
        <f t="shared" si="165"/>
        <v>0</v>
      </c>
      <c r="AZ195" s="1218">
        <f t="shared" si="166"/>
        <v>0</v>
      </c>
      <c r="BA195" s="1218">
        <f t="shared" si="167"/>
        <v>0</v>
      </c>
      <c r="BB195" s="1218">
        <f t="shared" si="168"/>
        <v>0</v>
      </c>
      <c r="BC195" s="125"/>
      <c r="BF195" s="105">
        <f t="shared" si="141"/>
        <v>58804276.439999998</v>
      </c>
      <c r="BP195" s="1313"/>
      <c r="BQ195" s="1313"/>
      <c r="BR195" s="1313"/>
    </row>
    <row r="196" spans="1:74" ht="36">
      <c r="A196" s="587" t="s">
        <v>937</v>
      </c>
      <c r="B196" s="1306" t="s">
        <v>534</v>
      </c>
      <c r="C196" s="1218">
        <v>34453000</v>
      </c>
      <c r="D196" s="1218">
        <v>10492000</v>
      </c>
      <c r="E196" s="1218">
        <v>0</v>
      </c>
      <c r="F196" s="1218">
        <f t="shared" si="206"/>
        <v>44945000</v>
      </c>
      <c r="G196" s="1218"/>
      <c r="H196" s="1218"/>
      <c r="I196" s="1218"/>
      <c r="J196" s="1218">
        <f t="shared" si="207"/>
        <v>0</v>
      </c>
      <c r="K196" s="1218">
        <f t="shared" si="202"/>
        <v>34453000</v>
      </c>
      <c r="L196" s="1218">
        <f t="shared" si="203"/>
        <v>10492000</v>
      </c>
      <c r="M196" s="1218">
        <f t="shared" si="204"/>
        <v>0</v>
      </c>
      <c r="N196" s="1218">
        <f t="shared" si="205"/>
        <v>44945000</v>
      </c>
      <c r="O196" s="1218">
        <v>34453000</v>
      </c>
      <c r="P196" s="1218">
        <v>10492000</v>
      </c>
      <c r="Q196" s="1218">
        <v>0</v>
      </c>
      <c r="R196" s="1218">
        <f t="shared" si="150"/>
        <v>44945000</v>
      </c>
      <c r="S196" s="1218"/>
      <c r="T196" s="1218"/>
      <c r="U196" s="1218"/>
      <c r="V196" s="1218">
        <f t="shared" si="211"/>
        <v>0</v>
      </c>
      <c r="W196" s="1304"/>
      <c r="X196" s="1304"/>
      <c r="Y196" s="1304"/>
      <c r="Z196" s="1218">
        <f t="shared" si="151"/>
        <v>0</v>
      </c>
      <c r="AA196" s="1218">
        <f t="shared" si="152"/>
        <v>34453000</v>
      </c>
      <c r="AB196" s="1218">
        <f t="shared" si="153"/>
        <v>10492000</v>
      </c>
      <c r="AC196" s="1218">
        <f t="shared" si="154"/>
        <v>0</v>
      </c>
      <c r="AD196" s="1218">
        <f t="shared" si="155"/>
        <v>44945000</v>
      </c>
      <c r="AE196" s="1304">
        <f>+'CY (ALL FUNDS)'!J938</f>
        <v>26466772.659999996</v>
      </c>
      <c r="AF196" s="1304">
        <f>+'CY (ALL FUNDS)'!K938</f>
        <v>7713097.2300000014</v>
      </c>
      <c r="AG196" s="1304">
        <f>+'CY (ALL FUNDS)'!L938</f>
        <v>0</v>
      </c>
      <c r="AH196" s="1218">
        <f t="shared" si="208"/>
        <v>34179869.890000001</v>
      </c>
      <c r="AI196" s="1304"/>
      <c r="AJ196" s="1304"/>
      <c r="AK196" s="1304"/>
      <c r="AL196" s="1218">
        <f t="shared" si="209"/>
        <v>0</v>
      </c>
      <c r="AM196" s="1218">
        <f t="shared" ref="AM196:AM201" si="232">+AE196+AI196</f>
        <v>26466772.659999996</v>
      </c>
      <c r="AN196" s="1218">
        <f t="shared" ref="AN196:AN201" si="233">+AF196+AJ196</f>
        <v>7713097.2300000014</v>
      </c>
      <c r="AO196" s="1218">
        <f t="shared" ref="AO196:AO201" si="234">+AG196+AK196</f>
        <v>0</v>
      </c>
      <c r="AP196" s="1218">
        <f t="shared" si="156"/>
        <v>34179869.890000001</v>
      </c>
      <c r="AQ196" s="1218">
        <f t="shared" si="157"/>
        <v>7986227.3400000036</v>
      </c>
      <c r="AR196" s="1218">
        <f t="shared" si="158"/>
        <v>2778902.7699999986</v>
      </c>
      <c r="AS196" s="1218">
        <f t="shared" si="159"/>
        <v>0</v>
      </c>
      <c r="AT196" s="1218">
        <f t="shared" si="160"/>
        <v>10765130.110000003</v>
      </c>
      <c r="AU196" s="1219">
        <f t="shared" si="161"/>
        <v>0.76819936319043325</v>
      </c>
      <c r="AV196" s="1219">
        <f t="shared" si="162"/>
        <v>0.73514079584445302</v>
      </c>
      <c r="AW196" s="1219" t="str">
        <f t="shared" si="163"/>
        <v xml:space="preserve"> </v>
      </c>
      <c r="AX196" s="1219">
        <f t="shared" si="164"/>
        <v>0.76048214239626211</v>
      </c>
      <c r="AY196" s="1218">
        <f t="shared" si="165"/>
        <v>0</v>
      </c>
      <c r="AZ196" s="1218">
        <f t="shared" si="166"/>
        <v>0</v>
      </c>
      <c r="BA196" s="1218">
        <f t="shared" si="167"/>
        <v>0</v>
      </c>
      <c r="BB196" s="1218">
        <f t="shared" si="168"/>
        <v>0</v>
      </c>
      <c r="BC196" s="125"/>
      <c r="BD196" s="105">
        <f>+AT196-'CY (ALL FUNDS)'!Q938</f>
        <v>0</v>
      </c>
      <c r="BF196" s="105">
        <f t="shared" si="141"/>
        <v>2778902.7699999986</v>
      </c>
      <c r="BP196" s="1312">
        <f>+'CY (ALL FUNDS)'!F938</f>
        <v>34453000</v>
      </c>
      <c r="BQ196" s="1312">
        <f>+'CY (ALL FUNDS)'!G938</f>
        <v>10492000</v>
      </c>
      <c r="BR196" s="1312">
        <f>+'CY (ALL FUNDS)'!H938</f>
        <v>0</v>
      </c>
      <c r="BT196" s="111">
        <f t="shared" ref="BT196:BT198" si="235">+O196-BP196</f>
        <v>0</v>
      </c>
      <c r="BU196" s="111">
        <f t="shared" ref="BU196:BU198" si="236">+P196-BQ196</f>
        <v>0</v>
      </c>
      <c r="BV196" s="111">
        <f t="shared" ref="BV196:BV198" si="237">+Q196-BR196</f>
        <v>0</v>
      </c>
    </row>
    <row r="197" spans="1:74" ht="12.75">
      <c r="A197" s="587" t="s">
        <v>937</v>
      </c>
      <c r="B197" s="1307" t="s">
        <v>535</v>
      </c>
      <c r="C197" s="1218">
        <v>2304000</v>
      </c>
      <c r="D197" s="1218">
        <v>3926000</v>
      </c>
      <c r="E197" s="1218">
        <v>0</v>
      </c>
      <c r="F197" s="1218">
        <f t="shared" si="206"/>
        <v>6230000</v>
      </c>
      <c r="G197" s="1218"/>
      <c r="H197" s="1218"/>
      <c r="I197" s="1218"/>
      <c r="J197" s="1218">
        <f t="shared" si="207"/>
        <v>0</v>
      </c>
      <c r="K197" s="1218">
        <f t="shared" si="202"/>
        <v>2304000</v>
      </c>
      <c r="L197" s="1218">
        <f t="shared" si="203"/>
        <v>3926000</v>
      </c>
      <c r="M197" s="1218">
        <f t="shared" si="204"/>
        <v>0</v>
      </c>
      <c r="N197" s="1218">
        <f t="shared" si="205"/>
        <v>6230000</v>
      </c>
      <c r="O197" s="1218">
        <v>2304000</v>
      </c>
      <c r="P197" s="1218">
        <v>3926000</v>
      </c>
      <c r="Q197" s="1218">
        <v>0</v>
      </c>
      <c r="R197" s="1218">
        <f t="shared" si="150"/>
        <v>6230000</v>
      </c>
      <c r="S197" s="1218"/>
      <c r="T197" s="1218"/>
      <c r="U197" s="1218"/>
      <c r="V197" s="1218">
        <f t="shared" si="211"/>
        <v>0</v>
      </c>
      <c r="W197" s="1304"/>
      <c r="X197" s="1304"/>
      <c r="Y197" s="1304"/>
      <c r="Z197" s="1218">
        <f t="shared" si="151"/>
        <v>0</v>
      </c>
      <c r="AA197" s="1218">
        <f t="shared" si="152"/>
        <v>2304000</v>
      </c>
      <c r="AB197" s="1218">
        <f t="shared" si="153"/>
        <v>3926000</v>
      </c>
      <c r="AC197" s="1218">
        <f t="shared" si="154"/>
        <v>0</v>
      </c>
      <c r="AD197" s="1218">
        <f t="shared" si="155"/>
        <v>6230000</v>
      </c>
      <c r="AE197" s="1304">
        <f>+'CY (ALL FUNDS)'!J939</f>
        <v>1813112</v>
      </c>
      <c r="AF197" s="1304">
        <f>+'CY (ALL FUNDS)'!K939</f>
        <v>1663184.8600000003</v>
      </c>
      <c r="AG197" s="1304">
        <f>+'CY (ALL FUNDS)'!L939</f>
        <v>0</v>
      </c>
      <c r="AH197" s="1218">
        <f t="shared" si="208"/>
        <v>3476296.8600000003</v>
      </c>
      <c r="AI197" s="1304"/>
      <c r="AJ197" s="1304"/>
      <c r="AK197" s="1304"/>
      <c r="AL197" s="1218">
        <f t="shared" si="209"/>
        <v>0</v>
      </c>
      <c r="AM197" s="1218">
        <f t="shared" si="232"/>
        <v>1813112</v>
      </c>
      <c r="AN197" s="1218">
        <f t="shared" si="233"/>
        <v>1663184.8600000003</v>
      </c>
      <c r="AO197" s="1218">
        <f t="shared" si="234"/>
        <v>0</v>
      </c>
      <c r="AP197" s="1218">
        <f t="shared" si="156"/>
        <v>3476296.8600000003</v>
      </c>
      <c r="AQ197" s="1218">
        <f t="shared" si="157"/>
        <v>490888</v>
      </c>
      <c r="AR197" s="1218">
        <f t="shared" si="158"/>
        <v>2262815.1399999997</v>
      </c>
      <c r="AS197" s="1218">
        <f t="shared" si="159"/>
        <v>0</v>
      </c>
      <c r="AT197" s="1218">
        <f t="shared" si="160"/>
        <v>2753703.1399999997</v>
      </c>
      <c r="AU197" s="1219">
        <f t="shared" si="161"/>
        <v>0.78694097222222226</v>
      </c>
      <c r="AV197" s="1219">
        <f t="shared" si="162"/>
        <v>0.42363343352012234</v>
      </c>
      <c r="AW197" s="1219" t="str">
        <f t="shared" si="163"/>
        <v xml:space="preserve"> </v>
      </c>
      <c r="AX197" s="1219">
        <f t="shared" si="164"/>
        <v>0.55799307544141252</v>
      </c>
      <c r="AY197" s="1218">
        <f t="shared" si="165"/>
        <v>0</v>
      </c>
      <c r="AZ197" s="1218">
        <f t="shared" si="166"/>
        <v>0</v>
      </c>
      <c r="BA197" s="1218">
        <f t="shared" si="167"/>
        <v>0</v>
      </c>
      <c r="BB197" s="1218">
        <f t="shared" si="168"/>
        <v>0</v>
      </c>
      <c r="BC197" s="125"/>
      <c r="BD197" s="105">
        <f>+AT197-'CY (ALL FUNDS)'!Q939</f>
        <v>0</v>
      </c>
      <c r="BF197" s="105">
        <f t="shared" ref="BF197:BF248" si="238">+P197-AF197</f>
        <v>2262815.1399999997</v>
      </c>
      <c r="BP197" s="1312">
        <f>+'CY (ALL FUNDS)'!F939</f>
        <v>2304000</v>
      </c>
      <c r="BQ197" s="1312">
        <f>+'CY (ALL FUNDS)'!G939</f>
        <v>3926000</v>
      </c>
      <c r="BR197" s="1312">
        <f>+'CY (ALL FUNDS)'!H939</f>
        <v>0</v>
      </c>
      <c r="BT197" s="111">
        <f t="shared" si="235"/>
        <v>0</v>
      </c>
      <c r="BU197" s="111">
        <f t="shared" si="236"/>
        <v>0</v>
      </c>
      <c r="BV197" s="111">
        <f t="shared" si="237"/>
        <v>0</v>
      </c>
    </row>
    <row r="198" spans="1:74" ht="36">
      <c r="A198" s="587" t="s">
        <v>937</v>
      </c>
      <c r="B198" s="1306" t="s">
        <v>536</v>
      </c>
      <c r="C198" s="1218">
        <v>74334000</v>
      </c>
      <c r="D198" s="1218">
        <v>157460000</v>
      </c>
      <c r="E198" s="1218">
        <v>0</v>
      </c>
      <c r="F198" s="1218">
        <f t="shared" si="206"/>
        <v>231794000</v>
      </c>
      <c r="G198" s="1218"/>
      <c r="H198" s="1218"/>
      <c r="I198" s="1218"/>
      <c r="J198" s="1218">
        <f t="shared" si="207"/>
        <v>0</v>
      </c>
      <c r="K198" s="1218">
        <f t="shared" si="202"/>
        <v>74334000</v>
      </c>
      <c r="L198" s="1218">
        <f t="shared" si="203"/>
        <v>157460000</v>
      </c>
      <c r="M198" s="1218">
        <f t="shared" si="204"/>
        <v>0</v>
      </c>
      <c r="N198" s="1218">
        <f t="shared" si="205"/>
        <v>231794000</v>
      </c>
      <c r="O198" s="1218">
        <v>74334000</v>
      </c>
      <c r="P198" s="1218">
        <v>157460000</v>
      </c>
      <c r="Q198" s="1218">
        <v>0</v>
      </c>
      <c r="R198" s="1218">
        <f t="shared" si="150"/>
        <v>231794000</v>
      </c>
      <c r="S198" s="1218"/>
      <c r="T198" s="1218"/>
      <c r="U198" s="1218"/>
      <c r="V198" s="1218">
        <f t="shared" si="211"/>
        <v>0</v>
      </c>
      <c r="W198" s="1304">
        <f>+'CY (ALL FUNDS)'!F941</f>
        <v>0</v>
      </c>
      <c r="X198" s="1304">
        <f>+'CY (ALL FUNDS)'!G941</f>
        <v>243811389</v>
      </c>
      <c r="Y198" s="1304">
        <f>+'CY (ALL FUNDS)'!H941</f>
        <v>27885000</v>
      </c>
      <c r="Z198" s="1218">
        <f t="shared" si="151"/>
        <v>271696389</v>
      </c>
      <c r="AA198" s="1218">
        <f t="shared" si="152"/>
        <v>74334000</v>
      </c>
      <c r="AB198" s="1218">
        <f t="shared" si="153"/>
        <v>401271389</v>
      </c>
      <c r="AC198" s="1218">
        <f t="shared" si="154"/>
        <v>27885000</v>
      </c>
      <c r="AD198" s="1218">
        <f t="shared" si="155"/>
        <v>503490389</v>
      </c>
      <c r="AE198" s="1304">
        <f>+'CY (ALL FUNDS)'!J940</f>
        <v>56842599.980000004</v>
      </c>
      <c r="AF198" s="1304">
        <f>+'CY (ALL FUNDS)'!K940</f>
        <v>114491604.88</v>
      </c>
      <c r="AG198" s="1304">
        <f>+'CY (ALL FUNDS)'!L940</f>
        <v>0</v>
      </c>
      <c r="AH198" s="1218">
        <f t="shared" si="208"/>
        <v>171334204.86000001</v>
      </c>
      <c r="AI198" s="1304">
        <f>+'CY (ALL FUNDS)'!J941</f>
        <v>0</v>
      </c>
      <c r="AJ198" s="1304">
        <f>+'CY (ALL FUNDS)'!K941</f>
        <v>158640354.88999999</v>
      </c>
      <c r="AK198" s="1304">
        <f>+'CY (ALL FUNDS)'!L941</f>
        <v>19178544.170000002</v>
      </c>
      <c r="AL198" s="1218">
        <f t="shared" si="209"/>
        <v>177818899.06</v>
      </c>
      <c r="AM198" s="1218">
        <f t="shared" si="232"/>
        <v>56842599.980000004</v>
      </c>
      <c r="AN198" s="1218">
        <f t="shared" si="233"/>
        <v>273131959.76999998</v>
      </c>
      <c r="AO198" s="1218">
        <f t="shared" si="234"/>
        <v>19178544.170000002</v>
      </c>
      <c r="AP198" s="1218">
        <f t="shared" si="156"/>
        <v>349153103.92000002</v>
      </c>
      <c r="AQ198" s="1218">
        <f t="shared" si="157"/>
        <v>17491400.019999996</v>
      </c>
      <c r="AR198" s="1218">
        <f t="shared" si="158"/>
        <v>128139429.23000002</v>
      </c>
      <c r="AS198" s="1218">
        <f t="shared" si="159"/>
        <v>8706455.8299999982</v>
      </c>
      <c r="AT198" s="1218">
        <f t="shared" si="160"/>
        <v>154337285.07999998</v>
      </c>
      <c r="AU198" s="1219">
        <f t="shared" si="161"/>
        <v>0.76469179621707439</v>
      </c>
      <c r="AV198" s="1219">
        <f t="shared" si="162"/>
        <v>0.6806664199275867</v>
      </c>
      <c r="AW198" s="1219">
        <f t="shared" si="163"/>
        <v>0.68777278716155643</v>
      </c>
      <c r="AX198" s="1219">
        <f t="shared" si="164"/>
        <v>0.69346528066497015</v>
      </c>
      <c r="AY198" s="1218">
        <f t="shared" si="165"/>
        <v>0</v>
      </c>
      <c r="AZ198" s="1218">
        <f t="shared" si="166"/>
        <v>0</v>
      </c>
      <c r="BA198" s="1218">
        <f t="shared" si="167"/>
        <v>0</v>
      </c>
      <c r="BB198" s="1218">
        <f t="shared" si="168"/>
        <v>0</v>
      </c>
      <c r="BC198" s="125"/>
      <c r="BD198" s="105">
        <f>+AT198-'CY (ALL FUNDS)'!Q940-'CY (ALL FUNDS)'!Q941</f>
        <v>0</v>
      </c>
      <c r="BF198" s="105">
        <f t="shared" si="238"/>
        <v>42968395.120000005</v>
      </c>
      <c r="BP198" s="1312">
        <f>+'CY (ALL FUNDS)'!F940</f>
        <v>74334000</v>
      </c>
      <c r="BQ198" s="1312">
        <f>+'CY (ALL FUNDS)'!G940</f>
        <v>157460000</v>
      </c>
      <c r="BR198" s="1312">
        <f>+'CY (ALL FUNDS)'!H940</f>
        <v>0</v>
      </c>
      <c r="BT198" s="111">
        <f t="shared" si="235"/>
        <v>0</v>
      </c>
      <c r="BU198" s="111">
        <f t="shared" si="236"/>
        <v>0</v>
      </c>
      <c r="BV198" s="111">
        <f t="shared" si="237"/>
        <v>0</v>
      </c>
    </row>
    <row r="199" spans="1:74" ht="12.75">
      <c r="A199" s="587" t="s">
        <v>937</v>
      </c>
      <c r="B199" s="1307" t="s">
        <v>537</v>
      </c>
      <c r="C199" s="1218">
        <v>0</v>
      </c>
      <c r="D199" s="1218">
        <v>0</v>
      </c>
      <c r="E199" s="1218">
        <v>0</v>
      </c>
      <c r="F199" s="1218">
        <f t="shared" si="206"/>
        <v>0</v>
      </c>
      <c r="G199" s="1218"/>
      <c r="H199" s="1218"/>
      <c r="I199" s="1218"/>
      <c r="J199" s="1218">
        <f t="shared" si="207"/>
        <v>0</v>
      </c>
      <c r="K199" s="1218">
        <f t="shared" si="202"/>
        <v>0</v>
      </c>
      <c r="L199" s="1218">
        <f t="shared" si="203"/>
        <v>0</v>
      </c>
      <c r="M199" s="1218">
        <f t="shared" si="204"/>
        <v>0</v>
      </c>
      <c r="N199" s="1218">
        <f t="shared" si="205"/>
        <v>0</v>
      </c>
      <c r="O199" s="1218">
        <v>0</v>
      </c>
      <c r="P199" s="1218">
        <v>0</v>
      </c>
      <c r="Q199" s="1218">
        <v>0</v>
      </c>
      <c r="R199" s="1218">
        <f t="shared" si="150"/>
        <v>0</v>
      </c>
      <c r="S199" s="1218"/>
      <c r="T199" s="1218"/>
      <c r="U199" s="1218"/>
      <c r="V199" s="1218">
        <f t="shared" si="211"/>
        <v>0</v>
      </c>
      <c r="W199" s="1304"/>
      <c r="X199" s="1304"/>
      <c r="Y199" s="1304"/>
      <c r="Z199" s="1218">
        <f t="shared" si="151"/>
        <v>0</v>
      </c>
      <c r="AA199" s="1218">
        <f t="shared" si="152"/>
        <v>0</v>
      </c>
      <c r="AB199" s="1218">
        <f t="shared" si="153"/>
        <v>0</v>
      </c>
      <c r="AC199" s="1218">
        <f t="shared" si="154"/>
        <v>0</v>
      </c>
      <c r="AD199" s="1218">
        <f t="shared" si="155"/>
        <v>0</v>
      </c>
      <c r="AE199" s="1304"/>
      <c r="AF199" s="1304"/>
      <c r="AG199" s="1304"/>
      <c r="AH199" s="1218">
        <f t="shared" si="208"/>
        <v>0</v>
      </c>
      <c r="AI199" s="1304"/>
      <c r="AJ199" s="1304"/>
      <c r="AK199" s="1304"/>
      <c r="AL199" s="1218">
        <f t="shared" si="209"/>
        <v>0</v>
      </c>
      <c r="AM199" s="1218">
        <f t="shared" si="232"/>
        <v>0</v>
      </c>
      <c r="AN199" s="1218">
        <f t="shared" si="233"/>
        <v>0</v>
      </c>
      <c r="AO199" s="1218">
        <f t="shared" si="234"/>
        <v>0</v>
      </c>
      <c r="AP199" s="1218">
        <f t="shared" si="156"/>
        <v>0</v>
      </c>
      <c r="AQ199" s="1218">
        <f t="shared" si="157"/>
        <v>0</v>
      </c>
      <c r="AR199" s="1218">
        <f t="shared" si="158"/>
        <v>0</v>
      </c>
      <c r="AS199" s="1218">
        <f t="shared" si="159"/>
        <v>0</v>
      </c>
      <c r="AT199" s="1218">
        <f t="shared" si="160"/>
        <v>0</v>
      </c>
      <c r="AU199" s="1219" t="str">
        <f t="shared" si="161"/>
        <v xml:space="preserve"> </v>
      </c>
      <c r="AV199" s="1219" t="str">
        <f t="shared" si="162"/>
        <v xml:space="preserve"> </v>
      </c>
      <c r="AW199" s="1219" t="str">
        <f t="shared" si="163"/>
        <v xml:space="preserve"> </v>
      </c>
      <c r="AX199" s="1219" t="str">
        <f t="shared" si="164"/>
        <v xml:space="preserve"> </v>
      </c>
      <c r="AY199" s="1218">
        <f t="shared" si="165"/>
        <v>0</v>
      </c>
      <c r="AZ199" s="1218">
        <f t="shared" si="166"/>
        <v>0</v>
      </c>
      <c r="BA199" s="1218">
        <f t="shared" si="167"/>
        <v>0</v>
      </c>
      <c r="BB199" s="1218">
        <f t="shared" si="168"/>
        <v>0</v>
      </c>
      <c r="BC199" s="125"/>
      <c r="BF199" s="105">
        <f t="shared" si="238"/>
        <v>0</v>
      </c>
      <c r="BP199" s="1312"/>
      <c r="BQ199" s="1312"/>
      <c r="BR199" s="1312"/>
    </row>
    <row r="200" spans="1:74" ht="36">
      <c r="A200" s="587" t="s">
        <v>937</v>
      </c>
      <c r="B200" s="1308" t="s">
        <v>574</v>
      </c>
      <c r="C200" s="1218">
        <v>147651000</v>
      </c>
      <c r="D200" s="1218">
        <v>51037000</v>
      </c>
      <c r="E200" s="1218">
        <v>0</v>
      </c>
      <c r="F200" s="1218">
        <f t="shared" si="206"/>
        <v>198688000</v>
      </c>
      <c r="G200" s="1218"/>
      <c r="H200" s="1218"/>
      <c r="I200" s="1218"/>
      <c r="J200" s="1218">
        <f t="shared" si="207"/>
        <v>0</v>
      </c>
      <c r="K200" s="1218">
        <f t="shared" si="202"/>
        <v>147651000</v>
      </c>
      <c r="L200" s="1218">
        <f t="shared" si="203"/>
        <v>51037000</v>
      </c>
      <c r="M200" s="1218">
        <f t="shared" si="204"/>
        <v>0</v>
      </c>
      <c r="N200" s="1218">
        <f t="shared" si="205"/>
        <v>198688000</v>
      </c>
      <c r="O200" s="1218">
        <v>147651000</v>
      </c>
      <c r="P200" s="1218">
        <v>51037000</v>
      </c>
      <c r="Q200" s="1218">
        <v>0</v>
      </c>
      <c r="R200" s="1218">
        <f t="shared" si="150"/>
        <v>198688000</v>
      </c>
      <c r="S200" s="1218"/>
      <c r="T200" s="1218"/>
      <c r="U200" s="1218"/>
      <c r="V200" s="1218">
        <f t="shared" si="211"/>
        <v>0</v>
      </c>
      <c r="W200" s="1304">
        <f>+'CY (ALL FUNDS)'!F957</f>
        <v>0</v>
      </c>
      <c r="X200" s="1304">
        <f>+'CY (ALL FUNDS)'!G957</f>
        <v>17995000</v>
      </c>
      <c r="Y200" s="1304">
        <f>+'CY (ALL FUNDS)'!H957</f>
        <v>12000000</v>
      </c>
      <c r="Z200" s="1218">
        <f t="shared" si="151"/>
        <v>29995000</v>
      </c>
      <c r="AA200" s="1218">
        <f t="shared" si="152"/>
        <v>147651000</v>
      </c>
      <c r="AB200" s="1218">
        <f t="shared" si="153"/>
        <v>69032000</v>
      </c>
      <c r="AC200" s="1218">
        <f t="shared" si="154"/>
        <v>12000000</v>
      </c>
      <c r="AD200" s="1218">
        <f t="shared" si="155"/>
        <v>228683000</v>
      </c>
      <c r="AE200" s="1304">
        <f>+'CY (ALL FUNDS)'!J956</f>
        <v>115892799.78</v>
      </c>
      <c r="AF200" s="1304">
        <f>+'CY (ALL FUNDS)'!K956</f>
        <v>40800973.879999995</v>
      </c>
      <c r="AG200" s="1304">
        <f>+'CY (ALL FUNDS)'!L956</f>
        <v>0</v>
      </c>
      <c r="AH200" s="1218">
        <f t="shared" si="208"/>
        <v>156693773.66</v>
      </c>
      <c r="AI200" s="1304">
        <f>+'CY (ALL FUNDS)'!J957</f>
        <v>0</v>
      </c>
      <c r="AJ200" s="1304">
        <f>+'CY (ALL FUNDS)'!K957</f>
        <v>17794175.34</v>
      </c>
      <c r="AK200" s="1304">
        <f>+'CY (ALL FUNDS)'!L957</f>
        <v>12000000</v>
      </c>
      <c r="AL200" s="1218">
        <f t="shared" si="209"/>
        <v>29794175.34</v>
      </c>
      <c r="AM200" s="1218">
        <f t="shared" si="232"/>
        <v>115892799.78</v>
      </c>
      <c r="AN200" s="1218">
        <f t="shared" si="233"/>
        <v>58595149.219999999</v>
      </c>
      <c r="AO200" s="1218">
        <f t="shared" si="234"/>
        <v>12000000</v>
      </c>
      <c r="AP200" s="1218">
        <f t="shared" si="156"/>
        <v>186487949</v>
      </c>
      <c r="AQ200" s="1218">
        <f t="shared" si="157"/>
        <v>31758200.219999999</v>
      </c>
      <c r="AR200" s="1218">
        <f t="shared" si="158"/>
        <v>10436850.780000001</v>
      </c>
      <c r="AS200" s="1218">
        <f t="shared" si="159"/>
        <v>0</v>
      </c>
      <c r="AT200" s="1218">
        <f t="shared" si="160"/>
        <v>42195051</v>
      </c>
      <c r="AU200" s="1219">
        <f t="shared" si="161"/>
        <v>0.784910361460471</v>
      </c>
      <c r="AV200" s="1219">
        <f t="shared" si="162"/>
        <v>0.84881140949125045</v>
      </c>
      <c r="AW200" s="1219">
        <f t="shared" si="163"/>
        <v>1</v>
      </c>
      <c r="AX200" s="1219">
        <f t="shared" si="164"/>
        <v>0.81548671742105883</v>
      </c>
      <c r="AY200" s="1218">
        <f t="shared" si="165"/>
        <v>0</v>
      </c>
      <c r="AZ200" s="1218">
        <f t="shared" si="166"/>
        <v>0</v>
      </c>
      <c r="BA200" s="1218">
        <f t="shared" si="167"/>
        <v>0</v>
      </c>
      <c r="BB200" s="1218">
        <f t="shared" si="168"/>
        <v>0</v>
      </c>
      <c r="BC200" s="125"/>
      <c r="BF200" s="105">
        <f t="shared" si="238"/>
        <v>10236026.120000005</v>
      </c>
      <c r="BP200" s="1312">
        <f>+'CY (ALL FUNDS)'!F956</f>
        <v>147651000</v>
      </c>
      <c r="BQ200" s="1312">
        <f>+'CY (ALL FUNDS)'!G956</f>
        <v>51037000</v>
      </c>
      <c r="BR200" s="1312">
        <f>+'CY (ALL FUNDS)'!H956</f>
        <v>0</v>
      </c>
      <c r="BT200" s="111">
        <f t="shared" ref="BT200:BT201" si="239">+O200-BP200</f>
        <v>0</v>
      </c>
      <c r="BU200" s="111">
        <f t="shared" ref="BU200:BU201" si="240">+P200-BQ200</f>
        <v>0</v>
      </c>
      <c r="BV200" s="111">
        <f t="shared" ref="BV200:BV201" si="241">+Q200-BR200</f>
        <v>0</v>
      </c>
    </row>
    <row r="201" spans="1:74" ht="24">
      <c r="A201" s="587" t="s">
        <v>937</v>
      </c>
      <c r="B201" s="1308" t="s">
        <v>1106</v>
      </c>
      <c r="C201" s="1218">
        <v>11411000</v>
      </c>
      <c r="D201" s="1218">
        <v>6320000</v>
      </c>
      <c r="E201" s="1218">
        <v>0</v>
      </c>
      <c r="F201" s="1218">
        <f t="shared" si="206"/>
        <v>17731000</v>
      </c>
      <c r="G201" s="1218"/>
      <c r="H201" s="1218"/>
      <c r="I201" s="1218"/>
      <c r="J201" s="1218">
        <f t="shared" si="207"/>
        <v>0</v>
      </c>
      <c r="K201" s="1218">
        <f t="shared" si="202"/>
        <v>11411000</v>
      </c>
      <c r="L201" s="1218">
        <f t="shared" si="203"/>
        <v>6320000</v>
      </c>
      <c r="M201" s="1218">
        <f t="shared" si="204"/>
        <v>0</v>
      </c>
      <c r="N201" s="1218">
        <f t="shared" si="205"/>
        <v>17731000</v>
      </c>
      <c r="O201" s="1218">
        <v>11411000</v>
      </c>
      <c r="P201" s="1218">
        <v>6320000</v>
      </c>
      <c r="Q201" s="1218">
        <v>0</v>
      </c>
      <c r="R201" s="1218">
        <f t="shared" si="150"/>
        <v>17731000</v>
      </c>
      <c r="S201" s="1218"/>
      <c r="T201" s="1218"/>
      <c r="U201" s="1218"/>
      <c r="V201" s="1218">
        <f t="shared" si="211"/>
        <v>0</v>
      </c>
      <c r="W201" s="1304">
        <f>+'CY (ALL FUNDS)'!F972</f>
        <v>0</v>
      </c>
      <c r="X201" s="1304">
        <f>+'CY (ALL FUNDS)'!G972</f>
        <v>1402000</v>
      </c>
      <c r="Y201" s="1304">
        <f>+'CY (ALL FUNDS)'!H972</f>
        <v>0</v>
      </c>
      <c r="Z201" s="1218">
        <f t="shared" si="151"/>
        <v>1402000</v>
      </c>
      <c r="AA201" s="1218">
        <f t="shared" si="152"/>
        <v>11411000</v>
      </c>
      <c r="AB201" s="1218">
        <f t="shared" si="153"/>
        <v>7722000</v>
      </c>
      <c r="AC201" s="1218">
        <f t="shared" si="154"/>
        <v>0</v>
      </c>
      <c r="AD201" s="1218">
        <f t="shared" si="155"/>
        <v>19133000</v>
      </c>
      <c r="AE201" s="1304">
        <f>+'CY (ALL FUNDS)'!J971</f>
        <v>10551249.15</v>
      </c>
      <c r="AF201" s="1304">
        <f>+'CY (ALL FUNDS)'!K971</f>
        <v>5761862.71</v>
      </c>
      <c r="AG201" s="1304">
        <f>+'CY (ALL FUNDS)'!L971</f>
        <v>0</v>
      </c>
      <c r="AH201" s="1218">
        <f t="shared" si="208"/>
        <v>16313111.859999999</v>
      </c>
      <c r="AI201" s="1304">
        <f>+'CY (ALL FUNDS)'!J972</f>
        <v>0</v>
      </c>
      <c r="AJ201" s="1304">
        <f>+'CY (ALL FUNDS)'!K972</f>
        <v>1028017.81</v>
      </c>
      <c r="AK201" s="1304">
        <f>+'CY (ALL FUNDS)'!L972</f>
        <v>0</v>
      </c>
      <c r="AL201" s="1218">
        <f t="shared" si="209"/>
        <v>1028017.81</v>
      </c>
      <c r="AM201" s="1218">
        <f t="shared" si="232"/>
        <v>10551249.15</v>
      </c>
      <c r="AN201" s="1218">
        <f t="shared" si="233"/>
        <v>6789880.5199999996</v>
      </c>
      <c r="AO201" s="1218">
        <f t="shared" si="234"/>
        <v>0</v>
      </c>
      <c r="AP201" s="1218">
        <f t="shared" si="156"/>
        <v>17341129.670000002</v>
      </c>
      <c r="AQ201" s="1218">
        <f t="shared" si="157"/>
        <v>859750.84999999963</v>
      </c>
      <c r="AR201" s="1218">
        <f t="shared" si="158"/>
        <v>932119.48000000045</v>
      </c>
      <c r="AS201" s="1218">
        <f t="shared" si="159"/>
        <v>0</v>
      </c>
      <c r="AT201" s="1218">
        <f t="shared" si="160"/>
        <v>1791870.33</v>
      </c>
      <c r="AU201" s="1219">
        <f t="shared" si="161"/>
        <v>0.92465595916221188</v>
      </c>
      <c r="AV201" s="1219">
        <f t="shared" si="162"/>
        <v>0.87929040663040658</v>
      </c>
      <c r="AW201" s="1219" t="str">
        <f t="shared" si="163"/>
        <v xml:space="preserve"> </v>
      </c>
      <c r="AX201" s="1219">
        <f t="shared" si="164"/>
        <v>0.90634660900015684</v>
      </c>
      <c r="AY201" s="1218">
        <f t="shared" si="165"/>
        <v>0</v>
      </c>
      <c r="AZ201" s="1218">
        <f t="shared" si="166"/>
        <v>0</v>
      </c>
      <c r="BA201" s="1218">
        <f t="shared" si="167"/>
        <v>0</v>
      </c>
      <c r="BB201" s="1218">
        <f t="shared" si="168"/>
        <v>0</v>
      </c>
      <c r="BC201" s="125"/>
      <c r="BF201" s="105">
        <f t="shared" si="238"/>
        <v>558137.29</v>
      </c>
      <c r="BP201" s="1312">
        <f>+'CY (ALL FUNDS)'!F971</f>
        <v>11411000</v>
      </c>
      <c r="BQ201" s="1312">
        <f>+'CY (ALL FUNDS)'!G971</f>
        <v>6320000</v>
      </c>
      <c r="BR201" s="1312">
        <f>+'CY (ALL FUNDS)'!H971</f>
        <v>0</v>
      </c>
      <c r="BT201" s="111">
        <f t="shared" si="239"/>
        <v>0</v>
      </c>
      <c r="BU201" s="111">
        <f t="shared" si="240"/>
        <v>0</v>
      </c>
      <c r="BV201" s="111">
        <f t="shared" si="241"/>
        <v>0</v>
      </c>
    </row>
    <row r="202" spans="1:74">
      <c r="B202" s="1310"/>
      <c r="C202" s="1218"/>
      <c r="D202" s="1218"/>
      <c r="E202" s="1218"/>
      <c r="F202" s="1218"/>
      <c r="G202" s="1218"/>
      <c r="H202" s="1218"/>
      <c r="I202" s="1218"/>
      <c r="J202" s="1218">
        <f t="shared" si="207"/>
        <v>0</v>
      </c>
      <c r="K202" s="1218">
        <f t="shared" si="202"/>
        <v>0</v>
      </c>
      <c r="L202" s="1218">
        <f t="shared" si="203"/>
        <v>0</v>
      </c>
      <c r="M202" s="1218">
        <f t="shared" si="204"/>
        <v>0</v>
      </c>
      <c r="N202" s="1218">
        <f t="shared" si="205"/>
        <v>0</v>
      </c>
      <c r="O202" s="1218"/>
      <c r="P202" s="1218"/>
      <c r="Q202" s="1218"/>
      <c r="R202" s="1218">
        <f t="shared" si="150"/>
        <v>0</v>
      </c>
      <c r="S202" s="1218"/>
      <c r="T202" s="1218"/>
      <c r="U202" s="1218"/>
      <c r="V202" s="1218"/>
      <c r="W202" s="1304"/>
      <c r="X202" s="1304"/>
      <c r="Y202" s="1304"/>
      <c r="Z202" s="1218">
        <f t="shared" si="151"/>
        <v>0</v>
      </c>
      <c r="AA202" s="1218">
        <f t="shared" si="152"/>
        <v>0</v>
      </c>
      <c r="AB202" s="1218">
        <f t="shared" si="153"/>
        <v>0</v>
      </c>
      <c r="AC202" s="1218">
        <f t="shared" si="154"/>
        <v>0</v>
      </c>
      <c r="AD202" s="1218">
        <f t="shared" si="155"/>
        <v>0</v>
      </c>
      <c r="AE202" s="1304"/>
      <c r="AF202" s="1304"/>
      <c r="AG202" s="1304"/>
      <c r="AH202" s="1218"/>
      <c r="AI202" s="1304"/>
      <c r="AJ202" s="1304"/>
      <c r="AK202" s="1304"/>
      <c r="AL202" s="1218"/>
      <c r="AM202" s="1218"/>
      <c r="AN202" s="1218"/>
      <c r="AO202" s="1218"/>
      <c r="AP202" s="1218">
        <f t="shared" si="156"/>
        <v>0</v>
      </c>
      <c r="AQ202" s="1218">
        <f t="shared" si="157"/>
        <v>0</v>
      </c>
      <c r="AR202" s="1218">
        <f t="shared" si="158"/>
        <v>0</v>
      </c>
      <c r="AS202" s="1218">
        <f t="shared" si="159"/>
        <v>0</v>
      </c>
      <c r="AT202" s="1218">
        <f t="shared" si="160"/>
        <v>0</v>
      </c>
      <c r="AU202" s="1219" t="str">
        <f t="shared" si="161"/>
        <v xml:space="preserve"> </v>
      </c>
      <c r="AV202" s="1219" t="str">
        <f t="shared" si="162"/>
        <v xml:space="preserve"> </v>
      </c>
      <c r="AW202" s="1219" t="str">
        <f t="shared" si="163"/>
        <v xml:space="preserve"> </v>
      </c>
      <c r="AX202" s="1219" t="str">
        <f t="shared" si="164"/>
        <v xml:space="preserve"> </v>
      </c>
      <c r="AY202" s="1218">
        <f t="shared" si="165"/>
        <v>0</v>
      </c>
      <c r="AZ202" s="1218">
        <f t="shared" si="166"/>
        <v>0</v>
      </c>
      <c r="BA202" s="1218">
        <f t="shared" si="167"/>
        <v>0</v>
      </c>
      <c r="BB202" s="1218">
        <f t="shared" si="168"/>
        <v>0</v>
      </c>
      <c r="BC202" s="125"/>
      <c r="BF202" s="105">
        <f t="shared" si="238"/>
        <v>0</v>
      </c>
      <c r="BP202" s="1312"/>
      <c r="BQ202" s="1312"/>
      <c r="BR202" s="1312"/>
    </row>
    <row r="203" spans="1:74" ht="12.75">
      <c r="A203" s="587" t="s">
        <v>938</v>
      </c>
      <c r="B203" s="1305" t="s">
        <v>36</v>
      </c>
      <c r="C203" s="1218">
        <f>SUM(C204:C215)</f>
        <v>338196000</v>
      </c>
      <c r="D203" s="1218">
        <f>SUM(D204:D215)</f>
        <v>317465000</v>
      </c>
      <c r="E203" s="1218">
        <f>SUM(E204:E215)</f>
        <v>0</v>
      </c>
      <c r="F203" s="1218">
        <f t="shared" ref="F203:AO203" si="242">SUM(F204:F215)</f>
        <v>655661000</v>
      </c>
      <c r="G203" s="1218">
        <f t="shared" si="242"/>
        <v>9755113</v>
      </c>
      <c r="H203" s="1218">
        <f t="shared" si="242"/>
        <v>-11105113</v>
      </c>
      <c r="I203" s="1218">
        <f t="shared" si="242"/>
        <v>1350000</v>
      </c>
      <c r="J203" s="1218">
        <f t="shared" si="242"/>
        <v>0</v>
      </c>
      <c r="K203" s="1218">
        <f t="shared" si="242"/>
        <v>347951113</v>
      </c>
      <c r="L203" s="1218">
        <f t="shared" si="242"/>
        <v>306359887</v>
      </c>
      <c r="M203" s="1218">
        <f t="shared" si="242"/>
        <v>1350000</v>
      </c>
      <c r="N203" s="1218">
        <f t="shared" si="242"/>
        <v>655661000</v>
      </c>
      <c r="O203" s="1218">
        <f t="shared" si="242"/>
        <v>347951113</v>
      </c>
      <c r="P203" s="1218">
        <f t="shared" si="242"/>
        <v>306359887</v>
      </c>
      <c r="Q203" s="1218">
        <f t="shared" si="242"/>
        <v>1350000</v>
      </c>
      <c r="R203" s="1218">
        <f t="shared" si="150"/>
        <v>655661000</v>
      </c>
      <c r="S203" s="1218"/>
      <c r="T203" s="1218"/>
      <c r="U203" s="1218"/>
      <c r="V203" s="1218">
        <f>SUM(V204:V215)</f>
        <v>0</v>
      </c>
      <c r="W203" s="1218">
        <f t="shared" si="242"/>
        <v>0</v>
      </c>
      <c r="X203" s="1218">
        <f t="shared" si="242"/>
        <v>189147214</v>
      </c>
      <c r="Y203" s="1218">
        <f t="shared" si="242"/>
        <v>217245000</v>
      </c>
      <c r="Z203" s="1218">
        <f t="shared" si="151"/>
        <v>406392214</v>
      </c>
      <c r="AA203" s="1218">
        <f t="shared" si="152"/>
        <v>347951113</v>
      </c>
      <c r="AB203" s="1218">
        <f t="shared" si="153"/>
        <v>495507101</v>
      </c>
      <c r="AC203" s="1218">
        <f t="shared" si="154"/>
        <v>218595000</v>
      </c>
      <c r="AD203" s="1218">
        <f t="shared" si="155"/>
        <v>1062053214</v>
      </c>
      <c r="AE203" s="1218">
        <f t="shared" si="242"/>
        <v>317884841.42000008</v>
      </c>
      <c r="AF203" s="1218">
        <f>SUM(AF204:AF215)</f>
        <v>188802218.79000002</v>
      </c>
      <c r="AG203" s="1218">
        <f>SUM(AG204:AG215)</f>
        <v>0</v>
      </c>
      <c r="AH203" s="1218">
        <f t="shared" si="242"/>
        <v>506687060.2100001</v>
      </c>
      <c r="AI203" s="1218">
        <f t="shared" si="242"/>
        <v>0</v>
      </c>
      <c r="AJ203" s="1218">
        <f t="shared" si="242"/>
        <v>108837992.75000003</v>
      </c>
      <c r="AK203" s="1218">
        <f t="shared" si="242"/>
        <v>192137399.43999997</v>
      </c>
      <c r="AL203" s="1218">
        <f t="shared" si="242"/>
        <v>300975392.19000006</v>
      </c>
      <c r="AM203" s="1218">
        <f t="shared" si="242"/>
        <v>317884841.42000008</v>
      </c>
      <c r="AN203" s="1218">
        <f t="shared" si="242"/>
        <v>297640211.54000002</v>
      </c>
      <c r="AO203" s="1218">
        <f t="shared" si="242"/>
        <v>192137399.43999997</v>
      </c>
      <c r="AP203" s="1218">
        <f t="shared" si="156"/>
        <v>807662452.39999998</v>
      </c>
      <c r="AQ203" s="1218">
        <f t="shared" si="157"/>
        <v>30066271.579999924</v>
      </c>
      <c r="AR203" s="1218">
        <f t="shared" si="158"/>
        <v>197866889.45999998</v>
      </c>
      <c r="AS203" s="1218">
        <f t="shared" si="159"/>
        <v>26457600.560000032</v>
      </c>
      <c r="AT203" s="1218">
        <f t="shared" si="160"/>
        <v>254390761.59999993</v>
      </c>
      <c r="AU203" s="1219">
        <f t="shared" si="161"/>
        <v>0.9135905290810209</v>
      </c>
      <c r="AV203" s="1219">
        <f t="shared" si="162"/>
        <v>0.60067799419891665</v>
      </c>
      <c r="AW203" s="1219">
        <f t="shared" si="163"/>
        <v>0.87896520707243975</v>
      </c>
      <c r="AX203" s="1219">
        <f t="shared" si="164"/>
        <v>0.76047267853755585</v>
      </c>
      <c r="AY203" s="1218">
        <f t="shared" si="165"/>
        <v>0</v>
      </c>
      <c r="AZ203" s="1218">
        <f t="shared" si="166"/>
        <v>0</v>
      </c>
      <c r="BA203" s="1218">
        <f t="shared" si="167"/>
        <v>0</v>
      </c>
      <c r="BB203" s="1218">
        <f t="shared" si="168"/>
        <v>0</v>
      </c>
      <c r="BC203" s="125"/>
      <c r="BF203" s="105">
        <f t="shared" si="238"/>
        <v>117557668.20999998</v>
      </c>
      <c r="BP203" s="1313"/>
      <c r="BQ203" s="1313"/>
      <c r="BR203" s="1313"/>
    </row>
    <row r="204" spans="1:74" ht="36">
      <c r="A204" s="587" t="s">
        <v>938</v>
      </c>
      <c r="B204" s="1306" t="s">
        <v>534</v>
      </c>
      <c r="C204" s="1218">
        <v>31959000</v>
      </c>
      <c r="D204" s="1218">
        <v>10929000</v>
      </c>
      <c r="E204" s="1218">
        <v>0</v>
      </c>
      <c r="F204" s="1218">
        <f t="shared" si="206"/>
        <v>42888000</v>
      </c>
      <c r="G204" s="1218"/>
      <c r="H204" s="1218"/>
      <c r="I204" s="1218"/>
      <c r="J204" s="1218">
        <f t="shared" si="207"/>
        <v>0</v>
      </c>
      <c r="K204" s="1218">
        <f t="shared" si="202"/>
        <v>31959000</v>
      </c>
      <c r="L204" s="1218">
        <f t="shared" si="203"/>
        <v>10929000</v>
      </c>
      <c r="M204" s="1218">
        <f t="shared" si="204"/>
        <v>0</v>
      </c>
      <c r="N204" s="1218">
        <f t="shared" si="205"/>
        <v>42888000</v>
      </c>
      <c r="O204" s="1218">
        <v>31959000</v>
      </c>
      <c r="P204" s="1218">
        <v>10929000</v>
      </c>
      <c r="Q204" s="1218">
        <v>0</v>
      </c>
      <c r="R204" s="1218">
        <f t="shared" si="150"/>
        <v>42888000</v>
      </c>
      <c r="S204" s="1218"/>
      <c r="T204" s="1218"/>
      <c r="U204" s="1218"/>
      <c r="V204" s="1218">
        <f t="shared" si="211"/>
        <v>0</v>
      </c>
      <c r="W204" s="1304"/>
      <c r="X204" s="1304"/>
      <c r="Y204" s="1304"/>
      <c r="Z204" s="1218">
        <f t="shared" si="151"/>
        <v>0</v>
      </c>
      <c r="AA204" s="1218">
        <f t="shared" si="152"/>
        <v>31959000</v>
      </c>
      <c r="AB204" s="1218">
        <f t="shared" si="153"/>
        <v>10929000</v>
      </c>
      <c r="AC204" s="1218">
        <f t="shared" si="154"/>
        <v>0</v>
      </c>
      <c r="AD204" s="1218">
        <f t="shared" si="155"/>
        <v>42888000</v>
      </c>
      <c r="AE204" s="1304">
        <f>+'CY (ALL FUNDS)'!J1003</f>
        <v>28017000.969999999</v>
      </c>
      <c r="AF204" s="1304">
        <f>+'CY (ALL FUNDS)'!K1003</f>
        <v>7006664.0800000001</v>
      </c>
      <c r="AG204" s="1304">
        <f>+'CY (ALL FUNDS)'!L1003</f>
        <v>0</v>
      </c>
      <c r="AH204" s="1218">
        <f t="shared" si="208"/>
        <v>35023665.049999997</v>
      </c>
      <c r="AI204" s="1304"/>
      <c r="AJ204" s="1304"/>
      <c r="AK204" s="1304"/>
      <c r="AL204" s="1218">
        <f t="shared" si="209"/>
        <v>0</v>
      </c>
      <c r="AM204" s="1218">
        <f t="shared" ref="AM204:AM215" si="243">+AE204+AI204</f>
        <v>28017000.969999999</v>
      </c>
      <c r="AN204" s="1218">
        <f t="shared" ref="AN204:AN215" si="244">+AF204+AJ204</f>
        <v>7006664.0800000001</v>
      </c>
      <c r="AO204" s="1218">
        <f t="shared" ref="AO204:AO215" si="245">+AG204+AK204</f>
        <v>0</v>
      </c>
      <c r="AP204" s="1218">
        <f t="shared" si="156"/>
        <v>35023665.049999997</v>
      </c>
      <c r="AQ204" s="1218">
        <f t="shared" si="157"/>
        <v>3941999.0300000012</v>
      </c>
      <c r="AR204" s="1218">
        <f t="shared" si="158"/>
        <v>3922335.92</v>
      </c>
      <c r="AS204" s="1218">
        <f t="shared" si="159"/>
        <v>0</v>
      </c>
      <c r="AT204" s="1218">
        <f t="shared" si="160"/>
        <v>7864334.9500000011</v>
      </c>
      <c r="AU204" s="1219">
        <f t="shared" si="161"/>
        <v>0.87665449388278727</v>
      </c>
      <c r="AV204" s="1219">
        <f t="shared" si="162"/>
        <v>0.64110751944368194</v>
      </c>
      <c r="AW204" s="1219" t="str">
        <f t="shared" si="163"/>
        <v xml:space="preserve"> </v>
      </c>
      <c r="AX204" s="1219">
        <f t="shared" si="164"/>
        <v>0.81663087693527325</v>
      </c>
      <c r="AY204" s="1218">
        <f t="shared" si="165"/>
        <v>0</v>
      </c>
      <c r="AZ204" s="1218">
        <f t="shared" si="166"/>
        <v>0</v>
      </c>
      <c r="BA204" s="1218">
        <f t="shared" si="167"/>
        <v>0</v>
      </c>
      <c r="BB204" s="1218">
        <f t="shared" si="168"/>
        <v>0</v>
      </c>
      <c r="BC204" s="125"/>
      <c r="BD204" s="105">
        <f>+AT204-'CY (ALL FUNDS)'!Q1003</f>
        <v>0</v>
      </c>
      <c r="BF204" s="105">
        <f t="shared" si="238"/>
        <v>3922335.92</v>
      </c>
      <c r="BP204" s="1312">
        <f>+'CY (ALL FUNDS)'!F1003</f>
        <v>31959000</v>
      </c>
      <c r="BQ204" s="1312">
        <f>+'CY (ALL FUNDS)'!G1003</f>
        <v>10929000</v>
      </c>
      <c r="BR204" s="1312">
        <f>+'CY (ALL FUNDS)'!H1003</f>
        <v>0</v>
      </c>
      <c r="BT204" s="111">
        <f t="shared" ref="BT204:BT206" si="246">+O204-BP204</f>
        <v>0</v>
      </c>
      <c r="BU204" s="111">
        <f t="shared" ref="BU204:BU206" si="247">+P204-BQ204</f>
        <v>0</v>
      </c>
      <c r="BV204" s="111">
        <f t="shared" ref="BV204:BV206" si="248">+Q204-BR204</f>
        <v>0</v>
      </c>
    </row>
    <row r="205" spans="1:74" ht="12.75">
      <c r="A205" s="587" t="s">
        <v>938</v>
      </c>
      <c r="B205" s="1307" t="s">
        <v>535</v>
      </c>
      <c r="C205" s="1218">
        <v>2305000</v>
      </c>
      <c r="D205" s="1218">
        <v>5465000</v>
      </c>
      <c r="E205" s="1218">
        <v>0</v>
      </c>
      <c r="F205" s="1218">
        <f t="shared" si="206"/>
        <v>7770000</v>
      </c>
      <c r="G205" s="1218"/>
      <c r="H205" s="1218"/>
      <c r="I205" s="1218"/>
      <c r="J205" s="1218">
        <f t="shared" si="207"/>
        <v>0</v>
      </c>
      <c r="K205" s="1218">
        <f t="shared" si="202"/>
        <v>2305000</v>
      </c>
      <c r="L205" s="1218">
        <f t="shared" si="203"/>
        <v>5465000</v>
      </c>
      <c r="M205" s="1218">
        <f t="shared" si="204"/>
        <v>0</v>
      </c>
      <c r="N205" s="1218">
        <f t="shared" si="205"/>
        <v>7770000</v>
      </c>
      <c r="O205" s="1218">
        <v>2305000</v>
      </c>
      <c r="P205" s="1218">
        <v>5465000</v>
      </c>
      <c r="Q205" s="1218">
        <v>0</v>
      </c>
      <c r="R205" s="1218">
        <f t="shared" ref="R205:R267" si="249">SUM(O205:Q205)</f>
        <v>7770000</v>
      </c>
      <c r="S205" s="1218"/>
      <c r="T205" s="1218"/>
      <c r="U205" s="1218"/>
      <c r="V205" s="1218">
        <f t="shared" si="211"/>
        <v>0</v>
      </c>
      <c r="W205" s="1304"/>
      <c r="X205" s="1304"/>
      <c r="Y205" s="1304"/>
      <c r="Z205" s="1218">
        <f t="shared" ref="Z205:Z266" si="250">SUM(W205:Y205)</f>
        <v>0</v>
      </c>
      <c r="AA205" s="1218">
        <f t="shared" ref="AA205:AA261" si="251">+O205+W205+S205</f>
        <v>2305000</v>
      </c>
      <c r="AB205" s="1218">
        <f t="shared" ref="AB205:AB261" si="252">+P205+X205+T205</f>
        <v>5465000</v>
      </c>
      <c r="AC205" s="1218">
        <f t="shared" ref="AC205:AC261" si="253">+Q205+Y205+U205</f>
        <v>0</v>
      </c>
      <c r="AD205" s="1218">
        <f t="shared" ref="AD205:AD261" si="254">SUM(AA205:AC205)</f>
        <v>7770000</v>
      </c>
      <c r="AE205" s="1304">
        <f>+'CY (ALL FUNDS)'!J1004</f>
        <v>2244888.9300000002</v>
      </c>
      <c r="AF205" s="1304">
        <f>+'CY (ALL FUNDS)'!K1004</f>
        <v>2278831.5700000003</v>
      </c>
      <c r="AG205" s="1304">
        <f>+'CY (ALL FUNDS)'!L1004</f>
        <v>0</v>
      </c>
      <c r="AH205" s="1218">
        <f t="shared" si="208"/>
        <v>4523720.5</v>
      </c>
      <c r="AI205" s="1304"/>
      <c r="AJ205" s="1304"/>
      <c r="AK205" s="1304"/>
      <c r="AL205" s="1218">
        <f t="shared" si="209"/>
        <v>0</v>
      </c>
      <c r="AM205" s="1218">
        <f t="shared" si="243"/>
        <v>2244888.9300000002</v>
      </c>
      <c r="AN205" s="1218">
        <f t="shared" si="244"/>
        <v>2278831.5700000003</v>
      </c>
      <c r="AO205" s="1218">
        <f t="shared" si="245"/>
        <v>0</v>
      </c>
      <c r="AP205" s="1218">
        <f t="shared" ref="AP205:AP266" si="255">SUM(AM205:AO205)</f>
        <v>4523720.5</v>
      </c>
      <c r="AQ205" s="1218">
        <f t="shared" ref="AQ205:AQ265" si="256">+AA205-AM205</f>
        <v>60111.069999999832</v>
      </c>
      <c r="AR205" s="1218">
        <f t="shared" ref="AR205:AR265" si="257">+AB205-AN205</f>
        <v>3186168.4299999997</v>
      </c>
      <c r="AS205" s="1218">
        <f t="shared" ref="AS205:AS265" si="258">+AC205-AO205</f>
        <v>0</v>
      </c>
      <c r="AT205" s="1218">
        <f t="shared" ref="AT205:AT265" si="259">SUM(AQ205:AS205)</f>
        <v>3246279.4999999995</v>
      </c>
      <c r="AU205" s="1219">
        <f t="shared" ref="AU205:AU267" si="260">IF(AA205=0," ",AM205/AA205)</f>
        <v>0.97392144468546649</v>
      </c>
      <c r="AV205" s="1219">
        <f t="shared" ref="AV205:AV267" si="261">IF(AB205=0," ",AN205/AB205)</f>
        <v>0.41698656358645936</v>
      </c>
      <c r="AW205" s="1219" t="str">
        <f t="shared" ref="AW205:AW267" si="262">IF(AC205=0," ",AO205/AC205)</f>
        <v xml:space="preserve"> </v>
      </c>
      <c r="AX205" s="1219">
        <f t="shared" ref="AX205:AX267" si="263">IF(AD205=0," ",AP205/AD205)</f>
        <v>0.58220341055341052</v>
      </c>
      <c r="AY205" s="1218">
        <f t="shared" ref="AY205:AY267" si="264">+K205-O205</f>
        <v>0</v>
      </c>
      <c r="AZ205" s="1218">
        <f t="shared" ref="AZ205:AZ267" si="265">+L205-P205</f>
        <v>0</v>
      </c>
      <c r="BA205" s="1218">
        <f t="shared" ref="BA205:BA267" si="266">+M205-Q205</f>
        <v>0</v>
      </c>
      <c r="BB205" s="1218">
        <f t="shared" ref="BB205:BB267" si="267">+N205-R205</f>
        <v>0</v>
      </c>
      <c r="BC205" s="125"/>
      <c r="BD205" s="105">
        <f>+AT205-'CY (ALL FUNDS)'!Q1004</f>
        <v>0</v>
      </c>
      <c r="BF205" s="105">
        <f t="shared" si="238"/>
        <v>3186168.4299999997</v>
      </c>
      <c r="BP205" s="1312">
        <f>+'CY (ALL FUNDS)'!F1004</f>
        <v>2305000</v>
      </c>
      <c r="BQ205" s="1312">
        <f>+'CY (ALL FUNDS)'!G1004</f>
        <v>5465000</v>
      </c>
      <c r="BR205" s="1312">
        <f>+'CY (ALL FUNDS)'!H1004</f>
        <v>0</v>
      </c>
      <c r="BT205" s="111">
        <f t="shared" si="246"/>
        <v>0</v>
      </c>
      <c r="BU205" s="111">
        <f t="shared" si="247"/>
        <v>0</v>
      </c>
      <c r="BV205" s="111">
        <f t="shared" si="248"/>
        <v>0</v>
      </c>
    </row>
    <row r="206" spans="1:74" ht="36">
      <c r="A206" s="587" t="s">
        <v>938</v>
      </c>
      <c r="B206" s="1306" t="s">
        <v>536</v>
      </c>
      <c r="C206" s="1218">
        <v>50734000</v>
      </c>
      <c r="D206" s="1218">
        <v>155011000</v>
      </c>
      <c r="E206" s="1218">
        <v>0</v>
      </c>
      <c r="F206" s="1218">
        <f t="shared" si="206"/>
        <v>205745000</v>
      </c>
      <c r="G206" s="1218">
        <v>8332260</v>
      </c>
      <c r="H206" s="1314">
        <f>-1350000-8332260</f>
        <v>-9682260</v>
      </c>
      <c r="I206" s="1314">
        <v>1350000</v>
      </c>
      <c r="J206" s="1218">
        <f t="shared" si="207"/>
        <v>0</v>
      </c>
      <c r="K206" s="1218">
        <f t="shared" si="202"/>
        <v>59066260</v>
      </c>
      <c r="L206" s="1218">
        <f t="shared" si="203"/>
        <v>145328740</v>
      </c>
      <c r="M206" s="1218">
        <f t="shared" si="204"/>
        <v>1350000</v>
      </c>
      <c r="N206" s="1218">
        <f t="shared" si="205"/>
        <v>205745000</v>
      </c>
      <c r="O206" s="1218">
        <v>59066260</v>
      </c>
      <c r="P206" s="1218">
        <v>145328740</v>
      </c>
      <c r="Q206" s="1218">
        <v>1350000</v>
      </c>
      <c r="R206" s="1218">
        <f t="shared" si="249"/>
        <v>205745000</v>
      </c>
      <c r="S206" s="1218"/>
      <c r="T206" s="1218"/>
      <c r="U206" s="1218"/>
      <c r="V206" s="1218">
        <f t="shared" si="211"/>
        <v>0</v>
      </c>
      <c r="W206" s="1304">
        <f>+'CY (ALL FUNDS)'!F1006</f>
        <v>0</v>
      </c>
      <c r="X206" s="1304">
        <f>+'CY (ALL FUNDS)'!G1006</f>
        <v>142357671</v>
      </c>
      <c r="Y206" s="1304">
        <f>+'CY (ALL FUNDS)'!H1006</f>
        <v>15745000</v>
      </c>
      <c r="Z206" s="1218">
        <f t="shared" si="250"/>
        <v>158102671</v>
      </c>
      <c r="AA206" s="1218">
        <f t="shared" si="251"/>
        <v>59066260</v>
      </c>
      <c r="AB206" s="1218">
        <f t="shared" si="252"/>
        <v>287686411</v>
      </c>
      <c r="AC206" s="1218">
        <f t="shared" si="253"/>
        <v>17095000</v>
      </c>
      <c r="AD206" s="1218">
        <f t="shared" si="254"/>
        <v>363847671</v>
      </c>
      <c r="AE206" s="1304">
        <f>+'CY (ALL FUNDS)'!J1005</f>
        <v>53670272.390000015</v>
      </c>
      <c r="AF206" s="1304">
        <f>+'CY (ALL FUNDS)'!K1005</f>
        <v>61629370.43</v>
      </c>
      <c r="AG206" s="1304">
        <f>+'CY (ALL FUNDS)'!L1005</f>
        <v>0</v>
      </c>
      <c r="AH206" s="1218">
        <f t="shared" si="208"/>
        <v>115299642.82000002</v>
      </c>
      <c r="AI206" s="1304">
        <f>+'CY (ALL FUNDS)'!J1006</f>
        <v>0</v>
      </c>
      <c r="AJ206" s="1304">
        <f>+'CY (ALL FUNDS)'!K1006</f>
        <v>76478187.140000015</v>
      </c>
      <c r="AK206" s="1304">
        <f>+'CY (ALL FUNDS)'!L1006</f>
        <v>3882518.3200000003</v>
      </c>
      <c r="AL206" s="1218">
        <f t="shared" si="209"/>
        <v>80360705.460000008</v>
      </c>
      <c r="AM206" s="1218">
        <f t="shared" si="243"/>
        <v>53670272.390000015</v>
      </c>
      <c r="AN206" s="1218">
        <f t="shared" si="244"/>
        <v>138107557.57000002</v>
      </c>
      <c r="AO206" s="1218">
        <f t="shared" si="245"/>
        <v>3882518.3200000003</v>
      </c>
      <c r="AP206" s="1218">
        <f t="shared" si="255"/>
        <v>195660348.28000003</v>
      </c>
      <c r="AQ206" s="1218">
        <f t="shared" si="256"/>
        <v>5395987.6099999845</v>
      </c>
      <c r="AR206" s="1218">
        <f t="shared" si="257"/>
        <v>149578853.42999998</v>
      </c>
      <c r="AS206" s="1218">
        <f t="shared" si="258"/>
        <v>13212481.68</v>
      </c>
      <c r="AT206" s="1218">
        <f t="shared" si="259"/>
        <v>168187322.71999997</v>
      </c>
      <c r="AU206" s="1219">
        <f t="shared" si="260"/>
        <v>0.90864517899051023</v>
      </c>
      <c r="AV206" s="1219">
        <f t="shared" si="261"/>
        <v>0.48006284721595704</v>
      </c>
      <c r="AW206" s="1219">
        <f t="shared" si="262"/>
        <v>0.22711426264989765</v>
      </c>
      <c r="AX206" s="1219">
        <f t="shared" si="263"/>
        <v>0.5377534717818766</v>
      </c>
      <c r="AY206" s="1218">
        <f t="shared" si="264"/>
        <v>0</v>
      </c>
      <c r="AZ206" s="1218">
        <f t="shared" si="265"/>
        <v>0</v>
      </c>
      <c r="BA206" s="1218">
        <f t="shared" si="266"/>
        <v>0</v>
      </c>
      <c r="BB206" s="1218">
        <f t="shared" si="267"/>
        <v>0</v>
      </c>
      <c r="BC206" s="125"/>
      <c r="BD206" s="105">
        <f>+AT206-'CY (ALL FUNDS)'!Q1005-'CY (ALL FUNDS)'!Q1006</f>
        <v>0</v>
      </c>
      <c r="BF206" s="105">
        <f t="shared" si="238"/>
        <v>83699369.569999993</v>
      </c>
      <c r="BP206" s="1312">
        <f>+'CY (ALL FUNDS)'!F1005</f>
        <v>59066260</v>
      </c>
      <c r="BQ206" s="1312">
        <f>+'CY (ALL FUNDS)'!G1005</f>
        <v>145328740</v>
      </c>
      <c r="BR206" s="1312">
        <f>+'CY (ALL FUNDS)'!H1005</f>
        <v>1350000</v>
      </c>
      <c r="BT206" s="111">
        <f t="shared" si="246"/>
        <v>0</v>
      </c>
      <c r="BU206" s="111">
        <f t="shared" si="247"/>
        <v>0</v>
      </c>
      <c r="BV206" s="111">
        <f t="shared" si="248"/>
        <v>0</v>
      </c>
    </row>
    <row r="207" spans="1:74" ht="12.75">
      <c r="A207" s="587" t="s">
        <v>938</v>
      </c>
      <c r="B207" s="1307" t="s">
        <v>537</v>
      </c>
      <c r="C207" s="1218">
        <v>0</v>
      </c>
      <c r="D207" s="1218">
        <v>0</v>
      </c>
      <c r="E207" s="1218">
        <v>0</v>
      </c>
      <c r="F207" s="1218">
        <f t="shared" si="206"/>
        <v>0</v>
      </c>
      <c r="G207" s="1218"/>
      <c r="H207" s="1218"/>
      <c r="I207" s="1218"/>
      <c r="J207" s="1218">
        <f t="shared" si="207"/>
        <v>0</v>
      </c>
      <c r="K207" s="1218">
        <f t="shared" si="202"/>
        <v>0</v>
      </c>
      <c r="L207" s="1218">
        <f t="shared" si="203"/>
        <v>0</v>
      </c>
      <c r="M207" s="1218">
        <f t="shared" si="204"/>
        <v>0</v>
      </c>
      <c r="N207" s="1218">
        <f t="shared" si="205"/>
        <v>0</v>
      </c>
      <c r="O207" s="1218">
        <v>0</v>
      </c>
      <c r="P207" s="1218">
        <v>0</v>
      </c>
      <c r="Q207" s="1218">
        <v>0</v>
      </c>
      <c r="R207" s="1218">
        <f t="shared" si="249"/>
        <v>0</v>
      </c>
      <c r="S207" s="1218"/>
      <c r="T207" s="1218"/>
      <c r="U207" s="1218"/>
      <c r="V207" s="1218">
        <f t="shared" si="211"/>
        <v>0</v>
      </c>
      <c r="W207" s="1304"/>
      <c r="X207" s="1304"/>
      <c r="Y207" s="1304"/>
      <c r="Z207" s="1218">
        <f t="shared" si="250"/>
        <v>0</v>
      </c>
      <c r="AA207" s="1218">
        <f t="shared" si="251"/>
        <v>0</v>
      </c>
      <c r="AB207" s="1218">
        <f t="shared" si="252"/>
        <v>0</v>
      </c>
      <c r="AC207" s="1218">
        <f t="shared" si="253"/>
        <v>0</v>
      </c>
      <c r="AD207" s="1218">
        <f t="shared" si="254"/>
        <v>0</v>
      </c>
      <c r="AE207" s="1304"/>
      <c r="AF207" s="1304"/>
      <c r="AG207" s="1304"/>
      <c r="AH207" s="1218">
        <f t="shared" si="208"/>
        <v>0</v>
      </c>
      <c r="AI207" s="1304"/>
      <c r="AJ207" s="1304"/>
      <c r="AK207" s="1304"/>
      <c r="AL207" s="1218">
        <f t="shared" si="209"/>
        <v>0</v>
      </c>
      <c r="AM207" s="1218">
        <f t="shared" si="243"/>
        <v>0</v>
      </c>
      <c r="AN207" s="1218">
        <f t="shared" si="244"/>
        <v>0</v>
      </c>
      <c r="AO207" s="1218">
        <f t="shared" si="245"/>
        <v>0</v>
      </c>
      <c r="AP207" s="1218">
        <f t="shared" si="255"/>
        <v>0</v>
      </c>
      <c r="AQ207" s="1218">
        <f t="shared" si="256"/>
        <v>0</v>
      </c>
      <c r="AR207" s="1218">
        <f t="shared" si="257"/>
        <v>0</v>
      </c>
      <c r="AS207" s="1218">
        <f t="shared" si="258"/>
        <v>0</v>
      </c>
      <c r="AT207" s="1218">
        <f t="shared" si="259"/>
        <v>0</v>
      </c>
      <c r="AU207" s="1219" t="str">
        <f t="shared" si="260"/>
        <v xml:space="preserve"> </v>
      </c>
      <c r="AV207" s="1219" t="str">
        <f t="shared" si="261"/>
        <v xml:space="preserve"> </v>
      </c>
      <c r="AW207" s="1219" t="str">
        <f t="shared" si="262"/>
        <v xml:space="preserve"> </v>
      </c>
      <c r="AX207" s="1219" t="str">
        <f t="shared" si="263"/>
        <v xml:space="preserve"> </v>
      </c>
      <c r="AY207" s="1218">
        <f t="shared" si="264"/>
        <v>0</v>
      </c>
      <c r="AZ207" s="1218">
        <f t="shared" si="265"/>
        <v>0</v>
      </c>
      <c r="BA207" s="1218">
        <f t="shared" si="266"/>
        <v>0</v>
      </c>
      <c r="BB207" s="1218">
        <f t="shared" si="267"/>
        <v>0</v>
      </c>
      <c r="BC207" s="125"/>
      <c r="BF207" s="105">
        <f t="shared" si="238"/>
        <v>0</v>
      </c>
      <c r="BP207" s="1312"/>
      <c r="BQ207" s="1312"/>
      <c r="BR207" s="1312"/>
    </row>
    <row r="208" spans="1:74" ht="36">
      <c r="A208" s="587" t="s">
        <v>938</v>
      </c>
      <c r="B208" s="1308" t="s">
        <v>576</v>
      </c>
      <c r="C208" s="1218">
        <v>150073000</v>
      </c>
      <c r="D208" s="1218">
        <v>54463000</v>
      </c>
      <c r="E208" s="1218">
        <v>0</v>
      </c>
      <c r="F208" s="1218">
        <f t="shared" si="206"/>
        <v>204536000</v>
      </c>
      <c r="G208" s="1218"/>
      <c r="H208" s="1218"/>
      <c r="I208" s="1218"/>
      <c r="J208" s="1218">
        <f t="shared" si="207"/>
        <v>0</v>
      </c>
      <c r="K208" s="1218">
        <f t="shared" si="202"/>
        <v>150073000</v>
      </c>
      <c r="L208" s="1218">
        <f t="shared" si="203"/>
        <v>54463000</v>
      </c>
      <c r="M208" s="1218">
        <f t="shared" si="204"/>
        <v>0</v>
      </c>
      <c r="N208" s="1218">
        <f t="shared" si="205"/>
        <v>204536000</v>
      </c>
      <c r="O208" s="1218">
        <v>150073000</v>
      </c>
      <c r="P208" s="1218">
        <v>54463000</v>
      </c>
      <c r="Q208" s="1218">
        <v>0</v>
      </c>
      <c r="R208" s="1218">
        <f t="shared" si="249"/>
        <v>204536000</v>
      </c>
      <c r="S208" s="1218"/>
      <c r="T208" s="1218"/>
      <c r="U208" s="1218"/>
      <c r="V208" s="1218">
        <f t="shared" si="211"/>
        <v>0</v>
      </c>
      <c r="W208" s="1304">
        <f>+'CY (ALL FUNDS)'!F1022</f>
        <v>0</v>
      </c>
      <c r="X208" s="1304">
        <f>+'CY (ALL FUNDS)'!G1022</f>
        <v>25253800</v>
      </c>
      <c r="Y208" s="1304">
        <f>+'CY (ALL FUNDS)'!H1022</f>
        <v>150000000</v>
      </c>
      <c r="Z208" s="1218">
        <f t="shared" si="250"/>
        <v>175253800</v>
      </c>
      <c r="AA208" s="1218">
        <f t="shared" si="251"/>
        <v>150073000</v>
      </c>
      <c r="AB208" s="1218">
        <f t="shared" si="252"/>
        <v>79716800</v>
      </c>
      <c r="AC208" s="1218">
        <f t="shared" si="253"/>
        <v>150000000</v>
      </c>
      <c r="AD208" s="1218">
        <f t="shared" si="254"/>
        <v>379789800</v>
      </c>
      <c r="AE208" s="1304">
        <f>+'CY (ALL FUNDS)'!J1021</f>
        <v>138689701.17000005</v>
      </c>
      <c r="AF208" s="1304">
        <f>+'CY (ALL FUNDS)'!K1021</f>
        <v>44679390.319999993</v>
      </c>
      <c r="AG208" s="1304">
        <f>+'CY (ALL FUNDS)'!L1021</f>
        <v>0</v>
      </c>
      <c r="AH208" s="1218">
        <f t="shared" si="208"/>
        <v>183369091.49000004</v>
      </c>
      <c r="AI208" s="1304">
        <f>+'CY (ALL FUNDS)'!J1022</f>
        <v>0</v>
      </c>
      <c r="AJ208" s="1304">
        <f>+'CY (ALL FUNDS)'!K1022</f>
        <v>18441368.519999996</v>
      </c>
      <c r="AK208" s="1304">
        <f>+'CY (ALL FUNDS)'!L1022</f>
        <v>148351064.53999999</v>
      </c>
      <c r="AL208" s="1218">
        <f t="shared" si="209"/>
        <v>166792433.06</v>
      </c>
      <c r="AM208" s="1218">
        <f t="shared" si="243"/>
        <v>138689701.17000005</v>
      </c>
      <c r="AN208" s="1218">
        <f t="shared" si="244"/>
        <v>63120758.839999989</v>
      </c>
      <c r="AO208" s="1218">
        <f t="shared" si="245"/>
        <v>148351064.53999999</v>
      </c>
      <c r="AP208" s="1218">
        <f t="shared" si="255"/>
        <v>350161524.55000007</v>
      </c>
      <c r="AQ208" s="1218">
        <f t="shared" si="256"/>
        <v>11383298.829999954</v>
      </c>
      <c r="AR208" s="1218">
        <f t="shared" si="257"/>
        <v>16596041.160000011</v>
      </c>
      <c r="AS208" s="1218">
        <f t="shared" si="258"/>
        <v>1648935.4600000083</v>
      </c>
      <c r="AT208" s="1218">
        <f t="shared" si="259"/>
        <v>29628275.449999973</v>
      </c>
      <c r="AU208" s="1219">
        <f t="shared" si="260"/>
        <v>0.92414825564891778</v>
      </c>
      <c r="AV208" s="1219">
        <f t="shared" si="261"/>
        <v>0.79181250175621687</v>
      </c>
      <c r="AW208" s="1219">
        <f t="shared" si="262"/>
        <v>0.98900709693333333</v>
      </c>
      <c r="AX208" s="1219">
        <f t="shared" si="263"/>
        <v>0.92198770095984695</v>
      </c>
      <c r="AY208" s="1218">
        <f t="shared" si="264"/>
        <v>0</v>
      </c>
      <c r="AZ208" s="1218">
        <f t="shared" si="265"/>
        <v>0</v>
      </c>
      <c r="BA208" s="1218">
        <f t="shared" si="266"/>
        <v>0</v>
      </c>
      <c r="BB208" s="1218">
        <f t="shared" si="267"/>
        <v>0</v>
      </c>
      <c r="BC208" s="125"/>
      <c r="BF208" s="105">
        <f t="shared" si="238"/>
        <v>9783609.6800000072</v>
      </c>
      <c r="BP208" s="1312">
        <f>+'CY (ALL FUNDS)'!F1021</f>
        <v>150073000</v>
      </c>
      <c r="BQ208" s="1312">
        <f>+'CY (ALL FUNDS)'!G1021</f>
        <v>54463000</v>
      </c>
      <c r="BR208" s="1312">
        <f>+'CY (ALL FUNDS)'!H1021</f>
        <v>0</v>
      </c>
      <c r="BT208" s="111">
        <f t="shared" ref="BT208:BT215" si="268">+O208-BP208</f>
        <v>0</v>
      </c>
      <c r="BU208" s="111">
        <f t="shared" ref="BU208:BU215" si="269">+P208-BQ208</f>
        <v>0</v>
      </c>
      <c r="BV208" s="111">
        <f t="shared" ref="BV208:BV215" si="270">+Q208-BR208</f>
        <v>0</v>
      </c>
    </row>
    <row r="209" spans="1:74" ht="36">
      <c r="A209" s="587" t="s">
        <v>938</v>
      </c>
      <c r="B209" s="1308" t="s">
        <v>577</v>
      </c>
      <c r="C209" s="1218">
        <v>14833000</v>
      </c>
      <c r="D209" s="1218">
        <v>15799000</v>
      </c>
      <c r="E209" s="1218">
        <v>0</v>
      </c>
      <c r="F209" s="1218">
        <f t="shared" si="206"/>
        <v>30632000</v>
      </c>
      <c r="G209" s="1218"/>
      <c r="H209" s="1218"/>
      <c r="I209" s="1218"/>
      <c r="J209" s="1218">
        <f t="shared" si="207"/>
        <v>0</v>
      </c>
      <c r="K209" s="1218">
        <f t="shared" si="202"/>
        <v>14833000</v>
      </c>
      <c r="L209" s="1218">
        <f t="shared" si="203"/>
        <v>15799000</v>
      </c>
      <c r="M209" s="1218">
        <f t="shared" si="204"/>
        <v>0</v>
      </c>
      <c r="N209" s="1218">
        <f t="shared" si="205"/>
        <v>30632000</v>
      </c>
      <c r="O209" s="1218">
        <v>14833000</v>
      </c>
      <c r="P209" s="1218">
        <v>15799000</v>
      </c>
      <c r="Q209" s="1218">
        <v>0</v>
      </c>
      <c r="R209" s="1218">
        <f t="shared" si="249"/>
        <v>30632000</v>
      </c>
      <c r="S209" s="1218"/>
      <c r="T209" s="1218"/>
      <c r="U209" s="1218"/>
      <c r="V209" s="1218">
        <f t="shared" si="211"/>
        <v>0</v>
      </c>
      <c r="W209" s="1304">
        <f>+'CY (ALL FUNDS)'!F1037</f>
        <v>0</v>
      </c>
      <c r="X209" s="1304">
        <f>+'CY (ALL FUNDS)'!G1037</f>
        <v>5460000</v>
      </c>
      <c r="Y209" s="1304">
        <f>+'CY (ALL FUNDS)'!H1037</f>
        <v>20000000</v>
      </c>
      <c r="Z209" s="1218">
        <f t="shared" si="250"/>
        <v>25460000</v>
      </c>
      <c r="AA209" s="1218">
        <f t="shared" si="251"/>
        <v>14833000</v>
      </c>
      <c r="AB209" s="1218">
        <f t="shared" si="252"/>
        <v>21259000</v>
      </c>
      <c r="AC209" s="1218">
        <f t="shared" si="253"/>
        <v>20000000</v>
      </c>
      <c r="AD209" s="1218">
        <f t="shared" si="254"/>
        <v>56092000</v>
      </c>
      <c r="AE209" s="1304">
        <f>+'CY (ALL FUNDS)'!J1036</f>
        <v>12313003.390000001</v>
      </c>
      <c r="AF209" s="1304">
        <f>+'CY (ALL FUNDS)'!K1036</f>
        <v>14479651.529999999</v>
      </c>
      <c r="AG209" s="1304">
        <f>+'CY (ALL FUNDS)'!L1036</f>
        <v>0</v>
      </c>
      <c r="AH209" s="1218">
        <f t="shared" si="208"/>
        <v>26792654.920000002</v>
      </c>
      <c r="AI209" s="1304">
        <f>+'CY (ALL FUNDS)'!J1037</f>
        <v>0</v>
      </c>
      <c r="AJ209" s="1304">
        <f>+'CY (ALL FUNDS)'!K1037</f>
        <v>1086888.93</v>
      </c>
      <c r="AK209" s="1304">
        <f>+'CY (ALL FUNDS)'!L1037</f>
        <v>19990407.359999999</v>
      </c>
      <c r="AL209" s="1218">
        <f t="shared" si="209"/>
        <v>21077296.289999999</v>
      </c>
      <c r="AM209" s="1218">
        <f t="shared" si="243"/>
        <v>12313003.390000001</v>
      </c>
      <c r="AN209" s="1218">
        <f t="shared" si="244"/>
        <v>15566540.459999999</v>
      </c>
      <c r="AO209" s="1218">
        <f t="shared" si="245"/>
        <v>19990407.359999999</v>
      </c>
      <c r="AP209" s="1218">
        <f t="shared" si="255"/>
        <v>47869951.210000001</v>
      </c>
      <c r="AQ209" s="1218">
        <f t="shared" si="256"/>
        <v>2519996.6099999994</v>
      </c>
      <c r="AR209" s="1218">
        <f t="shared" si="257"/>
        <v>5692459.540000001</v>
      </c>
      <c r="AS209" s="1218">
        <f t="shared" si="258"/>
        <v>9592.640000000596</v>
      </c>
      <c r="AT209" s="1218">
        <f t="shared" si="259"/>
        <v>8222048.790000001</v>
      </c>
      <c r="AU209" s="1219">
        <f t="shared" si="260"/>
        <v>0.83010877030944519</v>
      </c>
      <c r="AV209" s="1219">
        <f t="shared" si="261"/>
        <v>0.73223295827649459</v>
      </c>
      <c r="AW209" s="1219">
        <f t="shared" si="262"/>
        <v>0.99952036799999999</v>
      </c>
      <c r="AX209" s="1219">
        <f t="shared" si="263"/>
        <v>0.85341851262212087</v>
      </c>
      <c r="AY209" s="1218">
        <f t="shared" si="264"/>
        <v>0</v>
      </c>
      <c r="AZ209" s="1218">
        <f t="shared" si="265"/>
        <v>0</v>
      </c>
      <c r="BA209" s="1218">
        <f t="shared" si="266"/>
        <v>0</v>
      </c>
      <c r="BB209" s="1218">
        <f t="shared" si="267"/>
        <v>0</v>
      </c>
      <c r="BC209" s="125"/>
      <c r="BF209" s="105">
        <f t="shared" si="238"/>
        <v>1319348.4700000007</v>
      </c>
      <c r="BP209" s="1312">
        <f>+'CY (ALL FUNDS)'!F1036</f>
        <v>14833000</v>
      </c>
      <c r="BQ209" s="1312">
        <f>+'CY (ALL FUNDS)'!G1036</f>
        <v>15799000</v>
      </c>
      <c r="BR209" s="1312">
        <f>+'CY (ALL FUNDS)'!H1036</f>
        <v>0</v>
      </c>
      <c r="BT209" s="111">
        <f t="shared" si="268"/>
        <v>0</v>
      </c>
      <c r="BU209" s="111">
        <f t="shared" si="269"/>
        <v>0</v>
      </c>
      <c r="BV209" s="111">
        <f t="shared" si="270"/>
        <v>0</v>
      </c>
    </row>
    <row r="210" spans="1:74" ht="24">
      <c r="A210" s="587" t="s">
        <v>938</v>
      </c>
      <c r="B210" s="1309" t="s">
        <v>578</v>
      </c>
      <c r="C210" s="1218">
        <v>8318000</v>
      </c>
      <c r="D210" s="1218">
        <v>5667000</v>
      </c>
      <c r="E210" s="1218">
        <v>0</v>
      </c>
      <c r="F210" s="1218">
        <f t="shared" si="206"/>
        <v>13985000</v>
      </c>
      <c r="G210" s="1218"/>
      <c r="H210" s="1218"/>
      <c r="I210" s="1218"/>
      <c r="J210" s="1218">
        <f t="shared" si="207"/>
        <v>0</v>
      </c>
      <c r="K210" s="1218">
        <f t="shared" si="202"/>
        <v>8318000</v>
      </c>
      <c r="L210" s="1218">
        <f t="shared" si="203"/>
        <v>5667000</v>
      </c>
      <c r="M210" s="1218">
        <f t="shared" si="204"/>
        <v>0</v>
      </c>
      <c r="N210" s="1218">
        <f t="shared" si="205"/>
        <v>13985000</v>
      </c>
      <c r="O210" s="1218">
        <v>8318000</v>
      </c>
      <c r="P210" s="1218">
        <v>5667000</v>
      </c>
      <c r="Q210" s="1218">
        <v>0</v>
      </c>
      <c r="R210" s="1218">
        <f t="shared" si="249"/>
        <v>13985000</v>
      </c>
      <c r="S210" s="1218"/>
      <c r="T210" s="1218"/>
      <c r="U210" s="1218"/>
      <c r="V210" s="1218">
        <f t="shared" si="211"/>
        <v>0</v>
      </c>
      <c r="W210" s="1304">
        <f>+'CY (ALL FUNDS)'!F1052</f>
        <v>0</v>
      </c>
      <c r="X210" s="1304">
        <f>+'CY (ALL FUNDS)'!G1052</f>
        <v>2363743</v>
      </c>
      <c r="Y210" s="1304">
        <f>+'CY (ALL FUNDS)'!H1052</f>
        <v>0</v>
      </c>
      <c r="Z210" s="1218">
        <f t="shared" si="250"/>
        <v>2363743</v>
      </c>
      <c r="AA210" s="1218">
        <f t="shared" si="251"/>
        <v>8318000</v>
      </c>
      <c r="AB210" s="1218">
        <f t="shared" si="252"/>
        <v>8030743</v>
      </c>
      <c r="AC210" s="1218">
        <f t="shared" si="253"/>
        <v>0</v>
      </c>
      <c r="AD210" s="1218">
        <f t="shared" si="254"/>
        <v>16348743</v>
      </c>
      <c r="AE210" s="1304">
        <f>+'CY (ALL FUNDS)'!J1051</f>
        <v>7658109.0000000009</v>
      </c>
      <c r="AF210" s="1304">
        <f>+'CY (ALL FUNDS)'!K1051</f>
        <v>4671423.0299999993</v>
      </c>
      <c r="AG210" s="1304">
        <f>+'CY (ALL FUNDS)'!L1051</f>
        <v>0</v>
      </c>
      <c r="AH210" s="1218">
        <f t="shared" si="208"/>
        <v>12329532.030000001</v>
      </c>
      <c r="AI210" s="1304">
        <f>+'CY (ALL FUNDS)'!J1052</f>
        <v>0</v>
      </c>
      <c r="AJ210" s="1304">
        <f>+'CY (ALL FUNDS)'!K1052</f>
        <v>1841192.1199999999</v>
      </c>
      <c r="AK210" s="1304">
        <f>+'CY (ALL FUNDS)'!L1052</f>
        <v>0</v>
      </c>
      <c r="AL210" s="1218">
        <f t="shared" si="209"/>
        <v>1841192.1199999999</v>
      </c>
      <c r="AM210" s="1218">
        <f t="shared" si="243"/>
        <v>7658109.0000000009</v>
      </c>
      <c r="AN210" s="1218">
        <f t="shared" si="244"/>
        <v>6512615.1499999994</v>
      </c>
      <c r="AO210" s="1218">
        <f t="shared" si="245"/>
        <v>0</v>
      </c>
      <c r="AP210" s="1218">
        <f t="shared" si="255"/>
        <v>14170724.15</v>
      </c>
      <c r="AQ210" s="1218">
        <f t="shared" si="256"/>
        <v>659890.99999999907</v>
      </c>
      <c r="AR210" s="1218">
        <f t="shared" si="257"/>
        <v>1518127.8500000006</v>
      </c>
      <c r="AS210" s="1218">
        <f t="shared" si="258"/>
        <v>0</v>
      </c>
      <c r="AT210" s="1218">
        <f t="shared" si="259"/>
        <v>2178018.8499999996</v>
      </c>
      <c r="AU210" s="1219">
        <f t="shared" si="260"/>
        <v>0.92066710747775915</v>
      </c>
      <c r="AV210" s="1219">
        <f t="shared" si="261"/>
        <v>0.81096047401840643</v>
      </c>
      <c r="AW210" s="1219" t="str">
        <f t="shared" si="262"/>
        <v xml:space="preserve"> </v>
      </c>
      <c r="AX210" s="1219">
        <f t="shared" si="263"/>
        <v>0.8667775956842676</v>
      </c>
      <c r="AY210" s="1218">
        <f t="shared" si="264"/>
        <v>0</v>
      </c>
      <c r="AZ210" s="1218">
        <f t="shared" si="265"/>
        <v>0</v>
      </c>
      <c r="BA210" s="1218">
        <f t="shared" si="266"/>
        <v>0</v>
      </c>
      <c r="BB210" s="1218">
        <f t="shared" si="267"/>
        <v>0</v>
      </c>
      <c r="BC210" s="125"/>
      <c r="BF210" s="105">
        <f t="shared" si="238"/>
        <v>995576.97000000067</v>
      </c>
      <c r="BP210" s="1312">
        <f>+'CY (ALL FUNDS)'!F1051</f>
        <v>8318000</v>
      </c>
      <c r="BQ210" s="1312">
        <f>+'CY (ALL FUNDS)'!G1051</f>
        <v>5667000</v>
      </c>
      <c r="BR210" s="1312">
        <f>+'CY (ALL FUNDS)'!H1051</f>
        <v>0</v>
      </c>
      <c r="BT210" s="111">
        <f t="shared" si="268"/>
        <v>0</v>
      </c>
      <c r="BU210" s="111">
        <f t="shared" si="269"/>
        <v>0</v>
      </c>
      <c r="BV210" s="111">
        <f t="shared" si="270"/>
        <v>0</v>
      </c>
    </row>
    <row r="211" spans="1:74" ht="12.75">
      <c r="A211" s="587" t="s">
        <v>938</v>
      </c>
      <c r="B211" s="1311" t="s">
        <v>579</v>
      </c>
      <c r="C211" s="1218">
        <v>6539000</v>
      </c>
      <c r="D211" s="1218">
        <v>3643000</v>
      </c>
      <c r="E211" s="1218">
        <v>0</v>
      </c>
      <c r="F211" s="1218">
        <f t="shared" si="206"/>
        <v>10182000</v>
      </c>
      <c r="G211" s="1218"/>
      <c r="H211" s="1218"/>
      <c r="I211" s="1218"/>
      <c r="J211" s="1218">
        <f t="shared" si="207"/>
        <v>0</v>
      </c>
      <c r="K211" s="1218">
        <f t="shared" si="202"/>
        <v>6539000</v>
      </c>
      <c r="L211" s="1218">
        <f t="shared" si="203"/>
        <v>3643000</v>
      </c>
      <c r="M211" s="1218">
        <f t="shared" si="204"/>
        <v>0</v>
      </c>
      <c r="N211" s="1218">
        <f t="shared" si="205"/>
        <v>10182000</v>
      </c>
      <c r="O211" s="1218">
        <v>6539000</v>
      </c>
      <c r="P211" s="1218">
        <v>3643000</v>
      </c>
      <c r="Q211" s="1218">
        <v>0</v>
      </c>
      <c r="R211" s="1218">
        <f t="shared" si="249"/>
        <v>10182000</v>
      </c>
      <c r="S211" s="1218"/>
      <c r="T211" s="1218"/>
      <c r="U211" s="1218"/>
      <c r="V211" s="1218">
        <f t="shared" si="211"/>
        <v>0</v>
      </c>
      <c r="W211" s="1304">
        <f>+'CY (ALL FUNDS)'!F1067</f>
        <v>0</v>
      </c>
      <c r="X211" s="1304">
        <f>+'CY (ALL FUNDS)'!G1067</f>
        <v>1652000</v>
      </c>
      <c r="Y211" s="1304">
        <f>+'CY (ALL FUNDS)'!H1067</f>
        <v>0</v>
      </c>
      <c r="Z211" s="1218">
        <f t="shared" si="250"/>
        <v>1652000</v>
      </c>
      <c r="AA211" s="1218">
        <f t="shared" si="251"/>
        <v>6539000</v>
      </c>
      <c r="AB211" s="1218">
        <f t="shared" si="252"/>
        <v>5295000</v>
      </c>
      <c r="AC211" s="1218">
        <f t="shared" si="253"/>
        <v>0</v>
      </c>
      <c r="AD211" s="1218">
        <f t="shared" si="254"/>
        <v>11834000</v>
      </c>
      <c r="AE211" s="1304">
        <f>+'CY (ALL FUNDS)'!J1066</f>
        <v>5991011.46</v>
      </c>
      <c r="AF211" s="1304">
        <f>+'CY (ALL FUNDS)'!K1066</f>
        <v>3501579.61</v>
      </c>
      <c r="AG211" s="1304">
        <f>+'CY (ALL FUNDS)'!L1066</f>
        <v>0</v>
      </c>
      <c r="AH211" s="1218">
        <f t="shared" si="208"/>
        <v>9492591.0700000003</v>
      </c>
      <c r="AI211" s="1304">
        <f>+'CY (ALL FUNDS)'!J1067</f>
        <v>0</v>
      </c>
      <c r="AJ211" s="1304">
        <f>+'CY (ALL FUNDS)'!K1067</f>
        <v>1421528.2000000002</v>
      </c>
      <c r="AK211" s="1304">
        <f>+'CY (ALL FUNDS)'!L1067</f>
        <v>0</v>
      </c>
      <c r="AL211" s="1218">
        <f t="shared" si="209"/>
        <v>1421528.2000000002</v>
      </c>
      <c r="AM211" s="1218">
        <f t="shared" si="243"/>
        <v>5991011.46</v>
      </c>
      <c r="AN211" s="1218">
        <f t="shared" si="244"/>
        <v>4923107.8100000005</v>
      </c>
      <c r="AO211" s="1218">
        <f t="shared" si="245"/>
        <v>0</v>
      </c>
      <c r="AP211" s="1218">
        <f t="shared" si="255"/>
        <v>10914119.27</v>
      </c>
      <c r="AQ211" s="1218">
        <f t="shared" si="256"/>
        <v>547988.54</v>
      </c>
      <c r="AR211" s="1218">
        <f t="shared" si="257"/>
        <v>371892.18999999948</v>
      </c>
      <c r="AS211" s="1218">
        <f t="shared" si="258"/>
        <v>0</v>
      </c>
      <c r="AT211" s="1218">
        <f t="shared" si="259"/>
        <v>919880.72999999952</v>
      </c>
      <c r="AU211" s="1219">
        <f t="shared" si="260"/>
        <v>0.916196889432635</v>
      </c>
      <c r="AV211" s="1219">
        <f t="shared" si="261"/>
        <v>0.9297654032105761</v>
      </c>
      <c r="AW211" s="1219" t="str">
        <f t="shared" si="262"/>
        <v xml:space="preserve"> </v>
      </c>
      <c r="AX211" s="1219">
        <f t="shared" si="263"/>
        <v>0.92226797955044781</v>
      </c>
      <c r="AY211" s="1218">
        <f t="shared" si="264"/>
        <v>0</v>
      </c>
      <c r="AZ211" s="1218">
        <f t="shared" si="265"/>
        <v>0</v>
      </c>
      <c r="BA211" s="1218">
        <f t="shared" si="266"/>
        <v>0</v>
      </c>
      <c r="BB211" s="1218">
        <f t="shared" si="267"/>
        <v>0</v>
      </c>
      <c r="BC211" s="125"/>
      <c r="BF211" s="105">
        <f t="shared" si="238"/>
        <v>141420.39000000013</v>
      </c>
      <c r="BP211" s="1312">
        <f>+'CY (ALL FUNDS)'!F1066</f>
        <v>6539000</v>
      </c>
      <c r="BQ211" s="1312">
        <f>+'CY (ALL FUNDS)'!G1066</f>
        <v>3643000</v>
      </c>
      <c r="BR211" s="1312">
        <f>+'CY (ALL FUNDS)'!H1066</f>
        <v>0</v>
      </c>
      <c r="BT211" s="111">
        <f t="shared" si="268"/>
        <v>0</v>
      </c>
      <c r="BU211" s="111">
        <f t="shared" si="269"/>
        <v>0</v>
      </c>
      <c r="BV211" s="111">
        <f t="shared" si="270"/>
        <v>0</v>
      </c>
    </row>
    <row r="212" spans="1:74" ht="24">
      <c r="A212" s="587" t="s">
        <v>938</v>
      </c>
      <c r="B212" s="1309" t="s">
        <v>580</v>
      </c>
      <c r="C212" s="1218">
        <v>18361000</v>
      </c>
      <c r="D212" s="1218">
        <v>11473000</v>
      </c>
      <c r="E212" s="1218">
        <v>0</v>
      </c>
      <c r="F212" s="1218">
        <f t="shared" si="206"/>
        <v>29834000</v>
      </c>
      <c r="G212" s="1218"/>
      <c r="H212" s="1218"/>
      <c r="I212" s="1218"/>
      <c r="J212" s="1218">
        <f t="shared" si="207"/>
        <v>0</v>
      </c>
      <c r="K212" s="1218">
        <f t="shared" si="202"/>
        <v>18361000</v>
      </c>
      <c r="L212" s="1218">
        <f t="shared" si="203"/>
        <v>11473000</v>
      </c>
      <c r="M212" s="1218">
        <f t="shared" si="204"/>
        <v>0</v>
      </c>
      <c r="N212" s="1218">
        <f t="shared" si="205"/>
        <v>29834000</v>
      </c>
      <c r="O212" s="1218">
        <v>18361000</v>
      </c>
      <c r="P212" s="1218">
        <v>11473000</v>
      </c>
      <c r="Q212" s="1218">
        <v>0</v>
      </c>
      <c r="R212" s="1218">
        <f t="shared" si="249"/>
        <v>29834000</v>
      </c>
      <c r="S212" s="1218"/>
      <c r="T212" s="1218"/>
      <c r="U212" s="1218"/>
      <c r="V212" s="1218">
        <f t="shared" si="211"/>
        <v>0</v>
      </c>
      <c r="W212" s="1304">
        <f>+'CY (ALL FUNDS)'!F1082</f>
        <v>0</v>
      </c>
      <c r="X212" s="1304">
        <f>+'CY (ALL FUNDS)'!G1082</f>
        <v>2420000</v>
      </c>
      <c r="Y212" s="1304">
        <f>+'CY (ALL FUNDS)'!H1082</f>
        <v>11000000</v>
      </c>
      <c r="Z212" s="1218">
        <f t="shared" si="250"/>
        <v>13420000</v>
      </c>
      <c r="AA212" s="1218">
        <f t="shared" si="251"/>
        <v>18361000</v>
      </c>
      <c r="AB212" s="1218">
        <f t="shared" si="252"/>
        <v>13893000</v>
      </c>
      <c r="AC212" s="1218">
        <f t="shared" si="253"/>
        <v>11000000</v>
      </c>
      <c r="AD212" s="1218">
        <f t="shared" si="254"/>
        <v>43254000</v>
      </c>
      <c r="AE212" s="1304">
        <f>+'CY (ALL FUNDS)'!J1081</f>
        <v>16379073.210000001</v>
      </c>
      <c r="AF212" s="1304">
        <f>+'CY (ALL FUNDS)'!K1081</f>
        <v>9387248.8000000007</v>
      </c>
      <c r="AG212" s="1304">
        <f>+'CY (ALL FUNDS)'!L1081</f>
        <v>0</v>
      </c>
      <c r="AH212" s="1218">
        <f t="shared" si="208"/>
        <v>25766322.010000002</v>
      </c>
      <c r="AI212" s="1304">
        <f>+'CY (ALL FUNDS)'!J1082</f>
        <v>0</v>
      </c>
      <c r="AJ212" s="1304">
        <f>+'CY (ALL FUNDS)'!K1082</f>
        <v>1758946.04</v>
      </c>
      <c r="AK212" s="1304">
        <f>+'CY (ALL FUNDS)'!L1082</f>
        <v>175000</v>
      </c>
      <c r="AL212" s="1218">
        <f t="shared" si="209"/>
        <v>1933946.04</v>
      </c>
      <c r="AM212" s="1218">
        <f t="shared" si="243"/>
        <v>16379073.210000001</v>
      </c>
      <c r="AN212" s="1218">
        <f t="shared" si="244"/>
        <v>11146194.84</v>
      </c>
      <c r="AO212" s="1218">
        <f t="shared" si="245"/>
        <v>175000</v>
      </c>
      <c r="AP212" s="1218">
        <f t="shared" si="255"/>
        <v>27700268.050000001</v>
      </c>
      <c r="AQ212" s="1218">
        <f t="shared" si="256"/>
        <v>1981926.7899999991</v>
      </c>
      <c r="AR212" s="1218">
        <f t="shared" si="257"/>
        <v>2746805.16</v>
      </c>
      <c r="AS212" s="1218">
        <f t="shared" si="258"/>
        <v>10825000</v>
      </c>
      <c r="AT212" s="1218">
        <f t="shared" si="259"/>
        <v>15553731.949999999</v>
      </c>
      <c r="AU212" s="1219">
        <f t="shared" si="260"/>
        <v>0.89205779696094989</v>
      </c>
      <c r="AV212" s="1219">
        <f t="shared" si="261"/>
        <v>0.80228855106888364</v>
      </c>
      <c r="AW212" s="1219">
        <f t="shared" si="262"/>
        <v>1.5909090909090907E-2</v>
      </c>
      <c r="AX212" s="1219">
        <f t="shared" si="263"/>
        <v>0.64040939681879139</v>
      </c>
      <c r="AY212" s="1218">
        <f t="shared" si="264"/>
        <v>0</v>
      </c>
      <c r="AZ212" s="1218">
        <f t="shared" si="265"/>
        <v>0</v>
      </c>
      <c r="BA212" s="1218">
        <f t="shared" si="266"/>
        <v>0</v>
      </c>
      <c r="BB212" s="1218">
        <f t="shared" si="267"/>
        <v>0</v>
      </c>
      <c r="BC212" s="125"/>
      <c r="BF212" s="105">
        <f t="shared" si="238"/>
        <v>2085751.1999999993</v>
      </c>
      <c r="BP212" s="1312">
        <f>+'CY (ALL FUNDS)'!F1081</f>
        <v>18361000</v>
      </c>
      <c r="BQ212" s="1312">
        <f>+'CY (ALL FUNDS)'!G1081</f>
        <v>11473000</v>
      </c>
      <c r="BR212" s="1312">
        <f>+'CY (ALL FUNDS)'!H1081</f>
        <v>0</v>
      </c>
      <c r="BT212" s="111">
        <f t="shared" si="268"/>
        <v>0</v>
      </c>
      <c r="BU212" s="111">
        <f t="shared" si="269"/>
        <v>0</v>
      </c>
      <c r="BV212" s="111">
        <f t="shared" si="270"/>
        <v>0</v>
      </c>
    </row>
    <row r="213" spans="1:74" ht="36">
      <c r="A213" s="587" t="s">
        <v>938</v>
      </c>
      <c r="B213" s="1308" t="s">
        <v>581</v>
      </c>
      <c r="C213" s="1218">
        <v>37392000</v>
      </c>
      <c r="D213" s="1218">
        <v>29427000</v>
      </c>
      <c r="E213" s="1218">
        <v>0</v>
      </c>
      <c r="F213" s="1218">
        <f t="shared" si="206"/>
        <v>66819000</v>
      </c>
      <c r="G213" s="1218">
        <v>1422853</v>
      </c>
      <c r="H213" s="1218">
        <v>-1422853</v>
      </c>
      <c r="I213" s="1218"/>
      <c r="J213" s="1218">
        <f t="shared" si="207"/>
        <v>0</v>
      </c>
      <c r="K213" s="1218">
        <f t="shared" si="202"/>
        <v>38814853</v>
      </c>
      <c r="L213" s="1218">
        <f t="shared" si="203"/>
        <v>28004147</v>
      </c>
      <c r="M213" s="1218">
        <f t="shared" si="204"/>
        <v>0</v>
      </c>
      <c r="N213" s="1218">
        <f t="shared" si="205"/>
        <v>66819000</v>
      </c>
      <c r="O213" s="1218">
        <v>38814853</v>
      </c>
      <c r="P213" s="1218">
        <v>28004147</v>
      </c>
      <c r="Q213" s="1218">
        <v>0</v>
      </c>
      <c r="R213" s="1218">
        <f t="shared" si="249"/>
        <v>66819000</v>
      </c>
      <c r="S213" s="1218"/>
      <c r="T213" s="1218"/>
      <c r="U213" s="1218"/>
      <c r="V213" s="1218">
        <f t="shared" si="211"/>
        <v>0</v>
      </c>
      <c r="W213" s="1304">
        <f>+'CY (ALL FUNDS)'!F1097</f>
        <v>0</v>
      </c>
      <c r="X213" s="1304">
        <f>+'CY (ALL FUNDS)'!G1097</f>
        <v>7220000</v>
      </c>
      <c r="Y213" s="1304">
        <f>+'CY (ALL FUNDS)'!H1097</f>
        <v>20500000</v>
      </c>
      <c r="Z213" s="1218">
        <f t="shared" si="250"/>
        <v>27720000</v>
      </c>
      <c r="AA213" s="1218">
        <f t="shared" si="251"/>
        <v>38814853</v>
      </c>
      <c r="AB213" s="1218">
        <f t="shared" si="252"/>
        <v>35224147</v>
      </c>
      <c r="AC213" s="1218">
        <f t="shared" si="253"/>
        <v>20500000</v>
      </c>
      <c r="AD213" s="1218">
        <f t="shared" si="254"/>
        <v>94539000</v>
      </c>
      <c r="AE213" s="1304">
        <f>+'CY (ALL FUNDS)'!J1096</f>
        <v>36411638</v>
      </c>
      <c r="AF213" s="1304">
        <f>+'CY (ALL FUNDS)'!K1096</f>
        <v>22376889.650000002</v>
      </c>
      <c r="AG213" s="1304">
        <f>+'CY (ALL FUNDS)'!L1096</f>
        <v>0</v>
      </c>
      <c r="AH213" s="1218">
        <f t="shared" si="208"/>
        <v>58788527.650000006</v>
      </c>
      <c r="AI213" s="1304">
        <f>+'CY (ALL FUNDS)'!J1097</f>
        <v>0</v>
      </c>
      <c r="AJ213" s="1304">
        <f>+'CY (ALL FUNDS)'!K1097</f>
        <v>5948855.8100000005</v>
      </c>
      <c r="AK213" s="1304">
        <f>+'CY (ALL FUNDS)'!L1097</f>
        <v>19738409.219999999</v>
      </c>
      <c r="AL213" s="1218">
        <f t="shared" si="209"/>
        <v>25687265.030000001</v>
      </c>
      <c r="AM213" s="1218">
        <f t="shared" si="243"/>
        <v>36411638</v>
      </c>
      <c r="AN213" s="1218">
        <f t="shared" si="244"/>
        <v>28325745.460000001</v>
      </c>
      <c r="AO213" s="1218">
        <f t="shared" si="245"/>
        <v>19738409.219999999</v>
      </c>
      <c r="AP213" s="1218">
        <f t="shared" si="255"/>
        <v>84475792.680000007</v>
      </c>
      <c r="AQ213" s="1218">
        <f t="shared" si="256"/>
        <v>2403215</v>
      </c>
      <c r="AR213" s="1218">
        <f t="shared" si="257"/>
        <v>6898401.5399999991</v>
      </c>
      <c r="AS213" s="1218">
        <f t="shared" si="258"/>
        <v>761590.78000000119</v>
      </c>
      <c r="AT213" s="1218">
        <f t="shared" si="259"/>
        <v>10063207.32</v>
      </c>
      <c r="AU213" s="1219">
        <f t="shared" si="260"/>
        <v>0.93808517064331021</v>
      </c>
      <c r="AV213" s="1219">
        <f t="shared" si="261"/>
        <v>0.8041570306869319</v>
      </c>
      <c r="AW213" s="1219">
        <f t="shared" si="262"/>
        <v>0.96284923024390234</v>
      </c>
      <c r="AX213" s="1219">
        <f t="shared" si="263"/>
        <v>0.89355496334845941</v>
      </c>
      <c r="AY213" s="1218">
        <f t="shared" si="264"/>
        <v>0</v>
      </c>
      <c r="AZ213" s="1218">
        <f t="shared" si="265"/>
        <v>0</v>
      </c>
      <c r="BA213" s="1218">
        <f t="shared" si="266"/>
        <v>0</v>
      </c>
      <c r="BB213" s="1218">
        <f t="shared" si="267"/>
        <v>0</v>
      </c>
      <c r="BC213" s="125"/>
      <c r="BF213" s="105">
        <f t="shared" si="238"/>
        <v>5627257.3499999978</v>
      </c>
      <c r="BP213" s="1312">
        <f>+'CY (ALL FUNDS)'!F1096</f>
        <v>38814853</v>
      </c>
      <c r="BQ213" s="1312">
        <f>+'CY (ALL FUNDS)'!G1096</f>
        <v>28004147</v>
      </c>
      <c r="BR213" s="1312">
        <f>+'CY (ALL FUNDS)'!H1096</f>
        <v>0</v>
      </c>
      <c r="BT213" s="111">
        <f t="shared" si="268"/>
        <v>0</v>
      </c>
      <c r="BU213" s="111">
        <f t="shared" si="269"/>
        <v>0</v>
      </c>
      <c r="BV213" s="111">
        <f t="shared" si="270"/>
        <v>0</v>
      </c>
    </row>
    <row r="214" spans="1:74" ht="36">
      <c r="A214" s="587" t="s">
        <v>938</v>
      </c>
      <c r="B214" s="1308" t="s">
        <v>582</v>
      </c>
      <c r="C214" s="1218">
        <v>17682000</v>
      </c>
      <c r="D214" s="1218">
        <v>24897000</v>
      </c>
      <c r="E214" s="1218">
        <v>0</v>
      </c>
      <c r="F214" s="1218">
        <f t="shared" si="206"/>
        <v>42579000</v>
      </c>
      <c r="G214" s="1218"/>
      <c r="H214" s="1218"/>
      <c r="I214" s="1218"/>
      <c r="J214" s="1218">
        <f t="shared" si="207"/>
        <v>0</v>
      </c>
      <c r="K214" s="1218">
        <f t="shared" si="202"/>
        <v>17682000</v>
      </c>
      <c r="L214" s="1218">
        <f t="shared" si="203"/>
        <v>24897000</v>
      </c>
      <c r="M214" s="1218">
        <f t="shared" si="204"/>
        <v>0</v>
      </c>
      <c r="N214" s="1218">
        <f t="shared" si="205"/>
        <v>42579000</v>
      </c>
      <c r="O214" s="1218">
        <v>17682000</v>
      </c>
      <c r="P214" s="1218">
        <v>24897000</v>
      </c>
      <c r="Q214" s="1218">
        <v>0</v>
      </c>
      <c r="R214" s="1218">
        <f t="shared" si="249"/>
        <v>42579000</v>
      </c>
      <c r="S214" s="1218"/>
      <c r="T214" s="1218"/>
      <c r="U214" s="1218"/>
      <c r="V214" s="1218">
        <f t="shared" si="211"/>
        <v>0</v>
      </c>
      <c r="W214" s="1304">
        <f>+'CY (ALL FUNDS)'!F1112</f>
        <v>0</v>
      </c>
      <c r="X214" s="1304">
        <f>+'CY (ALL FUNDS)'!G1112</f>
        <v>2420000</v>
      </c>
      <c r="Y214" s="1304">
        <f>+'CY (ALL FUNDS)'!H1112</f>
        <v>0</v>
      </c>
      <c r="Z214" s="1218">
        <f t="shared" si="250"/>
        <v>2420000</v>
      </c>
      <c r="AA214" s="1218">
        <f t="shared" si="251"/>
        <v>17682000</v>
      </c>
      <c r="AB214" s="1218">
        <f t="shared" si="252"/>
        <v>27317000</v>
      </c>
      <c r="AC214" s="1218">
        <f t="shared" si="253"/>
        <v>0</v>
      </c>
      <c r="AD214" s="1218">
        <f t="shared" si="254"/>
        <v>44999000</v>
      </c>
      <c r="AE214" s="1304">
        <f>+'CY (ALL FUNDS)'!J1111</f>
        <v>16510142.9</v>
      </c>
      <c r="AF214" s="1304">
        <f>+'CY (ALL FUNDS)'!K1111</f>
        <v>18791169.77</v>
      </c>
      <c r="AG214" s="1304">
        <f>+'CY (ALL FUNDS)'!L1111</f>
        <v>0</v>
      </c>
      <c r="AH214" s="1218">
        <f t="shared" si="208"/>
        <v>35301312.670000002</v>
      </c>
      <c r="AI214" s="1304">
        <f>+'CY (ALL FUNDS)'!J1112</f>
        <v>0</v>
      </c>
      <c r="AJ214" s="1304">
        <f>+'CY (ALL FUNDS)'!K1112</f>
        <v>1861025.99</v>
      </c>
      <c r="AK214" s="1304">
        <f>+'CY (ALL FUNDS)'!L1112</f>
        <v>0</v>
      </c>
      <c r="AL214" s="1218">
        <f t="shared" si="209"/>
        <v>1861025.99</v>
      </c>
      <c r="AM214" s="1218">
        <f t="shared" si="243"/>
        <v>16510142.9</v>
      </c>
      <c r="AN214" s="1218">
        <f t="shared" si="244"/>
        <v>20652195.759999998</v>
      </c>
      <c r="AO214" s="1218">
        <f t="shared" si="245"/>
        <v>0</v>
      </c>
      <c r="AP214" s="1218">
        <f t="shared" si="255"/>
        <v>37162338.659999996</v>
      </c>
      <c r="AQ214" s="1218">
        <f t="shared" si="256"/>
        <v>1171857.0999999996</v>
      </c>
      <c r="AR214" s="1218">
        <f t="shared" si="257"/>
        <v>6664804.2400000021</v>
      </c>
      <c r="AS214" s="1218">
        <f t="shared" si="258"/>
        <v>0</v>
      </c>
      <c r="AT214" s="1218">
        <f t="shared" si="259"/>
        <v>7836661.3400000017</v>
      </c>
      <c r="AU214" s="1219">
        <f t="shared" si="260"/>
        <v>0.9337259868793123</v>
      </c>
      <c r="AV214" s="1219">
        <f t="shared" si="261"/>
        <v>0.75601990555331833</v>
      </c>
      <c r="AW214" s="1219" t="str">
        <f t="shared" si="262"/>
        <v xml:space="preserve"> </v>
      </c>
      <c r="AX214" s="1219">
        <f t="shared" si="263"/>
        <v>0.82584810018000387</v>
      </c>
      <c r="AY214" s="1218">
        <f t="shared" si="264"/>
        <v>0</v>
      </c>
      <c r="AZ214" s="1218">
        <f t="shared" si="265"/>
        <v>0</v>
      </c>
      <c r="BA214" s="1218">
        <f t="shared" si="266"/>
        <v>0</v>
      </c>
      <c r="BB214" s="1218">
        <f t="shared" si="267"/>
        <v>0</v>
      </c>
      <c r="BC214" s="125"/>
      <c r="BF214" s="105">
        <f t="shared" si="238"/>
        <v>6105830.2300000004</v>
      </c>
      <c r="BP214" s="1312">
        <f>+'CY (ALL FUNDS)'!F1111</f>
        <v>17682000</v>
      </c>
      <c r="BQ214" s="1312">
        <f>+'CY (ALL FUNDS)'!G1111</f>
        <v>24897000</v>
      </c>
      <c r="BR214" s="1312">
        <f>+'CY (ALL FUNDS)'!H1111</f>
        <v>0</v>
      </c>
      <c r="BT214" s="111">
        <f t="shared" si="268"/>
        <v>0</v>
      </c>
      <c r="BU214" s="111">
        <f t="shared" si="269"/>
        <v>0</v>
      </c>
      <c r="BV214" s="111">
        <f t="shared" si="270"/>
        <v>0</v>
      </c>
    </row>
    <row r="215" spans="1:74" ht="12.75">
      <c r="A215" s="587" t="s">
        <v>938</v>
      </c>
      <c r="B215" s="1311" t="s">
        <v>583</v>
      </c>
      <c r="C215" s="1218">
        <v>0</v>
      </c>
      <c r="D215" s="1218">
        <v>691000</v>
      </c>
      <c r="E215" s="1218">
        <v>0</v>
      </c>
      <c r="F215" s="1218">
        <f t="shared" si="206"/>
        <v>691000</v>
      </c>
      <c r="G215" s="1218"/>
      <c r="H215" s="1218"/>
      <c r="I215" s="1218"/>
      <c r="J215" s="1218">
        <f t="shared" si="207"/>
        <v>0</v>
      </c>
      <c r="K215" s="1218">
        <f t="shared" si="202"/>
        <v>0</v>
      </c>
      <c r="L215" s="1218">
        <f t="shared" si="203"/>
        <v>691000</v>
      </c>
      <c r="M215" s="1218">
        <f t="shared" si="204"/>
        <v>0</v>
      </c>
      <c r="N215" s="1218">
        <f t="shared" si="205"/>
        <v>691000</v>
      </c>
      <c r="O215" s="1218">
        <v>0</v>
      </c>
      <c r="P215" s="1218">
        <v>691000</v>
      </c>
      <c r="Q215" s="1218">
        <v>0</v>
      </c>
      <c r="R215" s="1218">
        <f t="shared" si="249"/>
        <v>691000</v>
      </c>
      <c r="S215" s="1218"/>
      <c r="T215" s="1218"/>
      <c r="U215" s="1218"/>
      <c r="V215" s="1218">
        <f t="shared" si="211"/>
        <v>0</v>
      </c>
      <c r="W215" s="1304">
        <f>+'CY (ALL FUNDS)'!F1127</f>
        <v>0</v>
      </c>
      <c r="X215" s="1304">
        <f>+'CY (ALL FUNDS)'!G1127</f>
        <v>0</v>
      </c>
      <c r="Y215" s="1304">
        <f>+'CY (ALL FUNDS)'!H1127</f>
        <v>0</v>
      </c>
      <c r="Z215" s="1218">
        <f t="shared" si="250"/>
        <v>0</v>
      </c>
      <c r="AA215" s="1218">
        <f t="shared" si="251"/>
        <v>0</v>
      </c>
      <c r="AB215" s="1218">
        <f t="shared" si="252"/>
        <v>691000</v>
      </c>
      <c r="AC215" s="1218">
        <f t="shared" si="253"/>
        <v>0</v>
      </c>
      <c r="AD215" s="1218">
        <f t="shared" si="254"/>
        <v>691000</v>
      </c>
      <c r="AE215" s="1304">
        <f>+'CY (ALL FUNDS)'!J1126</f>
        <v>0</v>
      </c>
      <c r="AF215" s="1304">
        <f>+'CY (ALL FUNDS)'!K1126</f>
        <v>0</v>
      </c>
      <c r="AG215" s="1304">
        <f>+'CY (ALL FUNDS)'!L1126</f>
        <v>0</v>
      </c>
      <c r="AH215" s="1218">
        <f t="shared" si="208"/>
        <v>0</v>
      </c>
      <c r="AI215" s="1304">
        <f>+'CY (ALL FUNDS)'!J1127</f>
        <v>0</v>
      </c>
      <c r="AJ215" s="1304">
        <f>+'CY (ALL FUNDS)'!K1127</f>
        <v>0</v>
      </c>
      <c r="AK215" s="1304">
        <f>+'CY (ALL FUNDS)'!L1127</f>
        <v>0</v>
      </c>
      <c r="AL215" s="1218">
        <f t="shared" si="209"/>
        <v>0</v>
      </c>
      <c r="AM215" s="1218">
        <f t="shared" si="243"/>
        <v>0</v>
      </c>
      <c r="AN215" s="1218">
        <f t="shared" si="244"/>
        <v>0</v>
      </c>
      <c r="AO215" s="1218">
        <f t="shared" si="245"/>
        <v>0</v>
      </c>
      <c r="AP215" s="1218">
        <f t="shared" si="255"/>
        <v>0</v>
      </c>
      <c r="AQ215" s="1218">
        <f t="shared" si="256"/>
        <v>0</v>
      </c>
      <c r="AR215" s="1218">
        <f t="shared" si="257"/>
        <v>691000</v>
      </c>
      <c r="AS215" s="1218">
        <f t="shared" si="258"/>
        <v>0</v>
      </c>
      <c r="AT215" s="1218">
        <f t="shared" si="259"/>
        <v>691000</v>
      </c>
      <c r="AU215" s="1219" t="str">
        <f t="shared" si="260"/>
        <v xml:space="preserve"> </v>
      </c>
      <c r="AV215" s="1219">
        <f t="shared" si="261"/>
        <v>0</v>
      </c>
      <c r="AW215" s="1219" t="str">
        <f t="shared" si="262"/>
        <v xml:space="preserve"> </v>
      </c>
      <c r="AX215" s="1219">
        <f t="shared" si="263"/>
        <v>0</v>
      </c>
      <c r="AY215" s="1218">
        <f t="shared" si="264"/>
        <v>0</v>
      </c>
      <c r="AZ215" s="1218">
        <f t="shared" si="265"/>
        <v>0</v>
      </c>
      <c r="BA215" s="1218">
        <f t="shared" si="266"/>
        <v>0</v>
      </c>
      <c r="BB215" s="1218">
        <f t="shared" si="267"/>
        <v>0</v>
      </c>
      <c r="BC215" s="125"/>
      <c r="BF215" s="105">
        <f t="shared" si="238"/>
        <v>691000</v>
      </c>
      <c r="BP215" s="1312">
        <f>+'CY (ALL FUNDS)'!F1126</f>
        <v>0</v>
      </c>
      <c r="BQ215" s="1312">
        <f>+'CY (ALL FUNDS)'!G1126</f>
        <v>691000</v>
      </c>
      <c r="BR215" s="1312">
        <f>+'CY (ALL FUNDS)'!H1126</f>
        <v>0</v>
      </c>
      <c r="BT215" s="111">
        <f t="shared" si="268"/>
        <v>0</v>
      </c>
      <c r="BU215" s="111">
        <f t="shared" si="269"/>
        <v>0</v>
      </c>
      <c r="BV215" s="111">
        <f t="shared" si="270"/>
        <v>0</v>
      </c>
    </row>
    <row r="216" spans="1:74">
      <c r="B216" s="1310"/>
      <c r="C216" s="1218"/>
      <c r="D216" s="1218"/>
      <c r="E216" s="1218"/>
      <c r="F216" s="1218"/>
      <c r="G216" s="1218"/>
      <c r="H216" s="1218"/>
      <c r="I216" s="1218"/>
      <c r="J216" s="1218">
        <f t="shared" si="207"/>
        <v>0</v>
      </c>
      <c r="K216" s="1218">
        <f t="shared" si="202"/>
        <v>0</v>
      </c>
      <c r="L216" s="1218">
        <f t="shared" si="203"/>
        <v>0</v>
      </c>
      <c r="M216" s="1218">
        <f t="shared" si="204"/>
        <v>0</v>
      </c>
      <c r="N216" s="1218">
        <f t="shared" si="205"/>
        <v>0</v>
      </c>
      <c r="O216" s="1218"/>
      <c r="P216" s="1218"/>
      <c r="Q216" s="1218"/>
      <c r="R216" s="1218">
        <f t="shared" si="249"/>
        <v>0</v>
      </c>
      <c r="S216" s="1218"/>
      <c r="T216" s="1218"/>
      <c r="U216" s="1218"/>
      <c r="V216" s="1218"/>
      <c r="W216" s="1304"/>
      <c r="X216" s="1304"/>
      <c r="Y216" s="1304"/>
      <c r="Z216" s="1218">
        <f t="shared" si="250"/>
        <v>0</v>
      </c>
      <c r="AA216" s="1218">
        <f t="shared" si="251"/>
        <v>0</v>
      </c>
      <c r="AB216" s="1218">
        <f t="shared" si="252"/>
        <v>0</v>
      </c>
      <c r="AC216" s="1218">
        <f t="shared" si="253"/>
        <v>0</v>
      </c>
      <c r="AD216" s="1218">
        <f t="shared" si="254"/>
        <v>0</v>
      </c>
      <c r="AE216" s="1304"/>
      <c r="AF216" s="1304"/>
      <c r="AG216" s="1304"/>
      <c r="AH216" s="1218"/>
      <c r="AI216" s="1304"/>
      <c r="AJ216" s="1304"/>
      <c r="AK216" s="1304"/>
      <c r="AL216" s="1218"/>
      <c r="AM216" s="1218"/>
      <c r="AN216" s="1218"/>
      <c r="AO216" s="1218"/>
      <c r="AP216" s="1218">
        <f t="shared" si="255"/>
        <v>0</v>
      </c>
      <c r="AQ216" s="1218">
        <f t="shared" si="256"/>
        <v>0</v>
      </c>
      <c r="AR216" s="1218">
        <f t="shared" si="257"/>
        <v>0</v>
      </c>
      <c r="AS216" s="1218">
        <f t="shared" si="258"/>
        <v>0</v>
      </c>
      <c r="AT216" s="1218">
        <f t="shared" si="259"/>
        <v>0</v>
      </c>
      <c r="AU216" s="1219" t="str">
        <f t="shared" si="260"/>
        <v xml:space="preserve"> </v>
      </c>
      <c r="AV216" s="1219" t="str">
        <f t="shared" si="261"/>
        <v xml:space="preserve"> </v>
      </c>
      <c r="AW216" s="1219" t="str">
        <f t="shared" si="262"/>
        <v xml:space="preserve"> </v>
      </c>
      <c r="AX216" s="1219" t="str">
        <f t="shared" si="263"/>
        <v xml:space="preserve"> </v>
      </c>
      <c r="AY216" s="1218">
        <f t="shared" si="264"/>
        <v>0</v>
      </c>
      <c r="AZ216" s="1218">
        <f t="shared" si="265"/>
        <v>0</v>
      </c>
      <c r="BA216" s="1218">
        <f t="shared" si="266"/>
        <v>0</v>
      </c>
      <c r="BB216" s="1218">
        <f t="shared" si="267"/>
        <v>0</v>
      </c>
      <c r="BC216" s="125"/>
      <c r="BF216" s="105">
        <f t="shared" si="238"/>
        <v>0</v>
      </c>
      <c r="BP216" s="1312"/>
      <c r="BQ216" s="1312"/>
      <c r="BR216" s="1312"/>
    </row>
    <row r="217" spans="1:74" ht="12.75">
      <c r="A217" s="587" t="s">
        <v>938</v>
      </c>
      <c r="B217" s="1305" t="s">
        <v>37</v>
      </c>
      <c r="C217" s="1218">
        <f>SUM(C218:C224)</f>
        <v>370281000</v>
      </c>
      <c r="D217" s="1218">
        <f>SUM(D218:D224)</f>
        <v>304245000</v>
      </c>
      <c r="E217" s="1218">
        <f>SUM(E218:E224)</f>
        <v>0</v>
      </c>
      <c r="F217" s="1218">
        <f t="shared" ref="F217:AO217" si="271">SUM(F218:F224)</f>
        <v>674526000</v>
      </c>
      <c r="G217" s="1218">
        <f t="shared" si="271"/>
        <v>0</v>
      </c>
      <c r="H217" s="1218">
        <f t="shared" si="271"/>
        <v>0</v>
      </c>
      <c r="I217" s="1218">
        <f t="shared" si="271"/>
        <v>0</v>
      </c>
      <c r="J217" s="1218">
        <f t="shared" si="271"/>
        <v>0</v>
      </c>
      <c r="K217" s="1218">
        <f t="shared" si="271"/>
        <v>370281000</v>
      </c>
      <c r="L217" s="1218">
        <f t="shared" si="271"/>
        <v>304245000</v>
      </c>
      <c r="M217" s="1218">
        <f t="shared" si="271"/>
        <v>0</v>
      </c>
      <c r="N217" s="1218">
        <f t="shared" si="271"/>
        <v>674526000</v>
      </c>
      <c r="O217" s="1218">
        <f t="shared" si="271"/>
        <v>370281000</v>
      </c>
      <c r="P217" s="1218">
        <f t="shared" si="271"/>
        <v>304245000</v>
      </c>
      <c r="Q217" s="1218">
        <f t="shared" si="271"/>
        <v>0</v>
      </c>
      <c r="R217" s="1218">
        <f t="shared" si="249"/>
        <v>674526000</v>
      </c>
      <c r="S217" s="1218"/>
      <c r="T217" s="1218"/>
      <c r="U217" s="1218"/>
      <c r="V217" s="1218">
        <f>SUM(V218:V224)</f>
        <v>0</v>
      </c>
      <c r="W217" s="1218">
        <f t="shared" si="271"/>
        <v>0</v>
      </c>
      <c r="X217" s="1218">
        <f t="shared" si="271"/>
        <v>214241681.66</v>
      </c>
      <c r="Y217" s="1218">
        <f t="shared" si="271"/>
        <v>367765968</v>
      </c>
      <c r="Z217" s="1218">
        <f t="shared" si="250"/>
        <v>582007649.65999997</v>
      </c>
      <c r="AA217" s="1218">
        <f t="shared" si="251"/>
        <v>370281000</v>
      </c>
      <c r="AB217" s="1218">
        <f t="shared" si="252"/>
        <v>518486681.65999997</v>
      </c>
      <c r="AC217" s="1218">
        <f t="shared" si="253"/>
        <v>367765968</v>
      </c>
      <c r="AD217" s="1218">
        <f t="shared" si="254"/>
        <v>1256533649.6599998</v>
      </c>
      <c r="AE217" s="1218">
        <f t="shared" si="271"/>
        <v>342464431.40000004</v>
      </c>
      <c r="AF217" s="1218">
        <f>SUM(AF218:AF224)</f>
        <v>236822968.73999998</v>
      </c>
      <c r="AG217" s="1218">
        <f>SUM(AG218:AG224)</f>
        <v>0</v>
      </c>
      <c r="AH217" s="1218">
        <f t="shared" si="271"/>
        <v>579287400.1400001</v>
      </c>
      <c r="AI217" s="1218">
        <f t="shared" si="271"/>
        <v>0</v>
      </c>
      <c r="AJ217" s="1218">
        <f t="shared" si="271"/>
        <v>150138349.23999998</v>
      </c>
      <c r="AK217" s="1218">
        <f t="shared" si="271"/>
        <v>217026257.72999999</v>
      </c>
      <c r="AL217" s="1218">
        <f t="shared" si="271"/>
        <v>367164606.96999997</v>
      </c>
      <c r="AM217" s="1218">
        <f t="shared" si="271"/>
        <v>342464431.40000004</v>
      </c>
      <c r="AN217" s="1218">
        <f t="shared" si="271"/>
        <v>386961317.97999996</v>
      </c>
      <c r="AO217" s="1218">
        <f t="shared" si="271"/>
        <v>217026257.72999999</v>
      </c>
      <c r="AP217" s="1218">
        <f t="shared" si="255"/>
        <v>946452007.11000001</v>
      </c>
      <c r="AQ217" s="1218">
        <f t="shared" si="256"/>
        <v>27816568.599999964</v>
      </c>
      <c r="AR217" s="1218">
        <f t="shared" si="257"/>
        <v>131525363.68000001</v>
      </c>
      <c r="AS217" s="1218">
        <f t="shared" si="258"/>
        <v>150739710.27000001</v>
      </c>
      <c r="AT217" s="1218">
        <f t="shared" si="259"/>
        <v>310081642.54999995</v>
      </c>
      <c r="AU217" s="1219">
        <f t="shared" si="260"/>
        <v>0.92487713763331103</v>
      </c>
      <c r="AV217" s="1219">
        <f t="shared" si="261"/>
        <v>0.74632836612330122</v>
      </c>
      <c r="AW217" s="1219">
        <f t="shared" si="262"/>
        <v>0.59012055658722606</v>
      </c>
      <c r="AX217" s="1219">
        <f t="shared" si="263"/>
        <v>0.75322456136856863</v>
      </c>
      <c r="AY217" s="1218">
        <f t="shared" si="264"/>
        <v>0</v>
      </c>
      <c r="AZ217" s="1218">
        <f t="shared" si="265"/>
        <v>0</v>
      </c>
      <c r="BA217" s="1218">
        <f t="shared" si="266"/>
        <v>0</v>
      </c>
      <c r="BB217" s="1218">
        <f t="shared" si="267"/>
        <v>0</v>
      </c>
      <c r="BC217" s="125"/>
      <c r="BF217" s="105">
        <f t="shared" si="238"/>
        <v>67422031.26000002</v>
      </c>
      <c r="BP217" s="1313"/>
      <c r="BQ217" s="1313"/>
      <c r="BR217" s="1313"/>
    </row>
    <row r="218" spans="1:74" ht="36">
      <c r="A218" s="587" t="s">
        <v>938</v>
      </c>
      <c r="B218" s="1306" t="s">
        <v>534</v>
      </c>
      <c r="C218" s="1218">
        <v>28640000</v>
      </c>
      <c r="D218" s="1218">
        <v>5136000</v>
      </c>
      <c r="E218" s="1218">
        <v>0</v>
      </c>
      <c r="F218" s="1218">
        <f t="shared" si="206"/>
        <v>33776000</v>
      </c>
      <c r="G218" s="1218"/>
      <c r="H218" s="1218"/>
      <c r="I218" s="1218"/>
      <c r="J218" s="1218">
        <f t="shared" si="207"/>
        <v>0</v>
      </c>
      <c r="K218" s="1218">
        <f t="shared" si="202"/>
        <v>28640000</v>
      </c>
      <c r="L218" s="1218">
        <f t="shared" si="203"/>
        <v>5136000</v>
      </c>
      <c r="M218" s="1218">
        <f t="shared" si="204"/>
        <v>0</v>
      </c>
      <c r="N218" s="1218">
        <f t="shared" si="205"/>
        <v>33776000</v>
      </c>
      <c r="O218" s="1218">
        <v>28640000</v>
      </c>
      <c r="P218" s="1218">
        <v>5136000</v>
      </c>
      <c r="Q218" s="1218">
        <v>0</v>
      </c>
      <c r="R218" s="1218">
        <f t="shared" si="249"/>
        <v>33776000</v>
      </c>
      <c r="S218" s="1218"/>
      <c r="T218" s="1218"/>
      <c r="U218" s="1218"/>
      <c r="V218" s="1218">
        <f t="shared" si="211"/>
        <v>0</v>
      </c>
      <c r="W218" s="1304"/>
      <c r="X218" s="1304"/>
      <c r="Y218" s="1304"/>
      <c r="Z218" s="1218">
        <f t="shared" si="250"/>
        <v>0</v>
      </c>
      <c r="AA218" s="1218">
        <f t="shared" si="251"/>
        <v>28640000</v>
      </c>
      <c r="AB218" s="1218">
        <f t="shared" si="252"/>
        <v>5136000</v>
      </c>
      <c r="AC218" s="1218">
        <f t="shared" si="253"/>
        <v>0</v>
      </c>
      <c r="AD218" s="1218">
        <f t="shared" si="254"/>
        <v>33776000</v>
      </c>
      <c r="AE218" s="1304">
        <f>+'CY (ALL FUNDS)'!J1158</f>
        <v>27423959.040000003</v>
      </c>
      <c r="AF218" s="1304">
        <f>+'CY (ALL FUNDS)'!K1158</f>
        <v>3120285.3699999996</v>
      </c>
      <c r="AG218" s="1304">
        <f>+'CY (ALL FUNDS)'!L1158</f>
        <v>0</v>
      </c>
      <c r="AH218" s="1218">
        <f t="shared" si="208"/>
        <v>30544244.410000004</v>
      </c>
      <c r="AI218" s="1304"/>
      <c r="AJ218" s="1304"/>
      <c r="AK218" s="1304"/>
      <c r="AL218" s="1218">
        <f t="shared" si="209"/>
        <v>0</v>
      </c>
      <c r="AM218" s="1218">
        <f t="shared" ref="AM218:AM224" si="272">+AE218+AI218</f>
        <v>27423959.040000003</v>
      </c>
      <c r="AN218" s="1218">
        <f t="shared" ref="AN218:AN224" si="273">+AF218+AJ218</f>
        <v>3120285.3699999996</v>
      </c>
      <c r="AO218" s="1218">
        <f t="shared" ref="AO218:AO224" si="274">+AG218+AK218</f>
        <v>0</v>
      </c>
      <c r="AP218" s="1218">
        <f t="shared" si="255"/>
        <v>30544244.410000004</v>
      </c>
      <c r="AQ218" s="1218">
        <f t="shared" si="256"/>
        <v>1216040.9599999972</v>
      </c>
      <c r="AR218" s="1218">
        <f t="shared" si="257"/>
        <v>2015714.6300000004</v>
      </c>
      <c r="AS218" s="1218">
        <f t="shared" si="258"/>
        <v>0</v>
      </c>
      <c r="AT218" s="1218">
        <f t="shared" si="259"/>
        <v>3231755.5899999975</v>
      </c>
      <c r="AU218" s="1219">
        <f t="shared" si="260"/>
        <v>0.95754046927374314</v>
      </c>
      <c r="AV218" s="1219">
        <f t="shared" si="261"/>
        <v>0.60753219820872262</v>
      </c>
      <c r="AW218" s="1219" t="str">
        <f t="shared" si="262"/>
        <v xml:space="preserve"> </v>
      </c>
      <c r="AX218" s="1219">
        <f t="shared" si="263"/>
        <v>0.90431798940075803</v>
      </c>
      <c r="AY218" s="1218">
        <f t="shared" si="264"/>
        <v>0</v>
      </c>
      <c r="AZ218" s="1218">
        <f t="shared" si="265"/>
        <v>0</v>
      </c>
      <c r="BA218" s="1218">
        <f t="shared" si="266"/>
        <v>0</v>
      </c>
      <c r="BB218" s="1218">
        <f t="shared" si="267"/>
        <v>0</v>
      </c>
      <c r="BC218" s="125"/>
      <c r="BD218" s="105">
        <f>+AT218-'CY (ALL FUNDS)'!Q1158</f>
        <v>0</v>
      </c>
      <c r="BF218" s="105">
        <f t="shared" si="238"/>
        <v>2015714.6300000004</v>
      </c>
      <c r="BP218" s="1312">
        <f>+'CY (ALL FUNDS)'!F1158</f>
        <v>28640000</v>
      </c>
      <c r="BQ218" s="1312">
        <f>+'CY (ALL FUNDS)'!G1158</f>
        <v>5136000</v>
      </c>
      <c r="BR218" s="1312">
        <f>+'CY (ALL FUNDS)'!H1158</f>
        <v>0</v>
      </c>
      <c r="BT218" s="111">
        <f t="shared" ref="BT218:BT220" si="275">+O218-BP218</f>
        <v>0</v>
      </c>
      <c r="BU218" s="111">
        <f t="shared" ref="BU218:BU220" si="276">+P218-BQ218</f>
        <v>0</v>
      </c>
      <c r="BV218" s="111">
        <f t="shared" ref="BV218:BV220" si="277">+Q218-BR218</f>
        <v>0</v>
      </c>
    </row>
    <row r="219" spans="1:74" ht="12.75">
      <c r="A219" s="587" t="s">
        <v>938</v>
      </c>
      <c r="B219" s="1307" t="s">
        <v>535</v>
      </c>
      <c r="C219" s="1218">
        <v>1936000</v>
      </c>
      <c r="D219" s="1218">
        <v>10659000</v>
      </c>
      <c r="E219" s="1218">
        <v>0</v>
      </c>
      <c r="F219" s="1218">
        <f t="shared" si="206"/>
        <v>12595000</v>
      </c>
      <c r="G219" s="1218"/>
      <c r="H219" s="1218"/>
      <c r="I219" s="1218"/>
      <c r="J219" s="1218">
        <f t="shared" si="207"/>
        <v>0</v>
      </c>
      <c r="K219" s="1218">
        <f t="shared" si="202"/>
        <v>1936000</v>
      </c>
      <c r="L219" s="1218">
        <f t="shared" si="203"/>
        <v>10659000</v>
      </c>
      <c r="M219" s="1218">
        <f t="shared" si="204"/>
        <v>0</v>
      </c>
      <c r="N219" s="1218">
        <f t="shared" si="205"/>
        <v>12595000</v>
      </c>
      <c r="O219" s="1218">
        <v>1936000</v>
      </c>
      <c r="P219" s="1218">
        <v>10659000</v>
      </c>
      <c r="Q219" s="1218">
        <v>0</v>
      </c>
      <c r="R219" s="1218">
        <f t="shared" si="249"/>
        <v>12595000</v>
      </c>
      <c r="S219" s="1218"/>
      <c r="T219" s="1218"/>
      <c r="U219" s="1218"/>
      <c r="V219" s="1218">
        <f t="shared" si="211"/>
        <v>0</v>
      </c>
      <c r="W219" s="1304"/>
      <c r="X219" s="1304"/>
      <c r="Y219" s="1304"/>
      <c r="Z219" s="1218">
        <f t="shared" si="250"/>
        <v>0</v>
      </c>
      <c r="AA219" s="1218">
        <f t="shared" si="251"/>
        <v>1936000</v>
      </c>
      <c r="AB219" s="1218">
        <f t="shared" si="252"/>
        <v>10659000</v>
      </c>
      <c r="AC219" s="1218">
        <f t="shared" si="253"/>
        <v>0</v>
      </c>
      <c r="AD219" s="1218">
        <f t="shared" si="254"/>
        <v>12595000</v>
      </c>
      <c r="AE219" s="1304">
        <f>+'CY (ALL FUNDS)'!J1159</f>
        <v>747037.5</v>
      </c>
      <c r="AF219" s="1304">
        <f>+'CY (ALL FUNDS)'!K1159</f>
        <v>5478112.6200000001</v>
      </c>
      <c r="AG219" s="1304">
        <f>+'CY (ALL FUNDS)'!L1159</f>
        <v>0</v>
      </c>
      <c r="AH219" s="1218">
        <f t="shared" si="208"/>
        <v>6225150.1200000001</v>
      </c>
      <c r="AI219" s="1304"/>
      <c r="AJ219" s="1304"/>
      <c r="AK219" s="1304"/>
      <c r="AL219" s="1218">
        <f t="shared" si="209"/>
        <v>0</v>
      </c>
      <c r="AM219" s="1218">
        <f t="shared" si="272"/>
        <v>747037.5</v>
      </c>
      <c r="AN219" s="1218">
        <f t="shared" si="273"/>
        <v>5478112.6200000001</v>
      </c>
      <c r="AO219" s="1218">
        <f t="shared" si="274"/>
        <v>0</v>
      </c>
      <c r="AP219" s="1218">
        <f t="shared" si="255"/>
        <v>6225150.1200000001</v>
      </c>
      <c r="AQ219" s="1218">
        <f t="shared" si="256"/>
        <v>1188962.5</v>
      </c>
      <c r="AR219" s="1218">
        <f t="shared" si="257"/>
        <v>5180887.38</v>
      </c>
      <c r="AS219" s="1218">
        <f t="shared" si="258"/>
        <v>0</v>
      </c>
      <c r="AT219" s="1218">
        <f t="shared" si="259"/>
        <v>6369849.8799999999</v>
      </c>
      <c r="AU219" s="1219">
        <f t="shared" si="260"/>
        <v>0.38586647727272727</v>
      </c>
      <c r="AV219" s="1219">
        <f t="shared" si="261"/>
        <v>0.51394245426400231</v>
      </c>
      <c r="AW219" s="1219" t="str">
        <f t="shared" si="262"/>
        <v xml:space="preserve"> </v>
      </c>
      <c r="AX219" s="1219">
        <f t="shared" si="263"/>
        <v>0.49425566653433906</v>
      </c>
      <c r="AY219" s="1218">
        <f t="shared" si="264"/>
        <v>0</v>
      </c>
      <c r="AZ219" s="1218">
        <f t="shared" si="265"/>
        <v>0</v>
      </c>
      <c r="BA219" s="1218">
        <f t="shared" si="266"/>
        <v>0</v>
      </c>
      <c r="BB219" s="1218">
        <f t="shared" si="267"/>
        <v>0</v>
      </c>
      <c r="BC219" s="125"/>
      <c r="BD219" s="105">
        <f>+AT219-'CY (ALL FUNDS)'!Q1159</f>
        <v>0</v>
      </c>
      <c r="BF219" s="105">
        <f t="shared" si="238"/>
        <v>5180887.38</v>
      </c>
      <c r="BP219" s="1312">
        <f>+'CY (ALL FUNDS)'!F1159</f>
        <v>1936000</v>
      </c>
      <c r="BQ219" s="1312">
        <f>+'CY (ALL FUNDS)'!G1159</f>
        <v>10659000</v>
      </c>
      <c r="BR219" s="1312">
        <f>+'CY (ALL FUNDS)'!H1159</f>
        <v>0</v>
      </c>
      <c r="BT219" s="111">
        <f t="shared" si="275"/>
        <v>0</v>
      </c>
      <c r="BU219" s="111">
        <f t="shared" si="276"/>
        <v>0</v>
      </c>
      <c r="BV219" s="111">
        <f t="shared" si="277"/>
        <v>0</v>
      </c>
    </row>
    <row r="220" spans="1:74" ht="36">
      <c r="A220" s="587" t="s">
        <v>938</v>
      </c>
      <c r="B220" s="1306" t="s">
        <v>536</v>
      </c>
      <c r="C220" s="1218">
        <v>60861000</v>
      </c>
      <c r="D220" s="1218">
        <v>152454000</v>
      </c>
      <c r="E220" s="1218">
        <v>0</v>
      </c>
      <c r="F220" s="1218">
        <f t="shared" si="206"/>
        <v>213315000</v>
      </c>
      <c r="G220" s="1218"/>
      <c r="H220" s="1218"/>
      <c r="I220" s="1218"/>
      <c r="J220" s="1218">
        <f t="shared" si="207"/>
        <v>0</v>
      </c>
      <c r="K220" s="1218">
        <f t="shared" si="202"/>
        <v>60861000</v>
      </c>
      <c r="L220" s="1218">
        <f t="shared" si="203"/>
        <v>152454000</v>
      </c>
      <c r="M220" s="1218">
        <f t="shared" si="204"/>
        <v>0</v>
      </c>
      <c r="N220" s="1218">
        <f t="shared" si="205"/>
        <v>213315000</v>
      </c>
      <c r="O220" s="1218">
        <v>60861000</v>
      </c>
      <c r="P220" s="1218">
        <v>152454000</v>
      </c>
      <c r="Q220" s="1218">
        <v>0</v>
      </c>
      <c r="R220" s="1218">
        <f t="shared" si="249"/>
        <v>213315000</v>
      </c>
      <c r="S220" s="1218"/>
      <c r="T220" s="1218"/>
      <c r="U220" s="1218"/>
      <c r="V220" s="1218">
        <f t="shared" si="211"/>
        <v>0</v>
      </c>
      <c r="W220" s="1304">
        <f>+'CY (ALL FUNDS)'!F1161</f>
        <v>0</v>
      </c>
      <c r="X220" s="1304">
        <f>+'CY (ALL FUNDS)'!G1161</f>
        <v>167546681.66</v>
      </c>
      <c r="Y220" s="1304">
        <f>+'CY (ALL FUNDS)'!H1161</f>
        <v>56285968</v>
      </c>
      <c r="Z220" s="1218">
        <f t="shared" si="250"/>
        <v>223832649.66</v>
      </c>
      <c r="AA220" s="1218">
        <f t="shared" si="251"/>
        <v>60861000</v>
      </c>
      <c r="AB220" s="1218">
        <f t="shared" si="252"/>
        <v>320000681.65999997</v>
      </c>
      <c r="AC220" s="1218">
        <f t="shared" si="253"/>
        <v>56285968</v>
      </c>
      <c r="AD220" s="1218">
        <f t="shared" si="254"/>
        <v>437147649.65999997</v>
      </c>
      <c r="AE220" s="1304">
        <f>+'CY (ALL FUNDS)'!J1160</f>
        <v>54833301.830000006</v>
      </c>
      <c r="AF220" s="1304">
        <f>+'CY (ALL FUNDS)'!K1160</f>
        <v>109380789.28</v>
      </c>
      <c r="AG220" s="1304">
        <f>+'CY (ALL FUNDS)'!L1160</f>
        <v>0</v>
      </c>
      <c r="AH220" s="1218">
        <f t="shared" si="208"/>
        <v>164214091.11000001</v>
      </c>
      <c r="AI220" s="1304">
        <f>+'CY (ALL FUNDS)'!J1161</f>
        <v>0</v>
      </c>
      <c r="AJ220" s="1304">
        <f>+'CY (ALL FUNDS)'!K1161</f>
        <v>110065596.33999999</v>
      </c>
      <c r="AK220" s="1304">
        <f>+'CY (ALL FUNDS)'!L1161</f>
        <v>52012389.670000002</v>
      </c>
      <c r="AL220" s="1218">
        <f t="shared" si="209"/>
        <v>162077986.00999999</v>
      </c>
      <c r="AM220" s="1218">
        <f t="shared" si="272"/>
        <v>54833301.830000006</v>
      </c>
      <c r="AN220" s="1218">
        <f t="shared" si="273"/>
        <v>219446385.62</v>
      </c>
      <c r="AO220" s="1218">
        <f t="shared" si="274"/>
        <v>52012389.670000002</v>
      </c>
      <c r="AP220" s="1218">
        <f t="shared" si="255"/>
        <v>326292077.12</v>
      </c>
      <c r="AQ220" s="1218">
        <f t="shared" si="256"/>
        <v>6027698.1699999943</v>
      </c>
      <c r="AR220" s="1218">
        <f t="shared" si="257"/>
        <v>100554296.03999996</v>
      </c>
      <c r="AS220" s="1218">
        <f t="shared" si="258"/>
        <v>4273578.3299999982</v>
      </c>
      <c r="AT220" s="1218">
        <f t="shared" si="259"/>
        <v>110855572.53999995</v>
      </c>
      <c r="AU220" s="1219">
        <f t="shared" si="260"/>
        <v>0.90095959366425138</v>
      </c>
      <c r="AV220" s="1219">
        <f t="shared" si="261"/>
        <v>0.68576849424702579</v>
      </c>
      <c r="AW220" s="1219">
        <f t="shared" si="262"/>
        <v>0.92407382369261204</v>
      </c>
      <c r="AX220" s="1219">
        <f t="shared" si="263"/>
        <v>0.74641160114615734</v>
      </c>
      <c r="AY220" s="1218">
        <f t="shared" si="264"/>
        <v>0</v>
      </c>
      <c r="AZ220" s="1218">
        <f t="shared" si="265"/>
        <v>0</v>
      </c>
      <c r="BA220" s="1218">
        <f t="shared" si="266"/>
        <v>0</v>
      </c>
      <c r="BB220" s="1218">
        <f t="shared" si="267"/>
        <v>0</v>
      </c>
      <c r="BC220" s="125"/>
      <c r="BD220" s="105">
        <f>+AT220-'CY (ALL FUNDS)'!Q1160-'CY (ALL FUNDS)'!Q1161</f>
        <v>0</v>
      </c>
      <c r="BF220" s="105">
        <f t="shared" si="238"/>
        <v>43073210.719999999</v>
      </c>
      <c r="BP220" s="1312">
        <f>+'CY (ALL FUNDS)'!F1160</f>
        <v>60861000</v>
      </c>
      <c r="BQ220" s="1312">
        <f>+'CY (ALL FUNDS)'!G1160</f>
        <v>152454000</v>
      </c>
      <c r="BR220" s="1312">
        <f>+'CY (ALL FUNDS)'!H1160</f>
        <v>0</v>
      </c>
      <c r="BT220" s="111">
        <f t="shared" si="275"/>
        <v>0</v>
      </c>
      <c r="BU220" s="111">
        <f t="shared" si="276"/>
        <v>0</v>
      </c>
      <c r="BV220" s="111">
        <f t="shared" si="277"/>
        <v>0</v>
      </c>
    </row>
    <row r="221" spans="1:74" ht="12.75">
      <c r="A221" s="587" t="s">
        <v>938</v>
      </c>
      <c r="B221" s="1307" t="s">
        <v>537</v>
      </c>
      <c r="C221" s="1218">
        <v>0</v>
      </c>
      <c r="D221" s="1218">
        <v>0</v>
      </c>
      <c r="E221" s="1218">
        <v>0</v>
      </c>
      <c r="F221" s="1218">
        <f t="shared" si="206"/>
        <v>0</v>
      </c>
      <c r="G221" s="1218"/>
      <c r="H221" s="1218"/>
      <c r="I221" s="1218"/>
      <c r="J221" s="1218">
        <f t="shared" si="207"/>
        <v>0</v>
      </c>
      <c r="K221" s="1218">
        <f t="shared" si="202"/>
        <v>0</v>
      </c>
      <c r="L221" s="1218">
        <f t="shared" si="203"/>
        <v>0</v>
      </c>
      <c r="M221" s="1218">
        <f t="shared" si="204"/>
        <v>0</v>
      </c>
      <c r="N221" s="1218">
        <f t="shared" si="205"/>
        <v>0</v>
      </c>
      <c r="O221" s="1218">
        <v>0</v>
      </c>
      <c r="P221" s="1218">
        <v>0</v>
      </c>
      <c r="Q221" s="1218">
        <v>0</v>
      </c>
      <c r="R221" s="1218">
        <f t="shared" si="249"/>
        <v>0</v>
      </c>
      <c r="S221" s="1218"/>
      <c r="T221" s="1218"/>
      <c r="U221" s="1218"/>
      <c r="V221" s="1218">
        <f t="shared" si="211"/>
        <v>0</v>
      </c>
      <c r="W221" s="1304"/>
      <c r="X221" s="1304"/>
      <c r="Y221" s="1304"/>
      <c r="Z221" s="1218">
        <f t="shared" si="250"/>
        <v>0</v>
      </c>
      <c r="AA221" s="1218">
        <f t="shared" si="251"/>
        <v>0</v>
      </c>
      <c r="AB221" s="1218">
        <f t="shared" si="252"/>
        <v>0</v>
      </c>
      <c r="AC221" s="1218">
        <f t="shared" si="253"/>
        <v>0</v>
      </c>
      <c r="AD221" s="1218">
        <f t="shared" si="254"/>
        <v>0</v>
      </c>
      <c r="AE221" s="1304"/>
      <c r="AF221" s="1304"/>
      <c r="AG221" s="1304"/>
      <c r="AH221" s="1218">
        <f t="shared" si="208"/>
        <v>0</v>
      </c>
      <c r="AI221" s="1304"/>
      <c r="AJ221" s="1304"/>
      <c r="AK221" s="1304"/>
      <c r="AL221" s="1218">
        <f t="shared" si="209"/>
        <v>0</v>
      </c>
      <c r="AM221" s="1218">
        <f t="shared" si="272"/>
        <v>0</v>
      </c>
      <c r="AN221" s="1218">
        <f t="shared" si="273"/>
        <v>0</v>
      </c>
      <c r="AO221" s="1218">
        <f t="shared" si="274"/>
        <v>0</v>
      </c>
      <c r="AP221" s="1218">
        <f t="shared" si="255"/>
        <v>0</v>
      </c>
      <c r="AQ221" s="1218">
        <f t="shared" si="256"/>
        <v>0</v>
      </c>
      <c r="AR221" s="1218">
        <f t="shared" si="257"/>
        <v>0</v>
      </c>
      <c r="AS221" s="1218">
        <f t="shared" si="258"/>
        <v>0</v>
      </c>
      <c r="AT221" s="1218">
        <f t="shared" si="259"/>
        <v>0</v>
      </c>
      <c r="AU221" s="1219" t="str">
        <f t="shared" si="260"/>
        <v xml:space="preserve"> </v>
      </c>
      <c r="AV221" s="1219" t="str">
        <f t="shared" si="261"/>
        <v xml:space="preserve"> </v>
      </c>
      <c r="AW221" s="1219" t="str">
        <f t="shared" si="262"/>
        <v xml:space="preserve"> </v>
      </c>
      <c r="AX221" s="1219" t="str">
        <f t="shared" si="263"/>
        <v xml:space="preserve"> </v>
      </c>
      <c r="AY221" s="1218">
        <f t="shared" si="264"/>
        <v>0</v>
      </c>
      <c r="AZ221" s="1218">
        <f t="shared" si="265"/>
        <v>0</v>
      </c>
      <c r="BA221" s="1218">
        <f t="shared" si="266"/>
        <v>0</v>
      </c>
      <c r="BB221" s="1218">
        <f t="shared" si="267"/>
        <v>0</v>
      </c>
      <c r="BC221" s="125"/>
      <c r="BF221" s="105">
        <f t="shared" si="238"/>
        <v>0</v>
      </c>
      <c r="BP221" s="1312"/>
      <c r="BQ221" s="1312"/>
      <c r="BR221" s="1312"/>
    </row>
    <row r="222" spans="1:74" ht="36">
      <c r="A222" s="587" t="s">
        <v>938</v>
      </c>
      <c r="B222" s="1308" t="s">
        <v>584</v>
      </c>
      <c r="C222" s="1218">
        <v>154484000</v>
      </c>
      <c r="D222" s="1218">
        <v>85131000</v>
      </c>
      <c r="E222" s="1218">
        <v>0</v>
      </c>
      <c r="F222" s="1218">
        <f t="shared" si="206"/>
        <v>239615000</v>
      </c>
      <c r="G222" s="1218"/>
      <c r="H222" s="1218"/>
      <c r="I222" s="1218"/>
      <c r="J222" s="1218">
        <f t="shared" si="207"/>
        <v>0</v>
      </c>
      <c r="K222" s="1218">
        <f t="shared" si="202"/>
        <v>154484000</v>
      </c>
      <c r="L222" s="1218">
        <f t="shared" si="203"/>
        <v>85131000</v>
      </c>
      <c r="M222" s="1218">
        <f t="shared" si="204"/>
        <v>0</v>
      </c>
      <c r="N222" s="1218">
        <f t="shared" si="205"/>
        <v>239615000</v>
      </c>
      <c r="O222" s="1218">
        <v>154484000</v>
      </c>
      <c r="P222" s="1218">
        <v>85131000</v>
      </c>
      <c r="Q222" s="1218">
        <v>0</v>
      </c>
      <c r="R222" s="1218">
        <f t="shared" si="249"/>
        <v>239615000</v>
      </c>
      <c r="S222" s="1218"/>
      <c r="T222" s="1218"/>
      <c r="U222" s="1218"/>
      <c r="V222" s="1218">
        <f t="shared" si="211"/>
        <v>0</v>
      </c>
      <c r="W222" s="1304">
        <f>+'CY (ALL FUNDS)'!F1177</f>
        <v>0</v>
      </c>
      <c r="X222" s="1304">
        <f>+'CY (ALL FUNDS)'!G1177</f>
        <v>28031000</v>
      </c>
      <c r="Y222" s="1304">
        <f>+'CY (ALL FUNDS)'!H1177</f>
        <v>185000000</v>
      </c>
      <c r="Z222" s="1218">
        <f t="shared" si="250"/>
        <v>213031000</v>
      </c>
      <c r="AA222" s="1218">
        <f t="shared" si="251"/>
        <v>154484000</v>
      </c>
      <c r="AB222" s="1218">
        <f t="shared" si="252"/>
        <v>113162000</v>
      </c>
      <c r="AC222" s="1218">
        <f t="shared" si="253"/>
        <v>185000000</v>
      </c>
      <c r="AD222" s="1218">
        <f t="shared" si="254"/>
        <v>452646000</v>
      </c>
      <c r="AE222" s="1304">
        <f>+'CY (ALL FUNDS)'!J1176</f>
        <v>145994854.17000005</v>
      </c>
      <c r="AF222" s="1304">
        <f>+'CY (ALL FUNDS)'!K1176</f>
        <v>72613813.499999985</v>
      </c>
      <c r="AG222" s="1304">
        <f>+'CY (ALL FUNDS)'!L1176</f>
        <v>0</v>
      </c>
      <c r="AH222" s="1218">
        <f t="shared" si="208"/>
        <v>218608667.67000002</v>
      </c>
      <c r="AI222" s="1304">
        <f>+'CY (ALL FUNDS)'!J1177</f>
        <v>0</v>
      </c>
      <c r="AJ222" s="1304">
        <f>+'CY (ALL FUNDS)'!K1177</f>
        <v>24615393.029999994</v>
      </c>
      <c r="AK222" s="1304">
        <f>+'CY (ALL FUNDS)'!L1177</f>
        <v>43251746.239999995</v>
      </c>
      <c r="AL222" s="1218">
        <f t="shared" si="209"/>
        <v>67867139.269999981</v>
      </c>
      <c r="AM222" s="1218">
        <f t="shared" si="272"/>
        <v>145994854.17000005</v>
      </c>
      <c r="AN222" s="1218">
        <f t="shared" si="273"/>
        <v>97229206.529999971</v>
      </c>
      <c r="AO222" s="1218">
        <f t="shared" si="274"/>
        <v>43251746.239999995</v>
      </c>
      <c r="AP222" s="1218">
        <f t="shared" si="255"/>
        <v>286475806.94</v>
      </c>
      <c r="AQ222" s="1218">
        <f t="shared" si="256"/>
        <v>8489145.8299999535</v>
      </c>
      <c r="AR222" s="1218">
        <f t="shared" si="257"/>
        <v>15932793.470000029</v>
      </c>
      <c r="AS222" s="1218">
        <f t="shared" si="258"/>
        <v>141748253.75999999</v>
      </c>
      <c r="AT222" s="1218">
        <f t="shared" si="259"/>
        <v>166170193.05999997</v>
      </c>
      <c r="AU222" s="1219">
        <f t="shared" si="260"/>
        <v>0.94504838151523818</v>
      </c>
      <c r="AV222" s="1219">
        <f t="shared" si="261"/>
        <v>0.85920367729449787</v>
      </c>
      <c r="AW222" s="1219">
        <f t="shared" si="262"/>
        <v>0.23379322291891888</v>
      </c>
      <c r="AX222" s="1219">
        <f t="shared" si="263"/>
        <v>0.63289150227771818</v>
      </c>
      <c r="AY222" s="1218">
        <f t="shared" si="264"/>
        <v>0</v>
      </c>
      <c r="AZ222" s="1218">
        <f t="shared" si="265"/>
        <v>0</v>
      </c>
      <c r="BA222" s="1218">
        <f t="shared" si="266"/>
        <v>0</v>
      </c>
      <c r="BB222" s="1218">
        <f t="shared" si="267"/>
        <v>0</v>
      </c>
      <c r="BC222" s="125"/>
      <c r="BF222" s="105">
        <f t="shared" si="238"/>
        <v>12517186.500000015</v>
      </c>
      <c r="BP222" s="1312">
        <f>+'CY (ALL FUNDS)'!F1176</f>
        <v>154484000</v>
      </c>
      <c r="BQ222" s="1312">
        <f>+'CY (ALL FUNDS)'!G1176</f>
        <v>85131000</v>
      </c>
      <c r="BR222" s="1312">
        <f>+'CY (ALL FUNDS)'!H1176</f>
        <v>0</v>
      </c>
      <c r="BT222" s="111">
        <f t="shared" ref="BT222:BT224" si="278">+O222-BP222</f>
        <v>0</v>
      </c>
      <c r="BU222" s="111">
        <f t="shared" ref="BU222:BU224" si="279">+P222-BQ222</f>
        <v>0</v>
      </c>
      <c r="BV222" s="111">
        <f t="shared" ref="BV222:BV224" si="280">+Q222-BR222</f>
        <v>0</v>
      </c>
    </row>
    <row r="223" spans="1:74" ht="36">
      <c r="A223" s="587" t="s">
        <v>938</v>
      </c>
      <c r="B223" s="1308" t="s">
        <v>585</v>
      </c>
      <c r="C223" s="1218">
        <v>78777000</v>
      </c>
      <c r="D223" s="1218">
        <v>26520000</v>
      </c>
      <c r="E223" s="1218">
        <v>0</v>
      </c>
      <c r="F223" s="1218">
        <f t="shared" si="206"/>
        <v>105297000</v>
      </c>
      <c r="G223" s="1218"/>
      <c r="H223" s="1218"/>
      <c r="I223" s="1218"/>
      <c r="J223" s="1218">
        <f t="shared" si="207"/>
        <v>0</v>
      </c>
      <c r="K223" s="1218">
        <f t="shared" si="202"/>
        <v>78777000</v>
      </c>
      <c r="L223" s="1218">
        <f t="shared" si="203"/>
        <v>26520000</v>
      </c>
      <c r="M223" s="1218">
        <f t="shared" si="204"/>
        <v>0</v>
      </c>
      <c r="N223" s="1218">
        <f t="shared" si="205"/>
        <v>105297000</v>
      </c>
      <c r="O223" s="1218">
        <v>78777000</v>
      </c>
      <c r="P223" s="1218">
        <v>26520000</v>
      </c>
      <c r="Q223" s="1218">
        <v>0</v>
      </c>
      <c r="R223" s="1218">
        <f t="shared" si="249"/>
        <v>105297000</v>
      </c>
      <c r="S223" s="1218"/>
      <c r="T223" s="1218"/>
      <c r="U223" s="1218"/>
      <c r="V223" s="1218">
        <f t="shared" si="211"/>
        <v>0</v>
      </c>
      <c r="W223" s="1304">
        <f>+'CY (ALL FUNDS)'!F1192</f>
        <v>0</v>
      </c>
      <c r="X223" s="1304">
        <f>+'CY (ALL FUNDS)'!G1192</f>
        <v>12212000</v>
      </c>
      <c r="Y223" s="1304">
        <f>+'CY (ALL FUNDS)'!H1192</f>
        <v>100000000</v>
      </c>
      <c r="Z223" s="1218">
        <f t="shared" si="250"/>
        <v>112212000</v>
      </c>
      <c r="AA223" s="1218">
        <f t="shared" si="251"/>
        <v>78777000</v>
      </c>
      <c r="AB223" s="1218">
        <f t="shared" si="252"/>
        <v>38732000</v>
      </c>
      <c r="AC223" s="1218">
        <f t="shared" si="253"/>
        <v>100000000</v>
      </c>
      <c r="AD223" s="1218">
        <f t="shared" si="254"/>
        <v>217509000</v>
      </c>
      <c r="AE223" s="1304">
        <f>+'CY (ALL FUNDS)'!J1191</f>
        <v>71400655.399999991</v>
      </c>
      <c r="AF223" s="1304">
        <f>+'CY (ALL FUNDS)'!K1191</f>
        <v>24484625.690000005</v>
      </c>
      <c r="AG223" s="1304">
        <f>+'CY (ALL FUNDS)'!L1191</f>
        <v>0</v>
      </c>
      <c r="AH223" s="1218">
        <f t="shared" si="208"/>
        <v>95885281.090000004</v>
      </c>
      <c r="AI223" s="1304">
        <f>+'CY (ALL FUNDS)'!J1192</f>
        <v>0</v>
      </c>
      <c r="AJ223" s="1304">
        <f>+'CY (ALL FUNDS)'!K1192</f>
        <v>9431586.75</v>
      </c>
      <c r="AK223" s="1304">
        <f>+'CY (ALL FUNDS)'!L1192</f>
        <v>99791217.060000002</v>
      </c>
      <c r="AL223" s="1218">
        <f t="shared" si="209"/>
        <v>109222803.81</v>
      </c>
      <c r="AM223" s="1218">
        <f t="shared" si="272"/>
        <v>71400655.399999991</v>
      </c>
      <c r="AN223" s="1218">
        <f t="shared" si="273"/>
        <v>33916212.440000005</v>
      </c>
      <c r="AO223" s="1218">
        <f t="shared" si="274"/>
        <v>99791217.060000002</v>
      </c>
      <c r="AP223" s="1218">
        <f t="shared" si="255"/>
        <v>205108084.90000001</v>
      </c>
      <c r="AQ223" s="1218">
        <f t="shared" si="256"/>
        <v>7376344.6000000089</v>
      </c>
      <c r="AR223" s="1218">
        <f t="shared" si="257"/>
        <v>4815787.5599999949</v>
      </c>
      <c r="AS223" s="1218">
        <f t="shared" si="258"/>
        <v>208782.93999999762</v>
      </c>
      <c r="AT223" s="1218">
        <f t="shared" si="259"/>
        <v>12400915.100000001</v>
      </c>
      <c r="AU223" s="1219">
        <f t="shared" si="260"/>
        <v>0.90636423575409053</v>
      </c>
      <c r="AV223" s="1219">
        <f t="shared" si="261"/>
        <v>0.87566385521016232</v>
      </c>
      <c r="AW223" s="1219">
        <f t="shared" si="262"/>
        <v>0.99791217060000004</v>
      </c>
      <c r="AX223" s="1219">
        <f t="shared" si="263"/>
        <v>0.94298665756359512</v>
      </c>
      <c r="AY223" s="1218">
        <f t="shared" si="264"/>
        <v>0</v>
      </c>
      <c r="AZ223" s="1218">
        <f t="shared" si="265"/>
        <v>0</v>
      </c>
      <c r="BA223" s="1218">
        <f t="shared" si="266"/>
        <v>0</v>
      </c>
      <c r="BB223" s="1218">
        <f t="shared" si="267"/>
        <v>0</v>
      </c>
      <c r="BC223" s="125"/>
      <c r="BF223" s="105">
        <f t="shared" si="238"/>
        <v>2035374.3099999949</v>
      </c>
      <c r="BP223" s="1312">
        <f>+'CY (ALL FUNDS)'!F1191</f>
        <v>78777000</v>
      </c>
      <c r="BQ223" s="1312">
        <f>+'CY (ALL FUNDS)'!G1191</f>
        <v>26520000</v>
      </c>
      <c r="BR223" s="1312">
        <f>+'CY (ALL FUNDS)'!H1191</f>
        <v>0</v>
      </c>
      <c r="BT223" s="111">
        <f t="shared" si="278"/>
        <v>0</v>
      </c>
      <c r="BU223" s="111">
        <f t="shared" si="279"/>
        <v>0</v>
      </c>
      <c r="BV223" s="111">
        <f t="shared" si="280"/>
        <v>0</v>
      </c>
    </row>
    <row r="224" spans="1:74" ht="36">
      <c r="A224" s="587" t="s">
        <v>938</v>
      </c>
      <c r="B224" s="1308" t="s">
        <v>586</v>
      </c>
      <c r="C224" s="1218">
        <v>45583000</v>
      </c>
      <c r="D224" s="1218">
        <v>24345000</v>
      </c>
      <c r="E224" s="1218">
        <v>0</v>
      </c>
      <c r="F224" s="1218">
        <f t="shared" si="206"/>
        <v>69928000</v>
      </c>
      <c r="G224" s="1218"/>
      <c r="H224" s="1218"/>
      <c r="I224" s="1218"/>
      <c r="J224" s="1218">
        <f t="shared" si="207"/>
        <v>0</v>
      </c>
      <c r="K224" s="1218">
        <f t="shared" si="202"/>
        <v>45583000</v>
      </c>
      <c r="L224" s="1218">
        <f t="shared" si="203"/>
        <v>24345000</v>
      </c>
      <c r="M224" s="1218">
        <f t="shared" si="204"/>
        <v>0</v>
      </c>
      <c r="N224" s="1218">
        <f t="shared" si="205"/>
        <v>69928000</v>
      </c>
      <c r="O224" s="1218">
        <v>45583000</v>
      </c>
      <c r="P224" s="1218">
        <v>24345000</v>
      </c>
      <c r="Q224" s="1218">
        <v>0</v>
      </c>
      <c r="R224" s="1218">
        <f t="shared" si="249"/>
        <v>69928000</v>
      </c>
      <c r="S224" s="1218"/>
      <c r="T224" s="1218"/>
      <c r="U224" s="1218"/>
      <c r="V224" s="1218">
        <f t="shared" si="211"/>
        <v>0</v>
      </c>
      <c r="W224" s="1304">
        <f>+'CY (ALL FUNDS)'!F1207</f>
        <v>0</v>
      </c>
      <c r="X224" s="1304">
        <f>+'CY (ALL FUNDS)'!G1207</f>
        <v>6452000</v>
      </c>
      <c r="Y224" s="1304">
        <f>+'CY (ALL FUNDS)'!H1207</f>
        <v>26480000</v>
      </c>
      <c r="Z224" s="1218">
        <f t="shared" si="250"/>
        <v>32932000</v>
      </c>
      <c r="AA224" s="1218">
        <f t="shared" si="251"/>
        <v>45583000</v>
      </c>
      <c r="AB224" s="1218">
        <f t="shared" si="252"/>
        <v>30797000</v>
      </c>
      <c r="AC224" s="1218">
        <f t="shared" si="253"/>
        <v>26480000</v>
      </c>
      <c r="AD224" s="1218">
        <f t="shared" si="254"/>
        <v>102860000</v>
      </c>
      <c r="AE224" s="1304">
        <f>+'CY (ALL FUNDS)'!J1206</f>
        <v>42064623.460000001</v>
      </c>
      <c r="AF224" s="1304">
        <f>+'CY (ALL FUNDS)'!K1206</f>
        <v>21745342.280000001</v>
      </c>
      <c r="AG224" s="1304">
        <f>+'CY (ALL FUNDS)'!L1206</f>
        <v>0</v>
      </c>
      <c r="AH224" s="1218">
        <f t="shared" si="208"/>
        <v>63809965.740000002</v>
      </c>
      <c r="AI224" s="1304">
        <f>+'CY (ALL FUNDS)'!J1207</f>
        <v>0</v>
      </c>
      <c r="AJ224" s="1304">
        <f>+'CY (ALL FUNDS)'!K1207</f>
        <v>6025773.1200000001</v>
      </c>
      <c r="AK224" s="1304">
        <f>+'CY (ALL FUNDS)'!L1207</f>
        <v>21970904.759999998</v>
      </c>
      <c r="AL224" s="1218">
        <f t="shared" si="209"/>
        <v>27996677.879999999</v>
      </c>
      <c r="AM224" s="1218">
        <f t="shared" si="272"/>
        <v>42064623.460000001</v>
      </c>
      <c r="AN224" s="1218">
        <f t="shared" si="273"/>
        <v>27771115.400000002</v>
      </c>
      <c r="AO224" s="1218">
        <f t="shared" si="274"/>
        <v>21970904.759999998</v>
      </c>
      <c r="AP224" s="1218">
        <f t="shared" si="255"/>
        <v>91806643.620000005</v>
      </c>
      <c r="AQ224" s="1218">
        <f t="shared" si="256"/>
        <v>3518376.5399999991</v>
      </c>
      <c r="AR224" s="1218">
        <f t="shared" si="257"/>
        <v>3025884.5999999978</v>
      </c>
      <c r="AS224" s="1218">
        <f t="shared" si="258"/>
        <v>4509095.2400000021</v>
      </c>
      <c r="AT224" s="1218">
        <f t="shared" si="259"/>
        <v>11053356.379999999</v>
      </c>
      <c r="AU224" s="1219">
        <f t="shared" si="260"/>
        <v>0.9228138441963013</v>
      </c>
      <c r="AV224" s="1219">
        <f t="shared" si="261"/>
        <v>0.90174742345033609</v>
      </c>
      <c r="AW224" s="1219">
        <f t="shared" si="262"/>
        <v>0.82971694712990929</v>
      </c>
      <c r="AX224" s="1219">
        <f t="shared" si="263"/>
        <v>0.892539797977834</v>
      </c>
      <c r="AY224" s="1218">
        <f t="shared" si="264"/>
        <v>0</v>
      </c>
      <c r="AZ224" s="1218">
        <f t="shared" si="265"/>
        <v>0</v>
      </c>
      <c r="BA224" s="1218">
        <f t="shared" si="266"/>
        <v>0</v>
      </c>
      <c r="BB224" s="1218">
        <f t="shared" si="267"/>
        <v>0</v>
      </c>
      <c r="BC224" s="125"/>
      <c r="BF224" s="105">
        <f t="shared" si="238"/>
        <v>2599657.7199999988</v>
      </c>
      <c r="BP224" s="1312">
        <f>+'CY (ALL FUNDS)'!F1206</f>
        <v>45583000</v>
      </c>
      <c r="BQ224" s="1312">
        <f>+'CY (ALL FUNDS)'!G1206</f>
        <v>24345000</v>
      </c>
      <c r="BR224" s="1312">
        <f>+'CY (ALL FUNDS)'!H1206</f>
        <v>0</v>
      </c>
      <c r="BT224" s="111">
        <f t="shared" si="278"/>
        <v>0</v>
      </c>
      <c r="BU224" s="111">
        <f t="shared" si="279"/>
        <v>0</v>
      </c>
      <c r="BV224" s="111">
        <f t="shared" si="280"/>
        <v>0</v>
      </c>
    </row>
    <row r="225" spans="1:74">
      <c r="B225" s="1310"/>
      <c r="C225" s="1218"/>
      <c r="D225" s="1218"/>
      <c r="E225" s="1218"/>
      <c r="F225" s="1218"/>
      <c r="G225" s="1218"/>
      <c r="H225" s="1218"/>
      <c r="I225" s="1218"/>
      <c r="J225" s="1218"/>
      <c r="K225" s="1218"/>
      <c r="L225" s="1218"/>
      <c r="M225" s="1218"/>
      <c r="N225" s="1218"/>
      <c r="O225" s="1218"/>
      <c r="P225" s="1218"/>
      <c r="Q225" s="1218"/>
      <c r="R225" s="1218">
        <f t="shared" si="249"/>
        <v>0</v>
      </c>
      <c r="S225" s="1218"/>
      <c r="T225" s="1218"/>
      <c r="U225" s="1218"/>
      <c r="V225" s="1218"/>
      <c r="W225" s="1304"/>
      <c r="X225" s="1304"/>
      <c r="Y225" s="1304"/>
      <c r="Z225" s="1218">
        <f t="shared" si="250"/>
        <v>0</v>
      </c>
      <c r="AA225" s="1218">
        <f t="shared" si="251"/>
        <v>0</v>
      </c>
      <c r="AB225" s="1218">
        <f t="shared" si="252"/>
        <v>0</v>
      </c>
      <c r="AC225" s="1218">
        <f t="shared" si="253"/>
        <v>0</v>
      </c>
      <c r="AD225" s="1218">
        <f t="shared" si="254"/>
        <v>0</v>
      </c>
      <c r="AE225" s="1304"/>
      <c r="AF225" s="1304"/>
      <c r="AG225" s="1304"/>
      <c r="AH225" s="1218"/>
      <c r="AI225" s="1304"/>
      <c r="AJ225" s="1304"/>
      <c r="AK225" s="1304"/>
      <c r="AL225" s="1218"/>
      <c r="AM225" s="1218"/>
      <c r="AN225" s="1218"/>
      <c r="AO225" s="1218"/>
      <c r="AP225" s="1218">
        <f t="shared" si="255"/>
        <v>0</v>
      </c>
      <c r="AQ225" s="1218">
        <f t="shared" si="256"/>
        <v>0</v>
      </c>
      <c r="AR225" s="1218">
        <f t="shared" si="257"/>
        <v>0</v>
      </c>
      <c r="AS225" s="1218">
        <f t="shared" si="258"/>
        <v>0</v>
      </c>
      <c r="AT225" s="1218">
        <f t="shared" si="259"/>
        <v>0</v>
      </c>
      <c r="AU225" s="1219" t="str">
        <f t="shared" si="260"/>
        <v xml:space="preserve"> </v>
      </c>
      <c r="AV225" s="1219" t="str">
        <f t="shared" si="261"/>
        <v xml:space="preserve"> </v>
      </c>
      <c r="AW225" s="1219" t="str">
        <f t="shared" si="262"/>
        <v xml:space="preserve"> </v>
      </c>
      <c r="AX225" s="1219" t="str">
        <f t="shared" si="263"/>
        <v xml:space="preserve"> </v>
      </c>
      <c r="AY225" s="1218">
        <f t="shared" si="264"/>
        <v>0</v>
      </c>
      <c r="AZ225" s="1218">
        <f t="shared" si="265"/>
        <v>0</v>
      </c>
      <c r="BA225" s="1218">
        <f t="shared" si="266"/>
        <v>0</v>
      </c>
      <c r="BB225" s="1218">
        <f t="shared" si="267"/>
        <v>0</v>
      </c>
      <c r="BC225" s="125"/>
      <c r="BF225" s="105">
        <f t="shared" si="238"/>
        <v>0</v>
      </c>
      <c r="BP225" s="1312"/>
      <c r="BQ225" s="1312"/>
      <c r="BR225" s="1312"/>
    </row>
    <row r="226" spans="1:74" ht="12.75">
      <c r="A226" s="587" t="s">
        <v>938</v>
      </c>
      <c r="B226" s="1305" t="s">
        <v>38</v>
      </c>
      <c r="C226" s="1218">
        <f>SUM(C227:C232)</f>
        <v>424206000</v>
      </c>
      <c r="D226" s="1218">
        <f>SUM(D227:D232)</f>
        <v>273244000</v>
      </c>
      <c r="E226" s="1218">
        <f>SUM(E227:E232)</f>
        <v>0</v>
      </c>
      <c r="F226" s="1218">
        <f t="shared" ref="F226:AO226" si="281">SUM(F227:F232)</f>
        <v>697450000</v>
      </c>
      <c r="G226" s="1218">
        <f t="shared" si="281"/>
        <v>0</v>
      </c>
      <c r="H226" s="1218">
        <f t="shared" si="281"/>
        <v>0</v>
      </c>
      <c r="I226" s="1218">
        <f t="shared" si="281"/>
        <v>0</v>
      </c>
      <c r="J226" s="1218">
        <f t="shared" si="281"/>
        <v>0</v>
      </c>
      <c r="K226" s="1218">
        <f t="shared" si="281"/>
        <v>424206000</v>
      </c>
      <c r="L226" s="1218">
        <f t="shared" si="281"/>
        <v>273244000</v>
      </c>
      <c r="M226" s="1218">
        <f t="shared" si="281"/>
        <v>0</v>
      </c>
      <c r="N226" s="1218">
        <f t="shared" si="281"/>
        <v>697450000</v>
      </c>
      <c r="O226" s="1218">
        <f t="shared" si="281"/>
        <v>424206000</v>
      </c>
      <c r="P226" s="1218">
        <f t="shared" si="281"/>
        <v>273244000</v>
      </c>
      <c r="Q226" s="1218">
        <f t="shared" si="281"/>
        <v>0</v>
      </c>
      <c r="R226" s="1218">
        <f t="shared" si="249"/>
        <v>697450000</v>
      </c>
      <c r="S226" s="1218"/>
      <c r="T226" s="1218"/>
      <c r="U226" s="1218"/>
      <c r="V226" s="1218">
        <f>SUM(V227:V232)</f>
        <v>0</v>
      </c>
      <c r="W226" s="1218">
        <f t="shared" si="281"/>
        <v>0</v>
      </c>
      <c r="X226" s="1218">
        <f t="shared" si="281"/>
        <v>191553986.76999998</v>
      </c>
      <c r="Y226" s="1218">
        <f t="shared" si="281"/>
        <v>228100000</v>
      </c>
      <c r="Z226" s="1218">
        <f t="shared" si="250"/>
        <v>419653986.76999998</v>
      </c>
      <c r="AA226" s="1218">
        <f t="shared" si="251"/>
        <v>424206000</v>
      </c>
      <c r="AB226" s="1218">
        <f t="shared" si="252"/>
        <v>464797986.76999998</v>
      </c>
      <c r="AC226" s="1218">
        <f t="shared" si="253"/>
        <v>228100000</v>
      </c>
      <c r="AD226" s="1218">
        <f t="shared" si="254"/>
        <v>1117103986.77</v>
      </c>
      <c r="AE226" s="1218">
        <f t="shared" si="281"/>
        <v>382258504.67000002</v>
      </c>
      <c r="AF226" s="1218">
        <f t="shared" si="281"/>
        <v>197041996.25999999</v>
      </c>
      <c r="AG226" s="1218">
        <f t="shared" si="281"/>
        <v>0</v>
      </c>
      <c r="AH226" s="1218">
        <f t="shared" si="281"/>
        <v>579300500.93000007</v>
      </c>
      <c r="AI226" s="1218">
        <f t="shared" si="281"/>
        <v>0</v>
      </c>
      <c r="AJ226" s="1218">
        <f t="shared" si="281"/>
        <v>126531744.58999999</v>
      </c>
      <c r="AK226" s="1218">
        <f t="shared" si="281"/>
        <v>213606240.40000001</v>
      </c>
      <c r="AL226" s="1218">
        <f t="shared" si="281"/>
        <v>340137984.98999995</v>
      </c>
      <c r="AM226" s="1218">
        <f t="shared" si="281"/>
        <v>382258504.67000002</v>
      </c>
      <c r="AN226" s="1218">
        <f t="shared" si="281"/>
        <v>323573740.84999996</v>
      </c>
      <c r="AO226" s="1218">
        <f t="shared" si="281"/>
        <v>213606240.40000001</v>
      </c>
      <c r="AP226" s="1218">
        <f t="shared" si="255"/>
        <v>919438485.91999996</v>
      </c>
      <c r="AQ226" s="1218">
        <f t="shared" si="256"/>
        <v>41947495.329999983</v>
      </c>
      <c r="AR226" s="1218">
        <f t="shared" si="257"/>
        <v>141224245.92000002</v>
      </c>
      <c r="AS226" s="1218">
        <f t="shared" si="258"/>
        <v>14493759.599999994</v>
      </c>
      <c r="AT226" s="1218">
        <f t="shared" si="259"/>
        <v>197665500.84999999</v>
      </c>
      <c r="AU226" s="1219">
        <f t="shared" si="260"/>
        <v>0.90111527104755718</v>
      </c>
      <c r="AV226" s="1219">
        <f t="shared" si="261"/>
        <v>0.69615994487970267</v>
      </c>
      <c r="AW226" s="1219">
        <f t="shared" si="262"/>
        <v>0.93645874791757999</v>
      </c>
      <c r="AX226" s="1219">
        <f t="shared" si="263"/>
        <v>0.82305541543940686</v>
      </c>
      <c r="AY226" s="1218">
        <f t="shared" si="264"/>
        <v>0</v>
      </c>
      <c r="AZ226" s="1218">
        <f t="shared" si="265"/>
        <v>0</v>
      </c>
      <c r="BA226" s="1218">
        <f t="shared" si="266"/>
        <v>0</v>
      </c>
      <c r="BB226" s="1218">
        <f t="shared" si="267"/>
        <v>0</v>
      </c>
      <c r="BC226" s="125"/>
      <c r="BF226" s="105">
        <f t="shared" si="238"/>
        <v>76202003.74000001</v>
      </c>
      <c r="BP226" s="1313"/>
      <c r="BQ226" s="1313"/>
      <c r="BR226" s="1313"/>
    </row>
    <row r="227" spans="1:74" ht="36">
      <c r="A227" s="587" t="s">
        <v>938</v>
      </c>
      <c r="B227" s="1306" t="s">
        <v>534</v>
      </c>
      <c r="C227" s="1218">
        <v>35482000</v>
      </c>
      <c r="D227" s="1218">
        <v>13077000</v>
      </c>
      <c r="E227" s="1218">
        <v>0</v>
      </c>
      <c r="F227" s="1218">
        <f t="shared" si="206"/>
        <v>48559000</v>
      </c>
      <c r="G227" s="1218"/>
      <c r="H227" s="1218"/>
      <c r="I227" s="1218"/>
      <c r="J227" s="1218">
        <f t="shared" si="207"/>
        <v>0</v>
      </c>
      <c r="K227" s="1218">
        <f t="shared" si="202"/>
        <v>35482000</v>
      </c>
      <c r="L227" s="1218">
        <f t="shared" si="203"/>
        <v>13077000</v>
      </c>
      <c r="M227" s="1218">
        <f t="shared" si="204"/>
        <v>0</v>
      </c>
      <c r="N227" s="1218">
        <f t="shared" si="205"/>
        <v>48559000</v>
      </c>
      <c r="O227" s="1218">
        <v>35482000</v>
      </c>
      <c r="P227" s="1218">
        <v>13077000</v>
      </c>
      <c r="Q227" s="1218">
        <v>0</v>
      </c>
      <c r="R227" s="1218">
        <f t="shared" si="249"/>
        <v>48559000</v>
      </c>
      <c r="S227" s="1218"/>
      <c r="T227" s="1218"/>
      <c r="U227" s="1218"/>
      <c r="V227" s="1218">
        <f t="shared" si="211"/>
        <v>0</v>
      </c>
      <c r="W227" s="1304"/>
      <c r="X227" s="1304"/>
      <c r="Y227" s="1304"/>
      <c r="Z227" s="1218">
        <f t="shared" si="250"/>
        <v>0</v>
      </c>
      <c r="AA227" s="1218">
        <f t="shared" si="251"/>
        <v>35482000</v>
      </c>
      <c r="AB227" s="1218">
        <f t="shared" si="252"/>
        <v>13077000</v>
      </c>
      <c r="AC227" s="1218">
        <f t="shared" si="253"/>
        <v>0</v>
      </c>
      <c r="AD227" s="1218">
        <f t="shared" si="254"/>
        <v>48559000</v>
      </c>
      <c r="AE227" s="1304">
        <f>+'CY (ALL FUNDS)'!J1238</f>
        <v>15620479.029999997</v>
      </c>
      <c r="AF227" s="1304">
        <f>+'CY (ALL FUNDS)'!K1238</f>
        <v>12995014.970000001</v>
      </c>
      <c r="AG227" s="1304">
        <f>+'CY (ALL FUNDS)'!L1238</f>
        <v>0</v>
      </c>
      <c r="AH227" s="1218">
        <f t="shared" si="208"/>
        <v>28615494</v>
      </c>
      <c r="AI227" s="1304"/>
      <c r="AJ227" s="1304"/>
      <c r="AK227" s="1304"/>
      <c r="AL227" s="1218">
        <f t="shared" si="209"/>
        <v>0</v>
      </c>
      <c r="AM227" s="1218">
        <f t="shared" ref="AM227:AM232" si="282">+AE227+AI227</f>
        <v>15620479.029999997</v>
      </c>
      <c r="AN227" s="1218">
        <f t="shared" ref="AN227:AN232" si="283">+AF227+AJ227</f>
        <v>12995014.970000001</v>
      </c>
      <c r="AO227" s="1218">
        <f t="shared" ref="AO227:AO232" si="284">+AG227+AK227</f>
        <v>0</v>
      </c>
      <c r="AP227" s="1218">
        <f t="shared" si="255"/>
        <v>28615494</v>
      </c>
      <c r="AQ227" s="1218">
        <f t="shared" si="256"/>
        <v>19861520.970000003</v>
      </c>
      <c r="AR227" s="1218">
        <f t="shared" si="257"/>
        <v>81985.029999999329</v>
      </c>
      <c r="AS227" s="1218">
        <f t="shared" si="258"/>
        <v>0</v>
      </c>
      <c r="AT227" s="1218">
        <f t="shared" si="259"/>
        <v>19943506</v>
      </c>
      <c r="AU227" s="1219">
        <f t="shared" si="260"/>
        <v>0.44023671241756379</v>
      </c>
      <c r="AV227" s="1219">
        <f t="shared" si="261"/>
        <v>0.99373059340827408</v>
      </c>
      <c r="AW227" s="1219" t="str">
        <f t="shared" si="262"/>
        <v xml:space="preserve"> </v>
      </c>
      <c r="AX227" s="1219">
        <f t="shared" si="263"/>
        <v>0.58929331328898871</v>
      </c>
      <c r="AY227" s="1218">
        <f t="shared" si="264"/>
        <v>0</v>
      </c>
      <c r="AZ227" s="1218">
        <f t="shared" si="265"/>
        <v>0</v>
      </c>
      <c r="BA227" s="1218">
        <f t="shared" si="266"/>
        <v>0</v>
      </c>
      <c r="BB227" s="1218">
        <f t="shared" si="267"/>
        <v>0</v>
      </c>
      <c r="BC227" s="125"/>
      <c r="BD227" s="105">
        <f>+AT227-'CY (ALL FUNDS)'!Q1238</f>
        <v>0</v>
      </c>
      <c r="BF227" s="105">
        <f t="shared" si="238"/>
        <v>81985.029999999329</v>
      </c>
      <c r="BP227" s="1312">
        <f>+'CY (ALL FUNDS)'!F1238</f>
        <v>35482000</v>
      </c>
      <c r="BQ227" s="1312">
        <f>+'CY (ALL FUNDS)'!G1238</f>
        <v>13077000</v>
      </c>
      <c r="BR227" s="1312">
        <f>+'CY (ALL FUNDS)'!H1238</f>
        <v>0</v>
      </c>
      <c r="BT227" s="111">
        <f t="shared" ref="BT227:BT229" si="285">+O227-BP227</f>
        <v>0</v>
      </c>
      <c r="BU227" s="111">
        <f t="shared" ref="BU227:BU229" si="286">+P227-BQ227</f>
        <v>0</v>
      </c>
      <c r="BV227" s="111">
        <f t="shared" ref="BV227:BV229" si="287">+Q227-BR227</f>
        <v>0</v>
      </c>
    </row>
    <row r="228" spans="1:74" ht="12.75">
      <c r="A228" s="587" t="s">
        <v>938</v>
      </c>
      <c r="B228" s="1307" t="s">
        <v>535</v>
      </c>
      <c r="C228" s="1218">
        <v>388000</v>
      </c>
      <c r="D228" s="1218">
        <v>6937000</v>
      </c>
      <c r="E228" s="1218">
        <v>0</v>
      </c>
      <c r="F228" s="1218">
        <f t="shared" si="206"/>
        <v>7325000</v>
      </c>
      <c r="G228" s="1218"/>
      <c r="H228" s="1218"/>
      <c r="I228" s="1218"/>
      <c r="J228" s="1218">
        <f t="shared" si="207"/>
        <v>0</v>
      </c>
      <c r="K228" s="1218">
        <f t="shared" si="202"/>
        <v>388000</v>
      </c>
      <c r="L228" s="1218">
        <f t="shared" si="203"/>
        <v>6937000</v>
      </c>
      <c r="M228" s="1218">
        <f t="shared" si="204"/>
        <v>0</v>
      </c>
      <c r="N228" s="1218">
        <f t="shared" si="205"/>
        <v>7325000</v>
      </c>
      <c r="O228" s="1218">
        <v>388000</v>
      </c>
      <c r="P228" s="1218">
        <v>6937000</v>
      </c>
      <c r="Q228" s="1218">
        <v>0</v>
      </c>
      <c r="R228" s="1218">
        <f t="shared" si="249"/>
        <v>7325000</v>
      </c>
      <c r="S228" s="1218"/>
      <c r="T228" s="1218"/>
      <c r="U228" s="1218"/>
      <c r="V228" s="1218">
        <f t="shared" si="211"/>
        <v>0</v>
      </c>
      <c r="W228" s="1304"/>
      <c r="X228" s="1304"/>
      <c r="Y228" s="1304"/>
      <c r="Z228" s="1218">
        <f t="shared" si="250"/>
        <v>0</v>
      </c>
      <c r="AA228" s="1218">
        <f t="shared" si="251"/>
        <v>388000</v>
      </c>
      <c r="AB228" s="1218">
        <f t="shared" si="252"/>
        <v>6937000</v>
      </c>
      <c r="AC228" s="1218">
        <f t="shared" si="253"/>
        <v>0</v>
      </c>
      <c r="AD228" s="1218">
        <f t="shared" si="254"/>
        <v>7325000</v>
      </c>
      <c r="AE228" s="1304">
        <f>+'CY (ALL FUNDS)'!J1239</f>
        <v>4291474</v>
      </c>
      <c r="AF228" s="1304">
        <f>+'CY (ALL FUNDS)'!K1239</f>
        <v>4177476.6999999997</v>
      </c>
      <c r="AG228" s="1304">
        <f>+'CY (ALL FUNDS)'!L1239</f>
        <v>0</v>
      </c>
      <c r="AH228" s="1218">
        <f t="shared" si="208"/>
        <v>8468950.6999999993</v>
      </c>
      <c r="AI228" s="1304"/>
      <c r="AJ228" s="1304"/>
      <c r="AK228" s="1304"/>
      <c r="AL228" s="1218">
        <f t="shared" si="209"/>
        <v>0</v>
      </c>
      <c r="AM228" s="1218">
        <f t="shared" si="282"/>
        <v>4291474</v>
      </c>
      <c r="AN228" s="1218">
        <f t="shared" si="283"/>
        <v>4177476.6999999997</v>
      </c>
      <c r="AO228" s="1218">
        <f t="shared" si="284"/>
        <v>0</v>
      </c>
      <c r="AP228" s="1218">
        <f t="shared" si="255"/>
        <v>8468950.6999999993</v>
      </c>
      <c r="AQ228" s="1218">
        <f t="shared" si="256"/>
        <v>-3903474</v>
      </c>
      <c r="AR228" s="1218">
        <f t="shared" si="257"/>
        <v>2759523.3000000003</v>
      </c>
      <c r="AS228" s="1218">
        <f t="shared" si="258"/>
        <v>0</v>
      </c>
      <c r="AT228" s="1218">
        <f t="shared" si="259"/>
        <v>-1143950.6999999997</v>
      </c>
      <c r="AU228" s="1219">
        <f t="shared" si="260"/>
        <v>11.060499999999999</v>
      </c>
      <c r="AV228" s="1219">
        <f t="shared" si="261"/>
        <v>0.60220220556436499</v>
      </c>
      <c r="AW228" s="1219" t="str">
        <f t="shared" si="262"/>
        <v xml:space="preserve"> </v>
      </c>
      <c r="AX228" s="1219">
        <f t="shared" si="263"/>
        <v>1.1561707440273037</v>
      </c>
      <c r="AY228" s="1218">
        <f t="shared" si="264"/>
        <v>0</v>
      </c>
      <c r="AZ228" s="1218">
        <f t="shared" si="265"/>
        <v>0</v>
      </c>
      <c r="BA228" s="1218">
        <f t="shared" si="266"/>
        <v>0</v>
      </c>
      <c r="BB228" s="1218">
        <f t="shared" si="267"/>
        <v>0</v>
      </c>
      <c r="BC228" s="125"/>
      <c r="BD228" s="105">
        <f>+AT228-'CY (ALL FUNDS)'!Q1239</f>
        <v>0</v>
      </c>
      <c r="BF228" s="105">
        <f t="shared" si="238"/>
        <v>2759523.3000000003</v>
      </c>
      <c r="BP228" s="1312">
        <f>+'CY (ALL FUNDS)'!F1239</f>
        <v>388000</v>
      </c>
      <c r="BQ228" s="1312">
        <f>+'CY (ALL FUNDS)'!G1239</f>
        <v>6937000</v>
      </c>
      <c r="BR228" s="1312">
        <f>+'CY (ALL FUNDS)'!H1239</f>
        <v>0</v>
      </c>
      <c r="BT228" s="111">
        <f t="shared" si="285"/>
        <v>0</v>
      </c>
      <c r="BU228" s="111">
        <f t="shared" si="286"/>
        <v>0</v>
      </c>
      <c r="BV228" s="111">
        <f t="shared" si="287"/>
        <v>0</v>
      </c>
    </row>
    <row r="229" spans="1:74" ht="36">
      <c r="A229" s="587" t="s">
        <v>938</v>
      </c>
      <c r="B229" s="1306" t="s">
        <v>536</v>
      </c>
      <c r="C229" s="1218">
        <v>41385000</v>
      </c>
      <c r="D229" s="1218">
        <v>153257000</v>
      </c>
      <c r="E229" s="1218">
        <v>0</v>
      </c>
      <c r="F229" s="1218">
        <f t="shared" si="206"/>
        <v>194642000</v>
      </c>
      <c r="G229" s="1218"/>
      <c r="H229" s="1218"/>
      <c r="I229" s="1218"/>
      <c r="J229" s="1218">
        <f t="shared" si="207"/>
        <v>0</v>
      </c>
      <c r="K229" s="1218">
        <f t="shared" si="202"/>
        <v>41385000</v>
      </c>
      <c r="L229" s="1218">
        <f t="shared" si="203"/>
        <v>153257000</v>
      </c>
      <c r="M229" s="1218">
        <f t="shared" si="204"/>
        <v>0</v>
      </c>
      <c r="N229" s="1218">
        <f t="shared" si="205"/>
        <v>194642000</v>
      </c>
      <c r="O229" s="1218">
        <v>41385000</v>
      </c>
      <c r="P229" s="1218">
        <v>153257000</v>
      </c>
      <c r="Q229" s="1218">
        <v>0</v>
      </c>
      <c r="R229" s="1218">
        <f t="shared" si="249"/>
        <v>194642000</v>
      </c>
      <c r="S229" s="1218"/>
      <c r="T229" s="1218"/>
      <c r="U229" s="1218"/>
      <c r="V229" s="1218">
        <f t="shared" si="211"/>
        <v>0</v>
      </c>
      <c r="W229" s="1304">
        <f>+'CY (ALL FUNDS)'!F1241</f>
        <v>0</v>
      </c>
      <c r="X229" s="1304">
        <f>+'CY (ALL FUNDS)'!G1241</f>
        <v>107856391.77</v>
      </c>
      <c r="Y229" s="1304">
        <f>+'CY (ALL FUNDS)'!H1241</f>
        <v>72100000</v>
      </c>
      <c r="Z229" s="1218">
        <f t="shared" si="250"/>
        <v>179956391.76999998</v>
      </c>
      <c r="AA229" s="1218">
        <f t="shared" si="251"/>
        <v>41385000</v>
      </c>
      <c r="AB229" s="1218">
        <f t="shared" si="252"/>
        <v>261113391.76999998</v>
      </c>
      <c r="AC229" s="1218">
        <f t="shared" si="253"/>
        <v>72100000</v>
      </c>
      <c r="AD229" s="1218">
        <f t="shared" si="254"/>
        <v>374598391.76999998</v>
      </c>
      <c r="AE229" s="1304">
        <f>+'CY (ALL FUNDS)'!J1240</f>
        <v>42293116.649999999</v>
      </c>
      <c r="AF229" s="1304">
        <f>+'CY (ALL FUNDS)'!K1240</f>
        <v>100794321.66</v>
      </c>
      <c r="AG229" s="1304">
        <f>+'CY (ALL FUNDS)'!L1240</f>
        <v>0</v>
      </c>
      <c r="AH229" s="1218">
        <f t="shared" si="208"/>
        <v>143087438.31</v>
      </c>
      <c r="AI229" s="1304">
        <f>+'CY (ALL FUNDS)'!J1241</f>
        <v>0</v>
      </c>
      <c r="AJ229" s="1304">
        <f>+'CY (ALL FUNDS)'!K1241</f>
        <v>65139989.75999999</v>
      </c>
      <c r="AK229" s="1304">
        <f>+'CY (ALL FUNDS)'!L1241</f>
        <v>59548445.82</v>
      </c>
      <c r="AL229" s="1218">
        <f t="shared" si="209"/>
        <v>124688435.57999998</v>
      </c>
      <c r="AM229" s="1218">
        <f t="shared" si="282"/>
        <v>42293116.649999999</v>
      </c>
      <c r="AN229" s="1218">
        <f t="shared" si="283"/>
        <v>165934311.41999999</v>
      </c>
      <c r="AO229" s="1218">
        <f t="shared" si="284"/>
        <v>59548445.82</v>
      </c>
      <c r="AP229" s="1218">
        <f t="shared" si="255"/>
        <v>267775873.88999999</v>
      </c>
      <c r="AQ229" s="1218">
        <f t="shared" si="256"/>
        <v>-908116.64999999851</v>
      </c>
      <c r="AR229" s="1218">
        <f t="shared" si="257"/>
        <v>95179080.349999994</v>
      </c>
      <c r="AS229" s="1218">
        <f t="shared" si="258"/>
        <v>12551554.18</v>
      </c>
      <c r="AT229" s="1218">
        <f t="shared" si="259"/>
        <v>106822517.88</v>
      </c>
      <c r="AU229" s="1219">
        <f t="shared" si="260"/>
        <v>1.0219431351939108</v>
      </c>
      <c r="AV229" s="1219">
        <f t="shared" si="261"/>
        <v>0.6354875569391023</v>
      </c>
      <c r="AW229" s="1219">
        <f t="shared" si="262"/>
        <v>0.8259146438280166</v>
      </c>
      <c r="AX229" s="1219">
        <f t="shared" si="263"/>
        <v>0.71483455287873188</v>
      </c>
      <c r="AY229" s="1218">
        <f t="shared" si="264"/>
        <v>0</v>
      </c>
      <c r="AZ229" s="1218">
        <f t="shared" si="265"/>
        <v>0</v>
      </c>
      <c r="BA229" s="1218">
        <f t="shared" si="266"/>
        <v>0</v>
      </c>
      <c r="BB229" s="1218">
        <f t="shared" si="267"/>
        <v>0</v>
      </c>
      <c r="BC229" s="125"/>
      <c r="BD229" s="105">
        <f>+AT229-'CY (ALL FUNDS)'!Q1240-'CY (ALL FUNDS)'!Q1241</f>
        <v>0</v>
      </c>
      <c r="BF229" s="105">
        <f t="shared" si="238"/>
        <v>52462678.340000004</v>
      </c>
      <c r="BP229" s="1312">
        <f>+'CY (ALL FUNDS)'!F1240</f>
        <v>41385000</v>
      </c>
      <c r="BQ229" s="1312">
        <f>+'CY (ALL FUNDS)'!G1240</f>
        <v>153257000</v>
      </c>
      <c r="BR229" s="1312">
        <f>+'CY (ALL FUNDS)'!H1240</f>
        <v>0</v>
      </c>
      <c r="BT229" s="111">
        <f t="shared" si="285"/>
        <v>0</v>
      </c>
      <c r="BU229" s="111">
        <f t="shared" si="286"/>
        <v>0</v>
      </c>
      <c r="BV229" s="111">
        <f t="shared" si="287"/>
        <v>0</v>
      </c>
    </row>
    <row r="230" spans="1:74" ht="12.75">
      <c r="A230" s="587" t="s">
        <v>938</v>
      </c>
      <c r="B230" s="1307" t="s">
        <v>537</v>
      </c>
      <c r="C230" s="1218"/>
      <c r="D230" s="1218">
        <v>0</v>
      </c>
      <c r="E230" s="1218">
        <v>0</v>
      </c>
      <c r="F230" s="1218"/>
      <c r="G230" s="1218">
        <v>0</v>
      </c>
      <c r="H230" s="1218"/>
      <c r="I230" s="1218"/>
      <c r="J230" s="1218">
        <f t="shared" si="207"/>
        <v>0</v>
      </c>
      <c r="K230" s="1218">
        <f t="shared" si="202"/>
        <v>0</v>
      </c>
      <c r="L230" s="1218">
        <f t="shared" si="203"/>
        <v>0</v>
      </c>
      <c r="M230" s="1218">
        <f t="shared" si="204"/>
        <v>0</v>
      </c>
      <c r="N230" s="1218">
        <f t="shared" si="205"/>
        <v>0</v>
      </c>
      <c r="O230" s="1218"/>
      <c r="P230" s="1218">
        <v>0</v>
      </c>
      <c r="Q230" s="1218">
        <v>0</v>
      </c>
      <c r="R230" s="1218">
        <f t="shared" si="249"/>
        <v>0</v>
      </c>
      <c r="S230" s="1218"/>
      <c r="T230" s="1218"/>
      <c r="U230" s="1218"/>
      <c r="V230" s="1218">
        <f t="shared" si="211"/>
        <v>0</v>
      </c>
      <c r="W230" s="1304"/>
      <c r="X230" s="1304"/>
      <c r="Y230" s="1304"/>
      <c r="Z230" s="1218">
        <f t="shared" si="250"/>
        <v>0</v>
      </c>
      <c r="AA230" s="1218">
        <f t="shared" si="251"/>
        <v>0</v>
      </c>
      <c r="AB230" s="1218">
        <f t="shared" si="252"/>
        <v>0</v>
      </c>
      <c r="AC230" s="1218">
        <f t="shared" si="253"/>
        <v>0</v>
      </c>
      <c r="AD230" s="1218">
        <f t="shared" si="254"/>
        <v>0</v>
      </c>
      <c r="AE230" s="1304"/>
      <c r="AF230" s="1304"/>
      <c r="AG230" s="1304"/>
      <c r="AH230" s="1218">
        <f t="shared" si="208"/>
        <v>0</v>
      </c>
      <c r="AI230" s="1304"/>
      <c r="AJ230" s="1304"/>
      <c r="AK230" s="1304"/>
      <c r="AL230" s="1218">
        <f t="shared" si="209"/>
        <v>0</v>
      </c>
      <c r="AM230" s="1218">
        <f t="shared" si="282"/>
        <v>0</v>
      </c>
      <c r="AN230" s="1218">
        <f t="shared" si="283"/>
        <v>0</v>
      </c>
      <c r="AO230" s="1218">
        <f t="shared" si="284"/>
        <v>0</v>
      </c>
      <c r="AP230" s="1218">
        <f t="shared" si="255"/>
        <v>0</v>
      </c>
      <c r="AQ230" s="1218">
        <f t="shared" si="256"/>
        <v>0</v>
      </c>
      <c r="AR230" s="1218">
        <f t="shared" si="257"/>
        <v>0</v>
      </c>
      <c r="AS230" s="1218">
        <f t="shared" si="258"/>
        <v>0</v>
      </c>
      <c r="AT230" s="1218">
        <f t="shared" si="259"/>
        <v>0</v>
      </c>
      <c r="AU230" s="1219" t="str">
        <f t="shared" si="260"/>
        <v xml:space="preserve"> </v>
      </c>
      <c r="AV230" s="1219" t="str">
        <f t="shared" si="261"/>
        <v xml:space="preserve"> </v>
      </c>
      <c r="AW230" s="1219" t="str">
        <f t="shared" si="262"/>
        <v xml:space="preserve"> </v>
      </c>
      <c r="AX230" s="1219" t="str">
        <f t="shared" si="263"/>
        <v xml:space="preserve"> </v>
      </c>
      <c r="AY230" s="1218">
        <f t="shared" si="264"/>
        <v>0</v>
      </c>
      <c r="AZ230" s="1218">
        <f t="shared" si="265"/>
        <v>0</v>
      </c>
      <c r="BA230" s="1218">
        <f t="shared" si="266"/>
        <v>0</v>
      </c>
      <c r="BB230" s="1218">
        <f t="shared" si="267"/>
        <v>0</v>
      </c>
      <c r="BC230" s="125"/>
      <c r="BF230" s="105">
        <f t="shared" si="238"/>
        <v>0</v>
      </c>
      <c r="BP230" s="1312"/>
      <c r="BQ230" s="1312"/>
      <c r="BR230" s="1312"/>
    </row>
    <row r="231" spans="1:74" ht="36">
      <c r="A231" s="587" t="s">
        <v>938</v>
      </c>
      <c r="B231" s="1308" t="s">
        <v>587</v>
      </c>
      <c r="C231" s="1218">
        <v>233325000</v>
      </c>
      <c r="D231" s="1218">
        <v>63208000</v>
      </c>
      <c r="E231" s="1218">
        <v>0</v>
      </c>
      <c r="F231" s="1218">
        <f t="shared" si="206"/>
        <v>296533000</v>
      </c>
      <c r="G231" s="1218"/>
      <c r="H231" s="1218"/>
      <c r="I231" s="1218"/>
      <c r="J231" s="1218">
        <f t="shared" si="207"/>
        <v>0</v>
      </c>
      <c r="K231" s="1218">
        <f t="shared" si="202"/>
        <v>233325000</v>
      </c>
      <c r="L231" s="1218">
        <f t="shared" si="203"/>
        <v>63208000</v>
      </c>
      <c r="M231" s="1218">
        <f t="shared" si="204"/>
        <v>0</v>
      </c>
      <c r="N231" s="1218">
        <f t="shared" si="205"/>
        <v>296533000</v>
      </c>
      <c r="O231" s="1218">
        <v>233325000</v>
      </c>
      <c r="P231" s="1218">
        <v>63208000</v>
      </c>
      <c r="Q231" s="1218">
        <v>0</v>
      </c>
      <c r="R231" s="1218">
        <f t="shared" si="249"/>
        <v>296533000</v>
      </c>
      <c r="S231" s="1218"/>
      <c r="T231" s="1218"/>
      <c r="U231" s="1218"/>
      <c r="V231" s="1218">
        <f t="shared" si="211"/>
        <v>0</v>
      </c>
      <c r="W231" s="1304">
        <f>+'CY (ALL FUNDS)'!F1257</f>
        <v>0</v>
      </c>
      <c r="X231" s="1304">
        <f>+'CY (ALL FUNDS)'!G1257</f>
        <v>44993830</v>
      </c>
      <c r="Y231" s="1304">
        <f>+'CY (ALL FUNDS)'!H1257</f>
        <v>52000000</v>
      </c>
      <c r="Z231" s="1218">
        <f t="shared" si="250"/>
        <v>96993830</v>
      </c>
      <c r="AA231" s="1218">
        <f t="shared" si="251"/>
        <v>233325000</v>
      </c>
      <c r="AB231" s="1218">
        <f t="shared" si="252"/>
        <v>108201830</v>
      </c>
      <c r="AC231" s="1218">
        <f t="shared" si="253"/>
        <v>52000000</v>
      </c>
      <c r="AD231" s="1218">
        <f t="shared" si="254"/>
        <v>393526830</v>
      </c>
      <c r="AE231" s="1304">
        <f>+'CY (ALL FUNDS)'!J1256</f>
        <v>214702095.16000003</v>
      </c>
      <c r="AF231" s="1304">
        <f>+'CY (ALL FUNDS)'!K1256</f>
        <v>47845949.980000004</v>
      </c>
      <c r="AG231" s="1304">
        <f>+'CY (ALL FUNDS)'!L1256</f>
        <v>0</v>
      </c>
      <c r="AH231" s="1218">
        <f t="shared" si="208"/>
        <v>262548045.14000005</v>
      </c>
      <c r="AI231" s="1304">
        <f>+'CY (ALL FUNDS)'!J1257</f>
        <v>0</v>
      </c>
      <c r="AJ231" s="1304">
        <f>+'CY (ALL FUNDS)'!K1257</f>
        <v>32979333.119999997</v>
      </c>
      <c r="AK231" s="1304">
        <f>+'CY (ALL FUNDS)'!L1257</f>
        <v>50057794.579999998</v>
      </c>
      <c r="AL231" s="1218">
        <f t="shared" si="209"/>
        <v>83037127.699999988</v>
      </c>
      <c r="AM231" s="1218">
        <f t="shared" si="282"/>
        <v>214702095.16000003</v>
      </c>
      <c r="AN231" s="1218">
        <f t="shared" si="283"/>
        <v>80825283.099999994</v>
      </c>
      <c r="AO231" s="1218">
        <f t="shared" si="284"/>
        <v>50057794.579999998</v>
      </c>
      <c r="AP231" s="1218">
        <f t="shared" si="255"/>
        <v>345585172.83999997</v>
      </c>
      <c r="AQ231" s="1218">
        <f t="shared" si="256"/>
        <v>18622904.839999974</v>
      </c>
      <c r="AR231" s="1218">
        <f t="shared" si="257"/>
        <v>27376546.900000006</v>
      </c>
      <c r="AS231" s="1218">
        <f t="shared" si="258"/>
        <v>1942205.4200000018</v>
      </c>
      <c r="AT231" s="1218">
        <f t="shared" si="259"/>
        <v>47941657.159999982</v>
      </c>
      <c r="AU231" s="1219">
        <f t="shared" si="260"/>
        <v>0.92018470013929077</v>
      </c>
      <c r="AV231" s="1219">
        <f t="shared" si="261"/>
        <v>0.74698628572178483</v>
      </c>
      <c r="AW231" s="1219">
        <f t="shared" si="262"/>
        <v>0.96264989576923077</v>
      </c>
      <c r="AX231" s="1219">
        <f t="shared" si="263"/>
        <v>0.87817436193613529</v>
      </c>
      <c r="AY231" s="1218">
        <f t="shared" si="264"/>
        <v>0</v>
      </c>
      <c r="AZ231" s="1218">
        <f t="shared" si="265"/>
        <v>0</v>
      </c>
      <c r="BA231" s="1218">
        <f t="shared" si="266"/>
        <v>0</v>
      </c>
      <c r="BB231" s="1218">
        <f t="shared" si="267"/>
        <v>0</v>
      </c>
      <c r="BC231" s="125"/>
      <c r="BF231" s="105">
        <f t="shared" si="238"/>
        <v>15362050.019999996</v>
      </c>
      <c r="BP231" s="1312">
        <f>+'CY (ALL FUNDS)'!F1256</f>
        <v>233325000</v>
      </c>
      <c r="BQ231" s="1312">
        <f>+'CY (ALL FUNDS)'!G1256</f>
        <v>63208000</v>
      </c>
      <c r="BR231" s="1312">
        <f>+'CY (ALL FUNDS)'!H1256</f>
        <v>0</v>
      </c>
      <c r="BT231" s="111">
        <f t="shared" ref="BT231:BT232" si="288">+O231-BP231</f>
        <v>0</v>
      </c>
      <c r="BU231" s="111">
        <f t="shared" ref="BU231:BU232" si="289">+P231-BQ231</f>
        <v>0</v>
      </c>
      <c r="BV231" s="111">
        <f t="shared" ref="BV231:BV232" si="290">+Q231-BR231</f>
        <v>0</v>
      </c>
    </row>
    <row r="232" spans="1:74" ht="24">
      <c r="A232" s="587" t="s">
        <v>938</v>
      </c>
      <c r="B232" s="1308" t="s">
        <v>588</v>
      </c>
      <c r="C232" s="1218">
        <v>113626000</v>
      </c>
      <c r="D232" s="1218">
        <v>36765000</v>
      </c>
      <c r="E232" s="1218">
        <v>0</v>
      </c>
      <c r="F232" s="1218">
        <f t="shared" si="206"/>
        <v>150391000</v>
      </c>
      <c r="G232" s="1218"/>
      <c r="H232" s="1218"/>
      <c r="I232" s="1218"/>
      <c r="J232" s="1218">
        <f t="shared" si="207"/>
        <v>0</v>
      </c>
      <c r="K232" s="1218">
        <f t="shared" si="202"/>
        <v>113626000</v>
      </c>
      <c r="L232" s="1218">
        <f t="shared" si="203"/>
        <v>36765000</v>
      </c>
      <c r="M232" s="1218">
        <f t="shared" si="204"/>
        <v>0</v>
      </c>
      <c r="N232" s="1218">
        <f t="shared" si="205"/>
        <v>150391000</v>
      </c>
      <c r="O232" s="1218">
        <v>113626000</v>
      </c>
      <c r="P232" s="1218">
        <v>36765000</v>
      </c>
      <c r="Q232" s="1218">
        <v>0</v>
      </c>
      <c r="R232" s="1218">
        <f t="shared" si="249"/>
        <v>150391000</v>
      </c>
      <c r="S232" s="1218"/>
      <c r="T232" s="1218"/>
      <c r="U232" s="1218"/>
      <c r="V232" s="1218">
        <f t="shared" si="211"/>
        <v>0</v>
      </c>
      <c r="W232" s="1304">
        <f>+'CY (ALL FUNDS)'!F1272</f>
        <v>0</v>
      </c>
      <c r="X232" s="1304">
        <f>+'CY (ALL FUNDS)'!G1272</f>
        <v>38703765</v>
      </c>
      <c r="Y232" s="1304">
        <f>+'CY (ALL FUNDS)'!H1272</f>
        <v>104000000</v>
      </c>
      <c r="Z232" s="1218">
        <f t="shared" si="250"/>
        <v>142703765</v>
      </c>
      <c r="AA232" s="1218">
        <f t="shared" si="251"/>
        <v>113626000</v>
      </c>
      <c r="AB232" s="1218">
        <f t="shared" si="252"/>
        <v>75468765</v>
      </c>
      <c r="AC232" s="1218">
        <f t="shared" si="253"/>
        <v>104000000</v>
      </c>
      <c r="AD232" s="1218">
        <f t="shared" si="254"/>
        <v>293094765</v>
      </c>
      <c r="AE232" s="1304">
        <f>+'CY (ALL FUNDS)'!J1271</f>
        <v>105351339.83</v>
      </c>
      <c r="AF232" s="1304">
        <f>+'CY (ALL FUNDS)'!K1271</f>
        <v>31229232.949999999</v>
      </c>
      <c r="AG232" s="1304">
        <f>+'CY (ALL FUNDS)'!L1271</f>
        <v>0</v>
      </c>
      <c r="AH232" s="1218">
        <f t="shared" si="208"/>
        <v>136580572.78</v>
      </c>
      <c r="AI232" s="1304">
        <f>+'CY (ALL FUNDS)'!J1272</f>
        <v>0</v>
      </c>
      <c r="AJ232" s="1304">
        <f>+'CY (ALL FUNDS)'!K1272</f>
        <v>28412421.709999997</v>
      </c>
      <c r="AK232" s="1304">
        <f>+'CY (ALL FUNDS)'!L1272</f>
        <v>104000000</v>
      </c>
      <c r="AL232" s="1218">
        <f t="shared" si="209"/>
        <v>132412421.70999999</v>
      </c>
      <c r="AM232" s="1218">
        <f t="shared" si="282"/>
        <v>105351339.83</v>
      </c>
      <c r="AN232" s="1218">
        <f t="shared" si="283"/>
        <v>59641654.659999996</v>
      </c>
      <c r="AO232" s="1218">
        <f t="shared" si="284"/>
        <v>104000000</v>
      </c>
      <c r="AP232" s="1218">
        <f t="shared" si="255"/>
        <v>268992994.49000001</v>
      </c>
      <c r="AQ232" s="1218">
        <f t="shared" si="256"/>
        <v>8274660.1700000018</v>
      </c>
      <c r="AR232" s="1218">
        <f t="shared" si="257"/>
        <v>15827110.340000004</v>
      </c>
      <c r="AS232" s="1218">
        <f t="shared" si="258"/>
        <v>0</v>
      </c>
      <c r="AT232" s="1218">
        <f t="shared" si="259"/>
        <v>24101770.510000005</v>
      </c>
      <c r="AU232" s="1219">
        <f t="shared" si="260"/>
        <v>0.92717634898702761</v>
      </c>
      <c r="AV232" s="1219">
        <f t="shared" si="261"/>
        <v>0.79028263759185668</v>
      </c>
      <c r="AW232" s="1219">
        <f t="shared" si="262"/>
        <v>1</v>
      </c>
      <c r="AX232" s="1219">
        <f t="shared" si="263"/>
        <v>0.91776799387733865</v>
      </c>
      <c r="AY232" s="1218">
        <f t="shared" si="264"/>
        <v>0</v>
      </c>
      <c r="AZ232" s="1218">
        <f t="shared" si="265"/>
        <v>0</v>
      </c>
      <c r="BA232" s="1218">
        <f t="shared" si="266"/>
        <v>0</v>
      </c>
      <c r="BB232" s="1218">
        <f t="shared" si="267"/>
        <v>0</v>
      </c>
      <c r="BC232" s="125"/>
      <c r="BF232" s="105">
        <f t="shared" si="238"/>
        <v>5535767.0500000007</v>
      </c>
      <c r="BP232" s="1312">
        <f>+'CY (ALL FUNDS)'!F1271</f>
        <v>113626000</v>
      </c>
      <c r="BQ232" s="1312">
        <f>+'CY (ALL FUNDS)'!G1271</f>
        <v>36765000</v>
      </c>
      <c r="BR232" s="1312">
        <f>+'CY (ALL FUNDS)'!H1271</f>
        <v>0</v>
      </c>
      <c r="BT232" s="111">
        <f t="shared" si="288"/>
        <v>0</v>
      </c>
      <c r="BU232" s="111">
        <f t="shared" si="289"/>
        <v>0</v>
      </c>
      <c r="BV232" s="111">
        <f t="shared" si="290"/>
        <v>0</v>
      </c>
    </row>
    <row r="233" spans="1:74">
      <c r="B233" s="1310"/>
      <c r="C233" s="1218"/>
      <c r="D233" s="1218"/>
      <c r="E233" s="1218"/>
      <c r="F233" s="1218"/>
      <c r="G233" s="1218"/>
      <c r="H233" s="1218"/>
      <c r="I233" s="1218"/>
      <c r="J233" s="1218"/>
      <c r="K233" s="1218"/>
      <c r="L233" s="1218"/>
      <c r="M233" s="1218"/>
      <c r="N233" s="1218"/>
      <c r="O233" s="1218"/>
      <c r="P233" s="1218"/>
      <c r="Q233" s="1218"/>
      <c r="R233" s="1218">
        <f t="shared" si="249"/>
        <v>0</v>
      </c>
      <c r="S233" s="1218"/>
      <c r="T233" s="1218"/>
      <c r="U233" s="1218"/>
      <c r="V233" s="1218"/>
      <c r="W233" s="1304"/>
      <c r="X233" s="1304"/>
      <c r="Y233" s="1304"/>
      <c r="Z233" s="1218">
        <f t="shared" si="250"/>
        <v>0</v>
      </c>
      <c r="AA233" s="1218">
        <f t="shared" si="251"/>
        <v>0</v>
      </c>
      <c r="AB233" s="1218">
        <f t="shared" si="252"/>
        <v>0</v>
      </c>
      <c r="AC233" s="1218">
        <f t="shared" si="253"/>
        <v>0</v>
      </c>
      <c r="AD233" s="1218">
        <f t="shared" si="254"/>
        <v>0</v>
      </c>
      <c r="AE233" s="1304"/>
      <c r="AF233" s="1304"/>
      <c r="AG233" s="1304"/>
      <c r="AH233" s="1218"/>
      <c r="AI233" s="1304"/>
      <c r="AJ233" s="1304"/>
      <c r="AK233" s="1304"/>
      <c r="AL233" s="1218"/>
      <c r="AM233" s="1218"/>
      <c r="AN233" s="1218"/>
      <c r="AO233" s="1218"/>
      <c r="AP233" s="1218">
        <f t="shared" si="255"/>
        <v>0</v>
      </c>
      <c r="AQ233" s="1218">
        <f t="shared" si="256"/>
        <v>0</v>
      </c>
      <c r="AR233" s="1218">
        <f t="shared" si="257"/>
        <v>0</v>
      </c>
      <c r="AS233" s="1218">
        <f t="shared" si="258"/>
        <v>0</v>
      </c>
      <c r="AT233" s="1218">
        <f t="shared" si="259"/>
        <v>0</v>
      </c>
      <c r="AU233" s="1219" t="str">
        <f t="shared" si="260"/>
        <v xml:space="preserve"> </v>
      </c>
      <c r="AV233" s="1219" t="str">
        <f t="shared" si="261"/>
        <v xml:space="preserve"> </v>
      </c>
      <c r="AW233" s="1219" t="str">
        <f t="shared" si="262"/>
        <v xml:space="preserve"> </v>
      </c>
      <c r="AX233" s="1219" t="str">
        <f t="shared" si="263"/>
        <v xml:space="preserve"> </v>
      </c>
      <c r="AY233" s="1218">
        <f t="shared" si="264"/>
        <v>0</v>
      </c>
      <c r="AZ233" s="1218">
        <f t="shared" si="265"/>
        <v>0</v>
      </c>
      <c r="BA233" s="1218">
        <f t="shared" si="266"/>
        <v>0</v>
      </c>
      <c r="BB233" s="1218">
        <f t="shared" si="267"/>
        <v>0</v>
      </c>
      <c r="BC233" s="125"/>
      <c r="BF233" s="105">
        <f t="shared" si="238"/>
        <v>0</v>
      </c>
      <c r="BP233" s="1312"/>
      <c r="BQ233" s="1312"/>
      <c r="BR233" s="1312"/>
    </row>
    <row r="234" spans="1:74" ht="12.75">
      <c r="A234" s="587" t="s">
        <v>938</v>
      </c>
      <c r="B234" s="1305" t="s">
        <v>39</v>
      </c>
      <c r="C234" s="1218">
        <f>SUM(C235:C240)</f>
        <v>193528000</v>
      </c>
      <c r="D234" s="1218">
        <f>SUM(D235:D240)</f>
        <v>209274000</v>
      </c>
      <c r="E234" s="1218">
        <f>SUM(E235:E240)</f>
        <v>0</v>
      </c>
      <c r="F234" s="1218">
        <f t="shared" ref="F234:AO234" si="291">SUM(F235:F240)</f>
        <v>402802000</v>
      </c>
      <c r="G234" s="1218">
        <f t="shared" si="291"/>
        <v>0</v>
      </c>
      <c r="H234" s="1218">
        <f t="shared" si="291"/>
        <v>0</v>
      </c>
      <c r="I234" s="1218">
        <f t="shared" si="291"/>
        <v>0</v>
      </c>
      <c r="J234" s="1218">
        <f t="shared" si="291"/>
        <v>0</v>
      </c>
      <c r="K234" s="1218">
        <f t="shared" si="291"/>
        <v>193528000</v>
      </c>
      <c r="L234" s="1218">
        <f t="shared" si="291"/>
        <v>209274000</v>
      </c>
      <c r="M234" s="1218">
        <f t="shared" si="291"/>
        <v>0</v>
      </c>
      <c r="N234" s="1218">
        <f t="shared" si="291"/>
        <v>402802000</v>
      </c>
      <c r="O234" s="1218">
        <f t="shared" si="291"/>
        <v>193528000</v>
      </c>
      <c r="P234" s="1218">
        <f t="shared" si="291"/>
        <v>209274000</v>
      </c>
      <c r="Q234" s="1218">
        <f t="shared" si="291"/>
        <v>0</v>
      </c>
      <c r="R234" s="1218">
        <f t="shared" si="249"/>
        <v>402802000</v>
      </c>
      <c r="S234" s="1218"/>
      <c r="T234" s="1218"/>
      <c r="U234" s="1218"/>
      <c r="V234" s="1218">
        <f>SUM(V235:V240)</f>
        <v>0</v>
      </c>
      <c r="W234" s="1218">
        <f t="shared" si="291"/>
        <v>0</v>
      </c>
      <c r="X234" s="1218">
        <f t="shared" si="291"/>
        <v>137856297.57999998</v>
      </c>
      <c r="Y234" s="1218">
        <f t="shared" si="291"/>
        <v>128257980</v>
      </c>
      <c r="Z234" s="1218">
        <f t="shared" si="250"/>
        <v>266114277.57999998</v>
      </c>
      <c r="AA234" s="1218">
        <f t="shared" si="251"/>
        <v>193528000</v>
      </c>
      <c r="AB234" s="1218">
        <f t="shared" si="252"/>
        <v>347130297.57999998</v>
      </c>
      <c r="AC234" s="1218">
        <f t="shared" si="253"/>
        <v>128257980</v>
      </c>
      <c r="AD234" s="1218">
        <f t="shared" si="254"/>
        <v>668916277.57999992</v>
      </c>
      <c r="AE234" s="1218">
        <f t="shared" si="291"/>
        <v>176529892.00000003</v>
      </c>
      <c r="AF234" s="1218">
        <f>SUM(AF235:AF240)</f>
        <v>148161439.72999999</v>
      </c>
      <c r="AG234" s="1218">
        <f>SUM(AG235:AG240)</f>
        <v>0</v>
      </c>
      <c r="AH234" s="1218">
        <f t="shared" si="291"/>
        <v>324691331.72999996</v>
      </c>
      <c r="AI234" s="1218">
        <f t="shared" si="291"/>
        <v>0</v>
      </c>
      <c r="AJ234" s="1218">
        <f t="shared" si="291"/>
        <v>79685626.910000011</v>
      </c>
      <c r="AK234" s="1218">
        <f t="shared" si="291"/>
        <v>108471610.72999999</v>
      </c>
      <c r="AL234" s="1218">
        <f t="shared" si="291"/>
        <v>188157237.63999999</v>
      </c>
      <c r="AM234" s="1218">
        <f t="shared" si="291"/>
        <v>176529892.00000003</v>
      </c>
      <c r="AN234" s="1218">
        <f t="shared" si="291"/>
        <v>227847066.63999999</v>
      </c>
      <c r="AO234" s="1218">
        <f t="shared" si="291"/>
        <v>108471610.72999999</v>
      </c>
      <c r="AP234" s="1218">
        <f t="shared" si="255"/>
        <v>512848569.37</v>
      </c>
      <c r="AQ234" s="1218">
        <f t="shared" si="256"/>
        <v>16998107.99999997</v>
      </c>
      <c r="AR234" s="1218">
        <f t="shared" si="257"/>
        <v>119283230.94</v>
      </c>
      <c r="AS234" s="1218">
        <f t="shared" si="258"/>
        <v>19786369.270000011</v>
      </c>
      <c r="AT234" s="1218">
        <f t="shared" si="259"/>
        <v>156067708.20999998</v>
      </c>
      <c r="AU234" s="1219">
        <f t="shared" si="260"/>
        <v>0.91216719027737603</v>
      </c>
      <c r="AV234" s="1219">
        <f t="shared" si="261"/>
        <v>0.65637332214567101</v>
      </c>
      <c r="AW234" s="1219">
        <f t="shared" si="262"/>
        <v>0.84572991661025687</v>
      </c>
      <c r="AX234" s="1219">
        <f t="shared" si="263"/>
        <v>0.76668573715290578</v>
      </c>
      <c r="AY234" s="1218">
        <f t="shared" si="264"/>
        <v>0</v>
      </c>
      <c r="AZ234" s="1218">
        <f t="shared" si="265"/>
        <v>0</v>
      </c>
      <c r="BA234" s="1218">
        <f t="shared" si="266"/>
        <v>0</v>
      </c>
      <c r="BB234" s="1218">
        <f t="shared" si="267"/>
        <v>0</v>
      </c>
      <c r="BC234" s="125"/>
      <c r="BF234" s="105">
        <f t="shared" si="238"/>
        <v>61112560.270000011</v>
      </c>
      <c r="BP234" s="1313"/>
      <c r="BQ234" s="1313"/>
      <c r="BR234" s="1313"/>
    </row>
    <row r="235" spans="1:74" ht="36">
      <c r="A235" s="587" t="s">
        <v>938</v>
      </c>
      <c r="B235" s="1306" t="s">
        <v>534</v>
      </c>
      <c r="C235" s="1218">
        <v>26632000</v>
      </c>
      <c r="D235" s="1218">
        <v>8940000</v>
      </c>
      <c r="E235" s="1218">
        <v>0</v>
      </c>
      <c r="F235" s="1218">
        <f t="shared" ref="F235:F261" si="292">SUM(C235:E235)</f>
        <v>35572000</v>
      </c>
      <c r="G235" s="1218"/>
      <c r="H235" s="1218"/>
      <c r="I235" s="1218"/>
      <c r="J235" s="1218">
        <f t="shared" ref="J235:J266" si="293">SUM(G235:I235)</f>
        <v>0</v>
      </c>
      <c r="K235" s="1218">
        <f t="shared" ref="K235:K266" si="294">+C235+G235</f>
        <v>26632000</v>
      </c>
      <c r="L235" s="1218">
        <f t="shared" ref="L235:L266" si="295">+D235+H235</f>
        <v>8940000</v>
      </c>
      <c r="M235" s="1218">
        <f t="shared" ref="M235:M266" si="296">+E235+I235</f>
        <v>0</v>
      </c>
      <c r="N235" s="1218">
        <f t="shared" ref="N235:N266" si="297">SUM(K235:M235)</f>
        <v>35572000</v>
      </c>
      <c r="O235" s="1218">
        <v>26632000</v>
      </c>
      <c r="P235" s="1218">
        <v>8940000</v>
      </c>
      <c r="Q235" s="1218">
        <v>0</v>
      </c>
      <c r="R235" s="1218">
        <f t="shared" si="249"/>
        <v>35572000</v>
      </c>
      <c r="S235" s="1218"/>
      <c r="T235" s="1218"/>
      <c r="U235" s="1218"/>
      <c r="V235" s="1218">
        <f t="shared" ref="V235:V261" si="298">SUM(S235:U235)</f>
        <v>0</v>
      </c>
      <c r="W235" s="1304"/>
      <c r="X235" s="1304"/>
      <c r="Y235" s="1304"/>
      <c r="Z235" s="1218">
        <f t="shared" si="250"/>
        <v>0</v>
      </c>
      <c r="AA235" s="1218">
        <f t="shared" si="251"/>
        <v>26632000</v>
      </c>
      <c r="AB235" s="1218">
        <f t="shared" si="252"/>
        <v>8940000</v>
      </c>
      <c r="AC235" s="1218">
        <f t="shared" si="253"/>
        <v>0</v>
      </c>
      <c r="AD235" s="1218">
        <f t="shared" si="254"/>
        <v>35572000</v>
      </c>
      <c r="AE235" s="1304">
        <f>+'CY (ALL FUNDS)'!J1303</f>
        <v>21767331.18</v>
      </c>
      <c r="AF235" s="1304">
        <f>+'CY (ALL FUNDS)'!K1303</f>
        <v>6663316.2400000012</v>
      </c>
      <c r="AG235" s="1304">
        <f>+'CY (ALL FUNDS)'!L1303</f>
        <v>0</v>
      </c>
      <c r="AH235" s="1218">
        <f t="shared" ref="AH235:AH261" si="299">SUM(AE235:AG235)</f>
        <v>28430647.420000002</v>
      </c>
      <c r="AI235" s="1304"/>
      <c r="AJ235" s="1304"/>
      <c r="AK235" s="1304"/>
      <c r="AL235" s="1218">
        <f t="shared" ref="AL235:AL261" si="300">SUM(AI235:AK235)</f>
        <v>0</v>
      </c>
      <c r="AM235" s="1218">
        <f t="shared" ref="AM235:AM240" si="301">+AE235+AI235</f>
        <v>21767331.18</v>
      </c>
      <c r="AN235" s="1218">
        <f t="shared" ref="AN235:AN240" si="302">+AF235+AJ235</f>
        <v>6663316.2400000012</v>
      </c>
      <c r="AO235" s="1218">
        <f t="shared" ref="AO235:AO240" si="303">+AG235+AK235</f>
        <v>0</v>
      </c>
      <c r="AP235" s="1218">
        <f t="shared" si="255"/>
        <v>28430647.420000002</v>
      </c>
      <c r="AQ235" s="1218">
        <f t="shared" si="256"/>
        <v>4864668.82</v>
      </c>
      <c r="AR235" s="1218">
        <f t="shared" si="257"/>
        <v>2276683.7599999988</v>
      </c>
      <c r="AS235" s="1218">
        <f t="shared" si="258"/>
        <v>0</v>
      </c>
      <c r="AT235" s="1218">
        <f t="shared" si="259"/>
        <v>7141352.5799999991</v>
      </c>
      <c r="AU235" s="1219">
        <f t="shared" si="260"/>
        <v>0.81733745794532897</v>
      </c>
      <c r="AV235" s="1219">
        <f t="shared" si="261"/>
        <v>0.74533738702460861</v>
      </c>
      <c r="AW235" s="1219" t="str">
        <f t="shared" si="262"/>
        <v xml:space="preserve"> </v>
      </c>
      <c r="AX235" s="1219">
        <f t="shared" si="263"/>
        <v>0.79924230911953231</v>
      </c>
      <c r="AY235" s="1218">
        <f t="shared" si="264"/>
        <v>0</v>
      </c>
      <c r="AZ235" s="1218">
        <f t="shared" si="265"/>
        <v>0</v>
      </c>
      <c r="BA235" s="1218">
        <f t="shared" si="266"/>
        <v>0</v>
      </c>
      <c r="BB235" s="1218">
        <f t="shared" si="267"/>
        <v>0</v>
      </c>
      <c r="BC235" s="125"/>
      <c r="BD235" s="105">
        <f>+AT235-'CY (ALL FUNDS)'!Q1303</f>
        <v>0</v>
      </c>
      <c r="BF235" s="105">
        <f t="shared" si="238"/>
        <v>2276683.7599999988</v>
      </c>
      <c r="BP235" s="1312">
        <f>+'CY (ALL FUNDS)'!F1303</f>
        <v>26632000</v>
      </c>
      <c r="BQ235" s="1312">
        <f>+'CY (ALL FUNDS)'!G1303</f>
        <v>8940000</v>
      </c>
      <c r="BR235" s="1312">
        <f>+'CY (ALL FUNDS)'!H1303</f>
        <v>0</v>
      </c>
      <c r="BT235" s="111">
        <f t="shared" ref="BT235:BT237" si="304">+O235-BP235</f>
        <v>0</v>
      </c>
      <c r="BU235" s="111">
        <f t="shared" ref="BU235:BU237" si="305">+P235-BQ235</f>
        <v>0</v>
      </c>
      <c r="BV235" s="111">
        <f t="shared" ref="BV235:BV237" si="306">+Q235-BR235</f>
        <v>0</v>
      </c>
    </row>
    <row r="236" spans="1:74" ht="12.75">
      <c r="A236" s="587" t="s">
        <v>938</v>
      </c>
      <c r="B236" s="1307" t="s">
        <v>535</v>
      </c>
      <c r="C236" s="1218">
        <v>1563000</v>
      </c>
      <c r="D236" s="1218">
        <v>6326000</v>
      </c>
      <c r="E236" s="1218">
        <v>0</v>
      </c>
      <c r="F236" s="1218">
        <f t="shared" si="292"/>
        <v>7889000</v>
      </c>
      <c r="G236" s="1218"/>
      <c r="H236" s="1218"/>
      <c r="I236" s="1218"/>
      <c r="J236" s="1218">
        <f t="shared" si="293"/>
        <v>0</v>
      </c>
      <c r="K236" s="1218">
        <f t="shared" si="294"/>
        <v>1563000</v>
      </c>
      <c r="L236" s="1218">
        <f t="shared" si="295"/>
        <v>6326000</v>
      </c>
      <c r="M236" s="1218">
        <f t="shared" si="296"/>
        <v>0</v>
      </c>
      <c r="N236" s="1218">
        <f t="shared" si="297"/>
        <v>7889000</v>
      </c>
      <c r="O236" s="1218">
        <v>1563000</v>
      </c>
      <c r="P236" s="1218">
        <v>6326000</v>
      </c>
      <c r="Q236" s="1218">
        <v>0</v>
      </c>
      <c r="R236" s="1218">
        <f t="shared" si="249"/>
        <v>7889000</v>
      </c>
      <c r="S236" s="1218"/>
      <c r="T236" s="1218"/>
      <c r="U236" s="1218"/>
      <c r="V236" s="1218">
        <f t="shared" si="298"/>
        <v>0</v>
      </c>
      <c r="W236" s="1304"/>
      <c r="X236" s="1304"/>
      <c r="Y236" s="1304"/>
      <c r="Z236" s="1218">
        <f t="shared" si="250"/>
        <v>0</v>
      </c>
      <c r="AA236" s="1218">
        <f t="shared" si="251"/>
        <v>1563000</v>
      </c>
      <c r="AB236" s="1218">
        <f t="shared" si="252"/>
        <v>6326000</v>
      </c>
      <c r="AC236" s="1218">
        <f t="shared" si="253"/>
        <v>0</v>
      </c>
      <c r="AD236" s="1218">
        <f t="shared" si="254"/>
        <v>7889000</v>
      </c>
      <c r="AE236" s="1304">
        <f>+'CY (ALL FUNDS)'!J1304</f>
        <v>1415652.1400000001</v>
      </c>
      <c r="AF236" s="1304">
        <f>+'CY (ALL FUNDS)'!K1304</f>
        <v>2201236.17</v>
      </c>
      <c r="AG236" s="1304">
        <f>+'CY (ALL FUNDS)'!L1304</f>
        <v>0</v>
      </c>
      <c r="AH236" s="1218">
        <f t="shared" si="299"/>
        <v>3616888.31</v>
      </c>
      <c r="AI236" s="1304"/>
      <c r="AJ236" s="1304"/>
      <c r="AK236" s="1304"/>
      <c r="AL236" s="1218">
        <f t="shared" si="300"/>
        <v>0</v>
      </c>
      <c r="AM236" s="1218">
        <f t="shared" si="301"/>
        <v>1415652.1400000001</v>
      </c>
      <c r="AN236" s="1218">
        <f t="shared" si="302"/>
        <v>2201236.17</v>
      </c>
      <c r="AO236" s="1218">
        <f t="shared" si="303"/>
        <v>0</v>
      </c>
      <c r="AP236" s="1218">
        <f t="shared" si="255"/>
        <v>3616888.31</v>
      </c>
      <c r="AQ236" s="1218">
        <f t="shared" si="256"/>
        <v>147347.85999999987</v>
      </c>
      <c r="AR236" s="1218">
        <f t="shared" si="257"/>
        <v>4124763.83</v>
      </c>
      <c r="AS236" s="1218">
        <f t="shared" si="258"/>
        <v>0</v>
      </c>
      <c r="AT236" s="1218">
        <f t="shared" si="259"/>
        <v>4272111.6899999995</v>
      </c>
      <c r="AU236" s="1219">
        <f t="shared" si="260"/>
        <v>0.90572753678822782</v>
      </c>
      <c r="AV236" s="1219">
        <f t="shared" si="261"/>
        <v>0.34796651438507742</v>
      </c>
      <c r="AW236" s="1219" t="str">
        <f t="shared" si="262"/>
        <v xml:space="preserve"> </v>
      </c>
      <c r="AX236" s="1219">
        <f t="shared" si="263"/>
        <v>0.4584723425022183</v>
      </c>
      <c r="AY236" s="1218">
        <f t="shared" si="264"/>
        <v>0</v>
      </c>
      <c r="AZ236" s="1218">
        <f t="shared" si="265"/>
        <v>0</v>
      </c>
      <c r="BA236" s="1218">
        <f t="shared" si="266"/>
        <v>0</v>
      </c>
      <c r="BB236" s="1218">
        <f t="shared" si="267"/>
        <v>0</v>
      </c>
      <c r="BC236" s="125"/>
      <c r="BD236" s="105">
        <f>+AT236-'CY (ALL FUNDS)'!Q1304</f>
        <v>0</v>
      </c>
      <c r="BF236" s="105">
        <f t="shared" si="238"/>
        <v>4124763.83</v>
      </c>
      <c r="BP236" s="1312">
        <f>+'CY (ALL FUNDS)'!F1304</f>
        <v>1563000</v>
      </c>
      <c r="BQ236" s="1312">
        <f>+'CY (ALL FUNDS)'!G1304</f>
        <v>6326000</v>
      </c>
      <c r="BR236" s="1312">
        <f>+'CY (ALL FUNDS)'!H1304</f>
        <v>0</v>
      </c>
      <c r="BT236" s="111">
        <f t="shared" si="304"/>
        <v>0</v>
      </c>
      <c r="BU236" s="111">
        <f t="shared" si="305"/>
        <v>0</v>
      </c>
      <c r="BV236" s="111">
        <f t="shared" si="306"/>
        <v>0</v>
      </c>
    </row>
    <row r="237" spans="1:74" ht="36">
      <c r="A237" s="587" t="s">
        <v>938</v>
      </c>
      <c r="B237" s="1306" t="s">
        <v>536</v>
      </c>
      <c r="C237" s="1218">
        <v>38827000</v>
      </c>
      <c r="D237" s="1218">
        <v>145001000</v>
      </c>
      <c r="E237" s="1218">
        <v>0</v>
      </c>
      <c r="F237" s="1218">
        <f t="shared" si="292"/>
        <v>183828000</v>
      </c>
      <c r="G237" s="1218"/>
      <c r="H237" s="1218"/>
      <c r="I237" s="1218"/>
      <c r="J237" s="1218">
        <f t="shared" si="293"/>
        <v>0</v>
      </c>
      <c r="K237" s="1218">
        <f t="shared" si="294"/>
        <v>38827000</v>
      </c>
      <c r="L237" s="1218">
        <f t="shared" si="295"/>
        <v>145001000</v>
      </c>
      <c r="M237" s="1218">
        <f t="shared" si="296"/>
        <v>0</v>
      </c>
      <c r="N237" s="1218">
        <f t="shared" si="297"/>
        <v>183828000</v>
      </c>
      <c r="O237" s="1218">
        <v>38827000</v>
      </c>
      <c r="P237" s="1218">
        <v>145001000</v>
      </c>
      <c r="Q237" s="1218">
        <v>0</v>
      </c>
      <c r="R237" s="1218">
        <f t="shared" si="249"/>
        <v>183828000</v>
      </c>
      <c r="S237" s="1218"/>
      <c r="T237" s="1218"/>
      <c r="U237" s="1218"/>
      <c r="V237" s="1218">
        <f t="shared" si="298"/>
        <v>0</v>
      </c>
      <c r="W237" s="1304">
        <f>+'CY (ALL FUNDS)'!F1306</f>
        <v>0</v>
      </c>
      <c r="X237" s="1304">
        <f>+'CY (ALL FUNDS)'!G1306</f>
        <v>115654297.58</v>
      </c>
      <c r="Y237" s="1304">
        <f>+'CY (ALL FUNDS)'!H1306</f>
        <v>104357980</v>
      </c>
      <c r="Z237" s="1218">
        <f t="shared" si="250"/>
        <v>220012277.57999998</v>
      </c>
      <c r="AA237" s="1218">
        <f t="shared" si="251"/>
        <v>38827000</v>
      </c>
      <c r="AB237" s="1218">
        <f t="shared" si="252"/>
        <v>260655297.57999998</v>
      </c>
      <c r="AC237" s="1218">
        <f t="shared" si="253"/>
        <v>104357980</v>
      </c>
      <c r="AD237" s="1218">
        <f t="shared" si="254"/>
        <v>403840277.57999998</v>
      </c>
      <c r="AE237" s="1304">
        <f>+'CY (ALL FUNDS)'!J1305</f>
        <v>33709606.850000001</v>
      </c>
      <c r="AF237" s="1304">
        <f>+'CY (ALL FUNDS)'!K1305</f>
        <v>96773639.390000001</v>
      </c>
      <c r="AG237" s="1304">
        <f>+'CY (ALL FUNDS)'!L1305</f>
        <v>0</v>
      </c>
      <c r="AH237" s="1218">
        <f t="shared" si="299"/>
        <v>130483246.24000001</v>
      </c>
      <c r="AI237" s="1304">
        <f>+'CY (ALL FUNDS)'!J1306</f>
        <v>0</v>
      </c>
      <c r="AJ237" s="1304">
        <f>+'CY (ALL FUNDS)'!K1306</f>
        <v>59874194.969999999</v>
      </c>
      <c r="AK237" s="1304">
        <f>+'CY (ALL FUNDS)'!L1306</f>
        <v>84572524.929999992</v>
      </c>
      <c r="AL237" s="1218">
        <f t="shared" si="300"/>
        <v>144446719.89999998</v>
      </c>
      <c r="AM237" s="1218">
        <f t="shared" si="301"/>
        <v>33709606.850000001</v>
      </c>
      <c r="AN237" s="1218">
        <f t="shared" si="302"/>
        <v>156647834.36000001</v>
      </c>
      <c r="AO237" s="1218">
        <f t="shared" si="303"/>
        <v>84572524.929999992</v>
      </c>
      <c r="AP237" s="1218">
        <f t="shared" si="255"/>
        <v>274929966.13999999</v>
      </c>
      <c r="AQ237" s="1218">
        <f t="shared" si="256"/>
        <v>5117393.1499999985</v>
      </c>
      <c r="AR237" s="1218">
        <f t="shared" si="257"/>
        <v>104007463.21999997</v>
      </c>
      <c r="AS237" s="1218">
        <f t="shared" si="258"/>
        <v>19785455.070000008</v>
      </c>
      <c r="AT237" s="1218">
        <f t="shared" si="259"/>
        <v>128910311.43999998</v>
      </c>
      <c r="AU237" s="1219">
        <f t="shared" si="260"/>
        <v>0.86820014036624005</v>
      </c>
      <c r="AV237" s="1219">
        <f t="shared" si="261"/>
        <v>0.60097698306677183</v>
      </c>
      <c r="AW237" s="1219">
        <f t="shared" si="262"/>
        <v>0.81040783780981573</v>
      </c>
      <c r="AX237" s="1219">
        <f t="shared" si="263"/>
        <v>0.68078886976680253</v>
      </c>
      <c r="AY237" s="1218">
        <f t="shared" si="264"/>
        <v>0</v>
      </c>
      <c r="AZ237" s="1218">
        <f t="shared" si="265"/>
        <v>0</v>
      </c>
      <c r="BA237" s="1218">
        <f t="shared" si="266"/>
        <v>0</v>
      </c>
      <c r="BB237" s="1218">
        <f t="shared" si="267"/>
        <v>0</v>
      </c>
      <c r="BC237" s="125"/>
      <c r="BD237" s="105">
        <f>+AT237-'CY (ALL FUNDS)'!Q1305-'CY (ALL FUNDS)'!Q1306</f>
        <v>0</v>
      </c>
      <c r="BF237" s="105">
        <f t="shared" si="238"/>
        <v>48227360.609999999</v>
      </c>
      <c r="BP237" s="1312">
        <f>+'CY (ALL FUNDS)'!F1305</f>
        <v>38827000</v>
      </c>
      <c r="BQ237" s="1312">
        <f>+'CY (ALL FUNDS)'!G1305</f>
        <v>145001000</v>
      </c>
      <c r="BR237" s="1312">
        <f>+'CY (ALL FUNDS)'!H1305</f>
        <v>0</v>
      </c>
      <c r="BT237" s="111">
        <f t="shared" si="304"/>
        <v>0</v>
      </c>
      <c r="BU237" s="111">
        <f t="shared" si="305"/>
        <v>0</v>
      </c>
      <c r="BV237" s="111">
        <f t="shared" si="306"/>
        <v>0</v>
      </c>
    </row>
    <row r="238" spans="1:74" ht="12.75">
      <c r="A238" s="587" t="s">
        <v>938</v>
      </c>
      <c r="B238" s="1307" t="s">
        <v>537</v>
      </c>
      <c r="C238" s="1218"/>
      <c r="D238" s="1218">
        <v>0</v>
      </c>
      <c r="E238" s="1218">
        <v>0</v>
      </c>
      <c r="F238" s="1218">
        <f t="shared" si="292"/>
        <v>0</v>
      </c>
      <c r="G238" s="1218"/>
      <c r="H238" s="1218"/>
      <c r="I238" s="1218"/>
      <c r="J238" s="1218">
        <f t="shared" si="293"/>
        <v>0</v>
      </c>
      <c r="K238" s="1218">
        <f t="shared" si="294"/>
        <v>0</v>
      </c>
      <c r="L238" s="1218">
        <f t="shared" si="295"/>
        <v>0</v>
      </c>
      <c r="M238" s="1218">
        <f t="shared" si="296"/>
        <v>0</v>
      </c>
      <c r="N238" s="1218">
        <f t="shared" si="297"/>
        <v>0</v>
      </c>
      <c r="O238" s="1218"/>
      <c r="P238" s="1218">
        <v>0</v>
      </c>
      <c r="Q238" s="1218">
        <v>0</v>
      </c>
      <c r="R238" s="1218">
        <f t="shared" si="249"/>
        <v>0</v>
      </c>
      <c r="S238" s="1218"/>
      <c r="T238" s="1218"/>
      <c r="U238" s="1218"/>
      <c r="V238" s="1218">
        <f t="shared" si="298"/>
        <v>0</v>
      </c>
      <c r="W238" s="1304"/>
      <c r="X238" s="1304"/>
      <c r="Y238" s="1304"/>
      <c r="Z238" s="1218">
        <f t="shared" si="250"/>
        <v>0</v>
      </c>
      <c r="AA238" s="1218">
        <f t="shared" si="251"/>
        <v>0</v>
      </c>
      <c r="AB238" s="1218">
        <f t="shared" si="252"/>
        <v>0</v>
      </c>
      <c r="AC238" s="1218">
        <f t="shared" si="253"/>
        <v>0</v>
      </c>
      <c r="AD238" s="1218">
        <f t="shared" si="254"/>
        <v>0</v>
      </c>
      <c r="AE238" s="1304"/>
      <c r="AF238" s="1304"/>
      <c r="AG238" s="1304"/>
      <c r="AH238" s="1218">
        <f t="shared" si="299"/>
        <v>0</v>
      </c>
      <c r="AI238" s="1304"/>
      <c r="AJ238" s="1304"/>
      <c r="AK238" s="1304"/>
      <c r="AL238" s="1218">
        <f t="shared" si="300"/>
        <v>0</v>
      </c>
      <c r="AM238" s="1218">
        <f t="shared" si="301"/>
        <v>0</v>
      </c>
      <c r="AN238" s="1218">
        <f t="shared" si="302"/>
        <v>0</v>
      </c>
      <c r="AO238" s="1218">
        <f t="shared" si="303"/>
        <v>0</v>
      </c>
      <c r="AP238" s="1218">
        <f t="shared" si="255"/>
        <v>0</v>
      </c>
      <c r="AQ238" s="1218">
        <f t="shared" si="256"/>
        <v>0</v>
      </c>
      <c r="AR238" s="1218">
        <f t="shared" si="257"/>
        <v>0</v>
      </c>
      <c r="AS238" s="1218">
        <f t="shared" si="258"/>
        <v>0</v>
      </c>
      <c r="AT238" s="1218">
        <f t="shared" si="259"/>
        <v>0</v>
      </c>
      <c r="AU238" s="1219" t="str">
        <f t="shared" si="260"/>
        <v xml:space="preserve"> </v>
      </c>
      <c r="AV238" s="1219" t="str">
        <f t="shared" si="261"/>
        <v xml:space="preserve"> </v>
      </c>
      <c r="AW238" s="1219" t="str">
        <f t="shared" si="262"/>
        <v xml:space="preserve"> </v>
      </c>
      <c r="AX238" s="1219" t="str">
        <f t="shared" si="263"/>
        <v xml:space="preserve"> </v>
      </c>
      <c r="AY238" s="1218">
        <f t="shared" si="264"/>
        <v>0</v>
      </c>
      <c r="AZ238" s="1218">
        <f t="shared" si="265"/>
        <v>0</v>
      </c>
      <c r="BA238" s="1218">
        <f t="shared" si="266"/>
        <v>0</v>
      </c>
      <c r="BB238" s="1218">
        <f t="shared" si="267"/>
        <v>0</v>
      </c>
      <c r="BC238" s="125"/>
      <c r="BF238" s="105">
        <f t="shared" si="238"/>
        <v>0</v>
      </c>
      <c r="BP238" s="1312"/>
      <c r="BQ238" s="1312"/>
      <c r="BR238" s="1312"/>
    </row>
    <row r="239" spans="1:74" ht="36">
      <c r="A239" s="587" t="s">
        <v>938</v>
      </c>
      <c r="B239" s="1308" t="s">
        <v>589</v>
      </c>
      <c r="C239" s="1218">
        <v>117947000</v>
      </c>
      <c r="D239" s="1218">
        <v>41998000</v>
      </c>
      <c r="E239" s="1218">
        <v>0</v>
      </c>
      <c r="F239" s="1218">
        <f t="shared" si="292"/>
        <v>159945000</v>
      </c>
      <c r="G239" s="1218"/>
      <c r="H239" s="1218"/>
      <c r="I239" s="1218"/>
      <c r="J239" s="1218">
        <f t="shared" si="293"/>
        <v>0</v>
      </c>
      <c r="K239" s="1218">
        <f t="shared" si="294"/>
        <v>117947000</v>
      </c>
      <c r="L239" s="1218">
        <f t="shared" si="295"/>
        <v>41998000</v>
      </c>
      <c r="M239" s="1218">
        <f t="shared" si="296"/>
        <v>0</v>
      </c>
      <c r="N239" s="1218">
        <f t="shared" si="297"/>
        <v>159945000</v>
      </c>
      <c r="O239" s="1218">
        <v>117947000</v>
      </c>
      <c r="P239" s="1218">
        <v>41998000</v>
      </c>
      <c r="Q239" s="1218">
        <v>0</v>
      </c>
      <c r="R239" s="1218">
        <f t="shared" si="249"/>
        <v>159945000</v>
      </c>
      <c r="S239" s="1218"/>
      <c r="T239" s="1218"/>
      <c r="U239" s="1218"/>
      <c r="V239" s="1218">
        <f t="shared" si="298"/>
        <v>0</v>
      </c>
      <c r="W239" s="1304">
        <f>+'CY (ALL FUNDS)'!F1322</f>
        <v>0</v>
      </c>
      <c r="X239" s="1304">
        <f>+'CY (ALL FUNDS)'!G1322</f>
        <v>20084000</v>
      </c>
      <c r="Y239" s="1304">
        <f>+'CY (ALL FUNDS)'!H1322</f>
        <v>0</v>
      </c>
      <c r="Z239" s="1218">
        <f t="shared" si="250"/>
        <v>20084000</v>
      </c>
      <c r="AA239" s="1218">
        <f t="shared" si="251"/>
        <v>117947000</v>
      </c>
      <c r="AB239" s="1218">
        <f t="shared" si="252"/>
        <v>62082000</v>
      </c>
      <c r="AC239" s="1218">
        <f t="shared" si="253"/>
        <v>0</v>
      </c>
      <c r="AD239" s="1218">
        <f t="shared" si="254"/>
        <v>180029000</v>
      </c>
      <c r="AE239" s="1304">
        <f>+'CY (ALL FUNDS)'!J1321</f>
        <v>111642052.28000002</v>
      </c>
      <c r="AF239" s="1304">
        <f>+'CY (ALL FUNDS)'!K1321</f>
        <v>36490804.649999999</v>
      </c>
      <c r="AG239" s="1304">
        <f>+'CY (ALL FUNDS)'!L1321</f>
        <v>0</v>
      </c>
      <c r="AH239" s="1218">
        <f t="shared" si="299"/>
        <v>148132856.93000001</v>
      </c>
      <c r="AI239" s="1304">
        <f>+'CY (ALL FUNDS)'!J1322</f>
        <v>0</v>
      </c>
      <c r="AJ239" s="1304">
        <f>+'CY (ALL FUNDS)'!K1322</f>
        <v>18570259.149999999</v>
      </c>
      <c r="AK239" s="1304">
        <f>+'CY (ALL FUNDS)'!L1322</f>
        <v>0</v>
      </c>
      <c r="AL239" s="1218">
        <f t="shared" si="300"/>
        <v>18570259.149999999</v>
      </c>
      <c r="AM239" s="1218">
        <f t="shared" si="301"/>
        <v>111642052.28000002</v>
      </c>
      <c r="AN239" s="1218">
        <f t="shared" si="302"/>
        <v>55061063.799999997</v>
      </c>
      <c r="AO239" s="1218">
        <f t="shared" si="303"/>
        <v>0</v>
      </c>
      <c r="AP239" s="1218">
        <f t="shared" si="255"/>
        <v>166703116.08000001</v>
      </c>
      <c r="AQ239" s="1218">
        <f t="shared" si="256"/>
        <v>6304947.7199999839</v>
      </c>
      <c r="AR239" s="1218">
        <f t="shared" si="257"/>
        <v>7020936.200000003</v>
      </c>
      <c r="AS239" s="1218">
        <f t="shared" si="258"/>
        <v>0</v>
      </c>
      <c r="AT239" s="1218">
        <f t="shared" si="259"/>
        <v>13325883.919999987</v>
      </c>
      <c r="AU239" s="1219">
        <f t="shared" si="260"/>
        <v>0.94654422986595688</v>
      </c>
      <c r="AV239" s="1219">
        <f t="shared" si="261"/>
        <v>0.88690866595792661</v>
      </c>
      <c r="AW239" s="1219" t="str">
        <f t="shared" si="262"/>
        <v xml:space="preserve"> </v>
      </c>
      <c r="AX239" s="1219">
        <f t="shared" si="263"/>
        <v>0.92597923712290808</v>
      </c>
      <c r="AY239" s="1218">
        <f t="shared" si="264"/>
        <v>0</v>
      </c>
      <c r="AZ239" s="1218">
        <f t="shared" si="265"/>
        <v>0</v>
      </c>
      <c r="BA239" s="1218">
        <f t="shared" si="266"/>
        <v>0</v>
      </c>
      <c r="BB239" s="1218">
        <f t="shared" si="267"/>
        <v>0</v>
      </c>
      <c r="BC239" s="125"/>
      <c r="BF239" s="105">
        <f t="shared" si="238"/>
        <v>5507195.3500000015</v>
      </c>
      <c r="BP239" s="1312">
        <f>+'CY (ALL FUNDS)'!F1321</f>
        <v>117947000</v>
      </c>
      <c r="BQ239" s="1312">
        <f>+'CY (ALL FUNDS)'!G1321</f>
        <v>41998000</v>
      </c>
      <c r="BR239" s="1312">
        <f>+'CY (ALL FUNDS)'!H1321</f>
        <v>0</v>
      </c>
      <c r="BT239" s="111">
        <f t="shared" ref="BT239:BT240" si="307">+O239-BP239</f>
        <v>0</v>
      </c>
      <c r="BU239" s="111">
        <f t="shared" ref="BU239:BU240" si="308">+P239-BQ239</f>
        <v>0</v>
      </c>
      <c r="BV239" s="111">
        <f t="shared" ref="BV239:BV240" si="309">+Q239-BR239</f>
        <v>0</v>
      </c>
    </row>
    <row r="240" spans="1:74" ht="36">
      <c r="A240" s="587" t="s">
        <v>938</v>
      </c>
      <c r="B240" s="1309" t="s">
        <v>590</v>
      </c>
      <c r="C240" s="1218">
        <v>8559000</v>
      </c>
      <c r="D240" s="1218">
        <v>7009000</v>
      </c>
      <c r="E240" s="1218">
        <v>0</v>
      </c>
      <c r="F240" s="1218">
        <f t="shared" si="292"/>
        <v>15568000</v>
      </c>
      <c r="G240" s="1218"/>
      <c r="H240" s="1218"/>
      <c r="I240" s="1218"/>
      <c r="J240" s="1218">
        <f t="shared" si="293"/>
        <v>0</v>
      </c>
      <c r="K240" s="1218">
        <f t="shared" si="294"/>
        <v>8559000</v>
      </c>
      <c r="L240" s="1218">
        <f t="shared" si="295"/>
        <v>7009000</v>
      </c>
      <c r="M240" s="1218">
        <f t="shared" si="296"/>
        <v>0</v>
      </c>
      <c r="N240" s="1218">
        <f t="shared" si="297"/>
        <v>15568000</v>
      </c>
      <c r="O240" s="1279">
        <v>8559000</v>
      </c>
      <c r="P240" s="1218">
        <v>7009000</v>
      </c>
      <c r="Q240" s="1218">
        <v>0</v>
      </c>
      <c r="R240" s="1218">
        <f t="shared" si="249"/>
        <v>15568000</v>
      </c>
      <c r="S240" s="1218"/>
      <c r="T240" s="1218"/>
      <c r="U240" s="1218"/>
      <c r="V240" s="1218">
        <f t="shared" si="298"/>
        <v>0</v>
      </c>
      <c r="W240" s="1304">
        <f>+'CY (ALL FUNDS)'!F1337</f>
        <v>0</v>
      </c>
      <c r="X240" s="1304">
        <f>+'CY (ALL FUNDS)'!G1337</f>
        <v>2118000</v>
      </c>
      <c r="Y240" s="1304">
        <f>+'CY (ALL FUNDS)'!H1337</f>
        <v>23900000</v>
      </c>
      <c r="Z240" s="1218">
        <f t="shared" si="250"/>
        <v>26018000</v>
      </c>
      <c r="AA240" s="1218">
        <f t="shared" si="251"/>
        <v>8559000</v>
      </c>
      <c r="AB240" s="1218">
        <f t="shared" si="252"/>
        <v>9127000</v>
      </c>
      <c r="AC240" s="1218">
        <f t="shared" si="253"/>
        <v>23900000</v>
      </c>
      <c r="AD240" s="1218">
        <f t="shared" si="254"/>
        <v>41586000</v>
      </c>
      <c r="AE240" s="1304">
        <f>+'CY (ALL FUNDS)'!J1336</f>
        <v>7995249.5499999998</v>
      </c>
      <c r="AF240" s="1304">
        <f>+'CY (ALL FUNDS)'!K1336</f>
        <v>6032443.2800000003</v>
      </c>
      <c r="AG240" s="1304">
        <f>+'CY (ALL FUNDS)'!L1336</f>
        <v>0</v>
      </c>
      <c r="AH240" s="1218">
        <f t="shared" si="299"/>
        <v>14027692.83</v>
      </c>
      <c r="AI240" s="1304">
        <f>+'CY (ALL FUNDS)'!J1337</f>
        <v>0</v>
      </c>
      <c r="AJ240" s="1304">
        <f>+'CY (ALL FUNDS)'!K1337</f>
        <v>1241172.79</v>
      </c>
      <c r="AK240" s="1304">
        <f>+'CY (ALL FUNDS)'!L1337</f>
        <v>23899085.800000001</v>
      </c>
      <c r="AL240" s="1218">
        <f t="shared" si="300"/>
        <v>25140258.59</v>
      </c>
      <c r="AM240" s="1218">
        <f t="shared" si="301"/>
        <v>7995249.5499999998</v>
      </c>
      <c r="AN240" s="1218">
        <f t="shared" si="302"/>
        <v>7273616.0700000003</v>
      </c>
      <c r="AO240" s="1218">
        <f t="shared" si="303"/>
        <v>23899085.800000001</v>
      </c>
      <c r="AP240" s="1218">
        <f t="shared" si="255"/>
        <v>39167951.420000002</v>
      </c>
      <c r="AQ240" s="1218">
        <f t="shared" si="256"/>
        <v>563750.45000000019</v>
      </c>
      <c r="AR240" s="1218">
        <f t="shared" si="257"/>
        <v>1853383.9299999997</v>
      </c>
      <c r="AS240" s="1218">
        <f t="shared" si="258"/>
        <v>914.19999999925494</v>
      </c>
      <c r="AT240" s="1218">
        <f t="shared" si="259"/>
        <v>2418048.5799999991</v>
      </c>
      <c r="AU240" s="1219">
        <f t="shared" si="260"/>
        <v>0.93413360789811895</v>
      </c>
      <c r="AV240" s="1219">
        <f t="shared" si="261"/>
        <v>0.79693393995836537</v>
      </c>
      <c r="AW240" s="1219">
        <f t="shared" si="262"/>
        <v>0.99996174895397494</v>
      </c>
      <c r="AX240" s="1219">
        <f t="shared" si="263"/>
        <v>0.94185426393497818</v>
      </c>
      <c r="AY240" s="1218">
        <f t="shared" si="264"/>
        <v>0</v>
      </c>
      <c r="AZ240" s="1218">
        <f t="shared" si="265"/>
        <v>0</v>
      </c>
      <c r="BA240" s="1218">
        <f t="shared" si="266"/>
        <v>0</v>
      </c>
      <c r="BB240" s="1218">
        <f t="shared" si="267"/>
        <v>0</v>
      </c>
      <c r="BC240" s="125"/>
      <c r="BF240" s="105">
        <f t="shared" si="238"/>
        <v>976556.71999999974</v>
      </c>
      <c r="BP240" s="1312">
        <f>+'CY (ALL FUNDS)'!F1336</f>
        <v>8559000</v>
      </c>
      <c r="BQ240" s="1312">
        <f>+'CY (ALL FUNDS)'!G1336</f>
        <v>7009000</v>
      </c>
      <c r="BR240" s="1312">
        <f>+'CY (ALL FUNDS)'!H1336</f>
        <v>0</v>
      </c>
      <c r="BT240" s="111">
        <f t="shared" si="307"/>
        <v>0</v>
      </c>
      <c r="BU240" s="111">
        <f t="shared" si="308"/>
        <v>0</v>
      </c>
      <c r="BV240" s="111">
        <f t="shared" si="309"/>
        <v>0</v>
      </c>
    </row>
    <row r="241" spans="1:74">
      <c r="B241" s="1310"/>
      <c r="C241" s="1218"/>
      <c r="D241" s="1218"/>
      <c r="E241" s="1218"/>
      <c r="F241" s="1218"/>
      <c r="G241" s="1218"/>
      <c r="H241" s="1218"/>
      <c r="I241" s="1218"/>
      <c r="J241" s="1218"/>
      <c r="K241" s="1218"/>
      <c r="L241" s="1218"/>
      <c r="M241" s="1218"/>
      <c r="N241" s="1218"/>
      <c r="O241" s="1218"/>
      <c r="P241" s="1218"/>
      <c r="Q241" s="1218"/>
      <c r="R241" s="1218">
        <f t="shared" si="249"/>
        <v>0</v>
      </c>
      <c r="S241" s="1218"/>
      <c r="T241" s="1218"/>
      <c r="U241" s="1218"/>
      <c r="V241" s="1218"/>
      <c r="W241" s="1304"/>
      <c r="X241" s="1304"/>
      <c r="Y241" s="1304"/>
      <c r="Z241" s="1218">
        <f t="shared" si="250"/>
        <v>0</v>
      </c>
      <c r="AA241" s="1218">
        <f t="shared" si="251"/>
        <v>0</v>
      </c>
      <c r="AB241" s="1218">
        <f t="shared" si="252"/>
        <v>0</v>
      </c>
      <c r="AC241" s="1218">
        <f t="shared" si="253"/>
        <v>0</v>
      </c>
      <c r="AD241" s="1218">
        <f t="shared" si="254"/>
        <v>0</v>
      </c>
      <c r="AE241" s="1304"/>
      <c r="AF241" s="1304"/>
      <c r="AG241" s="1304"/>
      <c r="AH241" s="1218"/>
      <c r="AI241" s="1304"/>
      <c r="AJ241" s="1304"/>
      <c r="AK241" s="1304"/>
      <c r="AL241" s="1218"/>
      <c r="AM241" s="1218"/>
      <c r="AN241" s="1218"/>
      <c r="AO241" s="1218"/>
      <c r="AP241" s="1218">
        <f t="shared" si="255"/>
        <v>0</v>
      </c>
      <c r="AQ241" s="1218">
        <f t="shared" si="256"/>
        <v>0</v>
      </c>
      <c r="AR241" s="1218">
        <f t="shared" si="257"/>
        <v>0</v>
      </c>
      <c r="AS241" s="1218">
        <f t="shared" si="258"/>
        <v>0</v>
      </c>
      <c r="AT241" s="1218">
        <f t="shared" si="259"/>
        <v>0</v>
      </c>
      <c r="AU241" s="1219" t="str">
        <f t="shared" si="260"/>
        <v xml:space="preserve"> </v>
      </c>
      <c r="AV241" s="1219" t="str">
        <f t="shared" si="261"/>
        <v xml:space="preserve"> </v>
      </c>
      <c r="AW241" s="1219" t="str">
        <f t="shared" si="262"/>
        <v xml:space="preserve"> </v>
      </c>
      <c r="AX241" s="1219" t="str">
        <f t="shared" si="263"/>
        <v xml:space="preserve"> </v>
      </c>
      <c r="AY241" s="1218">
        <f t="shared" si="264"/>
        <v>0</v>
      </c>
      <c r="AZ241" s="1218">
        <f t="shared" si="265"/>
        <v>0</v>
      </c>
      <c r="BA241" s="1218">
        <f t="shared" si="266"/>
        <v>0</v>
      </c>
      <c r="BB241" s="1218">
        <f t="shared" si="267"/>
        <v>0</v>
      </c>
      <c r="BC241" s="125"/>
      <c r="BF241" s="105">
        <f t="shared" si="238"/>
        <v>0</v>
      </c>
      <c r="BP241" s="1312"/>
      <c r="BQ241" s="1312"/>
      <c r="BR241" s="1312"/>
    </row>
    <row r="242" spans="1:74" ht="12.75">
      <c r="A242" s="587" t="s">
        <v>938</v>
      </c>
      <c r="B242" s="1305" t="s">
        <v>40</v>
      </c>
      <c r="C242" s="1218">
        <f>SUM(C243:C248)</f>
        <v>178896000</v>
      </c>
      <c r="D242" s="1218">
        <f>SUM(D243:D248)</f>
        <v>203184000</v>
      </c>
      <c r="E242" s="1218">
        <f>SUM(E243:E248)</f>
        <v>0</v>
      </c>
      <c r="F242" s="1218">
        <f t="shared" ref="F242:AO242" si="310">SUM(F243:F248)</f>
        <v>382080000</v>
      </c>
      <c r="G242" s="1218">
        <f t="shared" si="310"/>
        <v>5538457</v>
      </c>
      <c r="H242" s="1218">
        <f t="shared" si="310"/>
        <v>-5538457</v>
      </c>
      <c r="I242" s="1218">
        <f t="shared" si="310"/>
        <v>0</v>
      </c>
      <c r="J242" s="1218">
        <f t="shared" si="310"/>
        <v>0</v>
      </c>
      <c r="K242" s="1218">
        <f t="shared" si="310"/>
        <v>184434457</v>
      </c>
      <c r="L242" s="1218">
        <f t="shared" si="310"/>
        <v>197645543</v>
      </c>
      <c r="M242" s="1218">
        <f t="shared" si="310"/>
        <v>0</v>
      </c>
      <c r="N242" s="1218">
        <f t="shared" si="310"/>
        <v>382080000</v>
      </c>
      <c r="O242" s="1218">
        <f t="shared" si="310"/>
        <v>184434457</v>
      </c>
      <c r="P242" s="1218">
        <f t="shared" si="310"/>
        <v>197645543</v>
      </c>
      <c r="Q242" s="1218">
        <f t="shared" si="310"/>
        <v>0</v>
      </c>
      <c r="R242" s="1218">
        <f t="shared" si="249"/>
        <v>382080000</v>
      </c>
      <c r="S242" s="1218"/>
      <c r="T242" s="1218"/>
      <c r="U242" s="1218"/>
      <c r="V242" s="1218">
        <f>SUM(V243:V248)</f>
        <v>0</v>
      </c>
      <c r="W242" s="1218">
        <f t="shared" si="310"/>
        <v>0</v>
      </c>
      <c r="X242" s="1218">
        <f t="shared" si="310"/>
        <v>151091069</v>
      </c>
      <c r="Y242" s="1218">
        <f t="shared" si="310"/>
        <v>115773000</v>
      </c>
      <c r="Z242" s="1218">
        <f t="shared" si="250"/>
        <v>266864069</v>
      </c>
      <c r="AA242" s="1218">
        <f t="shared" si="251"/>
        <v>184434457</v>
      </c>
      <c r="AB242" s="1218">
        <f t="shared" si="252"/>
        <v>348736612</v>
      </c>
      <c r="AC242" s="1218">
        <f t="shared" si="253"/>
        <v>115773000</v>
      </c>
      <c r="AD242" s="1218">
        <f t="shared" si="254"/>
        <v>648944069</v>
      </c>
      <c r="AE242" s="1218">
        <f t="shared" si="310"/>
        <v>168274061.09999999</v>
      </c>
      <c r="AF242" s="1218">
        <f t="shared" si="310"/>
        <v>173348412.53</v>
      </c>
      <c r="AG242" s="1218">
        <f t="shared" si="310"/>
        <v>0</v>
      </c>
      <c r="AH242" s="1218">
        <f t="shared" si="310"/>
        <v>341622473.63</v>
      </c>
      <c r="AI242" s="1218">
        <f t="shared" si="310"/>
        <v>0</v>
      </c>
      <c r="AJ242" s="1218">
        <f t="shared" si="310"/>
        <v>114243668.54000001</v>
      </c>
      <c r="AK242" s="1218">
        <f t="shared" si="310"/>
        <v>95159160.830000013</v>
      </c>
      <c r="AL242" s="1218">
        <f t="shared" si="310"/>
        <v>209402829.37000003</v>
      </c>
      <c r="AM242" s="1218">
        <f t="shared" si="310"/>
        <v>168274061.09999999</v>
      </c>
      <c r="AN242" s="1218">
        <f t="shared" si="310"/>
        <v>287592081.06999999</v>
      </c>
      <c r="AO242" s="1218">
        <f t="shared" si="310"/>
        <v>95159160.830000013</v>
      </c>
      <c r="AP242" s="1218">
        <f t="shared" si="255"/>
        <v>551025303</v>
      </c>
      <c r="AQ242" s="1218">
        <f t="shared" si="256"/>
        <v>16160395.900000006</v>
      </c>
      <c r="AR242" s="1218">
        <f t="shared" si="257"/>
        <v>61144530.930000007</v>
      </c>
      <c r="AS242" s="1218">
        <f t="shared" si="258"/>
        <v>20613839.169999987</v>
      </c>
      <c r="AT242" s="1218">
        <f t="shared" si="259"/>
        <v>97918766</v>
      </c>
      <c r="AU242" s="1315">
        <f t="shared" si="260"/>
        <v>0.91237865113241823</v>
      </c>
      <c r="AV242" s="1315">
        <f t="shared" si="261"/>
        <v>0.82466844940846074</v>
      </c>
      <c r="AW242" s="1315">
        <f t="shared" si="262"/>
        <v>0.8219460567662582</v>
      </c>
      <c r="AX242" s="1315">
        <f t="shared" si="263"/>
        <v>0.84911062343032218</v>
      </c>
      <c r="AY242" s="1218">
        <f t="shared" si="264"/>
        <v>0</v>
      </c>
      <c r="AZ242" s="1218">
        <f t="shared" si="265"/>
        <v>0</v>
      </c>
      <c r="BA242" s="1218">
        <f t="shared" si="266"/>
        <v>0</v>
      </c>
      <c r="BB242" s="1218">
        <f t="shared" si="267"/>
        <v>0</v>
      </c>
      <c r="BC242" s="125"/>
      <c r="BF242" s="105">
        <f t="shared" si="238"/>
        <v>24297130.469999999</v>
      </c>
      <c r="BP242" s="1313"/>
      <c r="BQ242" s="1313"/>
      <c r="BR242" s="1313"/>
    </row>
    <row r="243" spans="1:74" ht="36">
      <c r="A243" s="587" t="s">
        <v>938</v>
      </c>
      <c r="B243" s="1306" t="s">
        <v>534</v>
      </c>
      <c r="C243" s="1218">
        <v>17694000</v>
      </c>
      <c r="D243" s="1218">
        <v>6448000</v>
      </c>
      <c r="E243" s="1218">
        <v>0</v>
      </c>
      <c r="F243" s="1218">
        <f t="shared" si="292"/>
        <v>24142000</v>
      </c>
      <c r="G243" s="1218">
        <v>125000</v>
      </c>
      <c r="H243" s="1218">
        <v>-125000</v>
      </c>
      <c r="I243" s="1218"/>
      <c r="J243" s="1218">
        <f t="shared" si="293"/>
        <v>0</v>
      </c>
      <c r="K243" s="1218">
        <f t="shared" si="294"/>
        <v>17819000</v>
      </c>
      <c r="L243" s="1218">
        <f t="shared" si="295"/>
        <v>6323000</v>
      </c>
      <c r="M243" s="1218">
        <f t="shared" si="296"/>
        <v>0</v>
      </c>
      <c r="N243" s="1218">
        <f t="shared" si="297"/>
        <v>24142000</v>
      </c>
      <c r="O243" s="1218">
        <v>17819000</v>
      </c>
      <c r="P243" s="1218">
        <v>6323000</v>
      </c>
      <c r="Q243" s="1218">
        <v>0</v>
      </c>
      <c r="R243" s="1218">
        <f t="shared" si="249"/>
        <v>24142000</v>
      </c>
      <c r="S243" s="1218"/>
      <c r="T243" s="1218"/>
      <c r="U243" s="1218"/>
      <c r="V243" s="1218">
        <f t="shared" si="298"/>
        <v>0</v>
      </c>
      <c r="W243" s="1304"/>
      <c r="X243" s="1304"/>
      <c r="Y243" s="1304"/>
      <c r="Z243" s="1218">
        <f t="shared" si="250"/>
        <v>0</v>
      </c>
      <c r="AA243" s="1218">
        <f t="shared" si="251"/>
        <v>17819000</v>
      </c>
      <c r="AB243" s="1218">
        <f t="shared" si="252"/>
        <v>6323000</v>
      </c>
      <c r="AC243" s="1218">
        <f t="shared" si="253"/>
        <v>0</v>
      </c>
      <c r="AD243" s="1218">
        <f t="shared" si="254"/>
        <v>24142000</v>
      </c>
      <c r="AE243" s="1304">
        <f>+'CY (ALL FUNDS)'!J1368</f>
        <v>21460831.979999997</v>
      </c>
      <c r="AF243" s="1304">
        <f>+'CY (ALL FUNDS)'!K1368</f>
        <v>6116233.9199999999</v>
      </c>
      <c r="AG243" s="1304">
        <f>+'CY (ALL FUNDS)'!L1368</f>
        <v>0</v>
      </c>
      <c r="AH243" s="1218">
        <f t="shared" si="299"/>
        <v>27577065.899999999</v>
      </c>
      <c r="AI243" s="1304"/>
      <c r="AJ243" s="1304"/>
      <c r="AK243" s="1304"/>
      <c r="AL243" s="1218">
        <f t="shared" si="300"/>
        <v>0</v>
      </c>
      <c r="AM243" s="1218">
        <f t="shared" ref="AM243:AM248" si="311">+AE243+AI243</f>
        <v>21460831.979999997</v>
      </c>
      <c r="AN243" s="1218">
        <f t="shared" ref="AN243:AN248" si="312">+AF243+AJ243</f>
        <v>6116233.9199999999</v>
      </c>
      <c r="AO243" s="1218">
        <f t="shared" ref="AO243:AO248" si="313">+AG243+AK243</f>
        <v>0</v>
      </c>
      <c r="AP243" s="1218">
        <f t="shared" si="255"/>
        <v>27577065.899999999</v>
      </c>
      <c r="AQ243" s="1218">
        <f t="shared" si="256"/>
        <v>-3641831.9799999967</v>
      </c>
      <c r="AR243" s="1218">
        <f t="shared" si="257"/>
        <v>206766.08000000007</v>
      </c>
      <c r="AS243" s="1218">
        <f t="shared" si="258"/>
        <v>0</v>
      </c>
      <c r="AT243" s="1218">
        <f t="shared" si="259"/>
        <v>-3435065.8999999966</v>
      </c>
      <c r="AU243" s="1219">
        <f t="shared" si="260"/>
        <v>1.2043791447331498</v>
      </c>
      <c r="AV243" s="1219">
        <f t="shared" si="261"/>
        <v>0.96729937055195314</v>
      </c>
      <c r="AW243" s="1219" t="str">
        <f t="shared" si="262"/>
        <v xml:space="preserve"> </v>
      </c>
      <c r="AX243" s="1219">
        <f t="shared" si="263"/>
        <v>1.1422858876646507</v>
      </c>
      <c r="AY243" s="1218">
        <f t="shared" si="264"/>
        <v>0</v>
      </c>
      <c r="AZ243" s="1218">
        <f t="shared" si="265"/>
        <v>0</v>
      </c>
      <c r="BA243" s="1218">
        <f t="shared" si="266"/>
        <v>0</v>
      </c>
      <c r="BB243" s="1218">
        <f t="shared" si="267"/>
        <v>0</v>
      </c>
      <c r="BC243" s="125"/>
      <c r="BD243" s="105">
        <f>+AT243-'CY (ALL FUNDS)'!Q1368</f>
        <v>-5413457</v>
      </c>
      <c r="BF243" s="105">
        <f t="shared" si="238"/>
        <v>206766.08000000007</v>
      </c>
      <c r="BP243" s="1312">
        <f>+'CY (ALL FUNDS)'!F1368</f>
        <v>23232457</v>
      </c>
      <c r="BQ243" s="1312">
        <f>+'CY (ALL FUNDS)'!G1368</f>
        <v>6323000</v>
      </c>
      <c r="BR243" s="1312">
        <f>+'CY (ALL FUNDS)'!H1368</f>
        <v>0</v>
      </c>
      <c r="BT243" s="111">
        <f t="shared" ref="BT243:BT245" si="314">+O243-BP243</f>
        <v>-5413457</v>
      </c>
      <c r="BU243" s="111">
        <f t="shared" ref="BU243:BU245" si="315">+P243-BQ243</f>
        <v>0</v>
      </c>
      <c r="BV243" s="111">
        <f t="shared" ref="BV243:BV245" si="316">+Q243-BR243</f>
        <v>0</v>
      </c>
    </row>
    <row r="244" spans="1:74" ht="12.75">
      <c r="A244" s="587" t="s">
        <v>938</v>
      </c>
      <c r="B244" s="1307" t="s">
        <v>535</v>
      </c>
      <c r="C244" s="1218">
        <v>1504000</v>
      </c>
      <c r="D244" s="1218">
        <v>9057000</v>
      </c>
      <c r="E244" s="1218">
        <v>0</v>
      </c>
      <c r="F244" s="1218">
        <f t="shared" si="292"/>
        <v>10561000</v>
      </c>
      <c r="G244" s="1218">
        <v>746161</v>
      </c>
      <c r="H244" s="1218">
        <v>-746161</v>
      </c>
      <c r="I244" s="1218"/>
      <c r="J244" s="1218">
        <f t="shared" si="293"/>
        <v>0</v>
      </c>
      <c r="K244" s="1218">
        <f t="shared" si="294"/>
        <v>2250161</v>
      </c>
      <c r="L244" s="1218">
        <f t="shared" si="295"/>
        <v>8310839</v>
      </c>
      <c r="M244" s="1218">
        <f t="shared" si="296"/>
        <v>0</v>
      </c>
      <c r="N244" s="1218">
        <f t="shared" si="297"/>
        <v>10561000</v>
      </c>
      <c r="O244" s="1218">
        <v>2250161</v>
      </c>
      <c r="P244" s="1218">
        <v>8310839</v>
      </c>
      <c r="Q244" s="1218">
        <v>0</v>
      </c>
      <c r="R244" s="1218">
        <f t="shared" si="249"/>
        <v>10561000</v>
      </c>
      <c r="S244" s="1218"/>
      <c r="T244" s="1218"/>
      <c r="U244" s="1218"/>
      <c r="V244" s="1218">
        <f t="shared" si="298"/>
        <v>0</v>
      </c>
      <c r="W244" s="1304"/>
      <c r="X244" s="1304"/>
      <c r="Y244" s="1304"/>
      <c r="Z244" s="1218">
        <f t="shared" si="250"/>
        <v>0</v>
      </c>
      <c r="AA244" s="1218">
        <f t="shared" si="251"/>
        <v>2250161</v>
      </c>
      <c r="AB244" s="1218">
        <f t="shared" si="252"/>
        <v>8310839</v>
      </c>
      <c r="AC244" s="1218">
        <f t="shared" si="253"/>
        <v>0</v>
      </c>
      <c r="AD244" s="1218">
        <f t="shared" si="254"/>
        <v>10561000</v>
      </c>
      <c r="AE244" s="1304">
        <f>+'CY (ALL FUNDS)'!J1369</f>
        <v>1494208.54</v>
      </c>
      <c r="AF244" s="1304">
        <f>+'CY (ALL FUNDS)'!K1369</f>
        <v>6406855.1899999976</v>
      </c>
      <c r="AG244" s="1304">
        <f>+'CY (ALL FUNDS)'!L1369</f>
        <v>0</v>
      </c>
      <c r="AH244" s="1218">
        <f t="shared" si="299"/>
        <v>7901063.7299999977</v>
      </c>
      <c r="AI244" s="1304"/>
      <c r="AJ244" s="1304"/>
      <c r="AK244" s="1304"/>
      <c r="AL244" s="1218">
        <f t="shared" si="300"/>
        <v>0</v>
      </c>
      <c r="AM244" s="1218">
        <f t="shared" si="311"/>
        <v>1494208.54</v>
      </c>
      <c r="AN244" s="1218">
        <f t="shared" si="312"/>
        <v>6406855.1899999976</v>
      </c>
      <c r="AO244" s="1218">
        <f t="shared" si="313"/>
        <v>0</v>
      </c>
      <c r="AP244" s="1218">
        <f t="shared" si="255"/>
        <v>7901063.7299999977</v>
      </c>
      <c r="AQ244" s="1218">
        <f t="shared" si="256"/>
        <v>755952.46</v>
      </c>
      <c r="AR244" s="1218">
        <f t="shared" si="257"/>
        <v>1903983.8100000024</v>
      </c>
      <c r="AS244" s="1218">
        <f t="shared" si="258"/>
        <v>0</v>
      </c>
      <c r="AT244" s="1218">
        <f t="shared" si="259"/>
        <v>2659936.2700000023</v>
      </c>
      <c r="AU244" s="1219">
        <f t="shared" si="260"/>
        <v>0.66404516832351113</v>
      </c>
      <c r="AV244" s="1219">
        <f t="shared" si="261"/>
        <v>0.77090353813856793</v>
      </c>
      <c r="AW244" s="1219" t="str">
        <f t="shared" si="262"/>
        <v xml:space="preserve"> </v>
      </c>
      <c r="AX244" s="1219">
        <f t="shared" si="263"/>
        <v>0.74813594640659009</v>
      </c>
      <c r="AY244" s="1218">
        <f t="shared" si="264"/>
        <v>0</v>
      </c>
      <c r="AZ244" s="1218">
        <f t="shared" si="265"/>
        <v>0</v>
      </c>
      <c r="BA244" s="1218">
        <f t="shared" si="266"/>
        <v>0</v>
      </c>
      <c r="BB244" s="1218">
        <f t="shared" si="267"/>
        <v>0</v>
      </c>
      <c r="BC244" s="125"/>
      <c r="BD244" s="105">
        <f>+AT244-'CY (ALL FUNDS)'!Q1369</f>
        <v>746161</v>
      </c>
      <c r="BF244" s="105">
        <f t="shared" si="238"/>
        <v>1903983.8100000024</v>
      </c>
      <c r="BP244" s="1312">
        <f>+'CY (ALL FUNDS)'!F1369</f>
        <v>1504000</v>
      </c>
      <c r="BQ244" s="1312">
        <f>+'CY (ALL FUNDS)'!G1369</f>
        <v>8310839</v>
      </c>
      <c r="BR244" s="1312">
        <f>+'CY (ALL FUNDS)'!H1369</f>
        <v>0</v>
      </c>
      <c r="BT244" s="111">
        <f t="shared" si="314"/>
        <v>746161</v>
      </c>
      <c r="BU244" s="111">
        <f t="shared" si="315"/>
        <v>0</v>
      </c>
      <c r="BV244" s="111">
        <f t="shared" si="316"/>
        <v>0</v>
      </c>
    </row>
    <row r="245" spans="1:74" ht="36">
      <c r="A245" s="587" t="s">
        <v>938</v>
      </c>
      <c r="B245" s="1306" t="s">
        <v>536</v>
      </c>
      <c r="C245" s="1218">
        <v>47550000</v>
      </c>
      <c r="D245" s="1218">
        <v>132915000</v>
      </c>
      <c r="E245" s="1218">
        <v>0</v>
      </c>
      <c r="F245" s="1218">
        <f t="shared" si="292"/>
        <v>180465000</v>
      </c>
      <c r="G245" s="1218">
        <v>4667296</v>
      </c>
      <c r="H245" s="1218">
        <v>-4667296</v>
      </c>
      <c r="I245" s="1218"/>
      <c r="J245" s="1218">
        <f t="shared" si="293"/>
        <v>0</v>
      </c>
      <c r="K245" s="1218">
        <f t="shared" si="294"/>
        <v>52217296</v>
      </c>
      <c r="L245" s="1218">
        <f t="shared" si="295"/>
        <v>128247704</v>
      </c>
      <c r="M245" s="1218">
        <f t="shared" si="296"/>
        <v>0</v>
      </c>
      <c r="N245" s="1218">
        <f t="shared" si="297"/>
        <v>180465000</v>
      </c>
      <c r="O245" s="1218">
        <v>52217296</v>
      </c>
      <c r="P245" s="1218">
        <v>128247704</v>
      </c>
      <c r="Q245" s="1218">
        <v>0</v>
      </c>
      <c r="R245" s="1218">
        <f t="shared" si="249"/>
        <v>180465000</v>
      </c>
      <c r="S245" s="1218"/>
      <c r="T245" s="1218"/>
      <c r="U245" s="1218"/>
      <c r="V245" s="1218">
        <f t="shared" si="298"/>
        <v>0</v>
      </c>
      <c r="W245" s="1304">
        <f>+'CY (ALL FUNDS)'!F1371</f>
        <v>0</v>
      </c>
      <c r="X245" s="1304">
        <f>+'CY (ALL FUNDS)'!G1371</f>
        <v>131752069</v>
      </c>
      <c r="Y245" s="1304">
        <f>+'CY (ALL FUNDS)'!H1371</f>
        <v>8543000</v>
      </c>
      <c r="Z245" s="1218">
        <f t="shared" si="250"/>
        <v>140295069</v>
      </c>
      <c r="AA245" s="1218">
        <f t="shared" si="251"/>
        <v>52217296</v>
      </c>
      <c r="AB245" s="1218">
        <f t="shared" si="252"/>
        <v>259999773</v>
      </c>
      <c r="AC245" s="1218">
        <f t="shared" si="253"/>
        <v>8543000</v>
      </c>
      <c r="AD245" s="1218">
        <f t="shared" si="254"/>
        <v>320760069</v>
      </c>
      <c r="AE245" s="1304">
        <f>+'CY (ALL FUNDS)'!J1370</f>
        <v>40820702.539999992</v>
      </c>
      <c r="AF245" s="1304">
        <f>+'CY (ALL FUNDS)'!K1370</f>
        <v>115901033.06</v>
      </c>
      <c r="AG245" s="1304">
        <f>+'CY (ALL FUNDS)'!L1370</f>
        <v>0</v>
      </c>
      <c r="AH245" s="1218">
        <f t="shared" si="299"/>
        <v>156721735.59999999</v>
      </c>
      <c r="AI245" s="1304">
        <f>+'CY (ALL FUNDS)'!J1371</f>
        <v>0</v>
      </c>
      <c r="AJ245" s="1304">
        <f>+'CY (ALL FUNDS)'!K1371</f>
        <v>99760848.890000001</v>
      </c>
      <c r="AK245" s="1304">
        <f>+'CY (ALL FUNDS)'!L1371</f>
        <v>8539701.8100000005</v>
      </c>
      <c r="AL245" s="1218">
        <f t="shared" si="300"/>
        <v>108300550.7</v>
      </c>
      <c r="AM245" s="1218">
        <f t="shared" si="311"/>
        <v>40820702.539999992</v>
      </c>
      <c r="AN245" s="1218">
        <f t="shared" si="312"/>
        <v>215661881.94999999</v>
      </c>
      <c r="AO245" s="1218">
        <f t="shared" si="313"/>
        <v>8539701.8100000005</v>
      </c>
      <c r="AP245" s="1218">
        <f t="shared" si="255"/>
        <v>265022286.29999998</v>
      </c>
      <c r="AQ245" s="1218">
        <f t="shared" si="256"/>
        <v>11396593.460000008</v>
      </c>
      <c r="AR245" s="1218">
        <f t="shared" si="257"/>
        <v>44337891.050000012</v>
      </c>
      <c r="AS245" s="1218">
        <f t="shared" si="258"/>
        <v>3298.1899999994785</v>
      </c>
      <c r="AT245" s="1218">
        <f t="shared" si="259"/>
        <v>55737782.700000018</v>
      </c>
      <c r="AU245" s="1219">
        <f t="shared" si="260"/>
        <v>0.7817467710315753</v>
      </c>
      <c r="AV245" s="1219">
        <f t="shared" si="261"/>
        <v>0.82946950092144889</v>
      </c>
      <c r="AW245" s="1219">
        <f t="shared" si="262"/>
        <v>0.99961393070350002</v>
      </c>
      <c r="AX245" s="1219">
        <f t="shared" si="263"/>
        <v>0.82623216513898423</v>
      </c>
      <c r="AY245" s="1218">
        <f t="shared" si="264"/>
        <v>0</v>
      </c>
      <c r="AZ245" s="1218">
        <f t="shared" si="265"/>
        <v>0</v>
      </c>
      <c r="BA245" s="1218">
        <f t="shared" si="266"/>
        <v>0</v>
      </c>
      <c r="BB245" s="1218">
        <f t="shared" si="267"/>
        <v>0</v>
      </c>
      <c r="BC245" s="125"/>
      <c r="BD245" s="105">
        <f>+AT245-'CY (ALL FUNDS)'!Q1370-'CY (ALL FUNDS)'!Q1371</f>
        <v>4667296.0000000149</v>
      </c>
      <c r="BF245" s="105">
        <f t="shared" si="238"/>
        <v>12346670.939999998</v>
      </c>
      <c r="BP245" s="1312">
        <f>+'CY (ALL FUNDS)'!F1370</f>
        <v>47550000</v>
      </c>
      <c r="BQ245" s="1312">
        <f>+'CY (ALL FUNDS)'!G1370</f>
        <v>128247704</v>
      </c>
      <c r="BR245" s="1312">
        <f>+'CY (ALL FUNDS)'!H1370</f>
        <v>0</v>
      </c>
      <c r="BT245" s="111">
        <f t="shared" si="314"/>
        <v>4667296</v>
      </c>
      <c r="BU245" s="111">
        <f t="shared" si="315"/>
        <v>0</v>
      </c>
      <c r="BV245" s="111">
        <f t="shared" si="316"/>
        <v>0</v>
      </c>
    </row>
    <row r="246" spans="1:74" ht="12.75">
      <c r="A246" s="587" t="s">
        <v>938</v>
      </c>
      <c r="B246" s="1307" t="s">
        <v>537</v>
      </c>
      <c r="C246" s="1218">
        <v>0</v>
      </c>
      <c r="D246" s="1218">
        <v>0</v>
      </c>
      <c r="E246" s="1218">
        <v>0</v>
      </c>
      <c r="F246" s="1218">
        <f t="shared" si="292"/>
        <v>0</v>
      </c>
      <c r="G246" s="1218"/>
      <c r="H246" s="1218"/>
      <c r="I246" s="1218"/>
      <c r="J246" s="1218">
        <f t="shared" si="293"/>
        <v>0</v>
      </c>
      <c r="K246" s="1218">
        <f t="shared" si="294"/>
        <v>0</v>
      </c>
      <c r="L246" s="1218">
        <f t="shared" si="295"/>
        <v>0</v>
      </c>
      <c r="M246" s="1218">
        <f t="shared" si="296"/>
        <v>0</v>
      </c>
      <c r="N246" s="1218">
        <f t="shared" si="297"/>
        <v>0</v>
      </c>
      <c r="O246" s="1218">
        <v>0</v>
      </c>
      <c r="P246" s="1218">
        <v>0</v>
      </c>
      <c r="Q246" s="1218">
        <v>0</v>
      </c>
      <c r="R246" s="1218">
        <f t="shared" si="249"/>
        <v>0</v>
      </c>
      <c r="S246" s="1218"/>
      <c r="T246" s="1218"/>
      <c r="U246" s="1218"/>
      <c r="V246" s="1218">
        <f t="shared" si="298"/>
        <v>0</v>
      </c>
      <c r="W246" s="1304"/>
      <c r="X246" s="1304"/>
      <c r="Y246" s="1304"/>
      <c r="Z246" s="1218">
        <f t="shared" si="250"/>
        <v>0</v>
      </c>
      <c r="AA246" s="1218">
        <f t="shared" si="251"/>
        <v>0</v>
      </c>
      <c r="AB246" s="1218">
        <f t="shared" si="252"/>
        <v>0</v>
      </c>
      <c r="AC246" s="1218">
        <f t="shared" si="253"/>
        <v>0</v>
      </c>
      <c r="AD246" s="1218">
        <f t="shared" si="254"/>
        <v>0</v>
      </c>
      <c r="AE246" s="1304"/>
      <c r="AF246" s="1304"/>
      <c r="AG246" s="1304"/>
      <c r="AH246" s="1218">
        <f t="shared" si="299"/>
        <v>0</v>
      </c>
      <c r="AI246" s="1304"/>
      <c r="AJ246" s="1304"/>
      <c r="AK246" s="1304"/>
      <c r="AL246" s="1218">
        <f t="shared" si="300"/>
        <v>0</v>
      </c>
      <c r="AM246" s="1218">
        <f t="shared" si="311"/>
        <v>0</v>
      </c>
      <c r="AN246" s="1218">
        <f t="shared" si="312"/>
        <v>0</v>
      </c>
      <c r="AO246" s="1218">
        <f t="shared" si="313"/>
        <v>0</v>
      </c>
      <c r="AP246" s="1218">
        <f t="shared" si="255"/>
        <v>0</v>
      </c>
      <c r="AQ246" s="1218">
        <f t="shared" si="256"/>
        <v>0</v>
      </c>
      <c r="AR246" s="1218">
        <f t="shared" si="257"/>
        <v>0</v>
      </c>
      <c r="AS246" s="1218">
        <f t="shared" si="258"/>
        <v>0</v>
      </c>
      <c r="AT246" s="1218">
        <f t="shared" si="259"/>
        <v>0</v>
      </c>
      <c r="AU246" s="1219" t="str">
        <f t="shared" si="260"/>
        <v xml:space="preserve"> </v>
      </c>
      <c r="AV246" s="1219" t="str">
        <f t="shared" si="261"/>
        <v xml:space="preserve"> </v>
      </c>
      <c r="AW246" s="1219" t="str">
        <f t="shared" si="262"/>
        <v xml:space="preserve"> </v>
      </c>
      <c r="AX246" s="1219" t="str">
        <f t="shared" si="263"/>
        <v xml:space="preserve"> </v>
      </c>
      <c r="AY246" s="1218">
        <f t="shared" si="264"/>
        <v>0</v>
      </c>
      <c r="AZ246" s="1218">
        <f t="shared" si="265"/>
        <v>0</v>
      </c>
      <c r="BA246" s="1218">
        <f t="shared" si="266"/>
        <v>0</v>
      </c>
      <c r="BB246" s="1218">
        <f t="shared" si="267"/>
        <v>0</v>
      </c>
      <c r="BC246" s="125"/>
      <c r="BF246" s="105">
        <f t="shared" si="238"/>
        <v>0</v>
      </c>
      <c r="BP246" s="1312"/>
      <c r="BQ246" s="1312"/>
      <c r="BR246" s="1312"/>
    </row>
    <row r="247" spans="1:74" ht="24">
      <c r="A247" s="587" t="s">
        <v>938</v>
      </c>
      <c r="B247" s="1309" t="s">
        <v>591</v>
      </c>
      <c r="C247" s="1218">
        <v>78144000</v>
      </c>
      <c r="D247" s="1218">
        <v>37869000</v>
      </c>
      <c r="E247" s="1218">
        <v>0</v>
      </c>
      <c r="F247" s="1218">
        <f t="shared" si="292"/>
        <v>116013000</v>
      </c>
      <c r="G247" s="1218"/>
      <c r="H247" s="1218"/>
      <c r="I247" s="1218"/>
      <c r="J247" s="1218">
        <f t="shared" si="293"/>
        <v>0</v>
      </c>
      <c r="K247" s="1218">
        <f t="shared" si="294"/>
        <v>78144000</v>
      </c>
      <c r="L247" s="1218">
        <f t="shared" si="295"/>
        <v>37869000</v>
      </c>
      <c r="M247" s="1218">
        <f t="shared" si="296"/>
        <v>0</v>
      </c>
      <c r="N247" s="1218">
        <f t="shared" si="297"/>
        <v>116013000</v>
      </c>
      <c r="O247" s="1218">
        <v>78144000</v>
      </c>
      <c r="P247" s="1218">
        <v>37869000</v>
      </c>
      <c r="Q247" s="1218">
        <v>0</v>
      </c>
      <c r="R247" s="1218">
        <f t="shared" si="249"/>
        <v>116013000</v>
      </c>
      <c r="S247" s="1218"/>
      <c r="T247" s="1218"/>
      <c r="U247" s="1218"/>
      <c r="V247" s="1218">
        <f t="shared" si="298"/>
        <v>0</v>
      </c>
      <c r="W247" s="1304">
        <f>+'CY (ALL FUNDS)'!F1387</f>
        <v>0</v>
      </c>
      <c r="X247" s="1304">
        <f>+'CY (ALL FUNDS)'!G1387</f>
        <v>14999000</v>
      </c>
      <c r="Y247" s="1304">
        <f>+'CY (ALL FUNDS)'!H1387</f>
        <v>80000000</v>
      </c>
      <c r="Z247" s="1218">
        <f t="shared" si="250"/>
        <v>94999000</v>
      </c>
      <c r="AA247" s="1218">
        <f t="shared" si="251"/>
        <v>78144000</v>
      </c>
      <c r="AB247" s="1218">
        <f t="shared" si="252"/>
        <v>52868000</v>
      </c>
      <c r="AC247" s="1218">
        <f t="shared" si="253"/>
        <v>80000000</v>
      </c>
      <c r="AD247" s="1218">
        <f t="shared" si="254"/>
        <v>211012000</v>
      </c>
      <c r="AE247" s="1304">
        <f>+'CY (ALL FUNDS)'!J1386</f>
        <v>74250528.850000009</v>
      </c>
      <c r="AF247" s="1304">
        <f>+'CY (ALL FUNDS)'!K1386</f>
        <v>31369782.43</v>
      </c>
      <c r="AG247" s="1304">
        <f>+'CY (ALL FUNDS)'!L1386</f>
        <v>0</v>
      </c>
      <c r="AH247" s="1218">
        <f t="shared" si="299"/>
        <v>105620311.28</v>
      </c>
      <c r="AI247" s="1304">
        <f>+'CY (ALL FUNDS)'!J1387</f>
        <v>0</v>
      </c>
      <c r="AJ247" s="1304">
        <f>+'CY (ALL FUNDS)'!K1387</f>
        <v>11013196.09</v>
      </c>
      <c r="AK247" s="1304">
        <f>+'CY (ALL FUNDS)'!L1387</f>
        <v>79939489.620000005</v>
      </c>
      <c r="AL247" s="1218">
        <f t="shared" si="300"/>
        <v>90952685.710000008</v>
      </c>
      <c r="AM247" s="1218">
        <f t="shared" si="311"/>
        <v>74250528.850000009</v>
      </c>
      <c r="AN247" s="1218">
        <f t="shared" si="312"/>
        <v>42382978.519999996</v>
      </c>
      <c r="AO247" s="1218">
        <f t="shared" si="313"/>
        <v>79939489.620000005</v>
      </c>
      <c r="AP247" s="1218">
        <f t="shared" si="255"/>
        <v>196572996.99000001</v>
      </c>
      <c r="AQ247" s="1218">
        <f t="shared" si="256"/>
        <v>3893471.1499999911</v>
      </c>
      <c r="AR247" s="1218">
        <f t="shared" si="257"/>
        <v>10485021.480000004</v>
      </c>
      <c r="AS247" s="1218">
        <f t="shared" si="258"/>
        <v>60510.379999995232</v>
      </c>
      <c r="AT247" s="1218">
        <f t="shared" si="259"/>
        <v>14439003.00999999</v>
      </c>
      <c r="AU247" s="1219">
        <f t="shared" si="260"/>
        <v>0.95017568655303042</v>
      </c>
      <c r="AV247" s="1219">
        <f t="shared" si="261"/>
        <v>0.80167546568812886</v>
      </c>
      <c r="AW247" s="1219">
        <f t="shared" si="262"/>
        <v>0.99924362025000002</v>
      </c>
      <c r="AX247" s="1219">
        <f t="shared" si="263"/>
        <v>0.93157259771956102</v>
      </c>
      <c r="AY247" s="1218">
        <f t="shared" si="264"/>
        <v>0</v>
      </c>
      <c r="AZ247" s="1218">
        <f t="shared" si="265"/>
        <v>0</v>
      </c>
      <c r="BA247" s="1218">
        <f t="shared" si="266"/>
        <v>0</v>
      </c>
      <c r="BB247" s="1218">
        <f t="shared" si="267"/>
        <v>0</v>
      </c>
      <c r="BC247" s="125"/>
      <c r="BF247" s="105">
        <f t="shared" si="238"/>
        <v>6499217.5700000003</v>
      </c>
      <c r="BP247" s="1312">
        <f>+'CY (ALL FUNDS)'!F1386</f>
        <v>78144000</v>
      </c>
      <c r="BQ247" s="1312">
        <f>+'CY (ALL FUNDS)'!G1386</f>
        <v>37869000</v>
      </c>
      <c r="BR247" s="1312">
        <f>+'CY (ALL FUNDS)'!H1386</f>
        <v>0</v>
      </c>
      <c r="BT247" s="111">
        <f t="shared" ref="BT247:BT248" si="317">+O247-BP247</f>
        <v>0</v>
      </c>
      <c r="BU247" s="111">
        <f t="shared" ref="BU247:BU248" si="318">+P247-BQ247</f>
        <v>0</v>
      </c>
      <c r="BV247" s="111">
        <f t="shared" ref="BV247:BV248" si="319">+Q247-BR247</f>
        <v>0</v>
      </c>
    </row>
    <row r="248" spans="1:74" ht="24">
      <c r="A248" s="587" t="s">
        <v>938</v>
      </c>
      <c r="B248" s="1308" t="s">
        <v>592</v>
      </c>
      <c r="C248" s="1218">
        <v>34004000</v>
      </c>
      <c r="D248" s="1218">
        <v>16895000</v>
      </c>
      <c r="E248" s="1218">
        <v>0</v>
      </c>
      <c r="F248" s="1218">
        <f t="shared" si="292"/>
        <v>50899000</v>
      </c>
      <c r="G248" s="1218"/>
      <c r="H248" s="1218"/>
      <c r="I248" s="1218"/>
      <c r="J248" s="1218">
        <f t="shared" si="293"/>
        <v>0</v>
      </c>
      <c r="K248" s="1218">
        <f t="shared" si="294"/>
        <v>34004000</v>
      </c>
      <c r="L248" s="1218">
        <f t="shared" si="295"/>
        <v>16895000</v>
      </c>
      <c r="M248" s="1218">
        <f t="shared" si="296"/>
        <v>0</v>
      </c>
      <c r="N248" s="1218">
        <f t="shared" si="297"/>
        <v>50899000</v>
      </c>
      <c r="O248" s="1218">
        <v>34004000</v>
      </c>
      <c r="P248" s="1218">
        <v>16895000</v>
      </c>
      <c r="Q248" s="1218">
        <v>0</v>
      </c>
      <c r="R248" s="1218">
        <f t="shared" si="249"/>
        <v>50899000</v>
      </c>
      <c r="S248" s="1218"/>
      <c r="T248" s="1218"/>
      <c r="U248" s="1218"/>
      <c r="V248" s="1218">
        <f t="shared" si="298"/>
        <v>0</v>
      </c>
      <c r="W248" s="1304">
        <f>+'CY (ALL FUNDS)'!F1402</f>
        <v>0</v>
      </c>
      <c r="X248" s="1304">
        <f>+'CY (ALL FUNDS)'!G1402</f>
        <v>4340000</v>
      </c>
      <c r="Y248" s="1304">
        <f>+'CY (ALL FUNDS)'!H1402</f>
        <v>27230000</v>
      </c>
      <c r="Z248" s="1218">
        <f t="shared" si="250"/>
        <v>31570000</v>
      </c>
      <c r="AA248" s="1218">
        <f t="shared" si="251"/>
        <v>34004000</v>
      </c>
      <c r="AB248" s="1218">
        <f t="shared" si="252"/>
        <v>21235000</v>
      </c>
      <c r="AC248" s="1218">
        <f t="shared" si="253"/>
        <v>27230000</v>
      </c>
      <c r="AD248" s="1218">
        <f t="shared" si="254"/>
        <v>82469000</v>
      </c>
      <c r="AE248" s="1304">
        <f>+'CY (ALL FUNDS)'!J1401</f>
        <v>30247789.190000005</v>
      </c>
      <c r="AF248" s="1304">
        <f>+'CY (ALL FUNDS)'!K1401</f>
        <v>13554507.93</v>
      </c>
      <c r="AG248" s="1304">
        <f>+'CY (ALL FUNDS)'!L1401</f>
        <v>0</v>
      </c>
      <c r="AH248" s="1218">
        <f t="shared" si="299"/>
        <v>43802297.120000005</v>
      </c>
      <c r="AI248" s="1304">
        <f>+'CY (ALL FUNDS)'!J1402</f>
        <v>0</v>
      </c>
      <c r="AJ248" s="1304">
        <f>+'CY (ALL FUNDS)'!K1402</f>
        <v>3469623.56</v>
      </c>
      <c r="AK248" s="1304">
        <f>+'CY (ALL FUNDS)'!L1402</f>
        <v>6679969.4000000004</v>
      </c>
      <c r="AL248" s="1218">
        <f t="shared" si="300"/>
        <v>10149592.960000001</v>
      </c>
      <c r="AM248" s="1218">
        <f t="shared" si="311"/>
        <v>30247789.190000005</v>
      </c>
      <c r="AN248" s="1218">
        <f t="shared" si="312"/>
        <v>17024131.489999998</v>
      </c>
      <c r="AO248" s="1218">
        <f t="shared" si="313"/>
        <v>6679969.4000000004</v>
      </c>
      <c r="AP248" s="1218">
        <f t="shared" si="255"/>
        <v>53951890.080000006</v>
      </c>
      <c r="AQ248" s="1218">
        <f t="shared" si="256"/>
        <v>3756210.8099999949</v>
      </c>
      <c r="AR248" s="1218">
        <f t="shared" si="257"/>
        <v>4210868.5100000016</v>
      </c>
      <c r="AS248" s="1218">
        <f t="shared" si="258"/>
        <v>20550030.600000001</v>
      </c>
      <c r="AT248" s="1218">
        <f t="shared" si="259"/>
        <v>28517109.919999998</v>
      </c>
      <c r="AU248" s="1219">
        <f t="shared" si="260"/>
        <v>0.88953620721091653</v>
      </c>
      <c r="AV248" s="1219">
        <f t="shared" si="261"/>
        <v>0.80170150647515881</v>
      </c>
      <c r="AW248" s="1219">
        <f t="shared" si="262"/>
        <v>0.24531654058024238</v>
      </c>
      <c r="AX248" s="1219">
        <f t="shared" si="263"/>
        <v>0.65420812766009051</v>
      </c>
      <c r="AY248" s="1218">
        <f t="shared" si="264"/>
        <v>0</v>
      </c>
      <c r="AZ248" s="1218">
        <f t="shared" si="265"/>
        <v>0</v>
      </c>
      <c r="BA248" s="1218">
        <f t="shared" si="266"/>
        <v>0</v>
      </c>
      <c r="BB248" s="1218">
        <f t="shared" si="267"/>
        <v>0</v>
      </c>
      <c r="BC248" s="125"/>
      <c r="BF248" s="105">
        <f t="shared" si="238"/>
        <v>3340492.0700000003</v>
      </c>
      <c r="BP248" s="1312">
        <f>+'CY (ALL FUNDS)'!F1401</f>
        <v>34004000</v>
      </c>
      <c r="BQ248" s="1312">
        <f>+'CY (ALL FUNDS)'!G1401</f>
        <v>16895000</v>
      </c>
      <c r="BR248" s="1312">
        <f>+'CY (ALL FUNDS)'!H1401</f>
        <v>0</v>
      </c>
      <c r="BT248" s="111">
        <f t="shared" si="317"/>
        <v>0</v>
      </c>
      <c r="BU248" s="111">
        <f t="shared" si="318"/>
        <v>0</v>
      </c>
      <c r="BV248" s="111">
        <f t="shared" si="319"/>
        <v>0</v>
      </c>
    </row>
    <row r="249" spans="1:74">
      <c r="B249" s="1279"/>
      <c r="C249" s="1218"/>
      <c r="D249" s="1218"/>
      <c r="E249" s="1218"/>
      <c r="F249" s="1218"/>
      <c r="G249" s="1218"/>
      <c r="H249" s="1218"/>
      <c r="I249" s="1218"/>
      <c r="J249" s="1218">
        <f t="shared" si="293"/>
        <v>0</v>
      </c>
      <c r="K249" s="1218">
        <f t="shared" si="294"/>
        <v>0</v>
      </c>
      <c r="L249" s="1218">
        <f t="shared" si="295"/>
        <v>0</v>
      </c>
      <c r="M249" s="1218">
        <f t="shared" si="296"/>
        <v>0</v>
      </c>
      <c r="N249" s="1218">
        <f t="shared" si="297"/>
        <v>0</v>
      </c>
      <c r="O249" s="1218"/>
      <c r="P249" s="1218"/>
      <c r="Q249" s="1218"/>
      <c r="R249" s="1218">
        <f t="shared" si="249"/>
        <v>0</v>
      </c>
      <c r="S249" s="1218"/>
      <c r="T249" s="1218"/>
      <c r="U249" s="1218"/>
      <c r="V249" s="1218"/>
      <c r="W249" s="1304"/>
      <c r="X249" s="1304"/>
      <c r="Y249" s="1304"/>
      <c r="Z249" s="1218">
        <f t="shared" si="250"/>
        <v>0</v>
      </c>
      <c r="AA249" s="1218">
        <f t="shared" si="251"/>
        <v>0</v>
      </c>
      <c r="AB249" s="1218">
        <f t="shared" si="252"/>
        <v>0</v>
      </c>
      <c r="AC249" s="1218">
        <f t="shared" si="253"/>
        <v>0</v>
      </c>
      <c r="AD249" s="1218">
        <f t="shared" si="254"/>
        <v>0</v>
      </c>
      <c r="AE249" s="1304"/>
      <c r="AF249" s="1304"/>
      <c r="AG249" s="1304"/>
      <c r="AH249" s="1218"/>
      <c r="AI249" s="1304"/>
      <c r="AJ249" s="1304"/>
      <c r="AK249" s="1304"/>
      <c r="AL249" s="1218"/>
      <c r="AM249" s="1218"/>
      <c r="AN249" s="1218"/>
      <c r="AO249" s="1218"/>
      <c r="AP249" s="1218">
        <f t="shared" si="255"/>
        <v>0</v>
      </c>
      <c r="AQ249" s="1218">
        <f t="shared" si="256"/>
        <v>0</v>
      </c>
      <c r="AR249" s="1218">
        <f t="shared" si="257"/>
        <v>0</v>
      </c>
      <c r="AS249" s="1218">
        <f t="shared" si="258"/>
        <v>0</v>
      </c>
      <c r="AT249" s="1218">
        <f t="shared" si="259"/>
        <v>0</v>
      </c>
      <c r="AU249" s="1219" t="str">
        <f t="shared" si="260"/>
        <v xml:space="preserve"> </v>
      </c>
      <c r="AV249" s="1219" t="str">
        <f t="shared" si="261"/>
        <v xml:space="preserve"> </v>
      </c>
      <c r="AW249" s="1219" t="str">
        <f t="shared" si="262"/>
        <v xml:space="preserve"> </v>
      </c>
      <c r="AX249" s="1219" t="str">
        <f t="shared" si="263"/>
        <v xml:space="preserve"> </v>
      </c>
      <c r="AY249" s="1218">
        <f t="shared" si="264"/>
        <v>0</v>
      </c>
      <c r="AZ249" s="1218">
        <f t="shared" si="265"/>
        <v>0</v>
      </c>
      <c r="BA249" s="1218">
        <f t="shared" si="266"/>
        <v>0</v>
      </c>
      <c r="BB249" s="1218">
        <f t="shared" si="267"/>
        <v>0</v>
      </c>
      <c r="BC249" s="125"/>
    </row>
    <row r="250" spans="1:74" s="107" customFormat="1">
      <c r="B250" s="179" t="s">
        <v>41</v>
      </c>
      <c r="C250" s="179">
        <f t="shared" ref="C250:AO250" si="320">+C97+C45+C35</f>
        <v>8522541000</v>
      </c>
      <c r="D250" s="179">
        <f t="shared" si="320"/>
        <v>14442980000</v>
      </c>
      <c r="E250" s="179">
        <f t="shared" si="320"/>
        <v>10794495000</v>
      </c>
      <c r="F250" s="179">
        <f t="shared" si="320"/>
        <v>33760016000</v>
      </c>
      <c r="G250" s="179">
        <f t="shared" si="320"/>
        <v>93213903</v>
      </c>
      <c r="H250" s="179">
        <f t="shared" si="320"/>
        <v>-101563903</v>
      </c>
      <c r="I250" s="179">
        <f t="shared" si="320"/>
        <v>1350000</v>
      </c>
      <c r="J250" s="179">
        <f t="shared" si="320"/>
        <v>-7000000</v>
      </c>
      <c r="K250" s="179">
        <f t="shared" si="320"/>
        <v>8615754903</v>
      </c>
      <c r="L250" s="179">
        <f t="shared" si="320"/>
        <v>14341416097</v>
      </c>
      <c r="M250" s="179">
        <f t="shared" si="320"/>
        <v>10795845000</v>
      </c>
      <c r="N250" s="179">
        <f t="shared" si="320"/>
        <v>33753016000</v>
      </c>
      <c r="O250" s="179">
        <f t="shared" si="320"/>
        <v>8615754903</v>
      </c>
      <c r="P250" s="179">
        <f t="shared" si="320"/>
        <v>14341416097</v>
      </c>
      <c r="Q250" s="179">
        <f t="shared" si="320"/>
        <v>10795845000</v>
      </c>
      <c r="R250" s="179">
        <f t="shared" si="249"/>
        <v>33753016000</v>
      </c>
      <c r="S250" s="179">
        <f t="shared" si="320"/>
        <v>0</v>
      </c>
      <c r="T250" s="179">
        <f t="shared" si="320"/>
        <v>0</v>
      </c>
      <c r="U250" s="179">
        <f t="shared" si="320"/>
        <v>0</v>
      </c>
      <c r="V250" s="179">
        <f t="shared" si="320"/>
        <v>0</v>
      </c>
      <c r="W250" s="179">
        <f t="shared" si="320"/>
        <v>827006</v>
      </c>
      <c r="X250" s="179">
        <f t="shared" si="320"/>
        <v>2534181019.3999996</v>
      </c>
      <c r="Y250" s="179">
        <f t="shared" si="320"/>
        <v>78696999.999999523</v>
      </c>
      <c r="Z250" s="179">
        <f t="shared" si="250"/>
        <v>2613705025.3999991</v>
      </c>
      <c r="AA250" s="179">
        <f t="shared" si="251"/>
        <v>8616581909</v>
      </c>
      <c r="AB250" s="179">
        <f t="shared" si="252"/>
        <v>16875597116.4</v>
      </c>
      <c r="AC250" s="179">
        <f t="shared" si="253"/>
        <v>10874542000</v>
      </c>
      <c r="AD250" s="179">
        <f t="shared" si="254"/>
        <v>36366721025.400002</v>
      </c>
      <c r="AE250" s="179">
        <f t="shared" si="320"/>
        <v>7905797434.3700008</v>
      </c>
      <c r="AF250" s="179">
        <f t="shared" si="320"/>
        <v>9557388030.8299999</v>
      </c>
      <c r="AG250" s="179">
        <f t="shared" si="320"/>
        <v>1139816146.069999</v>
      </c>
      <c r="AH250" s="179">
        <f t="shared" si="320"/>
        <v>18603001611.27</v>
      </c>
      <c r="AI250" s="179">
        <f t="shared" si="320"/>
        <v>763888.76999999979</v>
      </c>
      <c r="AJ250" s="179">
        <f t="shared" si="320"/>
        <v>2949488999.0599999</v>
      </c>
      <c r="AK250" s="179">
        <f t="shared" si="320"/>
        <v>3877002061.4499998</v>
      </c>
      <c r="AL250" s="179">
        <f t="shared" si="320"/>
        <v>6827254949.2799997</v>
      </c>
      <c r="AM250" s="179">
        <f t="shared" si="320"/>
        <v>7906561323.1400013</v>
      </c>
      <c r="AN250" s="179">
        <f t="shared" si="320"/>
        <v>12506877029.890001</v>
      </c>
      <c r="AO250" s="179">
        <f t="shared" si="320"/>
        <v>5016818207.5199986</v>
      </c>
      <c r="AP250" s="179">
        <f t="shared" si="255"/>
        <v>25430256560.550003</v>
      </c>
      <c r="AQ250" s="179">
        <f t="shared" si="256"/>
        <v>710020585.8599987</v>
      </c>
      <c r="AR250" s="179">
        <f t="shared" si="257"/>
        <v>4368720086.5099983</v>
      </c>
      <c r="AS250" s="179">
        <f t="shared" si="258"/>
        <v>5857723792.4800014</v>
      </c>
      <c r="AT250" s="179">
        <f t="shared" si="259"/>
        <v>10936464464.849998</v>
      </c>
      <c r="AU250" s="184">
        <f t="shared" si="260"/>
        <v>0.91759834777194149</v>
      </c>
      <c r="AV250" s="184">
        <f t="shared" si="261"/>
        <v>0.74112204407484938</v>
      </c>
      <c r="AW250" s="184">
        <f t="shared" si="262"/>
        <v>0.46133604592450866</v>
      </c>
      <c r="AX250" s="184">
        <f t="shared" si="263"/>
        <v>0.69927273736855389</v>
      </c>
      <c r="AY250" s="179">
        <f t="shared" si="264"/>
        <v>0</v>
      </c>
      <c r="AZ250" s="179">
        <f t="shared" si="265"/>
        <v>0</v>
      </c>
      <c r="BA250" s="179">
        <f t="shared" si="266"/>
        <v>0</v>
      </c>
      <c r="BB250" s="179">
        <f t="shared" si="267"/>
        <v>0</v>
      </c>
      <c r="BC250" s="131"/>
      <c r="BP250" s="150"/>
      <c r="BT250" s="111"/>
      <c r="BU250" s="111"/>
      <c r="BV250" s="111"/>
    </row>
    <row r="251" spans="1:74" s="107" customFormat="1">
      <c r="B251" s="179" t="s">
        <v>42</v>
      </c>
      <c r="C251" s="179">
        <f t="shared" ref="C251:AO251" si="321">+C250+C32+C13</f>
        <v>8866448000</v>
      </c>
      <c r="D251" s="179">
        <f t="shared" si="321"/>
        <v>17561152000</v>
      </c>
      <c r="E251" s="179">
        <f t="shared" si="321"/>
        <v>10944495000</v>
      </c>
      <c r="F251" s="179">
        <f t="shared" si="321"/>
        <v>37372095000</v>
      </c>
      <c r="G251" s="179">
        <f t="shared" si="321"/>
        <v>100299274</v>
      </c>
      <c r="H251" s="179">
        <f t="shared" si="321"/>
        <v>-101649274</v>
      </c>
      <c r="I251" s="179">
        <f t="shared" si="321"/>
        <v>1350000</v>
      </c>
      <c r="J251" s="179">
        <f t="shared" si="321"/>
        <v>0</v>
      </c>
      <c r="K251" s="179">
        <f t="shared" si="321"/>
        <v>8966747274</v>
      </c>
      <c r="L251" s="179">
        <f t="shared" si="321"/>
        <v>17459502726</v>
      </c>
      <c r="M251" s="179">
        <f t="shared" si="321"/>
        <v>10945845000</v>
      </c>
      <c r="N251" s="179">
        <f t="shared" si="321"/>
        <v>37372095000</v>
      </c>
      <c r="O251" s="179">
        <f t="shared" si="321"/>
        <v>8966747274</v>
      </c>
      <c r="P251" s="179">
        <f t="shared" si="321"/>
        <v>17459502726</v>
      </c>
      <c r="Q251" s="179">
        <f t="shared" si="321"/>
        <v>10945845000</v>
      </c>
      <c r="R251" s="179">
        <f t="shared" si="249"/>
        <v>37372095000</v>
      </c>
      <c r="S251" s="179">
        <f t="shared" si="321"/>
        <v>0</v>
      </c>
      <c r="T251" s="179">
        <f t="shared" si="321"/>
        <v>0</v>
      </c>
      <c r="U251" s="179">
        <f t="shared" si="321"/>
        <v>0</v>
      </c>
      <c r="V251" s="179">
        <f t="shared" si="321"/>
        <v>0</v>
      </c>
      <c r="W251" s="179">
        <f t="shared" si="321"/>
        <v>0</v>
      </c>
      <c r="X251" s="179">
        <f t="shared" si="321"/>
        <v>46635999.999999523</v>
      </c>
      <c r="Y251" s="179">
        <f t="shared" si="321"/>
        <v>78696999.999999523</v>
      </c>
      <c r="Z251" s="179">
        <f t="shared" si="250"/>
        <v>125332999.99999905</v>
      </c>
      <c r="AA251" s="179">
        <f t="shared" si="251"/>
        <v>8966747274</v>
      </c>
      <c r="AB251" s="179">
        <f t="shared" si="252"/>
        <v>17506138726</v>
      </c>
      <c r="AC251" s="179">
        <f t="shared" si="253"/>
        <v>11024542000</v>
      </c>
      <c r="AD251" s="179">
        <f t="shared" si="254"/>
        <v>37497428000</v>
      </c>
      <c r="AE251" s="179">
        <f t="shared" si="321"/>
        <v>8178413051.3200006</v>
      </c>
      <c r="AF251" s="179">
        <f t="shared" si="321"/>
        <v>10078059166.719999</v>
      </c>
      <c r="AG251" s="179">
        <f t="shared" si="321"/>
        <v>1202029883.249999</v>
      </c>
      <c r="AH251" s="179">
        <f t="shared" si="321"/>
        <v>19458502101.289997</v>
      </c>
      <c r="AI251" s="179">
        <f t="shared" si="321"/>
        <v>763888.76999999979</v>
      </c>
      <c r="AJ251" s="179">
        <f t="shared" si="321"/>
        <v>2949488999.0599999</v>
      </c>
      <c r="AK251" s="179">
        <f t="shared" si="321"/>
        <v>3877002061.4499998</v>
      </c>
      <c r="AL251" s="179">
        <f t="shared" si="321"/>
        <v>6827254949.2799997</v>
      </c>
      <c r="AM251" s="179">
        <f t="shared" si="321"/>
        <v>8179176940.0900011</v>
      </c>
      <c r="AN251" s="179">
        <f t="shared" si="321"/>
        <v>13027548165.780001</v>
      </c>
      <c r="AO251" s="179">
        <f t="shared" si="321"/>
        <v>5079031944.6999989</v>
      </c>
      <c r="AP251" s="179">
        <f t="shared" si="255"/>
        <v>26285757050.57</v>
      </c>
      <c r="AQ251" s="179">
        <f t="shared" si="256"/>
        <v>787570333.90999889</v>
      </c>
      <c r="AR251" s="179">
        <f t="shared" si="257"/>
        <v>4478590560.2199993</v>
      </c>
      <c r="AS251" s="179">
        <f t="shared" si="258"/>
        <v>5945510055.3000011</v>
      </c>
      <c r="AT251" s="179">
        <f t="shared" si="259"/>
        <v>11211670949.43</v>
      </c>
      <c r="AU251" s="184">
        <f t="shared" si="260"/>
        <v>0.9121676668423967</v>
      </c>
      <c r="AV251" s="184">
        <f t="shared" si="261"/>
        <v>0.74417028047604661</v>
      </c>
      <c r="AW251" s="184">
        <f t="shared" si="262"/>
        <v>0.4607023080596</v>
      </c>
      <c r="AX251" s="184">
        <f t="shared" si="263"/>
        <v>0.70100160071165418</v>
      </c>
      <c r="AY251" s="179">
        <f t="shared" si="264"/>
        <v>0</v>
      </c>
      <c r="AZ251" s="179">
        <f t="shared" si="265"/>
        <v>0</v>
      </c>
      <c r="BA251" s="179">
        <f t="shared" si="266"/>
        <v>0</v>
      </c>
      <c r="BB251" s="179">
        <f t="shared" si="267"/>
        <v>0</v>
      </c>
      <c r="BC251" s="131"/>
      <c r="BP251" s="150"/>
      <c r="BT251" s="111"/>
      <c r="BU251" s="111"/>
      <c r="BV251" s="111"/>
    </row>
    <row r="252" spans="1:74">
      <c r="B252" s="1279"/>
      <c r="C252" s="1218"/>
      <c r="D252" s="1218"/>
      <c r="E252" s="1218"/>
      <c r="F252" s="1218"/>
      <c r="G252" s="1218"/>
      <c r="H252" s="1218"/>
      <c r="I252" s="1218"/>
      <c r="J252" s="1218">
        <f t="shared" si="293"/>
        <v>0</v>
      </c>
      <c r="K252" s="1218">
        <f t="shared" si="294"/>
        <v>0</v>
      </c>
      <c r="L252" s="1218">
        <f t="shared" si="295"/>
        <v>0</v>
      </c>
      <c r="M252" s="1218">
        <f t="shared" si="296"/>
        <v>0</v>
      </c>
      <c r="N252" s="1218">
        <f t="shared" si="297"/>
        <v>0</v>
      </c>
      <c r="O252" s="1218"/>
      <c r="P252" s="1218"/>
      <c r="Q252" s="1218"/>
      <c r="R252" s="1218">
        <f t="shared" si="249"/>
        <v>0</v>
      </c>
      <c r="S252" s="1218"/>
      <c r="T252" s="1218"/>
      <c r="U252" s="1218"/>
      <c r="V252" s="1218"/>
      <c r="W252" s="1218"/>
      <c r="X252" s="1218"/>
      <c r="Y252" s="1218"/>
      <c r="Z252" s="1218">
        <f t="shared" si="250"/>
        <v>0</v>
      </c>
      <c r="AA252" s="1218">
        <f t="shared" si="251"/>
        <v>0</v>
      </c>
      <c r="AB252" s="1218">
        <f t="shared" si="252"/>
        <v>0</v>
      </c>
      <c r="AC252" s="1218">
        <f t="shared" si="253"/>
        <v>0</v>
      </c>
      <c r="AD252" s="1218">
        <f t="shared" si="254"/>
        <v>0</v>
      </c>
      <c r="AE252" s="1218"/>
      <c r="AF252" s="1218"/>
      <c r="AG252" s="1218"/>
      <c r="AH252" s="1218"/>
      <c r="AI252" s="1218"/>
      <c r="AJ252" s="1218"/>
      <c r="AK252" s="1218"/>
      <c r="AL252" s="1218"/>
      <c r="AM252" s="1218"/>
      <c r="AN252" s="1218"/>
      <c r="AO252" s="1218"/>
      <c r="AP252" s="1218">
        <f t="shared" si="255"/>
        <v>0</v>
      </c>
      <c r="AQ252" s="1218">
        <f t="shared" si="256"/>
        <v>0</v>
      </c>
      <c r="AR252" s="1218">
        <f t="shared" si="257"/>
        <v>0</v>
      </c>
      <c r="AS252" s="1218">
        <f t="shared" si="258"/>
        <v>0</v>
      </c>
      <c r="AT252" s="1218">
        <f t="shared" si="259"/>
        <v>0</v>
      </c>
      <c r="AU252" s="1219" t="str">
        <f t="shared" si="260"/>
        <v xml:space="preserve"> </v>
      </c>
      <c r="AV252" s="1219" t="str">
        <f t="shared" si="261"/>
        <v xml:space="preserve"> </v>
      </c>
      <c r="AW252" s="1219" t="str">
        <f t="shared" si="262"/>
        <v xml:space="preserve"> </v>
      </c>
      <c r="AX252" s="1219" t="str">
        <f t="shared" si="263"/>
        <v xml:space="preserve"> </v>
      </c>
      <c r="AY252" s="1218">
        <f t="shared" si="264"/>
        <v>0</v>
      </c>
      <c r="AZ252" s="1218">
        <f t="shared" si="265"/>
        <v>0</v>
      </c>
      <c r="BA252" s="1218">
        <f t="shared" si="266"/>
        <v>0</v>
      </c>
      <c r="BB252" s="1218">
        <f t="shared" si="267"/>
        <v>0</v>
      </c>
      <c r="BC252" s="125"/>
      <c r="BT252" s="111">
        <f t="shared" ref="BT252:BT266" si="322">+O252-BP252</f>
        <v>0</v>
      </c>
      <c r="BU252" s="111">
        <f t="shared" ref="BU252:BU266" si="323">+P252-BQ252</f>
        <v>0</v>
      </c>
      <c r="BV252" s="111">
        <f t="shared" ref="BV252:BV266" si="324">+Q252-BR252</f>
        <v>0</v>
      </c>
    </row>
    <row r="253" spans="1:74" s="106" customFormat="1">
      <c r="B253" s="1216" t="s">
        <v>43</v>
      </c>
      <c r="C253" s="1217"/>
      <c r="D253" s="1217"/>
      <c r="E253" s="1217"/>
      <c r="F253" s="1217"/>
      <c r="G253" s="1217"/>
      <c r="H253" s="1217"/>
      <c r="I253" s="1217"/>
      <c r="J253" s="1218"/>
      <c r="K253" s="1218"/>
      <c r="L253" s="1218"/>
      <c r="M253" s="1218"/>
      <c r="N253" s="1218"/>
      <c r="O253" s="1217"/>
      <c r="P253" s="1217"/>
      <c r="Q253" s="1217"/>
      <c r="R253" s="1217">
        <f t="shared" si="249"/>
        <v>0</v>
      </c>
      <c r="S253" s="1217"/>
      <c r="T253" s="1217"/>
      <c r="U253" s="1217"/>
      <c r="V253" s="1217"/>
      <c r="W253" s="1217"/>
      <c r="X253" s="1217"/>
      <c r="Y253" s="1217"/>
      <c r="Z253" s="1217">
        <f t="shared" si="250"/>
        <v>0</v>
      </c>
      <c r="AA253" s="1217">
        <f t="shared" si="251"/>
        <v>0</v>
      </c>
      <c r="AB253" s="1217">
        <f t="shared" si="252"/>
        <v>0</v>
      </c>
      <c r="AC253" s="1217">
        <f t="shared" si="253"/>
        <v>0</v>
      </c>
      <c r="AD253" s="1217">
        <f t="shared" si="254"/>
        <v>0</v>
      </c>
      <c r="AE253" s="1217"/>
      <c r="AF253" s="1217"/>
      <c r="AG253" s="1217"/>
      <c r="AH253" s="1217"/>
      <c r="AI253" s="1217"/>
      <c r="AJ253" s="1217"/>
      <c r="AK253" s="1217"/>
      <c r="AL253" s="1217"/>
      <c r="AM253" s="1217"/>
      <c r="AN253" s="1217"/>
      <c r="AO253" s="1217"/>
      <c r="AP253" s="1217">
        <f t="shared" si="255"/>
        <v>0</v>
      </c>
      <c r="AQ253" s="1217">
        <f t="shared" si="256"/>
        <v>0</v>
      </c>
      <c r="AR253" s="1217">
        <f t="shared" si="257"/>
        <v>0</v>
      </c>
      <c r="AS253" s="1217">
        <f t="shared" si="258"/>
        <v>0</v>
      </c>
      <c r="AT253" s="1217">
        <f t="shared" si="259"/>
        <v>0</v>
      </c>
      <c r="AU253" s="1219" t="str">
        <f t="shared" si="260"/>
        <v xml:space="preserve"> </v>
      </c>
      <c r="AV253" s="1219" t="str">
        <f t="shared" si="261"/>
        <v xml:space="preserve"> </v>
      </c>
      <c r="AW253" s="1219" t="str">
        <f t="shared" si="262"/>
        <v xml:space="preserve"> </v>
      </c>
      <c r="AX253" s="1219" t="str">
        <f t="shared" si="263"/>
        <v xml:space="preserve"> </v>
      </c>
      <c r="AY253" s="1218">
        <f t="shared" si="264"/>
        <v>0</v>
      </c>
      <c r="AZ253" s="1218">
        <f t="shared" si="265"/>
        <v>0</v>
      </c>
      <c r="BA253" s="1218">
        <f t="shared" si="266"/>
        <v>0</v>
      </c>
      <c r="BB253" s="1218">
        <f t="shared" si="267"/>
        <v>0</v>
      </c>
      <c r="BC253" s="130"/>
      <c r="BP253" s="1185"/>
      <c r="BT253" s="111">
        <f t="shared" si="322"/>
        <v>0</v>
      </c>
      <c r="BU253" s="111">
        <f t="shared" si="323"/>
        <v>0</v>
      </c>
      <c r="BV253" s="111">
        <f t="shared" si="324"/>
        <v>0</v>
      </c>
    </row>
    <row r="254" spans="1:74" s="106" customFormat="1">
      <c r="B254" s="1216" t="s">
        <v>44</v>
      </c>
      <c r="C254" s="1217"/>
      <c r="D254" s="1217"/>
      <c r="E254" s="1217"/>
      <c r="F254" s="1217"/>
      <c r="G254" s="1217"/>
      <c r="H254" s="1217"/>
      <c r="I254" s="1217"/>
      <c r="J254" s="1218"/>
      <c r="K254" s="1218"/>
      <c r="L254" s="1218"/>
      <c r="M254" s="1218"/>
      <c r="N254" s="1218"/>
      <c r="O254" s="1217"/>
      <c r="P254" s="1217"/>
      <c r="Q254" s="1217"/>
      <c r="R254" s="1217">
        <f t="shared" si="249"/>
        <v>0</v>
      </c>
      <c r="S254" s="1217"/>
      <c r="T254" s="1217"/>
      <c r="U254" s="1217"/>
      <c r="V254" s="1217"/>
      <c r="W254" s="1217"/>
      <c r="X254" s="1217"/>
      <c r="Y254" s="1217"/>
      <c r="Z254" s="1217">
        <f t="shared" si="250"/>
        <v>0</v>
      </c>
      <c r="AA254" s="1217">
        <f t="shared" si="251"/>
        <v>0</v>
      </c>
      <c r="AB254" s="1217">
        <f t="shared" si="252"/>
        <v>0</v>
      </c>
      <c r="AC254" s="1217">
        <f t="shared" si="253"/>
        <v>0</v>
      </c>
      <c r="AD254" s="1217">
        <f t="shared" si="254"/>
        <v>0</v>
      </c>
      <c r="AE254" s="1217"/>
      <c r="AF254" s="1217"/>
      <c r="AG254" s="1217"/>
      <c r="AH254" s="1217"/>
      <c r="AI254" s="1217"/>
      <c r="AJ254" s="1217"/>
      <c r="AK254" s="1217"/>
      <c r="AL254" s="1217"/>
      <c r="AM254" s="1217"/>
      <c r="AN254" s="1217"/>
      <c r="AO254" s="1217"/>
      <c r="AP254" s="1217">
        <f t="shared" si="255"/>
        <v>0</v>
      </c>
      <c r="AQ254" s="1217">
        <f t="shared" si="256"/>
        <v>0</v>
      </c>
      <c r="AR254" s="1217">
        <f t="shared" si="257"/>
        <v>0</v>
      </c>
      <c r="AS254" s="1217">
        <f t="shared" si="258"/>
        <v>0</v>
      </c>
      <c r="AT254" s="1217">
        <f t="shared" si="259"/>
        <v>0</v>
      </c>
      <c r="AU254" s="1219" t="str">
        <f t="shared" si="260"/>
        <v xml:space="preserve"> </v>
      </c>
      <c r="AV254" s="1219" t="str">
        <f t="shared" si="261"/>
        <v xml:space="preserve"> </v>
      </c>
      <c r="AW254" s="1219" t="str">
        <f t="shared" si="262"/>
        <v xml:space="preserve"> </v>
      </c>
      <c r="AX254" s="1219" t="str">
        <f t="shared" si="263"/>
        <v xml:space="preserve"> </v>
      </c>
      <c r="AY254" s="1218">
        <f t="shared" si="264"/>
        <v>0</v>
      </c>
      <c r="AZ254" s="1218">
        <f t="shared" si="265"/>
        <v>0</v>
      </c>
      <c r="BA254" s="1218">
        <f t="shared" si="266"/>
        <v>0</v>
      </c>
      <c r="BB254" s="1218">
        <f t="shared" si="267"/>
        <v>0</v>
      </c>
      <c r="BC254" s="130"/>
      <c r="BP254" s="1185"/>
      <c r="BT254" s="111">
        <f t="shared" si="322"/>
        <v>0</v>
      </c>
      <c r="BU254" s="111">
        <f t="shared" si="323"/>
        <v>0</v>
      </c>
      <c r="BV254" s="111">
        <f t="shared" si="324"/>
        <v>0</v>
      </c>
    </row>
    <row r="255" spans="1:74">
      <c r="A255" s="105" t="s">
        <v>904</v>
      </c>
      <c r="B255" s="1220" t="s">
        <v>872</v>
      </c>
      <c r="C255" s="1218"/>
      <c r="D255" s="1218">
        <v>77064000</v>
      </c>
      <c r="E255" s="1218">
        <v>95397000</v>
      </c>
      <c r="F255" s="1218">
        <f t="shared" si="292"/>
        <v>172461000</v>
      </c>
      <c r="G255" s="1218"/>
      <c r="H255" s="1218"/>
      <c r="I255" s="1218"/>
      <c r="J255" s="1218">
        <f t="shared" si="293"/>
        <v>0</v>
      </c>
      <c r="K255" s="1218">
        <f t="shared" si="294"/>
        <v>0</v>
      </c>
      <c r="L255" s="1218">
        <f t="shared" si="295"/>
        <v>77064000</v>
      </c>
      <c r="M255" s="1218">
        <f t="shared" si="296"/>
        <v>95397000</v>
      </c>
      <c r="N255" s="1218">
        <f t="shared" si="297"/>
        <v>172461000</v>
      </c>
      <c r="O255" s="1218"/>
      <c r="P255" s="1218">
        <v>77064000</v>
      </c>
      <c r="Q255" s="1218">
        <v>95397000</v>
      </c>
      <c r="R255" s="1218">
        <f t="shared" si="249"/>
        <v>172461000</v>
      </c>
      <c r="S255" s="1218"/>
      <c r="T255" s="1218"/>
      <c r="U255" s="1218"/>
      <c r="V255" s="1218"/>
      <c r="W255" s="1218"/>
      <c r="X255" s="1218">
        <f>-'OSEC-CY'!H291</f>
        <v>-46636000</v>
      </c>
      <c r="Y255" s="1218">
        <f>-'OSEC-CY'!H292</f>
        <v>-78697000</v>
      </c>
      <c r="Z255" s="1218">
        <f t="shared" si="250"/>
        <v>-125333000</v>
      </c>
      <c r="AA255" s="1218">
        <f t="shared" si="251"/>
        <v>0</v>
      </c>
      <c r="AB255" s="1218">
        <f t="shared" si="252"/>
        <v>30428000</v>
      </c>
      <c r="AC255" s="1218">
        <f t="shared" si="253"/>
        <v>16700000</v>
      </c>
      <c r="AD255" s="1218">
        <f t="shared" si="254"/>
        <v>47128000</v>
      </c>
      <c r="AE255" s="1218">
        <f>+'OSEC-CY'!I290</f>
        <v>0</v>
      </c>
      <c r="AF255" s="1218">
        <f>+'OSEC-CY'!I291</f>
        <v>5436000</v>
      </c>
      <c r="AG255" s="1218">
        <f>+'OSEC-CY'!I292</f>
        <v>16700000</v>
      </c>
      <c r="AH255" s="1218">
        <f>SUM(AE255:AG255)</f>
        <v>22136000</v>
      </c>
      <c r="AI255" s="1218"/>
      <c r="AJ255" s="1218"/>
      <c r="AK255" s="1218"/>
      <c r="AL255" s="1218">
        <f>SUM(AI255:AK255)</f>
        <v>0</v>
      </c>
      <c r="AM255" s="1218">
        <f>+AE255+AI255</f>
        <v>0</v>
      </c>
      <c r="AN255" s="1218">
        <f>+AF255+AJ255</f>
        <v>5436000</v>
      </c>
      <c r="AO255" s="1218">
        <f>+AG255+AK255</f>
        <v>16700000</v>
      </c>
      <c r="AP255" s="1218">
        <f t="shared" si="255"/>
        <v>22136000</v>
      </c>
      <c r="AQ255" s="1218">
        <f t="shared" si="256"/>
        <v>0</v>
      </c>
      <c r="AR255" s="1218">
        <f t="shared" si="257"/>
        <v>24992000</v>
      </c>
      <c r="AS255" s="1218">
        <f t="shared" si="258"/>
        <v>0</v>
      </c>
      <c r="AT255" s="1218">
        <f t="shared" si="259"/>
        <v>24992000</v>
      </c>
      <c r="AU255" s="1219" t="str">
        <f t="shared" si="260"/>
        <v xml:space="preserve"> </v>
      </c>
      <c r="AV255" s="1219">
        <f t="shared" si="261"/>
        <v>0.17865124227685028</v>
      </c>
      <c r="AW255" s="1219">
        <f t="shared" si="262"/>
        <v>1</v>
      </c>
      <c r="AX255" s="1219">
        <f t="shared" si="263"/>
        <v>0.46969954167373962</v>
      </c>
      <c r="AY255" s="1218">
        <f t="shared" si="264"/>
        <v>0</v>
      </c>
      <c r="AZ255" s="1218">
        <f t="shared" si="265"/>
        <v>0</v>
      </c>
      <c r="BA255" s="1218">
        <f t="shared" si="266"/>
        <v>0</v>
      </c>
      <c r="BB255" s="1218">
        <f t="shared" si="267"/>
        <v>0</v>
      </c>
      <c r="BC255" s="125"/>
      <c r="BP255" s="149">
        <f>+'OSEC-CY'!F290</f>
        <v>0</v>
      </c>
      <c r="BQ255" s="105">
        <f>+'OSEC-CY'!F291</f>
        <v>77064000</v>
      </c>
      <c r="BR255" s="105">
        <f>+'OSEC-CY'!F292</f>
        <v>95397000</v>
      </c>
      <c r="BT255" s="111">
        <f t="shared" si="322"/>
        <v>0</v>
      </c>
      <c r="BU255" s="111">
        <f t="shared" si="323"/>
        <v>0</v>
      </c>
      <c r="BV255" s="111">
        <f t="shared" si="324"/>
        <v>0</v>
      </c>
    </row>
    <row r="256" spans="1:74" s="107" customFormat="1">
      <c r="B256" s="179" t="s">
        <v>667</v>
      </c>
      <c r="C256" s="179">
        <f t="shared" ref="C256:Y256" si="325">SUM(C255:C255)</f>
        <v>0</v>
      </c>
      <c r="D256" s="179">
        <f t="shared" si="325"/>
        <v>77064000</v>
      </c>
      <c r="E256" s="179">
        <f t="shared" si="325"/>
        <v>95397000</v>
      </c>
      <c r="F256" s="179">
        <f t="shared" si="325"/>
        <v>172461000</v>
      </c>
      <c r="G256" s="179">
        <f t="shared" si="325"/>
        <v>0</v>
      </c>
      <c r="H256" s="179">
        <f t="shared" si="325"/>
        <v>0</v>
      </c>
      <c r="I256" s="179">
        <f t="shared" si="325"/>
        <v>0</v>
      </c>
      <c r="J256" s="179">
        <f t="shared" si="325"/>
        <v>0</v>
      </c>
      <c r="K256" s="179">
        <f t="shared" si="325"/>
        <v>0</v>
      </c>
      <c r="L256" s="179">
        <f t="shared" si="325"/>
        <v>77064000</v>
      </c>
      <c r="M256" s="179">
        <f t="shared" si="325"/>
        <v>95397000</v>
      </c>
      <c r="N256" s="179">
        <f t="shared" si="325"/>
        <v>172461000</v>
      </c>
      <c r="O256" s="179">
        <f t="shared" si="325"/>
        <v>0</v>
      </c>
      <c r="P256" s="179">
        <f t="shared" si="325"/>
        <v>77064000</v>
      </c>
      <c r="Q256" s="179">
        <f t="shared" si="325"/>
        <v>95397000</v>
      </c>
      <c r="R256" s="179">
        <f t="shared" si="249"/>
        <v>172461000</v>
      </c>
      <c r="S256" s="179">
        <f t="shared" si="325"/>
        <v>0</v>
      </c>
      <c r="T256" s="179">
        <f t="shared" si="325"/>
        <v>0</v>
      </c>
      <c r="U256" s="179">
        <f t="shared" si="325"/>
        <v>0</v>
      </c>
      <c r="V256" s="179">
        <f t="shared" si="325"/>
        <v>0</v>
      </c>
      <c r="W256" s="179">
        <f t="shared" si="325"/>
        <v>0</v>
      </c>
      <c r="X256" s="179">
        <f t="shared" si="325"/>
        <v>-46636000</v>
      </c>
      <c r="Y256" s="179">
        <f t="shared" si="325"/>
        <v>-78697000</v>
      </c>
      <c r="Z256" s="179">
        <f t="shared" si="250"/>
        <v>-125333000</v>
      </c>
      <c r="AA256" s="179">
        <f t="shared" si="251"/>
        <v>0</v>
      </c>
      <c r="AB256" s="179">
        <f t="shared" si="252"/>
        <v>30428000</v>
      </c>
      <c r="AC256" s="179">
        <f t="shared" si="253"/>
        <v>16700000</v>
      </c>
      <c r="AD256" s="179">
        <f t="shared" si="254"/>
        <v>47128000</v>
      </c>
      <c r="AE256" s="179">
        <f t="shared" ref="AE256:AO256" si="326">SUM(AE255:AE255)</f>
        <v>0</v>
      </c>
      <c r="AF256" s="179">
        <f t="shared" si="326"/>
        <v>5436000</v>
      </c>
      <c r="AG256" s="179">
        <f t="shared" si="326"/>
        <v>16700000</v>
      </c>
      <c r="AH256" s="179">
        <f t="shared" si="326"/>
        <v>22136000</v>
      </c>
      <c r="AI256" s="179">
        <f t="shared" si="326"/>
        <v>0</v>
      </c>
      <c r="AJ256" s="179">
        <f t="shared" si="326"/>
        <v>0</v>
      </c>
      <c r="AK256" s="179">
        <f t="shared" si="326"/>
        <v>0</v>
      </c>
      <c r="AL256" s="179">
        <f t="shared" si="326"/>
        <v>0</v>
      </c>
      <c r="AM256" s="179">
        <f t="shared" si="326"/>
        <v>0</v>
      </c>
      <c r="AN256" s="179">
        <f t="shared" si="326"/>
        <v>5436000</v>
      </c>
      <c r="AO256" s="179">
        <f t="shared" si="326"/>
        <v>16700000</v>
      </c>
      <c r="AP256" s="179">
        <f t="shared" si="255"/>
        <v>22136000</v>
      </c>
      <c r="AQ256" s="179">
        <f t="shared" si="256"/>
        <v>0</v>
      </c>
      <c r="AR256" s="179">
        <f t="shared" si="257"/>
        <v>24992000</v>
      </c>
      <c r="AS256" s="179">
        <f t="shared" si="258"/>
        <v>0</v>
      </c>
      <c r="AT256" s="179">
        <f t="shared" si="259"/>
        <v>24992000</v>
      </c>
      <c r="AU256" s="184" t="str">
        <f t="shared" si="260"/>
        <v xml:space="preserve"> </v>
      </c>
      <c r="AV256" s="184">
        <f t="shared" si="261"/>
        <v>0.17865124227685028</v>
      </c>
      <c r="AW256" s="184">
        <f t="shared" si="262"/>
        <v>1</v>
      </c>
      <c r="AX256" s="184">
        <f t="shared" si="263"/>
        <v>0.46969954167373962</v>
      </c>
      <c r="AY256" s="179">
        <f t="shared" si="264"/>
        <v>0</v>
      </c>
      <c r="AZ256" s="179">
        <f t="shared" si="265"/>
        <v>0</v>
      </c>
      <c r="BA256" s="179">
        <f t="shared" si="266"/>
        <v>0</v>
      </c>
      <c r="BB256" s="179">
        <f t="shared" si="267"/>
        <v>0</v>
      </c>
      <c r="BC256" s="131"/>
      <c r="BP256" s="150"/>
      <c r="BT256" s="111"/>
      <c r="BU256" s="111"/>
      <c r="BV256" s="111"/>
    </row>
    <row r="257" spans="2:74">
      <c r="B257" s="1279"/>
      <c r="C257" s="1218"/>
      <c r="D257" s="1218"/>
      <c r="E257" s="1218"/>
      <c r="F257" s="1218"/>
      <c r="G257" s="1218"/>
      <c r="H257" s="1218"/>
      <c r="I257" s="1218"/>
      <c r="J257" s="1218">
        <f t="shared" si="293"/>
        <v>0</v>
      </c>
      <c r="K257" s="1218">
        <f t="shared" si="294"/>
        <v>0</v>
      </c>
      <c r="L257" s="1218">
        <f t="shared" si="295"/>
        <v>0</v>
      </c>
      <c r="M257" s="1218">
        <f t="shared" si="296"/>
        <v>0</v>
      </c>
      <c r="N257" s="1218">
        <f t="shared" si="297"/>
        <v>0</v>
      </c>
      <c r="O257" s="1218"/>
      <c r="P257" s="1218"/>
      <c r="Q257" s="1218"/>
      <c r="R257" s="1218">
        <f t="shared" si="249"/>
        <v>0</v>
      </c>
      <c r="S257" s="1218"/>
      <c r="T257" s="1218"/>
      <c r="U257" s="1218"/>
      <c r="V257" s="1218"/>
      <c r="W257" s="1218"/>
      <c r="X257" s="1218"/>
      <c r="Y257" s="1218"/>
      <c r="Z257" s="1218">
        <f t="shared" si="250"/>
        <v>0</v>
      </c>
      <c r="AA257" s="1218">
        <f t="shared" si="251"/>
        <v>0</v>
      </c>
      <c r="AB257" s="1218">
        <f t="shared" si="252"/>
        <v>0</v>
      </c>
      <c r="AC257" s="1218">
        <f t="shared" si="253"/>
        <v>0</v>
      </c>
      <c r="AD257" s="1218">
        <f t="shared" si="254"/>
        <v>0</v>
      </c>
      <c r="AE257" s="1218"/>
      <c r="AF257" s="1218"/>
      <c r="AG257" s="1218"/>
      <c r="AH257" s="1218"/>
      <c r="AI257" s="1218"/>
      <c r="AJ257" s="1218"/>
      <c r="AK257" s="1218"/>
      <c r="AL257" s="1218"/>
      <c r="AM257" s="1218"/>
      <c r="AN257" s="1218"/>
      <c r="AO257" s="1218"/>
      <c r="AP257" s="1218">
        <f t="shared" si="255"/>
        <v>0</v>
      </c>
      <c r="AQ257" s="1218">
        <f t="shared" si="256"/>
        <v>0</v>
      </c>
      <c r="AR257" s="1218">
        <f t="shared" si="257"/>
        <v>0</v>
      </c>
      <c r="AS257" s="1218">
        <f t="shared" si="258"/>
        <v>0</v>
      </c>
      <c r="AT257" s="1218">
        <f t="shared" si="259"/>
        <v>0</v>
      </c>
      <c r="AU257" s="1219" t="str">
        <f t="shared" si="260"/>
        <v xml:space="preserve"> </v>
      </c>
      <c r="AV257" s="1219" t="str">
        <f t="shared" si="261"/>
        <v xml:space="preserve"> </v>
      </c>
      <c r="AW257" s="1219" t="str">
        <f t="shared" si="262"/>
        <v xml:space="preserve"> </v>
      </c>
      <c r="AX257" s="1219" t="str">
        <f t="shared" si="263"/>
        <v xml:space="preserve"> </v>
      </c>
      <c r="AY257" s="1218">
        <f t="shared" si="264"/>
        <v>0</v>
      </c>
      <c r="AZ257" s="1218">
        <f t="shared" si="265"/>
        <v>0</v>
      </c>
      <c r="BA257" s="1218">
        <f t="shared" si="266"/>
        <v>0</v>
      </c>
      <c r="BB257" s="1218">
        <f t="shared" si="267"/>
        <v>0</v>
      </c>
      <c r="BC257" s="125"/>
      <c r="BT257" s="111">
        <f t="shared" si="322"/>
        <v>0</v>
      </c>
      <c r="BU257" s="111">
        <f t="shared" si="323"/>
        <v>0</v>
      </c>
      <c r="BV257" s="111">
        <f t="shared" si="324"/>
        <v>0</v>
      </c>
    </row>
    <row r="258" spans="2:74" s="106" customFormat="1">
      <c r="B258" s="1216" t="s">
        <v>45</v>
      </c>
      <c r="C258" s="1217"/>
      <c r="D258" s="1217"/>
      <c r="E258" s="1217"/>
      <c r="F258" s="1217"/>
      <c r="G258" s="1217"/>
      <c r="H258" s="1217"/>
      <c r="I258" s="1217"/>
      <c r="J258" s="1218">
        <f t="shared" si="293"/>
        <v>0</v>
      </c>
      <c r="K258" s="1218">
        <f t="shared" si="294"/>
        <v>0</v>
      </c>
      <c r="L258" s="1218">
        <f t="shared" si="295"/>
        <v>0</v>
      </c>
      <c r="M258" s="1218">
        <f t="shared" si="296"/>
        <v>0</v>
      </c>
      <c r="N258" s="1218">
        <f t="shared" si="297"/>
        <v>0</v>
      </c>
      <c r="O258" s="1217"/>
      <c r="P258" s="1217"/>
      <c r="Q258" s="1217"/>
      <c r="R258" s="1217">
        <f t="shared" si="249"/>
        <v>0</v>
      </c>
      <c r="S258" s="1217"/>
      <c r="T258" s="1217"/>
      <c r="U258" s="1217"/>
      <c r="V258" s="1217"/>
      <c r="W258" s="1217"/>
      <c r="X258" s="1217"/>
      <c r="Y258" s="1217"/>
      <c r="Z258" s="1217">
        <f t="shared" si="250"/>
        <v>0</v>
      </c>
      <c r="AA258" s="1217">
        <f t="shared" si="251"/>
        <v>0</v>
      </c>
      <c r="AB258" s="1217">
        <f t="shared" si="252"/>
        <v>0</v>
      </c>
      <c r="AC258" s="1217">
        <f t="shared" si="253"/>
        <v>0</v>
      </c>
      <c r="AD258" s="1217">
        <f t="shared" si="254"/>
        <v>0</v>
      </c>
      <c r="AE258" s="1217"/>
      <c r="AF258" s="1217"/>
      <c r="AG258" s="1217"/>
      <c r="AH258" s="1217"/>
      <c r="AI258" s="1217"/>
      <c r="AJ258" s="1217"/>
      <c r="AK258" s="1217"/>
      <c r="AL258" s="1217"/>
      <c r="AM258" s="1217"/>
      <c r="AN258" s="1217"/>
      <c r="AO258" s="1217"/>
      <c r="AP258" s="1217">
        <f t="shared" si="255"/>
        <v>0</v>
      </c>
      <c r="AQ258" s="1217">
        <f t="shared" si="256"/>
        <v>0</v>
      </c>
      <c r="AR258" s="1217">
        <f t="shared" si="257"/>
        <v>0</v>
      </c>
      <c r="AS258" s="1217">
        <f t="shared" si="258"/>
        <v>0</v>
      </c>
      <c r="AT258" s="1217">
        <f t="shared" si="259"/>
        <v>0</v>
      </c>
      <c r="AU258" s="1219" t="str">
        <f t="shared" si="260"/>
        <v xml:space="preserve"> </v>
      </c>
      <c r="AV258" s="1219" t="str">
        <f t="shared" si="261"/>
        <v xml:space="preserve"> </v>
      </c>
      <c r="AW258" s="1219" t="str">
        <f t="shared" si="262"/>
        <v xml:space="preserve"> </v>
      </c>
      <c r="AX258" s="1219" t="str">
        <f t="shared" si="263"/>
        <v xml:space="preserve"> </v>
      </c>
      <c r="AY258" s="1218">
        <f t="shared" si="264"/>
        <v>0</v>
      </c>
      <c r="AZ258" s="1218">
        <f t="shared" si="265"/>
        <v>0</v>
      </c>
      <c r="BA258" s="1218">
        <f t="shared" si="266"/>
        <v>0</v>
      </c>
      <c r="BB258" s="1218">
        <f t="shared" si="267"/>
        <v>0</v>
      </c>
      <c r="BC258" s="130"/>
      <c r="BP258" s="1185"/>
      <c r="BT258" s="111">
        <f t="shared" si="322"/>
        <v>0</v>
      </c>
      <c r="BU258" s="111">
        <f t="shared" si="323"/>
        <v>0</v>
      </c>
      <c r="BV258" s="111">
        <f t="shared" si="324"/>
        <v>0</v>
      </c>
    </row>
    <row r="259" spans="2:74">
      <c r="B259" s="1220" t="s">
        <v>950</v>
      </c>
      <c r="C259" s="1218">
        <f>SUM(C260:C261)</f>
        <v>0</v>
      </c>
      <c r="D259" s="1218">
        <f>SUM(D260:D261)</f>
        <v>223684000</v>
      </c>
      <c r="E259" s="1218">
        <f>SUM(E260:E261)</f>
        <v>46176000</v>
      </c>
      <c r="F259" s="1218">
        <f t="shared" ref="F259:AO259" si="327">SUM(F260:F261)</f>
        <v>269860000</v>
      </c>
      <c r="G259" s="1218">
        <f t="shared" si="327"/>
        <v>0</v>
      </c>
      <c r="H259" s="1218">
        <f t="shared" si="327"/>
        <v>0</v>
      </c>
      <c r="I259" s="1218">
        <f t="shared" si="327"/>
        <v>0</v>
      </c>
      <c r="J259" s="1218">
        <f t="shared" si="327"/>
        <v>0</v>
      </c>
      <c r="K259" s="1218">
        <f t="shared" si="327"/>
        <v>0</v>
      </c>
      <c r="L259" s="1218">
        <f t="shared" si="327"/>
        <v>223684000</v>
      </c>
      <c r="M259" s="1218">
        <f t="shared" si="327"/>
        <v>46176000</v>
      </c>
      <c r="N259" s="1218">
        <f t="shared" si="327"/>
        <v>269860000</v>
      </c>
      <c r="O259" s="1218">
        <f t="shared" si="327"/>
        <v>0</v>
      </c>
      <c r="P259" s="1218">
        <f t="shared" si="327"/>
        <v>223684000</v>
      </c>
      <c r="Q259" s="1218">
        <f t="shared" si="327"/>
        <v>46176000</v>
      </c>
      <c r="R259" s="1218">
        <f t="shared" si="249"/>
        <v>269860000</v>
      </c>
      <c r="S259" s="1218"/>
      <c r="T259" s="1218"/>
      <c r="U259" s="1218"/>
      <c r="V259" s="1218">
        <f>SUM(V260:V261)</f>
        <v>0</v>
      </c>
      <c r="W259" s="1218">
        <f t="shared" si="327"/>
        <v>0</v>
      </c>
      <c r="X259" s="1218">
        <f>SUM(X260:X261)</f>
        <v>0</v>
      </c>
      <c r="Y259" s="1218">
        <f>SUM(Y260:Y261)</f>
        <v>0</v>
      </c>
      <c r="Z259" s="1218">
        <f t="shared" si="250"/>
        <v>0</v>
      </c>
      <c r="AA259" s="1218">
        <f t="shared" si="251"/>
        <v>0</v>
      </c>
      <c r="AB259" s="1218">
        <f t="shared" si="252"/>
        <v>223684000</v>
      </c>
      <c r="AC259" s="1218">
        <f t="shared" si="253"/>
        <v>46176000</v>
      </c>
      <c r="AD259" s="1218">
        <f t="shared" si="254"/>
        <v>269860000</v>
      </c>
      <c r="AE259" s="1218">
        <f t="shared" si="327"/>
        <v>0</v>
      </c>
      <c r="AF259" s="1218">
        <f t="shared" si="327"/>
        <v>32337772.780000001</v>
      </c>
      <c r="AG259" s="1218">
        <f t="shared" si="327"/>
        <v>0</v>
      </c>
      <c r="AH259" s="1218">
        <f t="shared" si="327"/>
        <v>32337772.780000001</v>
      </c>
      <c r="AI259" s="1218">
        <f t="shared" si="327"/>
        <v>0</v>
      </c>
      <c r="AJ259" s="1218">
        <f t="shared" si="327"/>
        <v>0</v>
      </c>
      <c r="AK259" s="1218">
        <f t="shared" si="327"/>
        <v>0</v>
      </c>
      <c r="AL259" s="1218">
        <f t="shared" si="327"/>
        <v>0</v>
      </c>
      <c r="AM259" s="1218">
        <f t="shared" si="327"/>
        <v>0</v>
      </c>
      <c r="AN259" s="1218">
        <f t="shared" si="327"/>
        <v>32337772.780000001</v>
      </c>
      <c r="AO259" s="1218">
        <f t="shared" si="327"/>
        <v>0</v>
      </c>
      <c r="AP259" s="1218">
        <f t="shared" si="255"/>
        <v>32337772.780000001</v>
      </c>
      <c r="AQ259" s="1218">
        <f t="shared" si="256"/>
        <v>0</v>
      </c>
      <c r="AR259" s="1218">
        <f t="shared" si="257"/>
        <v>191346227.22</v>
      </c>
      <c r="AS259" s="1218">
        <f t="shared" si="258"/>
        <v>46176000</v>
      </c>
      <c r="AT259" s="1218">
        <f t="shared" si="259"/>
        <v>237522227.22</v>
      </c>
      <c r="AU259" s="1219" t="str">
        <f t="shared" si="260"/>
        <v xml:space="preserve"> </v>
      </c>
      <c r="AV259" s="1219">
        <f t="shared" si="261"/>
        <v>0.144569002610826</v>
      </c>
      <c r="AW259" s="1219">
        <f t="shared" si="262"/>
        <v>0</v>
      </c>
      <c r="AX259" s="1219">
        <f t="shared" si="263"/>
        <v>0.11983166375157489</v>
      </c>
      <c r="AY259" s="1218">
        <f t="shared" si="264"/>
        <v>0</v>
      </c>
      <c r="AZ259" s="1218">
        <f t="shared" si="265"/>
        <v>0</v>
      </c>
      <c r="BA259" s="1218">
        <f t="shared" si="266"/>
        <v>0</v>
      </c>
      <c r="BB259" s="1218">
        <f t="shared" si="267"/>
        <v>0</v>
      </c>
      <c r="BC259" s="125"/>
    </row>
    <row r="260" spans="2:74">
      <c r="B260" s="1301" t="s">
        <v>593</v>
      </c>
      <c r="C260" s="1218"/>
      <c r="D260" s="1218">
        <v>37553000</v>
      </c>
      <c r="E260" s="1218">
        <v>6887000</v>
      </c>
      <c r="F260" s="1218">
        <f t="shared" si="292"/>
        <v>44440000</v>
      </c>
      <c r="G260" s="1218"/>
      <c r="H260" s="1218"/>
      <c r="I260" s="1218"/>
      <c r="J260" s="1218">
        <f t="shared" si="293"/>
        <v>0</v>
      </c>
      <c r="K260" s="1218">
        <f t="shared" si="294"/>
        <v>0</v>
      </c>
      <c r="L260" s="1218">
        <f t="shared" si="295"/>
        <v>37553000</v>
      </c>
      <c r="M260" s="1218">
        <f t="shared" si="296"/>
        <v>6887000</v>
      </c>
      <c r="N260" s="1218">
        <f t="shared" si="297"/>
        <v>44440000</v>
      </c>
      <c r="O260" s="1218"/>
      <c r="P260" s="1218">
        <v>37553000</v>
      </c>
      <c r="Q260" s="1218">
        <v>6887000</v>
      </c>
      <c r="R260" s="1218">
        <f t="shared" si="249"/>
        <v>44440000</v>
      </c>
      <c r="S260" s="1218"/>
      <c r="T260" s="1218"/>
      <c r="U260" s="1218"/>
      <c r="V260" s="1218">
        <f t="shared" si="298"/>
        <v>0</v>
      </c>
      <c r="W260" s="1304"/>
      <c r="X260" s="1304"/>
      <c r="Y260" s="1304"/>
      <c r="Z260" s="1218">
        <f t="shared" si="250"/>
        <v>0</v>
      </c>
      <c r="AA260" s="1218">
        <f t="shared" si="251"/>
        <v>0</v>
      </c>
      <c r="AB260" s="1218">
        <f t="shared" si="252"/>
        <v>37553000</v>
      </c>
      <c r="AC260" s="1218">
        <f t="shared" si="253"/>
        <v>6887000</v>
      </c>
      <c r="AD260" s="1218">
        <f t="shared" si="254"/>
        <v>44440000</v>
      </c>
      <c r="AE260" s="1304">
        <f>+'FAPS-CY'!I13</f>
        <v>0</v>
      </c>
      <c r="AF260" s="1304">
        <f>+'FAPS-CY'!I14</f>
        <v>15285290.899999999</v>
      </c>
      <c r="AG260" s="1304">
        <f>+'FAPS-CY'!I15</f>
        <v>0</v>
      </c>
      <c r="AH260" s="1218">
        <f t="shared" si="299"/>
        <v>15285290.899999999</v>
      </c>
      <c r="AI260" s="1304"/>
      <c r="AJ260" s="1304"/>
      <c r="AK260" s="1304"/>
      <c r="AL260" s="1218">
        <f t="shared" si="300"/>
        <v>0</v>
      </c>
      <c r="AM260" s="1218">
        <f t="shared" ref="AM260:AO261" si="328">+AE260+AI260</f>
        <v>0</v>
      </c>
      <c r="AN260" s="1218">
        <f t="shared" si="328"/>
        <v>15285290.899999999</v>
      </c>
      <c r="AO260" s="1218">
        <f t="shared" si="328"/>
        <v>0</v>
      </c>
      <c r="AP260" s="1218">
        <f t="shared" si="255"/>
        <v>15285290.899999999</v>
      </c>
      <c r="AQ260" s="1218">
        <f t="shared" si="256"/>
        <v>0</v>
      </c>
      <c r="AR260" s="1218">
        <f t="shared" si="257"/>
        <v>22267709.100000001</v>
      </c>
      <c r="AS260" s="1218">
        <f t="shared" si="258"/>
        <v>6887000</v>
      </c>
      <c r="AT260" s="1218">
        <f t="shared" si="259"/>
        <v>29154709.100000001</v>
      </c>
      <c r="AU260" s="1219" t="str">
        <f t="shared" si="260"/>
        <v xml:space="preserve"> </v>
      </c>
      <c r="AV260" s="1219">
        <f t="shared" si="261"/>
        <v>0.40703248475487974</v>
      </c>
      <c r="AW260" s="1219">
        <f t="shared" si="262"/>
        <v>0</v>
      </c>
      <c r="AX260" s="1219">
        <f t="shared" si="263"/>
        <v>0.34395344059405936</v>
      </c>
      <c r="AY260" s="1218">
        <f t="shared" si="264"/>
        <v>0</v>
      </c>
      <c r="AZ260" s="1218">
        <f t="shared" si="265"/>
        <v>0</v>
      </c>
      <c r="BA260" s="1218">
        <f t="shared" si="266"/>
        <v>0</v>
      </c>
      <c r="BB260" s="1218">
        <f t="shared" si="267"/>
        <v>0</v>
      </c>
      <c r="BC260" s="125"/>
    </row>
    <row r="261" spans="2:74">
      <c r="B261" s="1301" t="s">
        <v>594</v>
      </c>
      <c r="C261" s="1218"/>
      <c r="D261" s="1218">
        <v>186131000</v>
      </c>
      <c r="E261" s="1218">
        <v>39289000</v>
      </c>
      <c r="F261" s="1218">
        <f t="shared" si="292"/>
        <v>225420000</v>
      </c>
      <c r="G261" s="1218"/>
      <c r="H261" s="1218"/>
      <c r="I261" s="1218"/>
      <c r="J261" s="1218">
        <f t="shared" si="293"/>
        <v>0</v>
      </c>
      <c r="K261" s="1218">
        <f t="shared" si="294"/>
        <v>0</v>
      </c>
      <c r="L261" s="1218">
        <f t="shared" si="295"/>
        <v>186131000</v>
      </c>
      <c r="M261" s="1218">
        <f t="shared" si="296"/>
        <v>39289000</v>
      </c>
      <c r="N261" s="1218">
        <f t="shared" si="297"/>
        <v>225420000</v>
      </c>
      <c r="O261" s="1218"/>
      <c r="P261" s="1218">
        <v>186131000</v>
      </c>
      <c r="Q261" s="1218">
        <v>39289000</v>
      </c>
      <c r="R261" s="1218">
        <f t="shared" si="249"/>
        <v>225420000</v>
      </c>
      <c r="S261" s="1218"/>
      <c r="T261" s="1218"/>
      <c r="U261" s="1218"/>
      <c r="V261" s="1218">
        <f t="shared" si="298"/>
        <v>0</v>
      </c>
      <c r="W261" s="1304"/>
      <c r="X261" s="1304"/>
      <c r="Y261" s="1304"/>
      <c r="Z261" s="1218">
        <f t="shared" si="250"/>
        <v>0</v>
      </c>
      <c r="AA261" s="1218">
        <f t="shared" si="251"/>
        <v>0</v>
      </c>
      <c r="AB261" s="1218">
        <f t="shared" si="252"/>
        <v>186131000</v>
      </c>
      <c r="AC261" s="1218">
        <f t="shared" si="253"/>
        <v>39289000</v>
      </c>
      <c r="AD261" s="1218">
        <f t="shared" si="254"/>
        <v>225420000</v>
      </c>
      <c r="AE261" s="1304">
        <f>+'FAPS-CY'!J13</f>
        <v>0</v>
      </c>
      <c r="AF261" s="1304">
        <f>+'FAPS-CY'!J14</f>
        <v>17052481.880000003</v>
      </c>
      <c r="AG261" s="1304">
        <f>+'FAPS-CY'!J15</f>
        <v>0</v>
      </c>
      <c r="AH261" s="1218">
        <f t="shared" si="299"/>
        <v>17052481.880000003</v>
      </c>
      <c r="AI261" s="1304"/>
      <c r="AJ261" s="1304"/>
      <c r="AK261" s="1304"/>
      <c r="AL261" s="1218">
        <f t="shared" si="300"/>
        <v>0</v>
      </c>
      <c r="AM261" s="1218">
        <f t="shared" si="328"/>
        <v>0</v>
      </c>
      <c r="AN261" s="1218">
        <f t="shared" si="328"/>
        <v>17052481.880000003</v>
      </c>
      <c r="AO261" s="1218">
        <f t="shared" si="328"/>
        <v>0</v>
      </c>
      <c r="AP261" s="1218">
        <f t="shared" si="255"/>
        <v>17052481.880000003</v>
      </c>
      <c r="AQ261" s="1218">
        <f t="shared" si="256"/>
        <v>0</v>
      </c>
      <c r="AR261" s="1218">
        <f t="shared" si="257"/>
        <v>169078518.12</v>
      </c>
      <c r="AS261" s="1218">
        <f t="shared" si="258"/>
        <v>39289000</v>
      </c>
      <c r="AT261" s="1218">
        <f t="shared" si="259"/>
        <v>208367518.12</v>
      </c>
      <c r="AU261" s="1219" t="str">
        <f t="shared" si="260"/>
        <v xml:space="preserve"> </v>
      </c>
      <c r="AV261" s="1219">
        <f t="shared" si="261"/>
        <v>9.1615485222773227E-2</v>
      </c>
      <c r="AW261" s="1219">
        <f t="shared" si="262"/>
        <v>0</v>
      </c>
      <c r="AX261" s="1219">
        <f t="shared" si="263"/>
        <v>7.5647599503149685E-2</v>
      </c>
      <c r="AY261" s="1218">
        <f t="shared" si="264"/>
        <v>0</v>
      </c>
      <c r="AZ261" s="1218">
        <f t="shared" si="265"/>
        <v>0</v>
      </c>
      <c r="BA261" s="1218">
        <f t="shared" si="266"/>
        <v>0</v>
      </c>
      <c r="BB261" s="1218">
        <f t="shared" si="267"/>
        <v>0</v>
      </c>
      <c r="BC261" s="125"/>
    </row>
    <row r="262" spans="2:74">
      <c r="B262" s="1218"/>
      <c r="C262" s="1218"/>
      <c r="D262" s="1218"/>
      <c r="E262" s="1218"/>
      <c r="F262" s="1218"/>
      <c r="G262" s="1218"/>
      <c r="H262" s="1218"/>
      <c r="I262" s="1218"/>
      <c r="J262" s="1218">
        <f t="shared" si="293"/>
        <v>0</v>
      </c>
      <c r="K262" s="1218">
        <f t="shared" si="294"/>
        <v>0</v>
      </c>
      <c r="L262" s="1218">
        <f t="shared" si="295"/>
        <v>0</v>
      </c>
      <c r="M262" s="1218">
        <f t="shared" si="296"/>
        <v>0</v>
      </c>
      <c r="N262" s="1218">
        <f t="shared" si="297"/>
        <v>0</v>
      </c>
      <c r="O262" s="1218"/>
      <c r="P262" s="1218"/>
      <c r="Q262" s="1218"/>
      <c r="R262" s="1218">
        <f t="shared" si="249"/>
        <v>0</v>
      </c>
      <c r="S262" s="1218"/>
      <c r="T262" s="1218"/>
      <c r="U262" s="1218"/>
      <c r="V262" s="1218"/>
      <c r="W262" s="1304"/>
      <c r="X262" s="1304"/>
      <c r="Y262" s="1304"/>
      <c r="Z262" s="1218">
        <f t="shared" si="250"/>
        <v>0</v>
      </c>
      <c r="AA262" s="1218"/>
      <c r="AB262" s="1218"/>
      <c r="AC262" s="1218"/>
      <c r="AD262" s="1218"/>
      <c r="AE262" s="1304"/>
      <c r="AF262" s="1304"/>
      <c r="AG262" s="1304"/>
      <c r="AH262" s="1218"/>
      <c r="AI262" s="1304"/>
      <c r="AJ262" s="1304"/>
      <c r="AK262" s="1304"/>
      <c r="AL262" s="1218"/>
      <c r="AM262" s="1218"/>
      <c r="AN262" s="1218"/>
      <c r="AO262" s="1218"/>
      <c r="AP262" s="1218">
        <f t="shared" si="255"/>
        <v>0</v>
      </c>
      <c r="AQ262" s="1218">
        <f t="shared" si="256"/>
        <v>0</v>
      </c>
      <c r="AR262" s="1218">
        <f t="shared" si="257"/>
        <v>0</v>
      </c>
      <c r="AS262" s="1218">
        <f t="shared" si="258"/>
        <v>0</v>
      </c>
      <c r="AT262" s="1218">
        <f t="shared" si="259"/>
        <v>0</v>
      </c>
      <c r="AU262" s="1219" t="str">
        <f t="shared" si="260"/>
        <v xml:space="preserve"> </v>
      </c>
      <c r="AV262" s="1219" t="str">
        <f t="shared" si="261"/>
        <v xml:space="preserve"> </v>
      </c>
      <c r="AW262" s="1219" t="str">
        <f t="shared" si="262"/>
        <v xml:space="preserve"> </v>
      </c>
      <c r="AX262" s="1219" t="str">
        <f t="shared" si="263"/>
        <v xml:space="preserve"> </v>
      </c>
      <c r="AY262" s="1218">
        <f t="shared" si="264"/>
        <v>0</v>
      </c>
      <c r="AZ262" s="1218">
        <f t="shared" si="265"/>
        <v>0</v>
      </c>
      <c r="BA262" s="1218">
        <f t="shared" si="266"/>
        <v>0</v>
      </c>
      <c r="BB262" s="1218">
        <f t="shared" si="267"/>
        <v>0</v>
      </c>
      <c r="BC262" s="125"/>
    </row>
    <row r="263" spans="2:74" s="107" customFormat="1">
      <c r="B263" s="183" t="s">
        <v>46</v>
      </c>
      <c r="C263" s="179">
        <f>+C264+C265</f>
        <v>0</v>
      </c>
      <c r="D263" s="179">
        <f>+D264+D265</f>
        <v>223684000</v>
      </c>
      <c r="E263" s="179">
        <f>+E264+E265</f>
        <v>46176000</v>
      </c>
      <c r="F263" s="179">
        <f t="shared" ref="F263:AO263" si="329">+F264+F265</f>
        <v>269860000</v>
      </c>
      <c r="G263" s="179">
        <f t="shared" si="329"/>
        <v>0</v>
      </c>
      <c r="H263" s="179">
        <f t="shared" si="329"/>
        <v>0</v>
      </c>
      <c r="I263" s="179">
        <f t="shared" si="329"/>
        <v>0</v>
      </c>
      <c r="J263" s="179">
        <f t="shared" si="329"/>
        <v>0</v>
      </c>
      <c r="K263" s="179">
        <f t="shared" si="329"/>
        <v>0</v>
      </c>
      <c r="L263" s="179">
        <f t="shared" si="329"/>
        <v>223684000</v>
      </c>
      <c r="M263" s="179">
        <f t="shared" si="329"/>
        <v>46176000</v>
      </c>
      <c r="N263" s="179">
        <f t="shared" si="329"/>
        <v>269860000</v>
      </c>
      <c r="O263" s="179">
        <f t="shared" si="329"/>
        <v>0</v>
      </c>
      <c r="P263" s="179">
        <f t="shared" si="329"/>
        <v>223684000</v>
      </c>
      <c r="Q263" s="179">
        <f t="shared" si="329"/>
        <v>46176000</v>
      </c>
      <c r="R263" s="179">
        <f t="shared" si="249"/>
        <v>269860000</v>
      </c>
      <c r="S263" s="179">
        <f>+S264+S265</f>
        <v>0</v>
      </c>
      <c r="T263" s="179">
        <f>+T264+T265</f>
        <v>0</v>
      </c>
      <c r="U263" s="179">
        <f>+U264+U265</f>
        <v>0</v>
      </c>
      <c r="V263" s="179">
        <f>+V264+V265</f>
        <v>0</v>
      </c>
      <c r="W263" s="179">
        <f t="shared" si="329"/>
        <v>0</v>
      </c>
      <c r="X263" s="179">
        <f t="shared" si="329"/>
        <v>0</v>
      </c>
      <c r="Y263" s="179">
        <f t="shared" si="329"/>
        <v>0</v>
      </c>
      <c r="Z263" s="179">
        <f t="shared" si="250"/>
        <v>0</v>
      </c>
      <c r="AA263" s="179">
        <f>+AA264+AA265</f>
        <v>0</v>
      </c>
      <c r="AB263" s="179">
        <f>+AB264+AB265</f>
        <v>223684000</v>
      </c>
      <c r="AC263" s="179">
        <f>+AC264+AC265</f>
        <v>46176000</v>
      </c>
      <c r="AD263" s="179">
        <f>+AD264+AD265</f>
        <v>269860000</v>
      </c>
      <c r="AE263" s="179">
        <f t="shared" si="329"/>
        <v>0</v>
      </c>
      <c r="AF263" s="179">
        <f t="shared" si="329"/>
        <v>32337772.780000001</v>
      </c>
      <c r="AG263" s="179">
        <f t="shared" si="329"/>
        <v>0</v>
      </c>
      <c r="AH263" s="179">
        <f t="shared" si="329"/>
        <v>32337772.780000001</v>
      </c>
      <c r="AI263" s="179">
        <f t="shared" si="329"/>
        <v>0</v>
      </c>
      <c r="AJ263" s="179">
        <f t="shared" si="329"/>
        <v>0</v>
      </c>
      <c r="AK263" s="179">
        <f t="shared" si="329"/>
        <v>0</v>
      </c>
      <c r="AL263" s="179">
        <f t="shared" si="329"/>
        <v>0</v>
      </c>
      <c r="AM263" s="179">
        <f t="shared" si="329"/>
        <v>0</v>
      </c>
      <c r="AN263" s="179">
        <f t="shared" si="329"/>
        <v>32337772.780000001</v>
      </c>
      <c r="AO263" s="179">
        <f t="shared" si="329"/>
        <v>0</v>
      </c>
      <c r="AP263" s="179">
        <f t="shared" si="255"/>
        <v>32337772.780000001</v>
      </c>
      <c r="AQ263" s="179">
        <f t="shared" si="256"/>
        <v>0</v>
      </c>
      <c r="AR263" s="179">
        <f t="shared" si="257"/>
        <v>191346227.22</v>
      </c>
      <c r="AS263" s="179">
        <f t="shared" si="258"/>
        <v>46176000</v>
      </c>
      <c r="AT263" s="179">
        <f t="shared" si="259"/>
        <v>237522227.22</v>
      </c>
      <c r="AU263" s="184" t="str">
        <f t="shared" si="260"/>
        <v xml:space="preserve"> </v>
      </c>
      <c r="AV263" s="184">
        <f t="shared" si="261"/>
        <v>0.144569002610826</v>
      </c>
      <c r="AW263" s="184">
        <f t="shared" si="262"/>
        <v>0</v>
      </c>
      <c r="AX263" s="184">
        <f t="shared" si="263"/>
        <v>0.11983166375157489</v>
      </c>
      <c r="AY263" s="179">
        <f t="shared" si="264"/>
        <v>0</v>
      </c>
      <c r="AZ263" s="179">
        <f t="shared" si="265"/>
        <v>0</v>
      </c>
      <c r="BA263" s="179">
        <f t="shared" si="266"/>
        <v>0</v>
      </c>
      <c r="BB263" s="179">
        <f t="shared" si="267"/>
        <v>0</v>
      </c>
      <c r="BC263" s="131"/>
      <c r="BP263" s="150"/>
      <c r="BT263" s="111"/>
      <c r="BU263" s="111"/>
      <c r="BV263" s="111"/>
    </row>
    <row r="264" spans="2:74">
      <c r="B264" s="1301" t="s">
        <v>593</v>
      </c>
      <c r="C264" s="1218">
        <f t="shared" ref="C264:E265" si="330">+C260</f>
        <v>0</v>
      </c>
      <c r="D264" s="1218">
        <f t="shared" si="330"/>
        <v>37553000</v>
      </c>
      <c r="E264" s="1218">
        <f t="shared" si="330"/>
        <v>6887000</v>
      </c>
      <c r="F264" s="1218">
        <f t="shared" ref="F264:AO264" si="331">+F260</f>
        <v>44440000</v>
      </c>
      <c r="G264" s="1218">
        <f t="shared" si="331"/>
        <v>0</v>
      </c>
      <c r="H264" s="1218">
        <f t="shared" si="331"/>
        <v>0</v>
      </c>
      <c r="I264" s="1218">
        <f t="shared" si="331"/>
        <v>0</v>
      </c>
      <c r="J264" s="1218">
        <f t="shared" si="331"/>
        <v>0</v>
      </c>
      <c r="K264" s="1218">
        <f t="shared" si="331"/>
        <v>0</v>
      </c>
      <c r="L264" s="1218">
        <f t="shared" si="331"/>
        <v>37553000</v>
      </c>
      <c r="M264" s="1218">
        <f t="shared" si="331"/>
        <v>6887000</v>
      </c>
      <c r="N264" s="1218">
        <f t="shared" si="331"/>
        <v>44440000</v>
      </c>
      <c r="O264" s="1218">
        <f t="shared" si="331"/>
        <v>0</v>
      </c>
      <c r="P264" s="1218">
        <f t="shared" si="331"/>
        <v>37553000</v>
      </c>
      <c r="Q264" s="1218">
        <f t="shared" si="331"/>
        <v>6887000</v>
      </c>
      <c r="R264" s="1218">
        <f t="shared" si="249"/>
        <v>44440000</v>
      </c>
      <c r="S264" s="1218">
        <f t="shared" si="331"/>
        <v>0</v>
      </c>
      <c r="T264" s="1218">
        <f t="shared" si="331"/>
        <v>0</v>
      </c>
      <c r="U264" s="1218">
        <f t="shared" si="331"/>
        <v>0</v>
      </c>
      <c r="V264" s="1218">
        <f t="shared" si="331"/>
        <v>0</v>
      </c>
      <c r="W264" s="1218">
        <f t="shared" si="331"/>
        <v>0</v>
      </c>
      <c r="X264" s="1218">
        <f t="shared" si="331"/>
        <v>0</v>
      </c>
      <c r="Y264" s="1218">
        <f t="shared" si="331"/>
        <v>0</v>
      </c>
      <c r="Z264" s="1218">
        <f t="shared" si="250"/>
        <v>0</v>
      </c>
      <c r="AA264" s="1218">
        <f t="shared" si="331"/>
        <v>0</v>
      </c>
      <c r="AB264" s="1218">
        <f t="shared" si="331"/>
        <v>37553000</v>
      </c>
      <c r="AC264" s="1218">
        <f t="shared" si="331"/>
        <v>6887000</v>
      </c>
      <c r="AD264" s="1218">
        <f t="shared" si="331"/>
        <v>44440000</v>
      </c>
      <c r="AE264" s="1218">
        <f t="shared" si="331"/>
        <v>0</v>
      </c>
      <c r="AF264" s="1218">
        <f t="shared" si="331"/>
        <v>15285290.899999999</v>
      </c>
      <c r="AG264" s="1218">
        <f t="shared" si="331"/>
        <v>0</v>
      </c>
      <c r="AH264" s="1218">
        <f t="shared" si="331"/>
        <v>15285290.899999999</v>
      </c>
      <c r="AI264" s="1218">
        <f t="shared" si="331"/>
        <v>0</v>
      </c>
      <c r="AJ264" s="1218">
        <f t="shared" si="331"/>
        <v>0</v>
      </c>
      <c r="AK264" s="1218">
        <f t="shared" si="331"/>
        <v>0</v>
      </c>
      <c r="AL264" s="1218">
        <f t="shared" si="331"/>
        <v>0</v>
      </c>
      <c r="AM264" s="1218">
        <f t="shared" si="331"/>
        <v>0</v>
      </c>
      <c r="AN264" s="1218">
        <f t="shared" si="331"/>
        <v>15285290.899999999</v>
      </c>
      <c r="AO264" s="1218">
        <f t="shared" si="331"/>
        <v>0</v>
      </c>
      <c r="AP264" s="1218">
        <f t="shared" si="255"/>
        <v>15285290.899999999</v>
      </c>
      <c r="AQ264" s="1218">
        <f t="shared" si="256"/>
        <v>0</v>
      </c>
      <c r="AR264" s="1218">
        <f t="shared" si="257"/>
        <v>22267709.100000001</v>
      </c>
      <c r="AS264" s="1218">
        <f t="shared" si="258"/>
        <v>6887000</v>
      </c>
      <c r="AT264" s="1218">
        <f t="shared" si="259"/>
        <v>29154709.100000001</v>
      </c>
      <c r="AU264" s="1219" t="str">
        <f t="shared" si="260"/>
        <v xml:space="preserve"> </v>
      </c>
      <c r="AV264" s="1219">
        <f t="shared" si="261"/>
        <v>0.40703248475487974</v>
      </c>
      <c r="AW264" s="1219">
        <f t="shared" si="262"/>
        <v>0</v>
      </c>
      <c r="AX264" s="1219">
        <f t="shared" si="263"/>
        <v>0.34395344059405936</v>
      </c>
      <c r="AY264" s="1218">
        <f t="shared" si="264"/>
        <v>0</v>
      </c>
      <c r="AZ264" s="1218">
        <f t="shared" si="265"/>
        <v>0</v>
      </c>
      <c r="BA264" s="1218">
        <f t="shared" si="266"/>
        <v>0</v>
      </c>
      <c r="BB264" s="1218">
        <f t="shared" si="267"/>
        <v>0</v>
      </c>
      <c r="BC264" s="125"/>
    </row>
    <row r="265" spans="2:74">
      <c r="B265" s="1301" t="s">
        <v>594</v>
      </c>
      <c r="C265" s="1218">
        <f t="shared" si="330"/>
        <v>0</v>
      </c>
      <c r="D265" s="1218">
        <f t="shared" si="330"/>
        <v>186131000</v>
      </c>
      <c r="E265" s="1218">
        <f t="shared" si="330"/>
        <v>39289000</v>
      </c>
      <c r="F265" s="1218">
        <f t="shared" ref="F265:AO265" si="332">+F261</f>
        <v>225420000</v>
      </c>
      <c r="G265" s="1218">
        <f t="shared" si="332"/>
        <v>0</v>
      </c>
      <c r="H265" s="1218">
        <f t="shared" si="332"/>
        <v>0</v>
      </c>
      <c r="I265" s="1218">
        <f t="shared" si="332"/>
        <v>0</v>
      </c>
      <c r="J265" s="1218">
        <f t="shared" si="332"/>
        <v>0</v>
      </c>
      <c r="K265" s="1218">
        <f t="shared" si="332"/>
        <v>0</v>
      </c>
      <c r="L265" s="1218">
        <f t="shared" si="332"/>
        <v>186131000</v>
      </c>
      <c r="M265" s="1218">
        <f t="shared" si="332"/>
        <v>39289000</v>
      </c>
      <c r="N265" s="1218">
        <f t="shared" si="332"/>
        <v>225420000</v>
      </c>
      <c r="O265" s="1218">
        <f t="shared" si="332"/>
        <v>0</v>
      </c>
      <c r="P265" s="1218">
        <f t="shared" si="332"/>
        <v>186131000</v>
      </c>
      <c r="Q265" s="1218">
        <f t="shared" si="332"/>
        <v>39289000</v>
      </c>
      <c r="R265" s="1218">
        <f t="shared" si="249"/>
        <v>225420000</v>
      </c>
      <c r="S265" s="1218">
        <f t="shared" si="332"/>
        <v>0</v>
      </c>
      <c r="T265" s="1218">
        <f t="shared" si="332"/>
        <v>0</v>
      </c>
      <c r="U265" s="1218">
        <f t="shared" si="332"/>
        <v>0</v>
      </c>
      <c r="V265" s="1218">
        <f t="shared" si="332"/>
        <v>0</v>
      </c>
      <c r="W265" s="1218">
        <f t="shared" si="332"/>
        <v>0</v>
      </c>
      <c r="X265" s="1218">
        <f t="shared" si="332"/>
        <v>0</v>
      </c>
      <c r="Y265" s="1218">
        <f t="shared" si="332"/>
        <v>0</v>
      </c>
      <c r="Z265" s="1218">
        <f t="shared" si="250"/>
        <v>0</v>
      </c>
      <c r="AA265" s="1218">
        <f t="shared" si="332"/>
        <v>0</v>
      </c>
      <c r="AB265" s="1218">
        <f t="shared" si="332"/>
        <v>186131000</v>
      </c>
      <c r="AC265" s="1218">
        <f t="shared" si="332"/>
        <v>39289000</v>
      </c>
      <c r="AD265" s="1218">
        <f t="shared" si="332"/>
        <v>225420000</v>
      </c>
      <c r="AE265" s="1218">
        <f t="shared" si="332"/>
        <v>0</v>
      </c>
      <c r="AF265" s="1218">
        <f t="shared" si="332"/>
        <v>17052481.880000003</v>
      </c>
      <c r="AG265" s="1218">
        <f t="shared" si="332"/>
        <v>0</v>
      </c>
      <c r="AH265" s="1218">
        <f t="shared" si="332"/>
        <v>17052481.880000003</v>
      </c>
      <c r="AI265" s="1218">
        <f t="shared" si="332"/>
        <v>0</v>
      </c>
      <c r="AJ265" s="1218">
        <f t="shared" si="332"/>
        <v>0</v>
      </c>
      <c r="AK265" s="1218">
        <f t="shared" si="332"/>
        <v>0</v>
      </c>
      <c r="AL265" s="1218">
        <f t="shared" si="332"/>
        <v>0</v>
      </c>
      <c r="AM265" s="1218">
        <f t="shared" si="332"/>
        <v>0</v>
      </c>
      <c r="AN265" s="1218">
        <f t="shared" si="332"/>
        <v>17052481.880000003</v>
      </c>
      <c r="AO265" s="1218">
        <f t="shared" si="332"/>
        <v>0</v>
      </c>
      <c r="AP265" s="1218">
        <f t="shared" si="255"/>
        <v>17052481.880000003</v>
      </c>
      <c r="AQ265" s="1218">
        <f t="shared" si="256"/>
        <v>0</v>
      </c>
      <c r="AR265" s="1218">
        <f t="shared" si="257"/>
        <v>169078518.12</v>
      </c>
      <c r="AS265" s="1218">
        <f t="shared" si="258"/>
        <v>39289000</v>
      </c>
      <c r="AT265" s="1218">
        <f t="shared" si="259"/>
        <v>208367518.12</v>
      </c>
      <c r="AU265" s="1219" t="str">
        <f t="shared" si="260"/>
        <v xml:space="preserve"> </v>
      </c>
      <c r="AV265" s="1219">
        <f t="shared" si="261"/>
        <v>9.1615485222773227E-2</v>
      </c>
      <c r="AW265" s="1219">
        <f t="shared" si="262"/>
        <v>0</v>
      </c>
      <c r="AX265" s="1219">
        <f t="shared" si="263"/>
        <v>7.5647599503149685E-2</v>
      </c>
      <c r="AY265" s="1218">
        <f t="shared" si="264"/>
        <v>0</v>
      </c>
      <c r="AZ265" s="1218">
        <f t="shared" si="265"/>
        <v>0</v>
      </c>
      <c r="BA265" s="1218">
        <f t="shared" si="266"/>
        <v>0</v>
      </c>
      <c r="BB265" s="1218">
        <f t="shared" si="267"/>
        <v>0</v>
      </c>
      <c r="BC265" s="125"/>
    </row>
    <row r="266" spans="2:74">
      <c r="B266" s="1218"/>
      <c r="C266" s="1218"/>
      <c r="D266" s="1218"/>
      <c r="E266" s="1218"/>
      <c r="F266" s="1218"/>
      <c r="G266" s="1218"/>
      <c r="H266" s="1218"/>
      <c r="I266" s="1218"/>
      <c r="J266" s="1218">
        <f t="shared" si="293"/>
        <v>0</v>
      </c>
      <c r="K266" s="1218">
        <f t="shared" si="294"/>
        <v>0</v>
      </c>
      <c r="L266" s="1218">
        <f t="shared" si="295"/>
        <v>0</v>
      </c>
      <c r="M266" s="1218">
        <f t="shared" si="296"/>
        <v>0</v>
      </c>
      <c r="N266" s="1218">
        <f t="shared" si="297"/>
        <v>0</v>
      </c>
      <c r="O266" s="1218"/>
      <c r="P266" s="1218"/>
      <c r="Q266" s="1218"/>
      <c r="R266" s="1218">
        <f t="shared" si="249"/>
        <v>0</v>
      </c>
      <c r="S266" s="1218"/>
      <c r="T266" s="1218"/>
      <c r="U266" s="1218"/>
      <c r="V266" s="1218"/>
      <c r="W266" s="1218"/>
      <c r="X266" s="1218"/>
      <c r="Y266" s="1218"/>
      <c r="Z266" s="1218">
        <f t="shared" si="250"/>
        <v>0</v>
      </c>
      <c r="AA266" s="1218"/>
      <c r="AB266" s="1218"/>
      <c r="AC266" s="1218"/>
      <c r="AD266" s="1218"/>
      <c r="AE266" s="1218"/>
      <c r="AF266" s="1218"/>
      <c r="AG266" s="1218"/>
      <c r="AH266" s="1218"/>
      <c r="AI266" s="1218"/>
      <c r="AJ266" s="1218"/>
      <c r="AK266" s="1218"/>
      <c r="AL266" s="1218"/>
      <c r="AM266" s="1218"/>
      <c r="AN266" s="1218"/>
      <c r="AO266" s="1218"/>
      <c r="AP266" s="1218">
        <f t="shared" si="255"/>
        <v>0</v>
      </c>
      <c r="AQ266" s="1218">
        <f t="shared" ref="AQ266:AS267" si="333">+AA266-AM266</f>
        <v>0</v>
      </c>
      <c r="AR266" s="1218">
        <f t="shared" si="333"/>
        <v>0</v>
      </c>
      <c r="AS266" s="1218">
        <f t="shared" si="333"/>
        <v>0</v>
      </c>
      <c r="AT266" s="1218">
        <f>SUM(AQ266:AS266)</f>
        <v>0</v>
      </c>
      <c r="AU266" s="1219" t="str">
        <f t="shared" si="260"/>
        <v xml:space="preserve"> </v>
      </c>
      <c r="AV266" s="1219" t="str">
        <f t="shared" si="261"/>
        <v xml:space="preserve"> </v>
      </c>
      <c r="AW266" s="1219" t="str">
        <f t="shared" si="262"/>
        <v xml:space="preserve"> </v>
      </c>
      <c r="AX266" s="1219" t="str">
        <f t="shared" si="263"/>
        <v xml:space="preserve"> </v>
      </c>
      <c r="AY266" s="1218">
        <f t="shared" si="264"/>
        <v>0</v>
      </c>
      <c r="AZ266" s="1218">
        <f t="shared" si="265"/>
        <v>0</v>
      </c>
      <c r="BA266" s="1218">
        <f t="shared" si="266"/>
        <v>0</v>
      </c>
      <c r="BB266" s="1218">
        <f t="shared" si="267"/>
        <v>0</v>
      </c>
      <c r="BC266" s="125"/>
      <c r="BT266" s="111">
        <f t="shared" si="322"/>
        <v>0</v>
      </c>
      <c r="BU266" s="111">
        <f t="shared" si="323"/>
        <v>0</v>
      </c>
      <c r="BV266" s="111">
        <f t="shared" si="324"/>
        <v>0</v>
      </c>
    </row>
    <row r="267" spans="2:74" s="116" customFormat="1" ht="18.75" customHeight="1">
      <c r="B267" s="185" t="s">
        <v>47</v>
      </c>
      <c r="C267" s="186">
        <f t="shared" ref="C267:AP267" si="334">+C263+C256+C251</f>
        <v>8866448000</v>
      </c>
      <c r="D267" s="186">
        <f t="shared" si="334"/>
        <v>17861900000</v>
      </c>
      <c r="E267" s="186">
        <f t="shared" si="334"/>
        <v>11086068000</v>
      </c>
      <c r="F267" s="186">
        <f t="shared" si="334"/>
        <v>37814416000</v>
      </c>
      <c r="G267" s="186">
        <f t="shared" si="334"/>
        <v>100299274</v>
      </c>
      <c r="H267" s="186">
        <f t="shared" si="334"/>
        <v>-101649274</v>
      </c>
      <c r="I267" s="186">
        <f t="shared" si="334"/>
        <v>1350000</v>
      </c>
      <c r="J267" s="186">
        <f t="shared" si="334"/>
        <v>0</v>
      </c>
      <c r="K267" s="186">
        <f t="shared" si="334"/>
        <v>8966747274</v>
      </c>
      <c r="L267" s="186">
        <f t="shared" si="334"/>
        <v>17760250726</v>
      </c>
      <c r="M267" s="186">
        <f t="shared" si="334"/>
        <v>11087418000</v>
      </c>
      <c r="N267" s="186">
        <f t="shared" si="334"/>
        <v>37814416000</v>
      </c>
      <c r="O267" s="186">
        <f t="shared" si="334"/>
        <v>8966747274</v>
      </c>
      <c r="P267" s="186">
        <f t="shared" si="334"/>
        <v>17760250726</v>
      </c>
      <c r="Q267" s="186">
        <f t="shared" si="334"/>
        <v>11087418000</v>
      </c>
      <c r="R267" s="186">
        <f t="shared" si="249"/>
        <v>37814416000</v>
      </c>
      <c r="S267" s="186">
        <f t="shared" si="334"/>
        <v>0</v>
      </c>
      <c r="T267" s="186">
        <f t="shared" si="334"/>
        <v>0</v>
      </c>
      <c r="U267" s="186">
        <f t="shared" si="334"/>
        <v>0</v>
      </c>
      <c r="V267" s="186">
        <f t="shared" si="334"/>
        <v>0</v>
      </c>
      <c r="W267" s="186">
        <f t="shared" si="334"/>
        <v>0</v>
      </c>
      <c r="X267" s="186">
        <f t="shared" si="334"/>
        <v>-4.76837158203125E-7</v>
      </c>
      <c r="Y267" s="186">
        <f t="shared" si="334"/>
        <v>-4.76837158203125E-7</v>
      </c>
      <c r="Z267" s="186">
        <f t="shared" si="334"/>
        <v>-9.5367431640625E-7</v>
      </c>
      <c r="AA267" s="186">
        <f t="shared" si="334"/>
        <v>8966747274</v>
      </c>
      <c r="AB267" s="186">
        <f t="shared" si="334"/>
        <v>17760250726</v>
      </c>
      <c r="AC267" s="186">
        <f t="shared" si="334"/>
        <v>11087418000</v>
      </c>
      <c r="AD267" s="186">
        <f t="shared" si="334"/>
        <v>37814416000</v>
      </c>
      <c r="AE267" s="186">
        <f t="shared" si="334"/>
        <v>8178413051.3200006</v>
      </c>
      <c r="AF267" s="186">
        <f t="shared" si="334"/>
        <v>10115832939.5</v>
      </c>
      <c r="AG267" s="186">
        <f t="shared" si="334"/>
        <v>1218729883.249999</v>
      </c>
      <c r="AH267" s="186">
        <f t="shared" si="334"/>
        <v>19512975874.069996</v>
      </c>
      <c r="AI267" s="186">
        <f t="shared" si="334"/>
        <v>763888.76999999979</v>
      </c>
      <c r="AJ267" s="186">
        <f t="shared" si="334"/>
        <v>2949488999.0599999</v>
      </c>
      <c r="AK267" s="186">
        <f t="shared" si="334"/>
        <v>3877002061.4499998</v>
      </c>
      <c r="AL267" s="186">
        <f t="shared" si="334"/>
        <v>6827254949.2799997</v>
      </c>
      <c r="AM267" s="186">
        <f t="shared" si="334"/>
        <v>8179176940.0900011</v>
      </c>
      <c r="AN267" s="186">
        <f t="shared" si="334"/>
        <v>13065321938.560001</v>
      </c>
      <c r="AO267" s="186">
        <f t="shared" si="334"/>
        <v>5095731944.6999989</v>
      </c>
      <c r="AP267" s="186">
        <f t="shared" si="334"/>
        <v>26340230823.349998</v>
      </c>
      <c r="AQ267" s="186">
        <f t="shared" si="333"/>
        <v>787570333.90999889</v>
      </c>
      <c r="AR267" s="186">
        <f t="shared" si="333"/>
        <v>4694928787.4399986</v>
      </c>
      <c r="AS267" s="186">
        <f t="shared" si="333"/>
        <v>5991686055.3000011</v>
      </c>
      <c r="AT267" s="186">
        <f>SUM(AQ267:AS267)</f>
        <v>11474185176.649998</v>
      </c>
      <c r="AU267" s="187">
        <f t="shared" si="260"/>
        <v>0.9121676668423967</v>
      </c>
      <c r="AV267" s="187">
        <f t="shared" si="261"/>
        <v>0.73564963356249868</v>
      </c>
      <c r="AW267" s="187">
        <f t="shared" si="262"/>
        <v>0.45959590814561141</v>
      </c>
      <c r="AX267" s="187">
        <f t="shared" si="263"/>
        <v>0.6965658500014914</v>
      </c>
      <c r="AY267" s="186">
        <f t="shared" si="264"/>
        <v>0</v>
      </c>
      <c r="AZ267" s="186">
        <f t="shared" si="265"/>
        <v>0</v>
      </c>
      <c r="BA267" s="186">
        <f t="shared" si="266"/>
        <v>0</v>
      </c>
      <c r="BB267" s="186">
        <f t="shared" si="267"/>
        <v>0</v>
      </c>
      <c r="BC267" s="188"/>
      <c r="BP267" s="151"/>
      <c r="BT267" s="111">
        <f>SUM(BT8:BT266)</f>
        <v>0</v>
      </c>
      <c r="BU267" s="111">
        <f t="shared" ref="BU267:BV267" si="335">SUM(BU8:BU266)</f>
        <v>0</v>
      </c>
      <c r="BV267" s="111">
        <f t="shared" si="335"/>
        <v>0</v>
      </c>
    </row>
    <row r="268" spans="2:74" s="110" customFormat="1">
      <c r="B268" s="1253"/>
      <c r="C268" s="1253"/>
      <c r="D268" s="1253"/>
      <c r="E268" s="1253"/>
      <c r="F268" s="1253"/>
      <c r="G268" s="1253"/>
      <c r="H268" s="1253"/>
      <c r="I268" s="1253"/>
      <c r="J268" s="1253"/>
      <c r="K268" s="1253"/>
      <c r="L268" s="1253"/>
      <c r="M268" s="1253"/>
      <c r="N268" s="1253"/>
      <c r="O268" s="1316"/>
      <c r="P268" s="1316"/>
      <c r="Q268" s="1316"/>
      <c r="R268" s="1316"/>
      <c r="S268" s="1316"/>
      <c r="T268" s="1316"/>
      <c r="U268" s="1316"/>
      <c r="V268" s="1253"/>
      <c r="W268" s="1253"/>
      <c r="X268" s="1253"/>
      <c r="Y268" s="1253"/>
      <c r="Z268" s="1253"/>
      <c r="AA268" s="1253"/>
      <c r="AB268" s="1253"/>
      <c r="AC268" s="1253"/>
      <c r="AD268" s="1253"/>
      <c r="AE268" s="1253"/>
      <c r="AF268" s="1253"/>
      <c r="AG268" s="1253"/>
      <c r="AH268" s="1253"/>
      <c r="AI268" s="1253"/>
      <c r="AJ268" s="1253"/>
      <c r="AK268" s="1253"/>
      <c r="AL268" s="1253"/>
      <c r="AM268" s="1253"/>
      <c r="AN268" s="1253"/>
      <c r="AO268" s="1253"/>
      <c r="AP268" s="1253"/>
      <c r="AQ268" s="1253"/>
      <c r="AR268" s="1253"/>
      <c r="AS268" s="1253"/>
      <c r="AT268" s="1253"/>
      <c r="AU268" s="1317"/>
      <c r="AV268" s="1317"/>
      <c r="AW268" s="1317"/>
      <c r="AX268" s="1317"/>
      <c r="AY268" s="1253"/>
      <c r="AZ268" s="1253"/>
      <c r="BA268" s="1253"/>
      <c r="BB268" s="1253"/>
      <c r="BC268" s="132"/>
      <c r="BP268" s="148"/>
      <c r="BT268" s="141"/>
      <c r="BU268" s="141"/>
      <c r="BV268" s="141"/>
    </row>
    <row r="269" spans="2:74" s="327" customFormat="1" hidden="1">
      <c r="B269" s="1318"/>
      <c r="C269" s="1318"/>
      <c r="D269" s="1318"/>
      <c r="E269" s="1318"/>
      <c r="F269" s="1318"/>
      <c r="G269" s="1318"/>
      <c r="H269" s="1318"/>
      <c r="I269" s="1318"/>
      <c r="J269" s="1318"/>
      <c r="K269" s="1318"/>
      <c r="L269" s="1318"/>
      <c r="M269" s="1318"/>
      <c r="N269" s="1318"/>
      <c r="O269" s="1319">
        <f>+O267-'CY (ALL FUNDS)'!F1707-'CY (ALL FUNDS)'!F1710-'CY (ALL FUNDS)'!F1715-'CY (ALL FUNDS)'!F1719-'CY (ALL FUNDS)'!F1721-'CY (ALL FUNDS)'!F1724-'CY (ALL FUNDS)'!F1728-'CY (ALL FUNDS)'!F1735</f>
        <v>0</v>
      </c>
      <c r="P269" s="1319">
        <f>+P267-'CY (ALL FUNDS)'!G1707-'CY (ALL FUNDS)'!G1710-'CY (ALL FUNDS)'!G1715-'CY (ALL FUNDS)'!G1719-'CY (ALL FUNDS)'!G1721-'CY (ALL FUNDS)'!G1724-'CY (ALL FUNDS)'!G1728-'CY (ALL FUNDS)'!G1735</f>
        <v>0</v>
      </c>
      <c r="Q269" s="1319">
        <f>+Q267-'CY (ALL FUNDS)'!H1707-'CY (ALL FUNDS)'!H1710-'CY (ALL FUNDS)'!H1715-'CY (ALL FUNDS)'!H1719-'CY (ALL FUNDS)'!H1721-'CY (ALL FUNDS)'!H1724-'CY (ALL FUNDS)'!H1728-'CY (ALL FUNDS)'!H1735</f>
        <v>0</v>
      </c>
      <c r="R269" s="1319">
        <f>+R267-'CY (ALL FUNDS)'!I1707-'CY (ALL FUNDS)'!I1710-'CY (ALL FUNDS)'!I1715-'CY (ALL FUNDS)'!I1719-'CY (ALL FUNDS)'!I1721-'CY (ALL FUNDS)'!I1724-'CY (ALL FUNDS)'!I1728-'CY (ALL FUNDS)'!I1735</f>
        <v>0</v>
      </c>
      <c r="S269" s="1319"/>
      <c r="T269" s="1319"/>
      <c r="U269" s="1319"/>
      <c r="V269" s="1318"/>
      <c r="W269" s="1318">
        <f>+W267-'CY (ALL FUNDS)'!F1708-'CY (ALL FUNDS)'!F1716-'CY (ALL FUNDS)'!F1725-'CY (ALL FUNDS)'!F1732-'CY (ALL FUNDS)'!F1736</f>
        <v>0</v>
      </c>
      <c r="X269" s="1318">
        <f>+X267-'CY (ALL FUNDS)'!G1708-'CY (ALL FUNDS)'!G1716-'CY (ALL FUNDS)'!G1725-'CY (ALL FUNDS)'!G1732-'CY (ALL FUNDS)'!G1736</f>
        <v>0</v>
      </c>
      <c r="Y269" s="1318">
        <f>+Y267-'CY (ALL FUNDS)'!H1708-'CY (ALL FUNDS)'!H1716-'CY (ALL FUNDS)'!H1725-'CY (ALL FUNDS)'!H1732-'CY (ALL FUNDS)'!H1736</f>
        <v>0</v>
      </c>
      <c r="Z269" s="1318">
        <f>+Z267-'CY (ALL FUNDS)'!I1708-'CY (ALL FUNDS)'!I1716-'CY (ALL FUNDS)'!I1725-'CY (ALL FUNDS)'!I1732-'CY (ALL FUNDS)'!I1736</f>
        <v>0</v>
      </c>
      <c r="AA269" s="1318">
        <f>+AA267-'CY (ALL FUNDS)'!F1737</f>
        <v>0</v>
      </c>
      <c r="AB269" s="1318">
        <f>+AB267-'CY (ALL FUNDS)'!G1737</f>
        <v>0</v>
      </c>
      <c r="AC269" s="1318">
        <f>+AC267-'CY (ALL FUNDS)'!H1737</f>
        <v>0</v>
      </c>
      <c r="AD269" s="1318">
        <f>+AD267-'CY (ALL FUNDS)'!I1737</f>
        <v>0</v>
      </c>
      <c r="AE269" s="1318">
        <f>+AE267-'CY (ALL FUNDS)'!J1707-'CY (ALL FUNDS)'!J1710-'CY (ALL FUNDS)'!J1715-'CY (ALL FUNDS)'!J1719-'CY (ALL FUNDS)'!J1721-'CY (ALL FUNDS)'!J1724-'CY (ALL FUNDS)'!J1728-'CY (ALL FUNDS)'!J1735</f>
        <v>0</v>
      </c>
      <c r="AF269" s="1318">
        <f>+AF267-'CY (ALL FUNDS)'!K1707-'CY (ALL FUNDS)'!K1710-'CY (ALL FUNDS)'!K1715-'CY (ALL FUNDS)'!K1719-'CY (ALL FUNDS)'!K1721-'CY (ALL FUNDS)'!K1724-'CY (ALL FUNDS)'!K1728-'CY (ALL FUNDS)'!K1735</f>
        <v>0</v>
      </c>
      <c r="AG269" s="1318">
        <f>+AG267-'CY (ALL FUNDS)'!L1707-'CY (ALL FUNDS)'!L1710-'CY (ALL FUNDS)'!L1715-'CY (ALL FUNDS)'!L1719-'CY (ALL FUNDS)'!L1721-'CY (ALL FUNDS)'!L1724-'CY (ALL FUNDS)'!L1728-'CY (ALL FUNDS)'!L1735</f>
        <v>-1.0523945093154907E-7</v>
      </c>
      <c r="AH269" s="1318">
        <f>+AH267-'CY (ALL FUNDS)'!M1707-'CY (ALL FUNDS)'!M1710-'CY (ALL FUNDS)'!M1715-'CY (ALL FUNDS)'!M1719-'CY (ALL FUNDS)'!M1721-'CY (ALL FUNDS)'!M1724-'CY (ALL FUNDS)'!M1728-'CY (ALL FUNDS)'!M1735</f>
        <v>-8.58306884765625E-6</v>
      </c>
      <c r="AI269" s="1318">
        <f>+AI267-'CY (ALL FUNDS)'!J1708-'CY (ALL FUNDS)'!J1716-'CY (ALL FUNDS)'!J1720-'CY (ALL FUNDS)'!J1725-'CY (ALL FUNDS)'!J1732-'CY (ALL FUNDS)'!J1736</f>
        <v>0</v>
      </c>
      <c r="AJ269" s="1318">
        <f>+AJ267-'CY (ALL FUNDS)'!K1708-'CY (ALL FUNDS)'!K1716-'CY (ALL FUNDS)'!K1720-'CY (ALL FUNDS)'!K1725-'CY (ALL FUNDS)'!K1732-'CY (ALL FUNDS)'!K1736</f>
        <v>0</v>
      </c>
      <c r="AK269" s="1318">
        <f>+AK267-'CY (ALL FUNDS)'!L1708-'CY (ALL FUNDS)'!L1716-'CY (ALL FUNDS)'!L1720-'CY (ALL FUNDS)'!L1725-'CY (ALL FUNDS)'!L1732-'CY (ALL FUNDS)'!L1736</f>
        <v>0</v>
      </c>
      <c r="AL269" s="1318">
        <f>+AL267-'CY (ALL FUNDS)'!M1708-'CY (ALL FUNDS)'!M1716-'CY (ALL FUNDS)'!M1720-'CY (ALL FUNDS)'!M1725-'CY (ALL FUNDS)'!M1732-'CY (ALL FUNDS)'!M1736</f>
        <v>0</v>
      </c>
      <c r="AM269" s="327">
        <f>+AM267-'CY (ALL FUNDS)'!J1737</f>
        <v>0</v>
      </c>
      <c r="AN269" s="327">
        <f>+AN267-'CY (ALL FUNDS)'!K1737</f>
        <v>0</v>
      </c>
      <c r="AO269" s="327">
        <f>+AO267-'CY (ALL FUNDS)'!L1737</f>
        <v>0</v>
      </c>
      <c r="AP269" s="327">
        <f>+AP267-'CY (ALL FUNDS)'!M1737</f>
        <v>0</v>
      </c>
      <c r="AQ269" s="327">
        <f>+AQ267-'CY (ALL FUNDS)'!N1737</f>
        <v>0</v>
      </c>
      <c r="AR269" s="327">
        <f>+AR267-'CY (ALL FUNDS)'!O1737</f>
        <v>0</v>
      </c>
      <c r="AS269" s="327">
        <f>+AS267-'CY (ALL FUNDS)'!P1737</f>
        <v>0</v>
      </c>
      <c r="AT269" s="327">
        <f>+AT267-'CY (ALL FUNDS)'!Q1831</f>
        <v>0</v>
      </c>
      <c r="AU269" s="328"/>
      <c r="AV269" s="328"/>
      <c r="AW269" s="328"/>
      <c r="AX269" s="328"/>
      <c r="BP269" s="1186"/>
      <c r="BT269" s="141"/>
      <c r="BU269" s="141"/>
      <c r="BV269" s="141"/>
    </row>
    <row r="270" spans="2:74" s="110" customFormat="1">
      <c r="B270" s="1253" t="s">
        <v>881</v>
      </c>
      <c r="C270" s="1253"/>
      <c r="D270" s="1253"/>
      <c r="E270" s="1253"/>
      <c r="F270" s="1253"/>
      <c r="G270" s="1253"/>
      <c r="H270" s="1253"/>
      <c r="I270" s="1253"/>
      <c r="J270" s="1253"/>
      <c r="K270" s="1253"/>
      <c r="L270" s="1253"/>
      <c r="M270" s="1253"/>
      <c r="N270" s="1253"/>
      <c r="O270" s="1316"/>
      <c r="P270" s="1316"/>
      <c r="Q270" s="1316"/>
      <c r="R270" s="1316"/>
      <c r="S270" s="1316"/>
      <c r="T270" s="1316"/>
      <c r="U270" s="1316"/>
      <c r="V270" s="1253"/>
      <c r="W270" s="1253"/>
      <c r="X270" s="1253"/>
      <c r="Y270" s="1253"/>
      <c r="Z270" s="1253"/>
      <c r="AA270" s="1253"/>
      <c r="AB270" s="1253"/>
      <c r="AC270" s="1253"/>
      <c r="AD270" s="1253"/>
      <c r="AE270" s="1253"/>
      <c r="AF270" s="1253"/>
      <c r="AG270" s="1253"/>
      <c r="AH270" s="1253"/>
      <c r="AI270" s="1253"/>
      <c r="AJ270" s="1253"/>
      <c r="AK270" s="1253"/>
      <c r="AL270" s="1253"/>
      <c r="AU270" s="139"/>
      <c r="AV270" s="139"/>
      <c r="AW270" s="139"/>
      <c r="AX270" s="139"/>
      <c r="BP270" s="148"/>
      <c r="BT270" s="141"/>
      <c r="BU270" s="141"/>
      <c r="BV270" s="141"/>
    </row>
    <row r="271" spans="2:74" s="110" customFormat="1">
      <c r="B271" s="1253" t="s">
        <v>949</v>
      </c>
      <c r="C271" s="1316"/>
      <c r="D271" s="1316"/>
      <c r="E271" s="1253"/>
      <c r="F271" s="1253"/>
      <c r="G271" s="1253"/>
      <c r="H271" s="1253"/>
      <c r="I271" s="1253"/>
      <c r="J271" s="1253"/>
      <c r="K271" s="1253"/>
      <c r="L271" s="1253"/>
      <c r="M271" s="1253"/>
      <c r="N271" s="1253"/>
      <c r="O271" s="1316"/>
      <c r="P271" s="1316"/>
      <c r="Q271" s="1316"/>
      <c r="R271" s="1316"/>
      <c r="S271" s="1316"/>
      <c r="T271" s="1316"/>
      <c r="U271" s="1316"/>
      <c r="V271" s="1253"/>
      <c r="W271" s="1253"/>
      <c r="X271" s="1253"/>
      <c r="Y271" s="1253"/>
      <c r="Z271" s="1253"/>
      <c r="AA271" s="1253"/>
      <c r="AB271" s="1253"/>
      <c r="AC271" s="1253"/>
      <c r="AD271" s="1253"/>
      <c r="AE271" s="1253"/>
      <c r="AF271" s="1253"/>
      <c r="AG271" s="1253"/>
      <c r="AH271" s="1253"/>
      <c r="AI271" s="1253"/>
      <c r="AJ271" s="1253"/>
      <c r="AK271" s="1253"/>
      <c r="AL271" s="1253"/>
      <c r="AU271" s="139"/>
      <c r="AV271" s="139"/>
      <c r="AW271" s="139"/>
      <c r="AX271" s="139"/>
      <c r="BP271" s="148"/>
      <c r="BT271" s="141"/>
      <c r="BU271" s="141"/>
      <c r="BV271" s="141"/>
    </row>
    <row r="272" spans="2:74" s="95" customFormat="1">
      <c r="B272" s="513" t="s">
        <v>874</v>
      </c>
      <c r="C272" s="1320"/>
      <c r="E272" s="1316">
        <v>15600000</v>
      </c>
      <c r="F272" s="1316"/>
      <c r="G272" s="1316"/>
      <c r="H272" s="1316"/>
      <c r="I272" s="1316"/>
      <c r="J272" s="1316"/>
      <c r="K272" s="1316"/>
      <c r="L272" s="1316"/>
      <c r="M272" s="1316"/>
      <c r="N272" s="1316"/>
      <c r="O272" s="1316"/>
      <c r="P272" s="1316"/>
      <c r="Q272" s="1316"/>
      <c r="R272" s="1316"/>
      <c r="S272" s="1316"/>
      <c r="T272" s="1316"/>
      <c r="U272" s="1316"/>
      <c r="V272" s="1316"/>
      <c r="W272" s="1316"/>
      <c r="X272" s="1316"/>
      <c r="Y272" s="1316"/>
      <c r="Z272" s="1316"/>
      <c r="AA272" s="1316"/>
      <c r="AB272" s="1316"/>
      <c r="AC272" s="1316"/>
      <c r="AD272" s="1316"/>
      <c r="AE272" s="1316"/>
      <c r="AF272" s="1316"/>
      <c r="AG272" s="1316"/>
      <c r="AH272" s="1316"/>
      <c r="AI272" s="1316"/>
      <c r="AJ272" s="1316"/>
      <c r="AK272" s="1316"/>
      <c r="AL272" s="1316"/>
      <c r="AT272" s="95">
        <f>+AT267-'CY (ALL FUNDS)'!Q1831</f>
        <v>0</v>
      </c>
      <c r="AU272" s="377"/>
      <c r="AV272" s="377"/>
      <c r="AW272" s="377"/>
      <c r="AX272" s="377"/>
      <c r="BP272" s="147"/>
      <c r="BT272" s="111"/>
      <c r="BU272" s="111"/>
      <c r="BV272" s="111"/>
    </row>
    <row r="273" spans="2:74" s="95" customFormat="1">
      <c r="B273" s="1321" t="s">
        <v>875</v>
      </c>
      <c r="C273" s="1316"/>
      <c r="E273" s="1316">
        <v>12612283000</v>
      </c>
      <c r="F273" s="1316"/>
      <c r="G273" s="1316"/>
      <c r="H273" s="1316"/>
      <c r="I273" s="1316"/>
      <c r="J273" s="1316"/>
      <c r="K273" s="1316"/>
      <c r="L273" s="1316"/>
      <c r="M273" s="1316"/>
      <c r="N273" s="1316"/>
      <c r="O273" s="1316"/>
      <c r="P273" s="1316"/>
      <c r="Q273" s="1316"/>
      <c r="R273" s="1316"/>
      <c r="S273" s="1316"/>
      <c r="T273" s="1316"/>
      <c r="U273" s="1316"/>
      <c r="V273" s="1316"/>
      <c r="W273" s="1316"/>
      <c r="X273" s="1316"/>
      <c r="Y273" s="1316"/>
      <c r="Z273" s="1316"/>
      <c r="AA273" s="1316"/>
      <c r="AB273" s="1316"/>
      <c r="AC273" s="1316"/>
      <c r="AD273" s="1316"/>
      <c r="AE273" s="1316"/>
      <c r="AF273" s="1316"/>
      <c r="AG273" s="1316"/>
      <c r="AH273" s="1316"/>
      <c r="AI273" s="1316"/>
      <c r="AJ273" s="1316"/>
      <c r="AK273" s="1316"/>
      <c r="AL273" s="1316"/>
      <c r="AO273" s="147"/>
      <c r="AS273" s="147"/>
      <c r="AU273" s="377"/>
      <c r="AV273" s="377"/>
      <c r="AW273" s="1317"/>
      <c r="AX273" s="1317"/>
      <c r="AY273" s="1316"/>
      <c r="AZ273" s="1316"/>
      <c r="BA273" s="1316"/>
      <c r="BB273" s="1316"/>
      <c r="BC273" s="512"/>
      <c r="BP273" s="147"/>
      <c r="BT273" s="111"/>
      <c r="BU273" s="111"/>
      <c r="BV273" s="111"/>
    </row>
    <row r="274" spans="2:74" s="110" customFormat="1" ht="12.75" thickBot="1">
      <c r="B274" s="1322" t="s">
        <v>876</v>
      </c>
      <c r="C274" s="1253"/>
      <c r="E274" s="1323">
        <f>SUM(E272:E273)</f>
        <v>12627883000</v>
      </c>
      <c r="F274" s="1253"/>
      <c r="G274" s="1253"/>
      <c r="H274" s="1253"/>
      <c r="I274" s="1253"/>
      <c r="J274" s="1253"/>
      <c r="K274" s="1253"/>
      <c r="L274" s="1253"/>
      <c r="M274" s="1253"/>
      <c r="N274" s="1253"/>
      <c r="O274" s="1253"/>
      <c r="P274" s="1253"/>
      <c r="Q274" s="1253"/>
      <c r="R274" s="1253"/>
      <c r="S274" s="1253"/>
      <c r="T274" s="1253"/>
      <c r="U274" s="1253"/>
      <c r="V274" s="1253"/>
      <c r="W274" s="1253"/>
      <c r="X274" s="1253"/>
      <c r="Y274" s="1253"/>
      <c r="Z274" s="1253"/>
      <c r="AA274" s="1253"/>
      <c r="AB274" s="1253"/>
      <c r="AC274" s="1253"/>
      <c r="AD274" s="1253"/>
      <c r="AE274" s="1253"/>
      <c r="AF274" s="1253"/>
      <c r="AG274" s="1253"/>
      <c r="AH274" s="1253"/>
      <c r="AI274" s="1253"/>
      <c r="AJ274" s="1253"/>
      <c r="AK274" s="1253"/>
      <c r="AL274" s="1253"/>
      <c r="AM274" s="95"/>
      <c r="AN274" s="95"/>
      <c r="AO274" s="147"/>
      <c r="AP274" s="95"/>
      <c r="AQ274" s="95"/>
      <c r="AR274" s="95"/>
      <c r="AS274" s="147"/>
      <c r="AT274" s="95"/>
      <c r="AU274" s="377"/>
      <c r="AV274" s="377"/>
      <c r="AW274" s="1317"/>
      <c r="AX274" s="1317"/>
      <c r="AY274" s="1253"/>
      <c r="AZ274" s="1253"/>
      <c r="BA274" s="1253"/>
      <c r="BB274" s="1253"/>
      <c r="BC274" s="132"/>
      <c r="BP274" s="148"/>
      <c r="BT274" s="141"/>
      <c r="BU274" s="141"/>
      <c r="BV274" s="141"/>
    </row>
    <row r="275" spans="2:74" s="110" customFormat="1" ht="12.75" thickTop="1">
      <c r="B275" s="1253"/>
      <c r="C275" s="1253"/>
      <c r="E275" s="1253"/>
      <c r="F275" s="1253"/>
      <c r="G275" s="1253"/>
      <c r="H275" s="1253"/>
      <c r="I275" s="1253"/>
      <c r="J275" s="1253"/>
      <c r="K275" s="1253"/>
      <c r="L275" s="1253"/>
      <c r="M275" s="1253"/>
      <c r="N275" s="1253"/>
      <c r="O275" s="1253"/>
      <c r="P275" s="1253"/>
      <c r="Q275" s="1253"/>
      <c r="R275" s="1253"/>
      <c r="S275" s="1253"/>
      <c r="T275" s="1253"/>
      <c r="U275" s="1253"/>
      <c r="V275" s="1253"/>
      <c r="W275" s="1253"/>
      <c r="X275" s="1253"/>
      <c r="Y275" s="1253"/>
      <c r="Z275" s="1253"/>
      <c r="AA275" s="1253"/>
      <c r="AB275" s="1253"/>
      <c r="AC275" s="1253"/>
      <c r="AD275" s="1253"/>
      <c r="AE275" s="1253"/>
      <c r="AF275" s="1253"/>
      <c r="AG275" s="1253"/>
      <c r="AH275" s="1253"/>
      <c r="AI275" s="1253"/>
      <c r="AJ275" s="1253"/>
      <c r="AK275" s="1253"/>
      <c r="AL275" s="1253"/>
      <c r="BP275" s="148"/>
      <c r="BT275" s="141"/>
      <c r="BU275" s="141"/>
      <c r="BV275" s="141"/>
    </row>
    <row r="276" spans="2:74" s="110" customFormat="1">
      <c r="B276" s="1253" t="s">
        <v>1121</v>
      </c>
      <c r="C276" s="1253"/>
      <c r="D276" s="1253"/>
      <c r="E276" s="1253"/>
      <c r="F276" s="1253"/>
      <c r="G276" s="1253"/>
      <c r="H276" s="1253"/>
      <c r="I276" s="1253"/>
      <c r="J276" s="1253"/>
      <c r="K276" s="1253"/>
      <c r="L276" s="1253"/>
      <c r="M276" s="1253"/>
      <c r="N276" s="1253"/>
      <c r="O276" s="1253"/>
      <c r="P276" s="1253"/>
      <c r="Q276" s="1253"/>
      <c r="R276" s="1253"/>
      <c r="S276" s="1253"/>
      <c r="T276" s="1253"/>
      <c r="U276" s="1253"/>
      <c r="V276" s="1253"/>
      <c r="W276" s="1253"/>
      <c r="X276" s="1253"/>
      <c r="Y276" s="1253"/>
      <c r="Z276" s="1253"/>
      <c r="AA276" s="1253"/>
      <c r="AB276" s="1253"/>
      <c r="AC276" s="1253"/>
      <c r="AD276" s="1253"/>
      <c r="AE276" s="1253"/>
      <c r="AF276" s="1253"/>
      <c r="AG276" s="1253"/>
      <c r="AH276" s="1253"/>
      <c r="AI276" s="1253"/>
      <c r="AJ276" s="1253"/>
      <c r="AK276" s="1253"/>
      <c r="AL276" s="1253"/>
      <c r="BP276" s="148"/>
      <c r="BT276" s="141"/>
      <c r="BU276" s="141"/>
      <c r="BV276" s="141"/>
    </row>
    <row r="277" spans="2:74" s="110" customFormat="1">
      <c r="B277" s="1253"/>
      <c r="C277" s="1253"/>
      <c r="D277" s="1253"/>
      <c r="E277" s="1253"/>
      <c r="F277" s="1253"/>
      <c r="G277" s="1253"/>
      <c r="H277" s="1253"/>
      <c r="I277" s="1253"/>
      <c r="J277" s="1253"/>
      <c r="K277" s="1253"/>
      <c r="L277" s="1253"/>
      <c r="M277" s="1253"/>
      <c r="N277" s="1253"/>
      <c r="O277" s="1253"/>
      <c r="P277" s="1253"/>
      <c r="Q277" s="1253"/>
      <c r="R277" s="1253"/>
      <c r="S277" s="1253"/>
      <c r="T277" s="1253"/>
      <c r="U277" s="1253"/>
      <c r="V277" s="1253"/>
      <c r="W277" s="1253"/>
      <c r="X277" s="1253"/>
      <c r="Y277" s="1253"/>
      <c r="Z277" s="1253"/>
      <c r="AA277" s="1253"/>
      <c r="AB277" s="1253"/>
      <c r="AC277" s="1253"/>
      <c r="AD277" s="1253"/>
      <c r="AE277" s="1253"/>
      <c r="AF277" s="1253"/>
      <c r="AG277" s="1253"/>
      <c r="AH277" s="1253"/>
      <c r="AI277" s="1253"/>
      <c r="AJ277" s="1253"/>
      <c r="AK277" s="1253"/>
      <c r="AL277" s="1253"/>
      <c r="BP277" s="148"/>
      <c r="BT277" s="141"/>
      <c r="BU277" s="141"/>
      <c r="BV277" s="141"/>
    </row>
    <row r="278" spans="2:74" s="110" customFormat="1">
      <c r="B278" s="1253"/>
      <c r="C278" s="1324"/>
      <c r="D278" s="1253"/>
      <c r="E278" s="1253"/>
      <c r="F278" s="1253"/>
      <c r="G278" s="1253"/>
      <c r="H278" s="1253"/>
      <c r="I278" s="1253"/>
      <c r="J278" s="1253"/>
      <c r="K278" s="1253"/>
      <c r="L278" s="1253"/>
      <c r="M278" s="1253"/>
      <c r="N278" s="1253"/>
      <c r="O278" s="1253"/>
      <c r="P278" s="1253"/>
      <c r="Q278" s="1253"/>
      <c r="R278" s="1253"/>
      <c r="S278" s="1253"/>
      <c r="T278" s="1253"/>
      <c r="U278" s="1253"/>
      <c r="V278" s="1253"/>
      <c r="W278" s="1253"/>
      <c r="X278" s="1253"/>
      <c r="Y278" s="1253"/>
      <c r="Z278" s="1253"/>
      <c r="AA278" s="1253"/>
      <c r="AB278" s="1253"/>
      <c r="AC278" s="1253"/>
      <c r="AD278" s="1253"/>
      <c r="AE278" s="1253"/>
      <c r="AF278" s="1253"/>
      <c r="AG278" s="1253"/>
      <c r="AH278" s="1253"/>
      <c r="AI278" s="1253"/>
      <c r="AJ278" s="1253"/>
      <c r="AK278" s="1253"/>
      <c r="AL278" s="1253"/>
      <c r="BP278" s="148"/>
      <c r="BT278" s="141"/>
      <c r="BU278" s="141"/>
      <c r="BV278" s="141"/>
    </row>
    <row r="279" spans="2:74" s="110" customFormat="1">
      <c r="B279" s="1253"/>
      <c r="C279" s="1325"/>
      <c r="D279" s="1253"/>
      <c r="E279" s="1253"/>
      <c r="F279" s="1253"/>
      <c r="G279" s="1253"/>
      <c r="H279" s="1253"/>
      <c r="I279" s="1253"/>
      <c r="J279" s="1253"/>
      <c r="K279" s="1253"/>
      <c r="L279" s="1253"/>
      <c r="M279" s="1253"/>
      <c r="N279" s="1253"/>
      <c r="O279" s="1253"/>
      <c r="P279" s="1253"/>
      <c r="Q279" s="1253"/>
      <c r="R279" s="1253"/>
      <c r="S279" s="1253"/>
      <c r="T279" s="1253"/>
      <c r="U279" s="1253"/>
      <c r="V279" s="1253"/>
      <c r="W279" s="1253"/>
      <c r="X279" s="1253"/>
      <c r="Y279" s="1253"/>
      <c r="Z279" s="1253"/>
      <c r="AA279" s="1253"/>
      <c r="AB279" s="1253"/>
      <c r="AC279" s="1253"/>
      <c r="AD279" s="1253"/>
      <c r="AE279" s="1253"/>
      <c r="AF279" s="1253"/>
      <c r="AG279" s="1253"/>
      <c r="AH279" s="1253"/>
      <c r="AI279" s="1253"/>
      <c r="AJ279" s="1253"/>
      <c r="AK279" s="1253"/>
      <c r="AL279" s="1253"/>
      <c r="AM279" s="147" t="s">
        <v>416</v>
      </c>
      <c r="AN279" s="95"/>
      <c r="AO279" s="147"/>
      <c r="AP279" s="95"/>
      <c r="AQ279" s="95"/>
      <c r="AR279" s="95"/>
      <c r="AS279" s="147"/>
      <c r="AT279" s="95"/>
      <c r="AU279" s="377"/>
      <c r="AV279" s="1256" t="s">
        <v>292</v>
      </c>
      <c r="AW279" s="1317"/>
      <c r="AX279" s="1317"/>
      <c r="AY279" s="1253"/>
      <c r="AZ279" s="1253"/>
      <c r="BA279" s="1253"/>
      <c r="BB279" s="1253"/>
      <c r="BC279" s="132"/>
      <c r="BP279" s="148"/>
      <c r="BT279" s="141"/>
      <c r="BU279" s="141"/>
      <c r="BV279" s="141"/>
    </row>
    <row r="280" spans="2:74" s="110" customFormat="1">
      <c r="B280" s="1253"/>
      <c r="C280" s="1253"/>
      <c r="D280" s="1253"/>
      <c r="E280" s="1253"/>
      <c r="F280" s="1253"/>
      <c r="G280" s="1253"/>
      <c r="H280" s="1253"/>
      <c r="I280" s="1253"/>
      <c r="J280" s="1253"/>
      <c r="K280" s="1253"/>
      <c r="L280" s="1253"/>
      <c r="M280" s="1253"/>
      <c r="N280" s="1253"/>
      <c r="O280" s="1253"/>
      <c r="P280" s="1253"/>
      <c r="Q280" s="1253"/>
      <c r="R280" s="1253"/>
      <c r="S280" s="1253"/>
      <c r="T280" s="1253"/>
      <c r="U280" s="1253"/>
      <c r="V280" s="1253"/>
      <c r="W280" s="1253"/>
      <c r="X280" s="1253"/>
      <c r="Y280" s="1253"/>
      <c r="Z280" s="1253"/>
      <c r="AA280" s="1253"/>
      <c r="AB280" s="1253"/>
      <c r="AC280" s="1253"/>
      <c r="AD280" s="1253"/>
      <c r="AE280" s="1253"/>
      <c r="AF280" s="1253"/>
      <c r="AG280" s="1253"/>
      <c r="AH280" s="1253"/>
      <c r="AI280" s="1253"/>
      <c r="AJ280" s="1253"/>
      <c r="AK280" s="1253"/>
      <c r="AL280" s="1253"/>
      <c r="AM280" s="1253"/>
      <c r="AN280" s="1253"/>
      <c r="AO280" s="1253"/>
      <c r="AP280" s="1253"/>
      <c r="AQ280" s="1253"/>
      <c r="AR280" s="1253"/>
      <c r="AS280" s="1253"/>
      <c r="AT280" s="1253">
        <f>+AT267-'CY (ALL FUNDS)'!Q1831</f>
        <v>0</v>
      </c>
      <c r="AU280" s="1253"/>
      <c r="AV280" s="1253"/>
      <c r="AW280" s="1253"/>
      <c r="AX280" s="1253"/>
      <c r="AY280" s="1253"/>
      <c r="AZ280" s="1253"/>
      <c r="BA280" s="1253"/>
      <c r="BB280" s="1253"/>
      <c r="BC280" s="132"/>
      <c r="BP280" s="148"/>
      <c r="BT280" s="141"/>
      <c r="BU280" s="141"/>
      <c r="BV280" s="141"/>
    </row>
    <row r="281" spans="2:74" ht="14.25">
      <c r="O281" s="1326"/>
      <c r="P281" s="1326"/>
      <c r="Q281" s="1326"/>
      <c r="R281" s="1326"/>
      <c r="S281" s="1326"/>
      <c r="T281" s="1326"/>
      <c r="U281" s="1326"/>
      <c r="AM281" s="95"/>
      <c r="AN281" s="95"/>
      <c r="AO281" s="147"/>
      <c r="AP281" s="95"/>
      <c r="AQ281" s="95"/>
      <c r="AR281" s="95"/>
      <c r="AS281" s="147"/>
      <c r="AT281" s="95"/>
      <c r="AU281" s="377"/>
      <c r="AV281" s="377"/>
      <c r="AW281" s="1317"/>
      <c r="AX281" s="1317"/>
      <c r="AY281" s="1253"/>
      <c r="AZ281" s="1253"/>
      <c r="BA281" s="1253"/>
      <c r="BB281" s="1253"/>
      <c r="BC281" s="132"/>
      <c r="BD281" s="110"/>
      <c r="BE281" s="110"/>
      <c r="BF281" s="110"/>
      <c r="BG281" s="110"/>
      <c r="BH281" s="110"/>
    </row>
    <row r="282" spans="2:74">
      <c r="AM282" s="1259" t="s">
        <v>417</v>
      </c>
      <c r="AN282" s="95"/>
      <c r="AO282" s="95"/>
      <c r="AP282" s="95"/>
      <c r="AQ282" s="95"/>
      <c r="AR282" s="95"/>
      <c r="AS282" s="95"/>
      <c r="AT282" s="95"/>
      <c r="AU282" s="377"/>
      <c r="AV282" s="1327" t="s">
        <v>293</v>
      </c>
      <c r="AW282" s="1317"/>
      <c r="AX282" s="1317"/>
      <c r="AY282" s="1253"/>
      <c r="AZ282" s="1253"/>
      <c r="BA282" s="1253"/>
      <c r="BB282" s="1253"/>
      <c r="BC282" s="132"/>
      <c r="BD282" s="110"/>
      <c r="BE282" s="110"/>
      <c r="BF282" s="110"/>
      <c r="BG282" s="110"/>
      <c r="BH282" s="110"/>
    </row>
    <row r="283" spans="2:74">
      <c r="AM283" s="149" t="s">
        <v>418</v>
      </c>
      <c r="AN283" s="95"/>
      <c r="AO283" s="95"/>
      <c r="AP283" s="95"/>
      <c r="AQ283" s="95"/>
      <c r="AR283" s="95"/>
      <c r="AS283" s="95"/>
      <c r="AT283" s="95"/>
      <c r="AU283" s="377"/>
      <c r="AV283" s="377" t="s">
        <v>294</v>
      </c>
      <c r="AW283" s="1317"/>
      <c r="AX283" s="1317"/>
      <c r="AY283" s="1253"/>
      <c r="AZ283" s="1253"/>
      <c r="BA283" s="1253"/>
      <c r="BB283" s="1253"/>
      <c r="BC283" s="132"/>
      <c r="BD283" s="110"/>
      <c r="BE283" s="110"/>
      <c r="BF283" s="110"/>
      <c r="BG283" s="110"/>
      <c r="BH283" s="110"/>
    </row>
    <row r="284" spans="2:74">
      <c r="AM284" s="149"/>
      <c r="AN284" s="95"/>
      <c r="AO284" s="95"/>
      <c r="AP284" s="95"/>
      <c r="AQ284" s="95"/>
      <c r="AR284" s="95"/>
      <c r="AS284" s="95"/>
      <c r="AT284" s="95"/>
      <c r="AU284" s="377"/>
      <c r="AV284" s="377"/>
      <c r="AW284" s="1317"/>
      <c r="AX284" s="1317"/>
      <c r="AY284" s="1253"/>
      <c r="AZ284" s="1253"/>
      <c r="BA284" s="1253"/>
      <c r="BB284" s="1253"/>
      <c r="BC284" s="132"/>
      <c r="BD284" s="110"/>
      <c r="BE284" s="110"/>
      <c r="BF284" s="110"/>
      <c r="BG284" s="110"/>
      <c r="BH284" s="110"/>
    </row>
    <row r="286" spans="2:74" hidden="1">
      <c r="B286" s="105" t="s">
        <v>51</v>
      </c>
      <c r="C286" s="105">
        <f>+C37+C38+C39+C42</f>
        <v>200436000</v>
      </c>
      <c r="D286" s="105">
        <f t="shared" ref="D286:AP286" si="336">+D37+D38+D39+D42</f>
        <v>164879000</v>
      </c>
      <c r="E286" s="105">
        <f t="shared" si="336"/>
        <v>22000000</v>
      </c>
      <c r="F286" s="105">
        <f t="shared" si="336"/>
        <v>387315000</v>
      </c>
      <c r="G286" s="105">
        <f t="shared" si="336"/>
        <v>467000</v>
      </c>
      <c r="H286" s="105">
        <f t="shared" si="336"/>
        <v>-467000</v>
      </c>
      <c r="I286" s="105">
        <f t="shared" si="336"/>
        <v>0</v>
      </c>
      <c r="J286" s="105">
        <f t="shared" si="336"/>
        <v>0</v>
      </c>
      <c r="K286" s="105">
        <f t="shared" si="336"/>
        <v>200903000</v>
      </c>
      <c r="L286" s="105">
        <f t="shared" si="336"/>
        <v>164412000</v>
      </c>
      <c r="M286" s="105">
        <f t="shared" si="336"/>
        <v>22000000</v>
      </c>
      <c r="N286" s="105">
        <f t="shared" si="336"/>
        <v>387315000</v>
      </c>
      <c r="O286" s="105">
        <f>+O37+O38+O39+O42</f>
        <v>200903000</v>
      </c>
      <c r="P286" s="105">
        <f>+P37+P38+P39+P42</f>
        <v>164412000</v>
      </c>
      <c r="Q286" s="105">
        <f>+Q37+Q38+Q39+Q42</f>
        <v>22000000</v>
      </c>
      <c r="R286" s="105">
        <f>SUM(O286:Q286)</f>
        <v>387315000</v>
      </c>
      <c r="S286" s="105">
        <f t="shared" ref="S286:Y286" si="337">+S37+S38+S39+S42</f>
        <v>0</v>
      </c>
      <c r="T286" s="105">
        <f t="shared" si="337"/>
        <v>0</v>
      </c>
      <c r="U286" s="105">
        <f t="shared" si="337"/>
        <v>0</v>
      </c>
      <c r="V286" s="105">
        <f t="shared" si="337"/>
        <v>0</v>
      </c>
      <c r="W286" s="105">
        <f t="shared" si="337"/>
        <v>0</v>
      </c>
      <c r="X286" s="105">
        <f t="shared" si="337"/>
        <v>0</v>
      </c>
      <c r="Y286" s="105">
        <f t="shared" si="337"/>
        <v>0</v>
      </c>
      <c r="Z286" s="105">
        <f>SUM(W286:Y286)</f>
        <v>0</v>
      </c>
      <c r="AA286" s="105">
        <f>+AA37+AA38+AA39+AA42</f>
        <v>200903000</v>
      </c>
      <c r="AB286" s="105">
        <f>+AB37+AB38+AB39+AB42</f>
        <v>164412000</v>
      </c>
      <c r="AC286" s="105">
        <f>+AC37+AC38+AC39+AC42</f>
        <v>22000000</v>
      </c>
      <c r="AD286" s="105">
        <f t="shared" si="336"/>
        <v>387315000</v>
      </c>
      <c r="AE286" s="105">
        <f t="shared" si="336"/>
        <v>196094035.5</v>
      </c>
      <c r="AF286" s="105">
        <f t="shared" si="336"/>
        <v>127557862.81</v>
      </c>
      <c r="AG286" s="105">
        <f t="shared" si="336"/>
        <v>8121591.8600000003</v>
      </c>
      <c r="AH286" s="105">
        <f t="shared" si="336"/>
        <v>331773490.16999996</v>
      </c>
      <c r="AI286" s="105">
        <f>+AI37+AI38+AI39+AI42</f>
        <v>0</v>
      </c>
      <c r="AJ286" s="105">
        <f>+AJ37+AJ38+AJ39+AJ42</f>
        <v>0</v>
      </c>
      <c r="AK286" s="105">
        <f>+AK37+AK38+AK39+AK42</f>
        <v>0</v>
      </c>
      <c r="AL286" s="105">
        <f t="shared" si="336"/>
        <v>0</v>
      </c>
      <c r="AM286" s="105">
        <f>+AM37+AM38+AM39+AM42</f>
        <v>196094035.5</v>
      </c>
      <c r="AN286" s="105">
        <f>+AN37+AN38+AN39+AN42</f>
        <v>127557862.81</v>
      </c>
      <c r="AO286" s="105">
        <f>+AO37+AO38+AO39+AO42</f>
        <v>8121591.8600000003</v>
      </c>
      <c r="AP286" s="105">
        <f t="shared" si="336"/>
        <v>331773490.16999996</v>
      </c>
      <c r="AQ286" s="105">
        <f>+AQ37+AQ38+AQ39+AQ42</f>
        <v>4808964.5000000047</v>
      </c>
      <c r="AR286" s="105">
        <f>+AR37+AR38+AR39+AR42</f>
        <v>36854137.189999998</v>
      </c>
      <c r="AS286" s="105">
        <f>+AS37+AS38+AS39+AS42</f>
        <v>13878408.140000001</v>
      </c>
      <c r="AT286" s="105">
        <f>SUM(AQ286:AS286)</f>
        <v>55541509.830000006</v>
      </c>
      <c r="AU286" s="1328">
        <f>IF(AA286=0," ",AM286/AA286)</f>
        <v>0.97606325191759202</v>
      </c>
      <c r="AV286" s="1328">
        <f>IF(AB286=0," ",AN286/AB286)</f>
        <v>0.77584277796024625</v>
      </c>
      <c r="AW286" s="1328">
        <f>IF(AC286=0," ",AO286/AC286)</f>
        <v>0.36916326636363639</v>
      </c>
      <c r="AX286" s="1328">
        <f>IF(AD286=0," ",AP286/AD286)</f>
        <v>0.85659860880678507</v>
      </c>
    </row>
    <row r="287" spans="2:74" hidden="1">
      <c r="B287" s="105" t="s">
        <v>69</v>
      </c>
      <c r="C287" s="105">
        <f>+C68+C69+C70+C71+C72+C73+C74+C75+C76+C77+C78+C79</f>
        <v>2881546000</v>
      </c>
      <c r="D287" s="105">
        <f t="shared" ref="D287:AP287" si="338">+D68+D69+D70+D71+D72+D73+D74+D75+D76+D77+D78+D79</f>
        <v>1198130000</v>
      </c>
      <c r="E287" s="105">
        <f t="shared" si="338"/>
        <v>0</v>
      </c>
      <c r="F287" s="105">
        <f t="shared" si="338"/>
        <v>4079676000</v>
      </c>
      <c r="G287" s="105">
        <f t="shared" si="338"/>
        <v>49040671</v>
      </c>
      <c r="H287" s="105">
        <f t="shared" si="338"/>
        <v>-49040671</v>
      </c>
      <c r="I287" s="105">
        <f t="shared" si="338"/>
        <v>0</v>
      </c>
      <c r="J287" s="105">
        <f t="shared" si="338"/>
        <v>0</v>
      </c>
      <c r="K287" s="105">
        <f t="shared" si="338"/>
        <v>2930586671</v>
      </c>
      <c r="L287" s="105">
        <f t="shared" si="338"/>
        <v>1149089329</v>
      </c>
      <c r="M287" s="105">
        <f t="shared" si="338"/>
        <v>0</v>
      </c>
      <c r="N287" s="105">
        <f t="shared" si="338"/>
        <v>4079676000</v>
      </c>
      <c r="O287" s="105">
        <f t="shared" si="338"/>
        <v>2930586671</v>
      </c>
      <c r="P287" s="105">
        <f>+P68+P69+P70+P71+P72+P73+P74+P75+P76+P77+P78+P79</f>
        <v>1149089329</v>
      </c>
      <c r="Q287" s="105">
        <f>+Q68+Q69+Q70+Q71+Q72+Q73+Q74+Q75+Q76+Q77+Q78+Q79</f>
        <v>0</v>
      </c>
      <c r="R287" s="105">
        <f t="shared" ref="R287:R295" si="339">SUM(O287:Q287)</f>
        <v>4079676000</v>
      </c>
      <c r="S287" s="105">
        <f t="shared" ref="S287:Y287" si="340">+S68+S69+S70+S71+S72+S73+S74+S75+S76+S77+S78+S79</f>
        <v>0</v>
      </c>
      <c r="T287" s="105">
        <f t="shared" si="340"/>
        <v>0</v>
      </c>
      <c r="U287" s="105">
        <f t="shared" si="340"/>
        <v>0</v>
      </c>
      <c r="V287" s="105">
        <f t="shared" si="340"/>
        <v>0</v>
      </c>
      <c r="W287" s="105">
        <f t="shared" si="340"/>
        <v>0</v>
      </c>
      <c r="X287" s="105">
        <f t="shared" si="340"/>
        <v>656279868</v>
      </c>
      <c r="Y287" s="105">
        <f t="shared" si="340"/>
        <v>1991669435.0999999</v>
      </c>
      <c r="Z287" s="105">
        <f t="shared" ref="Z287:Z294" si="341">SUM(W287:Y287)</f>
        <v>2647949303.0999999</v>
      </c>
      <c r="AA287" s="105">
        <f>+AA68+AA69+AA70+AA71+AA72+AA73+AA74+AA75+AA76+AA77+AA78+AA79</f>
        <v>2930586671</v>
      </c>
      <c r="AB287" s="105">
        <f>+AB68+AB69+AB70+AB71+AB72+AB73+AB74+AB75+AB76+AB77+AB78+AB79</f>
        <v>1805369197</v>
      </c>
      <c r="AC287" s="105">
        <f>+AC68+AC69+AC70+AC71+AC72+AC73+AC74+AC75+AC76+AC77+AC78+AC79</f>
        <v>1991669435.0999999</v>
      </c>
      <c r="AD287" s="105">
        <f t="shared" si="338"/>
        <v>6727625303.1000004</v>
      </c>
      <c r="AE287" s="105">
        <f t="shared" si="338"/>
        <v>2743308772.8400002</v>
      </c>
      <c r="AF287" s="105">
        <f t="shared" si="338"/>
        <v>990988297.47000003</v>
      </c>
      <c r="AG287" s="105">
        <f t="shared" si="338"/>
        <v>0</v>
      </c>
      <c r="AH287" s="105">
        <f t="shared" si="338"/>
        <v>3734297070.3100004</v>
      </c>
      <c r="AI287" s="105">
        <f>+AI68+AI69+AI70+AI71+AI72+AI73+AI74+AI75+AI76+AI77+AI78+AI79</f>
        <v>0</v>
      </c>
      <c r="AJ287" s="105">
        <f>+AJ68+AJ69+AJ70+AJ71+AJ72+AJ73+AJ74+AJ75+AJ76+AJ77+AJ78+AJ79</f>
        <v>501760548.38000005</v>
      </c>
      <c r="AK287" s="105">
        <f>+AK68+AK69+AK70+AK71+AK72+AK73+AK74+AK75+AK76+AK77+AK78+AK79</f>
        <v>668343608.60000002</v>
      </c>
      <c r="AL287" s="105">
        <f t="shared" si="338"/>
        <v>1170104156.9799998</v>
      </c>
      <c r="AM287" s="105">
        <f>+AM68+AM69+AM70+AM71+AM72+AM73+AM74+AM75+AM76+AM77+AM78+AM79</f>
        <v>2743308772.8400002</v>
      </c>
      <c r="AN287" s="105">
        <f>+AN68+AN69+AN70+AN71+AN72+AN73+AN74+AN75+AN76+AN77+AN78+AN79</f>
        <v>1492748845.8499999</v>
      </c>
      <c r="AO287" s="105">
        <f>+AO68+AO69+AO70+AO71+AO72+AO73+AO74+AO75+AO76+AO77+AO78+AO79</f>
        <v>668343608.60000002</v>
      </c>
      <c r="AP287" s="105">
        <f t="shared" si="338"/>
        <v>4904401227.2900009</v>
      </c>
      <c r="AQ287" s="105">
        <f>+AQ68+AQ69+AQ70+AQ71+AQ72+AQ73+AQ74+AQ75+AQ76+AQ77+AQ78+AQ79</f>
        <v>187277898.16000012</v>
      </c>
      <c r="AR287" s="105">
        <f>+AR68+AR69+AR70+AR71+AR72+AR73+AR74+AR75+AR76+AR77+AR78+AR79</f>
        <v>312620351.14999998</v>
      </c>
      <c r="AS287" s="105">
        <f>+AS68+AS69+AS70+AS71+AS72+AS73+AS74+AS75+AS76+AS77+AS78+AS79</f>
        <v>1323325826.5</v>
      </c>
      <c r="AT287" s="105">
        <f>SUM(AQ287:AS287)</f>
        <v>1823224075.8099999</v>
      </c>
      <c r="AU287" s="1328">
        <f t="shared" ref="AU287:AX295" si="342">IF(AA287=0," ",AM287/AA287)</f>
        <v>0.9360954241643038</v>
      </c>
      <c r="AV287" s="1328">
        <f t="shared" si="342"/>
        <v>0.82683854822078251</v>
      </c>
      <c r="AW287" s="1328">
        <f t="shared" si="342"/>
        <v>0.33556954624171509</v>
      </c>
      <c r="AX287" s="1328">
        <f t="shared" si="342"/>
        <v>0.72899440832861451</v>
      </c>
    </row>
    <row r="288" spans="2:74" hidden="1">
      <c r="B288" s="105" t="s">
        <v>295</v>
      </c>
      <c r="C288" s="105">
        <f>+C100+C101+C102+C110+C111+C112+C119+C120+C121+C129+C130+C131+C139+C140+C141+C150+C151+C152+C157+C158+C159+C165+C166+C167+C174+C175+C176+C184+C185+C186+C196+C197+C198+C204+C205+C206+C218+C219+C220+C227+C228+C229+'[6]CY-FUR (REG)- Detail'!B235+'[6]CY-FUR (REG)- Detail'!B236+'[6]CY-FUR (REG)- Detail'!B237+'[6]CY-FUR (REG)- Detail'!B243+'[6]CY-FUR (REG)- Detail'!B244+'[6]CY-FUR (REG)- Detail'!B245</f>
        <v>1269147000</v>
      </c>
      <c r="D288" s="105">
        <f>+D100+D101+D102+D110+D111+D112+D119+D120+D121+D129+D130+D131+D139+D140+D141+D150+D151+D152+D157+D158+D159+D165+D166+D167+D174+D175+D176+D184+D185+D186+D196+D197+D198+D204+D205+D206+D218+D219+D220+D227+D228+D229+'[6]CY-FUR (REG)- Detail'!C235+'[6]CY-FUR (REG)- Detail'!C236+'[6]CY-FUR (REG)- Detail'!C237+'[6]CY-FUR (REG)- Detail'!C243+'[6]CY-FUR (REG)- Detail'!C244+'[6]CY-FUR (REG)- Detail'!C245</f>
        <v>2682973000</v>
      </c>
      <c r="E288" s="105">
        <f>+E100+E101+E102+E110+E111+E112+E119+E120+E121+E129+E130+E131+E139+E140+E141+E150+E151+E152+E157+E158+E159+E165+E166+E167+E174+E175+E176+E184+E185+E186+E196+E197+E198+E204+E205+E206+E218+E219+E220+E227+E228+E229+'[6]CY-FUR (REG)- Detail'!D235+'[6]CY-FUR (REG)- Detail'!D236+'[6]CY-FUR (REG)- Detail'!D237+'[6]CY-FUR (REG)- Detail'!D243+'[6]CY-FUR (REG)- Detail'!D244+'[6]CY-FUR (REG)- Detail'!D245</f>
        <v>0</v>
      </c>
      <c r="F288" s="105">
        <f>+F100+F101+F102+F110+F111+F112+F119+F120+F121+F129+F130+F131+F139+F140+F141+F150+F151+F152+F157+F158+F159+F165+F166+F167+F174+F175+F176+F184+F185+F186+F196+F197+F198+F204+F205+F206+F218+F219+F220+F227+F228+F229+'[6]CY-FUR (REG)- Detail'!E235+'[6]CY-FUR (REG)- Detail'!E236+'[6]CY-FUR (REG)- Detail'!E237+'[6]CY-FUR (REG)- Detail'!E243+'[6]CY-FUR (REG)- Detail'!E244+'[6]CY-FUR (REG)- Detail'!E245</f>
        <v>3952120000</v>
      </c>
      <c r="G288" s="105">
        <f>+G100+G101+G102+G110+G111+G112+G119+G120+G121+G129+G130+G131+G139+G140+G141+G150+G151+G152+G157+G158+G159+G165+G166+G167+G174+G175+G176+G184+G185+G186+G196+G197+G198+G204+G205+G206+G218+G219+G220+G227+G228+G229+'[6]CY-FUR (REG)- Detail'!F235+'[6]CY-FUR (REG)- Detail'!F236+'[6]CY-FUR (REG)- Detail'!F237+'[6]CY-FUR (REG)- Detail'!F243+'[6]CY-FUR (REG)- Detail'!F244+'[6]CY-FUR (REG)- Detail'!F245</f>
        <v>9173085</v>
      </c>
      <c r="H288" s="105">
        <f>+H100+H101+H102+H110+H111+H112+H119+H120+H121+H129+H130+H131+H139+H140+H141+H150+H151+H152+H157+H158+H159+H165+H166+H167+H174+H175+H176+H184+H185+H186+H196+H197+H198+H204+H205+H206+H218+H219+H220+H227+H228+H229+'[6]CY-FUR (REG)- Detail'!G235+'[6]CY-FUR (REG)- Detail'!G236+'[6]CY-FUR (REG)- Detail'!G237+'[6]CY-FUR (REG)- Detail'!G243+'[6]CY-FUR (REG)- Detail'!G244+'[6]CY-FUR (REG)- Detail'!G245</f>
        <v>-10523085</v>
      </c>
      <c r="I288" s="105">
        <f>+I100+I101+I102+I110+I111+I112+I119+I120+I121+I129+I130+I131+I139+I140+I141+I150+I151+I152+I157+I158+I159+I165+I166+I167+I174+I175+I176+I184+I185+I186+I196+I197+I198+I204+I205+I206+I218+I219+I220+I227+I228+I229+'[6]CY-FUR (REG)- Detail'!H235+'[6]CY-FUR (REG)- Detail'!H236+'[6]CY-FUR (REG)- Detail'!H237+'[6]CY-FUR (REG)- Detail'!H243+'[6]CY-FUR (REG)- Detail'!H244+'[6]CY-FUR (REG)- Detail'!H245</f>
        <v>1350000</v>
      </c>
      <c r="J288" s="105">
        <f>+J100+J101+J102+J110+J111+J112+J119+J120+J121+J129+J130+J131+J139+J140+J141+J150+J151+J152+J157+J158+J159+J165+J166+J167+J174+J175+J176+J184+J185+J186+J196+J197+J198+J204+J205+J206+J218+J219+J220+J227+J228+J229+'[6]CY-FUR (REG)- Detail'!I235+'[6]CY-FUR (REG)- Detail'!I236+'[6]CY-FUR (REG)- Detail'!I237+'[6]CY-FUR (REG)- Detail'!I243+'[6]CY-FUR (REG)- Detail'!I244+'[6]CY-FUR (REG)- Detail'!I245</f>
        <v>0</v>
      </c>
      <c r="K288" s="105">
        <f>+K100+K101+K102+K110+K111+K112+K119+K120+K121+K129+K130+K131+K139+K140+K141+K150+K151+K152+K157+K158+K159+K165+K166+K167+K174+K175+K176+K184+K185+K186+K196+K197+K198+K204+K205+K206+K218+K219+K220+K227+K228+K229+'[6]CY-FUR (REG)- Detail'!J235+'[6]CY-FUR (REG)- Detail'!J236+'[6]CY-FUR (REG)- Detail'!J237+'[6]CY-FUR (REG)- Detail'!J243+'[6]CY-FUR (REG)- Detail'!J244+'[6]CY-FUR (REG)- Detail'!J245</f>
        <v>1278320085</v>
      </c>
      <c r="L288" s="105">
        <f>+L100+L101+L102+L110+L111+L112+L119+L120+L121+L129+L130+L131+L139+L140+L141+L150+L151+L152+L157+L158+L159+L165+L166+L167+L174+L175+L176+L184+L185+L186+L196+L197+L198+L204+L205+L206+L218+L219+L220+L227+L228+L229+'[6]CY-FUR (REG)- Detail'!K235+'[6]CY-FUR (REG)- Detail'!K236+'[6]CY-FUR (REG)- Detail'!K237+'[6]CY-FUR (REG)- Detail'!K243+'[6]CY-FUR (REG)- Detail'!K244+'[6]CY-FUR (REG)- Detail'!K245</f>
        <v>2672449915</v>
      </c>
      <c r="M288" s="105">
        <f>+M100+M101+M102+M110+M111+M112+M119+M120+M121+M129+M130+M131+M139+M140+M141+M150+M151+M152+M157+M158+M159+M165+M166+M167+M174+M175+M176+M184+M185+M186+M196+M197+M198+M204+M205+M206+M218+M219+M220+M227+M228+M229+'[6]CY-FUR (REG)- Detail'!L235+'[6]CY-FUR (REG)- Detail'!L236+'[6]CY-FUR (REG)- Detail'!L237+'[6]CY-FUR (REG)- Detail'!L243+'[6]CY-FUR (REG)- Detail'!L244+'[6]CY-FUR (REG)- Detail'!L245</f>
        <v>1350000</v>
      </c>
      <c r="N288" s="105">
        <f>+N100+N101+N102+N110+N111+N112+N119+N120+N121+N129+N130+N131+N139+N140+N141+N150+N151+N152+N157+N158+N159+N165+N166+N167+N174+N175+N176+N184+N185+N186+N196+N197+N198+N204+N205+N206+N218+N219+N220+N227+N228+N229+'[6]CY-FUR (REG)- Detail'!M235+'[6]CY-FUR (REG)- Detail'!M236+'[6]CY-FUR (REG)- Detail'!M237+'[6]CY-FUR (REG)- Detail'!M243+'[6]CY-FUR (REG)- Detail'!M244+'[6]CY-FUR (REG)- Detail'!M245</f>
        <v>3952120000</v>
      </c>
      <c r="O288" s="105">
        <f>+O100+O101+O102+O110+O111+O112+O119+O120+O121+O129+O130+O131+O139+O140+O141+O150+O151+O152+O157+O158+O159+O165+O166+O167+O174+O175+O176+O184+O185+O186+O196+O197+O198+O204+O205+O206+O218+O219+O220+O227+O228+O229+O235+O236+O237+O243+O244+O245</f>
        <v>1283858542</v>
      </c>
      <c r="P288" s="105">
        <f>+P100+P101+P102+P110+P111+P112+P119+P120+P121+P129+P130+P131+P139+P140+P141+P150+P151+P152+P157+P158+P159+P165+P166+P167+P174+P175+P176+P184+P185+P186+P196+P197+P198+P204+P205+P206+P218+P219+P220+P227+P228+P229+P235+P236+P237+P243+P244+P245</f>
        <v>2666911458</v>
      </c>
      <c r="Q288" s="105">
        <f>+Q100+Q101+Q102+Q110+Q111+Q112+Q119+Q120+Q121+Q129+Q130+Q131+Q139+Q140+Q141+Q150+Q151+Q152+Q157+Q158+Q159+Q165+Q166+Q167+Q174+Q175+Q176+Q184+Q185+Q186+Q196+Q197+Q198+Q204+Q205+Q206+Q218+Q219+Q220+Q227+Q228+Q229+Q235+Q236+Q237+Q243+Q244+Q245</f>
        <v>1350000</v>
      </c>
      <c r="R288" s="105">
        <f t="shared" si="339"/>
        <v>3952120000</v>
      </c>
      <c r="S288" s="105">
        <f>+S100+S101+S102+S110+S111+S112+S119+S120+S121+S129+S130+S131+S139+S140+S141+S150+S151+S152+S157+S158+S159+S165+S166+S167+S174+S175+S176+S184+S185+S186+S196+S197+S198+S204+S205+S206+S218+S219+S220+S227+S228+S229+'[6]CY-FUR (REG)- Detail'!R235+'[6]CY-FUR (REG)- Detail'!R236+'[6]CY-FUR (REG)- Detail'!R237+'[6]CY-FUR (REG)- Detail'!R243+'[6]CY-FUR (REG)- Detail'!R244+'[6]CY-FUR (REG)- Detail'!R245</f>
        <v>0</v>
      </c>
      <c r="T288" s="105">
        <f>+T100+T101+T102+T110+T111+T112+T119+T120+T121+T129+T130+T131+T139+T140+T141+T150+T151+T152+T157+T158+T159+T165+T166+T167+T174+T175+T176+T184+T185+T186+T196+T197+T198+T204+T205+T206+T218+T219+T220+T227+T228+T229+'[6]CY-FUR (REG)- Detail'!S235+'[6]CY-FUR (REG)- Detail'!S236+'[6]CY-FUR (REG)- Detail'!S237+'[6]CY-FUR (REG)- Detail'!S243+'[6]CY-FUR (REG)- Detail'!S244+'[6]CY-FUR (REG)- Detail'!S245</f>
        <v>0</v>
      </c>
      <c r="U288" s="105">
        <f>+U100+U101+U102+U110+U111+U112+U119+U120+U121+U129+U130+U131+U139+U140+U141+U150+U151+U152+U157+U158+U159+U165+U166+U167+U174+U175+U176+U184+U185+U186+U196+U197+U198+U204+U205+U206+U218+U219+U220+U227+U228+U229+'[6]CY-FUR (REG)- Detail'!T235+'[6]CY-FUR (REG)- Detail'!T236+'[6]CY-FUR (REG)- Detail'!T237+'[6]CY-FUR (REG)- Detail'!T243+'[6]CY-FUR (REG)- Detail'!T244+'[6]CY-FUR (REG)- Detail'!T245</f>
        <v>0</v>
      </c>
      <c r="V288" s="105">
        <f>+V100+V101+V102+V110+V111+V112+V119+V120+V121+V129+V130+V131+V139+V140+V141+V150+V151+V152+V157+V158+V159+V165+V166+V167+V174+V175+V176+V184+V185+V186+V196+V197+V198+V204+V205+V206+V218+V219+V220+V227+V228+V229+'[6]CY-FUR (REG)- Detail'!U235+'[6]CY-FUR (REG)- Detail'!U236+'[6]CY-FUR (REG)- Detail'!U237+'[6]CY-FUR (REG)- Detail'!U243+'[6]CY-FUR (REG)- Detail'!U244+'[6]CY-FUR (REG)- Detail'!U245</f>
        <v>0</v>
      </c>
      <c r="W288" s="105">
        <f>+W100+W101+W102+W110+W111+W112+W119+W120+W121+W129+W130+W131+W139+W140+W141+W150+W151+W152+W157+W158+W159+W165+W166+W167+W174+W175+W176+W184+W185+W186+W196+W197+W198+W204+W205+W206+W218+W219+W220+W227+W228+W229+W235+W236+W237+W243+W244+W245</f>
        <v>0</v>
      </c>
      <c r="X288" s="105">
        <f>+X100+X101+X102+X110+X111+X112+X119+X120+X121+X129+X130+X131+X139+X140+X141+X150+X151+X152+X157+X158+X159+X165+X166+X167+X174+X175+X176+X184+X185+X186+X196+X197+X198+X204+X205+X206+X218+X219+X220+X227+X228+X229+X235+X236+X237+X243+X244+X245</f>
        <v>2497124148.4000001</v>
      </c>
      <c r="Y288" s="105">
        <f>+Y100+Y101+Y102+Y110+Y111+Y112+Y119+Y120+Y121+Y129+Y130+Y131+Y139+Y140+Y141+Y150+Y151+Y152+Y157+Y158+Y159+Y165+Y166+Y167+Y174+Y175+Y176+Y184+Y185+Y186+Y196+Y197+Y198+Y204+Y205+Y206+Y218+Y219+Y220+Y227+Y228+Y229+Y235+Y236+Y237+Y243+Y244+Y245</f>
        <v>1054038091</v>
      </c>
      <c r="Z288" s="105">
        <f t="shared" si="341"/>
        <v>3551162239.4000001</v>
      </c>
      <c r="AA288" s="105">
        <f>+AA100+AA101+AA102+AA110+AA111+AA112+AA119+AA120+AA121+AA129+AA130+AA131+AA139+AA140+AA141+AA150+AA151+AA152+AA157+AA158+AA159+AA165+AA166+AA167+AA174+AA175+AA176+AA184+AA185+AA186+AA196+AA197+AA198+AA204+AA205+AA206+AA218+AA219+AA220+AA227+AA228+AA229+AA235+AA236+AA237+AA243+AA244+AA245</f>
        <v>1283858542</v>
      </c>
      <c r="AB288" s="105">
        <f>+AB100+AB101+AB102+AB110+AB111+AB112+AB119+AB120+AB121+AB129+AB130+AB131+AB139+AB140+AB141+AB150+AB151+AB152+AB157+AB158+AB159+AB165+AB166+AB167+AB174+AB175+AB176+AB184+AB185+AB186+AB196+AB197+AB198+AB204+AB205+AB206+AB218+AB219+AB220+AB227+AB228+AB229+AB235+AB236+AB237+AB243+AB244+AB245</f>
        <v>5164035606.3999996</v>
      </c>
      <c r="AC288" s="105">
        <f>+AC100+AC101+AC102+AC110+AC111+AC112+AC119+AC120+AC121+AC129+AC130+AC131+AC139+AC140+AC141+AC150+AC151+AC152+AC157+AC158+AC159+AC165+AC166+AC167+AC174+AC175+AC176+AC184+AC185+AC186+AC196+AC197+AC198+AC204+AC205+AC206+AC218+AC219+AC220+AC227+AC228+AC229+AC235+AC236+AC237+AC243+AC244+AC245</f>
        <v>1055388091</v>
      </c>
      <c r="AD288" s="105">
        <f>+AD100+AD101+AD102+AD110+AD111+AD112+AD119+AD120+AD121+AD129+AD130+AD131+AD139+AD140+AD141+AD150+AD151+AD152+AD157+AD158+AD159+AD165+AD166+AD167+AD174+AD175+AD176+AD184+AD185+AD186+AD196+AD197+AD198+AD204+AD205+AD206+AD218+AD219+AD220+AD227+AD228+AD229+'[6]CY-FUR (REG)- Detail'!AC235+'[6]CY-FUR (REG)- Detail'!AC236+'[6]CY-FUR (REG)- Detail'!AC237+'[6]CY-FUR (REG)- Detail'!AC243+'[6]CY-FUR (REG)- Detail'!AC244+'[6]CY-FUR (REG)- Detail'!AC245</f>
        <v>7400960177.8199997</v>
      </c>
      <c r="AE288" s="105">
        <f>+AE100+AE101+AE102+AE110+AE111+AE112+AE119+AE120+AE121+AE129+AE130+AE131+AE139+AE140+AE141+AE150+AE151+AE152+AE157+AE158+AE159+AE165+AE166+AE167+AE174+AE175+AE176+AE184+AE185+AE186+AE196+AE197+AE198+AE204+AE205+AE206+AE218+AE219+AE220+AE227+AE228+AE229+AE235+AE236+AE237+AE243+AE244+AE245</f>
        <v>1115246655.54</v>
      </c>
      <c r="AF288" s="105">
        <f>+AF100+AF101+AF102+AF110+AF111+AF112+AF119+AF120+AF121+AF129+AF130+AF131+AF139+AF140+AF141+AF150+AF151+AF152+AF157+AF158+AF159+AF165+AF166+AF167+AF174+AF175+AF176+AF184+AF185+AF186+AF196+AF197+AF198+AF204+AF205+AF206+AF218+AF219+AF220+AF227+AF228+AF229+AF235+AF236+AF237+AF243+AF244+AF245</f>
        <v>1896622213.7800002</v>
      </c>
      <c r="AG288" s="105">
        <f>+AG100+AG101+AG102+AG110+AG111+AG112+AG119+AG120+AG121+AG129+AG130+AG131+AG139+AG140+AG141+AG150+AG151+AG152+AG157+AG158+AG159+AG165+AG166+AG167+AG174+AG175+AG176+AG184+AG185+AG186+AG196+AG197+AG198+AG204+AG205+AG206+AG218+AG219+AG220+AG227+AG228+AG229+AG235+AG236+AG237+AG243+AG244+AG245</f>
        <v>0</v>
      </c>
      <c r="AH288" s="105">
        <f>+AH100+AH101+AH102+AH110+AH111+AH112+AH119+AH120+AH121+AH129+AH130+AH131+AH139+AH140+AH141+AH150+AH151+AH152+AH157+AH158+AH159+AH165+AH166+AH167+AH174+AH175+AH176+AH184+AH185+AH186+AH196+AH197+AH198+AH204+AH205+AH206+AH218+AH219+AH220+AH227+AH228+AH229+'[6]CY-FUR (REG)- Detail'!AG235+'[6]CY-FUR (REG)- Detail'!AG236+'[6]CY-FUR (REG)- Detail'!AG237+'[6]CY-FUR (REG)- Detail'!AG243+'[6]CY-FUR (REG)- Detail'!AG244+'[6]CY-FUR (REG)- Detail'!AG245</f>
        <v>2759778528.2000008</v>
      </c>
      <c r="AI288" s="105">
        <f>+AI100+AI101+AI102+AI110+AI111+AI112+AI119+AI120+AI121+AI129+AI130+AI131+AI139+AI140+AI141+AI150+AI151+AI152+AI157+AI158+AI159+AI165+AI166+AI167+AI174+AI175+AI176+AI184+AI185+AI186+AI196+AI197+AI198+AI204+AI205+AI206+AI218+AI219+AI220+AI227+AI228+AI229+AI235+AI236+AI237+AI243+AI244+AI245</f>
        <v>0</v>
      </c>
      <c r="AJ288" s="105">
        <f>+AJ100+AJ101+AJ102+AJ110+AJ111+AJ112+AJ119+AJ120+AJ121+AJ129+AJ130+AJ131+AJ139+AJ140+AJ141+AJ150+AJ151+AJ152+AJ157+AJ158+AJ159+AJ165+AJ166+AJ167+AJ174+AJ175+AJ176+AJ184+AJ185+AJ186+AJ196+AJ197+AJ198+AJ204+AJ205+AJ206+AJ218+AJ219+AJ220+AJ227+AJ228+AJ229+AJ235+AJ236+AJ237+AJ243+AJ244+AJ245</f>
        <v>1791482993.7499998</v>
      </c>
      <c r="AK288" s="105">
        <f>+AK100+AK101+AK102+AK110+AK111+AK112+AK119+AK120+AK121+AK129+AK130+AK131+AK139+AK140+AK141+AK150+AK151+AK152+AK157+AK158+AK159+AK165+AK166+AK167+AK174+AK175+AK176+AK184+AK185+AK186+AK196+AK197+AK198+AK204+AK205+AK206+AK218+AK219+AK220+AK227+AK228+AK229+AK235+AK236+AK237+AK243+AK244+AK245</f>
        <v>835664623.32999992</v>
      </c>
      <c r="AL288" s="105">
        <f>+AL100+AL101+AL102+AL110+AL111+AL112+AL119+AL120+AL121+AL129+AL130+AL131+AL139+AL140+AL141+AL150+AL151+AL152+AL157+AL158+AL159+AL165+AL166+AL167+AL174+AL175+AL176+AL184+AL185+AL186+AL196+AL197+AL198+AL204+AL205+AL206+AL218+AL219+AL220+AL227+AL228+AL229+'[6]CY-FUR (REG)- Detail'!AK235+'[6]CY-FUR (REG)- Detail'!AK236+'[6]CY-FUR (REG)- Detail'!AK237+'[6]CY-FUR (REG)- Detail'!AK243+'[6]CY-FUR (REG)- Detail'!AK244+'[6]CY-FUR (REG)- Detail'!AK245</f>
        <v>2426727952.6999998</v>
      </c>
      <c r="AM288" s="105">
        <f>+AM100+AM101+AM102+AM110+AM111+AM112+AM119+AM120+AM121+AM129+AM130+AM131+AM139+AM140+AM141+AM150+AM151+AM152+AM157+AM158+AM159+AM165+AM166+AM167+AM174+AM175+AM176+AM184+AM185+AM186+AM196+AM197+AM198+AM204+AM205+AM206+AM218+AM219+AM220+AM227+AM228+AM229+AM235+AM236+AM237+AM243+AM244+AM245</f>
        <v>1115246655.54</v>
      </c>
      <c r="AN288" s="105">
        <f>+AN100+AN101+AN102+AN110+AN111+AN112+AN119+AN120+AN121+AN129+AN130+AN131+AN139+AN140+AN141+AN150+AN151+AN152+AN157+AN158+AN159+AN165+AN166+AN167+AN174+AN175+AN176+AN184+AN185+AN186+AN196+AN197+AN198+AN204+AN205+AN206+AN218+AN219+AN220+AN227+AN228+AN229+AN235+AN236+AN237+AN243+AN244+AN245</f>
        <v>3688105207.5299993</v>
      </c>
      <c r="AO288" s="105">
        <f>+AO100+AO101+AO102+AO110+AO111+AO112+AO119+AO120+AO121+AO129+AO130+AO131+AO139+AO140+AO141+AO150+AO151+AO152+AO157+AO158+AO159+AO165+AO166+AO167+AO174+AO175+AO176+AO184+AO185+AO186+AO196+AO197+AO198+AO204+AO205+AO206+AO218+AO219+AO220+AO227+AO228+AO229+AO235+AO236+AO237+AO243+AO244+AO245</f>
        <v>835664623.32999992</v>
      </c>
      <c r="AP288" s="105">
        <f>+AP100+AP101+AP102+AP110+AP111+AP112+AP119+AP120+AP121+AP129+AP130+AP131+AP139+AP140+AP141+AP150+AP151+AP152+AP157+AP158+AP159+AP165+AP166+AP167+AP174+AP175+AP176+AP184+AP185+AP186+AP196+AP197+AP198+AP204+AP205+AP206+AP218+AP219+AP220+AP227+AP228+AP229+'[6]CY-FUR (REG)- Detail'!AO235+'[6]CY-FUR (REG)- Detail'!AO236+'[6]CY-FUR (REG)- Detail'!AO237+'[6]CY-FUR (REG)- Detail'!AO243+'[6]CY-FUR (REG)- Detail'!AO244+'[6]CY-FUR (REG)- Detail'!AO245</f>
        <v>5186506480.8999996</v>
      </c>
      <c r="AQ288" s="105">
        <f>+AQ100+AQ101+AQ102+AQ110+AQ111+AQ112+AQ119+AQ120+AQ121+AQ129+AQ130+AQ131+AQ139+AQ140+AQ141+AQ150+AQ151+AQ152+AQ157+AQ158+AQ159+AQ165+AQ166+AQ167+AQ174+AQ175+AQ176+AQ184+AQ185+AQ186+AQ196+AQ197+AQ198+AQ204+AQ205+AQ206+AQ218+AQ219+AQ220+AQ227+AQ228+AQ229+AQ235+AQ236+AQ237+AQ243+AQ244+AQ245</f>
        <v>168611886.45999998</v>
      </c>
      <c r="AR288" s="105">
        <f>+AR100+AR101+AR102+AR110+AR111+AR112+AR119+AR120+AR121+AR129+AR130+AR131+AR139+AR140+AR141+AR150+AR151+AR152+AR157+AR158+AR159+AR165+AR166+AR167+AR174+AR175+AR176+AR184+AR185+AR186+AR196+AR197+AR198+AR204+AR205+AR206+AR218+AR219+AR220+AR227+AR228+AR229+AR235+AR236+AR237+AR243+AR244+AR245</f>
        <v>1475930398.8699999</v>
      </c>
      <c r="AS288" s="105">
        <f>+AS100+AS101+AS102+AS110+AS111+AS112+AS119+AS120+AS121+AS129+AS130+AS131+AS139+AS140+AS141+AS150+AS151+AS152+AS157+AS158+AS159+AS165+AS166+AS167+AS174+AS175+AS176+AS184+AS185+AS186+AS196+AS197+AS198+AS204+AS205+AS206+AS218+AS219+AS220+AS227+AS228+AS229+AS235+AS236+AS237+AS243+AS244+AS245</f>
        <v>219723467.67000002</v>
      </c>
      <c r="AT288" s="105">
        <f>SUM(AQ288:AS288)</f>
        <v>1864265753</v>
      </c>
      <c r="AU288" s="1328">
        <f t="shared" si="342"/>
        <v>0.86866786258450579</v>
      </c>
      <c r="AV288" s="1328">
        <f t="shared" si="342"/>
        <v>0.71419050692818231</v>
      </c>
      <c r="AW288" s="1328">
        <f t="shared" si="342"/>
        <v>0.79180789555640341</v>
      </c>
      <c r="AX288" s="1328">
        <f t="shared" si="342"/>
        <v>0.70078832425601811</v>
      </c>
    </row>
    <row r="289" spans="2:74" hidden="1">
      <c r="B289" s="105" t="s">
        <v>430</v>
      </c>
      <c r="C289" s="105">
        <f t="shared" ref="C289:N289" si="343">+C97-C288</f>
        <v>3983113000</v>
      </c>
      <c r="D289" s="105">
        <f t="shared" si="343"/>
        <v>1763273000</v>
      </c>
      <c r="E289" s="105">
        <f t="shared" si="343"/>
        <v>0</v>
      </c>
      <c r="F289" s="105">
        <f t="shared" si="343"/>
        <v>5746386000</v>
      </c>
      <c r="G289" s="105">
        <f t="shared" si="343"/>
        <v>34533147</v>
      </c>
      <c r="H289" s="105">
        <f t="shared" si="343"/>
        <v>-34533147</v>
      </c>
      <c r="I289" s="105">
        <f t="shared" si="343"/>
        <v>0</v>
      </c>
      <c r="J289" s="105">
        <f t="shared" si="343"/>
        <v>0</v>
      </c>
      <c r="K289" s="105">
        <f t="shared" si="343"/>
        <v>4017646147</v>
      </c>
      <c r="L289" s="105">
        <f t="shared" si="343"/>
        <v>1728739853</v>
      </c>
      <c r="M289" s="105">
        <f t="shared" si="343"/>
        <v>0</v>
      </c>
      <c r="N289" s="105">
        <f t="shared" si="343"/>
        <v>5746386000</v>
      </c>
      <c r="O289" s="105">
        <f>+O104+O105+O106+O107+O114+O115+O116+O123+O124+O125+O126+O133+O134+O135+O136+O143+O144+O145+O146+O147+O154+O161+O162+O169+O170+O171+O178+O179+O180+O181+O188+O189+O190+O191+O192+O193+O200+O201+O208+O209+O210+O211+O212+O213+O214+O215+O222+O223+O224+O231+O232+O239+O240+O247+O248</f>
        <v>4012107690</v>
      </c>
      <c r="P289" s="105">
        <f>+P104+P105+P106+P107+P114+P115+P116+P123+P124+P125+P126+P133+P134+P135+P136+P143+P144+P145+P146+P147+P154+P161+P162+P169+P170+P171+P178+P179+P180+P181+P188+P189+P190+P191+P192+P193+P200+P201+P208+P209+P210+P211+P212+P213+P214+P215+P222+P223+P224+P231+P232+P239+P240+P247+P248</f>
        <v>1734278310</v>
      </c>
      <c r="Q289" s="105">
        <f>+Q104+Q105+Q106+Q107+Q114+Q115+Q116+Q123+Q124+Q125+Q126+Q133+Q134+Q135+Q136+Q143+Q144+Q145+Q146+Q147+Q154+Q161+Q162+Q169+Q170+Q171+Q178+Q179+Q180+Q181+Q188+Q189+Q190+Q191+Q192+Q193+Q200+Q201+Q208+Q209+Q210+Q211+Q212+Q213+Q214+Q215+Q222+Q223+Q224+Q231+Q232+Q239+Q240+Q247+Q248</f>
        <v>0</v>
      </c>
      <c r="R289" s="105">
        <f t="shared" si="339"/>
        <v>5746386000</v>
      </c>
      <c r="S289" s="105">
        <f>+S97-S288</f>
        <v>0</v>
      </c>
      <c r="T289" s="105">
        <f>+T97-T288</f>
        <v>0</v>
      </c>
      <c r="U289" s="105">
        <f>+U97-U288</f>
        <v>0</v>
      </c>
      <c r="V289" s="105">
        <f>+V97-V288</f>
        <v>0</v>
      </c>
      <c r="W289" s="105">
        <f>+W104+W105+W106+W107+W114+W115+W116+W123+W124+W125+W126+W133+W134+W135+W136+W143+W144+W145+W146+W147+W154+W161+W162+W169+W170+W171+W178+W179+W180+W181+W188+W189+W190+W191+W192+W193+W200+W201+W208+W209+W210+W211+W212+W213+W214+W215+W222+W223+W224+W231+W232+W239+W240+W247+W248</f>
        <v>827006</v>
      </c>
      <c r="X289" s="105">
        <f>+X104+X105+X106+X107+X114+X115+X116+X123+X124+X125+X126+X133+X134+X135+X136+X143+X144+X145+X146+X147+X154+X161+X162+X169+X170+X171+X178+X179+X180+X181+X188+X189+X190+X191+X192+X193+X200+X201+X208+X209+X210+X211+X212+X213+X214+X215+X222+X223+X224+X231+X232+X239+X240+X247+X248</f>
        <v>806537338.05999994</v>
      </c>
      <c r="Y289" s="105">
        <f>+Y104+Y105+Y106+Y107+Y114+Y115+Y116+Y123+Y124+Y125+Y126+Y133+Y134+Y135+Y136+Y143+Y144+Y145+Y146+Y147+Y154+Y161+Y162+Y169+Y170+Y171+Y178+Y179+Y180+Y181+Y188+Y189+Y190+Y191+Y192+Y193+Y200+Y201+Y208+Y209+Y210+Y211+Y212+Y213+Y214+Y215+Y222+Y223+Y224+Y231+Y232+Y239+Y240+Y247+Y248</f>
        <v>2699899060</v>
      </c>
      <c r="Z289" s="105">
        <f t="shared" si="341"/>
        <v>3507263404.0599999</v>
      </c>
      <c r="AA289" s="105">
        <f>+AA104+AA105+AA106+AA107+AA114+AA115+AA116+AA123+AA124+AA125+AA126+AA133+AA134+AA135+AA136+AA143+AA144+AA145+AA146+AA147+AA154+AA161+AA162+AA169+AA170+AA171+AA178+AA179+AA180+AA181+AA188+AA189+AA190+AA191+AA192+AA193+AA200+AA201+AA208+AA209+AA210+AA211+AA212+AA213+AA214+AA215+AA222+AA223+AA224+AA231+AA232+AA239+AA240+AA247+AA248</f>
        <v>4012934696</v>
      </c>
      <c r="AB289" s="105">
        <f>+AB104+AB105+AB106+AB107+AB114+AB115+AB116+AB123+AB124+AB125+AB126+AB133+AB134+AB135+AB136+AB143+AB144+AB145+AB146+AB147+AB154+AB161+AB162+AB169+AB170+AB171+AB178+AB179+AB180+AB181+AB188+AB189+AB190+AB191+AB192+AB193+AB200+AB201+AB208+AB209+AB210+AB211+AB212+AB213+AB214+AB215+AB222+AB223+AB224+AB231+AB232+AB239+AB240+AB247+AB248</f>
        <v>2540815648.0599999</v>
      </c>
      <c r="AC289" s="105">
        <f>+AC104+AC105+AC106+AC107+AC114+AC115+AC116+AC123+AC124+AC125+AC126+AC133+AC134+AC135+AC136+AC143+AC144+AC145+AC146+AC147+AC154+AC161+AC162+AC169+AC170+AC171+AC178+AC179+AC180+AC181+AC188+AC189+AC190+AC191+AC192+AC193+AC200+AC201+AC208+AC209+AC210+AC211+AC212+AC213+AC214+AC215+AC222+AC223+AC224+AC231+AC232+AC239+AC240+AC247+AC248</f>
        <v>2699899060</v>
      </c>
      <c r="AD289" s="105">
        <f>+AD97-AD288</f>
        <v>9355971465.6399994</v>
      </c>
      <c r="AE289" s="105">
        <f>+AE104+AE105+AE106+AE107+AE114+AE115+AE116+AE123+AE124+AE125+AE126+AE133+AE134+AE135+AE136+AE143+AE144+AE145+AE146+AE147+AE154+AE161+AE162+AE169+AE170+AE171+AE178+AE179+AE180+AE181+AE188+AE189+AE190+AE191+AE192+AE193+AE200+AE201+AE208+AE209+AE210+AE211+AE212+AE213+AE214+AE215+AE222+AE223+AE224+AE231+AE232+AE239+AE240+AE247+AE248</f>
        <v>3679624569.3500009</v>
      </c>
      <c r="AF289" s="105">
        <f>+AF104+AF105+AF106+AF107+AF114+AF115+AF116+AF123+AF124+AF125+AF126+AF133+AF134+AF135+AF136+AF143+AF144+AF145+AF146+AF147+AF154+AF161+AF162+AF169+AF170+AF171+AF178+AF179+AF180+AF181+AF188+AF189+AF190+AF191+AF192+AF193+AF200+AF201+AF208+AF209+AF210+AF211+AF212+AF213+AF214+AF215+AF222+AF223+AF224+AF231+AF232+AF239+AF240+AF247+AF248</f>
        <v>1463481317.4300005</v>
      </c>
      <c r="AG289" s="105">
        <f>+AG104+AG105+AG106+AG107+AG114+AG115+AG116+AG123+AG124+AG125+AG126+AG133+AG134+AG135+AG136+AG143+AG144+AG145+AG146+AG147+AG154+AG161+AG162+AG169+AG170+AG171+AG178+AG179+AG180+AG181+AG188+AG189+AG190+AG191+AG192+AG193+AG200+AG201+AG208+AG209+AG210+AG211+AG212+AG213+AG214+AG215+AG222+AG223+AG224+AG231+AG232+AG239+AG240+AG247+AG248</f>
        <v>0</v>
      </c>
      <c r="AH289" s="105">
        <f>+AH97-AH288</f>
        <v>5395196227.8999996</v>
      </c>
      <c r="AI289" s="105">
        <f>+AI104+AI105+AI106+AI107+AI114+AI115+AI116+AI123+AI124+AI125+AI126+AI133+AI134+AI135+AI136+AI143+AI144+AI145+AI146+AI147+AI154+AI161+AI162+AI169+AI170+AI171+AI178+AI179+AI180+AI181+AI188+AI189+AI190+AI191+AI192+AI193+AI200+AI201+AI208+AI209+AI210+AI211+AI212+AI213+AI214+AI215+AI222+AI223+AI224+AI231+AI232+AI239+AI240+AI247+AI248</f>
        <v>763888.76999999979</v>
      </c>
      <c r="AJ289" s="105">
        <f>+AJ104+AJ105+AJ106+AJ107+AJ114+AJ115+AJ116+AJ123+AJ124+AJ125+AJ126+AJ133+AJ134+AJ135+AJ136+AJ143+AJ144+AJ145+AJ146+AJ147+AJ154+AJ161+AJ162+AJ169+AJ170+AJ171+AJ178+AJ179+AJ180+AJ181+AJ188+AJ189+AJ190+AJ191+AJ192+AJ193+AJ200+AJ201+AJ208+AJ209+AJ210+AJ211+AJ212+AJ213+AJ214+AJ215+AJ222+AJ223+AJ224+AJ231+AJ232+AJ239+AJ240+AJ247+AJ248</f>
        <v>656245456.92999995</v>
      </c>
      <c r="AK289" s="105">
        <f>+AK104+AK105+AK106+AK107+AK114+AK115+AK116+AK123+AK124+AK125+AK126+AK133+AK134+AK135+AK136+AK143+AK144+AK145+AK146+AK147+AK154+AK161+AK162+AK169+AK170+AK171+AK178+AK179+AK180+AK181+AK188+AK189+AK190+AK191+AK192+AK193+AK200+AK201+AK208+AK209+AK210+AK211+AK212+AK213+AK214+AK215+AK222+AK223+AK224+AK231+AK232+AK239+AK240+AK247+AK248</f>
        <v>2372993829.52</v>
      </c>
      <c r="AL289" s="105">
        <f>+AL97-AL288</f>
        <v>3230422839.6000004</v>
      </c>
      <c r="AM289" s="105">
        <f>+AM104+AM105+AM106+AM107+AM114+AM115+AM116+AM123+AM124+AM125+AM126+AM133+AM134+AM135+AM136+AM143+AM144+AM145+AM146+AM147+AM154+AM161+AM162+AM169+AM170+AM171+AM178+AM179+AM180+AM181+AM188+AM189+AM190+AM191+AM192+AM193+AM200+AM201+AM208+AM209+AM210+AM211+AM212+AM213+AM214+AM215+AM222+AM223+AM224+AM231+AM232+AM239+AM240+AM247+AM248</f>
        <v>3680388458.1200008</v>
      </c>
      <c r="AN289" s="105">
        <f>+AN104+AN105+AN106+AN107+AN114+AN115+AN116+AN123+AN124+AN125+AN126+AN133+AN134+AN135+AN136+AN143+AN144+AN145+AN146+AN147+AN154+AN161+AN162+AN169+AN170+AN171+AN178+AN179+AN180+AN181+AN188+AN189+AN190+AN191+AN192+AN193+AN200+AN201+AN208+AN209+AN210+AN211+AN212+AN213+AN214+AN215+AN222+AN223+AN224+AN231+AN232+AN239+AN240+AN247+AN248</f>
        <v>2119726774.3599999</v>
      </c>
      <c r="AO289" s="105">
        <f>+AO104+AO105+AO106+AO107+AO114+AO115+AO116+AO123+AO124+AO125+AO126+AO133+AO134+AO135+AO136+AO143+AO144+AO145+AO146+AO147+AO154+AO161+AO162+AO169+AO170+AO171+AO178+AO179+AO180+AO181+AO188+AO189+AO190+AO191+AO192+AO193+AO200+AO201+AO208+AO209+AO210+AO211+AO212+AO213+AO214+AO215+AO222+AO223+AO224+AO231+AO232+AO239+AO240+AO247+AO248</f>
        <v>2372993829.52</v>
      </c>
      <c r="AP289" s="105">
        <f>+AP97-AP288</f>
        <v>8625619067.5000019</v>
      </c>
      <c r="AQ289" s="105">
        <f>+AQ104+AQ105+AQ106+AQ107+AQ114+AQ115+AQ116+AQ123+AQ124+AQ125+AQ126+AQ133+AQ134+AQ135+AQ136+AQ143+AQ144+AQ145+AQ146+AQ147+AQ154+AQ161+AQ162+AQ169+AQ170+AQ171+AQ178+AQ179+AQ180+AQ181+AQ188+AQ189+AQ190+AQ191+AQ192+AQ193+AQ200+AQ201+AQ208+AQ209+AQ210+AQ211+AQ212+AQ213+AQ214+AQ215+AQ222+AQ223+AQ224+AQ231+AQ232+AQ239+AQ240+AQ247+AQ248</f>
        <v>332546237.87999988</v>
      </c>
      <c r="AR289" s="105">
        <f>+AR104+AR105+AR106+AR107+AR114+AR115+AR116+AR123+AR124+AR125+AR126+AR133+AR134+AR135+AR136+AR143+AR144+AR145+AR146+AR147+AR154+AR161+AR162+AR169+AR170+AR171+AR178+AR179+AR180+AR181+AR188+AR189+AR190+AR191+AR192+AR193+AR200+AR201+AR208+AR209+AR210+AR211+AR212+AR213+AR214+AR215+AR222+AR223+AR224+AR231+AR232+AR239+AR240+AR247+AR248</f>
        <v>421088873.70000029</v>
      </c>
      <c r="AS289" s="105">
        <f>+AS104+AS105+AS106+AS107+AS114+AS115+AS116+AS123+AS124+AS125+AS126+AS133+AS134+AS135+AS136+AS143+AS144+AS145+AS146+AS147+AS154+AS161+AS162+AS169+AS170+AS171+AS178+AS179+AS180+AS181+AS188+AS189+AS190+AS191+AS192+AS193+AS200+AS201+AS208+AS209+AS210+AS211+AS212+AS213+AS214+AS215+AS222+AS223+AS224+AS231+AS232+AS239+AS240+AS247+AS248</f>
        <v>326905230.48000008</v>
      </c>
      <c r="AT289" s="105">
        <f>SUM(AQ289:AS289)</f>
        <v>1080540342.0600002</v>
      </c>
      <c r="AU289" s="1328">
        <f t="shared" si="342"/>
        <v>0.91713141053317571</v>
      </c>
      <c r="AV289" s="1328">
        <f t="shared" si="342"/>
        <v>0.83427019822492199</v>
      </c>
      <c r="AW289" s="1328">
        <f t="shared" si="342"/>
        <v>0.87891946209277916</v>
      </c>
      <c r="AX289" s="1328">
        <f t="shared" si="342"/>
        <v>0.92193729952873071</v>
      </c>
    </row>
    <row r="290" spans="2:74" hidden="1">
      <c r="B290" s="105" t="s">
        <v>427</v>
      </c>
      <c r="C290" s="105">
        <f>SUM(C286:C289)</f>
        <v>8334242000</v>
      </c>
      <c r="D290" s="105">
        <f t="shared" ref="D290:AP290" si="344">SUM(D286:D289)</f>
        <v>5809255000</v>
      </c>
      <c r="E290" s="105">
        <f t="shared" si="344"/>
        <v>22000000</v>
      </c>
      <c r="F290" s="105">
        <f t="shared" si="344"/>
        <v>14165497000</v>
      </c>
      <c r="G290" s="105">
        <f t="shared" si="344"/>
        <v>93213903</v>
      </c>
      <c r="H290" s="105">
        <f t="shared" si="344"/>
        <v>-94563903</v>
      </c>
      <c r="I290" s="105">
        <f t="shared" si="344"/>
        <v>1350000</v>
      </c>
      <c r="J290" s="105">
        <f t="shared" si="344"/>
        <v>0</v>
      </c>
      <c r="K290" s="105">
        <f t="shared" si="344"/>
        <v>8427455903</v>
      </c>
      <c r="L290" s="105">
        <f t="shared" si="344"/>
        <v>5714691097</v>
      </c>
      <c r="M290" s="105">
        <f t="shared" si="344"/>
        <v>23350000</v>
      </c>
      <c r="N290" s="105">
        <f t="shared" si="344"/>
        <v>14165497000</v>
      </c>
      <c r="O290" s="105">
        <f t="shared" si="344"/>
        <v>8427455903</v>
      </c>
      <c r="P290" s="105">
        <f t="shared" si="344"/>
        <v>5714691097</v>
      </c>
      <c r="Q290" s="105">
        <f t="shared" si="344"/>
        <v>23350000</v>
      </c>
      <c r="R290" s="105">
        <f t="shared" si="339"/>
        <v>14165497000</v>
      </c>
      <c r="S290" s="105">
        <f>SUM(S286:S289)</f>
        <v>0</v>
      </c>
      <c r="T290" s="105">
        <f>SUM(T286:T289)</f>
        <v>0</v>
      </c>
      <c r="U290" s="105">
        <f>SUM(U286:U289)</f>
        <v>0</v>
      </c>
      <c r="V290" s="105">
        <f>SUM(V286:V289)</f>
        <v>0</v>
      </c>
      <c r="W290" s="105">
        <f>SUM(W286:W289)</f>
        <v>827006</v>
      </c>
      <c r="X290" s="105">
        <f t="shared" si="344"/>
        <v>3959941354.46</v>
      </c>
      <c r="Y290" s="105">
        <f t="shared" si="344"/>
        <v>5745606586.1000004</v>
      </c>
      <c r="Z290" s="105">
        <f t="shared" si="341"/>
        <v>9706374946.5600014</v>
      </c>
      <c r="AA290" s="105">
        <f t="shared" si="344"/>
        <v>8428282909</v>
      </c>
      <c r="AB290" s="105">
        <f t="shared" si="344"/>
        <v>9674632451.4599991</v>
      </c>
      <c r="AC290" s="105">
        <f t="shared" si="344"/>
        <v>5768956586.1000004</v>
      </c>
      <c r="AD290" s="105">
        <f t="shared" si="344"/>
        <v>23871871946.559998</v>
      </c>
      <c r="AE290" s="105">
        <f t="shared" si="344"/>
        <v>7734274033.2300014</v>
      </c>
      <c r="AF290" s="105">
        <f t="shared" si="344"/>
        <v>4478649691.4900007</v>
      </c>
      <c r="AG290" s="105">
        <f t="shared" si="344"/>
        <v>8121591.8600000003</v>
      </c>
      <c r="AH290" s="105">
        <f t="shared" si="344"/>
        <v>12221045316.580002</v>
      </c>
      <c r="AI290" s="105">
        <f t="shared" si="344"/>
        <v>763888.76999999979</v>
      </c>
      <c r="AJ290" s="105">
        <f t="shared" si="344"/>
        <v>2949488999.0599995</v>
      </c>
      <c r="AK290" s="105">
        <f t="shared" si="344"/>
        <v>3877002061.4499998</v>
      </c>
      <c r="AL290" s="105">
        <f t="shared" si="344"/>
        <v>6827254949.2799997</v>
      </c>
      <c r="AM290" s="105">
        <f t="shared" si="344"/>
        <v>7735037922.000001</v>
      </c>
      <c r="AN290" s="105">
        <f t="shared" si="344"/>
        <v>7428138690.5499983</v>
      </c>
      <c r="AO290" s="105">
        <f t="shared" si="344"/>
        <v>3885123653.3099999</v>
      </c>
      <c r="AP290" s="105">
        <f t="shared" si="344"/>
        <v>19048300265.860001</v>
      </c>
      <c r="AQ290" s="105">
        <f>+AA290-AM290</f>
        <v>693244986.99999905</v>
      </c>
      <c r="AR290" s="105">
        <f>+AB290-AN290</f>
        <v>2246493760.9100008</v>
      </c>
      <c r="AS290" s="105">
        <f>+AC290-AO290</f>
        <v>1883832932.7900004</v>
      </c>
      <c r="AT290" s="105">
        <f>SUM(AQ290:AS290)</f>
        <v>4823571680.7000008</v>
      </c>
      <c r="AU290" s="1328">
        <f t="shared" si="342"/>
        <v>0.91774777917578809</v>
      </c>
      <c r="AV290" s="1328">
        <f t="shared" si="342"/>
        <v>0.76779544110009235</v>
      </c>
      <c r="AW290" s="1328">
        <f t="shared" si="342"/>
        <v>0.67345343916627876</v>
      </c>
      <c r="AX290" s="1328">
        <f t="shared" si="342"/>
        <v>0.79793911045191046</v>
      </c>
    </row>
    <row r="291" spans="2:74" s="111" customFormat="1" hidden="1">
      <c r="O291" s="111">
        <f>+O290-'CY (ALL FUNDS)'!F1714-'CY (ALL FUNDS)'!F1719-'CY (ALL FUNDS)'!F1724-'CY (ALL FUNDS)'!F1728-'CY (ALL FUNDS)'!F1735</f>
        <v>0</v>
      </c>
      <c r="P291" s="111">
        <f>+P290-'CY (ALL FUNDS)'!G1715-'CY (ALL FUNDS)'!G1719-'CY (ALL FUNDS)'!G1724-'CY (ALL FUNDS)'!G1728-'CY (ALL FUNDS)'!G1735-'CY (ALL FUNDS)'!G1721</f>
        <v>0</v>
      </c>
      <c r="Q291" s="111">
        <f>+Q290-'CY (ALL FUNDS)'!H1714-'CY (ALL FUNDS)'!H1719-'CY (ALL FUNDS)'!H1724-'CY (ALL FUNDS)'!H1728-'CY (ALL FUNDS)'!H1735</f>
        <v>0</v>
      </c>
      <c r="R291" s="105">
        <f t="shared" si="339"/>
        <v>0</v>
      </c>
      <c r="W291" s="111">
        <f>+W290-'CY (ALL FUNDS)'!F1736+'CY (ALL FUNDS)'!F1732+'CY (ALL FUNDS)'!F1725+'CY (ALL FUNDS)'!F1720+'CY (ALL FUNDS)'!F1716</f>
        <v>0</v>
      </c>
      <c r="X291" s="111">
        <f>+X290-'CY (ALL FUNDS)'!G1716-'CY (ALL FUNDS)'!G1720-'CY (ALL FUNDS)'!G1725-'CY (ALL FUNDS)'!G1732-'CY (ALL FUNDS)'!G1736</f>
        <v>0</v>
      </c>
      <c r="Y291" s="111">
        <f>+Y290-'CY (ALL FUNDS)'!H1716-'CY (ALL FUNDS)'!H1720-'CY (ALL FUNDS)'!H1725-'CY (ALL FUNDS)'!H1732-'CY (ALL FUNDS)'!H1736</f>
        <v>0</v>
      </c>
      <c r="Z291" s="111">
        <f>+Z290-'CY (ALL FUNDS)'!I1716-'CY (ALL FUNDS)'!I1720-'CY (ALL FUNDS)'!I1725-'CY (ALL FUNDS)'!I1732-'CY (ALL FUNDS)'!I1736</f>
        <v>0</v>
      </c>
      <c r="AA291" s="111">
        <f>+AA290-'CY (ALL FUNDS)'!F1714-'CY (ALL FUNDS)'!F1718-'CY (ALL FUNDS)'!F1723-'CY (ALL FUNDS)'!F1727-'CY (ALL FUNDS)'!F1734</f>
        <v>0</v>
      </c>
      <c r="AB291" s="111">
        <f>+AB290-'CY (ALL FUNDS)'!G1714-'CY (ALL FUNDS)'!G1718-'CY (ALL FUNDS)'!G1723-'CY (ALL FUNDS)'!G1727-'CY (ALL FUNDS)'!G1734</f>
        <v>0</v>
      </c>
      <c r="AC291" s="111">
        <f>+AC290-'CY (ALL FUNDS)'!H1714-'CY (ALL FUNDS)'!H1718-'CY (ALL FUNDS)'!H1723-'CY (ALL FUNDS)'!H1727-'CY (ALL FUNDS)'!H1734</f>
        <v>0</v>
      </c>
      <c r="AD291" s="111">
        <f>+AD290-'CY (ALL FUNDS)'!I1714-'CY (ALL FUNDS)'!I1718-'CY (ALL FUNDS)'!I1723-'CY (ALL FUNDS)'!I1727-'CY (ALL FUNDS)'!I1734</f>
        <v>0</v>
      </c>
      <c r="AE291" s="111">
        <f>+AE290-'CY (ALL FUNDS)'!J1715-'CY (ALL FUNDS)'!J1719-'CY (ALL FUNDS)'!J1721-'CY (ALL FUNDS)'!J1724-'CY (ALL FUNDS)'!J1728-'CY (ALL FUNDS)'!J1735</f>
        <v>0</v>
      </c>
      <c r="AF291" s="111">
        <f>+AF290-'CY (ALL FUNDS)'!K1715-'CY (ALL FUNDS)'!K1719-'CY (ALL FUNDS)'!K1721-'CY (ALL FUNDS)'!K1724-'CY (ALL FUNDS)'!K1728-'CY (ALL FUNDS)'!K1735</f>
        <v>0</v>
      </c>
      <c r="AG291" s="111">
        <f>+AG290-'CY (ALL FUNDS)'!L1715-'CY (ALL FUNDS)'!L1719-'CY (ALL FUNDS)'!L1721-'CY (ALL FUNDS)'!L1724-'CY (ALL FUNDS)'!L1728-'CY (ALL FUNDS)'!L1735</f>
        <v>0</v>
      </c>
      <c r="AH291" s="111">
        <f>+AH290-'CY (ALL FUNDS)'!M1715-'CY (ALL FUNDS)'!M1719-'CY (ALL FUNDS)'!M1721-'CY (ALL FUNDS)'!M1724-'CY (ALL FUNDS)'!M1728-'CY (ALL FUNDS)'!M1735</f>
        <v>0</v>
      </c>
      <c r="AI291" s="111">
        <f>+AI290-'CY (ALL FUNDS)'!J1716-'CY (ALL FUNDS)'!J1720-'CY (ALL FUNDS)'!J1725-'CY (ALL FUNDS)'!J1732-'CY (ALL FUNDS)'!J1736</f>
        <v>0</v>
      </c>
      <c r="AJ291" s="111">
        <f>+AJ290-'CY (ALL FUNDS)'!K1716-'CY (ALL FUNDS)'!K1720-'CY (ALL FUNDS)'!K1725-'CY (ALL FUNDS)'!K1732-'CY (ALL FUNDS)'!K1736</f>
        <v>0</v>
      </c>
      <c r="AK291" s="111">
        <f>+AK290-'CY (ALL FUNDS)'!L1716-'CY (ALL FUNDS)'!L1720-'CY (ALL FUNDS)'!L1725-'CY (ALL FUNDS)'!L1732-'CY (ALL FUNDS)'!L1736</f>
        <v>0</v>
      </c>
      <c r="AL291" s="111">
        <f>+AL290-'CY (ALL FUNDS)'!M1716-'CY (ALL FUNDS)'!M1720-'CY (ALL FUNDS)'!M1725-'CY (ALL FUNDS)'!M1732-'CY (ALL FUNDS)'!M1736</f>
        <v>0</v>
      </c>
      <c r="AM291" s="111">
        <f>+AM290-'CY (ALL FUNDS)'!J1714-'CY (ALL FUNDS)'!J1718-'CY (ALL FUNDS)'!J1723-'CY (ALL FUNDS)'!J1727-'CY (ALL FUNDS)'!J1734</f>
        <v>0</v>
      </c>
      <c r="AN291" s="111">
        <f>+AN290-'CY (ALL FUNDS)'!K1714-'CY (ALL FUNDS)'!K1718-'CY (ALL FUNDS)'!K1723-'CY (ALL FUNDS)'!K1727-'CY (ALL FUNDS)'!K1734</f>
        <v>-1.9073486328125E-6</v>
      </c>
      <c r="AO291" s="111">
        <f>+AO290-'CY (ALL FUNDS)'!L1714-'CY (ALL FUNDS)'!L1718-'CY (ALL FUNDS)'!L1723-'CY (ALL FUNDS)'!L1727-'CY (ALL FUNDS)'!L1734</f>
        <v>0</v>
      </c>
      <c r="AP291" s="111">
        <f>+AP290-'CY (ALL FUNDS)'!M1714-'CY (ALL FUNDS)'!M1718-'CY (ALL FUNDS)'!M1723-'CY (ALL FUNDS)'!M1727-'CY (ALL FUNDS)'!M1734</f>
        <v>0</v>
      </c>
      <c r="AQ291" s="111">
        <f>+AQ290-'CY (ALL FUNDS)'!N1714-'CY (ALL FUNDS)'!N1718-'CY (ALL FUNDS)'!N1723-'CY (ALL FUNDS)'!N1727-'CY (ALL FUNDS)'!N1734</f>
        <v>0</v>
      </c>
      <c r="AR291" s="111">
        <f>+AR290-'CY (ALL FUNDS)'!O1714-'CY (ALL FUNDS)'!O1718-'CY (ALL FUNDS)'!O1723-'CY (ALL FUNDS)'!O1727-'CY (ALL FUNDS)'!O1734</f>
        <v>1.0728836059570313E-6</v>
      </c>
      <c r="AS291" s="111">
        <f>+AS290-'CY (ALL FUNDS)'!P1714-'CY (ALL FUNDS)'!P1718-'CY (ALL FUNDS)'!P1723-'CY (ALL FUNDS)'!P1727-'CY (ALL FUNDS)'!P1734</f>
        <v>0</v>
      </c>
      <c r="AT291" s="111">
        <f>+AT290-'CY (ALL FUNDS)'!Q1714-'CY (ALL FUNDS)'!Q1718-'CY (ALL FUNDS)'!Q1723-'CY (ALL FUNDS)'!Q1727-'CY (ALL FUNDS)'!Q1734</f>
        <v>2.6226043701171875E-6</v>
      </c>
      <c r="AU291" s="1328">
        <f>+AU290-'CY (ALL FUNDS)'!S1867</f>
        <v>0.91774777917578809</v>
      </c>
      <c r="AV291" s="1328">
        <f>+AV290-'CY (ALL FUNDS)'!T1867</f>
        <v>0.76779544110009235</v>
      </c>
      <c r="AW291" s="1328">
        <f>+AW290-'CY (ALL FUNDS)'!U1867</f>
        <v>0.67345343916627876</v>
      </c>
      <c r="AX291" s="1328">
        <f>+AX290-'CY (ALL FUNDS)'!V1867</f>
        <v>0.79793911045191046</v>
      </c>
      <c r="BC291" s="133"/>
      <c r="BP291" s="143"/>
    </row>
    <row r="292" spans="2:74" hidden="1">
      <c r="B292" s="105" t="s">
        <v>428</v>
      </c>
      <c r="C292" s="105">
        <f>+C267-C263-C97-C68-C69-C70-C71-C72-C73-C74-C75-C76-C77-C78-C79-C37-C38-C39-C42</f>
        <v>532206000</v>
      </c>
      <c r="D292" s="105">
        <f>+D267-D263-D97-D68-D69-D70-D71-D72-D73-D74-D75-D76-D77-D78-D79-D37-D38-D39-D42</f>
        <v>11828961000</v>
      </c>
      <c r="E292" s="105">
        <f>+E267-E263-E97-E68-E69-E70-E71-E72-E73-E74-E75-E76-E77-E78-E79-E37-E38-E39-E42</f>
        <v>11017892000</v>
      </c>
      <c r="F292" s="105">
        <f t="shared" ref="F292:N292" si="345">+F267-F290-F263</f>
        <v>23379059000</v>
      </c>
      <c r="G292" s="105">
        <f t="shared" si="345"/>
        <v>7085371</v>
      </c>
      <c r="H292" s="105">
        <f t="shared" si="345"/>
        <v>-7085371</v>
      </c>
      <c r="I292" s="105">
        <f t="shared" si="345"/>
        <v>0</v>
      </c>
      <c r="J292" s="105">
        <f t="shared" si="345"/>
        <v>0</v>
      </c>
      <c r="K292" s="105">
        <f t="shared" si="345"/>
        <v>539291371</v>
      </c>
      <c r="L292" s="105">
        <f t="shared" si="345"/>
        <v>11821875629</v>
      </c>
      <c r="M292" s="105">
        <f t="shared" si="345"/>
        <v>11017892000</v>
      </c>
      <c r="N292" s="105">
        <f t="shared" si="345"/>
        <v>23379059000</v>
      </c>
      <c r="O292" s="105">
        <f>+O267-O263-O97-O68-O69-O70-O71-O72-O73-O74-O75-O76-O77-O78-O79-O37-O38-O39-O42</f>
        <v>539291371</v>
      </c>
      <c r="P292" s="105">
        <f>+P267-P263-P97-P68-P69-P70-P71-P72-P73-P74-P75-P76-P77-P78-P79-P37-P38-P39-P42</f>
        <v>11821875629</v>
      </c>
      <c r="Q292" s="105">
        <f>+Q267-Q263-Q97-Q68-Q69-Q70-Q71-Q72-Q73-Q74-Q75-Q76-Q77-Q78-Q79-Q37-Q38-Q39-Q42</f>
        <v>11017892000</v>
      </c>
      <c r="R292" s="105">
        <f t="shared" si="339"/>
        <v>23379059000</v>
      </c>
      <c r="S292" s="105">
        <f>+S267-S290-S263</f>
        <v>0</v>
      </c>
      <c r="T292" s="105">
        <f>+T267-T290-T263</f>
        <v>0</v>
      </c>
      <c r="U292" s="105">
        <f>+U267-U290-U263</f>
        <v>0</v>
      </c>
      <c r="V292" s="105">
        <f>+V267-V290-V263</f>
        <v>0</v>
      </c>
      <c r="W292" s="105">
        <f>+W267-W263-W97-W68-W69-W70-W71-W72-W73-W74-W75-W76-W77-W78-W79-W37-W38-W39-W42</f>
        <v>-827006</v>
      </c>
      <c r="X292" s="105">
        <f>+X267-X263-X97-X68-X69-X70-X71-X72-X73-X74-X75-X76-X77-X78-X79-X37-X38-X39-X42</f>
        <v>-3959941354.46</v>
      </c>
      <c r="Y292" s="105">
        <f>+Y267-Y263-Y97-Y68-Y69-Y70-Y71-Y72-Y73-Y74-Y75-Y76-Y77-Y78-Y79-Y37-Y38-Y39-Y42</f>
        <v>-5745606586.1000004</v>
      </c>
      <c r="Z292" s="105">
        <f t="shared" si="341"/>
        <v>-9706374946.5600014</v>
      </c>
      <c r="AA292" s="105">
        <f>+AA267-AA263-AA97-AA68-AA69-AA70-AA71-AA72-AA73-AA74-AA75-AA76-AA77-AA78-AA79-AA37-AA38-AA39-AA42</f>
        <v>538464365</v>
      </c>
      <c r="AB292" s="105">
        <f>+AB267-AB263-AB97-AB68-AB69-AB70-AB71-AB72-AB73-AB74-AB75-AB76-AB77-AB78-AB79-AB37-AB38-AB39-AB42</f>
        <v>7861934274.5400009</v>
      </c>
      <c r="AC292" s="105">
        <f>+AC267-AC263-AC97-AC68-AC69-AC70-AC71-AC72-AC73-AC74-AC75-AC76-AC77-AC78-AC79-AC37-AC38-AC39-AC42</f>
        <v>5272285413.8999996</v>
      </c>
      <c r="AD292" s="105">
        <f>+R292+Z292</f>
        <v>13672684053.439999</v>
      </c>
      <c r="AE292" s="105">
        <f>+AE267-AE263-AE97-AE68-AE69-AE70-AE71-AE72-AE73-AE74-AE75-AE76-AE77-AE78-AE79-AE37-AE38-AE39-AE42</f>
        <v>444139018.09000033</v>
      </c>
      <c r="AF292" s="105">
        <f>+AF267-AF263-AF97-AF68-AF69-AF70-AF71-AF72-AF73-AF74-AF75-AF76-AF77-AF78-AF79-AF37-AF38-AF39-AF42</f>
        <v>5604845475.2299995</v>
      </c>
      <c r="AG292" s="105">
        <f>+AG267-AG263-AG97-AG68-AG69-AG70-AG71-AG72-AG73-AG74-AG75-AG76-AG77-AG78-AG79-AG37-AG38-AG39-AG42</f>
        <v>1210608291.3899992</v>
      </c>
      <c r="AH292" s="105">
        <f>SUM(AE292:AG292)</f>
        <v>7259592784.7099991</v>
      </c>
      <c r="AI292" s="105">
        <f>+AI267-AI263-AI97-AI68-AI69-AI70-AI71-AI72-AI73-AI74-AI75-AI76-AI77-AI78-AI79-AI37-AI38-AI39-AI42</f>
        <v>0</v>
      </c>
      <c r="AJ292" s="105">
        <f>+AJ267-AJ263-AJ97-AJ68-AJ69-AJ70-AJ71-AJ72-AJ73-AJ74-AJ75-AJ76-AJ77-AJ78-AJ79-AJ37-AJ38-AJ39-AJ42</f>
        <v>8.0093741416931152E-8</v>
      </c>
      <c r="AK292" s="105">
        <f>+AK267-AK263-AK97-AK68-AK69-AK70-AK71-AK72-AK73-AK74-AK75-AK76-AK77-AK78-AK79-AK37-AK38-AK39-AK42</f>
        <v>-1.4156103134155273E-7</v>
      </c>
      <c r="AL292" s="105">
        <f>SUM(AI292:AK292)</f>
        <v>-6.1467289924621582E-8</v>
      </c>
      <c r="AM292" s="105">
        <f>+AM267-AM263-AM97-AM68-AM69-AM70-AM71-AM72-AM73-AM74-AM75-AM76-AM77-AM78-AM79-AM37-AM38-AM39-AM42</f>
        <v>444139018.09000033</v>
      </c>
      <c r="AN292" s="105">
        <f>+AN267-AN263-AN97-AN68-AN69-AN70-AN71-AN72-AN73-AN74-AN75-AN76-AN77-AN78-AN79-AN37-AN38-AN39-AN42</f>
        <v>5604845475.2300005</v>
      </c>
      <c r="AO292" s="105">
        <f>+AO267-AO263-AO97-AO68-AO69-AO70-AO71-AO72-AO73-AO74-AO75-AO76-AO77-AO78-AO79-AO37-AO38-AO39-AO42</f>
        <v>1210608291.3899989</v>
      </c>
      <c r="AP292" s="105">
        <f>+AP267-AP263-AP97-AP68-AP69-AP70-AP71-AP72-AP73-AP74-AP75-AP76-AP77-AP78-AP79-AP37-AP38-AP39-AP42</f>
        <v>7259592784.7099972</v>
      </c>
      <c r="AQ292" s="105">
        <f>+AA292-AM292</f>
        <v>94325346.909999669</v>
      </c>
      <c r="AR292" s="105">
        <f>+AB292-AN292</f>
        <v>2257088799.3100004</v>
      </c>
      <c r="AS292" s="105">
        <f>+AC292-AO292</f>
        <v>4061677122.5100007</v>
      </c>
      <c r="AT292" s="105">
        <f>SUM(AQ292:AS292)</f>
        <v>6413091268.7300014</v>
      </c>
      <c r="AU292" s="1328">
        <f t="shared" si="342"/>
        <v>0.824825275280752</v>
      </c>
      <c r="AV292" s="1328">
        <f t="shared" si="342"/>
        <v>0.71290922558086867</v>
      </c>
      <c r="AW292" s="1328">
        <f t="shared" si="342"/>
        <v>0.22961736635090307</v>
      </c>
      <c r="AX292" s="1328">
        <f t="shared" si="342"/>
        <v>0.53095593786382489</v>
      </c>
    </row>
    <row r="293" spans="2:74" s="111" customFormat="1" hidden="1">
      <c r="O293" s="111">
        <f>+O292-'CY (ALL FUNDS)'!F1707</f>
        <v>0</v>
      </c>
      <c r="P293" s="111">
        <f>+P292-'CY (ALL FUNDS)'!G1707</f>
        <v>0</v>
      </c>
      <c r="Q293" s="111">
        <f>+Q292-'CY (ALL FUNDS)'!H1707</f>
        <v>0</v>
      </c>
      <c r="R293" s="105">
        <f t="shared" si="339"/>
        <v>0</v>
      </c>
      <c r="W293" s="111">
        <f>+W292-'CY (ALL FUNDS)'!F1708</f>
        <v>0</v>
      </c>
      <c r="X293" s="111">
        <f>+X292-'CY (ALL FUNDS)'!G1708</f>
        <v>0</v>
      </c>
      <c r="Y293" s="111">
        <f>+Y292-'CY (ALL FUNDS)'!H1708</f>
        <v>0</v>
      </c>
      <c r="Z293" s="111">
        <f>+Z292-'CY (ALL FUNDS)'!I1708</f>
        <v>0</v>
      </c>
      <c r="AA293" s="111">
        <f>+AA292-'CY (ALL FUNDS)'!F1706</f>
        <v>0</v>
      </c>
      <c r="AB293" s="111">
        <f>+AB292-'CY (ALL FUNDS)'!G1706</f>
        <v>0</v>
      </c>
      <c r="AC293" s="111">
        <f>+AC292-'CY (ALL FUNDS)'!H1706</f>
        <v>0</v>
      </c>
      <c r="AD293" s="111">
        <f>+AD292-'CY (ALL FUNDS)'!I1706</f>
        <v>0</v>
      </c>
      <c r="AE293" s="111">
        <f>+AE292-'CY (ALL FUNDS)'!J1707</f>
        <v>0</v>
      </c>
      <c r="AF293" s="111">
        <f>+AF292-'CY (ALL FUNDS)'!K1707</f>
        <v>0</v>
      </c>
      <c r="AG293" s="111">
        <f>+AG292-'CY (ALL FUNDS)'!L1707</f>
        <v>0</v>
      </c>
      <c r="AH293" s="111">
        <f>+AH292-'CY (ALL FUNDS)'!M1707</f>
        <v>0</v>
      </c>
      <c r="AI293" s="111">
        <f>+AI292-'CY (ALL FUNDS)'!J1708</f>
        <v>0</v>
      </c>
      <c r="AJ293" s="111">
        <f>+AJ292-'CY (ALL FUNDS)'!K1708</f>
        <v>8.0093741416931152E-8</v>
      </c>
      <c r="AK293" s="111">
        <f>+AK292-'CY (ALL FUNDS)'!L1708</f>
        <v>-1.4156103134155273E-7</v>
      </c>
      <c r="AL293" s="111">
        <f>+AL292-'CY (ALL FUNDS)'!M1708</f>
        <v>-6.1467289924621582E-8</v>
      </c>
      <c r="AM293" s="111">
        <f>+AM292-'CY (ALL FUNDS)'!J1706</f>
        <v>0</v>
      </c>
      <c r="AN293" s="111">
        <f>+AN292-'CY (ALL FUNDS)'!K1706</f>
        <v>0</v>
      </c>
      <c r="AO293" s="111">
        <f>+AO292-'CY (ALL FUNDS)'!L1706</f>
        <v>0</v>
      </c>
      <c r="AP293" s="111">
        <f>+AP292-'CY (ALL FUNDS)'!M1706</f>
        <v>0</v>
      </c>
      <c r="AQ293" s="111">
        <f>+AQ292-'CY (ALL FUNDS)'!N1706</f>
        <v>-2.9802322387695313E-7</v>
      </c>
      <c r="AR293" s="111">
        <f>+AR292-'CY (ALL FUNDS)'!O1706</f>
        <v>0</v>
      </c>
      <c r="AS293" s="111">
        <f>+AS292-'CY (ALL FUNDS)'!P1706</f>
        <v>0</v>
      </c>
      <c r="AT293" s="111">
        <f>+AT292-'CY (ALL FUNDS)'!Q1706</f>
        <v>0</v>
      </c>
      <c r="AU293" s="1328" t="str">
        <f t="shared" si="342"/>
        <v xml:space="preserve"> </v>
      </c>
      <c r="AV293" s="1328" t="str">
        <f t="shared" si="342"/>
        <v xml:space="preserve"> </v>
      </c>
      <c r="AW293" s="1328" t="str">
        <f t="shared" si="342"/>
        <v xml:space="preserve"> </v>
      </c>
      <c r="AX293" s="1328" t="str">
        <f t="shared" si="342"/>
        <v xml:space="preserve"> </v>
      </c>
      <c r="BC293" s="133"/>
      <c r="BP293" s="143"/>
    </row>
    <row r="294" spans="2:74" hidden="1">
      <c r="B294" s="105" t="s">
        <v>429</v>
      </c>
      <c r="C294" s="105">
        <f>+C263</f>
        <v>0</v>
      </c>
      <c r="D294" s="105">
        <f t="shared" ref="D294:Q294" si="346">+D263</f>
        <v>223684000</v>
      </c>
      <c r="E294" s="105">
        <f t="shared" si="346"/>
        <v>46176000</v>
      </c>
      <c r="F294" s="105">
        <f t="shared" si="346"/>
        <v>269860000</v>
      </c>
      <c r="G294" s="105">
        <f t="shared" si="346"/>
        <v>0</v>
      </c>
      <c r="H294" s="105">
        <f t="shared" si="346"/>
        <v>0</v>
      </c>
      <c r="I294" s="105">
        <f t="shared" si="346"/>
        <v>0</v>
      </c>
      <c r="J294" s="105">
        <f t="shared" si="346"/>
        <v>0</v>
      </c>
      <c r="K294" s="105">
        <f t="shared" si="346"/>
        <v>0</v>
      </c>
      <c r="L294" s="105">
        <f t="shared" si="346"/>
        <v>223684000</v>
      </c>
      <c r="M294" s="105">
        <f t="shared" si="346"/>
        <v>46176000</v>
      </c>
      <c r="N294" s="105">
        <f t="shared" si="346"/>
        <v>269860000</v>
      </c>
      <c r="O294" s="105">
        <f t="shared" si="346"/>
        <v>0</v>
      </c>
      <c r="P294" s="105">
        <f t="shared" si="346"/>
        <v>223684000</v>
      </c>
      <c r="Q294" s="105">
        <f t="shared" si="346"/>
        <v>46176000</v>
      </c>
      <c r="R294" s="105">
        <f t="shared" si="339"/>
        <v>269860000</v>
      </c>
      <c r="S294" s="105">
        <f>+S263</f>
        <v>0</v>
      </c>
      <c r="T294" s="105">
        <f>+T263</f>
        <v>0</v>
      </c>
      <c r="U294" s="105">
        <f>+U263</f>
        <v>0</v>
      </c>
      <c r="V294" s="105">
        <f>+V263</f>
        <v>0</v>
      </c>
      <c r="W294" s="105">
        <f>+W263</f>
        <v>0</v>
      </c>
      <c r="X294" s="105">
        <f t="shared" ref="X294:AP294" si="347">+X263</f>
        <v>0</v>
      </c>
      <c r="Y294" s="105">
        <f t="shared" si="347"/>
        <v>0</v>
      </c>
      <c r="Z294" s="105">
        <f t="shared" si="341"/>
        <v>0</v>
      </c>
      <c r="AA294" s="105">
        <f t="shared" si="347"/>
        <v>0</v>
      </c>
      <c r="AB294" s="105">
        <f t="shared" si="347"/>
        <v>223684000</v>
      </c>
      <c r="AC294" s="105">
        <f t="shared" si="347"/>
        <v>46176000</v>
      </c>
      <c r="AD294" s="105">
        <f t="shared" si="347"/>
        <v>269860000</v>
      </c>
      <c r="AE294" s="105">
        <f t="shared" si="347"/>
        <v>0</v>
      </c>
      <c r="AF294" s="105">
        <f t="shared" si="347"/>
        <v>32337772.780000001</v>
      </c>
      <c r="AG294" s="105">
        <f t="shared" si="347"/>
        <v>0</v>
      </c>
      <c r="AH294" s="105">
        <f t="shared" si="347"/>
        <v>32337772.780000001</v>
      </c>
      <c r="AI294" s="105">
        <f t="shared" si="347"/>
        <v>0</v>
      </c>
      <c r="AJ294" s="105">
        <f t="shared" si="347"/>
        <v>0</v>
      </c>
      <c r="AK294" s="105">
        <f t="shared" si="347"/>
        <v>0</v>
      </c>
      <c r="AL294" s="105">
        <f t="shared" si="347"/>
        <v>0</v>
      </c>
      <c r="AM294" s="105">
        <f t="shared" si="347"/>
        <v>0</v>
      </c>
      <c r="AN294" s="105">
        <f t="shared" si="347"/>
        <v>32337772.780000001</v>
      </c>
      <c r="AO294" s="105">
        <f t="shared" si="347"/>
        <v>0</v>
      </c>
      <c r="AP294" s="105">
        <f t="shared" si="347"/>
        <v>32337772.780000001</v>
      </c>
      <c r="AQ294" s="105">
        <f>+AA294-AM294</f>
        <v>0</v>
      </c>
      <c r="AR294" s="105">
        <f>+AB294-AN294</f>
        <v>191346227.22</v>
      </c>
      <c r="AS294" s="105">
        <f>+AC294-AO294</f>
        <v>46176000</v>
      </c>
      <c r="AT294" s="105">
        <f>SUM(AQ294:AS294)</f>
        <v>237522227.22</v>
      </c>
      <c r="AU294" s="1328" t="str">
        <f t="shared" si="342"/>
        <v xml:space="preserve"> </v>
      </c>
      <c r="AV294" s="1328">
        <f t="shared" si="342"/>
        <v>0.144569002610826</v>
      </c>
      <c r="AW294" s="1328">
        <f t="shared" si="342"/>
        <v>0</v>
      </c>
      <c r="AX294" s="1328">
        <f t="shared" si="342"/>
        <v>0.11983166375157489</v>
      </c>
    </row>
    <row r="295" spans="2:74" s="111" customFormat="1" hidden="1">
      <c r="O295" s="111">
        <f>+O294-'CY (ALL FUNDS)'!F1710</f>
        <v>0</v>
      </c>
      <c r="P295" s="111">
        <f>+P294-'CY (ALL FUNDS)'!G1710</f>
        <v>0</v>
      </c>
      <c r="Q295" s="111">
        <f>+Q294-'CY (ALL FUNDS)'!H1710</f>
        <v>0</v>
      </c>
      <c r="R295" s="105">
        <f t="shared" si="339"/>
        <v>0</v>
      </c>
      <c r="AA295" s="111">
        <f>+AA294-'CY (ALL FUNDS)'!F1710</f>
        <v>0</v>
      </c>
      <c r="AB295" s="111">
        <f>+AB294-'CY (ALL FUNDS)'!G1710</f>
        <v>0</v>
      </c>
      <c r="AC295" s="111">
        <f>+AC294-'CY (ALL FUNDS)'!H1710</f>
        <v>0</v>
      </c>
      <c r="AD295" s="111">
        <f>+AD294-'CY (ALL FUNDS)'!I1710</f>
        <v>0</v>
      </c>
      <c r="AE295" s="111">
        <f>+AE294-'CY (ALL FUNDS)'!J1710</f>
        <v>0</v>
      </c>
      <c r="AF295" s="111">
        <f>+AF294-'CY (ALL FUNDS)'!K1710</f>
        <v>0</v>
      </c>
      <c r="AG295" s="111">
        <f>+AG294-'CY (ALL FUNDS)'!L1710</f>
        <v>0</v>
      </c>
      <c r="AH295" s="111">
        <f>+AH294-'CY (ALL FUNDS)'!M1710</f>
        <v>0</v>
      </c>
      <c r="AM295" s="111">
        <f>+AM294-'CY (ALL FUNDS)'!J1710</f>
        <v>0</v>
      </c>
      <c r="AN295" s="111">
        <f>+AN294-'CY (ALL FUNDS)'!K1710</f>
        <v>0</v>
      </c>
      <c r="AO295" s="111">
        <f>+AO294-'CY (ALL FUNDS)'!L1710</f>
        <v>0</v>
      </c>
      <c r="AP295" s="111">
        <f>+AP294-'CY (ALL FUNDS)'!M1710</f>
        <v>0</v>
      </c>
      <c r="AQ295" s="111">
        <f>+AQ294-'CY (ALL FUNDS)'!N1710</f>
        <v>0</v>
      </c>
      <c r="AR295" s="111">
        <f>+AR294-'CY (ALL FUNDS)'!O1710</f>
        <v>0</v>
      </c>
      <c r="AS295" s="111">
        <f>+AS294-'CY (ALL FUNDS)'!P1710</f>
        <v>0</v>
      </c>
      <c r="AT295" s="111">
        <f>+AT294-'CY (ALL FUNDS)'!Q1710</f>
        <v>0</v>
      </c>
      <c r="AU295" s="1328" t="str">
        <f t="shared" si="342"/>
        <v xml:space="preserve"> </v>
      </c>
      <c r="AV295" s="1328" t="str">
        <f t="shared" si="342"/>
        <v xml:space="preserve"> </v>
      </c>
      <c r="AW295" s="1328" t="str">
        <f t="shared" si="342"/>
        <v xml:space="preserve"> </v>
      </c>
      <c r="AX295" s="1328" t="str">
        <f t="shared" si="342"/>
        <v xml:space="preserve"> </v>
      </c>
      <c r="BC295" s="133"/>
      <c r="BP295" s="143"/>
    </row>
    <row r="296" spans="2:74" hidden="1"/>
    <row r="297" spans="2:74" ht="16.5" hidden="1" customHeight="1"/>
    <row r="298" spans="2:74" s="227" customFormat="1" hidden="1">
      <c r="B298" s="223" t="s">
        <v>714</v>
      </c>
      <c r="C298" s="224">
        <f>+C13+C32+C40+C41+C43+SUM(C46:C66)+SUM(C82:C94)+C263+C256</f>
        <v>532206000</v>
      </c>
      <c r="D298" s="224">
        <f t="shared" ref="D298:AO298" si="348">+D13+D32+D40+D41+D43+SUM(D46:D66)+SUM(D82:D94)+D263+D256</f>
        <v>12052645000</v>
      </c>
      <c r="E298" s="224">
        <f t="shared" si="348"/>
        <v>11064068000</v>
      </c>
      <c r="F298" s="224">
        <f t="shared" si="348"/>
        <v>23648919000</v>
      </c>
      <c r="G298" s="224">
        <f t="shared" si="348"/>
        <v>7085371</v>
      </c>
      <c r="H298" s="224">
        <f t="shared" si="348"/>
        <v>-7085371</v>
      </c>
      <c r="I298" s="224">
        <f t="shared" si="348"/>
        <v>0</v>
      </c>
      <c r="J298" s="224">
        <f t="shared" si="348"/>
        <v>0</v>
      </c>
      <c r="K298" s="224">
        <f t="shared" si="348"/>
        <v>539291371</v>
      </c>
      <c r="L298" s="224">
        <f t="shared" si="348"/>
        <v>12045559629</v>
      </c>
      <c r="M298" s="224">
        <f t="shared" si="348"/>
        <v>11064068000</v>
      </c>
      <c r="N298" s="224">
        <f t="shared" si="348"/>
        <v>23648919000</v>
      </c>
      <c r="O298" s="224">
        <f t="shared" si="348"/>
        <v>539291371</v>
      </c>
      <c r="P298" s="224">
        <f t="shared" si="348"/>
        <v>12045559629</v>
      </c>
      <c r="Q298" s="224">
        <f t="shared" si="348"/>
        <v>11064068000</v>
      </c>
      <c r="R298" s="224">
        <f t="shared" si="348"/>
        <v>23648919000</v>
      </c>
      <c r="S298" s="224">
        <f t="shared" si="348"/>
        <v>0</v>
      </c>
      <c r="T298" s="224">
        <f t="shared" si="348"/>
        <v>0</v>
      </c>
      <c r="U298" s="224">
        <f t="shared" si="348"/>
        <v>0</v>
      </c>
      <c r="V298" s="224">
        <f t="shared" si="348"/>
        <v>0</v>
      </c>
      <c r="W298" s="224">
        <f t="shared" si="348"/>
        <v>-827006</v>
      </c>
      <c r="X298" s="224">
        <f t="shared" si="348"/>
        <v>-3959941354.46</v>
      </c>
      <c r="Y298" s="224">
        <f t="shared" si="348"/>
        <v>-5745606586.1000004</v>
      </c>
      <c r="Z298" s="224">
        <f t="shared" si="348"/>
        <v>-9706374946.5599995</v>
      </c>
      <c r="AA298" s="224">
        <f t="shared" si="348"/>
        <v>538464365</v>
      </c>
      <c r="AB298" s="224">
        <f t="shared" si="348"/>
        <v>8085618274.54</v>
      </c>
      <c r="AC298" s="224">
        <f t="shared" si="348"/>
        <v>5318461413.8999996</v>
      </c>
      <c r="AD298" s="224">
        <f t="shared" si="348"/>
        <v>13942544053.440001</v>
      </c>
      <c r="AE298" s="224">
        <f t="shared" si="348"/>
        <v>444139018.09000009</v>
      </c>
      <c r="AF298" s="224">
        <f t="shared" si="348"/>
        <v>5637183248.0100002</v>
      </c>
      <c r="AG298" s="224">
        <f t="shared" si="348"/>
        <v>1210608291.3899992</v>
      </c>
      <c r="AH298" s="224">
        <f t="shared" si="348"/>
        <v>7291930557.4899998</v>
      </c>
      <c r="AI298" s="224">
        <f t="shared" si="348"/>
        <v>0</v>
      </c>
      <c r="AJ298" s="224">
        <f t="shared" si="348"/>
        <v>0</v>
      </c>
      <c r="AK298" s="224">
        <f t="shared" si="348"/>
        <v>0</v>
      </c>
      <c r="AL298" s="224">
        <f t="shared" si="348"/>
        <v>0</v>
      </c>
      <c r="AM298" s="224">
        <f t="shared" si="348"/>
        <v>444139018.09000009</v>
      </c>
      <c r="AN298" s="224">
        <f t="shared" si="348"/>
        <v>5637183248.0100002</v>
      </c>
      <c r="AO298" s="224">
        <f t="shared" si="348"/>
        <v>1210608291.3899992</v>
      </c>
      <c r="AP298" s="224">
        <f>SUM(AM298:AO298)</f>
        <v>7291930557.4899998</v>
      </c>
      <c r="AQ298" s="224">
        <f>+AA298-AM298</f>
        <v>94325346.909999907</v>
      </c>
      <c r="AR298" s="224">
        <f>+AB298-AN298</f>
        <v>2448435026.5299997</v>
      </c>
      <c r="AS298" s="224">
        <f>+AC298-AO298</f>
        <v>4107853122.5100002</v>
      </c>
      <c r="AT298" s="224">
        <f>+AD298-AP298</f>
        <v>6650613495.9500008</v>
      </c>
      <c r="AU298" s="225">
        <f>IF(AA298=0," ",AM298/AA298)</f>
        <v>0.82482527528075156</v>
      </c>
      <c r="AV298" s="225">
        <f>IF(AB298=0," ",AN298/AB298)</f>
        <v>0.69718641872574749</v>
      </c>
      <c r="AW298" s="225">
        <f>IF(AC298=0," ",AO298/AC298)</f>
        <v>0.22762378010791404</v>
      </c>
      <c r="AX298" s="225">
        <f>IF(AD298=0," ",AP298/AD298)</f>
        <v>0.52299856679964263</v>
      </c>
      <c r="AY298" s="224"/>
      <c r="AZ298" s="224"/>
      <c r="BA298" s="224"/>
      <c r="BB298" s="224"/>
      <c r="BC298" s="226"/>
      <c r="BP298" s="1187"/>
      <c r="BT298" s="141"/>
      <c r="BU298" s="141"/>
      <c r="BV298" s="141"/>
    </row>
    <row r="299" spans="2:74" hidden="1"/>
    <row r="300" spans="2:74" hidden="1">
      <c r="C300" s="105">
        <f t="shared" ref="C300:AT300" si="349">+C298-C292-C294</f>
        <v>0</v>
      </c>
      <c r="D300" s="105">
        <f t="shared" si="349"/>
        <v>0</v>
      </c>
      <c r="E300" s="105">
        <f t="shared" si="349"/>
        <v>0</v>
      </c>
      <c r="F300" s="105">
        <f t="shared" si="349"/>
        <v>0</v>
      </c>
      <c r="G300" s="105">
        <f t="shared" si="349"/>
        <v>0</v>
      </c>
      <c r="H300" s="105">
        <f t="shared" si="349"/>
        <v>0</v>
      </c>
      <c r="I300" s="105">
        <f t="shared" si="349"/>
        <v>0</v>
      </c>
      <c r="J300" s="105">
        <f t="shared" si="349"/>
        <v>0</v>
      </c>
      <c r="K300" s="105">
        <f t="shared" si="349"/>
        <v>0</v>
      </c>
      <c r="L300" s="105">
        <f t="shared" si="349"/>
        <v>0</v>
      </c>
      <c r="M300" s="105">
        <f t="shared" si="349"/>
        <v>0</v>
      </c>
      <c r="N300" s="105">
        <f t="shared" si="349"/>
        <v>0</v>
      </c>
      <c r="O300" s="105">
        <f t="shared" si="349"/>
        <v>0</v>
      </c>
      <c r="P300" s="105">
        <f t="shared" si="349"/>
        <v>0</v>
      </c>
      <c r="Q300" s="105">
        <f t="shared" si="349"/>
        <v>0</v>
      </c>
      <c r="R300" s="105">
        <f t="shared" si="349"/>
        <v>0</v>
      </c>
      <c r="S300" s="105">
        <f t="shared" si="349"/>
        <v>0</v>
      </c>
      <c r="T300" s="105">
        <f t="shared" si="349"/>
        <v>0</v>
      </c>
      <c r="U300" s="105">
        <f t="shared" si="349"/>
        <v>0</v>
      </c>
      <c r="V300" s="105">
        <f t="shared" si="349"/>
        <v>0</v>
      </c>
      <c r="W300" s="105">
        <f t="shared" si="349"/>
        <v>0</v>
      </c>
      <c r="X300" s="105">
        <f t="shared" si="349"/>
        <v>0</v>
      </c>
      <c r="Y300" s="105">
        <f t="shared" si="349"/>
        <v>0</v>
      </c>
      <c r="Z300" s="105">
        <f t="shared" si="349"/>
        <v>1.9073486328125E-6</v>
      </c>
      <c r="AA300" s="105">
        <f t="shared" si="349"/>
        <v>0</v>
      </c>
      <c r="AB300" s="105">
        <f t="shared" si="349"/>
        <v>-9.5367431640625E-7</v>
      </c>
      <c r="AC300" s="105">
        <f t="shared" si="349"/>
        <v>0</v>
      </c>
      <c r="AD300" s="105">
        <f t="shared" si="349"/>
        <v>1.9073486328125E-6</v>
      </c>
      <c r="AE300" s="105">
        <f t="shared" si="349"/>
        <v>-2.384185791015625E-7</v>
      </c>
      <c r="AF300" s="105">
        <f t="shared" si="349"/>
        <v>6.8545341491699219E-7</v>
      </c>
      <c r="AG300" s="105">
        <f t="shared" si="349"/>
        <v>0</v>
      </c>
      <c r="AH300" s="105">
        <f t="shared" si="349"/>
        <v>6.8545341491699219E-7</v>
      </c>
      <c r="AI300" s="105">
        <f t="shared" si="349"/>
        <v>0</v>
      </c>
      <c r="AJ300" s="105">
        <f t="shared" si="349"/>
        <v>-8.0093741416931152E-8</v>
      </c>
      <c r="AK300" s="105">
        <f t="shared" si="349"/>
        <v>1.4156103134155273E-7</v>
      </c>
      <c r="AL300" s="105">
        <f t="shared" si="349"/>
        <v>6.1467289924621582E-8</v>
      </c>
      <c r="AM300" s="105">
        <f t="shared" si="349"/>
        <v>-2.384185791015625E-7</v>
      </c>
      <c r="AN300" s="105">
        <f t="shared" si="349"/>
        <v>-2.6822090148925781E-7</v>
      </c>
      <c r="AO300" s="105">
        <f t="shared" si="349"/>
        <v>2.384185791015625E-7</v>
      </c>
      <c r="AP300" s="105">
        <f t="shared" si="349"/>
        <v>2.5928020477294922E-6</v>
      </c>
      <c r="AQ300" s="105">
        <f t="shared" si="349"/>
        <v>2.384185791015625E-7</v>
      </c>
      <c r="AR300" s="105">
        <f t="shared" si="349"/>
        <v>-6.8545341491699219E-7</v>
      </c>
      <c r="AS300" s="105">
        <f t="shared" si="349"/>
        <v>-4.76837158203125E-7</v>
      </c>
      <c r="AT300" s="105">
        <f t="shared" si="349"/>
        <v>-6.8545341491699219E-7</v>
      </c>
      <c r="AU300" s="138" t="s">
        <v>429</v>
      </c>
    </row>
    <row r="301" spans="2:74" hidden="1"/>
    <row r="302" spans="2:74" hidden="1"/>
    <row r="303" spans="2:74" hidden="1"/>
    <row r="304" spans="2:74" hidden="1"/>
  </sheetData>
  <autoFilter ref="B6:BM267">
    <filterColumn colId="5"/>
    <filterColumn colId="6"/>
    <filterColumn colId="7"/>
    <filterColumn colId="8"/>
    <filterColumn colId="9"/>
    <filterColumn colId="10"/>
    <filterColumn colId="11"/>
    <filterColumn colId="12"/>
    <filterColumn colId="17"/>
    <filterColumn colId="18"/>
    <filterColumn colId="19"/>
    <filterColumn colId="20"/>
  </autoFilter>
  <mergeCells count="15">
    <mergeCell ref="BC5:BC7"/>
    <mergeCell ref="B5:B6"/>
    <mergeCell ref="AY5:BB5"/>
    <mergeCell ref="AA5:AD5"/>
    <mergeCell ref="AI5:AL5"/>
    <mergeCell ref="AM5:AP5"/>
    <mergeCell ref="W5:Z5"/>
    <mergeCell ref="AE5:AH5"/>
    <mergeCell ref="AQ5:AT5"/>
    <mergeCell ref="O5:R5"/>
    <mergeCell ref="AU5:AX5"/>
    <mergeCell ref="C5:F5"/>
    <mergeCell ref="G5:J5"/>
    <mergeCell ref="K5:N5"/>
    <mergeCell ref="S5:V5"/>
  </mergeCells>
  <pageMargins left="1.2" right="0.2" top="0.2" bottom="0.36" header="0.21" footer="0.17"/>
  <pageSetup paperSize="5" scale="65" fitToHeight="15" orientation="landscape" horizontalDpi="300" verticalDpi="300" r:id="rId1"/>
  <headerFooter>
    <oddFooter>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3">
    <tabColor theme="6" tint="0.39997558519241921"/>
  </sheetPr>
  <dimension ref="A1:BR351"/>
  <sheetViews>
    <sheetView workbookViewId="0">
      <pane xSplit="2" ySplit="7" topLeftCell="C262" activePane="bottomRight" state="frozen"/>
      <selection pane="topRight" activeCell="B1" sqref="B1"/>
      <selection pane="bottomLeft" activeCell="A8" sqref="A8"/>
      <selection pane="bottomRight" activeCell="D283" sqref="D283"/>
    </sheetView>
  </sheetViews>
  <sheetFormatPr defaultRowHeight="12"/>
  <cols>
    <col min="1" max="1" width="0" style="105" hidden="1" customWidth="1"/>
    <col min="2" max="2" width="36.140625" style="122" customWidth="1"/>
    <col min="3" max="3" width="14.85546875" style="105" bestFit="1" customWidth="1"/>
    <col min="4" max="4" width="16.5703125" style="105" customWidth="1"/>
    <col min="5" max="5" width="17.42578125" style="105" customWidth="1"/>
    <col min="6" max="6" width="16" style="105" bestFit="1" customWidth="1"/>
    <col min="7" max="7" width="4.7109375" style="105" hidden="1" customWidth="1"/>
    <col min="8" max="8" width="14.5703125" style="105" hidden="1" customWidth="1"/>
    <col min="9" max="10" width="15.140625" style="105" hidden="1" customWidth="1"/>
    <col min="11" max="11" width="4.7109375" style="105" hidden="1" customWidth="1"/>
    <col min="12" max="13" width="12.85546875" style="105" hidden="1" customWidth="1"/>
    <col min="14" max="14" width="14.28515625" style="105" hidden="1" customWidth="1"/>
    <col min="15" max="15" width="4.7109375" style="105" bestFit="1" customWidth="1"/>
    <col min="16" max="16" width="14.5703125" style="105" bestFit="1" customWidth="1"/>
    <col min="17" max="18" width="16.42578125" style="105" customWidth="1"/>
    <col min="19" max="19" width="14" style="105" customWidth="1"/>
    <col min="20" max="21" width="16.42578125" style="105" customWidth="1"/>
    <col min="22" max="22" width="16.85546875" style="105" customWidth="1"/>
    <col min="23" max="23" width="17.7109375" style="105" hidden="1" customWidth="1"/>
    <col min="24" max="24" width="17.5703125" style="105" hidden="1" customWidth="1"/>
    <col min="25" max="25" width="15.7109375" style="105" hidden="1" customWidth="1"/>
    <col min="26" max="26" width="16.42578125" style="105" hidden="1" customWidth="1"/>
    <col min="27" max="29" width="18" style="105" hidden="1" customWidth="1"/>
    <col min="30" max="30" width="16.42578125" style="105" hidden="1" customWidth="1"/>
    <col min="31" max="31" width="16.85546875" style="105" bestFit="1" customWidth="1"/>
    <col min="32" max="32" width="15.140625" style="105" customWidth="1"/>
    <col min="33" max="33" width="17.28515625" style="105" customWidth="1"/>
    <col min="34" max="34" width="16.42578125" style="105" customWidth="1"/>
    <col min="35" max="35" width="10.140625" style="105" customWidth="1"/>
    <col min="36" max="36" width="15.85546875" style="105" customWidth="1"/>
    <col min="37" max="37" width="16.85546875" style="105" customWidth="1"/>
    <col min="38" max="38" width="15.85546875" style="105" customWidth="1"/>
    <col min="39" max="39" width="7" style="152" bestFit="1" customWidth="1"/>
    <col min="40" max="40" width="13.28515625" style="152" customWidth="1"/>
    <col min="41" max="41" width="10.7109375" style="152" customWidth="1"/>
    <col min="42" max="42" width="11.28515625" style="152" customWidth="1"/>
    <col min="43" max="43" width="13.5703125" style="124" hidden="1" customWidth="1"/>
    <col min="44" max="44" width="0" style="149" hidden="1" customWidth="1"/>
    <col min="45" max="45" width="0" style="147" hidden="1" customWidth="1"/>
    <col min="46" max="46" width="14.28515625" style="147" hidden="1" customWidth="1"/>
    <col min="47" max="47" width="21.85546875" style="111" hidden="1" customWidth="1"/>
    <col min="48" max="48" width="0" style="95" hidden="1" customWidth="1"/>
    <col min="49" max="49" width="14.85546875" style="105" hidden="1" customWidth="1"/>
    <col min="50" max="50" width="0" style="95" hidden="1" customWidth="1"/>
    <col min="51" max="51" width="0" style="156" hidden="1" customWidth="1"/>
    <col min="52" max="52" width="12.85546875" style="156" hidden="1" customWidth="1"/>
    <col min="53" max="53" width="14.85546875" style="95" hidden="1" customWidth="1"/>
    <col min="54" max="58" width="0" style="95" hidden="1" customWidth="1"/>
    <col min="59" max="59" width="9.140625" style="105"/>
    <col min="60" max="60" width="12.85546875" style="105" bestFit="1" customWidth="1"/>
    <col min="61" max="62" width="9.140625" style="105" customWidth="1"/>
    <col min="63" max="64" width="9.140625" style="105" hidden="1" customWidth="1"/>
    <col min="65" max="65" width="13.5703125" style="105" hidden="1" customWidth="1"/>
    <col min="66" max="66" width="14.5703125" style="105" hidden="1" customWidth="1"/>
    <col min="67" max="68" width="9.140625" style="105" hidden="1" customWidth="1"/>
    <col min="69" max="70" width="15" style="105" hidden="1" customWidth="1"/>
    <col min="71" max="72" width="9.140625" style="105" customWidth="1"/>
    <col min="73" max="16384" width="9.140625" style="105"/>
  </cols>
  <sheetData>
    <row r="1" spans="1:70" s="189" customFormat="1" ht="12.75">
      <c r="B1" s="197" t="s">
        <v>48</v>
      </c>
      <c r="AM1" s="190"/>
      <c r="AN1" s="190"/>
      <c r="AO1" s="190"/>
      <c r="AP1" s="190"/>
      <c r="AQ1" s="191"/>
      <c r="AR1" s="192"/>
      <c r="AS1" s="193"/>
      <c r="AT1" s="193"/>
      <c r="AU1" s="194"/>
      <c r="AV1" s="195"/>
      <c r="AX1" s="195"/>
      <c r="AY1" s="196"/>
      <c r="AZ1" s="196"/>
      <c r="BA1" s="195"/>
      <c r="BB1" s="195"/>
      <c r="BC1" s="195"/>
      <c r="BD1" s="195"/>
      <c r="BE1" s="195"/>
      <c r="BF1" s="195"/>
    </row>
    <row r="2" spans="1:70" s="189" customFormat="1" ht="12.75">
      <c r="B2" s="197" t="s">
        <v>756</v>
      </c>
      <c r="AM2" s="190"/>
      <c r="AN2" s="190"/>
      <c r="AO2" s="190"/>
      <c r="AP2" s="190"/>
      <c r="AQ2" s="191"/>
      <c r="AR2" s="192"/>
      <c r="AS2" s="193"/>
      <c r="AT2" s="193"/>
      <c r="AU2" s="194"/>
      <c r="AV2" s="195"/>
      <c r="AX2" s="195"/>
      <c r="AY2" s="196"/>
      <c r="AZ2" s="196"/>
      <c r="BA2" s="195"/>
      <c r="BB2" s="195"/>
      <c r="BC2" s="195"/>
      <c r="BD2" s="195"/>
      <c r="BE2" s="195"/>
      <c r="BF2" s="195"/>
    </row>
    <row r="3" spans="1:70" s="189" customFormat="1" ht="12.75">
      <c r="B3" s="15" t="s">
        <v>1117</v>
      </c>
      <c r="AM3" s="190"/>
      <c r="AN3" s="190"/>
      <c r="AO3" s="190"/>
      <c r="AP3" s="190"/>
      <c r="AQ3" s="191"/>
      <c r="AR3" s="192"/>
      <c r="AS3" s="193"/>
      <c r="AT3" s="193"/>
      <c r="AU3" s="194"/>
      <c r="AV3" s="195"/>
      <c r="AX3" s="195"/>
      <c r="AY3" s="196"/>
      <c r="AZ3" s="196"/>
      <c r="BA3" s="195"/>
      <c r="BB3" s="195"/>
      <c r="BC3" s="195"/>
      <c r="BD3" s="195"/>
      <c r="BE3" s="195"/>
      <c r="BF3" s="195"/>
    </row>
    <row r="4" spans="1:70" s="189" customFormat="1" ht="12.75">
      <c r="B4" s="197"/>
      <c r="AM4" s="190"/>
      <c r="AN4" s="190"/>
      <c r="AO4" s="190"/>
      <c r="AP4" s="190"/>
      <c r="AQ4" s="191"/>
      <c r="AR4" s="192"/>
      <c r="AS4" s="193"/>
      <c r="AT4" s="193"/>
      <c r="AU4" s="194"/>
      <c r="AV4" s="195"/>
      <c r="AX4" s="195"/>
      <c r="AY4" s="196"/>
      <c r="AZ4" s="196"/>
      <c r="BA4" s="195"/>
      <c r="BB4" s="195"/>
      <c r="BC4" s="195"/>
      <c r="BD4" s="195"/>
      <c r="BE4" s="195"/>
      <c r="BF4" s="195"/>
    </row>
    <row r="5" spans="1:70" s="202" customFormat="1" ht="12" customHeight="1">
      <c r="B5" s="1526" t="s">
        <v>0</v>
      </c>
      <c r="C5" s="1529" t="s">
        <v>49</v>
      </c>
      <c r="D5" s="1530"/>
      <c r="E5" s="1530"/>
      <c r="F5" s="1531"/>
      <c r="G5" s="1529" t="s">
        <v>693</v>
      </c>
      <c r="H5" s="1530"/>
      <c r="I5" s="1530"/>
      <c r="J5" s="1531"/>
      <c r="K5" s="1529" t="s">
        <v>694</v>
      </c>
      <c r="L5" s="1530"/>
      <c r="M5" s="1530"/>
      <c r="N5" s="1531"/>
      <c r="O5" s="1529" t="s">
        <v>695</v>
      </c>
      <c r="P5" s="1530"/>
      <c r="Q5" s="1530"/>
      <c r="R5" s="1531"/>
      <c r="S5" s="1529" t="s">
        <v>53</v>
      </c>
      <c r="T5" s="1530"/>
      <c r="U5" s="1530"/>
      <c r="V5" s="1531"/>
      <c r="W5" s="1529" t="s">
        <v>63</v>
      </c>
      <c r="X5" s="1530"/>
      <c r="Y5" s="1530"/>
      <c r="Z5" s="1531"/>
      <c r="AA5" s="1529" t="s">
        <v>54</v>
      </c>
      <c r="AB5" s="1530"/>
      <c r="AC5" s="1530"/>
      <c r="AD5" s="1531"/>
      <c r="AE5" s="1529" t="s">
        <v>67</v>
      </c>
      <c r="AF5" s="1530"/>
      <c r="AG5" s="1530"/>
      <c r="AH5" s="1531"/>
      <c r="AI5" s="1529" t="s">
        <v>66</v>
      </c>
      <c r="AJ5" s="1530"/>
      <c r="AK5" s="1530"/>
      <c r="AL5" s="1531"/>
      <c r="AM5" s="1532" t="s">
        <v>65</v>
      </c>
      <c r="AN5" s="1533"/>
      <c r="AO5" s="1533"/>
      <c r="AP5" s="1534"/>
      <c r="AQ5" s="1523" t="s">
        <v>95</v>
      </c>
      <c r="AR5" s="198"/>
      <c r="AS5" s="199"/>
      <c r="AT5" s="199"/>
      <c r="AU5" s="200"/>
      <c r="AV5" s="201"/>
      <c r="AX5" s="201"/>
      <c r="AY5" s="203"/>
      <c r="AZ5" s="203"/>
      <c r="BA5" s="201"/>
      <c r="BB5" s="201"/>
      <c r="BC5" s="201"/>
      <c r="BD5" s="201"/>
      <c r="BE5" s="201"/>
      <c r="BF5" s="201"/>
    </row>
    <row r="6" spans="1:70" s="208" customFormat="1" ht="12.75">
      <c r="B6" s="1527"/>
      <c r="C6" s="1193" t="s">
        <v>1</v>
      </c>
      <c r="D6" s="1193" t="s">
        <v>2</v>
      </c>
      <c r="E6" s="1193" t="s">
        <v>3</v>
      </c>
      <c r="F6" s="1193" t="s">
        <v>4</v>
      </c>
      <c r="G6" s="1193" t="s">
        <v>1</v>
      </c>
      <c r="H6" s="1193" t="s">
        <v>2</v>
      </c>
      <c r="I6" s="1193" t="s">
        <v>3</v>
      </c>
      <c r="J6" s="1193" t="s">
        <v>4</v>
      </c>
      <c r="K6" s="1193" t="s">
        <v>1</v>
      </c>
      <c r="L6" s="1193" t="s">
        <v>2</v>
      </c>
      <c r="M6" s="1193" t="s">
        <v>3</v>
      </c>
      <c r="N6" s="1193" t="s">
        <v>4</v>
      </c>
      <c r="O6" s="1193" t="s">
        <v>1</v>
      </c>
      <c r="P6" s="1193" t="s">
        <v>2</v>
      </c>
      <c r="Q6" s="1193" t="s">
        <v>3</v>
      </c>
      <c r="R6" s="1193" t="s">
        <v>4</v>
      </c>
      <c r="S6" s="1193" t="s">
        <v>1</v>
      </c>
      <c r="T6" s="1193" t="s">
        <v>2</v>
      </c>
      <c r="U6" s="1193" t="s">
        <v>3</v>
      </c>
      <c r="V6" s="1193" t="s">
        <v>4</v>
      </c>
      <c r="W6" s="1193" t="s">
        <v>1</v>
      </c>
      <c r="X6" s="1193" t="s">
        <v>2</v>
      </c>
      <c r="Y6" s="1193" t="s">
        <v>3</v>
      </c>
      <c r="Z6" s="1193" t="s">
        <v>4</v>
      </c>
      <c r="AA6" s="1193" t="s">
        <v>1</v>
      </c>
      <c r="AB6" s="1193" t="s">
        <v>2</v>
      </c>
      <c r="AC6" s="1193" t="s">
        <v>3</v>
      </c>
      <c r="AD6" s="1193" t="s">
        <v>4</v>
      </c>
      <c r="AE6" s="1193" t="s">
        <v>1</v>
      </c>
      <c r="AF6" s="1193" t="s">
        <v>2</v>
      </c>
      <c r="AG6" s="1193" t="s">
        <v>3</v>
      </c>
      <c r="AH6" s="1193" t="s">
        <v>4</v>
      </c>
      <c r="AI6" s="1193" t="s">
        <v>1</v>
      </c>
      <c r="AJ6" s="1193" t="s">
        <v>2</v>
      </c>
      <c r="AK6" s="1193" t="s">
        <v>3</v>
      </c>
      <c r="AL6" s="1193" t="s">
        <v>4</v>
      </c>
      <c r="AM6" s="1194" t="s">
        <v>1</v>
      </c>
      <c r="AN6" s="1194" t="s">
        <v>2</v>
      </c>
      <c r="AO6" s="1194" t="s">
        <v>3</v>
      </c>
      <c r="AP6" s="1194" t="s">
        <v>4</v>
      </c>
      <c r="AQ6" s="1524"/>
      <c r="AR6" s="204"/>
      <c r="AS6" s="205"/>
      <c r="AT6" s="205"/>
      <c r="AU6" s="206"/>
      <c r="AV6" s="207"/>
      <c r="AX6" s="207"/>
      <c r="AY6" s="209"/>
      <c r="AZ6" s="209"/>
      <c r="BA6" s="207"/>
      <c r="BB6" s="207"/>
      <c r="BC6" s="207"/>
      <c r="BD6" s="207"/>
      <c r="BE6" s="207"/>
      <c r="BF6" s="207"/>
      <c r="BL6" s="1185"/>
      <c r="BM6" s="106" t="s">
        <v>1101</v>
      </c>
      <c r="BN6" s="106"/>
      <c r="BO6" s="106"/>
      <c r="BP6" s="141"/>
      <c r="BQ6" s="141" t="s">
        <v>1101</v>
      </c>
      <c r="BR6" s="141"/>
    </row>
    <row r="7" spans="1:70" s="208" customFormat="1" ht="26.25" thickBot="1">
      <c r="B7" s="1528"/>
      <c r="C7" s="1195"/>
      <c r="D7" s="1195"/>
      <c r="E7" s="1195"/>
      <c r="F7" s="1195"/>
      <c r="G7" s="1195"/>
      <c r="H7" s="1195"/>
      <c r="I7" s="1195"/>
      <c r="J7" s="1195"/>
      <c r="K7" s="1195"/>
      <c r="L7" s="1195"/>
      <c r="M7" s="1195"/>
      <c r="N7" s="1195"/>
      <c r="O7" s="1195"/>
      <c r="P7" s="1195"/>
      <c r="Q7" s="1195"/>
      <c r="R7" s="1195"/>
      <c r="S7" s="1195"/>
      <c r="T7" s="1195"/>
      <c r="U7" s="1195"/>
      <c r="V7" s="1195"/>
      <c r="W7" s="1195"/>
      <c r="X7" s="1195"/>
      <c r="Y7" s="1195"/>
      <c r="Z7" s="1195"/>
      <c r="AA7" s="1195"/>
      <c r="AB7" s="1195"/>
      <c r="AC7" s="1195"/>
      <c r="AD7" s="1195"/>
      <c r="AE7" s="1195"/>
      <c r="AF7" s="1195"/>
      <c r="AG7" s="1195"/>
      <c r="AH7" s="1195"/>
      <c r="AI7" s="1195"/>
      <c r="AJ7" s="1195"/>
      <c r="AK7" s="1195"/>
      <c r="AL7" s="1195"/>
      <c r="AM7" s="1196"/>
      <c r="AN7" s="1196"/>
      <c r="AO7" s="1196"/>
      <c r="AP7" s="1196"/>
      <c r="AQ7" s="1525"/>
      <c r="AR7" s="204"/>
      <c r="AS7" s="205"/>
      <c r="AT7" s="205" t="s">
        <v>692</v>
      </c>
      <c r="AU7" s="206" t="s">
        <v>691</v>
      </c>
      <c r="AV7" s="207"/>
      <c r="AX7" s="207"/>
      <c r="AY7" s="210" t="s">
        <v>2</v>
      </c>
      <c r="AZ7" s="210" t="s">
        <v>698</v>
      </c>
      <c r="BA7" s="207"/>
      <c r="BB7" s="207"/>
      <c r="BC7" s="207"/>
      <c r="BD7" s="207"/>
      <c r="BE7" s="207"/>
      <c r="BF7" s="207"/>
      <c r="BL7" s="1185" t="s">
        <v>1102</v>
      </c>
      <c r="BM7" s="106" t="s">
        <v>1103</v>
      </c>
      <c r="BN7" s="106" t="s">
        <v>1104</v>
      </c>
      <c r="BO7" s="106"/>
      <c r="BP7" s="141" t="s">
        <v>1102</v>
      </c>
      <c r="BQ7" s="141" t="s">
        <v>1103</v>
      </c>
      <c r="BR7" s="141" t="s">
        <v>1104</v>
      </c>
    </row>
    <row r="8" spans="1:70" s="189" customFormat="1" ht="12.75">
      <c r="B8" s="1197"/>
      <c r="C8" s="1198"/>
      <c r="D8" s="1198"/>
      <c r="E8" s="1198"/>
      <c r="F8" s="1198"/>
      <c r="G8" s="1198"/>
      <c r="H8" s="1198"/>
      <c r="I8" s="1198"/>
      <c r="J8" s="1198"/>
      <c r="K8" s="1198"/>
      <c r="L8" s="1198"/>
      <c r="M8" s="1198"/>
      <c r="N8" s="1198"/>
      <c r="O8" s="1198"/>
      <c r="P8" s="1198"/>
      <c r="Q8" s="1198"/>
      <c r="R8" s="1198"/>
      <c r="S8" s="1198"/>
      <c r="T8" s="1198"/>
      <c r="U8" s="1198"/>
      <c r="V8" s="1198"/>
      <c r="W8" s="1198"/>
      <c r="X8" s="1198"/>
      <c r="Y8" s="1198"/>
      <c r="Z8" s="1198"/>
      <c r="AA8" s="1198"/>
      <c r="AB8" s="1198"/>
      <c r="AC8" s="1198"/>
      <c r="AD8" s="1198"/>
      <c r="AE8" s="1198"/>
      <c r="AF8" s="1198"/>
      <c r="AG8" s="1198"/>
      <c r="AH8" s="1198"/>
      <c r="AI8" s="1198"/>
      <c r="AJ8" s="1198"/>
      <c r="AK8" s="1198"/>
      <c r="AL8" s="1198"/>
      <c r="AM8" s="1199"/>
      <c r="AN8" s="1199"/>
      <c r="AO8" s="1199"/>
      <c r="AP8" s="1199"/>
      <c r="AQ8" s="1200"/>
      <c r="AR8" s="211"/>
      <c r="AS8" s="193"/>
      <c r="AT8" s="193"/>
      <c r="AU8" s="194"/>
      <c r="AV8" s="195"/>
      <c r="AX8" s="195"/>
      <c r="AY8" s="196"/>
      <c r="AZ8" s="196"/>
      <c r="BA8" s="195"/>
      <c r="BB8" s="195"/>
      <c r="BC8" s="195"/>
      <c r="BD8" s="195"/>
      <c r="BE8" s="195"/>
      <c r="BF8" s="195"/>
    </row>
    <row r="9" spans="1:70" s="216" customFormat="1" ht="12.75">
      <c r="B9" s="212" t="s">
        <v>671</v>
      </c>
      <c r="C9" s="213"/>
      <c r="D9" s="213">
        <f>12062128.14-302480</f>
        <v>11759648.140000001</v>
      </c>
      <c r="E9" s="213">
        <f>581000+302480</f>
        <v>883480</v>
      </c>
      <c r="F9" s="213">
        <f>SUM(C9:E9)</f>
        <v>12643128.140000001</v>
      </c>
      <c r="G9" s="213"/>
      <c r="H9" s="213">
        <f>-'OSEC-CONAP'!H15</f>
        <v>-250000</v>
      </c>
      <c r="I9" s="213"/>
      <c r="J9" s="213">
        <f>SUM(G9:I9)</f>
        <v>-250000</v>
      </c>
      <c r="K9" s="213"/>
      <c r="L9" s="213"/>
      <c r="M9" s="213"/>
      <c r="N9" s="213">
        <f>SUM(K9:M9)</f>
        <v>0</v>
      </c>
      <c r="O9" s="213">
        <f t="shared" ref="O9:Q11" si="0">+G9+K9</f>
        <v>0</v>
      </c>
      <c r="P9" s="213">
        <f t="shared" si="0"/>
        <v>-250000</v>
      </c>
      <c r="Q9" s="213">
        <f t="shared" si="0"/>
        <v>0</v>
      </c>
      <c r="R9" s="213">
        <f>SUM(O9:Q9)</f>
        <v>-250000</v>
      </c>
      <c r="S9" s="213">
        <f>+O9+C9</f>
        <v>0</v>
      </c>
      <c r="T9" s="213">
        <f t="shared" ref="S9:U11" si="1">+P9+D9</f>
        <v>11509648.140000001</v>
      </c>
      <c r="U9" s="213">
        <f t="shared" si="1"/>
        <v>883480</v>
      </c>
      <c r="V9" s="213">
        <f>SUM(S9:U9)</f>
        <v>12393128.140000001</v>
      </c>
      <c r="W9" s="213">
        <f>+'OSEC-CONAP'!I14</f>
        <v>0</v>
      </c>
      <c r="X9" s="213">
        <f>+'OSEC-CONAP'!I15</f>
        <v>11509648.140000001</v>
      </c>
      <c r="Y9" s="213">
        <f>+'OSEC-CONAP'!I16</f>
        <v>737309</v>
      </c>
      <c r="Z9" s="213">
        <f>SUM(W9:Y9)</f>
        <v>12246957.140000001</v>
      </c>
      <c r="AA9" s="213"/>
      <c r="AB9" s="213"/>
      <c r="AC9" s="213"/>
      <c r="AD9" s="213">
        <f>SUM(AA9:AC9)</f>
        <v>0</v>
      </c>
      <c r="AE9" s="213">
        <f t="shared" ref="AE9:AG13" si="2">+AA9+W9</f>
        <v>0</v>
      </c>
      <c r="AF9" s="213">
        <f t="shared" si="2"/>
        <v>11509648.140000001</v>
      </c>
      <c r="AG9" s="213">
        <f t="shared" si="2"/>
        <v>737309</v>
      </c>
      <c r="AH9" s="213">
        <f>SUM(AE9:AG9)</f>
        <v>12246957.140000001</v>
      </c>
      <c r="AI9" s="213">
        <f t="shared" ref="AI9:AK11" si="3">+S9-AE9</f>
        <v>0</v>
      </c>
      <c r="AJ9" s="213">
        <f t="shared" si="3"/>
        <v>0</v>
      </c>
      <c r="AK9" s="213">
        <f t="shared" si="3"/>
        <v>146171</v>
      </c>
      <c r="AL9" s="213">
        <f>SUM(AI9:AK9)</f>
        <v>146171</v>
      </c>
      <c r="AM9" s="214" t="str">
        <f>IF(S9=0," ",AE9/S9)</f>
        <v xml:space="preserve"> </v>
      </c>
      <c r="AN9" s="214">
        <f>IF(T9=0," ",AF9/T9)</f>
        <v>1</v>
      </c>
      <c r="AO9" s="214">
        <f>IF(U9=0," ",AG9/U9)</f>
        <v>0.83455086702585235</v>
      </c>
      <c r="AP9" s="214">
        <f>IF(V9=0," ",AH9/V9)</f>
        <v>0.98820547981520346</v>
      </c>
      <c r="AQ9" s="1201" t="str">
        <f>IF(W9=0," ",AI9/W9)</f>
        <v xml:space="preserve"> </v>
      </c>
      <c r="AR9" s="215"/>
      <c r="AS9" s="215"/>
      <c r="AT9" s="215">
        <v>6802488.2599999905</v>
      </c>
      <c r="AU9" s="216">
        <f t="shared" ref="AU9:AU53" si="4">+F9-AT9</f>
        <v>5840639.8800000101</v>
      </c>
      <c r="AW9" s="216">
        <f>+AT9-AH9</f>
        <v>-5444468.8800000101</v>
      </c>
      <c r="BL9" s="216">
        <f>+'OSEC-CONAP'!D14</f>
        <v>0</v>
      </c>
      <c r="BM9" s="216">
        <f>+'OSEC-CONAP'!D15</f>
        <v>11759648.139999956</v>
      </c>
      <c r="BN9" s="216">
        <f>+'OSEC-CONAP'!D16</f>
        <v>883480</v>
      </c>
      <c r="BP9" s="216">
        <f>+C9-BL9</f>
        <v>0</v>
      </c>
      <c r="BQ9" s="216">
        <f t="shared" ref="BQ9:BR9" si="5">+D9-BM9</f>
        <v>4.4703483581542969E-8</v>
      </c>
      <c r="BR9" s="216">
        <f t="shared" si="5"/>
        <v>0</v>
      </c>
    </row>
    <row r="10" spans="1:70" s="189" customFormat="1" ht="12.75">
      <c r="B10" s="1197"/>
      <c r="C10" s="1198"/>
      <c r="D10" s="1198"/>
      <c r="E10" s="1198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8"/>
      <c r="W10" s="1198"/>
      <c r="X10" s="1198"/>
      <c r="Y10" s="1198"/>
      <c r="Z10" s="1198"/>
      <c r="AA10" s="1198"/>
      <c r="AB10" s="1198"/>
      <c r="AC10" s="1198"/>
      <c r="AD10" s="1198"/>
      <c r="AE10" s="1198"/>
      <c r="AF10" s="1198"/>
      <c r="AG10" s="1198"/>
      <c r="AH10" s="1198"/>
      <c r="AI10" s="1198"/>
      <c r="AJ10" s="1198"/>
      <c r="AK10" s="1198"/>
      <c r="AL10" s="1198"/>
      <c r="AM10" s="1199" t="str">
        <f t="shared" ref="AM10:AM73" si="6">IF(S10=0," ",AE10/S10)</f>
        <v xml:space="preserve"> </v>
      </c>
      <c r="AN10" s="1199" t="str">
        <f t="shared" ref="AN10:AN73" si="7">IF(T10=0," ",AF10/T10)</f>
        <v xml:space="preserve"> </v>
      </c>
      <c r="AO10" s="1199" t="str">
        <f t="shared" ref="AO10:AO73" si="8">IF(U10=0," ",AG10/U10)</f>
        <v xml:space="preserve"> </v>
      </c>
      <c r="AP10" s="1199" t="str">
        <f t="shared" ref="AP10:AP73" si="9">IF(V10=0," ",AH10/V10)</f>
        <v xml:space="preserve"> </v>
      </c>
      <c r="AQ10" s="1200"/>
      <c r="AR10" s="211"/>
      <c r="AS10" s="193"/>
      <c r="AT10" s="193"/>
      <c r="AU10" s="194"/>
      <c r="AV10" s="195"/>
      <c r="AX10" s="195"/>
      <c r="AY10" s="196"/>
      <c r="AZ10" s="196"/>
      <c r="BA10" s="195"/>
      <c r="BB10" s="195"/>
      <c r="BC10" s="195"/>
      <c r="BD10" s="195"/>
      <c r="BE10" s="195"/>
      <c r="BF10" s="195"/>
      <c r="BP10" s="216">
        <f t="shared" ref="BP10:BP60" si="10">+C10-BL10</f>
        <v>0</v>
      </c>
      <c r="BQ10" s="216">
        <f t="shared" ref="BQ10:BQ60" si="11">+D10-BM10</f>
        <v>0</v>
      </c>
      <c r="BR10" s="216">
        <f t="shared" ref="BR10:BR60" si="12">+E10-BN10</f>
        <v>0</v>
      </c>
    </row>
    <row r="11" spans="1:70" s="189" customFormat="1" ht="12.75">
      <c r="B11" s="1202" t="s">
        <v>70</v>
      </c>
      <c r="C11" s="859"/>
      <c r="D11" s="859"/>
      <c r="E11" s="859"/>
      <c r="F11" s="483">
        <f t="shared" ref="F11:F65" si="13">SUM(C11:E11)</f>
        <v>0</v>
      </c>
      <c r="G11" s="859"/>
      <c r="H11" s="859"/>
      <c r="I11" s="859"/>
      <c r="J11" s="483">
        <f t="shared" ref="J11:J65" si="14">SUM(G11:I11)</f>
        <v>0</v>
      </c>
      <c r="K11" s="859"/>
      <c r="L11" s="859"/>
      <c r="M11" s="859"/>
      <c r="N11" s="483">
        <f t="shared" ref="N11:N65" si="15">SUM(K11:M11)</f>
        <v>0</v>
      </c>
      <c r="O11" s="859">
        <f t="shared" si="0"/>
        <v>0</v>
      </c>
      <c r="P11" s="859">
        <f t="shared" si="0"/>
        <v>0</v>
      </c>
      <c r="Q11" s="859">
        <f t="shared" si="0"/>
        <v>0</v>
      </c>
      <c r="R11" s="483">
        <f>SUM(O11:Q11)</f>
        <v>0</v>
      </c>
      <c r="S11" s="859">
        <f t="shared" si="1"/>
        <v>0</v>
      </c>
      <c r="T11" s="859">
        <f t="shared" si="1"/>
        <v>0</v>
      </c>
      <c r="U11" s="859">
        <f t="shared" si="1"/>
        <v>0</v>
      </c>
      <c r="V11" s="483">
        <f>SUM(S11:U11)</f>
        <v>0</v>
      </c>
      <c r="W11" s="859"/>
      <c r="X11" s="859"/>
      <c r="Y11" s="859"/>
      <c r="Z11" s="483">
        <f t="shared" ref="Z11:Z65" si="16">SUM(W11:Y11)</f>
        <v>0</v>
      </c>
      <c r="AA11" s="859"/>
      <c r="AB11" s="859"/>
      <c r="AC11" s="859"/>
      <c r="AD11" s="483">
        <f t="shared" ref="AD11:AD65" si="17">SUM(AA11:AC11)</f>
        <v>0</v>
      </c>
      <c r="AE11" s="1203">
        <f t="shared" si="2"/>
        <v>0</v>
      </c>
      <c r="AF11" s="1203">
        <f t="shared" si="2"/>
        <v>0</v>
      </c>
      <c r="AG11" s="1203">
        <f t="shared" si="2"/>
        <v>0</v>
      </c>
      <c r="AH11" s="483">
        <f>SUM(AE11:AG11)</f>
        <v>0</v>
      </c>
      <c r="AI11" s="1203">
        <f t="shared" si="3"/>
        <v>0</v>
      </c>
      <c r="AJ11" s="1203">
        <f t="shared" si="3"/>
        <v>0</v>
      </c>
      <c r="AK11" s="1203">
        <f t="shared" si="3"/>
        <v>0</v>
      </c>
      <c r="AL11" s="483">
        <f>SUM(AI11:AK11)</f>
        <v>0</v>
      </c>
      <c r="AM11" s="1204" t="str">
        <f t="shared" si="6"/>
        <v xml:space="preserve"> </v>
      </c>
      <c r="AN11" s="1204" t="str">
        <f t="shared" si="7"/>
        <v xml:space="preserve"> </v>
      </c>
      <c r="AO11" s="1204" t="str">
        <f t="shared" si="8"/>
        <v xml:space="preserve"> </v>
      </c>
      <c r="AP11" s="1204" t="str">
        <f t="shared" si="9"/>
        <v xml:space="preserve"> </v>
      </c>
      <c r="AQ11" s="1205"/>
      <c r="AR11" s="192"/>
      <c r="AS11" s="193"/>
      <c r="AT11" s="205"/>
      <c r="AU11" s="206">
        <f t="shared" si="4"/>
        <v>0</v>
      </c>
      <c r="AV11" s="195"/>
      <c r="AW11" s="216">
        <f t="shared" ref="AW11:AW65" si="18">+AT11-AH11</f>
        <v>0</v>
      </c>
      <c r="AX11" s="195"/>
      <c r="AY11" s="196"/>
      <c r="AZ11" s="196"/>
      <c r="BA11" s="195"/>
      <c r="BB11" s="195"/>
      <c r="BC11" s="195"/>
      <c r="BD11" s="195"/>
      <c r="BE11" s="195"/>
      <c r="BF11" s="195"/>
      <c r="BP11" s="216">
        <f t="shared" si="10"/>
        <v>0</v>
      </c>
      <c r="BQ11" s="216">
        <f t="shared" si="11"/>
        <v>0</v>
      </c>
      <c r="BR11" s="216">
        <f t="shared" si="12"/>
        <v>0</v>
      </c>
    </row>
    <row r="12" spans="1:70" s="189" customFormat="1" ht="51">
      <c r="A12" s="95" t="s">
        <v>897</v>
      </c>
      <c r="B12" s="1206" t="s">
        <v>668</v>
      </c>
      <c r="C12" s="859"/>
      <c r="D12" s="859">
        <v>1025959.4799999967</v>
      </c>
      <c r="E12" s="859"/>
      <c r="F12" s="483">
        <f t="shared" si="13"/>
        <v>1025959.4799999967</v>
      </c>
      <c r="G12" s="859">
        <f>-+'OSEC-CONAP'!H26</f>
        <v>0</v>
      </c>
      <c r="H12" s="859">
        <f>-+'OSEC-CONAP'!H27</f>
        <v>-200000</v>
      </c>
      <c r="I12" s="859">
        <f>-+'OSEC-CONAP'!H28</f>
        <v>0</v>
      </c>
      <c r="J12" s="483">
        <f t="shared" si="14"/>
        <v>-200000</v>
      </c>
      <c r="K12" s="859"/>
      <c r="L12" s="859"/>
      <c r="M12" s="859"/>
      <c r="N12" s="483">
        <f t="shared" si="15"/>
        <v>0</v>
      </c>
      <c r="O12" s="859">
        <f t="shared" ref="O12:O66" si="19">+G12+K12</f>
        <v>0</v>
      </c>
      <c r="P12" s="859">
        <f t="shared" ref="P12:P66" si="20">+H12+L12</f>
        <v>-200000</v>
      </c>
      <c r="Q12" s="859">
        <f t="shared" ref="Q12:Q66" si="21">+I12+M12</f>
        <v>0</v>
      </c>
      <c r="R12" s="483">
        <f t="shared" ref="R12:R66" si="22">SUM(O12:Q12)</f>
        <v>-200000</v>
      </c>
      <c r="S12" s="859">
        <f t="shared" ref="S12:S66" si="23">+O12+C12</f>
        <v>0</v>
      </c>
      <c r="T12" s="859">
        <f t="shared" ref="T12:T66" si="24">+P12+D12</f>
        <v>825959.47999999672</v>
      </c>
      <c r="U12" s="859">
        <f t="shared" ref="U12:U66" si="25">+Q12+E12</f>
        <v>0</v>
      </c>
      <c r="V12" s="483">
        <f t="shared" ref="V12:V66" si="26">SUM(S12:U12)</f>
        <v>825959.47999999672</v>
      </c>
      <c r="W12" s="859">
        <f>+'OSEC-CONAP'!I26</f>
        <v>0</v>
      </c>
      <c r="X12" s="859">
        <f>+'OSEC-CONAP'!I27</f>
        <v>823423.39</v>
      </c>
      <c r="Y12" s="859">
        <f>+'OSEC-CONAP'!I28</f>
        <v>0</v>
      </c>
      <c r="Z12" s="483">
        <f t="shared" si="16"/>
        <v>823423.39</v>
      </c>
      <c r="AA12" s="859"/>
      <c r="AB12" s="859"/>
      <c r="AC12" s="859"/>
      <c r="AD12" s="483">
        <f t="shared" si="17"/>
        <v>0</v>
      </c>
      <c r="AE12" s="1203">
        <f t="shared" si="2"/>
        <v>0</v>
      </c>
      <c r="AF12" s="1203">
        <f t="shared" si="2"/>
        <v>823423.39</v>
      </c>
      <c r="AG12" s="1203">
        <f t="shared" si="2"/>
        <v>0</v>
      </c>
      <c r="AH12" s="483">
        <f>SUM(AE12:AG12)</f>
        <v>823423.39</v>
      </c>
      <c r="AI12" s="1203">
        <f t="shared" ref="AI12:AI51" si="27">+S12-AE12</f>
        <v>0</v>
      </c>
      <c r="AJ12" s="1203">
        <f t="shared" ref="AJ12:AJ51" si="28">+T12-AF12</f>
        <v>2536.0899999967078</v>
      </c>
      <c r="AK12" s="1203">
        <f t="shared" ref="AK12:AK51" si="29">+U12-AG12</f>
        <v>0</v>
      </c>
      <c r="AL12" s="483">
        <f t="shared" ref="AL12:AL51" si="30">SUM(AI12:AK12)</f>
        <v>2536.0899999967078</v>
      </c>
      <c r="AM12" s="1204" t="str">
        <f t="shared" si="6"/>
        <v xml:space="preserve"> </v>
      </c>
      <c r="AN12" s="1204">
        <f t="shared" si="7"/>
        <v>0.99692952249909794</v>
      </c>
      <c r="AO12" s="1204" t="str">
        <f t="shared" si="8"/>
        <v xml:space="preserve"> </v>
      </c>
      <c r="AP12" s="1204">
        <f t="shared" si="9"/>
        <v>0.99692952249909794</v>
      </c>
      <c r="AQ12" s="1205" t="str">
        <f>IF(W12=0," ",AI12/W12)</f>
        <v xml:space="preserve"> </v>
      </c>
      <c r="AR12" s="192"/>
      <c r="AS12" s="193"/>
      <c r="AT12" s="193">
        <v>10166797.879999999</v>
      </c>
      <c r="AU12" s="206">
        <f t="shared" si="4"/>
        <v>-9140838.4000000022</v>
      </c>
      <c r="AV12" s="195"/>
      <c r="AW12" s="216">
        <f t="shared" si="18"/>
        <v>9343374.4899999984</v>
      </c>
      <c r="AX12" s="195"/>
      <c r="AY12" s="196"/>
      <c r="AZ12" s="196"/>
      <c r="BA12" s="195"/>
      <c r="BB12" s="195"/>
      <c r="BC12" s="195"/>
      <c r="BD12" s="195"/>
      <c r="BE12" s="195"/>
      <c r="BF12" s="195"/>
      <c r="BL12" s="189">
        <f>+'OSEC-CONAP'!D26</f>
        <v>0</v>
      </c>
      <c r="BM12" s="189">
        <f>+'OSEC-CONAP'!D27</f>
        <v>1025959.4799999967</v>
      </c>
      <c r="BN12" s="189">
        <f>+'OSEC-CONAP'!D28</f>
        <v>0</v>
      </c>
      <c r="BP12" s="216">
        <f t="shared" si="10"/>
        <v>0</v>
      </c>
      <c r="BQ12" s="216">
        <f t="shared" si="11"/>
        <v>0</v>
      </c>
      <c r="BR12" s="216">
        <f t="shared" si="12"/>
        <v>0</v>
      </c>
    </row>
    <row r="13" spans="1:70" s="189" customFormat="1" ht="12.75">
      <c r="A13" s="95" t="s">
        <v>918</v>
      </c>
      <c r="B13" s="1207" t="s">
        <v>679</v>
      </c>
      <c r="C13" s="859"/>
      <c r="D13" s="859">
        <f>9353813.35-1000000</f>
        <v>8353813.3499999996</v>
      </c>
      <c r="E13" s="859">
        <f>39795669.2-17661242</f>
        <v>22134427.200000003</v>
      </c>
      <c r="F13" s="483">
        <f t="shared" si="13"/>
        <v>30488240.550000004</v>
      </c>
      <c r="G13" s="859">
        <f>-+'OSEC-CONAP'!H32</f>
        <v>0</v>
      </c>
      <c r="H13" s="859">
        <f>-+'OSEC-CONAP'!H33</f>
        <v>-200000</v>
      </c>
      <c r="I13" s="859">
        <f>-+'OSEC-CONAP'!H34</f>
        <v>0</v>
      </c>
      <c r="J13" s="483">
        <f t="shared" si="14"/>
        <v>-200000</v>
      </c>
      <c r="K13" s="859"/>
      <c r="L13" s="859"/>
      <c r="M13" s="859"/>
      <c r="N13" s="483">
        <f t="shared" si="15"/>
        <v>0</v>
      </c>
      <c r="O13" s="859">
        <f t="shared" si="19"/>
        <v>0</v>
      </c>
      <c r="P13" s="859">
        <f t="shared" si="20"/>
        <v>-200000</v>
      </c>
      <c r="Q13" s="859">
        <f t="shared" si="21"/>
        <v>0</v>
      </c>
      <c r="R13" s="483">
        <f t="shared" si="22"/>
        <v>-200000</v>
      </c>
      <c r="S13" s="859">
        <f t="shared" si="23"/>
        <v>0</v>
      </c>
      <c r="T13" s="859">
        <f t="shared" si="24"/>
        <v>8153813.3499999996</v>
      </c>
      <c r="U13" s="859">
        <f t="shared" si="25"/>
        <v>22134427.200000003</v>
      </c>
      <c r="V13" s="483">
        <f t="shared" si="26"/>
        <v>30288240.550000004</v>
      </c>
      <c r="W13" s="859">
        <f>+'OSEC-CONAP'!I32</f>
        <v>0</v>
      </c>
      <c r="X13" s="859">
        <f>+'OSEC-CONAP'!I33</f>
        <v>8153813.3500000006</v>
      </c>
      <c r="Y13" s="859">
        <f>+'OSEC-CONAP'!I34</f>
        <v>22134427.199999999</v>
      </c>
      <c r="Z13" s="483">
        <f t="shared" si="16"/>
        <v>30288240.550000001</v>
      </c>
      <c r="AA13" s="859"/>
      <c r="AB13" s="859"/>
      <c r="AC13" s="859"/>
      <c r="AD13" s="483">
        <f t="shared" si="17"/>
        <v>0</v>
      </c>
      <c r="AE13" s="1203">
        <f t="shared" ref="AE13:AE51" si="31">+AA13+W13</f>
        <v>0</v>
      </c>
      <c r="AF13" s="1203">
        <f t="shared" ref="AF13:AF51" si="32">+AB13+X13</f>
        <v>8153813.3500000006</v>
      </c>
      <c r="AG13" s="1203">
        <f t="shared" si="2"/>
        <v>22134427.199999999</v>
      </c>
      <c r="AH13" s="483">
        <f t="shared" ref="AH13:AH51" si="33">SUM(AE13:AG13)</f>
        <v>30288240.550000001</v>
      </c>
      <c r="AI13" s="1203">
        <f t="shared" si="27"/>
        <v>0</v>
      </c>
      <c r="AJ13" s="1203">
        <f t="shared" si="28"/>
        <v>0</v>
      </c>
      <c r="AK13" s="1203">
        <f t="shared" si="29"/>
        <v>0</v>
      </c>
      <c r="AL13" s="483">
        <f t="shared" si="30"/>
        <v>0</v>
      </c>
      <c r="AM13" s="1204" t="str">
        <f t="shared" si="6"/>
        <v xml:space="preserve"> </v>
      </c>
      <c r="AN13" s="1204">
        <f t="shared" si="7"/>
        <v>1.0000000000000002</v>
      </c>
      <c r="AO13" s="1204">
        <f t="shared" si="8"/>
        <v>0.99999999999999978</v>
      </c>
      <c r="AP13" s="1204">
        <f t="shared" si="9"/>
        <v>0.99999999999999989</v>
      </c>
      <c r="AQ13" s="1205" t="str">
        <f t="shared" ref="AQ13:AQ65" si="34">IF(W13=0," ",AI13/W13)</f>
        <v xml:space="preserve"> </v>
      </c>
      <c r="AR13" s="192"/>
      <c r="AS13" s="193"/>
      <c r="AT13" s="193">
        <v>71347206.969999999</v>
      </c>
      <c r="AU13" s="206">
        <f t="shared" si="4"/>
        <v>-40858966.419999994</v>
      </c>
      <c r="AV13" s="195"/>
      <c r="AW13" s="216">
        <f t="shared" si="18"/>
        <v>41058966.420000002</v>
      </c>
      <c r="AX13" s="195"/>
      <c r="AY13" s="196"/>
      <c r="AZ13" s="196"/>
      <c r="BA13" s="195"/>
      <c r="BB13" s="195"/>
      <c r="BC13" s="195"/>
      <c r="BD13" s="195"/>
      <c r="BE13" s="195"/>
      <c r="BF13" s="195"/>
      <c r="BL13" s="189">
        <f>+'OSEC-CONAP'!D32</f>
        <v>0</v>
      </c>
      <c r="BM13" s="189">
        <f>+'OSEC-CONAP'!D33</f>
        <v>8353813.3500000015</v>
      </c>
      <c r="BN13" s="189">
        <f>+'OSEC-CONAP'!D34</f>
        <v>22134427.200000003</v>
      </c>
      <c r="BP13" s="216">
        <f t="shared" si="10"/>
        <v>0</v>
      </c>
      <c r="BQ13" s="216">
        <f t="shared" si="11"/>
        <v>0</v>
      </c>
      <c r="BR13" s="216">
        <f t="shared" si="12"/>
        <v>0</v>
      </c>
    </row>
    <row r="14" spans="1:70" s="189" customFormat="1" ht="12.75">
      <c r="A14" s="95" t="s">
        <v>902</v>
      </c>
      <c r="B14" s="1207" t="s">
        <v>680</v>
      </c>
      <c r="C14" s="859"/>
      <c r="D14" s="859">
        <v>4407216.299999997</v>
      </c>
      <c r="E14" s="859"/>
      <c r="F14" s="483">
        <f t="shared" si="13"/>
        <v>4407216.299999997</v>
      </c>
      <c r="G14" s="859">
        <f>-+'OSEC-CONAP'!H38</f>
        <v>0</v>
      </c>
      <c r="H14" s="859">
        <f>-+'OSEC-CONAP'!H39</f>
        <v>0</v>
      </c>
      <c r="I14" s="859">
        <f>-+'OSEC-CONAP'!H40</f>
        <v>0</v>
      </c>
      <c r="J14" s="483">
        <f t="shared" si="14"/>
        <v>0</v>
      </c>
      <c r="K14" s="859"/>
      <c r="L14" s="859"/>
      <c r="M14" s="859"/>
      <c r="N14" s="483">
        <f t="shared" si="15"/>
        <v>0</v>
      </c>
      <c r="O14" s="859">
        <f t="shared" si="19"/>
        <v>0</v>
      </c>
      <c r="P14" s="859">
        <f t="shared" si="20"/>
        <v>0</v>
      </c>
      <c r="Q14" s="859">
        <f t="shared" si="21"/>
        <v>0</v>
      </c>
      <c r="R14" s="483">
        <f t="shared" si="22"/>
        <v>0</v>
      </c>
      <c r="S14" s="859">
        <f t="shared" si="23"/>
        <v>0</v>
      </c>
      <c r="T14" s="859">
        <f t="shared" si="24"/>
        <v>4407216.299999997</v>
      </c>
      <c r="U14" s="859">
        <f t="shared" si="25"/>
        <v>0</v>
      </c>
      <c r="V14" s="483">
        <f t="shared" si="26"/>
        <v>4407216.299999997</v>
      </c>
      <c r="W14" s="859">
        <f>+'OSEC-CONAP'!I38</f>
        <v>0</v>
      </c>
      <c r="X14" s="859">
        <f>+'OSEC-CONAP'!I39</f>
        <v>1777383.25</v>
      </c>
      <c r="Y14" s="859">
        <f>+'OSEC-CONAP'!I40</f>
        <v>0</v>
      </c>
      <c r="Z14" s="483">
        <f t="shared" si="16"/>
        <v>1777383.25</v>
      </c>
      <c r="AA14" s="859"/>
      <c r="AB14" s="859"/>
      <c r="AC14" s="859"/>
      <c r="AD14" s="483">
        <f t="shared" si="17"/>
        <v>0</v>
      </c>
      <c r="AE14" s="1203">
        <f t="shared" si="31"/>
        <v>0</v>
      </c>
      <c r="AF14" s="1203">
        <f t="shared" si="32"/>
        <v>1777383.25</v>
      </c>
      <c r="AG14" s="1203">
        <f t="shared" ref="AG14:AG51" si="35">+AC14+Y14</f>
        <v>0</v>
      </c>
      <c r="AH14" s="483">
        <f t="shared" si="33"/>
        <v>1777383.25</v>
      </c>
      <c r="AI14" s="1203">
        <f t="shared" si="27"/>
        <v>0</v>
      </c>
      <c r="AJ14" s="1203">
        <f t="shared" si="28"/>
        <v>2629833.049999997</v>
      </c>
      <c r="AK14" s="1203">
        <f t="shared" si="29"/>
        <v>0</v>
      </c>
      <c r="AL14" s="483">
        <f t="shared" si="30"/>
        <v>2629833.049999997</v>
      </c>
      <c r="AM14" s="1204" t="str">
        <f t="shared" si="6"/>
        <v xml:space="preserve"> </v>
      </c>
      <c r="AN14" s="1204">
        <f t="shared" si="7"/>
        <v>0.40328931666004258</v>
      </c>
      <c r="AO14" s="1204" t="str">
        <f t="shared" si="8"/>
        <v xml:space="preserve"> </v>
      </c>
      <c r="AP14" s="1204">
        <f t="shared" si="9"/>
        <v>0.40328931666004258</v>
      </c>
      <c r="AQ14" s="1205" t="str">
        <f t="shared" si="34"/>
        <v xml:space="preserve"> </v>
      </c>
      <c r="AR14" s="192"/>
      <c r="AS14" s="193"/>
      <c r="AT14" s="193">
        <v>717322.62999999523</v>
      </c>
      <c r="AU14" s="206">
        <f t="shared" si="4"/>
        <v>3689893.6700000018</v>
      </c>
      <c r="AV14" s="195"/>
      <c r="AW14" s="216">
        <f t="shared" si="18"/>
        <v>-1060060.6200000048</v>
      </c>
      <c r="AX14" s="195"/>
      <c r="AY14" s="196"/>
      <c r="AZ14" s="196"/>
      <c r="BA14" s="195"/>
      <c r="BB14" s="195"/>
      <c r="BC14" s="195"/>
      <c r="BD14" s="195"/>
      <c r="BE14" s="195"/>
      <c r="BF14" s="195"/>
      <c r="BL14" s="189">
        <f>+'OSEC-CONAP'!D38</f>
        <v>0</v>
      </c>
      <c r="BM14" s="189">
        <f>+'OSEC-CONAP'!D39</f>
        <v>4407216.299999997</v>
      </c>
      <c r="BN14" s="189">
        <f>+'OSEC-CONAP'!D40</f>
        <v>0</v>
      </c>
      <c r="BP14" s="216">
        <f t="shared" si="10"/>
        <v>0</v>
      </c>
      <c r="BQ14" s="216">
        <f t="shared" si="11"/>
        <v>0</v>
      </c>
      <c r="BR14" s="216">
        <f t="shared" si="12"/>
        <v>0</v>
      </c>
    </row>
    <row r="15" spans="1:70" s="189" customFormat="1" ht="12.75">
      <c r="A15" s="95" t="s">
        <v>902</v>
      </c>
      <c r="B15" s="1207" t="s">
        <v>346</v>
      </c>
      <c r="C15" s="859"/>
      <c r="D15" s="859">
        <v>7238295.4399998188</v>
      </c>
      <c r="E15" s="859"/>
      <c r="F15" s="483">
        <f t="shared" si="13"/>
        <v>7238295.4399998188</v>
      </c>
      <c r="G15" s="859">
        <f>-+'OSEC-CONAP'!H44</f>
        <v>0</v>
      </c>
      <c r="H15" s="859">
        <f>-+'OSEC-CONAP'!H45</f>
        <v>97554392.370000005</v>
      </c>
      <c r="I15" s="859">
        <f>-+'OSEC-CONAP'!H46</f>
        <v>0</v>
      </c>
      <c r="J15" s="483">
        <f t="shared" si="14"/>
        <v>97554392.370000005</v>
      </c>
      <c r="K15" s="859"/>
      <c r="L15" s="859"/>
      <c r="M15" s="859"/>
      <c r="N15" s="483">
        <f t="shared" si="15"/>
        <v>0</v>
      </c>
      <c r="O15" s="859">
        <f t="shared" si="19"/>
        <v>0</v>
      </c>
      <c r="P15" s="859">
        <f t="shared" si="20"/>
        <v>97554392.370000005</v>
      </c>
      <c r="Q15" s="859">
        <f t="shared" si="21"/>
        <v>0</v>
      </c>
      <c r="R15" s="483">
        <f t="shared" si="22"/>
        <v>97554392.370000005</v>
      </c>
      <c r="S15" s="859">
        <f t="shared" si="23"/>
        <v>0</v>
      </c>
      <c r="T15" s="859">
        <f t="shared" si="24"/>
        <v>104792687.80999982</v>
      </c>
      <c r="U15" s="859">
        <f t="shared" si="25"/>
        <v>0</v>
      </c>
      <c r="V15" s="483">
        <f t="shared" si="26"/>
        <v>104792687.80999982</v>
      </c>
      <c r="W15" s="859">
        <f>+'OSEC-CONAP'!I44</f>
        <v>0</v>
      </c>
      <c r="X15" s="859">
        <f>+'OSEC-CONAP'!I45</f>
        <v>97652015.550000012</v>
      </c>
      <c r="Y15" s="859">
        <f>+'OSEC-CONAP'!I46</f>
        <v>0</v>
      </c>
      <c r="Z15" s="483">
        <f t="shared" si="16"/>
        <v>97652015.550000012</v>
      </c>
      <c r="AA15" s="859"/>
      <c r="AB15" s="859"/>
      <c r="AC15" s="859"/>
      <c r="AD15" s="483">
        <f t="shared" si="17"/>
        <v>0</v>
      </c>
      <c r="AE15" s="1203">
        <f t="shared" si="31"/>
        <v>0</v>
      </c>
      <c r="AF15" s="1203">
        <f t="shared" si="32"/>
        <v>97652015.550000012</v>
      </c>
      <c r="AG15" s="1203">
        <f t="shared" si="35"/>
        <v>0</v>
      </c>
      <c r="AH15" s="483">
        <f t="shared" si="33"/>
        <v>97652015.550000012</v>
      </c>
      <c r="AI15" s="1203">
        <f t="shared" si="27"/>
        <v>0</v>
      </c>
      <c r="AJ15" s="1203">
        <f t="shared" si="28"/>
        <v>7140672.2599998116</v>
      </c>
      <c r="AK15" s="1203">
        <f t="shared" si="29"/>
        <v>0</v>
      </c>
      <c r="AL15" s="483">
        <f t="shared" si="30"/>
        <v>7140672.2599998116</v>
      </c>
      <c r="AM15" s="1204" t="str">
        <f t="shared" si="6"/>
        <v xml:space="preserve"> </v>
      </c>
      <c r="AN15" s="1204">
        <f t="shared" si="7"/>
        <v>0.93185905992843121</v>
      </c>
      <c r="AO15" s="1204" t="str">
        <f t="shared" si="8"/>
        <v xml:space="preserve"> </v>
      </c>
      <c r="AP15" s="1204">
        <f t="shared" si="9"/>
        <v>0.93185905992843121</v>
      </c>
      <c r="AQ15" s="1205" t="str">
        <f t="shared" si="34"/>
        <v xml:space="preserve"> </v>
      </c>
      <c r="AR15" s="192"/>
      <c r="AS15" s="193"/>
      <c r="AT15" s="193">
        <v>1782956.2400000095</v>
      </c>
      <c r="AU15" s="206">
        <f t="shared" si="4"/>
        <v>5455339.1999998093</v>
      </c>
      <c r="AV15" s="195"/>
      <c r="AW15" s="216">
        <f t="shared" si="18"/>
        <v>-95869059.310000002</v>
      </c>
      <c r="AX15" s="195"/>
      <c r="AY15" s="196"/>
      <c r="AZ15" s="196"/>
      <c r="BA15" s="195"/>
      <c r="BB15" s="195"/>
      <c r="BC15" s="195"/>
      <c r="BD15" s="195"/>
      <c r="BE15" s="195"/>
      <c r="BF15" s="195"/>
      <c r="BL15" s="189">
        <f>+'OSEC-CONAP'!D44</f>
        <v>0</v>
      </c>
      <c r="BM15" s="189">
        <f>+'OSEC-CONAP'!D45</f>
        <v>7238295.4399998188</v>
      </c>
      <c r="BN15" s="189">
        <f>+'OSEC-CONAP'!D46</f>
        <v>0</v>
      </c>
      <c r="BP15" s="216">
        <f t="shared" si="10"/>
        <v>0</v>
      </c>
      <c r="BQ15" s="216">
        <f t="shared" si="11"/>
        <v>0</v>
      </c>
      <c r="BR15" s="216">
        <f t="shared" si="12"/>
        <v>0</v>
      </c>
    </row>
    <row r="16" spans="1:70" s="189" customFormat="1" ht="38.25">
      <c r="A16" s="95" t="s">
        <v>897</v>
      </c>
      <c r="B16" s="1208" t="s">
        <v>669</v>
      </c>
      <c r="C16" s="859"/>
      <c r="D16" s="859">
        <v>784921.86000000127</v>
      </c>
      <c r="E16" s="859"/>
      <c r="F16" s="483">
        <f t="shared" si="13"/>
        <v>784921.86000000127</v>
      </c>
      <c r="G16" s="859">
        <f>-+'OSEC-CONAP'!H123</f>
        <v>0</v>
      </c>
      <c r="H16" s="859">
        <f>-+'OSEC-CONAP'!H124</f>
        <v>-500000</v>
      </c>
      <c r="I16" s="859">
        <f>-+'OSEC-CONAP'!H125</f>
        <v>0</v>
      </c>
      <c r="J16" s="483">
        <f t="shared" si="14"/>
        <v>-500000</v>
      </c>
      <c r="K16" s="859"/>
      <c r="L16" s="859"/>
      <c r="M16" s="859"/>
      <c r="N16" s="483">
        <f t="shared" si="15"/>
        <v>0</v>
      </c>
      <c r="O16" s="859">
        <f t="shared" si="19"/>
        <v>0</v>
      </c>
      <c r="P16" s="859">
        <f t="shared" si="20"/>
        <v>-500000</v>
      </c>
      <c r="Q16" s="859">
        <f t="shared" si="21"/>
        <v>0</v>
      </c>
      <c r="R16" s="483">
        <f t="shared" si="22"/>
        <v>-500000</v>
      </c>
      <c r="S16" s="859">
        <f t="shared" si="23"/>
        <v>0</v>
      </c>
      <c r="T16" s="859">
        <f t="shared" si="24"/>
        <v>284921.86000000127</v>
      </c>
      <c r="U16" s="859">
        <f t="shared" si="25"/>
        <v>0</v>
      </c>
      <c r="V16" s="483">
        <f t="shared" si="26"/>
        <v>284921.86000000127</v>
      </c>
      <c r="W16" s="859">
        <f>+'OSEC-CONAP'!I123</f>
        <v>0</v>
      </c>
      <c r="X16" s="859">
        <f>+'OSEC-CONAP'!I124</f>
        <v>219926.13000000012</v>
      </c>
      <c r="Y16" s="859">
        <f>+'OSEC-CONAP'!I125</f>
        <v>0</v>
      </c>
      <c r="Z16" s="483">
        <f t="shared" si="16"/>
        <v>219926.13000000012</v>
      </c>
      <c r="AA16" s="859"/>
      <c r="AB16" s="859"/>
      <c r="AC16" s="859"/>
      <c r="AD16" s="483">
        <f t="shared" si="17"/>
        <v>0</v>
      </c>
      <c r="AE16" s="1203">
        <f t="shared" si="31"/>
        <v>0</v>
      </c>
      <c r="AF16" s="1203">
        <f t="shared" si="32"/>
        <v>219926.13000000012</v>
      </c>
      <c r="AG16" s="1203">
        <f t="shared" si="35"/>
        <v>0</v>
      </c>
      <c r="AH16" s="483">
        <f t="shared" si="33"/>
        <v>219926.13000000012</v>
      </c>
      <c r="AI16" s="1203">
        <f t="shared" si="27"/>
        <v>0</v>
      </c>
      <c r="AJ16" s="1203">
        <f t="shared" si="28"/>
        <v>64995.730000001146</v>
      </c>
      <c r="AK16" s="1203">
        <f t="shared" si="29"/>
        <v>0</v>
      </c>
      <c r="AL16" s="483">
        <f t="shared" si="30"/>
        <v>64995.730000001146</v>
      </c>
      <c r="AM16" s="1204" t="str">
        <f t="shared" si="6"/>
        <v xml:space="preserve"> </v>
      </c>
      <c r="AN16" s="1204">
        <f t="shared" si="7"/>
        <v>0.7718822627368751</v>
      </c>
      <c r="AO16" s="1204" t="str">
        <f t="shared" si="8"/>
        <v xml:space="preserve"> </v>
      </c>
      <c r="AP16" s="1204">
        <f t="shared" si="9"/>
        <v>0.7718822627368751</v>
      </c>
      <c r="AQ16" s="1205" t="str">
        <f t="shared" si="34"/>
        <v xml:space="preserve"> </v>
      </c>
      <c r="AR16" s="192"/>
      <c r="AS16" s="193"/>
      <c r="AT16" s="193">
        <v>4119086.2699999996</v>
      </c>
      <c r="AU16" s="206">
        <f t="shared" si="4"/>
        <v>-3334164.4099999983</v>
      </c>
      <c r="AV16" s="195"/>
      <c r="AW16" s="216">
        <f t="shared" si="18"/>
        <v>3899160.1399999997</v>
      </c>
      <c r="AX16" s="195"/>
      <c r="AY16" s="196"/>
      <c r="AZ16" s="196"/>
      <c r="BA16" s="195"/>
      <c r="BB16" s="195"/>
      <c r="BC16" s="195"/>
      <c r="BD16" s="195"/>
      <c r="BE16" s="195"/>
      <c r="BF16" s="195"/>
      <c r="BL16" s="189">
        <f>+'OSEC-CONAP'!D123</f>
        <v>0</v>
      </c>
      <c r="BM16" s="189">
        <f>+'OSEC-CONAP'!D124</f>
        <v>784921.86000000127</v>
      </c>
      <c r="BN16" s="189">
        <f>+'OSEC-CONAP'!D125</f>
        <v>0</v>
      </c>
      <c r="BP16" s="216">
        <f t="shared" si="10"/>
        <v>0</v>
      </c>
      <c r="BQ16" s="216">
        <f t="shared" si="11"/>
        <v>0</v>
      </c>
      <c r="BR16" s="216">
        <f t="shared" si="12"/>
        <v>0</v>
      </c>
    </row>
    <row r="17" spans="1:70" s="189" customFormat="1" ht="12.75">
      <c r="A17" s="95" t="s">
        <v>904</v>
      </c>
      <c r="B17" s="1207" t="s">
        <v>681</v>
      </c>
      <c r="C17" s="859"/>
      <c r="D17" s="859">
        <v>202912.81000000052</v>
      </c>
      <c r="E17" s="859"/>
      <c r="F17" s="483">
        <f t="shared" si="13"/>
        <v>202912.81000000052</v>
      </c>
      <c r="G17" s="859">
        <f>-+'OSEC-CONAP'!H129</f>
        <v>0</v>
      </c>
      <c r="H17" s="859">
        <f>-+'OSEC-CONAP'!H130</f>
        <v>-135000</v>
      </c>
      <c r="I17" s="859">
        <f>-+'OSEC-CONAP'!H131</f>
        <v>0</v>
      </c>
      <c r="J17" s="483">
        <f t="shared" si="14"/>
        <v>-135000</v>
      </c>
      <c r="K17" s="859"/>
      <c r="L17" s="859"/>
      <c r="M17" s="859"/>
      <c r="N17" s="483">
        <f t="shared" si="15"/>
        <v>0</v>
      </c>
      <c r="O17" s="859">
        <f t="shared" si="19"/>
        <v>0</v>
      </c>
      <c r="P17" s="859">
        <f t="shared" si="20"/>
        <v>-135000</v>
      </c>
      <c r="Q17" s="859">
        <f t="shared" si="21"/>
        <v>0</v>
      </c>
      <c r="R17" s="483">
        <f t="shared" si="22"/>
        <v>-135000</v>
      </c>
      <c r="S17" s="859">
        <f t="shared" si="23"/>
        <v>0</v>
      </c>
      <c r="T17" s="859">
        <f t="shared" si="24"/>
        <v>67912.810000000522</v>
      </c>
      <c r="U17" s="859">
        <f t="shared" si="25"/>
        <v>0</v>
      </c>
      <c r="V17" s="483">
        <f t="shared" si="26"/>
        <v>67912.810000000522</v>
      </c>
      <c r="W17" s="859">
        <f>+'OSEC-CONAP'!I129</f>
        <v>0</v>
      </c>
      <c r="X17" s="859">
        <f>+'OSEC-CONAP'!I130</f>
        <v>64362.19</v>
      </c>
      <c r="Y17" s="859">
        <f>+'OSEC-CONAP'!I131</f>
        <v>0</v>
      </c>
      <c r="Z17" s="483">
        <f t="shared" si="16"/>
        <v>64362.19</v>
      </c>
      <c r="AA17" s="859"/>
      <c r="AB17" s="859"/>
      <c r="AC17" s="859"/>
      <c r="AD17" s="483">
        <f t="shared" si="17"/>
        <v>0</v>
      </c>
      <c r="AE17" s="1203">
        <f t="shared" si="31"/>
        <v>0</v>
      </c>
      <c r="AF17" s="1203">
        <f t="shared" si="32"/>
        <v>64362.19</v>
      </c>
      <c r="AG17" s="1203">
        <f t="shared" si="35"/>
        <v>0</v>
      </c>
      <c r="AH17" s="483">
        <f t="shared" si="33"/>
        <v>64362.19</v>
      </c>
      <c r="AI17" s="1203">
        <f t="shared" si="27"/>
        <v>0</v>
      </c>
      <c r="AJ17" s="1203">
        <f t="shared" si="28"/>
        <v>3550.6200000005192</v>
      </c>
      <c r="AK17" s="1203">
        <f t="shared" si="29"/>
        <v>0</v>
      </c>
      <c r="AL17" s="483">
        <f t="shared" si="30"/>
        <v>3550.6200000005192</v>
      </c>
      <c r="AM17" s="1204" t="str">
        <f t="shared" si="6"/>
        <v xml:space="preserve"> </v>
      </c>
      <c r="AN17" s="1204">
        <f t="shared" si="7"/>
        <v>0.94771796366546324</v>
      </c>
      <c r="AO17" s="1204" t="str">
        <f t="shared" si="8"/>
        <v xml:space="preserve"> </v>
      </c>
      <c r="AP17" s="1204">
        <f t="shared" si="9"/>
        <v>0.94771796366546324</v>
      </c>
      <c r="AQ17" s="1205" t="str">
        <f t="shared" si="34"/>
        <v xml:space="preserve"> </v>
      </c>
      <c r="AR17" s="192"/>
      <c r="AS17" s="193"/>
      <c r="AT17" s="193">
        <v>209754.03</v>
      </c>
      <c r="AU17" s="206">
        <f t="shared" si="4"/>
        <v>-6841.2199999994773</v>
      </c>
      <c r="AV17" s="195"/>
      <c r="AW17" s="216">
        <f t="shared" si="18"/>
        <v>145391.84</v>
      </c>
      <c r="AX17" s="195"/>
      <c r="AY17" s="196"/>
      <c r="AZ17" s="196"/>
      <c r="BA17" s="195"/>
      <c r="BB17" s="195"/>
      <c r="BC17" s="195"/>
      <c r="BD17" s="195"/>
      <c r="BE17" s="195"/>
      <c r="BF17" s="195"/>
      <c r="BL17" s="189">
        <f>+'OSEC-CONAP'!D129</f>
        <v>0</v>
      </c>
      <c r="BM17" s="189">
        <f>+'OSEC-CONAP'!D130</f>
        <v>202912.81000000052</v>
      </c>
      <c r="BN17" s="189">
        <f>+'OSEC-CONAP'!D131</f>
        <v>0</v>
      </c>
      <c r="BP17" s="216">
        <f t="shared" si="10"/>
        <v>0</v>
      </c>
      <c r="BQ17" s="216">
        <f t="shared" si="11"/>
        <v>0</v>
      </c>
      <c r="BR17" s="216">
        <f t="shared" si="12"/>
        <v>0</v>
      </c>
    </row>
    <row r="18" spans="1:70" s="189" customFormat="1" ht="12.75">
      <c r="A18" s="95" t="s">
        <v>904</v>
      </c>
      <c r="B18" s="1207" t="s">
        <v>72</v>
      </c>
      <c r="C18" s="859"/>
      <c r="D18" s="859">
        <v>484549.81000000238</v>
      </c>
      <c r="E18" s="859"/>
      <c r="F18" s="483">
        <f t="shared" si="13"/>
        <v>484549.81000000238</v>
      </c>
      <c r="G18" s="859">
        <f>-+'OSEC-CONAP'!H135</f>
        <v>0</v>
      </c>
      <c r="H18" s="859">
        <f>-+'OSEC-CONAP'!H136</f>
        <v>0</v>
      </c>
      <c r="I18" s="859">
        <f>-+'OSEC-CONAP'!H137</f>
        <v>0</v>
      </c>
      <c r="J18" s="483">
        <f t="shared" si="14"/>
        <v>0</v>
      </c>
      <c r="K18" s="859"/>
      <c r="L18" s="859"/>
      <c r="M18" s="859"/>
      <c r="N18" s="483">
        <f t="shared" si="15"/>
        <v>0</v>
      </c>
      <c r="O18" s="859">
        <f t="shared" si="19"/>
        <v>0</v>
      </c>
      <c r="P18" s="859">
        <f t="shared" si="20"/>
        <v>0</v>
      </c>
      <c r="Q18" s="859">
        <f t="shared" si="21"/>
        <v>0</v>
      </c>
      <c r="R18" s="483">
        <f t="shared" si="22"/>
        <v>0</v>
      </c>
      <c r="S18" s="859">
        <f t="shared" si="23"/>
        <v>0</v>
      </c>
      <c r="T18" s="859">
        <f t="shared" si="24"/>
        <v>484549.81000000238</v>
      </c>
      <c r="U18" s="859">
        <f t="shared" si="25"/>
        <v>0</v>
      </c>
      <c r="V18" s="483">
        <f t="shared" si="26"/>
        <v>484549.81000000238</v>
      </c>
      <c r="W18" s="859">
        <f>+'OSEC-CONAP'!I135</f>
        <v>0</v>
      </c>
      <c r="X18" s="859">
        <f>+'OSEC-CONAP'!I136</f>
        <v>484549.81</v>
      </c>
      <c r="Y18" s="859">
        <f>+'OSEC-CONAP'!I137</f>
        <v>0</v>
      </c>
      <c r="Z18" s="483">
        <f t="shared" si="16"/>
        <v>484549.81</v>
      </c>
      <c r="AA18" s="859"/>
      <c r="AB18" s="859"/>
      <c r="AC18" s="859"/>
      <c r="AD18" s="483">
        <f t="shared" si="17"/>
        <v>0</v>
      </c>
      <c r="AE18" s="1203">
        <f t="shared" si="31"/>
        <v>0</v>
      </c>
      <c r="AF18" s="1203">
        <f t="shared" si="32"/>
        <v>484549.81</v>
      </c>
      <c r="AG18" s="1203">
        <f t="shared" si="35"/>
        <v>0</v>
      </c>
      <c r="AH18" s="483">
        <f t="shared" si="33"/>
        <v>484549.81</v>
      </c>
      <c r="AI18" s="1203">
        <f t="shared" si="27"/>
        <v>0</v>
      </c>
      <c r="AJ18" s="1203">
        <f t="shared" si="28"/>
        <v>2.3865140974521637E-9</v>
      </c>
      <c r="AK18" s="1203">
        <f t="shared" si="29"/>
        <v>0</v>
      </c>
      <c r="AL18" s="483">
        <f t="shared" si="30"/>
        <v>2.3865140974521637E-9</v>
      </c>
      <c r="AM18" s="1204" t="str">
        <f t="shared" si="6"/>
        <v xml:space="preserve"> </v>
      </c>
      <c r="AN18" s="1204">
        <f t="shared" si="7"/>
        <v>0.99999999999999512</v>
      </c>
      <c r="AO18" s="1204" t="str">
        <f t="shared" si="8"/>
        <v xml:space="preserve"> </v>
      </c>
      <c r="AP18" s="1204">
        <f t="shared" si="9"/>
        <v>0.99999999999999512</v>
      </c>
      <c r="AQ18" s="1205" t="str">
        <f t="shared" si="34"/>
        <v xml:space="preserve"> </v>
      </c>
      <c r="AR18" s="192"/>
      <c r="AS18" s="193"/>
      <c r="AT18" s="193">
        <v>660359.62999999523</v>
      </c>
      <c r="AU18" s="206">
        <f t="shared" si="4"/>
        <v>-175809.81999999285</v>
      </c>
      <c r="AV18" s="195"/>
      <c r="AW18" s="216">
        <f t="shared" si="18"/>
        <v>175809.81999999523</v>
      </c>
      <c r="AX18" s="195"/>
      <c r="AY18" s="196"/>
      <c r="AZ18" s="196"/>
      <c r="BA18" s="195"/>
      <c r="BB18" s="195"/>
      <c r="BC18" s="195"/>
      <c r="BD18" s="195"/>
      <c r="BE18" s="195"/>
      <c r="BF18" s="195"/>
      <c r="BL18" s="189">
        <f>+'OSEC-CONAP'!D135</f>
        <v>0</v>
      </c>
      <c r="BM18" s="189">
        <f>+'OSEC-CONAP'!D136</f>
        <v>484549.81000000238</v>
      </c>
      <c r="BN18" s="189">
        <f>+'OSEC-CONAP'!D137</f>
        <v>0</v>
      </c>
      <c r="BP18" s="216">
        <f t="shared" si="10"/>
        <v>0</v>
      </c>
      <c r="BQ18" s="216">
        <f t="shared" si="11"/>
        <v>0</v>
      </c>
      <c r="BR18" s="216">
        <f t="shared" si="12"/>
        <v>0</v>
      </c>
    </row>
    <row r="19" spans="1:70" s="216" customFormat="1" ht="12.75">
      <c r="B19" s="217" t="s">
        <v>73</v>
      </c>
      <c r="C19" s="213">
        <f t="shared" ref="C19:AL19" si="36">SUM(C12:C18)</f>
        <v>0</v>
      </c>
      <c r="D19" s="213">
        <f t="shared" si="36"/>
        <v>22497669.049999818</v>
      </c>
      <c r="E19" s="213">
        <f t="shared" si="36"/>
        <v>22134427.200000003</v>
      </c>
      <c r="F19" s="213">
        <f t="shared" si="36"/>
        <v>44632096.249999821</v>
      </c>
      <c r="G19" s="213">
        <f t="shared" si="36"/>
        <v>0</v>
      </c>
      <c r="H19" s="213">
        <f t="shared" si="36"/>
        <v>96519392.370000005</v>
      </c>
      <c r="I19" s="213">
        <f t="shared" si="36"/>
        <v>0</v>
      </c>
      <c r="J19" s="213">
        <f t="shared" si="36"/>
        <v>96519392.370000005</v>
      </c>
      <c r="K19" s="213">
        <f t="shared" si="36"/>
        <v>0</v>
      </c>
      <c r="L19" s="213">
        <f t="shared" si="36"/>
        <v>0</v>
      </c>
      <c r="M19" s="213">
        <f t="shared" si="36"/>
        <v>0</v>
      </c>
      <c r="N19" s="213">
        <f t="shared" si="36"/>
        <v>0</v>
      </c>
      <c r="O19" s="213">
        <f t="shared" si="36"/>
        <v>0</v>
      </c>
      <c r="P19" s="213">
        <f t="shared" si="36"/>
        <v>96519392.370000005</v>
      </c>
      <c r="Q19" s="213">
        <f t="shared" si="36"/>
        <v>0</v>
      </c>
      <c r="R19" s="213">
        <f t="shared" si="36"/>
        <v>96519392.370000005</v>
      </c>
      <c r="S19" s="213">
        <f t="shared" si="36"/>
        <v>0</v>
      </c>
      <c r="T19" s="213">
        <f t="shared" si="36"/>
        <v>119017061.41999982</v>
      </c>
      <c r="U19" s="213">
        <f t="shared" si="36"/>
        <v>22134427.200000003</v>
      </c>
      <c r="V19" s="213">
        <f t="shared" si="36"/>
        <v>141151488.61999983</v>
      </c>
      <c r="W19" s="213">
        <f t="shared" si="36"/>
        <v>0</v>
      </c>
      <c r="X19" s="213">
        <f t="shared" si="36"/>
        <v>109175473.67</v>
      </c>
      <c r="Y19" s="213">
        <f t="shared" si="36"/>
        <v>22134427.199999999</v>
      </c>
      <c r="Z19" s="213">
        <f t="shared" si="36"/>
        <v>131309900.87</v>
      </c>
      <c r="AA19" s="213">
        <f t="shared" si="36"/>
        <v>0</v>
      </c>
      <c r="AB19" s="213">
        <f t="shared" si="36"/>
        <v>0</v>
      </c>
      <c r="AC19" s="213">
        <f t="shared" si="36"/>
        <v>0</v>
      </c>
      <c r="AD19" s="213">
        <f t="shared" si="36"/>
        <v>0</v>
      </c>
      <c r="AE19" s="213">
        <f t="shared" si="36"/>
        <v>0</v>
      </c>
      <c r="AF19" s="213">
        <f t="shared" si="36"/>
        <v>109175473.67</v>
      </c>
      <c r="AG19" s="213">
        <f t="shared" si="36"/>
        <v>22134427.199999999</v>
      </c>
      <c r="AH19" s="213">
        <f t="shared" si="36"/>
        <v>131309900.87</v>
      </c>
      <c r="AI19" s="213">
        <f t="shared" si="36"/>
        <v>0</v>
      </c>
      <c r="AJ19" s="213">
        <f t="shared" si="36"/>
        <v>9841587.7499998081</v>
      </c>
      <c r="AK19" s="213">
        <f t="shared" si="36"/>
        <v>0</v>
      </c>
      <c r="AL19" s="213">
        <f t="shared" si="36"/>
        <v>9841587.7499998081</v>
      </c>
      <c r="AM19" s="214" t="str">
        <f t="shared" si="6"/>
        <v xml:space="preserve"> </v>
      </c>
      <c r="AN19" s="214">
        <f t="shared" si="7"/>
        <v>0.91730943754971572</v>
      </c>
      <c r="AO19" s="214">
        <f t="shared" si="8"/>
        <v>0.99999999999999978</v>
      </c>
      <c r="AP19" s="214">
        <f t="shared" si="9"/>
        <v>0.9302764154581834</v>
      </c>
      <c r="AQ19" s="1201" t="str">
        <f t="shared" si="34"/>
        <v xml:space="preserve"> </v>
      </c>
      <c r="AR19" s="215"/>
      <c r="AS19" s="215"/>
      <c r="AT19" s="215"/>
      <c r="BP19" s="216">
        <f t="shared" si="10"/>
        <v>0</v>
      </c>
    </row>
    <row r="20" spans="1:70" s="189" customFormat="1" ht="12.75">
      <c r="B20" s="1209"/>
      <c r="C20" s="859"/>
      <c r="D20" s="859"/>
      <c r="E20" s="859"/>
      <c r="F20" s="483"/>
      <c r="G20" s="859"/>
      <c r="H20" s="859"/>
      <c r="I20" s="859"/>
      <c r="J20" s="483"/>
      <c r="K20" s="859"/>
      <c r="L20" s="859"/>
      <c r="M20" s="859"/>
      <c r="N20" s="483"/>
      <c r="O20" s="859"/>
      <c r="P20" s="859"/>
      <c r="Q20" s="859"/>
      <c r="R20" s="483"/>
      <c r="S20" s="859"/>
      <c r="T20" s="859"/>
      <c r="U20" s="859"/>
      <c r="V20" s="483"/>
      <c r="W20" s="859"/>
      <c r="X20" s="859"/>
      <c r="Y20" s="859"/>
      <c r="Z20" s="483"/>
      <c r="AA20" s="859"/>
      <c r="AB20" s="859"/>
      <c r="AC20" s="859"/>
      <c r="AD20" s="483"/>
      <c r="AE20" s="1203"/>
      <c r="AF20" s="1203"/>
      <c r="AG20" s="1203"/>
      <c r="AH20" s="483"/>
      <c r="AI20" s="1203"/>
      <c r="AJ20" s="1203"/>
      <c r="AK20" s="1203"/>
      <c r="AL20" s="483"/>
      <c r="AM20" s="1204" t="str">
        <f t="shared" si="6"/>
        <v xml:space="preserve"> </v>
      </c>
      <c r="AN20" s="1204" t="str">
        <f t="shared" si="7"/>
        <v xml:space="preserve"> </v>
      </c>
      <c r="AO20" s="1204" t="str">
        <f t="shared" si="8"/>
        <v xml:space="preserve"> </v>
      </c>
      <c r="AP20" s="1204" t="str">
        <f t="shared" si="9"/>
        <v xml:space="preserve"> </v>
      </c>
      <c r="AQ20" s="1205"/>
      <c r="AR20" s="192"/>
      <c r="AS20" s="193"/>
      <c r="AT20" s="193"/>
      <c r="AU20" s="206"/>
      <c r="AV20" s="195"/>
      <c r="AW20" s="216"/>
      <c r="AX20" s="195"/>
      <c r="AY20" s="196"/>
      <c r="AZ20" s="196"/>
      <c r="BA20" s="195"/>
      <c r="BB20" s="195"/>
      <c r="BC20" s="195"/>
      <c r="BD20" s="195"/>
      <c r="BE20" s="195"/>
      <c r="BF20" s="195"/>
      <c r="BP20" s="216">
        <f t="shared" si="10"/>
        <v>0</v>
      </c>
      <c r="BQ20" s="216">
        <f t="shared" si="11"/>
        <v>0</v>
      </c>
      <c r="BR20" s="216">
        <f t="shared" si="12"/>
        <v>0</v>
      </c>
    </row>
    <row r="21" spans="1:70" s="189" customFormat="1" ht="12.75">
      <c r="B21" s="1210" t="s">
        <v>74</v>
      </c>
      <c r="C21" s="859"/>
      <c r="D21" s="859"/>
      <c r="E21" s="859"/>
      <c r="F21" s="483">
        <f t="shared" si="13"/>
        <v>0</v>
      </c>
      <c r="G21" s="859"/>
      <c r="H21" s="859"/>
      <c r="I21" s="859"/>
      <c r="J21" s="483">
        <f t="shared" si="14"/>
        <v>0</v>
      </c>
      <c r="K21" s="859"/>
      <c r="L21" s="859"/>
      <c r="M21" s="859"/>
      <c r="N21" s="483">
        <f t="shared" si="15"/>
        <v>0</v>
      </c>
      <c r="O21" s="859">
        <f t="shared" si="19"/>
        <v>0</v>
      </c>
      <c r="P21" s="859">
        <f t="shared" si="20"/>
        <v>0</v>
      </c>
      <c r="Q21" s="859">
        <f t="shared" si="21"/>
        <v>0</v>
      </c>
      <c r="R21" s="483">
        <f t="shared" si="22"/>
        <v>0</v>
      </c>
      <c r="S21" s="859">
        <f t="shared" si="23"/>
        <v>0</v>
      </c>
      <c r="T21" s="859">
        <f t="shared" si="24"/>
        <v>0</v>
      </c>
      <c r="U21" s="859">
        <f t="shared" si="25"/>
        <v>0</v>
      </c>
      <c r="V21" s="483">
        <f t="shared" si="26"/>
        <v>0</v>
      </c>
      <c r="W21" s="859"/>
      <c r="X21" s="859"/>
      <c r="Y21" s="859"/>
      <c r="Z21" s="483">
        <f t="shared" si="16"/>
        <v>0</v>
      </c>
      <c r="AA21" s="859"/>
      <c r="AB21" s="859"/>
      <c r="AC21" s="859"/>
      <c r="AD21" s="483">
        <f t="shared" si="17"/>
        <v>0</v>
      </c>
      <c r="AE21" s="1203">
        <f t="shared" si="31"/>
        <v>0</v>
      </c>
      <c r="AF21" s="1203">
        <f t="shared" si="32"/>
        <v>0</v>
      </c>
      <c r="AG21" s="1203">
        <f t="shared" si="35"/>
        <v>0</v>
      </c>
      <c r="AH21" s="483">
        <f t="shared" si="33"/>
        <v>0</v>
      </c>
      <c r="AI21" s="1203">
        <f t="shared" si="27"/>
        <v>0</v>
      </c>
      <c r="AJ21" s="1203">
        <f t="shared" si="28"/>
        <v>0</v>
      </c>
      <c r="AK21" s="1203">
        <f t="shared" si="29"/>
        <v>0</v>
      </c>
      <c r="AL21" s="483">
        <f t="shared" si="30"/>
        <v>0</v>
      </c>
      <c r="AM21" s="1204" t="str">
        <f t="shared" si="6"/>
        <v xml:space="preserve"> </v>
      </c>
      <c r="AN21" s="1204" t="str">
        <f t="shared" si="7"/>
        <v xml:space="preserve"> </v>
      </c>
      <c r="AO21" s="1204" t="str">
        <f t="shared" si="8"/>
        <v xml:space="preserve"> </v>
      </c>
      <c r="AP21" s="1204" t="str">
        <f t="shared" si="9"/>
        <v xml:space="preserve"> </v>
      </c>
      <c r="AQ21" s="1205" t="str">
        <f t="shared" si="34"/>
        <v xml:space="preserve"> </v>
      </c>
      <c r="AR21" s="192"/>
      <c r="AS21" s="193"/>
      <c r="AT21" s="193"/>
      <c r="AU21" s="206">
        <f t="shared" si="4"/>
        <v>0</v>
      </c>
      <c r="AV21" s="195"/>
      <c r="AW21" s="216">
        <f t="shared" si="18"/>
        <v>0</v>
      </c>
      <c r="AX21" s="195"/>
      <c r="AY21" s="196"/>
      <c r="AZ21" s="196"/>
      <c r="BA21" s="195"/>
      <c r="BB21" s="195"/>
      <c r="BC21" s="195"/>
      <c r="BD21" s="195"/>
      <c r="BE21" s="195"/>
      <c r="BF21" s="195"/>
      <c r="BP21" s="216">
        <f t="shared" si="10"/>
        <v>0</v>
      </c>
      <c r="BQ21" s="216">
        <f t="shared" si="11"/>
        <v>0</v>
      </c>
      <c r="BR21" s="216">
        <f t="shared" si="12"/>
        <v>0</v>
      </c>
    </row>
    <row r="22" spans="1:70" s="189" customFormat="1" ht="12.75">
      <c r="A22" s="95" t="s">
        <v>913</v>
      </c>
      <c r="B22" s="1207" t="s">
        <v>682</v>
      </c>
      <c r="C22" s="859"/>
      <c r="D22" s="859">
        <f>2090220.61-2000000</f>
        <v>90220.610000000102</v>
      </c>
      <c r="E22" s="859"/>
      <c r="F22" s="483">
        <f t="shared" si="13"/>
        <v>90220.610000000102</v>
      </c>
      <c r="G22" s="859">
        <f>-+'OSEC-CONAP'!H147</f>
        <v>0</v>
      </c>
      <c r="H22" s="859">
        <f>-+'OSEC-CONAP'!H148</f>
        <v>-65000</v>
      </c>
      <c r="I22" s="859">
        <f>-+'OSEC-CONAP'!H149</f>
        <v>0</v>
      </c>
      <c r="J22" s="483">
        <f t="shared" si="14"/>
        <v>-65000</v>
      </c>
      <c r="K22" s="859"/>
      <c r="L22" s="859"/>
      <c r="M22" s="859"/>
      <c r="N22" s="483">
        <f t="shared" si="15"/>
        <v>0</v>
      </c>
      <c r="O22" s="859">
        <f t="shared" si="19"/>
        <v>0</v>
      </c>
      <c r="P22" s="859">
        <f t="shared" si="20"/>
        <v>-65000</v>
      </c>
      <c r="Q22" s="859">
        <f t="shared" si="21"/>
        <v>0</v>
      </c>
      <c r="R22" s="483">
        <f t="shared" si="22"/>
        <v>-65000</v>
      </c>
      <c r="S22" s="859">
        <f t="shared" si="23"/>
        <v>0</v>
      </c>
      <c r="T22" s="859">
        <f t="shared" si="24"/>
        <v>25220.610000000102</v>
      </c>
      <c r="U22" s="859">
        <f t="shared" si="25"/>
        <v>0</v>
      </c>
      <c r="V22" s="483">
        <f t="shared" si="26"/>
        <v>25220.610000000102</v>
      </c>
      <c r="W22" s="859">
        <f>+'OSEC-CONAP'!I147</f>
        <v>0</v>
      </c>
      <c r="X22" s="859">
        <f>+'OSEC-CONAP'!I148</f>
        <v>24025.75</v>
      </c>
      <c r="Y22" s="859">
        <f>+'OSEC-CONAP'!I149</f>
        <v>0</v>
      </c>
      <c r="Z22" s="483">
        <f t="shared" si="16"/>
        <v>24025.75</v>
      </c>
      <c r="AA22" s="859"/>
      <c r="AB22" s="859"/>
      <c r="AC22" s="859"/>
      <c r="AD22" s="483">
        <f t="shared" si="17"/>
        <v>0</v>
      </c>
      <c r="AE22" s="1203">
        <f t="shared" si="31"/>
        <v>0</v>
      </c>
      <c r="AF22" s="1203">
        <f t="shared" si="32"/>
        <v>24025.75</v>
      </c>
      <c r="AG22" s="1203">
        <f t="shared" si="35"/>
        <v>0</v>
      </c>
      <c r="AH22" s="483">
        <f t="shared" si="33"/>
        <v>24025.75</v>
      </c>
      <c r="AI22" s="1203">
        <f t="shared" si="27"/>
        <v>0</v>
      </c>
      <c r="AJ22" s="1203">
        <f t="shared" si="28"/>
        <v>1194.8600000001024</v>
      </c>
      <c r="AK22" s="1203">
        <f t="shared" si="29"/>
        <v>0</v>
      </c>
      <c r="AL22" s="483">
        <f t="shared" si="30"/>
        <v>1194.8600000001024</v>
      </c>
      <c r="AM22" s="1204" t="str">
        <f t="shared" si="6"/>
        <v xml:space="preserve"> </v>
      </c>
      <c r="AN22" s="1204">
        <f t="shared" si="7"/>
        <v>0.95262366770668527</v>
      </c>
      <c r="AO22" s="1204" t="str">
        <f t="shared" si="8"/>
        <v xml:space="preserve"> </v>
      </c>
      <c r="AP22" s="1204">
        <f t="shared" si="9"/>
        <v>0.95262366770668527</v>
      </c>
      <c r="AQ22" s="1205" t="str">
        <f t="shared" si="34"/>
        <v xml:space="preserve"> </v>
      </c>
      <c r="AR22" s="192"/>
      <c r="AS22" s="193"/>
      <c r="AT22" s="193">
        <v>1885900.4299999997</v>
      </c>
      <c r="AU22" s="206">
        <f t="shared" si="4"/>
        <v>-1795679.8199999996</v>
      </c>
      <c r="AV22" s="195"/>
      <c r="AW22" s="216">
        <f t="shared" si="18"/>
        <v>1861874.6799999997</v>
      </c>
      <c r="AX22" s="195"/>
      <c r="AY22" s="196"/>
      <c r="AZ22" s="196"/>
      <c r="BA22" s="195"/>
      <c r="BB22" s="195"/>
      <c r="BC22" s="195"/>
      <c r="BD22" s="195"/>
      <c r="BE22" s="195"/>
      <c r="BF22" s="195"/>
      <c r="BL22" s="189">
        <f>+'OSEC-CONAP'!D147</f>
        <v>0</v>
      </c>
      <c r="BM22" s="189">
        <f>+'OSEC-CONAP'!D148</f>
        <v>90220.610000003129</v>
      </c>
      <c r="BN22" s="189">
        <f>+'OSEC-CONAP'!D149</f>
        <v>0</v>
      </c>
      <c r="BP22" s="216">
        <f t="shared" si="10"/>
        <v>0</v>
      </c>
      <c r="BQ22" s="216">
        <f t="shared" si="11"/>
        <v>-3.0267983675003052E-9</v>
      </c>
      <c r="BR22" s="216">
        <f t="shared" si="12"/>
        <v>0</v>
      </c>
    </row>
    <row r="23" spans="1:70" s="189" customFormat="1" ht="12.75">
      <c r="A23" s="95" t="s">
        <v>935</v>
      </c>
      <c r="B23" s="1207" t="s">
        <v>683</v>
      </c>
      <c r="C23" s="859"/>
      <c r="D23" s="859">
        <f>1797435.59-1000000</f>
        <v>797435.59000000008</v>
      </c>
      <c r="E23" s="859">
        <v>4800000</v>
      </c>
      <c r="F23" s="483">
        <f t="shared" si="13"/>
        <v>5597435.5899999999</v>
      </c>
      <c r="G23" s="859">
        <f>-+'OSEC-CONAP'!H153</f>
        <v>0</v>
      </c>
      <c r="H23" s="859">
        <f>-+'OSEC-CONAP'!H154</f>
        <v>-350000</v>
      </c>
      <c r="I23" s="859">
        <f>-+'OSEC-CONAP'!H155</f>
        <v>0</v>
      </c>
      <c r="J23" s="483">
        <f t="shared" si="14"/>
        <v>-350000</v>
      </c>
      <c r="K23" s="859"/>
      <c r="L23" s="859"/>
      <c r="M23" s="859"/>
      <c r="N23" s="483">
        <f t="shared" si="15"/>
        <v>0</v>
      </c>
      <c r="O23" s="859">
        <f t="shared" si="19"/>
        <v>0</v>
      </c>
      <c r="P23" s="859">
        <f t="shared" si="20"/>
        <v>-350000</v>
      </c>
      <c r="Q23" s="859">
        <f t="shared" si="21"/>
        <v>0</v>
      </c>
      <c r="R23" s="483">
        <f t="shared" si="22"/>
        <v>-350000</v>
      </c>
      <c r="S23" s="859">
        <f t="shared" si="23"/>
        <v>0</v>
      </c>
      <c r="T23" s="859">
        <f t="shared" si="24"/>
        <v>447435.59000000008</v>
      </c>
      <c r="U23" s="859">
        <f t="shared" si="25"/>
        <v>4800000</v>
      </c>
      <c r="V23" s="483">
        <f t="shared" si="26"/>
        <v>5247435.59</v>
      </c>
      <c r="W23" s="859">
        <f>+'OSEC-CONAP'!I153</f>
        <v>0</v>
      </c>
      <c r="X23" s="859">
        <f>+'OSEC-CONAP'!I154</f>
        <v>389443.83999999997</v>
      </c>
      <c r="Y23" s="859">
        <f>+'OSEC-CONAP'!I155</f>
        <v>4033400</v>
      </c>
      <c r="Z23" s="483">
        <f t="shared" si="16"/>
        <v>4422843.84</v>
      </c>
      <c r="AA23" s="859"/>
      <c r="AB23" s="859"/>
      <c r="AC23" s="859"/>
      <c r="AD23" s="483">
        <f t="shared" si="17"/>
        <v>0</v>
      </c>
      <c r="AE23" s="1203">
        <f t="shared" si="31"/>
        <v>0</v>
      </c>
      <c r="AF23" s="1203">
        <f t="shared" si="32"/>
        <v>389443.83999999997</v>
      </c>
      <c r="AG23" s="1203">
        <f t="shared" si="35"/>
        <v>4033400</v>
      </c>
      <c r="AH23" s="483">
        <f t="shared" si="33"/>
        <v>4422843.84</v>
      </c>
      <c r="AI23" s="1203">
        <f t="shared" si="27"/>
        <v>0</v>
      </c>
      <c r="AJ23" s="1203">
        <f t="shared" si="28"/>
        <v>57991.750000000116</v>
      </c>
      <c r="AK23" s="1203">
        <f t="shared" si="29"/>
        <v>766600</v>
      </c>
      <c r="AL23" s="483">
        <f t="shared" si="30"/>
        <v>824591.75000000012</v>
      </c>
      <c r="AM23" s="1204" t="str">
        <f t="shared" si="6"/>
        <v xml:space="preserve"> </v>
      </c>
      <c r="AN23" s="1204">
        <f t="shared" si="7"/>
        <v>0.87039084217685925</v>
      </c>
      <c r="AO23" s="1204">
        <f t="shared" si="8"/>
        <v>0.84029166666666666</v>
      </c>
      <c r="AP23" s="1204">
        <f t="shared" si="9"/>
        <v>0.84285814740224374</v>
      </c>
      <c r="AQ23" s="1205" t="str">
        <f t="shared" si="34"/>
        <v xml:space="preserve"> </v>
      </c>
      <c r="AR23" s="192"/>
      <c r="AS23" s="193"/>
      <c r="AT23" s="205">
        <v>1252304.549999997</v>
      </c>
      <c r="AU23" s="206">
        <f t="shared" si="4"/>
        <v>4345131.0400000028</v>
      </c>
      <c r="AV23" s="195"/>
      <c r="AW23" s="216">
        <f t="shared" si="18"/>
        <v>-3170539.2900000028</v>
      </c>
      <c r="AX23" s="195"/>
      <c r="AY23" s="196"/>
      <c r="AZ23" s="196"/>
      <c r="BA23" s="195"/>
      <c r="BB23" s="195"/>
      <c r="BC23" s="195"/>
      <c r="BD23" s="195"/>
      <c r="BE23" s="195"/>
      <c r="BF23" s="195"/>
      <c r="BL23" s="189">
        <f>+'OSEC-CONAP'!D153</f>
        <v>0</v>
      </c>
      <c r="BM23" s="189">
        <f>+'OSEC-CONAP'!D154</f>
        <v>797435.58999999799</v>
      </c>
      <c r="BN23" s="189">
        <f>+'OSEC-CONAP'!D155</f>
        <v>4800000</v>
      </c>
      <c r="BP23" s="216">
        <f t="shared" si="10"/>
        <v>0</v>
      </c>
      <c r="BQ23" s="216">
        <f t="shared" si="11"/>
        <v>2.0954757928848267E-9</v>
      </c>
      <c r="BR23" s="216">
        <f t="shared" si="12"/>
        <v>0</v>
      </c>
    </row>
    <row r="24" spans="1:70" s="189" customFormat="1" ht="63.75">
      <c r="A24" s="95" t="s">
        <v>897</v>
      </c>
      <c r="B24" s="1208" t="s">
        <v>321</v>
      </c>
      <c r="C24" s="859"/>
      <c r="D24" s="859">
        <v>31134126.219999999</v>
      </c>
      <c r="E24" s="859"/>
      <c r="F24" s="483">
        <f>SUM(C24:E24)</f>
        <v>31134126.219999999</v>
      </c>
      <c r="G24" s="859">
        <f>-+'OSEC-CONAP'!H159</f>
        <v>0</v>
      </c>
      <c r="H24" s="859">
        <f>-+'OSEC-CONAP'!H160</f>
        <v>-12200000</v>
      </c>
      <c r="I24" s="859">
        <f>-+'OSEC-CONAP'!H161</f>
        <v>0</v>
      </c>
      <c r="J24" s="483">
        <f>SUM(G24:I24)</f>
        <v>-12200000</v>
      </c>
      <c r="K24" s="859"/>
      <c r="L24" s="859"/>
      <c r="M24" s="859"/>
      <c r="N24" s="483">
        <f>SUM(K24:M24)</f>
        <v>0</v>
      </c>
      <c r="O24" s="859">
        <f t="shared" si="19"/>
        <v>0</v>
      </c>
      <c r="P24" s="859">
        <f t="shared" si="20"/>
        <v>-12200000</v>
      </c>
      <c r="Q24" s="859">
        <f t="shared" si="21"/>
        <v>0</v>
      </c>
      <c r="R24" s="483">
        <f t="shared" si="22"/>
        <v>-12200000</v>
      </c>
      <c r="S24" s="859">
        <f t="shared" si="23"/>
        <v>0</v>
      </c>
      <c r="T24" s="859">
        <f t="shared" si="24"/>
        <v>18934126.219999999</v>
      </c>
      <c r="U24" s="859">
        <f t="shared" si="25"/>
        <v>0</v>
      </c>
      <c r="V24" s="483">
        <f t="shared" si="26"/>
        <v>18934126.219999999</v>
      </c>
      <c r="W24" s="859">
        <f>+'OSEC-CONAP'!I159</f>
        <v>0</v>
      </c>
      <c r="X24" s="859">
        <f>+'OSEC-CONAP'!I160</f>
        <v>18924929.969999999</v>
      </c>
      <c r="Y24" s="859">
        <f>+'OSEC-CONAP'!I161</f>
        <v>0</v>
      </c>
      <c r="Z24" s="483">
        <f t="shared" si="16"/>
        <v>18924929.969999999</v>
      </c>
      <c r="AA24" s="859"/>
      <c r="AB24" s="859"/>
      <c r="AC24" s="859"/>
      <c r="AD24" s="483">
        <f t="shared" si="17"/>
        <v>0</v>
      </c>
      <c r="AE24" s="1203">
        <f t="shared" si="31"/>
        <v>0</v>
      </c>
      <c r="AF24" s="1203">
        <f t="shared" si="32"/>
        <v>18924929.969999999</v>
      </c>
      <c r="AG24" s="1203">
        <f t="shared" si="35"/>
        <v>0</v>
      </c>
      <c r="AH24" s="483">
        <f t="shared" si="33"/>
        <v>18924929.969999999</v>
      </c>
      <c r="AI24" s="1203">
        <f t="shared" si="27"/>
        <v>0</v>
      </c>
      <c r="AJ24" s="1203">
        <f t="shared" si="28"/>
        <v>9196.25</v>
      </c>
      <c r="AK24" s="1203">
        <f t="shared" si="29"/>
        <v>0</v>
      </c>
      <c r="AL24" s="483">
        <f t="shared" si="30"/>
        <v>9196.25</v>
      </c>
      <c r="AM24" s="1204" t="str">
        <f t="shared" si="6"/>
        <v xml:space="preserve"> </v>
      </c>
      <c r="AN24" s="1204">
        <f t="shared" si="7"/>
        <v>0.99951430291035637</v>
      </c>
      <c r="AO24" s="1204" t="str">
        <f t="shared" si="8"/>
        <v xml:space="preserve"> </v>
      </c>
      <c r="AP24" s="1204">
        <f t="shared" si="9"/>
        <v>0.99951430291035637</v>
      </c>
      <c r="AQ24" s="1205" t="str">
        <f t="shared" si="34"/>
        <v xml:space="preserve"> </v>
      </c>
      <c r="AR24" s="192"/>
      <c r="AS24" s="193"/>
      <c r="AT24" s="193">
        <v>380007624.80999994</v>
      </c>
      <c r="AU24" s="206">
        <f t="shared" si="4"/>
        <v>-348873498.58999991</v>
      </c>
      <c r="AV24" s="195"/>
      <c r="AW24" s="216">
        <f t="shared" si="18"/>
        <v>361082694.83999991</v>
      </c>
      <c r="AX24" s="195"/>
      <c r="AY24" s="196"/>
      <c r="AZ24" s="196"/>
      <c r="BA24" s="195"/>
      <c r="BB24" s="195"/>
      <c r="BC24" s="195"/>
      <c r="BD24" s="195"/>
      <c r="BE24" s="195"/>
      <c r="BF24" s="195"/>
      <c r="BL24" s="189">
        <f>+'OSEC-CONAP'!D159</f>
        <v>0</v>
      </c>
      <c r="BM24" s="189">
        <f>+'OSEC-CONAP'!D160</f>
        <v>31134126.220000029</v>
      </c>
      <c r="BN24" s="189">
        <f>+'OSEC-CONAP'!D161</f>
        <v>0</v>
      </c>
      <c r="BP24" s="216">
        <f t="shared" si="10"/>
        <v>0</v>
      </c>
      <c r="BQ24" s="216">
        <f t="shared" si="11"/>
        <v>-2.9802322387695313E-8</v>
      </c>
      <c r="BR24" s="216">
        <f t="shared" si="12"/>
        <v>0</v>
      </c>
    </row>
    <row r="25" spans="1:70" s="216" customFormat="1" ht="12.75">
      <c r="B25" s="217" t="s">
        <v>73</v>
      </c>
      <c r="C25" s="213">
        <f t="shared" ref="C25:AL25" si="37">SUM(C22:C24)</f>
        <v>0</v>
      </c>
      <c r="D25" s="213">
        <f t="shared" si="37"/>
        <v>32021782.419999998</v>
      </c>
      <c r="E25" s="213">
        <f t="shared" si="37"/>
        <v>4800000</v>
      </c>
      <c r="F25" s="213">
        <f t="shared" si="37"/>
        <v>36821782.420000002</v>
      </c>
      <c r="G25" s="213">
        <f t="shared" si="37"/>
        <v>0</v>
      </c>
      <c r="H25" s="213">
        <f t="shared" si="37"/>
        <v>-12615000</v>
      </c>
      <c r="I25" s="213">
        <f t="shared" si="37"/>
        <v>0</v>
      </c>
      <c r="J25" s="213">
        <f t="shared" si="37"/>
        <v>-12615000</v>
      </c>
      <c r="K25" s="213">
        <f t="shared" si="37"/>
        <v>0</v>
      </c>
      <c r="L25" s="213">
        <f t="shared" si="37"/>
        <v>0</v>
      </c>
      <c r="M25" s="213">
        <f t="shared" si="37"/>
        <v>0</v>
      </c>
      <c r="N25" s="213">
        <f t="shared" si="37"/>
        <v>0</v>
      </c>
      <c r="O25" s="213">
        <f t="shared" si="37"/>
        <v>0</v>
      </c>
      <c r="P25" s="213">
        <f t="shared" si="37"/>
        <v>-12615000</v>
      </c>
      <c r="Q25" s="213">
        <f t="shared" si="37"/>
        <v>0</v>
      </c>
      <c r="R25" s="213">
        <f t="shared" si="37"/>
        <v>-12615000</v>
      </c>
      <c r="S25" s="213">
        <f t="shared" si="37"/>
        <v>0</v>
      </c>
      <c r="T25" s="213">
        <f t="shared" si="37"/>
        <v>19406782.419999998</v>
      </c>
      <c r="U25" s="213">
        <f t="shared" si="37"/>
        <v>4800000</v>
      </c>
      <c r="V25" s="213">
        <f t="shared" si="37"/>
        <v>24206782.419999998</v>
      </c>
      <c r="W25" s="213">
        <f t="shared" si="37"/>
        <v>0</v>
      </c>
      <c r="X25" s="213">
        <f t="shared" si="37"/>
        <v>19338399.559999999</v>
      </c>
      <c r="Y25" s="213">
        <f t="shared" si="37"/>
        <v>4033400</v>
      </c>
      <c r="Z25" s="213">
        <f t="shared" si="37"/>
        <v>23371799.559999999</v>
      </c>
      <c r="AA25" s="213">
        <f t="shared" si="37"/>
        <v>0</v>
      </c>
      <c r="AB25" s="213">
        <f t="shared" si="37"/>
        <v>0</v>
      </c>
      <c r="AC25" s="213">
        <f t="shared" si="37"/>
        <v>0</v>
      </c>
      <c r="AD25" s="213">
        <f t="shared" si="37"/>
        <v>0</v>
      </c>
      <c r="AE25" s="213">
        <f t="shared" si="37"/>
        <v>0</v>
      </c>
      <c r="AF25" s="213">
        <f t="shared" si="37"/>
        <v>19338399.559999999</v>
      </c>
      <c r="AG25" s="213">
        <f t="shared" si="37"/>
        <v>4033400</v>
      </c>
      <c r="AH25" s="213">
        <f t="shared" si="37"/>
        <v>23371799.559999999</v>
      </c>
      <c r="AI25" s="213">
        <f t="shared" si="37"/>
        <v>0</v>
      </c>
      <c r="AJ25" s="213">
        <f t="shared" si="37"/>
        <v>68382.860000000219</v>
      </c>
      <c r="AK25" s="213">
        <f t="shared" si="37"/>
        <v>766600</v>
      </c>
      <c r="AL25" s="213">
        <f t="shared" si="37"/>
        <v>834982.86000000022</v>
      </c>
      <c r="AM25" s="214" t="str">
        <f t="shared" si="6"/>
        <v xml:space="preserve"> </v>
      </c>
      <c r="AN25" s="214">
        <f t="shared" si="7"/>
        <v>0.99647634221273451</v>
      </c>
      <c r="AO25" s="214">
        <f t="shared" si="8"/>
        <v>0.84029166666666666</v>
      </c>
      <c r="AP25" s="214">
        <f t="shared" si="9"/>
        <v>0.96550624343571889</v>
      </c>
      <c r="AQ25" s="1201" t="str">
        <f t="shared" si="34"/>
        <v xml:space="preserve"> </v>
      </c>
      <c r="AR25" s="215"/>
      <c r="AS25" s="215"/>
      <c r="AT25" s="215"/>
      <c r="BP25" s="216">
        <f t="shared" si="10"/>
        <v>0</v>
      </c>
    </row>
    <row r="26" spans="1:70" s="189" customFormat="1" ht="12.75">
      <c r="B26" s="1209"/>
      <c r="C26" s="859"/>
      <c r="D26" s="859"/>
      <c r="E26" s="859"/>
      <c r="F26" s="483">
        <f t="shared" si="13"/>
        <v>0</v>
      </c>
      <c r="G26" s="859">
        <v>0</v>
      </c>
      <c r="H26" s="859">
        <v>0</v>
      </c>
      <c r="I26" s="859">
        <v>0</v>
      </c>
      <c r="J26" s="483">
        <f t="shared" si="14"/>
        <v>0</v>
      </c>
      <c r="K26" s="859"/>
      <c r="L26" s="859"/>
      <c r="M26" s="859"/>
      <c r="N26" s="483">
        <f t="shared" si="15"/>
        <v>0</v>
      </c>
      <c r="O26" s="859">
        <f t="shared" si="19"/>
        <v>0</v>
      </c>
      <c r="P26" s="859">
        <f t="shared" si="20"/>
        <v>0</v>
      </c>
      <c r="Q26" s="859">
        <f t="shared" si="21"/>
        <v>0</v>
      </c>
      <c r="R26" s="483">
        <f t="shared" si="22"/>
        <v>0</v>
      </c>
      <c r="S26" s="859">
        <f t="shared" si="23"/>
        <v>0</v>
      </c>
      <c r="T26" s="859">
        <f t="shared" si="24"/>
        <v>0</v>
      </c>
      <c r="U26" s="859">
        <f t="shared" si="25"/>
        <v>0</v>
      </c>
      <c r="V26" s="483">
        <f t="shared" si="26"/>
        <v>0</v>
      </c>
      <c r="W26" s="859">
        <v>0</v>
      </c>
      <c r="X26" s="859">
        <v>0</v>
      </c>
      <c r="Y26" s="859">
        <v>0</v>
      </c>
      <c r="Z26" s="483">
        <f t="shared" si="16"/>
        <v>0</v>
      </c>
      <c r="AA26" s="859"/>
      <c r="AB26" s="859"/>
      <c r="AC26" s="859"/>
      <c r="AD26" s="483">
        <f t="shared" si="17"/>
        <v>0</v>
      </c>
      <c r="AE26" s="1203">
        <f t="shared" si="31"/>
        <v>0</v>
      </c>
      <c r="AF26" s="1203">
        <f t="shared" si="32"/>
        <v>0</v>
      </c>
      <c r="AG26" s="1203">
        <f t="shared" si="35"/>
        <v>0</v>
      </c>
      <c r="AH26" s="483">
        <f t="shared" si="33"/>
        <v>0</v>
      </c>
      <c r="AI26" s="1203">
        <f t="shared" si="27"/>
        <v>0</v>
      </c>
      <c r="AJ26" s="1203">
        <f t="shared" si="28"/>
        <v>0</v>
      </c>
      <c r="AK26" s="1203">
        <f t="shared" si="29"/>
        <v>0</v>
      </c>
      <c r="AL26" s="483">
        <f t="shared" si="30"/>
        <v>0</v>
      </c>
      <c r="AM26" s="1204" t="str">
        <f t="shared" si="6"/>
        <v xml:space="preserve"> </v>
      </c>
      <c r="AN26" s="1204" t="str">
        <f t="shared" si="7"/>
        <v xml:space="preserve"> </v>
      </c>
      <c r="AO26" s="1204" t="str">
        <f t="shared" si="8"/>
        <v xml:space="preserve"> </v>
      </c>
      <c r="AP26" s="1204" t="str">
        <f t="shared" si="9"/>
        <v xml:space="preserve"> </v>
      </c>
      <c r="AQ26" s="1205"/>
      <c r="AR26" s="192"/>
      <c r="AS26" s="193"/>
      <c r="AT26" s="193"/>
      <c r="AU26" s="206">
        <f t="shared" si="4"/>
        <v>0</v>
      </c>
      <c r="AV26" s="195"/>
      <c r="AW26" s="216">
        <f t="shared" si="18"/>
        <v>0</v>
      </c>
      <c r="AX26" s="195"/>
      <c r="AY26" s="196"/>
      <c r="AZ26" s="196"/>
      <c r="BA26" s="195"/>
      <c r="BB26" s="195"/>
      <c r="BC26" s="195"/>
      <c r="BD26" s="195"/>
      <c r="BE26" s="195"/>
      <c r="BF26" s="195"/>
      <c r="BP26" s="216">
        <f t="shared" si="10"/>
        <v>0</v>
      </c>
      <c r="BQ26" s="216">
        <f t="shared" si="11"/>
        <v>0</v>
      </c>
      <c r="BR26" s="216">
        <f t="shared" si="12"/>
        <v>0</v>
      </c>
    </row>
    <row r="27" spans="1:70" s="189" customFormat="1" ht="12.75">
      <c r="B27" s="1210" t="s">
        <v>75</v>
      </c>
      <c r="C27" s="859"/>
      <c r="D27" s="859"/>
      <c r="E27" s="859"/>
      <c r="F27" s="483">
        <f t="shared" si="13"/>
        <v>0</v>
      </c>
      <c r="G27" s="859"/>
      <c r="H27" s="859"/>
      <c r="I27" s="859"/>
      <c r="J27" s="483">
        <f t="shared" si="14"/>
        <v>0</v>
      </c>
      <c r="K27" s="859"/>
      <c r="L27" s="859"/>
      <c r="M27" s="859"/>
      <c r="N27" s="483">
        <f t="shared" si="15"/>
        <v>0</v>
      </c>
      <c r="O27" s="859">
        <f t="shared" si="19"/>
        <v>0</v>
      </c>
      <c r="P27" s="859">
        <f t="shared" si="20"/>
        <v>0</v>
      </c>
      <c r="Q27" s="859">
        <f t="shared" si="21"/>
        <v>0</v>
      </c>
      <c r="R27" s="483">
        <f t="shared" si="22"/>
        <v>0</v>
      </c>
      <c r="S27" s="859">
        <f t="shared" si="23"/>
        <v>0</v>
      </c>
      <c r="T27" s="859">
        <f t="shared" si="24"/>
        <v>0</v>
      </c>
      <c r="U27" s="859">
        <f t="shared" si="25"/>
        <v>0</v>
      </c>
      <c r="V27" s="483">
        <f t="shared" si="26"/>
        <v>0</v>
      </c>
      <c r="W27" s="859"/>
      <c r="X27" s="859"/>
      <c r="Y27" s="859"/>
      <c r="Z27" s="483">
        <f t="shared" si="16"/>
        <v>0</v>
      </c>
      <c r="AA27" s="859"/>
      <c r="AB27" s="859"/>
      <c r="AC27" s="859"/>
      <c r="AD27" s="483">
        <f t="shared" si="17"/>
        <v>0</v>
      </c>
      <c r="AE27" s="1203">
        <f t="shared" si="31"/>
        <v>0</v>
      </c>
      <c r="AF27" s="1203">
        <f t="shared" si="32"/>
        <v>0</v>
      </c>
      <c r="AG27" s="1203">
        <f t="shared" si="35"/>
        <v>0</v>
      </c>
      <c r="AH27" s="483">
        <f t="shared" si="33"/>
        <v>0</v>
      </c>
      <c r="AI27" s="1203">
        <f t="shared" si="27"/>
        <v>0</v>
      </c>
      <c r="AJ27" s="1203">
        <f t="shared" si="28"/>
        <v>0</v>
      </c>
      <c r="AK27" s="1203">
        <f t="shared" si="29"/>
        <v>0</v>
      </c>
      <c r="AL27" s="483">
        <f t="shared" si="30"/>
        <v>0</v>
      </c>
      <c r="AM27" s="1204" t="str">
        <f t="shared" si="6"/>
        <v xml:space="preserve"> </v>
      </c>
      <c r="AN27" s="1204" t="str">
        <f t="shared" si="7"/>
        <v xml:space="preserve"> </v>
      </c>
      <c r="AO27" s="1204" t="str">
        <f t="shared" si="8"/>
        <v xml:space="preserve"> </v>
      </c>
      <c r="AP27" s="1204" t="str">
        <f t="shared" si="9"/>
        <v xml:space="preserve"> </v>
      </c>
      <c r="AQ27" s="1205"/>
      <c r="AR27" s="192"/>
      <c r="AS27" s="193"/>
      <c r="AT27" s="193"/>
      <c r="AU27" s="206">
        <f t="shared" si="4"/>
        <v>0</v>
      </c>
      <c r="AV27" s="195"/>
      <c r="AW27" s="216">
        <f t="shared" si="18"/>
        <v>0</v>
      </c>
      <c r="AX27" s="195"/>
      <c r="AY27" s="196"/>
      <c r="AZ27" s="196"/>
      <c r="BA27" s="195"/>
      <c r="BB27" s="195"/>
      <c r="BC27" s="195"/>
      <c r="BD27" s="195"/>
      <c r="BE27" s="195"/>
      <c r="BF27" s="195"/>
      <c r="BP27" s="216">
        <f t="shared" si="10"/>
        <v>0</v>
      </c>
      <c r="BQ27" s="216">
        <f t="shared" si="11"/>
        <v>0</v>
      </c>
      <c r="BR27" s="216">
        <f t="shared" si="12"/>
        <v>0</v>
      </c>
    </row>
    <row r="28" spans="1:70" s="189" customFormat="1" ht="12.75">
      <c r="A28" s="95" t="s">
        <v>908</v>
      </c>
      <c r="B28" s="1207" t="s">
        <v>678</v>
      </c>
      <c r="C28" s="859"/>
      <c r="D28" s="859">
        <v>300590.90000000037</v>
      </c>
      <c r="E28" s="859"/>
      <c r="F28" s="483">
        <f t="shared" si="13"/>
        <v>300590.90000000037</v>
      </c>
      <c r="G28" s="859">
        <f>-+'OSEC-CONAP'!H165</f>
        <v>0</v>
      </c>
      <c r="H28" s="859">
        <f>-+'OSEC-CONAP'!H166</f>
        <v>-160000</v>
      </c>
      <c r="I28" s="859">
        <f>-+'OSEC-CONAP'!H167</f>
        <v>0</v>
      </c>
      <c r="J28" s="483">
        <f t="shared" si="14"/>
        <v>-160000</v>
      </c>
      <c r="K28" s="859"/>
      <c r="L28" s="859"/>
      <c r="M28" s="859"/>
      <c r="N28" s="483">
        <f t="shared" si="15"/>
        <v>0</v>
      </c>
      <c r="O28" s="859">
        <f t="shared" si="19"/>
        <v>0</v>
      </c>
      <c r="P28" s="859">
        <f t="shared" si="20"/>
        <v>-160000</v>
      </c>
      <c r="Q28" s="859">
        <f t="shared" si="21"/>
        <v>0</v>
      </c>
      <c r="R28" s="483">
        <f t="shared" si="22"/>
        <v>-160000</v>
      </c>
      <c r="S28" s="859">
        <f t="shared" si="23"/>
        <v>0</v>
      </c>
      <c r="T28" s="859">
        <f t="shared" si="24"/>
        <v>140590.90000000037</v>
      </c>
      <c r="U28" s="859">
        <f t="shared" si="25"/>
        <v>0</v>
      </c>
      <c r="V28" s="483">
        <f t="shared" si="26"/>
        <v>140590.90000000037</v>
      </c>
      <c r="W28" s="859">
        <f>+'OSEC-CONAP'!I165</f>
        <v>0</v>
      </c>
      <c r="X28" s="859">
        <f>+'OSEC-CONAP'!I166</f>
        <v>136581.56</v>
      </c>
      <c r="Y28" s="859">
        <f>+'OSEC-CONAP'!I167</f>
        <v>0</v>
      </c>
      <c r="Z28" s="483">
        <f t="shared" si="16"/>
        <v>136581.56</v>
      </c>
      <c r="AA28" s="859"/>
      <c r="AB28" s="859"/>
      <c r="AC28" s="859"/>
      <c r="AD28" s="483">
        <f t="shared" si="17"/>
        <v>0</v>
      </c>
      <c r="AE28" s="1203">
        <f t="shared" si="31"/>
        <v>0</v>
      </c>
      <c r="AF28" s="1203">
        <f t="shared" si="32"/>
        <v>136581.56</v>
      </c>
      <c r="AG28" s="1203">
        <f t="shared" si="35"/>
        <v>0</v>
      </c>
      <c r="AH28" s="483">
        <f t="shared" si="33"/>
        <v>136581.56</v>
      </c>
      <c r="AI28" s="1203">
        <f t="shared" si="27"/>
        <v>0</v>
      </c>
      <c r="AJ28" s="1203">
        <f t="shared" si="28"/>
        <v>4009.3400000003749</v>
      </c>
      <c r="AK28" s="1203">
        <f t="shared" si="29"/>
        <v>0</v>
      </c>
      <c r="AL28" s="483">
        <f t="shared" si="30"/>
        <v>4009.3400000003749</v>
      </c>
      <c r="AM28" s="1204" t="str">
        <f t="shared" si="6"/>
        <v xml:space="preserve"> </v>
      </c>
      <c r="AN28" s="1204">
        <f t="shared" si="7"/>
        <v>0.97148222253360383</v>
      </c>
      <c r="AO28" s="1204" t="str">
        <f t="shared" si="8"/>
        <v xml:space="preserve"> </v>
      </c>
      <c r="AP28" s="1204">
        <f t="shared" si="9"/>
        <v>0.97148222253360383</v>
      </c>
      <c r="AQ28" s="1205" t="str">
        <f t="shared" si="34"/>
        <v xml:space="preserve"> </v>
      </c>
      <c r="AR28" s="192"/>
      <c r="AS28" s="193"/>
      <c r="AT28" s="193">
        <v>2699023.2099999934</v>
      </c>
      <c r="AU28" s="206">
        <f t="shared" si="4"/>
        <v>-2398432.3099999931</v>
      </c>
      <c r="AV28" s="195"/>
      <c r="AW28" s="216">
        <f t="shared" si="18"/>
        <v>2562441.6499999934</v>
      </c>
      <c r="AX28" s="195"/>
      <c r="AY28" s="196"/>
      <c r="AZ28" s="196"/>
      <c r="BA28" s="195"/>
      <c r="BB28" s="195"/>
      <c r="BC28" s="195"/>
      <c r="BD28" s="195"/>
      <c r="BE28" s="195"/>
      <c r="BF28" s="195"/>
      <c r="BL28" s="189">
        <f>+'OSEC-CONAP'!D165</f>
        <v>0</v>
      </c>
      <c r="BM28" s="189">
        <f>+'OSEC-CONAP'!D166</f>
        <v>300590.89999999106</v>
      </c>
      <c r="BN28" s="189">
        <f>+'OSEC-CONAP'!D167</f>
        <v>0</v>
      </c>
      <c r="BP28" s="216">
        <f t="shared" si="10"/>
        <v>0</v>
      </c>
      <c r="BQ28" s="216">
        <f t="shared" si="11"/>
        <v>9.3132257461547852E-9</v>
      </c>
      <c r="BR28" s="216">
        <f t="shared" si="12"/>
        <v>0</v>
      </c>
    </row>
    <row r="29" spans="1:70" s="189" customFormat="1" ht="12.75">
      <c r="A29" s="95" t="s">
        <v>908</v>
      </c>
      <c r="B29" s="1207" t="s">
        <v>76</v>
      </c>
      <c r="C29" s="859"/>
      <c r="D29" s="859">
        <v>899704.30999998748</v>
      </c>
      <c r="E29" s="859"/>
      <c r="F29" s="483">
        <f t="shared" si="13"/>
        <v>899704.30999998748</v>
      </c>
      <c r="G29" s="859">
        <f>-+'OSEC-CONAP'!H171</f>
        <v>0</v>
      </c>
      <c r="H29" s="859">
        <f>-+'OSEC-CONAP'!H172</f>
        <v>0</v>
      </c>
      <c r="I29" s="859">
        <f>-+'OSEC-CONAP'!H173</f>
        <v>0</v>
      </c>
      <c r="J29" s="483">
        <f t="shared" si="14"/>
        <v>0</v>
      </c>
      <c r="K29" s="859"/>
      <c r="L29" s="859"/>
      <c r="M29" s="859"/>
      <c r="N29" s="483">
        <f t="shared" si="15"/>
        <v>0</v>
      </c>
      <c r="O29" s="859">
        <f t="shared" si="19"/>
        <v>0</v>
      </c>
      <c r="P29" s="859">
        <f t="shared" si="20"/>
        <v>0</v>
      </c>
      <c r="Q29" s="859">
        <f t="shared" si="21"/>
        <v>0</v>
      </c>
      <c r="R29" s="483">
        <f t="shared" si="22"/>
        <v>0</v>
      </c>
      <c r="S29" s="859">
        <f t="shared" si="23"/>
        <v>0</v>
      </c>
      <c r="T29" s="859">
        <f t="shared" si="24"/>
        <v>899704.30999998748</v>
      </c>
      <c r="U29" s="859">
        <f t="shared" si="25"/>
        <v>0</v>
      </c>
      <c r="V29" s="483">
        <f t="shared" si="26"/>
        <v>899704.30999998748</v>
      </c>
      <c r="W29" s="859">
        <f>+'OSEC-CONAP'!I171</f>
        <v>0</v>
      </c>
      <c r="X29" s="859">
        <f>+'OSEC-CONAP'!I172</f>
        <v>899704.30999999994</v>
      </c>
      <c r="Y29" s="859">
        <f>+'OSEC-CONAP'!I173</f>
        <v>0</v>
      </c>
      <c r="Z29" s="483">
        <f t="shared" si="16"/>
        <v>899704.30999999994</v>
      </c>
      <c r="AA29" s="859"/>
      <c r="AB29" s="859"/>
      <c r="AC29" s="859"/>
      <c r="AD29" s="483">
        <f t="shared" si="17"/>
        <v>0</v>
      </c>
      <c r="AE29" s="1203">
        <f t="shared" si="31"/>
        <v>0</v>
      </c>
      <c r="AF29" s="1203">
        <f t="shared" si="32"/>
        <v>899704.30999999994</v>
      </c>
      <c r="AG29" s="1203">
        <f t="shared" si="35"/>
        <v>0</v>
      </c>
      <c r="AH29" s="483">
        <f t="shared" si="33"/>
        <v>899704.30999999994</v>
      </c>
      <c r="AI29" s="1203">
        <f t="shared" si="27"/>
        <v>0</v>
      </c>
      <c r="AJ29" s="1203">
        <f t="shared" si="28"/>
        <v>-1.2456439435482025E-8</v>
      </c>
      <c r="AK29" s="1203">
        <f t="shared" si="29"/>
        <v>0</v>
      </c>
      <c r="AL29" s="483">
        <f t="shared" si="30"/>
        <v>-1.2456439435482025E-8</v>
      </c>
      <c r="AM29" s="1204" t="str">
        <f t="shared" si="6"/>
        <v xml:space="preserve"> </v>
      </c>
      <c r="AN29" s="1204">
        <f t="shared" si="7"/>
        <v>1.0000000000000138</v>
      </c>
      <c r="AO29" s="1204" t="str">
        <f t="shared" si="8"/>
        <v xml:space="preserve"> </v>
      </c>
      <c r="AP29" s="1204">
        <f t="shared" si="9"/>
        <v>1.0000000000000138</v>
      </c>
      <c r="AQ29" s="1205" t="str">
        <f t="shared" si="34"/>
        <v xml:space="preserve"> </v>
      </c>
      <c r="AR29" s="192"/>
      <c r="AS29" s="193"/>
      <c r="AT29" s="193">
        <v>4055203.5599999875</v>
      </c>
      <c r="AU29" s="206">
        <f t="shared" si="4"/>
        <v>-3155499.25</v>
      </c>
      <c r="AV29" s="195"/>
      <c r="AW29" s="216">
        <f t="shared" si="18"/>
        <v>3155499.2499999874</v>
      </c>
      <c r="AX29" s="195"/>
      <c r="AY29" s="196"/>
      <c r="AZ29" s="196"/>
      <c r="BA29" s="195"/>
      <c r="BB29" s="195"/>
      <c r="BC29" s="195"/>
      <c r="BD29" s="195"/>
      <c r="BE29" s="195"/>
      <c r="BF29" s="195"/>
      <c r="BL29" s="189">
        <f>+'OSEC-CONAP'!D171</f>
        <v>0</v>
      </c>
      <c r="BM29" s="189">
        <f>+'OSEC-CONAP'!D172</f>
        <v>899704.30999998748</v>
      </c>
      <c r="BN29" s="189">
        <f>+'OSEC-CONAP'!D173</f>
        <v>0</v>
      </c>
      <c r="BP29" s="216">
        <f t="shared" si="10"/>
        <v>0</v>
      </c>
      <c r="BQ29" s="216">
        <f t="shared" si="11"/>
        <v>0</v>
      </c>
      <c r="BR29" s="216">
        <f t="shared" si="12"/>
        <v>0</v>
      </c>
    </row>
    <row r="30" spans="1:70" s="189" customFormat="1" ht="12.75">
      <c r="A30" s="95" t="s">
        <v>908</v>
      </c>
      <c r="B30" s="1207" t="s">
        <v>77</v>
      </c>
      <c r="C30" s="859"/>
      <c r="D30" s="859">
        <v>10914598.399999999</v>
      </c>
      <c r="E30" s="859"/>
      <c r="F30" s="483">
        <f t="shared" si="13"/>
        <v>10914598.399999999</v>
      </c>
      <c r="G30" s="859">
        <f>-+'OSEC-CONAP'!H177</f>
        <v>0</v>
      </c>
      <c r="H30" s="859">
        <f>-+'OSEC-CONAP'!H178</f>
        <v>-8000000</v>
      </c>
      <c r="I30" s="859">
        <f>-+'OSEC-CONAP'!H179</f>
        <v>0</v>
      </c>
      <c r="J30" s="483">
        <f t="shared" si="14"/>
        <v>-8000000</v>
      </c>
      <c r="K30" s="859"/>
      <c r="L30" s="859"/>
      <c r="M30" s="859"/>
      <c r="N30" s="483">
        <f t="shared" si="15"/>
        <v>0</v>
      </c>
      <c r="O30" s="859">
        <f t="shared" si="19"/>
        <v>0</v>
      </c>
      <c r="P30" s="859">
        <f t="shared" si="20"/>
        <v>-8000000</v>
      </c>
      <c r="Q30" s="859">
        <f t="shared" si="21"/>
        <v>0</v>
      </c>
      <c r="R30" s="483">
        <f t="shared" si="22"/>
        <v>-8000000</v>
      </c>
      <c r="S30" s="859">
        <f t="shared" si="23"/>
        <v>0</v>
      </c>
      <c r="T30" s="859">
        <f t="shared" si="24"/>
        <v>2914598.3999999985</v>
      </c>
      <c r="U30" s="859">
        <f t="shared" si="25"/>
        <v>0</v>
      </c>
      <c r="V30" s="483">
        <f t="shared" si="26"/>
        <v>2914598.3999999985</v>
      </c>
      <c r="W30" s="859">
        <f>+'OSEC-CONAP'!I177</f>
        <v>0</v>
      </c>
      <c r="X30" s="859">
        <f>+'OSEC-CONAP'!I178</f>
        <v>2906902.0499999989</v>
      </c>
      <c r="Y30" s="859">
        <f>+'OSEC-CONAP'!I179</f>
        <v>0</v>
      </c>
      <c r="Z30" s="483">
        <f t="shared" si="16"/>
        <v>2906902.0499999989</v>
      </c>
      <c r="AA30" s="859"/>
      <c r="AB30" s="859"/>
      <c r="AC30" s="859"/>
      <c r="AD30" s="483">
        <f t="shared" si="17"/>
        <v>0</v>
      </c>
      <c r="AE30" s="1203">
        <f t="shared" si="31"/>
        <v>0</v>
      </c>
      <c r="AF30" s="1203">
        <f t="shared" si="32"/>
        <v>2906902.0499999989</v>
      </c>
      <c r="AG30" s="1203">
        <f t="shared" si="35"/>
        <v>0</v>
      </c>
      <c r="AH30" s="483">
        <f t="shared" si="33"/>
        <v>2906902.0499999989</v>
      </c>
      <c r="AI30" s="1203">
        <f t="shared" si="27"/>
        <v>0</v>
      </c>
      <c r="AJ30" s="1203">
        <f t="shared" si="28"/>
        <v>7696.3499999996275</v>
      </c>
      <c r="AK30" s="1203">
        <f t="shared" si="29"/>
        <v>0</v>
      </c>
      <c r="AL30" s="483">
        <f t="shared" si="30"/>
        <v>7696.3499999996275</v>
      </c>
      <c r="AM30" s="1204" t="str">
        <f t="shared" si="6"/>
        <v xml:space="preserve"> </v>
      </c>
      <c r="AN30" s="1204">
        <f t="shared" si="7"/>
        <v>0.99735937891134518</v>
      </c>
      <c r="AO30" s="1204" t="str">
        <f t="shared" si="8"/>
        <v xml:space="preserve"> </v>
      </c>
      <c r="AP30" s="1204">
        <f t="shared" si="9"/>
        <v>0.99735937891134518</v>
      </c>
      <c r="AQ30" s="1205" t="str">
        <f t="shared" si="34"/>
        <v xml:space="preserve"> </v>
      </c>
      <c r="AR30" s="192"/>
      <c r="AS30" s="193"/>
      <c r="AT30" s="193">
        <v>185189467.05000001</v>
      </c>
      <c r="AU30" s="206">
        <f t="shared" si="4"/>
        <v>-174274868.65000001</v>
      </c>
      <c r="AV30" s="195"/>
      <c r="AW30" s="216">
        <f t="shared" si="18"/>
        <v>182282565</v>
      </c>
      <c r="AX30" s="195"/>
      <c r="AY30" s="196"/>
      <c r="AZ30" s="196"/>
      <c r="BA30" s="195"/>
      <c r="BB30" s="195"/>
      <c r="BC30" s="195"/>
      <c r="BD30" s="195"/>
      <c r="BE30" s="195"/>
      <c r="BF30" s="195"/>
      <c r="BL30" s="189">
        <f>+'OSEC-CONAP'!D177</f>
        <v>0</v>
      </c>
      <c r="BM30" s="189">
        <f>+'OSEC-CONAP'!D178</f>
        <v>10914598.399999976</v>
      </c>
      <c r="BN30" s="189">
        <f>+'OSEC-CONAP'!D179</f>
        <v>0</v>
      </c>
      <c r="BP30" s="216">
        <f t="shared" si="10"/>
        <v>0</v>
      </c>
      <c r="BQ30" s="216">
        <f t="shared" si="11"/>
        <v>2.2351741790771484E-8</v>
      </c>
      <c r="BR30" s="216">
        <f t="shared" si="12"/>
        <v>0</v>
      </c>
    </row>
    <row r="31" spans="1:70" s="189" customFormat="1" ht="12.75">
      <c r="A31" s="95" t="s">
        <v>908</v>
      </c>
      <c r="B31" s="1207" t="s">
        <v>78</v>
      </c>
      <c r="C31" s="859"/>
      <c r="D31" s="859">
        <v>234994.62999999523</v>
      </c>
      <c r="E31" s="859"/>
      <c r="F31" s="483">
        <f t="shared" si="13"/>
        <v>234994.62999999523</v>
      </c>
      <c r="G31" s="859">
        <f>-+'OSEC-CONAP'!H183</f>
        <v>0</v>
      </c>
      <c r="H31" s="859">
        <f>-+'OSEC-CONAP'!H184</f>
        <v>-150000</v>
      </c>
      <c r="I31" s="859">
        <f>-+'OSEC-CONAP'!H185</f>
        <v>0</v>
      </c>
      <c r="J31" s="483">
        <f t="shared" si="14"/>
        <v>-150000</v>
      </c>
      <c r="K31" s="859"/>
      <c r="L31" s="859"/>
      <c r="M31" s="859"/>
      <c r="N31" s="483">
        <f t="shared" si="15"/>
        <v>0</v>
      </c>
      <c r="O31" s="859">
        <f t="shared" si="19"/>
        <v>0</v>
      </c>
      <c r="P31" s="859">
        <f t="shared" si="20"/>
        <v>-150000</v>
      </c>
      <c r="Q31" s="859">
        <f t="shared" si="21"/>
        <v>0</v>
      </c>
      <c r="R31" s="483">
        <f t="shared" si="22"/>
        <v>-150000</v>
      </c>
      <c r="S31" s="859">
        <f t="shared" si="23"/>
        <v>0</v>
      </c>
      <c r="T31" s="859">
        <f t="shared" si="24"/>
        <v>84994.629999995232</v>
      </c>
      <c r="U31" s="859">
        <f t="shared" si="25"/>
        <v>0</v>
      </c>
      <c r="V31" s="483">
        <f t="shared" si="26"/>
        <v>84994.629999995232</v>
      </c>
      <c r="W31" s="859">
        <f>+'OSEC-CONAP'!I183</f>
        <v>0</v>
      </c>
      <c r="X31" s="859">
        <f>+'OSEC-CONAP'!I184</f>
        <v>83698.62</v>
      </c>
      <c r="Y31" s="859">
        <f>+'OSEC-CONAP'!I185</f>
        <v>0</v>
      </c>
      <c r="Z31" s="483">
        <f t="shared" si="16"/>
        <v>83698.62</v>
      </c>
      <c r="AA31" s="859"/>
      <c r="AB31" s="859"/>
      <c r="AC31" s="859"/>
      <c r="AD31" s="483">
        <f t="shared" si="17"/>
        <v>0</v>
      </c>
      <c r="AE31" s="1203">
        <f t="shared" si="31"/>
        <v>0</v>
      </c>
      <c r="AF31" s="1203">
        <f t="shared" si="32"/>
        <v>83698.62</v>
      </c>
      <c r="AG31" s="1203">
        <f t="shared" si="35"/>
        <v>0</v>
      </c>
      <c r="AH31" s="483">
        <f t="shared" si="33"/>
        <v>83698.62</v>
      </c>
      <c r="AI31" s="1203">
        <f t="shared" si="27"/>
        <v>0</v>
      </c>
      <c r="AJ31" s="1203">
        <f t="shared" si="28"/>
        <v>1296.0099999952363</v>
      </c>
      <c r="AK31" s="1203">
        <f t="shared" si="29"/>
        <v>0</v>
      </c>
      <c r="AL31" s="483">
        <f t="shared" si="30"/>
        <v>1296.0099999952363</v>
      </c>
      <c r="AM31" s="1204" t="str">
        <f t="shared" si="6"/>
        <v xml:space="preserve"> </v>
      </c>
      <c r="AN31" s="1204">
        <f t="shared" si="7"/>
        <v>0.98475186020581174</v>
      </c>
      <c r="AO31" s="1204" t="str">
        <f t="shared" si="8"/>
        <v xml:space="preserve"> </v>
      </c>
      <c r="AP31" s="1204">
        <f t="shared" si="9"/>
        <v>0.98475186020581174</v>
      </c>
      <c r="AQ31" s="1205" t="str">
        <f t="shared" si="34"/>
        <v xml:space="preserve"> </v>
      </c>
      <c r="AR31" s="192"/>
      <c r="AS31" s="193"/>
      <c r="AT31" s="193">
        <v>3175976.5900000036</v>
      </c>
      <c r="AU31" s="206">
        <f t="shared" si="4"/>
        <v>-2940981.9600000083</v>
      </c>
      <c r="AV31" s="195"/>
      <c r="AW31" s="216">
        <f t="shared" si="18"/>
        <v>3092277.9700000035</v>
      </c>
      <c r="AX31" s="195"/>
      <c r="AY31" s="196"/>
      <c r="AZ31" s="196"/>
      <c r="BA31" s="195"/>
      <c r="BB31" s="195"/>
      <c r="BC31" s="195"/>
      <c r="BD31" s="195"/>
      <c r="BE31" s="195"/>
      <c r="BF31" s="195"/>
      <c r="BL31" s="189">
        <f>+'OSEC-CONAP'!D183</f>
        <v>0</v>
      </c>
      <c r="BM31" s="189">
        <f>+'OSEC-CONAP'!D184</f>
        <v>234994.62999999523</v>
      </c>
      <c r="BN31" s="189">
        <f>+'OSEC-CONAP'!D185</f>
        <v>0</v>
      </c>
      <c r="BP31" s="216">
        <f t="shared" si="10"/>
        <v>0</v>
      </c>
      <c r="BQ31" s="216">
        <f t="shared" si="11"/>
        <v>0</v>
      </c>
      <c r="BR31" s="216">
        <f t="shared" si="12"/>
        <v>0</v>
      </c>
    </row>
    <row r="32" spans="1:70" s="189" customFormat="1" ht="12.75">
      <c r="A32" s="95" t="s">
        <v>908</v>
      </c>
      <c r="B32" s="1207" t="s">
        <v>370</v>
      </c>
      <c r="C32" s="859"/>
      <c r="D32" s="859">
        <v>19363373.019999996</v>
      </c>
      <c r="E32" s="859"/>
      <c r="F32" s="483">
        <f t="shared" si="13"/>
        <v>19363373.019999996</v>
      </c>
      <c r="G32" s="859">
        <f>-+'OSEC-CONAP'!H189</f>
        <v>0</v>
      </c>
      <c r="H32" s="859">
        <f>-+'OSEC-CONAP'!H190</f>
        <v>-9308006.6600000001</v>
      </c>
      <c r="I32" s="859">
        <f>-+'OSEC-CONAP'!H191</f>
        <v>0</v>
      </c>
      <c r="J32" s="483">
        <f t="shared" si="14"/>
        <v>-9308006.6600000001</v>
      </c>
      <c r="K32" s="859"/>
      <c r="L32" s="859"/>
      <c r="M32" s="859"/>
      <c r="N32" s="483">
        <f t="shared" si="15"/>
        <v>0</v>
      </c>
      <c r="O32" s="859">
        <f t="shared" si="19"/>
        <v>0</v>
      </c>
      <c r="P32" s="859">
        <f t="shared" si="20"/>
        <v>-9308006.6600000001</v>
      </c>
      <c r="Q32" s="859">
        <f t="shared" si="21"/>
        <v>0</v>
      </c>
      <c r="R32" s="483">
        <f t="shared" si="22"/>
        <v>-9308006.6600000001</v>
      </c>
      <c r="S32" s="859">
        <f t="shared" si="23"/>
        <v>0</v>
      </c>
      <c r="T32" s="859">
        <f t="shared" si="24"/>
        <v>10055366.359999996</v>
      </c>
      <c r="U32" s="859">
        <f t="shared" si="25"/>
        <v>0</v>
      </c>
      <c r="V32" s="483">
        <f t="shared" si="26"/>
        <v>10055366.359999996</v>
      </c>
      <c r="W32" s="859">
        <f>+'OSEC-CONAP'!I189</f>
        <v>0</v>
      </c>
      <c r="X32" s="859">
        <f>+'OSEC-CONAP'!I190</f>
        <v>2755365.3999999985</v>
      </c>
      <c r="Y32" s="859">
        <f>+'OSEC-CONAP'!I191</f>
        <v>0</v>
      </c>
      <c r="Z32" s="483">
        <f t="shared" si="16"/>
        <v>2755365.3999999985</v>
      </c>
      <c r="AA32" s="859"/>
      <c r="AB32" s="859"/>
      <c r="AC32" s="859"/>
      <c r="AD32" s="483">
        <f t="shared" si="17"/>
        <v>0</v>
      </c>
      <c r="AE32" s="1203">
        <f t="shared" si="31"/>
        <v>0</v>
      </c>
      <c r="AF32" s="1203">
        <f t="shared" si="32"/>
        <v>2755365.3999999985</v>
      </c>
      <c r="AG32" s="1203">
        <f t="shared" si="35"/>
        <v>0</v>
      </c>
      <c r="AH32" s="483">
        <f t="shared" si="33"/>
        <v>2755365.3999999985</v>
      </c>
      <c r="AI32" s="1203">
        <f t="shared" si="27"/>
        <v>0</v>
      </c>
      <c r="AJ32" s="1203">
        <f t="shared" si="28"/>
        <v>7300000.9599999972</v>
      </c>
      <c r="AK32" s="1203">
        <f t="shared" si="29"/>
        <v>0</v>
      </c>
      <c r="AL32" s="483">
        <f t="shared" si="30"/>
        <v>7300000.9599999972</v>
      </c>
      <c r="AM32" s="1204" t="str">
        <f t="shared" si="6"/>
        <v xml:space="preserve"> </v>
      </c>
      <c r="AN32" s="1204">
        <f t="shared" si="7"/>
        <v>0.27401939435650752</v>
      </c>
      <c r="AO32" s="1204" t="str">
        <f t="shared" si="8"/>
        <v xml:space="preserve"> </v>
      </c>
      <c r="AP32" s="1204">
        <f t="shared" si="9"/>
        <v>0.27401939435650752</v>
      </c>
      <c r="AQ32" s="1205" t="str">
        <f t="shared" si="34"/>
        <v xml:space="preserve"> </v>
      </c>
      <c r="AR32" s="192"/>
      <c r="AS32" s="193"/>
      <c r="AT32" s="193">
        <v>726406381.47000003</v>
      </c>
      <c r="AU32" s="206">
        <f t="shared" si="4"/>
        <v>-707043008.45000005</v>
      </c>
      <c r="AV32" s="195"/>
      <c r="AW32" s="216">
        <f t="shared" si="18"/>
        <v>723651016.07000005</v>
      </c>
      <c r="AX32" s="195"/>
      <c r="AY32" s="196"/>
      <c r="AZ32" s="196"/>
      <c r="BA32" s="195"/>
      <c r="BB32" s="195"/>
      <c r="BC32" s="195"/>
      <c r="BD32" s="195"/>
      <c r="BE32" s="195"/>
      <c r="BF32" s="195"/>
      <c r="BL32" s="189">
        <f>+'OSEC-CONAP'!D189</f>
        <v>0</v>
      </c>
      <c r="BM32" s="189">
        <f>+'OSEC-CONAP'!D190</f>
        <v>19363373.019999743</v>
      </c>
      <c r="BN32" s="189">
        <f>+'OSEC-CONAP'!D191</f>
        <v>0</v>
      </c>
      <c r="BP32" s="216">
        <f t="shared" si="10"/>
        <v>0</v>
      </c>
      <c r="BQ32" s="216">
        <f t="shared" si="11"/>
        <v>2.5331974029541016E-7</v>
      </c>
      <c r="BR32" s="216">
        <f t="shared" si="12"/>
        <v>0</v>
      </c>
    </row>
    <row r="33" spans="1:70" s="189" customFormat="1" ht="12.75">
      <c r="A33" s="95" t="s">
        <v>908</v>
      </c>
      <c r="B33" s="1207" t="s">
        <v>762</v>
      </c>
      <c r="C33" s="859"/>
      <c r="D33" s="859">
        <v>-3000000</v>
      </c>
      <c r="E33" s="859">
        <v>3000000</v>
      </c>
      <c r="F33" s="483">
        <f>SUM(C33:E33)</f>
        <v>0</v>
      </c>
      <c r="G33" s="859">
        <f>+'OSEC-CONAP'!H195</f>
        <v>0</v>
      </c>
      <c r="H33" s="859">
        <f>-+'OSEC-CONAP'!H196</f>
        <v>3000000</v>
      </c>
      <c r="I33" s="859">
        <f>-+'OSEC-CONAP'!H197</f>
        <v>-3000000</v>
      </c>
      <c r="J33" s="483">
        <f>SUM(G33:I33)</f>
        <v>0</v>
      </c>
      <c r="K33" s="859"/>
      <c r="L33" s="859"/>
      <c r="M33" s="859"/>
      <c r="N33" s="483">
        <f>SUM(K33:M33)</f>
        <v>0</v>
      </c>
      <c r="O33" s="859">
        <f>+G33+K33</f>
        <v>0</v>
      </c>
      <c r="P33" s="859">
        <f>+H33+L33</f>
        <v>3000000</v>
      </c>
      <c r="Q33" s="859">
        <f>+I33+M33</f>
        <v>-3000000</v>
      </c>
      <c r="R33" s="483">
        <f>SUM(O33:Q33)</f>
        <v>0</v>
      </c>
      <c r="S33" s="859">
        <f>+O33+C33</f>
        <v>0</v>
      </c>
      <c r="T33" s="859">
        <f>+P33+D33</f>
        <v>0</v>
      </c>
      <c r="U33" s="859">
        <f>+Q33+E33</f>
        <v>0</v>
      </c>
      <c r="V33" s="483">
        <f>SUM(S33:U33)</f>
        <v>0</v>
      </c>
      <c r="W33" s="859">
        <f>+'OSEC-CONAP'!I195</f>
        <v>0</v>
      </c>
      <c r="X33" s="859">
        <f>+'OSEC-CONAP'!I196</f>
        <v>0</v>
      </c>
      <c r="Y33" s="859">
        <f>+'OSEC-CONAP'!I197</f>
        <v>0</v>
      </c>
      <c r="Z33" s="483">
        <f>SUM(W33:Y33)</f>
        <v>0</v>
      </c>
      <c r="AA33" s="859"/>
      <c r="AB33" s="859"/>
      <c r="AC33" s="859"/>
      <c r="AD33" s="483">
        <f>SUM(AA33:AC33)</f>
        <v>0</v>
      </c>
      <c r="AE33" s="1203">
        <f>+AA33+W33</f>
        <v>0</v>
      </c>
      <c r="AF33" s="1203">
        <f>+AB33+X33</f>
        <v>0</v>
      </c>
      <c r="AG33" s="1203">
        <f>+AC33+Y33</f>
        <v>0</v>
      </c>
      <c r="AH33" s="483">
        <f>SUM(AE33:AG33)</f>
        <v>0</v>
      </c>
      <c r="AI33" s="1203">
        <f>+S33-AE33</f>
        <v>0</v>
      </c>
      <c r="AJ33" s="1203">
        <f>+T33-AF33</f>
        <v>0</v>
      </c>
      <c r="AK33" s="1203">
        <f>+U33-AG33</f>
        <v>0</v>
      </c>
      <c r="AL33" s="483">
        <f>SUM(AI33:AK33)</f>
        <v>0</v>
      </c>
      <c r="AM33" s="1204" t="str">
        <f t="shared" si="6"/>
        <v xml:space="preserve"> </v>
      </c>
      <c r="AN33" s="1204" t="str">
        <f t="shared" si="7"/>
        <v xml:space="preserve"> </v>
      </c>
      <c r="AO33" s="1204" t="str">
        <f t="shared" si="8"/>
        <v xml:space="preserve"> </v>
      </c>
      <c r="AP33" s="1204" t="str">
        <f t="shared" si="9"/>
        <v xml:space="preserve"> </v>
      </c>
      <c r="AQ33" s="1205" t="str">
        <f>IF(W33=0," ",AI33/W33)</f>
        <v xml:space="preserve"> </v>
      </c>
      <c r="AR33" s="192"/>
      <c r="AS33" s="193"/>
      <c r="AT33" s="193">
        <v>726406381.47000003</v>
      </c>
      <c r="AU33" s="206">
        <f>+F33-AT33</f>
        <v>-726406381.47000003</v>
      </c>
      <c r="AV33" s="195"/>
      <c r="AW33" s="216">
        <f>+AT33-AH33</f>
        <v>726406381.47000003</v>
      </c>
      <c r="AX33" s="195"/>
      <c r="AY33" s="196"/>
      <c r="AZ33" s="196"/>
      <c r="BA33" s="195"/>
      <c r="BB33" s="195"/>
      <c r="BC33" s="195"/>
      <c r="BD33" s="195"/>
      <c r="BE33" s="195"/>
      <c r="BF33" s="195"/>
      <c r="BL33" s="189">
        <f>+'OSEC-CONAP'!D195</f>
        <v>0</v>
      </c>
      <c r="BM33" s="189">
        <f>+'OSEC-CONAP'!D196</f>
        <v>-3000000</v>
      </c>
      <c r="BN33" s="189">
        <f>+'OSEC-CONAP'!D197</f>
        <v>3000000</v>
      </c>
      <c r="BP33" s="216">
        <f t="shared" si="10"/>
        <v>0</v>
      </c>
      <c r="BQ33" s="216">
        <f t="shared" si="11"/>
        <v>0</v>
      </c>
      <c r="BR33" s="216">
        <f t="shared" si="12"/>
        <v>0</v>
      </c>
    </row>
    <row r="34" spans="1:70" s="189" customFormat="1" ht="12.75">
      <c r="A34" s="95" t="s">
        <v>908</v>
      </c>
      <c r="B34" s="1207" t="s">
        <v>79</v>
      </c>
      <c r="C34" s="859"/>
      <c r="D34" s="859">
        <v>2639892.869999975</v>
      </c>
      <c r="E34" s="859"/>
      <c r="F34" s="483">
        <f t="shared" si="13"/>
        <v>2639892.869999975</v>
      </c>
      <c r="G34" s="859">
        <f>-+'OSEC-CONAP'!H201</f>
        <v>0</v>
      </c>
      <c r="H34" s="859">
        <f>-+'OSEC-CONAP'!H202</f>
        <v>0</v>
      </c>
      <c r="I34" s="859">
        <f>-+'OSEC-CONAP'!H203</f>
        <v>0</v>
      </c>
      <c r="J34" s="483">
        <f t="shared" si="14"/>
        <v>0</v>
      </c>
      <c r="K34" s="859"/>
      <c r="L34" s="859"/>
      <c r="M34" s="859"/>
      <c r="N34" s="483">
        <f t="shared" si="15"/>
        <v>0</v>
      </c>
      <c r="O34" s="859">
        <f t="shared" si="19"/>
        <v>0</v>
      </c>
      <c r="P34" s="859">
        <f t="shared" si="20"/>
        <v>0</v>
      </c>
      <c r="Q34" s="859">
        <f t="shared" si="21"/>
        <v>0</v>
      </c>
      <c r="R34" s="483">
        <f t="shared" si="22"/>
        <v>0</v>
      </c>
      <c r="S34" s="859">
        <f t="shared" si="23"/>
        <v>0</v>
      </c>
      <c r="T34" s="859">
        <f t="shared" si="24"/>
        <v>2639892.869999975</v>
      </c>
      <c r="U34" s="859">
        <f t="shared" si="25"/>
        <v>0</v>
      </c>
      <c r="V34" s="483">
        <f t="shared" si="26"/>
        <v>2639892.869999975</v>
      </c>
      <c r="W34" s="859">
        <f>+'OSEC-CONAP'!I201</f>
        <v>0</v>
      </c>
      <c r="X34" s="859">
        <f>+'OSEC-CONAP'!I202</f>
        <v>339892.87</v>
      </c>
      <c r="Y34" s="859">
        <f>+'OSEC-CONAP'!I203</f>
        <v>0</v>
      </c>
      <c r="Z34" s="483">
        <f t="shared" si="16"/>
        <v>339892.87</v>
      </c>
      <c r="AA34" s="859"/>
      <c r="AB34" s="859"/>
      <c r="AC34" s="859"/>
      <c r="AD34" s="483">
        <f t="shared" si="17"/>
        <v>0</v>
      </c>
      <c r="AE34" s="1203">
        <f t="shared" si="31"/>
        <v>0</v>
      </c>
      <c r="AF34" s="1203">
        <f t="shared" si="32"/>
        <v>339892.87</v>
      </c>
      <c r="AG34" s="1203">
        <f t="shared" si="35"/>
        <v>0</v>
      </c>
      <c r="AH34" s="483">
        <f t="shared" si="33"/>
        <v>339892.87</v>
      </c>
      <c r="AI34" s="1203">
        <f t="shared" si="27"/>
        <v>0</v>
      </c>
      <c r="AJ34" s="1203">
        <f t="shared" si="28"/>
        <v>2299999.9999999749</v>
      </c>
      <c r="AK34" s="1203">
        <f t="shared" si="29"/>
        <v>0</v>
      </c>
      <c r="AL34" s="483">
        <f t="shared" si="30"/>
        <v>2299999.9999999749</v>
      </c>
      <c r="AM34" s="1204" t="str">
        <f t="shared" si="6"/>
        <v xml:space="preserve"> </v>
      </c>
      <c r="AN34" s="1204">
        <f t="shared" si="7"/>
        <v>0.12875252396132394</v>
      </c>
      <c r="AO34" s="1204" t="str">
        <f t="shared" si="8"/>
        <v xml:space="preserve"> </v>
      </c>
      <c r="AP34" s="1204">
        <f t="shared" si="9"/>
        <v>0.12875252396132394</v>
      </c>
      <c r="AQ34" s="1205" t="str">
        <f t="shared" si="34"/>
        <v xml:space="preserve"> </v>
      </c>
      <c r="AR34" s="192"/>
      <c r="AS34" s="193"/>
      <c r="AT34" s="193">
        <v>7204749.3299999833</v>
      </c>
      <c r="AU34" s="206">
        <f t="shared" si="4"/>
        <v>-4564856.4600000083</v>
      </c>
      <c r="AV34" s="195"/>
      <c r="AW34" s="216">
        <f t="shared" si="18"/>
        <v>6864856.4599999832</v>
      </c>
      <c r="AX34" s="195"/>
      <c r="AY34" s="196"/>
      <c r="AZ34" s="196"/>
      <c r="BA34" s="195"/>
      <c r="BB34" s="195"/>
      <c r="BC34" s="195"/>
      <c r="BD34" s="195"/>
      <c r="BE34" s="195"/>
      <c r="BF34" s="195"/>
      <c r="BL34" s="189">
        <f>+'OSEC-CONAP'!D201</f>
        <v>0</v>
      </c>
      <c r="BM34" s="189">
        <f>+'OSEC-CONAP'!D202</f>
        <v>2639892.869999975</v>
      </c>
      <c r="BN34" s="189">
        <f>+'OSEC-CONAP'!D203</f>
        <v>0</v>
      </c>
      <c r="BP34" s="216">
        <f t="shared" si="10"/>
        <v>0</v>
      </c>
      <c r="BQ34" s="216">
        <f t="shared" si="11"/>
        <v>0</v>
      </c>
      <c r="BR34" s="216">
        <f t="shared" si="12"/>
        <v>0</v>
      </c>
    </row>
    <row r="35" spans="1:70" s="189" customFormat="1" ht="12.75">
      <c r="A35" s="95" t="s">
        <v>908</v>
      </c>
      <c r="B35" s="1207" t="s">
        <v>677</v>
      </c>
      <c r="C35" s="859"/>
      <c r="D35" s="859">
        <v>10166840.369999997</v>
      </c>
      <c r="E35" s="859"/>
      <c r="F35" s="483">
        <f t="shared" si="13"/>
        <v>10166840.369999997</v>
      </c>
      <c r="G35" s="859">
        <f>-+'OSEC-CONAP'!H207</f>
        <v>0</v>
      </c>
      <c r="H35" s="859">
        <f>-+'OSEC-CONAP'!H208</f>
        <v>0</v>
      </c>
      <c r="I35" s="859">
        <f>-+'OSEC-CONAP'!H209</f>
        <v>0</v>
      </c>
      <c r="J35" s="483">
        <f t="shared" si="14"/>
        <v>0</v>
      </c>
      <c r="K35" s="859"/>
      <c r="L35" s="859"/>
      <c r="M35" s="859"/>
      <c r="N35" s="483">
        <f t="shared" si="15"/>
        <v>0</v>
      </c>
      <c r="O35" s="859">
        <f t="shared" si="19"/>
        <v>0</v>
      </c>
      <c r="P35" s="859">
        <f t="shared" si="20"/>
        <v>0</v>
      </c>
      <c r="Q35" s="859">
        <f t="shared" si="21"/>
        <v>0</v>
      </c>
      <c r="R35" s="483">
        <f t="shared" si="22"/>
        <v>0</v>
      </c>
      <c r="S35" s="859">
        <f t="shared" si="23"/>
        <v>0</v>
      </c>
      <c r="T35" s="859">
        <f t="shared" si="24"/>
        <v>10166840.369999997</v>
      </c>
      <c r="U35" s="859">
        <f t="shared" si="25"/>
        <v>0</v>
      </c>
      <c r="V35" s="483">
        <f t="shared" si="26"/>
        <v>10166840.369999997</v>
      </c>
      <c r="W35" s="859">
        <f>+'OSEC-CONAP'!I207</f>
        <v>0</v>
      </c>
      <c r="X35" s="859">
        <f>+'OSEC-CONAP'!I208</f>
        <v>10116426.370000001</v>
      </c>
      <c r="Y35" s="859">
        <f>+'OSEC-CONAP'!I209</f>
        <v>0</v>
      </c>
      <c r="Z35" s="483">
        <f t="shared" si="16"/>
        <v>10116426.370000001</v>
      </c>
      <c r="AA35" s="859"/>
      <c r="AB35" s="859"/>
      <c r="AC35" s="859"/>
      <c r="AD35" s="483">
        <f t="shared" si="17"/>
        <v>0</v>
      </c>
      <c r="AE35" s="1203">
        <f t="shared" si="31"/>
        <v>0</v>
      </c>
      <c r="AF35" s="1203">
        <f t="shared" si="32"/>
        <v>10116426.370000001</v>
      </c>
      <c r="AG35" s="1203">
        <f t="shared" si="35"/>
        <v>0</v>
      </c>
      <c r="AH35" s="483">
        <f t="shared" si="33"/>
        <v>10116426.370000001</v>
      </c>
      <c r="AI35" s="1203">
        <f t="shared" si="27"/>
        <v>0</v>
      </c>
      <c r="AJ35" s="1203">
        <f t="shared" si="28"/>
        <v>50413.999999996275</v>
      </c>
      <c r="AK35" s="1203">
        <f t="shared" si="29"/>
        <v>0</v>
      </c>
      <c r="AL35" s="483">
        <f t="shared" si="30"/>
        <v>50413.999999996275</v>
      </c>
      <c r="AM35" s="1204" t="str">
        <f t="shared" si="6"/>
        <v xml:space="preserve"> </v>
      </c>
      <c r="AN35" s="1204">
        <f t="shared" si="7"/>
        <v>0.99504133062335109</v>
      </c>
      <c r="AO35" s="1204" t="str">
        <f t="shared" si="8"/>
        <v xml:space="preserve"> </v>
      </c>
      <c r="AP35" s="1204">
        <f t="shared" si="9"/>
        <v>0.99504133062335109</v>
      </c>
      <c r="AQ35" s="1205" t="str">
        <f t="shared" si="34"/>
        <v xml:space="preserve"> </v>
      </c>
      <c r="AR35" s="192"/>
      <c r="AS35" s="193"/>
      <c r="AT35" s="193">
        <v>1889928.379999999</v>
      </c>
      <c r="AU35" s="206">
        <f t="shared" si="4"/>
        <v>8276911.9899999984</v>
      </c>
      <c r="AV35" s="195"/>
      <c r="AW35" s="216">
        <f t="shared" si="18"/>
        <v>-8226497.9900000021</v>
      </c>
      <c r="AX35" s="195"/>
      <c r="AY35" s="196"/>
      <c r="AZ35" s="196"/>
      <c r="BA35" s="195"/>
      <c r="BB35" s="195"/>
      <c r="BC35" s="195"/>
      <c r="BD35" s="195"/>
      <c r="BE35" s="195"/>
      <c r="BF35" s="195"/>
      <c r="BL35" s="189">
        <f>+'OSEC-CONAP'!D207</f>
        <v>0</v>
      </c>
      <c r="BM35" s="189">
        <f>+'OSEC-CONAP'!D208</f>
        <v>10166840.369999997</v>
      </c>
      <c r="BN35" s="189">
        <f>+'OSEC-CONAP'!D209</f>
        <v>0</v>
      </c>
      <c r="BP35" s="216">
        <f t="shared" si="10"/>
        <v>0</v>
      </c>
      <c r="BQ35" s="216">
        <f t="shared" si="11"/>
        <v>0</v>
      </c>
      <c r="BR35" s="216">
        <f t="shared" si="12"/>
        <v>0</v>
      </c>
    </row>
    <row r="36" spans="1:70" s="189" customFormat="1" ht="12.75">
      <c r="A36" s="95" t="s">
        <v>908</v>
      </c>
      <c r="B36" s="1207" t="s">
        <v>676</v>
      </c>
      <c r="C36" s="859"/>
      <c r="D36" s="859">
        <v>63959005.539999992</v>
      </c>
      <c r="E36" s="859"/>
      <c r="F36" s="483">
        <f t="shared" si="13"/>
        <v>63959005.539999992</v>
      </c>
      <c r="G36" s="859">
        <f>-+'OSEC-CONAP'!H213</f>
        <v>0</v>
      </c>
      <c r="H36" s="859">
        <f>-+'OSEC-CONAP'!H214</f>
        <v>-3000000</v>
      </c>
      <c r="I36" s="859">
        <f>-+'OSEC-CONAP'!H215</f>
        <v>0</v>
      </c>
      <c r="J36" s="483">
        <f t="shared" si="14"/>
        <v>-3000000</v>
      </c>
      <c r="K36" s="859"/>
      <c r="L36" s="859"/>
      <c r="M36" s="859"/>
      <c r="N36" s="483">
        <f t="shared" si="15"/>
        <v>0</v>
      </c>
      <c r="O36" s="859">
        <f t="shared" si="19"/>
        <v>0</v>
      </c>
      <c r="P36" s="859">
        <f t="shared" si="20"/>
        <v>-3000000</v>
      </c>
      <c r="Q36" s="859">
        <f t="shared" si="21"/>
        <v>0</v>
      </c>
      <c r="R36" s="483">
        <f t="shared" si="22"/>
        <v>-3000000</v>
      </c>
      <c r="S36" s="859">
        <f t="shared" si="23"/>
        <v>0</v>
      </c>
      <c r="T36" s="859">
        <f t="shared" si="24"/>
        <v>60959005.539999992</v>
      </c>
      <c r="U36" s="859">
        <f t="shared" si="25"/>
        <v>0</v>
      </c>
      <c r="V36" s="483">
        <f t="shared" si="26"/>
        <v>60959005.539999992</v>
      </c>
      <c r="W36" s="859">
        <f>+'OSEC-CONAP'!I213</f>
        <v>0</v>
      </c>
      <c r="X36" s="859">
        <f>+'OSEC-CONAP'!I214</f>
        <v>60875255.539999992</v>
      </c>
      <c r="Y36" s="859">
        <f>+'OSEC-CONAP'!I215</f>
        <v>0</v>
      </c>
      <c r="Z36" s="483">
        <f t="shared" si="16"/>
        <v>60875255.539999992</v>
      </c>
      <c r="AA36" s="859"/>
      <c r="AB36" s="859"/>
      <c r="AC36" s="859"/>
      <c r="AD36" s="483">
        <f t="shared" si="17"/>
        <v>0</v>
      </c>
      <c r="AE36" s="1203">
        <f t="shared" si="31"/>
        <v>0</v>
      </c>
      <c r="AF36" s="1203">
        <f t="shared" si="32"/>
        <v>60875255.539999992</v>
      </c>
      <c r="AG36" s="1203">
        <f t="shared" si="35"/>
        <v>0</v>
      </c>
      <c r="AH36" s="483">
        <f t="shared" si="33"/>
        <v>60875255.539999992</v>
      </c>
      <c r="AI36" s="1203">
        <f t="shared" si="27"/>
        <v>0</v>
      </c>
      <c r="AJ36" s="1203">
        <f t="shared" si="28"/>
        <v>83750</v>
      </c>
      <c r="AK36" s="1203">
        <f t="shared" si="29"/>
        <v>0</v>
      </c>
      <c r="AL36" s="483">
        <f t="shared" si="30"/>
        <v>83750</v>
      </c>
      <c r="AM36" s="1204" t="str">
        <f t="shared" si="6"/>
        <v xml:space="preserve"> </v>
      </c>
      <c r="AN36" s="1204">
        <f t="shared" si="7"/>
        <v>0.99862612588151478</v>
      </c>
      <c r="AO36" s="1204" t="str">
        <f t="shared" si="8"/>
        <v xml:space="preserve"> </v>
      </c>
      <c r="AP36" s="1204">
        <f t="shared" si="9"/>
        <v>0.99862612588151478</v>
      </c>
      <c r="AQ36" s="1205" t="str">
        <f t="shared" si="34"/>
        <v xml:space="preserve"> </v>
      </c>
      <c r="AR36" s="192"/>
      <c r="AS36" s="193"/>
      <c r="AT36" s="193">
        <v>262217796.68999994</v>
      </c>
      <c r="AU36" s="206">
        <f t="shared" si="4"/>
        <v>-198258791.14999995</v>
      </c>
      <c r="AV36" s="195"/>
      <c r="AW36" s="216">
        <f t="shared" si="18"/>
        <v>201342541.14999995</v>
      </c>
      <c r="AX36" s="195"/>
      <c r="AY36" s="196"/>
      <c r="AZ36" s="196"/>
      <c r="BA36" s="195"/>
      <c r="BB36" s="195"/>
      <c r="BC36" s="195"/>
      <c r="BD36" s="195"/>
      <c r="BE36" s="195"/>
      <c r="BF36" s="195"/>
      <c r="BL36" s="189">
        <f>+'OSEC-CONAP'!D213</f>
        <v>0</v>
      </c>
      <c r="BM36" s="189">
        <f>+'OSEC-CONAP'!D214</f>
        <v>63959005.539999962</v>
      </c>
      <c r="BN36" s="189">
        <f>+'OSEC-CONAP'!D215</f>
        <v>0</v>
      </c>
      <c r="BP36" s="216">
        <f t="shared" si="10"/>
        <v>0</v>
      </c>
      <c r="BQ36" s="216">
        <f t="shared" si="11"/>
        <v>0</v>
      </c>
      <c r="BR36" s="216">
        <f t="shared" si="12"/>
        <v>0</v>
      </c>
    </row>
    <row r="37" spans="1:70" s="189" customFormat="1" ht="12.75">
      <c r="A37" s="95" t="s">
        <v>908</v>
      </c>
      <c r="B37" s="1207" t="s">
        <v>675</v>
      </c>
      <c r="C37" s="859"/>
      <c r="D37" s="859">
        <v>591635.96</v>
      </c>
      <c r="E37" s="859"/>
      <c r="F37" s="483">
        <f t="shared" si="13"/>
        <v>591635.96</v>
      </c>
      <c r="G37" s="859">
        <f>-+'OSEC-CONAP'!H219</f>
        <v>0</v>
      </c>
      <c r="H37" s="859">
        <f>-+'OSEC-CONAP'!H220</f>
        <v>-500000</v>
      </c>
      <c r="I37" s="859">
        <f>-+'OSEC-CONAP'!H221</f>
        <v>0</v>
      </c>
      <c r="J37" s="483">
        <f t="shared" si="14"/>
        <v>-500000</v>
      </c>
      <c r="K37" s="859"/>
      <c r="L37" s="859"/>
      <c r="M37" s="859"/>
      <c r="N37" s="483">
        <f t="shared" si="15"/>
        <v>0</v>
      </c>
      <c r="O37" s="859">
        <f t="shared" si="19"/>
        <v>0</v>
      </c>
      <c r="P37" s="859">
        <f t="shared" si="20"/>
        <v>-500000</v>
      </c>
      <c r="Q37" s="859">
        <f t="shared" si="21"/>
        <v>0</v>
      </c>
      <c r="R37" s="483">
        <f t="shared" si="22"/>
        <v>-500000</v>
      </c>
      <c r="S37" s="859">
        <f t="shared" si="23"/>
        <v>0</v>
      </c>
      <c r="T37" s="859">
        <f t="shared" si="24"/>
        <v>91635.959999999963</v>
      </c>
      <c r="U37" s="859">
        <f t="shared" si="25"/>
        <v>0</v>
      </c>
      <c r="V37" s="483">
        <f t="shared" si="26"/>
        <v>91635.959999999963</v>
      </c>
      <c r="W37" s="859">
        <f>+'OSEC-CONAP'!I219</f>
        <v>0</v>
      </c>
      <c r="X37" s="859">
        <f>+'OSEC-CONAP'!I220</f>
        <v>24251.840000000026</v>
      </c>
      <c r="Y37" s="859">
        <f>+'OSEC-CONAP'!I221</f>
        <v>0</v>
      </c>
      <c r="Z37" s="483">
        <f t="shared" si="16"/>
        <v>24251.840000000026</v>
      </c>
      <c r="AA37" s="859"/>
      <c r="AB37" s="859"/>
      <c r="AC37" s="859"/>
      <c r="AD37" s="483">
        <f t="shared" si="17"/>
        <v>0</v>
      </c>
      <c r="AE37" s="1203">
        <f t="shared" si="31"/>
        <v>0</v>
      </c>
      <c r="AF37" s="1203">
        <f t="shared" si="32"/>
        <v>24251.840000000026</v>
      </c>
      <c r="AG37" s="1203">
        <f t="shared" si="35"/>
        <v>0</v>
      </c>
      <c r="AH37" s="483">
        <f t="shared" si="33"/>
        <v>24251.840000000026</v>
      </c>
      <c r="AI37" s="1203">
        <f t="shared" si="27"/>
        <v>0</v>
      </c>
      <c r="AJ37" s="1203">
        <f t="shared" si="28"/>
        <v>67384.119999999937</v>
      </c>
      <c r="AK37" s="1203">
        <f t="shared" si="29"/>
        <v>0</v>
      </c>
      <c r="AL37" s="483">
        <f t="shared" si="30"/>
        <v>67384.119999999937</v>
      </c>
      <c r="AM37" s="1204" t="str">
        <f t="shared" si="6"/>
        <v xml:space="preserve"> </v>
      </c>
      <c r="AN37" s="1204">
        <f t="shared" si="7"/>
        <v>0.26465418161167337</v>
      </c>
      <c r="AO37" s="1204" t="str">
        <f t="shared" si="8"/>
        <v xml:space="preserve"> </v>
      </c>
      <c r="AP37" s="1204">
        <f t="shared" si="9"/>
        <v>0.26465418161167337</v>
      </c>
      <c r="AQ37" s="1205" t="str">
        <f t="shared" si="34"/>
        <v xml:space="preserve"> </v>
      </c>
      <c r="AR37" s="192"/>
      <c r="AS37" s="193"/>
      <c r="AT37" s="205">
        <v>6479707.0900000036</v>
      </c>
      <c r="AU37" s="206">
        <f t="shared" si="4"/>
        <v>-5888071.1300000036</v>
      </c>
      <c r="AV37" s="195"/>
      <c r="AW37" s="216">
        <f t="shared" si="18"/>
        <v>6455455.2500000037</v>
      </c>
      <c r="AX37" s="195"/>
      <c r="AY37" s="196"/>
      <c r="AZ37" s="196"/>
      <c r="BA37" s="195"/>
      <c r="BB37" s="195"/>
      <c r="BC37" s="195"/>
      <c r="BD37" s="195"/>
      <c r="BE37" s="195"/>
      <c r="BF37" s="195"/>
      <c r="BL37" s="189">
        <f>+'OSEC-CONAP'!D219</f>
        <v>0</v>
      </c>
      <c r="BM37" s="189">
        <f>+'OSEC-CONAP'!D220</f>
        <v>591635.95999999344</v>
      </c>
      <c r="BN37" s="189">
        <f>+'OSEC-CONAP'!D221</f>
        <v>0</v>
      </c>
      <c r="BP37" s="216">
        <f t="shared" si="10"/>
        <v>0</v>
      </c>
      <c r="BQ37" s="216">
        <f t="shared" si="11"/>
        <v>6.5192580223083496E-9</v>
      </c>
      <c r="BR37" s="216">
        <f t="shared" si="12"/>
        <v>0</v>
      </c>
    </row>
    <row r="38" spans="1:70" s="189" customFormat="1" ht="12.75">
      <c r="A38" s="95" t="s">
        <v>904</v>
      </c>
      <c r="B38" s="1207" t="s">
        <v>674</v>
      </c>
      <c r="C38" s="859"/>
      <c r="D38" s="859">
        <v>861425.87000000104</v>
      </c>
      <c r="E38" s="859"/>
      <c r="F38" s="483">
        <f t="shared" si="13"/>
        <v>861425.87000000104</v>
      </c>
      <c r="G38" s="859">
        <f>-+'OSEC-CONAP'!H225</f>
        <v>0</v>
      </c>
      <c r="H38" s="859">
        <f>-+'OSEC-CONAP'!H226</f>
        <v>-700000</v>
      </c>
      <c r="I38" s="859">
        <f>-+'OSEC-CONAP'!H227</f>
        <v>0</v>
      </c>
      <c r="J38" s="483">
        <f t="shared" si="14"/>
        <v>-700000</v>
      </c>
      <c r="K38" s="859"/>
      <c r="L38" s="859"/>
      <c r="M38" s="859"/>
      <c r="N38" s="483">
        <f t="shared" si="15"/>
        <v>0</v>
      </c>
      <c r="O38" s="859">
        <f t="shared" si="19"/>
        <v>0</v>
      </c>
      <c r="P38" s="859">
        <f t="shared" si="20"/>
        <v>-700000</v>
      </c>
      <c r="Q38" s="859">
        <f t="shared" si="21"/>
        <v>0</v>
      </c>
      <c r="R38" s="483">
        <f t="shared" si="22"/>
        <v>-700000</v>
      </c>
      <c r="S38" s="859">
        <f t="shared" si="23"/>
        <v>0</v>
      </c>
      <c r="T38" s="859">
        <f t="shared" si="24"/>
        <v>161425.87000000104</v>
      </c>
      <c r="U38" s="859">
        <f t="shared" si="25"/>
        <v>0</v>
      </c>
      <c r="V38" s="483">
        <f t="shared" si="26"/>
        <v>161425.87000000104</v>
      </c>
      <c r="W38" s="859">
        <f>+'OSEC-CONAP'!I225</f>
        <v>0</v>
      </c>
      <c r="X38" s="859">
        <f>+'OSEC-CONAP'!I226</f>
        <v>9992.0100000000093</v>
      </c>
      <c r="Y38" s="859">
        <f>+'OSEC-CONAP'!I227</f>
        <v>0</v>
      </c>
      <c r="Z38" s="483">
        <f t="shared" si="16"/>
        <v>9992.0100000000093</v>
      </c>
      <c r="AA38" s="859"/>
      <c r="AB38" s="859"/>
      <c r="AC38" s="859"/>
      <c r="AD38" s="483">
        <f t="shared" si="17"/>
        <v>0</v>
      </c>
      <c r="AE38" s="1203">
        <f t="shared" si="31"/>
        <v>0</v>
      </c>
      <c r="AF38" s="1203">
        <f t="shared" si="32"/>
        <v>9992.0100000000093</v>
      </c>
      <c r="AG38" s="1203">
        <f t="shared" si="35"/>
        <v>0</v>
      </c>
      <c r="AH38" s="483">
        <f t="shared" si="33"/>
        <v>9992.0100000000093</v>
      </c>
      <c r="AI38" s="1203">
        <f t="shared" si="27"/>
        <v>0</v>
      </c>
      <c r="AJ38" s="1203">
        <f t="shared" si="28"/>
        <v>151433.86000000103</v>
      </c>
      <c r="AK38" s="1203">
        <f t="shared" si="29"/>
        <v>0</v>
      </c>
      <c r="AL38" s="483">
        <f t="shared" si="30"/>
        <v>151433.86000000103</v>
      </c>
      <c r="AM38" s="1204" t="str">
        <f t="shared" si="6"/>
        <v xml:space="preserve"> </v>
      </c>
      <c r="AN38" s="1204">
        <f t="shared" si="7"/>
        <v>6.1898442919960384E-2</v>
      </c>
      <c r="AO38" s="1204" t="str">
        <f t="shared" si="8"/>
        <v xml:space="preserve"> </v>
      </c>
      <c r="AP38" s="1204">
        <f t="shared" si="9"/>
        <v>6.1898442919960384E-2</v>
      </c>
      <c r="AQ38" s="1205" t="str">
        <f t="shared" si="34"/>
        <v xml:space="preserve"> </v>
      </c>
      <c r="AR38" s="192"/>
      <c r="AS38" s="193"/>
      <c r="AT38" s="193">
        <v>440998.89999999851</v>
      </c>
      <c r="AU38" s="206">
        <f t="shared" si="4"/>
        <v>420426.97000000253</v>
      </c>
      <c r="AV38" s="195"/>
      <c r="AW38" s="216">
        <f t="shared" si="18"/>
        <v>431006.8899999985</v>
      </c>
      <c r="AX38" s="195"/>
      <c r="AY38" s="196"/>
      <c r="AZ38" s="196"/>
      <c r="BA38" s="195"/>
      <c r="BB38" s="195"/>
      <c r="BC38" s="195"/>
      <c r="BD38" s="195"/>
      <c r="BE38" s="195"/>
      <c r="BF38" s="195"/>
      <c r="BL38" s="189">
        <f>+'OSEC-CONAP'!D225</f>
        <v>0</v>
      </c>
      <c r="BM38" s="189">
        <f>+'OSEC-CONAP'!D226</f>
        <v>861425.87000000104</v>
      </c>
      <c r="BN38" s="189">
        <f>+'OSEC-CONAP'!D227</f>
        <v>0</v>
      </c>
      <c r="BP38" s="216">
        <f t="shared" si="10"/>
        <v>0</v>
      </c>
      <c r="BQ38" s="216">
        <f t="shared" si="11"/>
        <v>0</v>
      </c>
      <c r="BR38" s="216">
        <f t="shared" si="12"/>
        <v>0</v>
      </c>
    </row>
    <row r="39" spans="1:70" s="189" customFormat="1" ht="12.75">
      <c r="A39" s="95" t="s">
        <v>908</v>
      </c>
      <c r="B39" s="1207" t="s">
        <v>673</v>
      </c>
      <c r="C39" s="859"/>
      <c r="D39" s="859">
        <v>13285994.370000001</v>
      </c>
      <c r="E39" s="859"/>
      <c r="F39" s="483">
        <f t="shared" si="13"/>
        <v>13285994.370000001</v>
      </c>
      <c r="G39" s="859">
        <f>-+'OSEC-CONAP'!H231</f>
        <v>0</v>
      </c>
      <c r="H39" s="859">
        <f>-+'OSEC-CONAP'!H232</f>
        <v>-4545509.8</v>
      </c>
      <c r="I39" s="859">
        <f>-+'OSEC-CONAP'!H233</f>
        <v>0</v>
      </c>
      <c r="J39" s="483">
        <f t="shared" si="14"/>
        <v>-4545509.8</v>
      </c>
      <c r="K39" s="859"/>
      <c r="L39" s="859"/>
      <c r="M39" s="859"/>
      <c r="N39" s="483">
        <f t="shared" si="15"/>
        <v>0</v>
      </c>
      <c r="O39" s="859">
        <f t="shared" si="19"/>
        <v>0</v>
      </c>
      <c r="P39" s="859">
        <f t="shared" si="20"/>
        <v>-4545509.8</v>
      </c>
      <c r="Q39" s="859">
        <f t="shared" si="21"/>
        <v>0</v>
      </c>
      <c r="R39" s="483">
        <f t="shared" si="22"/>
        <v>-4545509.8</v>
      </c>
      <c r="S39" s="859">
        <f t="shared" si="23"/>
        <v>0</v>
      </c>
      <c r="T39" s="859">
        <f t="shared" si="24"/>
        <v>8740484.5700000003</v>
      </c>
      <c r="U39" s="859">
        <f t="shared" si="25"/>
        <v>0</v>
      </c>
      <c r="V39" s="483">
        <f t="shared" si="26"/>
        <v>8740484.5700000003</v>
      </c>
      <c r="W39" s="859">
        <f>+'OSEC-CONAP'!I231</f>
        <v>0</v>
      </c>
      <c r="X39" s="859">
        <f>+'OSEC-CONAP'!I232</f>
        <v>5671121.2400000012</v>
      </c>
      <c r="Y39" s="859">
        <f>+'OSEC-CONAP'!I233</f>
        <v>0</v>
      </c>
      <c r="Z39" s="483">
        <f t="shared" si="16"/>
        <v>5671121.2400000012</v>
      </c>
      <c r="AA39" s="859"/>
      <c r="AB39" s="859"/>
      <c r="AC39" s="859"/>
      <c r="AD39" s="483">
        <f t="shared" si="17"/>
        <v>0</v>
      </c>
      <c r="AE39" s="1203">
        <f t="shared" si="31"/>
        <v>0</v>
      </c>
      <c r="AF39" s="1203">
        <f t="shared" si="32"/>
        <v>5671121.2400000012</v>
      </c>
      <c r="AG39" s="1203">
        <f t="shared" si="35"/>
        <v>0</v>
      </c>
      <c r="AH39" s="483">
        <f t="shared" si="33"/>
        <v>5671121.2400000012</v>
      </c>
      <c r="AI39" s="1203">
        <f t="shared" si="27"/>
        <v>0</v>
      </c>
      <c r="AJ39" s="1203">
        <f t="shared" si="28"/>
        <v>3069363.3299999991</v>
      </c>
      <c r="AK39" s="1203">
        <f t="shared" si="29"/>
        <v>0</v>
      </c>
      <c r="AL39" s="483">
        <f t="shared" si="30"/>
        <v>3069363.3299999991</v>
      </c>
      <c r="AM39" s="1204" t="str">
        <f t="shared" si="6"/>
        <v xml:space="preserve"> </v>
      </c>
      <c r="AN39" s="1204">
        <f t="shared" si="7"/>
        <v>0.64883373394022259</v>
      </c>
      <c r="AO39" s="1204" t="str">
        <f t="shared" si="8"/>
        <v xml:space="preserve"> </v>
      </c>
      <c r="AP39" s="1204">
        <f t="shared" si="9"/>
        <v>0.64883373394022259</v>
      </c>
      <c r="AQ39" s="1205" t="str">
        <f t="shared" si="34"/>
        <v xml:space="preserve"> </v>
      </c>
      <c r="AR39" s="192"/>
      <c r="AS39" s="193"/>
      <c r="AT39" s="193">
        <v>35366000.930000007</v>
      </c>
      <c r="AU39" s="206">
        <f t="shared" si="4"/>
        <v>-22080006.560000006</v>
      </c>
      <c r="AV39" s="195"/>
      <c r="AW39" s="216">
        <f t="shared" si="18"/>
        <v>29694879.690000005</v>
      </c>
      <c r="AX39" s="195"/>
      <c r="AY39" s="196"/>
      <c r="AZ39" s="196"/>
      <c r="BA39" s="195"/>
      <c r="BB39" s="195"/>
      <c r="BC39" s="195"/>
      <c r="BD39" s="195"/>
      <c r="BE39" s="195"/>
      <c r="BF39" s="195"/>
      <c r="BL39" s="189">
        <f>+'OSEC-CONAP'!D231</f>
        <v>0</v>
      </c>
      <c r="BM39" s="189">
        <f>+'OSEC-CONAP'!D232</f>
        <v>13285994.369999975</v>
      </c>
      <c r="BN39" s="189">
        <f>+'OSEC-CONAP'!D233</f>
        <v>0</v>
      </c>
      <c r="BP39" s="216">
        <f t="shared" si="10"/>
        <v>0</v>
      </c>
      <c r="BQ39" s="216">
        <f t="shared" si="11"/>
        <v>2.6077032089233398E-8</v>
      </c>
      <c r="BR39" s="216">
        <f t="shared" si="12"/>
        <v>0</v>
      </c>
    </row>
    <row r="40" spans="1:70" s="189" customFormat="1" ht="12.75">
      <c r="A40" s="95" t="s">
        <v>908</v>
      </c>
      <c r="B40" s="1207" t="s">
        <v>672</v>
      </c>
      <c r="C40" s="859"/>
      <c r="D40" s="859">
        <v>8646110.9299999997</v>
      </c>
      <c r="E40" s="859">
        <v>80000000</v>
      </c>
      <c r="F40" s="483">
        <f t="shared" si="13"/>
        <v>88646110.930000007</v>
      </c>
      <c r="G40" s="859">
        <f>-+'OSEC-CONAP'!H237</f>
        <v>0</v>
      </c>
      <c r="H40" s="859">
        <f>-+'OSEC-CONAP'!H238</f>
        <v>-2929172</v>
      </c>
      <c r="I40" s="859">
        <f>-+'OSEC-CONAP'!H239</f>
        <v>0</v>
      </c>
      <c r="J40" s="483">
        <f t="shared" si="14"/>
        <v>-2929172</v>
      </c>
      <c r="K40" s="859"/>
      <c r="L40" s="859"/>
      <c r="M40" s="859"/>
      <c r="N40" s="483">
        <f t="shared" si="15"/>
        <v>0</v>
      </c>
      <c r="O40" s="859">
        <f t="shared" si="19"/>
        <v>0</v>
      </c>
      <c r="P40" s="859">
        <f t="shared" si="20"/>
        <v>-2929172</v>
      </c>
      <c r="Q40" s="859">
        <f t="shared" si="21"/>
        <v>0</v>
      </c>
      <c r="R40" s="483">
        <f t="shared" si="22"/>
        <v>-2929172</v>
      </c>
      <c r="S40" s="859">
        <f t="shared" si="23"/>
        <v>0</v>
      </c>
      <c r="T40" s="859">
        <f t="shared" si="24"/>
        <v>5716938.9299999997</v>
      </c>
      <c r="U40" s="859">
        <f t="shared" si="25"/>
        <v>80000000</v>
      </c>
      <c r="V40" s="483">
        <f t="shared" si="26"/>
        <v>85716938.930000007</v>
      </c>
      <c r="W40" s="859">
        <f>+'OSEC-CONAP'!I237</f>
        <v>0</v>
      </c>
      <c r="X40" s="859">
        <f>+'OSEC-CONAP'!I238</f>
        <v>5417373.9800000004</v>
      </c>
      <c r="Y40" s="859">
        <f>+'OSEC-CONAP'!I239</f>
        <v>79997680</v>
      </c>
      <c r="Z40" s="483">
        <f t="shared" si="16"/>
        <v>85415053.980000004</v>
      </c>
      <c r="AA40" s="859"/>
      <c r="AB40" s="859"/>
      <c r="AC40" s="859"/>
      <c r="AD40" s="483">
        <f t="shared" si="17"/>
        <v>0</v>
      </c>
      <c r="AE40" s="1203">
        <f t="shared" si="31"/>
        <v>0</v>
      </c>
      <c r="AF40" s="1203">
        <f t="shared" si="32"/>
        <v>5417373.9800000004</v>
      </c>
      <c r="AG40" s="1203">
        <f t="shared" si="35"/>
        <v>79997680</v>
      </c>
      <c r="AH40" s="483">
        <f t="shared" si="33"/>
        <v>85415053.980000004</v>
      </c>
      <c r="AI40" s="1203">
        <f t="shared" si="27"/>
        <v>0</v>
      </c>
      <c r="AJ40" s="1203">
        <f t="shared" si="28"/>
        <v>299564.94999999925</v>
      </c>
      <c r="AK40" s="1203">
        <f t="shared" si="29"/>
        <v>2320</v>
      </c>
      <c r="AL40" s="483">
        <f t="shared" si="30"/>
        <v>301884.94999999925</v>
      </c>
      <c r="AM40" s="1204" t="str">
        <f t="shared" si="6"/>
        <v xml:space="preserve"> </v>
      </c>
      <c r="AN40" s="1204">
        <f t="shared" si="7"/>
        <v>0.94760046352288052</v>
      </c>
      <c r="AO40" s="1204">
        <f t="shared" si="8"/>
        <v>0.99997100000000005</v>
      </c>
      <c r="AP40" s="1204">
        <f t="shared" si="9"/>
        <v>0.99647811793364982</v>
      </c>
      <c r="AQ40" s="1205" t="str">
        <f t="shared" si="34"/>
        <v xml:space="preserve"> </v>
      </c>
      <c r="AR40" s="192"/>
      <c r="AS40" s="193"/>
      <c r="AT40" s="193">
        <v>4096324.0599999949</v>
      </c>
      <c r="AU40" s="206">
        <f t="shared" si="4"/>
        <v>84549786.870000005</v>
      </c>
      <c r="AV40" s="195"/>
      <c r="AW40" s="216">
        <f t="shared" si="18"/>
        <v>-81318729.920000017</v>
      </c>
      <c r="AX40" s="195"/>
      <c r="AY40" s="196"/>
      <c r="AZ40" s="196"/>
      <c r="BA40" s="195"/>
      <c r="BB40" s="195"/>
      <c r="BC40" s="195"/>
      <c r="BD40" s="195"/>
      <c r="BE40" s="195"/>
      <c r="BF40" s="195"/>
      <c r="BL40" s="189">
        <f>+'OSEC-CONAP'!D237</f>
        <v>0</v>
      </c>
      <c r="BM40" s="189">
        <f>+'OSEC-CONAP'!D238</f>
        <v>8646110.930000037</v>
      </c>
      <c r="BN40" s="189">
        <f>+'OSEC-CONAP'!D239</f>
        <v>80000000</v>
      </c>
      <c r="BP40" s="216">
        <f t="shared" si="10"/>
        <v>0</v>
      </c>
      <c r="BQ40" s="216">
        <f t="shared" si="11"/>
        <v>-3.7252902984619141E-8</v>
      </c>
      <c r="BR40" s="216">
        <f t="shared" si="12"/>
        <v>0</v>
      </c>
    </row>
    <row r="41" spans="1:70" s="195" customFormat="1" ht="12.75">
      <c r="A41" s="95" t="s">
        <v>921</v>
      </c>
      <c r="B41" s="1211" t="s">
        <v>388</v>
      </c>
      <c r="C41" s="483"/>
      <c r="D41" s="483">
        <v>2844109.3200000003</v>
      </c>
      <c r="E41" s="483"/>
      <c r="F41" s="483">
        <f>SUM(C41:E41)</f>
        <v>2844109.3200000003</v>
      </c>
      <c r="G41" s="483">
        <f>-+'OSEC-CONAP'!H243</f>
        <v>0</v>
      </c>
      <c r="H41" s="483">
        <f>-+'OSEC-CONAP'!H244</f>
        <v>-200000</v>
      </c>
      <c r="I41" s="483">
        <f>-+'OSEC-CONAP'!H245</f>
        <v>0</v>
      </c>
      <c r="J41" s="483">
        <f>SUM(G41:I41)</f>
        <v>-200000</v>
      </c>
      <c r="K41" s="483"/>
      <c r="L41" s="483"/>
      <c r="M41" s="483"/>
      <c r="N41" s="483">
        <f>SUM(K41:M41)</f>
        <v>0</v>
      </c>
      <c r="O41" s="483">
        <f>+G41+K41</f>
        <v>0</v>
      </c>
      <c r="P41" s="483">
        <f>+H41+L41</f>
        <v>-200000</v>
      </c>
      <c r="Q41" s="483">
        <f>+I41+M41</f>
        <v>0</v>
      </c>
      <c r="R41" s="483">
        <f>SUM(O41:Q41)</f>
        <v>-200000</v>
      </c>
      <c r="S41" s="483">
        <f>+O41+C41</f>
        <v>0</v>
      </c>
      <c r="T41" s="483">
        <f>+P41+D41</f>
        <v>2644109.3200000003</v>
      </c>
      <c r="U41" s="483">
        <f>+Q41+E41</f>
        <v>0</v>
      </c>
      <c r="V41" s="483">
        <f>SUM(S41:U41)</f>
        <v>2644109.3200000003</v>
      </c>
      <c r="W41" s="483">
        <f>+'OSEC-CONAP'!I243</f>
        <v>0</v>
      </c>
      <c r="X41" s="483">
        <f>+'OSEC-CONAP'!I244</f>
        <v>2643122.2000000002</v>
      </c>
      <c r="Y41" s="483">
        <f>+'OSEC-CONAP'!I245</f>
        <v>0</v>
      </c>
      <c r="Z41" s="483">
        <f>SUM(W41:Y41)</f>
        <v>2643122.2000000002</v>
      </c>
      <c r="AA41" s="483"/>
      <c r="AB41" s="483"/>
      <c r="AC41" s="483"/>
      <c r="AD41" s="483">
        <f>SUM(AA41:AC41)</f>
        <v>0</v>
      </c>
      <c r="AE41" s="483">
        <f>+AA41+W41</f>
        <v>0</v>
      </c>
      <c r="AF41" s="483">
        <f>+AB41+X41</f>
        <v>2643122.2000000002</v>
      </c>
      <c r="AG41" s="483">
        <f>+AC41+Y41</f>
        <v>0</v>
      </c>
      <c r="AH41" s="483">
        <f>SUM(AE41:AG41)</f>
        <v>2643122.2000000002</v>
      </c>
      <c r="AI41" s="483">
        <f>+S41-AE41</f>
        <v>0</v>
      </c>
      <c r="AJ41" s="483">
        <f>+T41-AF41</f>
        <v>987.12000000011176</v>
      </c>
      <c r="AK41" s="483">
        <f>+U41-AG41</f>
        <v>0</v>
      </c>
      <c r="AL41" s="483">
        <f>SUM(AI41:AK41)</f>
        <v>987.12000000011176</v>
      </c>
      <c r="AM41" s="349" t="str">
        <f t="shared" si="6"/>
        <v xml:space="preserve"> </v>
      </c>
      <c r="AN41" s="349">
        <f t="shared" si="7"/>
        <v>0.99962667201672273</v>
      </c>
      <c r="AO41" s="349" t="str">
        <f t="shared" si="8"/>
        <v xml:space="preserve"> </v>
      </c>
      <c r="AP41" s="349">
        <f t="shared" si="9"/>
        <v>0.99962667201672273</v>
      </c>
      <c r="AQ41" s="1212" t="str">
        <f>IF(W41=0," ",AI41/W41)</f>
        <v xml:space="preserve"> </v>
      </c>
      <c r="AR41" s="193"/>
      <c r="AS41" s="193"/>
      <c r="AT41" s="193">
        <v>4096324.0599999949</v>
      </c>
      <c r="AU41" s="207">
        <f>+F41-AT41</f>
        <v>-1252214.7399999946</v>
      </c>
      <c r="AW41" s="207">
        <f>+AT41-AH41</f>
        <v>1453201.8599999947</v>
      </c>
      <c r="BL41" s="195">
        <f>+'OSEC-CONAP'!D243</f>
        <v>0</v>
      </c>
      <c r="BM41" s="195">
        <f>+'OSEC-CONAP'!D244</f>
        <v>2844109.3199999928</v>
      </c>
      <c r="BN41" s="195">
        <f>+'OSEC-CONAP'!D245</f>
        <v>0</v>
      </c>
      <c r="BP41" s="216">
        <f t="shared" si="10"/>
        <v>0</v>
      </c>
      <c r="BQ41" s="216">
        <f t="shared" si="11"/>
        <v>7.4505805969238281E-9</v>
      </c>
      <c r="BR41" s="216">
        <f t="shared" si="12"/>
        <v>0</v>
      </c>
    </row>
    <row r="42" spans="1:70" s="189" customFormat="1" ht="12.75">
      <c r="A42" s="95" t="s">
        <v>921</v>
      </c>
      <c r="B42" s="1207" t="s">
        <v>80</v>
      </c>
      <c r="C42" s="859"/>
      <c r="D42" s="859">
        <v>6145517.9000000004</v>
      </c>
      <c r="E42" s="859"/>
      <c r="F42" s="483">
        <f t="shared" si="13"/>
        <v>6145517.9000000004</v>
      </c>
      <c r="G42" s="859">
        <f>-+'OSEC-CONAP'!H249</f>
        <v>0</v>
      </c>
      <c r="H42" s="859">
        <f>-+'OSEC-CONAP'!H250</f>
        <v>-2219140</v>
      </c>
      <c r="I42" s="859">
        <f>-+'OSEC-CONAP'!H251</f>
        <v>0</v>
      </c>
      <c r="J42" s="483">
        <f t="shared" si="14"/>
        <v>-2219140</v>
      </c>
      <c r="K42" s="859"/>
      <c r="L42" s="859"/>
      <c r="M42" s="859"/>
      <c r="N42" s="483">
        <f t="shared" si="15"/>
        <v>0</v>
      </c>
      <c r="O42" s="859">
        <f t="shared" si="19"/>
        <v>0</v>
      </c>
      <c r="P42" s="859">
        <f t="shared" si="20"/>
        <v>-2219140</v>
      </c>
      <c r="Q42" s="859">
        <f t="shared" si="21"/>
        <v>0</v>
      </c>
      <c r="R42" s="483">
        <f t="shared" si="22"/>
        <v>-2219140</v>
      </c>
      <c r="S42" s="859">
        <f t="shared" si="23"/>
        <v>0</v>
      </c>
      <c r="T42" s="859">
        <f t="shared" si="24"/>
        <v>3926377.9000000004</v>
      </c>
      <c r="U42" s="859">
        <f t="shared" si="25"/>
        <v>0</v>
      </c>
      <c r="V42" s="483">
        <f t="shared" si="26"/>
        <v>3926377.9000000004</v>
      </c>
      <c r="W42" s="859">
        <f>+'OSEC-CONAP'!I249</f>
        <v>0</v>
      </c>
      <c r="X42" s="859">
        <f>+'OSEC-CONAP'!I250</f>
        <v>1337836.2500000005</v>
      </c>
      <c r="Y42" s="859">
        <f>+'OSEC-CONAP'!I251</f>
        <v>0</v>
      </c>
      <c r="Z42" s="483">
        <f t="shared" si="16"/>
        <v>1337836.2500000005</v>
      </c>
      <c r="AA42" s="859"/>
      <c r="AB42" s="859"/>
      <c r="AC42" s="859"/>
      <c r="AD42" s="483">
        <f t="shared" si="17"/>
        <v>0</v>
      </c>
      <c r="AE42" s="1203">
        <f t="shared" si="31"/>
        <v>0</v>
      </c>
      <c r="AF42" s="1203">
        <f t="shared" si="32"/>
        <v>1337836.2500000005</v>
      </c>
      <c r="AG42" s="1203">
        <f t="shared" si="35"/>
        <v>0</v>
      </c>
      <c r="AH42" s="483">
        <f t="shared" si="33"/>
        <v>1337836.2500000005</v>
      </c>
      <c r="AI42" s="1203">
        <f t="shared" si="27"/>
        <v>0</v>
      </c>
      <c r="AJ42" s="1203">
        <f t="shared" si="28"/>
        <v>2588541.65</v>
      </c>
      <c r="AK42" s="1203">
        <f t="shared" si="29"/>
        <v>0</v>
      </c>
      <c r="AL42" s="483">
        <f t="shared" si="30"/>
        <v>2588541.65</v>
      </c>
      <c r="AM42" s="1204" t="str">
        <f t="shared" si="6"/>
        <v xml:space="preserve"> </v>
      </c>
      <c r="AN42" s="1204">
        <f t="shared" si="7"/>
        <v>0.34073038410286499</v>
      </c>
      <c r="AO42" s="1204" t="str">
        <f t="shared" si="8"/>
        <v xml:space="preserve"> </v>
      </c>
      <c r="AP42" s="1204">
        <f t="shared" si="9"/>
        <v>0.34073038410286499</v>
      </c>
      <c r="AQ42" s="1205" t="str">
        <f t="shared" si="34"/>
        <v xml:space="preserve"> </v>
      </c>
      <c r="AR42" s="192"/>
      <c r="AS42" s="193"/>
      <c r="AT42" s="205">
        <v>9149458.4309999794</v>
      </c>
      <c r="AU42" s="206">
        <f t="shared" si="4"/>
        <v>-3003940.530999979</v>
      </c>
      <c r="AV42" s="195"/>
      <c r="AW42" s="216">
        <f t="shared" si="18"/>
        <v>7811622.1809999794</v>
      </c>
      <c r="AX42" s="195"/>
      <c r="AY42" s="196"/>
      <c r="AZ42" s="196"/>
      <c r="BA42" s="195"/>
      <c r="BB42" s="195"/>
      <c r="BC42" s="195"/>
      <c r="BD42" s="195"/>
      <c r="BE42" s="195"/>
      <c r="BF42" s="195"/>
      <c r="BL42" s="189">
        <f>+'OSEC-CONAP'!D249</f>
        <v>0</v>
      </c>
      <c r="BM42" s="189">
        <f>+'OSEC-CONAP'!D250</f>
        <v>6145517.900000006</v>
      </c>
      <c r="BN42" s="189">
        <f>+'OSEC-CONAP'!D251</f>
        <v>0</v>
      </c>
      <c r="BP42" s="216">
        <f t="shared" si="10"/>
        <v>0</v>
      </c>
      <c r="BQ42" s="216">
        <f t="shared" si="11"/>
        <v>0</v>
      </c>
      <c r="BR42" s="216">
        <f t="shared" si="12"/>
        <v>0</v>
      </c>
    </row>
    <row r="43" spans="1:70" s="189" customFormat="1" ht="12.75">
      <c r="A43" s="95" t="s">
        <v>921</v>
      </c>
      <c r="B43" s="1207" t="s">
        <v>81</v>
      </c>
      <c r="C43" s="859"/>
      <c r="D43" s="859"/>
      <c r="E43" s="859">
        <v>574873763.85000002</v>
      </c>
      <c r="F43" s="483">
        <f t="shared" si="13"/>
        <v>574873763.85000002</v>
      </c>
      <c r="G43" s="859">
        <f>-+'OSEC-CONAP'!H255</f>
        <v>0</v>
      </c>
      <c r="H43" s="859">
        <f>-+'OSEC-CONAP'!H256</f>
        <v>0</v>
      </c>
      <c r="I43" s="859">
        <f>-+'OSEC-CONAP'!H257</f>
        <v>-53454837</v>
      </c>
      <c r="J43" s="483">
        <f t="shared" si="14"/>
        <v>-53454837</v>
      </c>
      <c r="K43" s="859"/>
      <c r="L43" s="859"/>
      <c r="M43" s="859"/>
      <c r="N43" s="483">
        <f t="shared" si="15"/>
        <v>0</v>
      </c>
      <c r="O43" s="859">
        <f t="shared" si="19"/>
        <v>0</v>
      </c>
      <c r="P43" s="859">
        <f t="shared" si="20"/>
        <v>0</v>
      </c>
      <c r="Q43" s="859">
        <f t="shared" si="21"/>
        <v>-53454837</v>
      </c>
      <c r="R43" s="483">
        <f t="shared" si="22"/>
        <v>-53454837</v>
      </c>
      <c r="S43" s="859">
        <f t="shared" si="23"/>
        <v>0</v>
      </c>
      <c r="T43" s="859">
        <f t="shared" si="24"/>
        <v>0</v>
      </c>
      <c r="U43" s="859">
        <f t="shared" si="25"/>
        <v>521418926.85000002</v>
      </c>
      <c r="V43" s="483">
        <f t="shared" si="26"/>
        <v>521418926.85000002</v>
      </c>
      <c r="W43" s="859">
        <f>+'OSEC-CONAP'!I255</f>
        <v>0</v>
      </c>
      <c r="X43" s="859">
        <f>+'OSEC-CONAP'!I256</f>
        <v>0</v>
      </c>
      <c r="Y43" s="859">
        <f>+'OSEC-CONAP'!I257</f>
        <v>329732785</v>
      </c>
      <c r="Z43" s="483">
        <f t="shared" si="16"/>
        <v>329732785</v>
      </c>
      <c r="AA43" s="859"/>
      <c r="AB43" s="859"/>
      <c r="AC43" s="859"/>
      <c r="AD43" s="483">
        <f t="shared" si="17"/>
        <v>0</v>
      </c>
      <c r="AE43" s="1203">
        <f t="shared" si="31"/>
        <v>0</v>
      </c>
      <c r="AF43" s="1203">
        <f t="shared" si="32"/>
        <v>0</v>
      </c>
      <c r="AG43" s="1203">
        <f t="shared" si="35"/>
        <v>329732785</v>
      </c>
      <c r="AH43" s="483">
        <f t="shared" si="33"/>
        <v>329732785</v>
      </c>
      <c r="AI43" s="1203">
        <f t="shared" si="27"/>
        <v>0</v>
      </c>
      <c r="AJ43" s="1203">
        <f t="shared" si="28"/>
        <v>0</v>
      </c>
      <c r="AK43" s="1203">
        <f t="shared" si="29"/>
        <v>191686141.85000002</v>
      </c>
      <c r="AL43" s="483">
        <f t="shared" si="30"/>
        <v>191686141.85000002</v>
      </c>
      <c r="AM43" s="1204" t="str">
        <f t="shared" si="6"/>
        <v xml:space="preserve"> </v>
      </c>
      <c r="AN43" s="1204" t="str">
        <f t="shared" si="7"/>
        <v xml:space="preserve"> </v>
      </c>
      <c r="AO43" s="1204">
        <f t="shared" si="8"/>
        <v>0.63237594191676971</v>
      </c>
      <c r="AP43" s="1204">
        <f t="shared" si="9"/>
        <v>0.63237594191676971</v>
      </c>
      <c r="AQ43" s="1205" t="str">
        <f t="shared" si="34"/>
        <v xml:space="preserve"> </v>
      </c>
      <c r="AR43" s="192"/>
      <c r="AS43" s="193"/>
      <c r="AT43" s="193">
        <v>1345451082</v>
      </c>
      <c r="AU43" s="206">
        <f t="shared" si="4"/>
        <v>-770577318.14999998</v>
      </c>
      <c r="AV43" s="195" t="s">
        <v>690</v>
      </c>
      <c r="AW43" s="216">
        <f t="shared" si="18"/>
        <v>1015718297</v>
      </c>
      <c r="AX43" s="195"/>
      <c r="AY43" s="196"/>
      <c r="AZ43" s="196">
        <f>+AU43</f>
        <v>-770577318.14999998</v>
      </c>
      <c r="BA43" s="195"/>
      <c r="BB43" s="195"/>
      <c r="BC43" s="195"/>
      <c r="BD43" s="195"/>
      <c r="BE43" s="195"/>
      <c r="BF43" s="195"/>
      <c r="BL43" s="189">
        <f>+'OSEC-CONAP'!D255</f>
        <v>0</v>
      </c>
      <c r="BM43" s="189">
        <f>+'OSEC-CONAP'!D256</f>
        <v>0</v>
      </c>
      <c r="BN43" s="189">
        <f>+'OSEC-CONAP'!D257</f>
        <v>574873763.85000038</v>
      </c>
      <c r="BP43" s="216">
        <f t="shared" si="10"/>
        <v>0</v>
      </c>
      <c r="BQ43" s="216">
        <f t="shared" si="11"/>
        <v>0</v>
      </c>
      <c r="BR43" s="216">
        <f t="shared" si="12"/>
        <v>0</v>
      </c>
    </row>
    <row r="44" spans="1:70" s="189" customFormat="1" ht="12.75">
      <c r="B44" s="1209"/>
      <c r="C44" s="859"/>
      <c r="D44" s="859"/>
      <c r="E44" s="859"/>
      <c r="F44" s="483">
        <f t="shared" si="13"/>
        <v>0</v>
      </c>
      <c r="G44" s="859"/>
      <c r="H44" s="859"/>
      <c r="I44" s="859"/>
      <c r="J44" s="483">
        <f t="shared" si="14"/>
        <v>0</v>
      </c>
      <c r="K44" s="859"/>
      <c r="L44" s="859"/>
      <c r="M44" s="859"/>
      <c r="N44" s="483">
        <f t="shared" si="15"/>
        <v>0</v>
      </c>
      <c r="O44" s="859">
        <f t="shared" si="19"/>
        <v>0</v>
      </c>
      <c r="P44" s="859">
        <f t="shared" si="20"/>
        <v>0</v>
      </c>
      <c r="Q44" s="859">
        <f t="shared" si="21"/>
        <v>0</v>
      </c>
      <c r="R44" s="483">
        <f t="shared" si="22"/>
        <v>0</v>
      </c>
      <c r="S44" s="859">
        <f t="shared" si="23"/>
        <v>0</v>
      </c>
      <c r="T44" s="859">
        <f t="shared" si="24"/>
        <v>0</v>
      </c>
      <c r="U44" s="859">
        <f t="shared" si="25"/>
        <v>0</v>
      </c>
      <c r="V44" s="483">
        <f t="shared" si="26"/>
        <v>0</v>
      </c>
      <c r="W44" s="859"/>
      <c r="X44" s="859"/>
      <c r="Y44" s="859"/>
      <c r="Z44" s="483">
        <f t="shared" si="16"/>
        <v>0</v>
      </c>
      <c r="AA44" s="859"/>
      <c r="AB44" s="859"/>
      <c r="AC44" s="859"/>
      <c r="AD44" s="483">
        <f t="shared" si="17"/>
        <v>0</v>
      </c>
      <c r="AE44" s="1203">
        <f t="shared" si="31"/>
        <v>0</v>
      </c>
      <c r="AF44" s="1203">
        <f t="shared" si="32"/>
        <v>0</v>
      </c>
      <c r="AG44" s="1203">
        <f t="shared" si="35"/>
        <v>0</v>
      </c>
      <c r="AH44" s="483">
        <f t="shared" si="33"/>
        <v>0</v>
      </c>
      <c r="AI44" s="1203">
        <f t="shared" si="27"/>
        <v>0</v>
      </c>
      <c r="AJ44" s="1203">
        <f t="shared" si="28"/>
        <v>0</v>
      </c>
      <c r="AK44" s="1203">
        <f t="shared" si="29"/>
        <v>0</v>
      </c>
      <c r="AL44" s="483">
        <f t="shared" si="30"/>
        <v>0</v>
      </c>
      <c r="AM44" s="1204" t="str">
        <f t="shared" si="6"/>
        <v xml:space="preserve"> </v>
      </c>
      <c r="AN44" s="1204" t="str">
        <f t="shared" si="7"/>
        <v xml:space="preserve"> </v>
      </c>
      <c r="AO44" s="1204" t="str">
        <f t="shared" si="8"/>
        <v xml:space="preserve"> </v>
      </c>
      <c r="AP44" s="1204" t="str">
        <f t="shared" si="9"/>
        <v xml:space="preserve"> </v>
      </c>
      <c r="AQ44" s="1205"/>
      <c r="AR44" s="192"/>
      <c r="AS44" s="193"/>
      <c r="AT44" s="205"/>
      <c r="AU44" s="206">
        <f t="shared" si="4"/>
        <v>0</v>
      </c>
      <c r="AV44" s="195"/>
      <c r="AW44" s="216">
        <f t="shared" si="18"/>
        <v>0</v>
      </c>
      <c r="AX44" s="195"/>
      <c r="AY44" s="196"/>
      <c r="AZ44" s="196"/>
      <c r="BA44" s="195"/>
      <c r="BB44" s="195"/>
      <c r="BC44" s="195"/>
      <c r="BD44" s="195"/>
      <c r="BE44" s="195"/>
      <c r="BF44" s="195"/>
      <c r="BP44" s="216">
        <f t="shared" si="10"/>
        <v>0</v>
      </c>
      <c r="BQ44" s="216">
        <f t="shared" si="11"/>
        <v>0</v>
      </c>
      <c r="BR44" s="216">
        <f t="shared" si="12"/>
        <v>0</v>
      </c>
    </row>
    <row r="45" spans="1:70" s="216" customFormat="1" ht="12.75">
      <c r="B45" s="217" t="s">
        <v>73</v>
      </c>
      <c r="C45" s="213">
        <f t="shared" ref="C45:AL45" si="38">SUM(C28:C43)</f>
        <v>0</v>
      </c>
      <c r="D45" s="213">
        <f t="shared" si="38"/>
        <v>137853794.38999993</v>
      </c>
      <c r="E45" s="213">
        <f t="shared" si="38"/>
        <v>657873763.85000002</v>
      </c>
      <c r="F45" s="213">
        <f t="shared" si="38"/>
        <v>795727558.24000001</v>
      </c>
      <c r="G45" s="213">
        <f t="shared" si="38"/>
        <v>0</v>
      </c>
      <c r="H45" s="213">
        <f t="shared" si="38"/>
        <v>-28711828.460000001</v>
      </c>
      <c r="I45" s="213">
        <f t="shared" si="38"/>
        <v>-56454837</v>
      </c>
      <c r="J45" s="213">
        <f t="shared" si="38"/>
        <v>-85166665.460000008</v>
      </c>
      <c r="K45" s="213">
        <f t="shared" si="38"/>
        <v>0</v>
      </c>
      <c r="L45" s="213">
        <f t="shared" si="38"/>
        <v>0</v>
      </c>
      <c r="M45" s="213">
        <f t="shared" si="38"/>
        <v>0</v>
      </c>
      <c r="N45" s="213">
        <f t="shared" si="38"/>
        <v>0</v>
      </c>
      <c r="O45" s="213">
        <f t="shared" si="38"/>
        <v>0</v>
      </c>
      <c r="P45" s="213">
        <f t="shared" si="38"/>
        <v>-28711828.460000001</v>
      </c>
      <c r="Q45" s="213">
        <f t="shared" si="38"/>
        <v>-56454837</v>
      </c>
      <c r="R45" s="213">
        <f t="shared" si="38"/>
        <v>-85166665.460000008</v>
      </c>
      <c r="S45" s="213">
        <f t="shared" si="38"/>
        <v>0</v>
      </c>
      <c r="T45" s="213">
        <f t="shared" si="38"/>
        <v>109141965.92999995</v>
      </c>
      <c r="U45" s="213">
        <f t="shared" si="38"/>
        <v>601418926.85000002</v>
      </c>
      <c r="V45" s="213">
        <f t="shared" si="38"/>
        <v>710560892.77999997</v>
      </c>
      <c r="W45" s="213">
        <f t="shared" si="38"/>
        <v>0</v>
      </c>
      <c r="X45" s="213">
        <f t="shared" si="38"/>
        <v>93217524.24000001</v>
      </c>
      <c r="Y45" s="213">
        <f t="shared" si="38"/>
        <v>409730465</v>
      </c>
      <c r="Z45" s="213">
        <f t="shared" si="38"/>
        <v>502947989.24000001</v>
      </c>
      <c r="AA45" s="213">
        <f t="shared" si="38"/>
        <v>0</v>
      </c>
      <c r="AB45" s="213">
        <f t="shared" si="38"/>
        <v>0</v>
      </c>
      <c r="AC45" s="213">
        <f t="shared" si="38"/>
        <v>0</v>
      </c>
      <c r="AD45" s="213">
        <f t="shared" si="38"/>
        <v>0</v>
      </c>
      <c r="AE45" s="213">
        <f t="shared" si="38"/>
        <v>0</v>
      </c>
      <c r="AF45" s="213">
        <f t="shared" si="38"/>
        <v>93217524.24000001</v>
      </c>
      <c r="AG45" s="213">
        <f t="shared" si="38"/>
        <v>409730465</v>
      </c>
      <c r="AH45" s="213">
        <f t="shared" si="38"/>
        <v>502947989.24000001</v>
      </c>
      <c r="AI45" s="213">
        <f t="shared" si="38"/>
        <v>0</v>
      </c>
      <c r="AJ45" s="213">
        <f t="shared" si="38"/>
        <v>15924441.689999951</v>
      </c>
      <c r="AK45" s="213">
        <f t="shared" si="38"/>
        <v>191688461.85000002</v>
      </c>
      <c r="AL45" s="213">
        <f t="shared" si="38"/>
        <v>207612903.53999996</v>
      </c>
      <c r="AM45" s="214" t="str">
        <f t="shared" si="6"/>
        <v xml:space="preserve"> </v>
      </c>
      <c r="AN45" s="214">
        <f t="shared" si="7"/>
        <v>0.85409423813922003</v>
      </c>
      <c r="AO45" s="214">
        <f t="shared" si="8"/>
        <v>0.68127298079229048</v>
      </c>
      <c r="AP45" s="214">
        <f t="shared" si="9"/>
        <v>0.70781828039010874</v>
      </c>
      <c r="AQ45" s="1201" t="str">
        <f>IF(W45=0," ",AI45/W45)</f>
        <v xml:space="preserve"> </v>
      </c>
      <c r="AR45" s="215"/>
      <c r="AS45" s="215"/>
      <c r="AT45" s="215"/>
      <c r="BP45" s="216">
        <f t="shared" si="10"/>
        <v>0</v>
      </c>
    </row>
    <row r="46" spans="1:70" s="189" customFormat="1" ht="12.75">
      <c r="B46" s="1209"/>
      <c r="C46" s="859"/>
      <c r="D46" s="859"/>
      <c r="E46" s="859"/>
      <c r="F46" s="483"/>
      <c r="G46" s="859"/>
      <c r="H46" s="859"/>
      <c r="I46" s="859"/>
      <c r="J46" s="483"/>
      <c r="K46" s="859"/>
      <c r="L46" s="859"/>
      <c r="M46" s="859"/>
      <c r="N46" s="483"/>
      <c r="O46" s="859"/>
      <c r="P46" s="859"/>
      <c r="Q46" s="859"/>
      <c r="R46" s="483"/>
      <c r="S46" s="859"/>
      <c r="T46" s="859"/>
      <c r="U46" s="859"/>
      <c r="V46" s="483"/>
      <c r="W46" s="859"/>
      <c r="X46" s="859"/>
      <c r="Y46" s="859"/>
      <c r="Z46" s="483"/>
      <c r="AA46" s="859"/>
      <c r="AB46" s="859"/>
      <c r="AC46" s="859"/>
      <c r="AD46" s="483"/>
      <c r="AE46" s="1203"/>
      <c r="AF46" s="1203"/>
      <c r="AG46" s="1203"/>
      <c r="AH46" s="483"/>
      <c r="AI46" s="1203"/>
      <c r="AJ46" s="1203"/>
      <c r="AK46" s="1203"/>
      <c r="AL46" s="483"/>
      <c r="AM46" s="1204" t="str">
        <f t="shared" si="6"/>
        <v xml:space="preserve"> </v>
      </c>
      <c r="AN46" s="1204" t="str">
        <f t="shared" si="7"/>
        <v xml:space="preserve"> </v>
      </c>
      <c r="AO46" s="1204" t="str">
        <f t="shared" si="8"/>
        <v xml:space="preserve"> </v>
      </c>
      <c r="AP46" s="1204" t="str">
        <f t="shared" si="9"/>
        <v xml:space="preserve"> </v>
      </c>
      <c r="AQ46" s="1205"/>
      <c r="AR46" s="192"/>
      <c r="AS46" s="193"/>
      <c r="AT46" s="205"/>
      <c r="AU46" s="206"/>
      <c r="AV46" s="195"/>
      <c r="AW46" s="216"/>
      <c r="AX46" s="195"/>
      <c r="AY46" s="196"/>
      <c r="AZ46" s="196"/>
      <c r="BA46" s="195"/>
      <c r="BB46" s="195"/>
      <c r="BC46" s="195"/>
      <c r="BD46" s="195"/>
      <c r="BE46" s="195"/>
      <c r="BF46" s="195"/>
      <c r="BP46" s="216">
        <f t="shared" si="10"/>
        <v>0</v>
      </c>
      <c r="BQ46" s="216">
        <f t="shared" si="11"/>
        <v>0</v>
      </c>
      <c r="BR46" s="216">
        <f t="shared" si="12"/>
        <v>0</v>
      </c>
    </row>
    <row r="47" spans="1:70" s="189" customFormat="1" ht="12.75">
      <c r="B47" s="1210" t="s">
        <v>82</v>
      </c>
      <c r="C47" s="859"/>
      <c r="D47" s="859"/>
      <c r="E47" s="859"/>
      <c r="F47" s="483">
        <f t="shared" si="13"/>
        <v>0</v>
      </c>
      <c r="G47" s="859"/>
      <c r="H47" s="859"/>
      <c r="I47" s="859"/>
      <c r="J47" s="483">
        <f t="shared" si="14"/>
        <v>0</v>
      </c>
      <c r="K47" s="859"/>
      <c r="L47" s="859"/>
      <c r="M47" s="859"/>
      <c r="N47" s="483">
        <f t="shared" si="15"/>
        <v>0</v>
      </c>
      <c r="O47" s="859">
        <f t="shared" si="19"/>
        <v>0</v>
      </c>
      <c r="P47" s="859">
        <f t="shared" si="20"/>
        <v>0</v>
      </c>
      <c r="Q47" s="859">
        <f t="shared" si="21"/>
        <v>0</v>
      </c>
      <c r="R47" s="483">
        <f t="shared" si="22"/>
        <v>0</v>
      </c>
      <c r="S47" s="859">
        <f t="shared" si="23"/>
        <v>0</v>
      </c>
      <c r="T47" s="859">
        <f t="shared" si="24"/>
        <v>0</v>
      </c>
      <c r="U47" s="859">
        <f t="shared" si="25"/>
        <v>0</v>
      </c>
      <c r="V47" s="483">
        <f t="shared" si="26"/>
        <v>0</v>
      </c>
      <c r="W47" s="859"/>
      <c r="X47" s="859"/>
      <c r="Y47" s="859"/>
      <c r="Z47" s="483">
        <f t="shared" si="16"/>
        <v>0</v>
      </c>
      <c r="AA47" s="859"/>
      <c r="AB47" s="859"/>
      <c r="AC47" s="859"/>
      <c r="AD47" s="483">
        <f t="shared" si="17"/>
        <v>0</v>
      </c>
      <c r="AE47" s="1203">
        <f t="shared" si="31"/>
        <v>0</v>
      </c>
      <c r="AF47" s="1203">
        <f t="shared" si="32"/>
        <v>0</v>
      </c>
      <c r="AG47" s="1203">
        <f t="shared" si="35"/>
        <v>0</v>
      </c>
      <c r="AH47" s="483">
        <f t="shared" si="33"/>
        <v>0</v>
      </c>
      <c r="AI47" s="1203">
        <f t="shared" si="27"/>
        <v>0</v>
      </c>
      <c r="AJ47" s="1203">
        <f t="shared" si="28"/>
        <v>0</v>
      </c>
      <c r="AK47" s="1203">
        <f t="shared" si="29"/>
        <v>0</v>
      </c>
      <c r="AL47" s="483">
        <f t="shared" si="30"/>
        <v>0</v>
      </c>
      <c r="AM47" s="1204" t="str">
        <f t="shared" si="6"/>
        <v xml:space="preserve"> </v>
      </c>
      <c r="AN47" s="1204" t="str">
        <f t="shared" si="7"/>
        <v xml:space="preserve"> </v>
      </c>
      <c r="AO47" s="1204" t="str">
        <f t="shared" si="8"/>
        <v xml:space="preserve"> </v>
      </c>
      <c r="AP47" s="1204" t="str">
        <f t="shared" si="9"/>
        <v xml:space="preserve"> </v>
      </c>
      <c r="AQ47" s="1205" t="str">
        <f t="shared" si="34"/>
        <v xml:space="preserve"> </v>
      </c>
      <c r="AR47" s="192"/>
      <c r="AS47" s="193"/>
      <c r="AT47" s="193"/>
      <c r="AU47" s="206">
        <f t="shared" si="4"/>
        <v>0</v>
      </c>
      <c r="AV47" s="195"/>
      <c r="AW47" s="216">
        <f t="shared" si="18"/>
        <v>0</v>
      </c>
      <c r="AX47" s="195"/>
      <c r="AY47" s="196"/>
      <c r="AZ47" s="196"/>
      <c r="BA47" s="195"/>
      <c r="BB47" s="195"/>
      <c r="BC47" s="195"/>
      <c r="BD47" s="195"/>
      <c r="BE47" s="195"/>
      <c r="BF47" s="195"/>
      <c r="BP47" s="216">
        <f t="shared" si="10"/>
        <v>0</v>
      </c>
      <c r="BQ47" s="216">
        <f t="shared" si="11"/>
        <v>0</v>
      </c>
      <c r="BR47" s="216">
        <f t="shared" si="12"/>
        <v>0</v>
      </c>
    </row>
    <row r="48" spans="1:70" s="195" customFormat="1" ht="12.75">
      <c r="A48" s="95" t="s">
        <v>916</v>
      </c>
      <c r="B48" s="1213" t="s">
        <v>394</v>
      </c>
      <c r="C48" s="483"/>
      <c r="D48" s="483">
        <v>904357</v>
      </c>
      <c r="E48" s="483"/>
      <c r="F48" s="483">
        <f>SUM(C48:E48)</f>
        <v>904357</v>
      </c>
      <c r="G48" s="483">
        <f>-+'OSEC-CONAP'!H261</f>
        <v>0</v>
      </c>
      <c r="H48" s="483">
        <f>-+'OSEC-CONAP'!H262</f>
        <v>-904357</v>
      </c>
      <c r="I48" s="483">
        <f>-+'OSEC-CONAP'!H263</f>
        <v>0</v>
      </c>
      <c r="J48" s="483">
        <f>SUM(G48:I48)</f>
        <v>-904357</v>
      </c>
      <c r="K48" s="483"/>
      <c r="L48" s="483"/>
      <c r="M48" s="483"/>
      <c r="N48" s="483">
        <f>SUM(K48:M48)</f>
        <v>0</v>
      </c>
      <c r="O48" s="483">
        <f t="shared" ref="O48:Q50" si="39">+G48+K48</f>
        <v>0</v>
      </c>
      <c r="P48" s="483">
        <f t="shared" si="39"/>
        <v>-904357</v>
      </c>
      <c r="Q48" s="483">
        <f t="shared" si="39"/>
        <v>0</v>
      </c>
      <c r="R48" s="483">
        <f>SUM(O48:Q48)</f>
        <v>-904357</v>
      </c>
      <c r="S48" s="483">
        <f t="shared" ref="S48:U50" si="40">+O48+C48</f>
        <v>0</v>
      </c>
      <c r="T48" s="483">
        <f t="shared" si="40"/>
        <v>0</v>
      </c>
      <c r="U48" s="483">
        <f t="shared" si="40"/>
        <v>0</v>
      </c>
      <c r="V48" s="483">
        <f>SUM(S48:U48)</f>
        <v>0</v>
      </c>
      <c r="W48" s="483">
        <f>+'OSEC-CONAP'!I261</f>
        <v>0</v>
      </c>
      <c r="X48" s="483">
        <f>+'OSEC-CONAP'!I262</f>
        <v>0</v>
      </c>
      <c r="Y48" s="483">
        <f>+'OSEC-CONAP'!I263</f>
        <v>0</v>
      </c>
      <c r="Z48" s="483">
        <f>SUM(W48:Y48)</f>
        <v>0</v>
      </c>
      <c r="AA48" s="483"/>
      <c r="AB48" s="483"/>
      <c r="AC48" s="483"/>
      <c r="AD48" s="483">
        <f>SUM(AA48:AC48)</f>
        <v>0</v>
      </c>
      <c r="AE48" s="483">
        <f t="shared" ref="AE48:AG50" si="41">+AA48+W48</f>
        <v>0</v>
      </c>
      <c r="AF48" s="483">
        <f t="shared" si="41"/>
        <v>0</v>
      </c>
      <c r="AG48" s="483">
        <f t="shared" si="41"/>
        <v>0</v>
      </c>
      <c r="AH48" s="483">
        <f>SUM(AE48:AG48)</f>
        <v>0</v>
      </c>
      <c r="AI48" s="483">
        <f t="shared" ref="AI48:AK50" si="42">+S48-AE48</f>
        <v>0</v>
      </c>
      <c r="AJ48" s="483">
        <f t="shared" si="42"/>
        <v>0</v>
      </c>
      <c r="AK48" s="483">
        <f t="shared" si="42"/>
        <v>0</v>
      </c>
      <c r="AL48" s="483">
        <f>SUM(AI48:AK48)</f>
        <v>0</v>
      </c>
      <c r="AM48" s="349" t="str">
        <f t="shared" si="6"/>
        <v xml:space="preserve"> </v>
      </c>
      <c r="AN48" s="349" t="str">
        <f t="shared" si="7"/>
        <v xml:space="preserve"> </v>
      </c>
      <c r="AO48" s="349" t="str">
        <f t="shared" si="8"/>
        <v xml:space="preserve"> </v>
      </c>
      <c r="AP48" s="349" t="str">
        <f t="shared" si="9"/>
        <v xml:space="preserve"> </v>
      </c>
      <c r="AQ48" s="1212" t="str">
        <f>IF(W48=0," ",AI48/W48)</f>
        <v xml:space="preserve"> </v>
      </c>
      <c r="AR48" s="193"/>
      <c r="AS48" s="193"/>
      <c r="AT48" s="193">
        <v>37761745.609999999</v>
      </c>
      <c r="AU48" s="207">
        <f>+F48-AT48</f>
        <v>-36857388.609999999</v>
      </c>
      <c r="AW48" s="207">
        <f>+AT48-AH48</f>
        <v>37761745.609999999</v>
      </c>
      <c r="BL48" s="195">
        <f>+'OSEC-CONAP'!D261</f>
        <v>0</v>
      </c>
      <c r="BM48" s="195">
        <f>+'OSEC-CONAP'!D262</f>
        <v>904357</v>
      </c>
      <c r="BN48" s="195">
        <f>+'OSEC-CONAP'!D263</f>
        <v>0</v>
      </c>
      <c r="BP48" s="216">
        <f t="shared" si="10"/>
        <v>0</v>
      </c>
      <c r="BQ48" s="216">
        <f t="shared" si="11"/>
        <v>0</v>
      </c>
      <c r="BR48" s="216">
        <f t="shared" si="12"/>
        <v>0</v>
      </c>
    </row>
    <row r="49" spans="1:70" s="195" customFormat="1" ht="12.75">
      <c r="A49" s="95" t="s">
        <v>916</v>
      </c>
      <c r="B49" s="1213" t="s">
        <v>396</v>
      </c>
      <c r="C49" s="483"/>
      <c r="D49" s="483">
        <v>410268.90000000037</v>
      </c>
      <c r="E49" s="483"/>
      <c r="F49" s="483">
        <f>SUM(C49:E49)</f>
        <v>410268.90000000037</v>
      </c>
      <c r="G49" s="483">
        <f>-+'OSEC-CONAP'!H267</f>
        <v>0</v>
      </c>
      <c r="H49" s="483">
        <f>-+'OSEC-CONAP'!H268</f>
        <v>-410268.9</v>
      </c>
      <c r="I49" s="483">
        <f>-+'OSEC-CONAP'!H269</f>
        <v>0</v>
      </c>
      <c r="J49" s="483">
        <f>SUM(G49:I49)</f>
        <v>-410268.9</v>
      </c>
      <c r="K49" s="483"/>
      <c r="L49" s="483"/>
      <c r="M49" s="483"/>
      <c r="N49" s="483">
        <f>SUM(K49:M49)</f>
        <v>0</v>
      </c>
      <c r="O49" s="483">
        <f t="shared" si="39"/>
        <v>0</v>
      </c>
      <c r="P49" s="483">
        <f t="shared" si="39"/>
        <v>-410268.9</v>
      </c>
      <c r="Q49" s="483">
        <f t="shared" si="39"/>
        <v>0</v>
      </c>
      <c r="R49" s="483">
        <f>SUM(O49:Q49)</f>
        <v>-410268.9</v>
      </c>
      <c r="S49" s="483">
        <f t="shared" si="40"/>
        <v>0</v>
      </c>
      <c r="T49" s="483">
        <f t="shared" si="40"/>
        <v>0</v>
      </c>
      <c r="U49" s="483">
        <f t="shared" si="40"/>
        <v>0</v>
      </c>
      <c r="V49" s="483">
        <f>SUM(S49:U49)</f>
        <v>0</v>
      </c>
      <c r="W49" s="483">
        <f>+'OSEC-CONAP'!I267</f>
        <v>0</v>
      </c>
      <c r="X49" s="483">
        <f>+'OSEC-CONAP'!I268</f>
        <v>0</v>
      </c>
      <c r="Y49" s="483">
        <f>+'OSEC-CONAP'!I269</f>
        <v>0</v>
      </c>
      <c r="Z49" s="483">
        <f>SUM(W49:Y49)</f>
        <v>0</v>
      </c>
      <c r="AA49" s="483"/>
      <c r="AB49" s="483"/>
      <c r="AC49" s="483"/>
      <c r="AD49" s="483">
        <f>SUM(AA49:AC49)</f>
        <v>0</v>
      </c>
      <c r="AE49" s="483">
        <f t="shared" si="41"/>
        <v>0</v>
      </c>
      <c r="AF49" s="483">
        <f t="shared" si="41"/>
        <v>0</v>
      </c>
      <c r="AG49" s="483">
        <f t="shared" si="41"/>
        <v>0</v>
      </c>
      <c r="AH49" s="483">
        <f>SUM(AE49:AG49)</f>
        <v>0</v>
      </c>
      <c r="AI49" s="483">
        <f t="shared" si="42"/>
        <v>0</v>
      </c>
      <c r="AJ49" s="483">
        <f t="shared" si="42"/>
        <v>0</v>
      </c>
      <c r="AK49" s="483">
        <f t="shared" si="42"/>
        <v>0</v>
      </c>
      <c r="AL49" s="483">
        <f>SUM(AI49:AK49)</f>
        <v>0</v>
      </c>
      <c r="AM49" s="349" t="str">
        <f t="shared" si="6"/>
        <v xml:space="preserve"> </v>
      </c>
      <c r="AN49" s="349" t="str">
        <f t="shared" si="7"/>
        <v xml:space="preserve"> </v>
      </c>
      <c r="AO49" s="349" t="str">
        <f t="shared" si="8"/>
        <v xml:space="preserve"> </v>
      </c>
      <c r="AP49" s="349" t="str">
        <f t="shared" si="9"/>
        <v xml:space="preserve"> </v>
      </c>
      <c r="AQ49" s="1212" t="str">
        <f>IF(W49=0," ",AI49/W49)</f>
        <v xml:space="preserve"> </v>
      </c>
      <c r="AR49" s="193"/>
      <c r="AS49" s="193"/>
      <c r="AT49" s="193">
        <v>37761745.609999999</v>
      </c>
      <c r="AU49" s="207">
        <f>+F49-AT49</f>
        <v>-37351476.710000001</v>
      </c>
      <c r="AW49" s="207">
        <f>+AT49-AH49</f>
        <v>37761745.609999999</v>
      </c>
      <c r="BL49" s="195">
        <f>+'OSEC-CONAP'!D267</f>
        <v>0</v>
      </c>
      <c r="BM49" s="195">
        <f>+'OSEC-CONAP'!D268</f>
        <v>410268.90000000037</v>
      </c>
      <c r="BN49" s="195">
        <f>+'OSEC-CONAP'!D269</f>
        <v>0</v>
      </c>
      <c r="BP49" s="216">
        <f t="shared" si="10"/>
        <v>0</v>
      </c>
      <c r="BQ49" s="216">
        <f t="shared" si="11"/>
        <v>0</v>
      </c>
      <c r="BR49" s="216">
        <f t="shared" si="12"/>
        <v>0</v>
      </c>
    </row>
    <row r="50" spans="1:70" s="195" customFormat="1" ht="12.75">
      <c r="A50" s="95" t="s">
        <v>916</v>
      </c>
      <c r="B50" s="1213" t="s">
        <v>398</v>
      </c>
      <c r="C50" s="483"/>
      <c r="D50" s="483">
        <v>331857.63999999966</v>
      </c>
      <c r="E50" s="483"/>
      <c r="F50" s="483">
        <f>SUM(C50:E50)</f>
        <v>331857.63999999966</v>
      </c>
      <c r="G50" s="483">
        <f>-+'OSEC-CONAP'!H273</f>
        <v>0</v>
      </c>
      <c r="H50" s="483">
        <f>-+'OSEC-CONAP'!H274</f>
        <v>-331857.64</v>
      </c>
      <c r="I50" s="483">
        <f>-+'OSEC-CONAP'!H275</f>
        <v>0</v>
      </c>
      <c r="J50" s="483">
        <f>SUM(G50:I50)</f>
        <v>-331857.64</v>
      </c>
      <c r="K50" s="483"/>
      <c r="L50" s="483"/>
      <c r="M50" s="483"/>
      <c r="N50" s="483">
        <f>SUM(K50:M50)</f>
        <v>0</v>
      </c>
      <c r="O50" s="483">
        <f t="shared" si="39"/>
        <v>0</v>
      </c>
      <c r="P50" s="483">
        <f t="shared" si="39"/>
        <v>-331857.64</v>
      </c>
      <c r="Q50" s="483">
        <f t="shared" si="39"/>
        <v>0</v>
      </c>
      <c r="R50" s="483">
        <f>SUM(O50:Q50)</f>
        <v>-331857.64</v>
      </c>
      <c r="S50" s="483">
        <f t="shared" si="40"/>
        <v>0</v>
      </c>
      <c r="T50" s="483">
        <f t="shared" si="40"/>
        <v>0</v>
      </c>
      <c r="U50" s="483">
        <f t="shared" si="40"/>
        <v>0</v>
      </c>
      <c r="V50" s="483">
        <f>SUM(S50:U50)</f>
        <v>0</v>
      </c>
      <c r="W50" s="483">
        <f>+'OSEC-CONAP'!I273</f>
        <v>0</v>
      </c>
      <c r="X50" s="483">
        <f>+'OSEC-CONAP'!I274</f>
        <v>0</v>
      </c>
      <c r="Y50" s="483">
        <f>+'OSEC-CONAP'!I275</f>
        <v>0</v>
      </c>
      <c r="Z50" s="483">
        <f>SUM(W50:Y50)</f>
        <v>0</v>
      </c>
      <c r="AA50" s="483"/>
      <c r="AB50" s="483"/>
      <c r="AC50" s="483"/>
      <c r="AD50" s="483">
        <f>SUM(AA50:AC50)</f>
        <v>0</v>
      </c>
      <c r="AE50" s="483">
        <f t="shared" si="41"/>
        <v>0</v>
      </c>
      <c r="AF50" s="483">
        <f t="shared" si="41"/>
        <v>0</v>
      </c>
      <c r="AG50" s="483">
        <f t="shared" si="41"/>
        <v>0</v>
      </c>
      <c r="AH50" s="483">
        <f>SUM(AE50:AG50)</f>
        <v>0</v>
      </c>
      <c r="AI50" s="483">
        <f t="shared" si="42"/>
        <v>0</v>
      </c>
      <c r="AJ50" s="483">
        <f t="shared" si="42"/>
        <v>0</v>
      </c>
      <c r="AK50" s="483">
        <f t="shared" si="42"/>
        <v>0</v>
      </c>
      <c r="AL50" s="483">
        <f>SUM(AI50:AK50)</f>
        <v>0</v>
      </c>
      <c r="AM50" s="349" t="str">
        <f t="shared" si="6"/>
        <v xml:space="preserve"> </v>
      </c>
      <c r="AN50" s="349" t="str">
        <f t="shared" si="7"/>
        <v xml:space="preserve"> </v>
      </c>
      <c r="AO50" s="349" t="str">
        <f t="shared" si="8"/>
        <v xml:space="preserve"> </v>
      </c>
      <c r="AP50" s="349" t="str">
        <f t="shared" si="9"/>
        <v xml:space="preserve"> </v>
      </c>
      <c r="AQ50" s="1212" t="str">
        <f>IF(W50=0," ",AI50/W50)</f>
        <v xml:space="preserve"> </v>
      </c>
      <c r="AR50" s="193"/>
      <c r="AS50" s="193"/>
      <c r="AT50" s="193">
        <v>37761745.609999999</v>
      </c>
      <c r="AU50" s="207">
        <f>+F50-AT50</f>
        <v>-37429887.969999999</v>
      </c>
      <c r="AW50" s="207">
        <f>+AT50-AH50</f>
        <v>37761745.609999999</v>
      </c>
      <c r="BL50" s="195">
        <f>+'OSEC-CONAP'!D273</f>
        <v>0</v>
      </c>
      <c r="BM50" s="195">
        <f>+'OSEC-CONAP'!D274</f>
        <v>331857.63999999966</v>
      </c>
      <c r="BN50" s="195">
        <f>+'OSEC-CONAP'!D275</f>
        <v>0</v>
      </c>
      <c r="BP50" s="216">
        <f t="shared" si="10"/>
        <v>0</v>
      </c>
      <c r="BQ50" s="216">
        <f t="shared" si="11"/>
        <v>0</v>
      </c>
      <c r="BR50" s="216">
        <f t="shared" si="12"/>
        <v>0</v>
      </c>
    </row>
    <row r="51" spans="1:70" s="189" customFormat="1" ht="89.25">
      <c r="A51" s="95" t="s">
        <v>916</v>
      </c>
      <c r="B51" s="1214" t="s">
        <v>670</v>
      </c>
      <c r="C51" s="859"/>
      <c r="D51" s="859">
        <v>8135065.3799999952</v>
      </c>
      <c r="E51" s="859"/>
      <c r="F51" s="483">
        <f t="shared" si="13"/>
        <v>8135065.3799999952</v>
      </c>
      <c r="G51" s="859">
        <f>-+'OSEC-CONAP'!H279</f>
        <v>0</v>
      </c>
      <c r="H51" s="859">
        <f>-+'OSEC-CONAP'!H280</f>
        <v>-4000000</v>
      </c>
      <c r="I51" s="859">
        <f>-+'OSEC-CONAP'!H281</f>
        <v>0</v>
      </c>
      <c r="J51" s="483">
        <f t="shared" si="14"/>
        <v>-4000000</v>
      </c>
      <c r="K51" s="859"/>
      <c r="L51" s="859"/>
      <c r="M51" s="859"/>
      <c r="N51" s="483">
        <f t="shared" si="15"/>
        <v>0</v>
      </c>
      <c r="O51" s="859">
        <f t="shared" si="19"/>
        <v>0</v>
      </c>
      <c r="P51" s="859">
        <f t="shared" si="20"/>
        <v>-4000000</v>
      </c>
      <c r="Q51" s="859">
        <f t="shared" si="21"/>
        <v>0</v>
      </c>
      <c r="R51" s="483">
        <f t="shared" si="22"/>
        <v>-4000000</v>
      </c>
      <c r="S51" s="859">
        <f t="shared" si="23"/>
        <v>0</v>
      </c>
      <c r="T51" s="859">
        <f t="shared" si="24"/>
        <v>4135065.3799999952</v>
      </c>
      <c r="U51" s="859">
        <f t="shared" si="25"/>
        <v>0</v>
      </c>
      <c r="V51" s="483">
        <f t="shared" si="26"/>
        <v>4135065.3799999952</v>
      </c>
      <c r="W51" s="859">
        <f>+'OSEC-CONAP'!I279</f>
        <v>0</v>
      </c>
      <c r="X51" s="859">
        <f>+'OSEC-CONAP'!I280</f>
        <v>4135065.24</v>
      </c>
      <c r="Y51" s="859">
        <f>+'OSEC-CONAP'!I281</f>
        <v>0</v>
      </c>
      <c r="Z51" s="483">
        <f t="shared" si="16"/>
        <v>4135065.24</v>
      </c>
      <c r="AA51" s="859"/>
      <c r="AB51" s="859"/>
      <c r="AC51" s="859"/>
      <c r="AD51" s="483">
        <f t="shared" si="17"/>
        <v>0</v>
      </c>
      <c r="AE51" s="1203">
        <f t="shared" si="31"/>
        <v>0</v>
      </c>
      <c r="AF51" s="1203">
        <f t="shared" si="32"/>
        <v>4135065.24</v>
      </c>
      <c r="AG51" s="1203">
        <f t="shared" si="35"/>
        <v>0</v>
      </c>
      <c r="AH51" s="483">
        <f t="shared" si="33"/>
        <v>4135065.24</v>
      </c>
      <c r="AI51" s="1203">
        <f t="shared" si="27"/>
        <v>0</v>
      </c>
      <c r="AJ51" s="1203">
        <f t="shared" si="28"/>
        <v>0.139999995008111</v>
      </c>
      <c r="AK51" s="1203">
        <f t="shared" si="29"/>
        <v>0</v>
      </c>
      <c r="AL51" s="483">
        <f t="shared" si="30"/>
        <v>0.139999995008111</v>
      </c>
      <c r="AM51" s="1204" t="str">
        <f t="shared" si="6"/>
        <v xml:space="preserve"> </v>
      </c>
      <c r="AN51" s="1204">
        <f t="shared" si="7"/>
        <v>0.99999996614322095</v>
      </c>
      <c r="AO51" s="1204" t="str">
        <f t="shared" si="8"/>
        <v xml:space="preserve"> </v>
      </c>
      <c r="AP51" s="1204">
        <f t="shared" si="9"/>
        <v>0.99999996614322095</v>
      </c>
      <c r="AQ51" s="1205" t="str">
        <f t="shared" si="34"/>
        <v xml:space="preserve"> </v>
      </c>
      <c r="AR51" s="192"/>
      <c r="AS51" s="193"/>
      <c r="AT51" s="193">
        <v>37761745.609999999</v>
      </c>
      <c r="AU51" s="206">
        <f t="shared" si="4"/>
        <v>-29626680.230000004</v>
      </c>
      <c r="AV51" s="195"/>
      <c r="AW51" s="216">
        <f t="shared" si="18"/>
        <v>33626680.369999997</v>
      </c>
      <c r="AX51" s="195"/>
      <c r="AY51" s="196"/>
      <c r="AZ51" s="196"/>
      <c r="BA51" s="195"/>
      <c r="BB51" s="195"/>
      <c r="BC51" s="195"/>
      <c r="BD51" s="195"/>
      <c r="BE51" s="195"/>
      <c r="BF51" s="195"/>
      <c r="BL51" s="189">
        <f>+'OSEC-CONAP'!D279</f>
        <v>0</v>
      </c>
      <c r="BM51" s="189">
        <f>+'OSEC-CONAP'!D280</f>
        <v>8135065.3799999952</v>
      </c>
      <c r="BN51" s="189">
        <f>+'OSEC-CONAP'!D281</f>
        <v>0</v>
      </c>
      <c r="BP51" s="216">
        <f t="shared" si="10"/>
        <v>0</v>
      </c>
      <c r="BQ51" s="216">
        <f t="shared" si="11"/>
        <v>0</v>
      </c>
      <c r="BR51" s="216">
        <f t="shared" si="12"/>
        <v>0</v>
      </c>
    </row>
    <row r="52" spans="1:70" s="216" customFormat="1" ht="12.75">
      <c r="B52" s="218" t="s">
        <v>73</v>
      </c>
      <c r="C52" s="213">
        <f>SUM(C48:C51)</f>
        <v>0</v>
      </c>
      <c r="D52" s="213">
        <f t="shared" ref="D52:AL52" si="43">SUM(D48:D51)</f>
        <v>9781548.9199999943</v>
      </c>
      <c r="E52" s="213">
        <f t="shared" si="43"/>
        <v>0</v>
      </c>
      <c r="F52" s="213">
        <f t="shared" si="43"/>
        <v>9781548.9199999943</v>
      </c>
      <c r="G52" s="213">
        <f t="shared" si="43"/>
        <v>0</v>
      </c>
      <c r="H52" s="213">
        <f t="shared" si="43"/>
        <v>-5646483.54</v>
      </c>
      <c r="I52" s="213">
        <f t="shared" si="43"/>
        <v>0</v>
      </c>
      <c r="J52" s="213">
        <f t="shared" si="43"/>
        <v>-5646483.54</v>
      </c>
      <c r="K52" s="213">
        <f t="shared" si="43"/>
        <v>0</v>
      </c>
      <c r="L52" s="213">
        <f t="shared" si="43"/>
        <v>0</v>
      </c>
      <c r="M52" s="213">
        <f t="shared" si="43"/>
        <v>0</v>
      </c>
      <c r="N52" s="213">
        <f t="shared" si="43"/>
        <v>0</v>
      </c>
      <c r="O52" s="213">
        <f t="shared" si="43"/>
        <v>0</v>
      </c>
      <c r="P52" s="213">
        <f t="shared" si="43"/>
        <v>-5646483.54</v>
      </c>
      <c r="Q52" s="213">
        <f t="shared" si="43"/>
        <v>0</v>
      </c>
      <c r="R52" s="213">
        <f t="shared" si="43"/>
        <v>-5646483.54</v>
      </c>
      <c r="S52" s="213">
        <f t="shared" si="43"/>
        <v>0</v>
      </c>
      <c r="T52" s="213">
        <f t="shared" si="43"/>
        <v>4135065.3799999952</v>
      </c>
      <c r="U52" s="213">
        <f t="shared" si="43"/>
        <v>0</v>
      </c>
      <c r="V52" s="213">
        <f t="shared" si="43"/>
        <v>4135065.3799999952</v>
      </c>
      <c r="W52" s="213">
        <f t="shared" si="43"/>
        <v>0</v>
      </c>
      <c r="X52" s="213">
        <f t="shared" si="43"/>
        <v>4135065.24</v>
      </c>
      <c r="Y52" s="213">
        <f t="shared" si="43"/>
        <v>0</v>
      </c>
      <c r="Z52" s="213">
        <f t="shared" si="43"/>
        <v>4135065.24</v>
      </c>
      <c r="AA52" s="213">
        <f t="shared" si="43"/>
        <v>0</v>
      </c>
      <c r="AB52" s="213">
        <f t="shared" si="43"/>
        <v>0</v>
      </c>
      <c r="AC52" s="213">
        <f t="shared" si="43"/>
        <v>0</v>
      </c>
      <c r="AD52" s="213">
        <f t="shared" si="43"/>
        <v>0</v>
      </c>
      <c r="AE52" s="213">
        <f t="shared" si="43"/>
        <v>0</v>
      </c>
      <c r="AF52" s="213">
        <f t="shared" si="43"/>
        <v>4135065.24</v>
      </c>
      <c r="AG52" s="213">
        <f t="shared" si="43"/>
        <v>0</v>
      </c>
      <c r="AH52" s="213">
        <f t="shared" si="43"/>
        <v>4135065.24</v>
      </c>
      <c r="AI52" s="213">
        <f t="shared" si="43"/>
        <v>0</v>
      </c>
      <c r="AJ52" s="213">
        <f t="shared" si="43"/>
        <v>0.139999995008111</v>
      </c>
      <c r="AK52" s="213">
        <f t="shared" si="43"/>
        <v>0</v>
      </c>
      <c r="AL52" s="213">
        <f t="shared" si="43"/>
        <v>0.139999995008111</v>
      </c>
      <c r="AM52" s="214" t="str">
        <f t="shared" si="6"/>
        <v xml:space="preserve"> </v>
      </c>
      <c r="AN52" s="214">
        <f t="shared" si="7"/>
        <v>0.99999996614322095</v>
      </c>
      <c r="AO52" s="214" t="str">
        <f t="shared" si="8"/>
        <v xml:space="preserve"> </v>
      </c>
      <c r="AP52" s="214">
        <f t="shared" si="9"/>
        <v>0.99999996614322095</v>
      </c>
      <c r="AQ52" s="1201" t="str">
        <f t="shared" si="34"/>
        <v xml:space="preserve"> </v>
      </c>
      <c r="AR52" s="215"/>
      <c r="AS52" s="215"/>
      <c r="AT52" s="215"/>
      <c r="BP52" s="216">
        <f t="shared" si="10"/>
        <v>0</v>
      </c>
    </row>
    <row r="53" spans="1:70" s="189" customFormat="1" ht="12.75">
      <c r="B53" s="1215"/>
      <c r="C53" s="859"/>
      <c r="D53" s="859"/>
      <c r="E53" s="859"/>
      <c r="F53" s="859"/>
      <c r="G53" s="859"/>
      <c r="H53" s="859"/>
      <c r="I53" s="859"/>
      <c r="J53" s="859"/>
      <c r="K53" s="859"/>
      <c r="L53" s="859"/>
      <c r="M53" s="859"/>
      <c r="N53" s="859"/>
      <c r="O53" s="859"/>
      <c r="P53" s="859"/>
      <c r="Q53" s="859"/>
      <c r="R53" s="859"/>
      <c r="S53" s="859"/>
      <c r="T53" s="859"/>
      <c r="U53" s="859"/>
      <c r="V53" s="859"/>
      <c r="W53" s="859"/>
      <c r="X53" s="859"/>
      <c r="Y53" s="859"/>
      <c r="Z53" s="859"/>
      <c r="AA53" s="859"/>
      <c r="AB53" s="859"/>
      <c r="AC53" s="859"/>
      <c r="AD53" s="859"/>
      <c r="AE53" s="859"/>
      <c r="AF53" s="859"/>
      <c r="AG53" s="859"/>
      <c r="AH53" s="859"/>
      <c r="AI53" s="859"/>
      <c r="AJ53" s="859"/>
      <c r="AK53" s="859"/>
      <c r="AL53" s="859"/>
      <c r="AM53" s="1204" t="str">
        <f t="shared" si="6"/>
        <v xml:space="preserve"> </v>
      </c>
      <c r="AN53" s="1204" t="str">
        <f t="shared" si="7"/>
        <v xml:space="preserve"> </v>
      </c>
      <c r="AO53" s="1204" t="str">
        <f t="shared" si="8"/>
        <v xml:space="preserve"> </v>
      </c>
      <c r="AP53" s="1204" t="str">
        <f t="shared" si="9"/>
        <v xml:space="preserve"> </v>
      </c>
      <c r="AQ53" s="1205" t="str">
        <f t="shared" si="34"/>
        <v xml:space="preserve"> </v>
      </c>
      <c r="AR53" s="192"/>
      <c r="AS53" s="193"/>
      <c r="AT53" s="193">
        <f t="shared" ref="AT53:AT58" si="44">SUM(AQ53:AS53)</f>
        <v>0</v>
      </c>
      <c r="AU53" s="206">
        <f t="shared" si="4"/>
        <v>0</v>
      </c>
      <c r="AV53" s="195"/>
      <c r="AW53" s="216">
        <f t="shared" si="18"/>
        <v>0</v>
      </c>
      <c r="AX53" s="195"/>
      <c r="AY53" s="196"/>
      <c r="AZ53" s="196"/>
      <c r="BA53" s="195"/>
      <c r="BB53" s="195"/>
      <c r="BC53" s="195"/>
      <c r="BD53" s="195"/>
      <c r="BE53" s="195"/>
      <c r="BF53" s="195"/>
      <c r="BP53" s="216">
        <f t="shared" si="10"/>
        <v>0</v>
      </c>
      <c r="BQ53" s="216">
        <f t="shared" si="11"/>
        <v>0</v>
      </c>
      <c r="BR53" s="216">
        <f t="shared" si="12"/>
        <v>0</v>
      </c>
    </row>
    <row r="54" spans="1:70" s="106" customFormat="1" ht="12.75">
      <c r="B54" s="1216" t="s">
        <v>43</v>
      </c>
      <c r="C54" s="1217"/>
      <c r="D54" s="1217"/>
      <c r="E54" s="1217"/>
      <c r="F54" s="1217"/>
      <c r="G54" s="1217"/>
      <c r="H54" s="1217"/>
      <c r="I54" s="1217"/>
      <c r="J54" s="1218"/>
      <c r="K54" s="1218"/>
      <c r="L54" s="1218"/>
      <c r="M54" s="1218"/>
      <c r="N54" s="1218"/>
      <c r="O54" s="1217"/>
      <c r="P54" s="1217"/>
      <c r="Q54" s="1217"/>
      <c r="R54" s="1217"/>
      <c r="S54" s="1217"/>
      <c r="T54" s="1217"/>
      <c r="U54" s="1217"/>
      <c r="V54" s="1217"/>
      <c r="W54" s="1217"/>
      <c r="X54" s="1217"/>
      <c r="Y54" s="1217"/>
      <c r="Z54" s="1217">
        <f>SUM(W54:Y54)</f>
        <v>0</v>
      </c>
      <c r="AA54" s="1217">
        <f t="shared" ref="AA54:AC55" si="45">+O54+W54+S54</f>
        <v>0</v>
      </c>
      <c r="AB54" s="1217">
        <f t="shared" si="45"/>
        <v>0</v>
      </c>
      <c r="AC54" s="1217">
        <f t="shared" si="45"/>
        <v>0</v>
      </c>
      <c r="AD54" s="1217">
        <f>SUM(AA54:AC54)</f>
        <v>0</v>
      </c>
      <c r="AE54" s="1217"/>
      <c r="AF54" s="1217"/>
      <c r="AG54" s="1217"/>
      <c r="AH54" s="1217"/>
      <c r="AI54" s="1217"/>
      <c r="AJ54" s="1217"/>
      <c r="AK54" s="1217"/>
      <c r="AL54" s="1217"/>
      <c r="AM54" s="1217" t="str">
        <f t="shared" si="6"/>
        <v xml:space="preserve"> </v>
      </c>
      <c r="AN54" s="1217" t="str">
        <f t="shared" si="7"/>
        <v xml:space="preserve"> </v>
      </c>
      <c r="AO54" s="1217" t="str">
        <f t="shared" si="8"/>
        <v xml:space="preserve"> </v>
      </c>
      <c r="AP54" s="1217" t="str">
        <f t="shared" si="9"/>
        <v xml:space="preserve"> </v>
      </c>
      <c r="AQ54" s="1217" t="e">
        <f t="shared" ref="AQ54:AS57" si="46">+AA54-AM54</f>
        <v>#VALUE!</v>
      </c>
      <c r="AR54" s="1217" t="e">
        <f t="shared" si="46"/>
        <v>#VALUE!</v>
      </c>
      <c r="AS54" s="1217" t="e">
        <f t="shared" si="46"/>
        <v>#VALUE!</v>
      </c>
      <c r="AT54" s="1217" t="e">
        <f t="shared" si="44"/>
        <v>#VALUE!</v>
      </c>
      <c r="AU54" s="1219" t="str">
        <f t="shared" ref="AU54:AX57" si="47">IF(AA54=0," ",AM54/AA54)</f>
        <v xml:space="preserve"> </v>
      </c>
      <c r="AV54" s="1219" t="str">
        <f t="shared" si="47"/>
        <v xml:space="preserve"> </v>
      </c>
      <c r="AW54" s="1219" t="str">
        <f t="shared" si="47"/>
        <v xml:space="preserve"> </v>
      </c>
      <c r="AX54" s="1219" t="str">
        <f t="shared" si="47"/>
        <v xml:space="preserve"> </v>
      </c>
      <c r="AY54" s="1218">
        <f t="shared" ref="AY54:BB57" si="48">+K54-O54</f>
        <v>0</v>
      </c>
      <c r="AZ54" s="1218">
        <f t="shared" si="48"/>
        <v>0</v>
      </c>
      <c r="BA54" s="1218">
        <f t="shared" si="48"/>
        <v>0</v>
      </c>
      <c r="BB54" s="1218">
        <f t="shared" si="48"/>
        <v>0</v>
      </c>
      <c r="BC54" s="130"/>
      <c r="BP54" s="216">
        <f t="shared" si="10"/>
        <v>0</v>
      </c>
      <c r="BQ54" s="216">
        <f t="shared" si="11"/>
        <v>0</v>
      </c>
      <c r="BR54" s="216">
        <f t="shared" si="12"/>
        <v>0</v>
      </c>
    </row>
    <row r="55" spans="1:70" s="106" customFormat="1" ht="12.75">
      <c r="B55" s="1216" t="s">
        <v>44</v>
      </c>
      <c r="C55" s="1217"/>
      <c r="D55" s="1217"/>
      <c r="E55" s="1217"/>
      <c r="F55" s="1217"/>
      <c r="G55" s="1217"/>
      <c r="H55" s="1217"/>
      <c r="I55" s="1217"/>
      <c r="J55" s="1218"/>
      <c r="K55" s="1218"/>
      <c r="L55" s="1218"/>
      <c r="M55" s="1218"/>
      <c r="N55" s="1218"/>
      <c r="O55" s="1217"/>
      <c r="P55" s="1217"/>
      <c r="Q55" s="1217"/>
      <c r="R55" s="1217"/>
      <c r="S55" s="1217"/>
      <c r="T55" s="1217"/>
      <c r="U55" s="1217"/>
      <c r="V55" s="1217"/>
      <c r="W55" s="1217"/>
      <c r="X55" s="1217"/>
      <c r="Y55" s="1217"/>
      <c r="Z55" s="1217">
        <f>SUM(W55:Y55)</f>
        <v>0</v>
      </c>
      <c r="AA55" s="1217">
        <f t="shared" si="45"/>
        <v>0</v>
      </c>
      <c r="AB55" s="1217">
        <f t="shared" si="45"/>
        <v>0</v>
      </c>
      <c r="AC55" s="1217">
        <f t="shared" si="45"/>
        <v>0</v>
      </c>
      <c r="AD55" s="1217">
        <f>SUM(AA55:AC55)</f>
        <v>0</v>
      </c>
      <c r="AE55" s="1217"/>
      <c r="AF55" s="1217"/>
      <c r="AG55" s="1217"/>
      <c r="AH55" s="1217"/>
      <c r="AI55" s="1217"/>
      <c r="AJ55" s="1217"/>
      <c r="AK55" s="1217"/>
      <c r="AL55" s="1217"/>
      <c r="AM55" s="1217" t="str">
        <f t="shared" si="6"/>
        <v xml:space="preserve"> </v>
      </c>
      <c r="AN55" s="1217" t="str">
        <f t="shared" si="7"/>
        <v xml:space="preserve"> </v>
      </c>
      <c r="AO55" s="1217" t="str">
        <f t="shared" si="8"/>
        <v xml:space="preserve"> </v>
      </c>
      <c r="AP55" s="1217" t="str">
        <f t="shared" si="9"/>
        <v xml:space="preserve"> </v>
      </c>
      <c r="AQ55" s="1217" t="e">
        <f t="shared" si="46"/>
        <v>#VALUE!</v>
      </c>
      <c r="AR55" s="1217" t="e">
        <f t="shared" si="46"/>
        <v>#VALUE!</v>
      </c>
      <c r="AS55" s="1217" t="e">
        <f t="shared" si="46"/>
        <v>#VALUE!</v>
      </c>
      <c r="AT55" s="1217" t="e">
        <f t="shared" si="44"/>
        <v>#VALUE!</v>
      </c>
      <c r="AU55" s="1219" t="str">
        <f t="shared" si="47"/>
        <v xml:space="preserve"> </v>
      </c>
      <c r="AV55" s="1219" t="str">
        <f t="shared" si="47"/>
        <v xml:space="preserve"> </v>
      </c>
      <c r="AW55" s="1219" t="str">
        <f t="shared" si="47"/>
        <v xml:space="preserve"> </v>
      </c>
      <c r="AX55" s="1219" t="str">
        <f t="shared" si="47"/>
        <v xml:space="preserve"> </v>
      </c>
      <c r="AY55" s="1218">
        <f t="shared" si="48"/>
        <v>0</v>
      </c>
      <c r="AZ55" s="1218">
        <f t="shared" si="48"/>
        <v>0</v>
      </c>
      <c r="BA55" s="1218">
        <f t="shared" si="48"/>
        <v>0</v>
      </c>
      <c r="BB55" s="1218">
        <f t="shared" si="48"/>
        <v>0</v>
      </c>
      <c r="BC55" s="130"/>
      <c r="BP55" s="216">
        <f t="shared" si="10"/>
        <v>0</v>
      </c>
      <c r="BQ55" s="216">
        <f t="shared" si="11"/>
        <v>0</v>
      </c>
      <c r="BR55" s="216">
        <f t="shared" si="12"/>
        <v>0</v>
      </c>
    </row>
    <row r="56" spans="1:70" ht="12.75">
      <c r="A56" s="105" t="s">
        <v>904</v>
      </c>
      <c r="B56" s="1220" t="s">
        <v>946</v>
      </c>
      <c r="C56" s="1218">
        <f>+'OSEC-CONAP'!D293</f>
        <v>0</v>
      </c>
      <c r="D56" s="1218">
        <f>+'OSEC-CONAP'!D294</f>
        <v>100000000</v>
      </c>
      <c r="E56" s="1218">
        <f>+'OSEC-CONAP'!D295</f>
        <v>2900000000</v>
      </c>
      <c r="F56" s="1218">
        <f>SUM(C56:E56)</f>
        <v>3000000000</v>
      </c>
      <c r="G56" s="1218">
        <f>+'OSEC-CONAP'!H293</f>
        <v>0</v>
      </c>
      <c r="H56" s="1218">
        <f>+'OSEC-CONAP'!H294</f>
        <v>0</v>
      </c>
      <c r="I56" s="1218">
        <f>-+'OSEC-CONAP'!H295</f>
        <v>-40000000</v>
      </c>
      <c r="J56" s="1218">
        <f>SUM(G56:I56)</f>
        <v>-40000000</v>
      </c>
      <c r="K56" s="1218"/>
      <c r="L56" s="1218"/>
      <c r="M56" s="1218"/>
      <c r="N56" s="1218">
        <f>SUM(K56:M56)</f>
        <v>0</v>
      </c>
      <c r="O56" s="113">
        <f>+G56+K56</f>
        <v>0</v>
      </c>
      <c r="P56" s="113">
        <f>+H56+L56</f>
        <v>0</v>
      </c>
      <c r="Q56" s="113">
        <f>+I56+M56</f>
        <v>-40000000</v>
      </c>
      <c r="R56" s="104">
        <f>SUM(O56:Q56)</f>
        <v>-40000000</v>
      </c>
      <c r="S56" s="113">
        <f>+O56+C56</f>
        <v>0</v>
      </c>
      <c r="T56" s="113">
        <f>+P56+D56</f>
        <v>100000000</v>
      </c>
      <c r="U56" s="113">
        <f>+Q56+E56</f>
        <v>2860000000</v>
      </c>
      <c r="V56" s="104">
        <f>SUM(S56:U56)</f>
        <v>2960000000</v>
      </c>
      <c r="W56" s="1218">
        <f>+'OSEC-CONAP'!I293</f>
        <v>0</v>
      </c>
      <c r="X56" s="1218">
        <f>+'OSEC-CONAP'!I294</f>
        <v>0</v>
      </c>
      <c r="Y56" s="1218">
        <f>+'OSEC-CONAP'!I295</f>
        <v>1186580452.04</v>
      </c>
      <c r="Z56" s="1218">
        <f>SUM(W56:Y56)</f>
        <v>1186580452.04</v>
      </c>
      <c r="AA56" s="1218"/>
      <c r="AB56" s="1218"/>
      <c r="AC56" s="1218"/>
      <c r="AD56" s="1218">
        <f>SUM(AA56:AC56)</f>
        <v>0</v>
      </c>
      <c r="AE56" s="117">
        <f>+AA56+W56</f>
        <v>0</v>
      </c>
      <c r="AF56" s="117">
        <f>+AB56+X56</f>
        <v>0</v>
      </c>
      <c r="AG56" s="117">
        <f>+AC56+Y56</f>
        <v>1186580452.04</v>
      </c>
      <c r="AH56" s="104">
        <f>SUM(AE56:AG56)</f>
        <v>1186580452.04</v>
      </c>
      <c r="AI56" s="117">
        <f>+S56-AE56</f>
        <v>0</v>
      </c>
      <c r="AJ56" s="117">
        <f>+T56-AF56</f>
        <v>100000000</v>
      </c>
      <c r="AK56" s="117">
        <f>+U56-AG56</f>
        <v>1673419547.96</v>
      </c>
      <c r="AL56" s="104">
        <f>SUM(AI56:AK56)</f>
        <v>1773419547.96</v>
      </c>
      <c r="AM56" s="1221" t="str">
        <f t="shared" si="6"/>
        <v xml:space="preserve"> </v>
      </c>
      <c r="AN56" s="1221">
        <f t="shared" si="7"/>
        <v>0</v>
      </c>
      <c r="AO56" s="1221">
        <f t="shared" si="8"/>
        <v>0.41488826994405592</v>
      </c>
      <c r="AP56" s="1221">
        <f t="shared" si="9"/>
        <v>0.40087177433783783</v>
      </c>
      <c r="AQ56" s="1218" t="e">
        <f t="shared" si="46"/>
        <v>#VALUE!</v>
      </c>
      <c r="AR56" s="1218">
        <f t="shared" si="46"/>
        <v>0</v>
      </c>
      <c r="AS56" s="1218">
        <f t="shared" si="46"/>
        <v>-0.41488826994405592</v>
      </c>
      <c r="AT56" s="1218" t="e">
        <f t="shared" si="44"/>
        <v>#VALUE!</v>
      </c>
      <c r="AU56" s="1219" t="str">
        <f t="shared" si="47"/>
        <v xml:space="preserve"> </v>
      </c>
      <c r="AV56" s="1219" t="str">
        <f t="shared" si="47"/>
        <v xml:space="preserve"> </v>
      </c>
      <c r="AW56" s="1219" t="str">
        <f t="shared" si="47"/>
        <v xml:space="preserve"> </v>
      </c>
      <c r="AX56" s="1219" t="str">
        <f t="shared" si="47"/>
        <v xml:space="preserve"> </v>
      </c>
      <c r="AY56" s="1218">
        <f t="shared" si="48"/>
        <v>0</v>
      </c>
      <c r="AZ56" s="1218">
        <f t="shared" si="48"/>
        <v>0</v>
      </c>
      <c r="BA56" s="1218">
        <f t="shared" si="48"/>
        <v>40000000</v>
      </c>
      <c r="BB56" s="1218">
        <f t="shared" si="48"/>
        <v>40000000</v>
      </c>
      <c r="BC56" s="125"/>
      <c r="BD56" s="105"/>
      <c r="BE56" s="105"/>
      <c r="BF56" s="105"/>
      <c r="BL56" s="105">
        <f>+'OSEC-CONAP'!D293</f>
        <v>0</v>
      </c>
      <c r="BM56" s="105">
        <f>+'OSEC-CONAP'!D294</f>
        <v>100000000</v>
      </c>
      <c r="BN56" s="105">
        <f>+'OSEC-CONAP'!D295</f>
        <v>2900000000</v>
      </c>
      <c r="BP56" s="216">
        <f t="shared" si="10"/>
        <v>0</v>
      </c>
      <c r="BQ56" s="216">
        <f t="shared" si="11"/>
        <v>0</v>
      </c>
      <c r="BR56" s="216">
        <f t="shared" si="12"/>
        <v>0</v>
      </c>
    </row>
    <row r="57" spans="1:70" s="107" customFormat="1" ht="12.75">
      <c r="B57" s="179" t="s">
        <v>667</v>
      </c>
      <c r="C57" s="179">
        <f t="shared" ref="C57:AL57" si="49">SUM(C56:C56)</f>
        <v>0</v>
      </c>
      <c r="D57" s="179">
        <f t="shared" si="49"/>
        <v>100000000</v>
      </c>
      <c r="E57" s="179">
        <f t="shared" si="49"/>
        <v>2900000000</v>
      </c>
      <c r="F57" s="179">
        <f t="shared" si="49"/>
        <v>3000000000</v>
      </c>
      <c r="G57" s="179">
        <f t="shared" si="49"/>
        <v>0</v>
      </c>
      <c r="H57" s="179">
        <f t="shared" si="49"/>
        <v>0</v>
      </c>
      <c r="I57" s="179">
        <f t="shared" si="49"/>
        <v>-40000000</v>
      </c>
      <c r="J57" s="179">
        <f t="shared" si="49"/>
        <v>-40000000</v>
      </c>
      <c r="K57" s="179">
        <f t="shared" si="49"/>
        <v>0</v>
      </c>
      <c r="L57" s="179">
        <f t="shared" si="49"/>
        <v>0</v>
      </c>
      <c r="M57" s="179">
        <f t="shared" si="49"/>
        <v>0</v>
      </c>
      <c r="N57" s="179">
        <f t="shared" si="49"/>
        <v>0</v>
      </c>
      <c r="O57" s="179">
        <f t="shared" si="49"/>
        <v>0</v>
      </c>
      <c r="P57" s="179">
        <f t="shared" si="49"/>
        <v>0</v>
      </c>
      <c r="Q57" s="179">
        <f t="shared" si="49"/>
        <v>-40000000</v>
      </c>
      <c r="R57" s="179">
        <f t="shared" si="49"/>
        <v>-40000000</v>
      </c>
      <c r="S57" s="179">
        <f t="shared" si="49"/>
        <v>0</v>
      </c>
      <c r="T57" s="179">
        <f t="shared" si="49"/>
        <v>100000000</v>
      </c>
      <c r="U57" s="179">
        <f t="shared" si="49"/>
        <v>2860000000</v>
      </c>
      <c r="V57" s="179">
        <f t="shared" si="49"/>
        <v>2960000000</v>
      </c>
      <c r="W57" s="179">
        <f t="shared" si="49"/>
        <v>0</v>
      </c>
      <c r="X57" s="179">
        <f t="shared" si="49"/>
        <v>0</v>
      </c>
      <c r="Y57" s="179">
        <f t="shared" si="49"/>
        <v>1186580452.04</v>
      </c>
      <c r="Z57" s="179">
        <f t="shared" si="49"/>
        <v>1186580452.04</v>
      </c>
      <c r="AA57" s="179">
        <f t="shared" si="49"/>
        <v>0</v>
      </c>
      <c r="AB57" s="179">
        <f t="shared" si="49"/>
        <v>0</v>
      </c>
      <c r="AC57" s="179">
        <f t="shared" si="49"/>
        <v>0</v>
      </c>
      <c r="AD57" s="179">
        <f t="shared" si="49"/>
        <v>0</v>
      </c>
      <c r="AE57" s="179">
        <f t="shared" si="49"/>
        <v>0</v>
      </c>
      <c r="AF57" s="179">
        <f t="shared" si="49"/>
        <v>0</v>
      </c>
      <c r="AG57" s="179">
        <f t="shared" si="49"/>
        <v>1186580452.04</v>
      </c>
      <c r="AH57" s="179">
        <f t="shared" si="49"/>
        <v>1186580452.04</v>
      </c>
      <c r="AI57" s="179">
        <f t="shared" si="49"/>
        <v>0</v>
      </c>
      <c r="AJ57" s="179">
        <f t="shared" si="49"/>
        <v>100000000</v>
      </c>
      <c r="AK57" s="179">
        <f t="shared" si="49"/>
        <v>1673419547.96</v>
      </c>
      <c r="AL57" s="179">
        <f t="shared" si="49"/>
        <v>1773419547.96</v>
      </c>
      <c r="AM57" s="184" t="str">
        <f t="shared" si="6"/>
        <v xml:space="preserve"> </v>
      </c>
      <c r="AN57" s="184">
        <f t="shared" si="7"/>
        <v>0</v>
      </c>
      <c r="AO57" s="184">
        <f t="shared" si="8"/>
        <v>0.41488826994405592</v>
      </c>
      <c r="AP57" s="184">
        <f t="shared" si="9"/>
        <v>0.40087177433783783</v>
      </c>
      <c r="AQ57" s="179" t="e">
        <f t="shared" si="46"/>
        <v>#VALUE!</v>
      </c>
      <c r="AR57" s="179">
        <f t="shared" si="46"/>
        <v>0</v>
      </c>
      <c r="AS57" s="179">
        <f t="shared" si="46"/>
        <v>-0.41488826994405592</v>
      </c>
      <c r="AT57" s="179" t="e">
        <f t="shared" si="44"/>
        <v>#VALUE!</v>
      </c>
      <c r="AU57" s="184" t="str">
        <f t="shared" si="47"/>
        <v xml:space="preserve"> </v>
      </c>
      <c r="AV57" s="184" t="str">
        <f t="shared" si="47"/>
        <v xml:space="preserve"> </v>
      </c>
      <c r="AW57" s="184" t="str">
        <f t="shared" si="47"/>
        <v xml:space="preserve"> </v>
      </c>
      <c r="AX57" s="184" t="str">
        <f t="shared" si="47"/>
        <v xml:space="preserve"> </v>
      </c>
      <c r="AY57" s="179">
        <f t="shared" si="48"/>
        <v>0</v>
      </c>
      <c r="AZ57" s="179">
        <f t="shared" si="48"/>
        <v>0</v>
      </c>
      <c r="BA57" s="179">
        <f t="shared" si="48"/>
        <v>40000000</v>
      </c>
      <c r="BB57" s="179">
        <f t="shared" si="48"/>
        <v>40000000</v>
      </c>
      <c r="BC57" s="131"/>
      <c r="BP57" s="216"/>
      <c r="BQ57" s="216"/>
      <c r="BR57" s="216"/>
    </row>
    <row r="58" spans="1:70" s="189" customFormat="1" ht="12.75">
      <c r="B58" s="1215"/>
      <c r="C58" s="859"/>
      <c r="D58" s="859"/>
      <c r="E58" s="859"/>
      <c r="F58" s="859"/>
      <c r="G58" s="859"/>
      <c r="H58" s="859"/>
      <c r="I58" s="859"/>
      <c r="J58" s="859"/>
      <c r="K58" s="859"/>
      <c r="L58" s="859"/>
      <c r="M58" s="859"/>
      <c r="N58" s="859"/>
      <c r="O58" s="859"/>
      <c r="P58" s="859"/>
      <c r="Q58" s="859"/>
      <c r="R58" s="859"/>
      <c r="S58" s="859"/>
      <c r="T58" s="859"/>
      <c r="U58" s="859"/>
      <c r="V58" s="859"/>
      <c r="W58" s="859"/>
      <c r="X58" s="859"/>
      <c r="Y58" s="859"/>
      <c r="Z58" s="859"/>
      <c r="AA58" s="859"/>
      <c r="AB58" s="859"/>
      <c r="AC58" s="859"/>
      <c r="AD58" s="859"/>
      <c r="AE58" s="859"/>
      <c r="AF58" s="859"/>
      <c r="AG58" s="859"/>
      <c r="AH58" s="859"/>
      <c r="AI58" s="859"/>
      <c r="AJ58" s="859"/>
      <c r="AK58" s="859"/>
      <c r="AL58" s="859"/>
      <c r="AM58" s="1204" t="str">
        <f t="shared" si="6"/>
        <v xml:space="preserve"> </v>
      </c>
      <c r="AN58" s="1204" t="str">
        <f t="shared" si="7"/>
        <v xml:space="preserve"> </v>
      </c>
      <c r="AO58" s="1204" t="str">
        <f t="shared" si="8"/>
        <v xml:space="preserve"> </v>
      </c>
      <c r="AP58" s="1204" t="str">
        <f t="shared" si="9"/>
        <v xml:space="preserve"> </v>
      </c>
      <c r="AQ58" s="1205" t="str">
        <f t="shared" ref="AQ58" si="50">IF(W58=0," ",AI58/W58)</f>
        <v xml:space="preserve"> </v>
      </c>
      <c r="AR58" s="192"/>
      <c r="AS58" s="193"/>
      <c r="AT58" s="193">
        <f t="shared" si="44"/>
        <v>0</v>
      </c>
      <c r="AU58" s="206">
        <f>+F58-AT58</f>
        <v>0</v>
      </c>
      <c r="AV58" s="195"/>
      <c r="AW58" s="216">
        <f>+AT58-AH58</f>
        <v>0</v>
      </c>
      <c r="AX58" s="195"/>
      <c r="AY58" s="196"/>
      <c r="AZ58" s="196"/>
      <c r="BA58" s="195"/>
      <c r="BB58" s="195"/>
      <c r="BC58" s="195"/>
      <c r="BD58" s="195"/>
      <c r="BE58" s="195"/>
      <c r="BF58" s="195"/>
      <c r="BP58" s="216">
        <f t="shared" si="10"/>
        <v>0</v>
      </c>
      <c r="BQ58" s="216">
        <f t="shared" si="11"/>
        <v>0</v>
      </c>
      <c r="BR58" s="216">
        <f t="shared" si="12"/>
        <v>0</v>
      </c>
    </row>
    <row r="59" spans="1:70" s="222" customFormat="1" ht="12.75">
      <c r="B59" s="219" t="s">
        <v>83</v>
      </c>
      <c r="C59" s="220">
        <f>+C52+C45+C25+C19+C9+C57</f>
        <v>0</v>
      </c>
      <c r="D59" s="220">
        <f t="shared" ref="D59:AL59" si="51">+D52+D45+D25+D19+D9+D57</f>
        <v>313914442.91999972</v>
      </c>
      <c r="E59" s="220">
        <f t="shared" si="51"/>
        <v>3585691671.0500002</v>
      </c>
      <c r="F59" s="220">
        <f t="shared" si="51"/>
        <v>3899606113.9699998</v>
      </c>
      <c r="G59" s="220">
        <f t="shared" si="51"/>
        <v>0</v>
      </c>
      <c r="H59" s="220">
        <f t="shared" si="51"/>
        <v>49296080.370000005</v>
      </c>
      <c r="I59" s="220">
        <f t="shared" si="51"/>
        <v>-96454837</v>
      </c>
      <c r="J59" s="220">
        <f t="shared" si="51"/>
        <v>-47158756.63000001</v>
      </c>
      <c r="K59" s="220">
        <f t="shared" si="51"/>
        <v>0</v>
      </c>
      <c r="L59" s="220">
        <f t="shared" si="51"/>
        <v>0</v>
      </c>
      <c r="M59" s="220">
        <f t="shared" si="51"/>
        <v>0</v>
      </c>
      <c r="N59" s="220">
        <f t="shared" si="51"/>
        <v>0</v>
      </c>
      <c r="O59" s="220">
        <f t="shared" si="51"/>
        <v>0</v>
      </c>
      <c r="P59" s="220">
        <f t="shared" si="51"/>
        <v>49296080.370000005</v>
      </c>
      <c r="Q59" s="220">
        <f t="shared" si="51"/>
        <v>-96454837</v>
      </c>
      <c r="R59" s="220">
        <f t="shared" si="51"/>
        <v>-47158756.63000001</v>
      </c>
      <c r="S59" s="220">
        <f t="shared" si="51"/>
        <v>0</v>
      </c>
      <c r="T59" s="220">
        <f t="shared" si="51"/>
        <v>363210523.28999978</v>
      </c>
      <c r="U59" s="220">
        <f t="shared" si="51"/>
        <v>3489236834.0500002</v>
      </c>
      <c r="V59" s="220">
        <f t="shared" si="51"/>
        <v>3852447357.3399997</v>
      </c>
      <c r="W59" s="220">
        <f t="shared" si="51"/>
        <v>0</v>
      </c>
      <c r="X59" s="220">
        <f t="shared" si="51"/>
        <v>237376110.85000002</v>
      </c>
      <c r="Y59" s="220">
        <f t="shared" si="51"/>
        <v>1623216053.24</v>
      </c>
      <c r="Z59" s="220">
        <f t="shared" si="51"/>
        <v>1860592164.0900002</v>
      </c>
      <c r="AA59" s="220">
        <f t="shared" si="51"/>
        <v>0</v>
      </c>
      <c r="AB59" s="220">
        <f t="shared" si="51"/>
        <v>0</v>
      </c>
      <c r="AC59" s="220">
        <f t="shared" si="51"/>
        <v>0</v>
      </c>
      <c r="AD59" s="220">
        <f t="shared" si="51"/>
        <v>0</v>
      </c>
      <c r="AE59" s="220">
        <f t="shared" si="51"/>
        <v>0</v>
      </c>
      <c r="AF59" s="220">
        <f t="shared" si="51"/>
        <v>237376110.85000002</v>
      </c>
      <c r="AG59" s="220">
        <f t="shared" si="51"/>
        <v>1623216053.24</v>
      </c>
      <c r="AH59" s="220">
        <f t="shared" si="51"/>
        <v>1860592164.0900002</v>
      </c>
      <c r="AI59" s="220">
        <f t="shared" si="51"/>
        <v>0</v>
      </c>
      <c r="AJ59" s="220">
        <f t="shared" si="51"/>
        <v>125834412.43999976</v>
      </c>
      <c r="AK59" s="220">
        <f t="shared" si="51"/>
        <v>1866020780.8099999</v>
      </c>
      <c r="AL59" s="220">
        <f t="shared" si="51"/>
        <v>1991855193.2499998</v>
      </c>
      <c r="AM59" s="221" t="str">
        <f t="shared" si="6"/>
        <v xml:space="preserve"> </v>
      </c>
      <c r="AN59" s="221">
        <f t="shared" si="7"/>
        <v>0.65354965131467502</v>
      </c>
      <c r="AO59" s="221">
        <f t="shared" si="8"/>
        <v>0.46520661406520608</v>
      </c>
      <c r="AP59" s="221">
        <f t="shared" si="9"/>
        <v>0.48296368295469289</v>
      </c>
      <c r="AT59" s="222">
        <f t="shared" ref="AT59:AZ59" si="52">SUM(AT9:AT53)</f>
        <v>3954323587.3610001</v>
      </c>
      <c r="AU59" s="222">
        <f t="shared" si="52"/>
        <v>-3054717473.3910007</v>
      </c>
      <c r="AV59" s="222">
        <f t="shared" si="52"/>
        <v>0</v>
      </c>
      <c r="AW59" s="222">
        <f t="shared" si="52"/>
        <v>3280311875.3109999</v>
      </c>
      <c r="AX59" s="222">
        <f t="shared" si="52"/>
        <v>0</v>
      </c>
      <c r="AY59" s="222">
        <f t="shared" si="52"/>
        <v>0</v>
      </c>
      <c r="AZ59" s="222">
        <f t="shared" si="52"/>
        <v>-770577318.14999998</v>
      </c>
      <c r="BB59" s="222">
        <f>+AL59-'OSEC-CONAP'!J216</f>
        <v>1991855193.2499998</v>
      </c>
      <c r="BP59" s="216"/>
      <c r="BQ59" s="216"/>
      <c r="BR59" s="216"/>
    </row>
    <row r="60" spans="1:70" ht="12.75">
      <c r="B60" s="1222"/>
      <c r="C60" s="113">
        <f>+C59-'[7]bar 2012'!$D$285</f>
        <v>0</v>
      </c>
      <c r="D60" s="113"/>
      <c r="E60" s="113"/>
      <c r="F60" s="104"/>
      <c r="G60" s="113"/>
      <c r="H60" s="113"/>
      <c r="I60" s="113"/>
      <c r="J60" s="104"/>
      <c r="K60" s="113"/>
      <c r="L60" s="113"/>
      <c r="M60" s="113"/>
      <c r="N60" s="104"/>
      <c r="O60" s="113">
        <f t="shared" si="19"/>
        <v>0</v>
      </c>
      <c r="P60" s="113">
        <f t="shared" si="20"/>
        <v>0</v>
      </c>
      <c r="Q60" s="113">
        <f t="shared" si="21"/>
        <v>0</v>
      </c>
      <c r="R60" s="104">
        <f t="shared" si="22"/>
        <v>0</v>
      </c>
      <c r="S60" s="113">
        <f t="shared" si="23"/>
        <v>0</v>
      </c>
      <c r="T60" s="113">
        <f t="shared" si="24"/>
        <v>0</v>
      </c>
      <c r="U60" s="113">
        <f t="shared" si="25"/>
        <v>0</v>
      </c>
      <c r="V60" s="104">
        <f t="shared" si="26"/>
        <v>0</v>
      </c>
      <c r="W60" s="113"/>
      <c r="X60" s="113"/>
      <c r="Y60" s="113"/>
      <c r="Z60" s="104">
        <f t="shared" si="16"/>
        <v>0</v>
      </c>
      <c r="AA60" s="113"/>
      <c r="AB60" s="113"/>
      <c r="AC60" s="113"/>
      <c r="AD60" s="104">
        <f t="shared" si="17"/>
        <v>0</v>
      </c>
      <c r="AE60" s="117">
        <f t="shared" ref="AE60:AE68" si="53">+AA60+W60</f>
        <v>0</v>
      </c>
      <c r="AF60" s="117">
        <f t="shared" ref="AF60:AF68" si="54">+AB60+X60</f>
        <v>0</v>
      </c>
      <c r="AG60" s="117">
        <f t="shared" ref="AG60:AG68" si="55">+AC60+Y60</f>
        <v>0</v>
      </c>
      <c r="AH60" s="104">
        <f t="shared" ref="AH60:AH65" si="56">SUM(AE60:AG60)</f>
        <v>0</v>
      </c>
      <c r="AI60" s="117">
        <f t="shared" ref="AI60:AI115" si="57">+S60-AE60</f>
        <v>0</v>
      </c>
      <c r="AJ60" s="117">
        <f t="shared" ref="AJ60:AJ115" si="58">+T60-AF60</f>
        <v>0</v>
      </c>
      <c r="AK60" s="117">
        <f t="shared" ref="AK60:AK115" si="59">+U60-AG60</f>
        <v>0</v>
      </c>
      <c r="AL60" s="104">
        <f t="shared" ref="AL60:AL115" si="60">SUM(AI60:AK60)</f>
        <v>0</v>
      </c>
      <c r="AM60" s="1221" t="str">
        <f t="shared" si="6"/>
        <v xml:space="preserve"> </v>
      </c>
      <c r="AN60" s="1221" t="str">
        <f t="shared" si="7"/>
        <v xml:space="preserve"> </v>
      </c>
      <c r="AO60" s="1221" t="str">
        <f t="shared" si="8"/>
        <v xml:space="preserve"> </v>
      </c>
      <c r="AP60" s="1221" t="str">
        <f t="shared" si="9"/>
        <v xml:space="preserve"> </v>
      </c>
      <c r="AQ60" s="1223" t="str">
        <f t="shared" si="34"/>
        <v xml:space="preserve"> </v>
      </c>
      <c r="AU60" s="141">
        <f t="shared" ref="AU60:AU73" si="61">+F60-AT60</f>
        <v>0</v>
      </c>
      <c r="AW60" s="107">
        <f t="shared" si="18"/>
        <v>0</v>
      </c>
      <c r="BP60" s="216">
        <f t="shared" si="10"/>
        <v>0</v>
      </c>
      <c r="BQ60" s="216">
        <f t="shared" si="11"/>
        <v>0</v>
      </c>
      <c r="BR60" s="216">
        <f t="shared" si="12"/>
        <v>0</v>
      </c>
    </row>
    <row r="61" spans="1:70" ht="12.75">
      <c r="B61" s="1224" t="s">
        <v>84</v>
      </c>
      <c r="C61" s="113"/>
      <c r="D61" s="113"/>
      <c r="E61" s="113"/>
      <c r="F61" s="104">
        <f t="shared" si="13"/>
        <v>0</v>
      </c>
      <c r="G61" s="113"/>
      <c r="H61" s="113"/>
      <c r="I61" s="113"/>
      <c r="J61" s="104">
        <f t="shared" si="14"/>
        <v>0</v>
      </c>
      <c r="K61" s="113"/>
      <c r="L61" s="113"/>
      <c r="M61" s="113"/>
      <c r="N61" s="104">
        <f t="shared" si="15"/>
        <v>0</v>
      </c>
      <c r="O61" s="113">
        <f t="shared" si="19"/>
        <v>0</v>
      </c>
      <c r="P61" s="113">
        <f t="shared" si="20"/>
        <v>0</v>
      </c>
      <c r="Q61" s="113">
        <f t="shared" si="21"/>
        <v>0</v>
      </c>
      <c r="R61" s="104">
        <f t="shared" si="22"/>
        <v>0</v>
      </c>
      <c r="S61" s="113">
        <f t="shared" si="23"/>
        <v>0</v>
      </c>
      <c r="T61" s="113">
        <f t="shared" si="24"/>
        <v>0</v>
      </c>
      <c r="U61" s="113">
        <f t="shared" si="25"/>
        <v>0</v>
      </c>
      <c r="V61" s="104">
        <f t="shared" si="26"/>
        <v>0</v>
      </c>
      <c r="W61" s="113"/>
      <c r="X61" s="113"/>
      <c r="Y61" s="113"/>
      <c r="Z61" s="104">
        <f t="shared" si="16"/>
        <v>0</v>
      </c>
      <c r="AA61" s="113"/>
      <c r="AB61" s="113"/>
      <c r="AC61" s="113"/>
      <c r="AD61" s="104">
        <f t="shared" si="17"/>
        <v>0</v>
      </c>
      <c r="AE61" s="117">
        <f t="shared" si="53"/>
        <v>0</v>
      </c>
      <c r="AF61" s="117">
        <f t="shared" si="54"/>
        <v>0</v>
      </c>
      <c r="AG61" s="117">
        <f t="shared" si="55"/>
        <v>0</v>
      </c>
      <c r="AH61" s="104">
        <f t="shared" si="56"/>
        <v>0</v>
      </c>
      <c r="AI61" s="117">
        <f t="shared" si="57"/>
        <v>0</v>
      </c>
      <c r="AJ61" s="117">
        <f t="shared" si="58"/>
        <v>0</v>
      </c>
      <c r="AK61" s="117">
        <f t="shared" si="59"/>
        <v>0</v>
      </c>
      <c r="AL61" s="104">
        <f t="shared" si="60"/>
        <v>0</v>
      </c>
      <c r="AM61" s="1221" t="str">
        <f t="shared" si="6"/>
        <v xml:space="preserve"> </v>
      </c>
      <c r="AN61" s="1221" t="str">
        <f t="shared" si="7"/>
        <v xml:space="preserve"> </v>
      </c>
      <c r="AO61" s="1221" t="str">
        <f t="shared" si="8"/>
        <v xml:space="preserve"> </v>
      </c>
      <c r="AP61" s="1221" t="str">
        <f t="shared" si="9"/>
        <v xml:space="preserve"> </v>
      </c>
      <c r="AQ61" s="1223" t="str">
        <f t="shared" si="34"/>
        <v xml:space="preserve"> </v>
      </c>
      <c r="AU61" s="141">
        <f t="shared" si="61"/>
        <v>0</v>
      </c>
      <c r="AW61" s="107">
        <f t="shared" si="18"/>
        <v>0</v>
      </c>
      <c r="BP61" s="216"/>
      <c r="BQ61" s="216"/>
      <c r="BR61" s="216"/>
    </row>
    <row r="62" spans="1:70" ht="24">
      <c r="B62" s="1225" t="s">
        <v>951</v>
      </c>
      <c r="C62" s="113">
        <f t="shared" ref="C62:N62" si="62">SUM(C63:C64)</f>
        <v>0</v>
      </c>
      <c r="D62" s="113">
        <f t="shared" si="62"/>
        <v>79797891.479999989</v>
      </c>
      <c r="E62" s="113">
        <f t="shared" si="62"/>
        <v>0</v>
      </c>
      <c r="F62" s="113">
        <f t="shared" si="62"/>
        <v>79797891.479999989</v>
      </c>
      <c r="G62" s="113">
        <f t="shared" si="62"/>
        <v>0</v>
      </c>
      <c r="H62" s="113">
        <f t="shared" si="62"/>
        <v>0</v>
      </c>
      <c r="I62" s="113">
        <f t="shared" si="62"/>
        <v>0</v>
      </c>
      <c r="J62" s="113">
        <f t="shared" si="62"/>
        <v>0</v>
      </c>
      <c r="K62" s="113">
        <f t="shared" si="62"/>
        <v>0</v>
      </c>
      <c r="L62" s="113">
        <f t="shared" si="62"/>
        <v>0</v>
      </c>
      <c r="M62" s="113">
        <f t="shared" si="62"/>
        <v>0</v>
      </c>
      <c r="N62" s="113">
        <f t="shared" si="62"/>
        <v>0</v>
      </c>
      <c r="O62" s="113">
        <f t="shared" si="19"/>
        <v>0</v>
      </c>
      <c r="P62" s="113">
        <f t="shared" si="20"/>
        <v>0</v>
      </c>
      <c r="Q62" s="113">
        <f t="shared" si="21"/>
        <v>0</v>
      </c>
      <c r="R62" s="104">
        <f t="shared" si="22"/>
        <v>0</v>
      </c>
      <c r="S62" s="113">
        <f t="shared" si="23"/>
        <v>0</v>
      </c>
      <c r="T62" s="113">
        <f t="shared" si="24"/>
        <v>79797891.479999989</v>
      </c>
      <c r="U62" s="113">
        <f t="shared" si="25"/>
        <v>0</v>
      </c>
      <c r="V62" s="104">
        <f t="shared" si="26"/>
        <v>79797891.479999989</v>
      </c>
      <c r="W62" s="113">
        <f>SUM(W63:W64)</f>
        <v>0</v>
      </c>
      <c r="X62" s="113">
        <f>SUM(X63:X64)</f>
        <v>52960923.699999996</v>
      </c>
      <c r="Y62" s="113">
        <f>SUM(J63:J64)</f>
        <v>0</v>
      </c>
      <c r="Z62" s="104">
        <f t="shared" si="16"/>
        <v>52960923.699999996</v>
      </c>
      <c r="AA62" s="113">
        <f>SUM(AA63:AA64)</f>
        <v>0</v>
      </c>
      <c r="AB62" s="113">
        <f>SUM(AB63:AB64)</f>
        <v>0</v>
      </c>
      <c r="AC62" s="113">
        <f>SUM(AC63:AC64)</f>
        <v>0</v>
      </c>
      <c r="AD62" s="104">
        <f t="shared" si="17"/>
        <v>0</v>
      </c>
      <c r="AE62" s="117">
        <f t="shared" si="53"/>
        <v>0</v>
      </c>
      <c r="AF62" s="117">
        <f t="shared" si="54"/>
        <v>52960923.699999996</v>
      </c>
      <c r="AG62" s="117">
        <f t="shared" si="55"/>
        <v>0</v>
      </c>
      <c r="AH62" s="104">
        <f t="shared" si="56"/>
        <v>52960923.699999996</v>
      </c>
      <c r="AI62" s="117">
        <f t="shared" si="57"/>
        <v>0</v>
      </c>
      <c r="AJ62" s="117">
        <f t="shared" si="58"/>
        <v>26836967.779999994</v>
      </c>
      <c r="AK62" s="117">
        <f t="shared" si="59"/>
        <v>0</v>
      </c>
      <c r="AL62" s="104">
        <f t="shared" si="60"/>
        <v>26836967.779999994</v>
      </c>
      <c r="AM62" s="1221" t="str">
        <f t="shared" si="6"/>
        <v xml:space="preserve"> </v>
      </c>
      <c r="AN62" s="1221">
        <f t="shared" si="7"/>
        <v>0.66368825939810416</v>
      </c>
      <c r="AO62" s="1221" t="str">
        <f t="shared" si="8"/>
        <v xml:space="preserve"> </v>
      </c>
      <c r="AP62" s="1221">
        <f t="shared" si="9"/>
        <v>0.66368825939810416</v>
      </c>
      <c r="AQ62" s="1223" t="str">
        <f t="shared" si="34"/>
        <v xml:space="preserve"> </v>
      </c>
      <c r="AU62" s="141"/>
      <c r="AW62" s="107"/>
      <c r="BP62" s="216"/>
      <c r="BQ62" s="216"/>
      <c r="BR62" s="216"/>
    </row>
    <row r="63" spans="1:70" ht="12.75">
      <c r="B63" s="1226" t="s">
        <v>593</v>
      </c>
      <c r="C63" s="113"/>
      <c r="D63" s="113">
        <v>7803808.3200000003</v>
      </c>
      <c r="E63" s="113"/>
      <c r="F63" s="104">
        <f t="shared" si="13"/>
        <v>7803808.3200000003</v>
      </c>
      <c r="G63" s="113"/>
      <c r="H63" s="113"/>
      <c r="I63" s="113"/>
      <c r="J63" s="104">
        <f t="shared" si="14"/>
        <v>0</v>
      </c>
      <c r="K63" s="113"/>
      <c r="L63" s="113"/>
      <c r="M63" s="113"/>
      <c r="N63" s="104">
        <f t="shared" si="15"/>
        <v>0</v>
      </c>
      <c r="O63" s="113">
        <f t="shared" si="19"/>
        <v>0</v>
      </c>
      <c r="P63" s="113">
        <f t="shared" si="20"/>
        <v>0</v>
      </c>
      <c r="Q63" s="113">
        <f t="shared" si="21"/>
        <v>0</v>
      </c>
      <c r="R63" s="104">
        <f t="shared" si="22"/>
        <v>0</v>
      </c>
      <c r="S63" s="113">
        <f t="shared" si="23"/>
        <v>0</v>
      </c>
      <c r="T63" s="113">
        <f t="shared" si="24"/>
        <v>7803808.3200000003</v>
      </c>
      <c r="U63" s="113">
        <f t="shared" si="25"/>
        <v>0</v>
      </c>
      <c r="V63" s="104">
        <f t="shared" si="26"/>
        <v>7803808.3200000003</v>
      </c>
      <c r="W63" s="113">
        <f>+'FAPS-CONAP'!I13</f>
        <v>0</v>
      </c>
      <c r="X63" s="113">
        <f>+'FAPS-CONAP'!I14</f>
        <v>106114.98</v>
      </c>
      <c r="Y63" s="113">
        <f>+'FAPS-CONAP'!I15</f>
        <v>0</v>
      </c>
      <c r="Z63" s="104">
        <f t="shared" si="16"/>
        <v>106114.98</v>
      </c>
      <c r="AA63" s="113"/>
      <c r="AB63" s="113"/>
      <c r="AC63" s="113"/>
      <c r="AD63" s="104">
        <f t="shared" si="17"/>
        <v>0</v>
      </c>
      <c r="AE63" s="117">
        <f t="shared" si="53"/>
        <v>0</v>
      </c>
      <c r="AF63" s="117">
        <f t="shared" si="54"/>
        <v>106114.98</v>
      </c>
      <c r="AG63" s="117">
        <f t="shared" si="55"/>
        <v>0</v>
      </c>
      <c r="AH63" s="104">
        <f t="shared" si="56"/>
        <v>106114.98</v>
      </c>
      <c r="AI63" s="117">
        <f t="shared" si="57"/>
        <v>0</v>
      </c>
      <c r="AJ63" s="117">
        <f t="shared" si="58"/>
        <v>7697693.3399999999</v>
      </c>
      <c r="AK63" s="117">
        <f t="shared" si="59"/>
        <v>0</v>
      </c>
      <c r="AL63" s="104">
        <f t="shared" si="60"/>
        <v>7697693.3399999999</v>
      </c>
      <c r="AM63" s="1221" t="str">
        <f t="shared" si="6"/>
        <v xml:space="preserve"> </v>
      </c>
      <c r="AN63" s="1221">
        <f t="shared" si="7"/>
        <v>1.3597845519609072E-2</v>
      </c>
      <c r="AO63" s="1221" t="str">
        <f t="shared" si="8"/>
        <v xml:space="preserve"> </v>
      </c>
      <c r="AP63" s="1221">
        <f t="shared" si="9"/>
        <v>1.3597845519609072E-2</v>
      </c>
      <c r="AQ63" s="1223" t="str">
        <f t="shared" si="34"/>
        <v xml:space="preserve"> </v>
      </c>
      <c r="AT63" s="147">
        <v>13858613.98</v>
      </c>
      <c r="AU63" s="141">
        <f t="shared" si="61"/>
        <v>-6054805.6600000001</v>
      </c>
      <c r="AV63" s="110" t="s">
        <v>690</v>
      </c>
      <c r="AW63" s="107">
        <f t="shared" si="18"/>
        <v>13752499</v>
      </c>
      <c r="AZ63" s="156">
        <f>+AU63</f>
        <v>-6054805.6600000001</v>
      </c>
      <c r="BP63" s="216"/>
      <c r="BQ63" s="216"/>
      <c r="BR63" s="216"/>
    </row>
    <row r="64" spans="1:70" ht="12.75">
      <c r="B64" s="1226" t="s">
        <v>594</v>
      </c>
      <c r="C64" s="113"/>
      <c r="D64" s="113">
        <v>71994083.159999996</v>
      </c>
      <c r="E64" s="113"/>
      <c r="F64" s="104">
        <f t="shared" si="13"/>
        <v>71994083.159999996</v>
      </c>
      <c r="G64" s="113"/>
      <c r="H64" s="113"/>
      <c r="I64" s="113"/>
      <c r="J64" s="104">
        <f t="shared" si="14"/>
        <v>0</v>
      </c>
      <c r="K64" s="113"/>
      <c r="L64" s="113"/>
      <c r="M64" s="113"/>
      <c r="N64" s="104">
        <f t="shared" si="15"/>
        <v>0</v>
      </c>
      <c r="O64" s="113">
        <f t="shared" si="19"/>
        <v>0</v>
      </c>
      <c r="P64" s="113">
        <f t="shared" si="20"/>
        <v>0</v>
      </c>
      <c r="Q64" s="113">
        <f t="shared" si="21"/>
        <v>0</v>
      </c>
      <c r="R64" s="104">
        <f t="shared" si="22"/>
        <v>0</v>
      </c>
      <c r="S64" s="113">
        <f t="shared" si="23"/>
        <v>0</v>
      </c>
      <c r="T64" s="113">
        <f t="shared" si="24"/>
        <v>71994083.159999996</v>
      </c>
      <c r="U64" s="113">
        <f t="shared" si="25"/>
        <v>0</v>
      </c>
      <c r="V64" s="104">
        <f t="shared" si="26"/>
        <v>71994083.159999996</v>
      </c>
      <c r="W64" s="113">
        <f>+'FAPS-CONAP'!J13</f>
        <v>0</v>
      </c>
      <c r="X64" s="113">
        <f>+'FAPS-CONAP'!J14</f>
        <v>52854808.719999999</v>
      </c>
      <c r="Y64" s="113">
        <f>+'FAPS-CONAP'!J15</f>
        <v>0</v>
      </c>
      <c r="Z64" s="104">
        <f t="shared" si="16"/>
        <v>52854808.719999999</v>
      </c>
      <c r="AA64" s="113"/>
      <c r="AB64" s="113"/>
      <c r="AC64" s="113"/>
      <c r="AD64" s="104">
        <f t="shared" si="17"/>
        <v>0</v>
      </c>
      <c r="AE64" s="117">
        <f t="shared" si="53"/>
        <v>0</v>
      </c>
      <c r="AF64" s="117">
        <f t="shared" si="54"/>
        <v>52854808.719999999</v>
      </c>
      <c r="AG64" s="117">
        <f t="shared" si="55"/>
        <v>0</v>
      </c>
      <c r="AH64" s="104">
        <f t="shared" si="56"/>
        <v>52854808.719999999</v>
      </c>
      <c r="AI64" s="117">
        <f t="shared" si="57"/>
        <v>0</v>
      </c>
      <c r="AJ64" s="117">
        <f t="shared" si="58"/>
        <v>19139274.439999998</v>
      </c>
      <c r="AK64" s="117">
        <f t="shared" si="59"/>
        <v>0</v>
      </c>
      <c r="AL64" s="104">
        <f t="shared" si="60"/>
        <v>19139274.439999998</v>
      </c>
      <c r="AM64" s="1221" t="str">
        <f t="shared" si="6"/>
        <v xml:space="preserve"> </v>
      </c>
      <c r="AN64" s="1221">
        <f t="shared" si="7"/>
        <v>0.73415489718141447</v>
      </c>
      <c r="AO64" s="1221" t="str">
        <f t="shared" si="8"/>
        <v xml:space="preserve"> </v>
      </c>
      <c r="AP64" s="1221">
        <f t="shared" si="9"/>
        <v>0.73415489718141447</v>
      </c>
      <c r="AQ64" s="1223" t="str">
        <f t="shared" si="34"/>
        <v xml:space="preserve"> </v>
      </c>
      <c r="AT64" s="147">
        <v>41384399.989999995</v>
      </c>
      <c r="AU64" s="141">
        <f t="shared" si="61"/>
        <v>30609683.170000002</v>
      </c>
      <c r="AV64" s="110" t="s">
        <v>690</v>
      </c>
      <c r="AW64" s="107">
        <f t="shared" si="18"/>
        <v>-11470408.730000004</v>
      </c>
      <c r="AZ64" s="156">
        <f>+AU64</f>
        <v>30609683.170000002</v>
      </c>
      <c r="BP64" s="216"/>
      <c r="BQ64" s="216"/>
      <c r="BR64" s="216"/>
    </row>
    <row r="65" spans="1:70" ht="12.75">
      <c r="B65" s="1225"/>
      <c r="C65" s="113"/>
      <c r="D65" s="113"/>
      <c r="E65" s="113"/>
      <c r="F65" s="104">
        <f t="shared" si="13"/>
        <v>0</v>
      </c>
      <c r="G65" s="113"/>
      <c r="H65" s="113"/>
      <c r="I65" s="113"/>
      <c r="J65" s="104">
        <f t="shared" si="14"/>
        <v>0</v>
      </c>
      <c r="K65" s="113"/>
      <c r="L65" s="113"/>
      <c r="M65" s="113"/>
      <c r="N65" s="104">
        <f t="shared" si="15"/>
        <v>0</v>
      </c>
      <c r="O65" s="113">
        <f t="shared" si="19"/>
        <v>0</v>
      </c>
      <c r="P65" s="113">
        <f t="shared" si="20"/>
        <v>0</v>
      </c>
      <c r="Q65" s="113">
        <f t="shared" si="21"/>
        <v>0</v>
      </c>
      <c r="R65" s="104">
        <f t="shared" si="22"/>
        <v>0</v>
      </c>
      <c r="S65" s="113">
        <f t="shared" si="23"/>
        <v>0</v>
      </c>
      <c r="T65" s="113">
        <f t="shared" si="24"/>
        <v>0</v>
      </c>
      <c r="U65" s="113">
        <f t="shared" si="25"/>
        <v>0</v>
      </c>
      <c r="V65" s="104">
        <f t="shared" si="26"/>
        <v>0</v>
      </c>
      <c r="W65" s="113"/>
      <c r="X65" s="113"/>
      <c r="Y65" s="113"/>
      <c r="Z65" s="104">
        <f t="shared" si="16"/>
        <v>0</v>
      </c>
      <c r="AA65" s="113"/>
      <c r="AB65" s="113"/>
      <c r="AC65" s="113"/>
      <c r="AD65" s="104">
        <f t="shared" si="17"/>
        <v>0</v>
      </c>
      <c r="AE65" s="117">
        <f t="shared" si="53"/>
        <v>0</v>
      </c>
      <c r="AF65" s="117">
        <f t="shared" si="54"/>
        <v>0</v>
      </c>
      <c r="AG65" s="117">
        <f t="shared" si="55"/>
        <v>0</v>
      </c>
      <c r="AH65" s="104">
        <f t="shared" si="56"/>
        <v>0</v>
      </c>
      <c r="AI65" s="117">
        <f t="shared" si="57"/>
        <v>0</v>
      </c>
      <c r="AJ65" s="117">
        <f t="shared" si="58"/>
        <v>0</v>
      </c>
      <c r="AK65" s="117">
        <f t="shared" si="59"/>
        <v>0</v>
      </c>
      <c r="AL65" s="104">
        <f t="shared" si="60"/>
        <v>0</v>
      </c>
      <c r="AM65" s="1221" t="str">
        <f t="shared" si="6"/>
        <v xml:space="preserve"> </v>
      </c>
      <c r="AN65" s="1221" t="str">
        <f t="shared" si="7"/>
        <v xml:space="preserve"> </v>
      </c>
      <c r="AO65" s="1221" t="str">
        <f t="shared" si="8"/>
        <v xml:space="preserve"> </v>
      </c>
      <c r="AP65" s="1221" t="str">
        <f t="shared" si="9"/>
        <v xml:space="preserve"> </v>
      </c>
      <c r="AQ65" s="1223" t="str">
        <f t="shared" si="34"/>
        <v xml:space="preserve"> </v>
      </c>
      <c r="AT65" s="148"/>
      <c r="AU65" s="141">
        <f t="shared" si="61"/>
        <v>0</v>
      </c>
      <c r="AW65" s="107">
        <f t="shared" si="18"/>
        <v>0</v>
      </c>
      <c r="BP65" s="216"/>
      <c r="BQ65" s="216"/>
      <c r="BR65" s="216"/>
    </row>
    <row r="66" spans="1:70" ht="12.75">
      <c r="B66" s="1225" t="s">
        <v>86</v>
      </c>
      <c r="C66" s="113">
        <f t="shared" ref="C66:N66" si="63">SUM(C67:C68)</f>
        <v>0</v>
      </c>
      <c r="D66" s="113">
        <f t="shared" si="63"/>
        <v>8194000</v>
      </c>
      <c r="E66" s="113">
        <f t="shared" si="63"/>
        <v>0</v>
      </c>
      <c r="F66" s="113">
        <f t="shared" si="63"/>
        <v>8194000</v>
      </c>
      <c r="G66" s="113">
        <f t="shared" si="63"/>
        <v>0</v>
      </c>
      <c r="H66" s="113">
        <f t="shared" si="63"/>
        <v>0</v>
      </c>
      <c r="I66" s="113">
        <f t="shared" si="63"/>
        <v>0</v>
      </c>
      <c r="J66" s="113">
        <f t="shared" si="63"/>
        <v>0</v>
      </c>
      <c r="K66" s="113">
        <f t="shared" si="63"/>
        <v>0</v>
      </c>
      <c r="L66" s="113">
        <f t="shared" si="63"/>
        <v>0</v>
      </c>
      <c r="M66" s="113">
        <f t="shared" si="63"/>
        <v>0</v>
      </c>
      <c r="N66" s="113">
        <f t="shared" si="63"/>
        <v>0</v>
      </c>
      <c r="O66" s="113">
        <f t="shared" si="19"/>
        <v>0</v>
      </c>
      <c r="P66" s="113">
        <f t="shared" si="20"/>
        <v>0</v>
      </c>
      <c r="Q66" s="113">
        <f t="shared" si="21"/>
        <v>0</v>
      </c>
      <c r="R66" s="104">
        <f t="shared" si="22"/>
        <v>0</v>
      </c>
      <c r="S66" s="113">
        <f t="shared" si="23"/>
        <v>0</v>
      </c>
      <c r="T66" s="113">
        <f t="shared" si="24"/>
        <v>8194000</v>
      </c>
      <c r="U66" s="113">
        <f t="shared" si="25"/>
        <v>0</v>
      </c>
      <c r="V66" s="104">
        <f t="shared" si="26"/>
        <v>8194000</v>
      </c>
      <c r="W66" s="113">
        <f>SUM(W67:W68)</f>
        <v>0</v>
      </c>
      <c r="X66" s="113">
        <f>SUM(X67:X68)</f>
        <v>8096279.7699999996</v>
      </c>
      <c r="Y66" s="113">
        <f>SUM(J67:J68)</f>
        <v>0</v>
      </c>
      <c r="Z66" s="104">
        <f t="shared" ref="Z66:Z129" si="64">SUM(W66:Y66)</f>
        <v>8096279.7699999996</v>
      </c>
      <c r="AA66" s="113">
        <f>SUM(AA67:AA68)</f>
        <v>0</v>
      </c>
      <c r="AB66" s="113">
        <f>SUM(AB67:AB68)</f>
        <v>0</v>
      </c>
      <c r="AC66" s="113">
        <f>SUM(AC67:AC68)</f>
        <v>0</v>
      </c>
      <c r="AD66" s="104">
        <f t="shared" ref="AD66:AD129" si="65">SUM(AA66:AC66)</f>
        <v>0</v>
      </c>
      <c r="AE66" s="117">
        <f t="shared" si="53"/>
        <v>0</v>
      </c>
      <c r="AF66" s="117">
        <f t="shared" si="54"/>
        <v>8096279.7699999996</v>
      </c>
      <c r="AG66" s="117">
        <f t="shared" si="55"/>
        <v>0</v>
      </c>
      <c r="AH66" s="104">
        <f t="shared" ref="AH66:AH129" si="66">SUM(AE66:AG66)</f>
        <v>8096279.7699999996</v>
      </c>
      <c r="AI66" s="117">
        <f t="shared" si="57"/>
        <v>0</v>
      </c>
      <c r="AJ66" s="117">
        <f t="shared" si="58"/>
        <v>97720.230000000447</v>
      </c>
      <c r="AK66" s="117">
        <f t="shared" si="59"/>
        <v>0</v>
      </c>
      <c r="AL66" s="104">
        <f t="shared" si="60"/>
        <v>97720.230000000447</v>
      </c>
      <c r="AM66" s="1221" t="str">
        <f t="shared" si="6"/>
        <v xml:space="preserve"> </v>
      </c>
      <c r="AN66" s="1221">
        <f t="shared" si="7"/>
        <v>0.98807417256529162</v>
      </c>
      <c r="AO66" s="1221" t="str">
        <f t="shared" si="8"/>
        <v xml:space="preserve"> </v>
      </c>
      <c r="AP66" s="1221">
        <f t="shared" si="9"/>
        <v>0.98807417256529162</v>
      </c>
      <c r="AQ66" s="1223" t="str">
        <f t="shared" ref="AQ66:AQ81" si="67">IF(W66=0," ",AI66/W66)</f>
        <v xml:space="preserve"> </v>
      </c>
      <c r="AU66" s="141"/>
      <c r="AW66" s="107"/>
      <c r="BP66" s="216"/>
      <c r="BQ66" s="216"/>
      <c r="BR66" s="216"/>
    </row>
    <row r="67" spans="1:70" ht="12.75">
      <c r="B67" s="1226" t="s">
        <v>593</v>
      </c>
      <c r="C67" s="113"/>
      <c r="D67" s="113"/>
      <c r="E67" s="113"/>
      <c r="F67" s="104">
        <f t="shared" ref="F67:F130" si="68">SUM(C67:E67)</f>
        <v>0</v>
      </c>
      <c r="G67" s="113"/>
      <c r="H67" s="113"/>
      <c r="I67" s="113"/>
      <c r="J67" s="104">
        <f t="shared" ref="J67:J130" si="69">SUM(G67:I67)</f>
        <v>0</v>
      </c>
      <c r="K67" s="113"/>
      <c r="L67" s="113"/>
      <c r="M67" s="113"/>
      <c r="N67" s="104">
        <f t="shared" ref="N67:N130" si="70">SUM(K67:M67)</f>
        <v>0</v>
      </c>
      <c r="O67" s="113">
        <f t="shared" ref="O67:O130" si="71">+G67+K67</f>
        <v>0</v>
      </c>
      <c r="P67" s="113">
        <f t="shared" ref="P67:P130" si="72">+H67+L67</f>
        <v>0</v>
      </c>
      <c r="Q67" s="113">
        <f t="shared" ref="Q67:Q130" si="73">+I67+M67</f>
        <v>0</v>
      </c>
      <c r="R67" s="104">
        <f t="shared" ref="R67:R130" si="74">SUM(O67:Q67)</f>
        <v>0</v>
      </c>
      <c r="S67" s="113">
        <f t="shared" ref="S67:S130" si="75">+O67+C67</f>
        <v>0</v>
      </c>
      <c r="T67" s="113">
        <f t="shared" ref="T67:T130" si="76">+P67+D67</f>
        <v>0</v>
      </c>
      <c r="U67" s="113">
        <f t="shared" ref="U67:U130" si="77">+Q67+E67</f>
        <v>0</v>
      </c>
      <c r="V67" s="104">
        <f t="shared" ref="V67:V130" si="78">SUM(S67:U67)</f>
        <v>0</v>
      </c>
      <c r="W67" s="113">
        <f>+'FAPS-CONAP'!I18</f>
        <v>0</v>
      </c>
      <c r="X67" s="113">
        <f>+'FAPS-CONAP'!I19</f>
        <v>0</v>
      </c>
      <c r="Y67" s="113">
        <f>+'FAPS-CONAP'!I20</f>
        <v>0</v>
      </c>
      <c r="Z67" s="104">
        <f t="shared" si="64"/>
        <v>0</v>
      </c>
      <c r="AA67" s="113"/>
      <c r="AB67" s="113"/>
      <c r="AC67" s="113"/>
      <c r="AD67" s="104">
        <f t="shared" si="65"/>
        <v>0</v>
      </c>
      <c r="AE67" s="117">
        <f t="shared" si="53"/>
        <v>0</v>
      </c>
      <c r="AF67" s="117">
        <f t="shared" si="54"/>
        <v>0</v>
      </c>
      <c r="AG67" s="117">
        <f t="shared" si="55"/>
        <v>0</v>
      </c>
      <c r="AH67" s="104">
        <f t="shared" si="66"/>
        <v>0</v>
      </c>
      <c r="AI67" s="117">
        <f t="shared" si="57"/>
        <v>0</v>
      </c>
      <c r="AJ67" s="117">
        <f t="shared" si="58"/>
        <v>0</v>
      </c>
      <c r="AK67" s="117">
        <f t="shared" si="59"/>
        <v>0</v>
      </c>
      <c r="AL67" s="104">
        <f t="shared" si="60"/>
        <v>0</v>
      </c>
      <c r="AM67" s="1221" t="str">
        <f t="shared" si="6"/>
        <v xml:space="preserve"> </v>
      </c>
      <c r="AN67" s="1221" t="str">
        <f t="shared" si="7"/>
        <v xml:space="preserve"> </v>
      </c>
      <c r="AO67" s="1221" t="str">
        <f t="shared" si="8"/>
        <v xml:space="preserve"> </v>
      </c>
      <c r="AP67" s="1221" t="str">
        <f t="shared" si="9"/>
        <v xml:space="preserve"> </v>
      </c>
      <c r="AQ67" s="1223" t="str">
        <f t="shared" si="67"/>
        <v xml:space="preserve"> </v>
      </c>
      <c r="AT67" s="147">
        <v>6768926.5300000003</v>
      </c>
      <c r="AU67" s="141">
        <f t="shared" si="61"/>
        <v>-6768926.5300000003</v>
      </c>
      <c r="AW67" s="107">
        <f t="shared" ref="AW67:AW73" si="79">+AT67-AH67</f>
        <v>6768926.5300000003</v>
      </c>
      <c r="BP67" s="216"/>
      <c r="BQ67" s="216"/>
      <c r="BR67" s="216"/>
    </row>
    <row r="68" spans="1:70" ht="12.75">
      <c r="B68" s="1226" t="s">
        <v>594</v>
      </c>
      <c r="C68" s="113"/>
      <c r="D68" s="113">
        <v>8194000</v>
      </c>
      <c r="E68" s="113"/>
      <c r="F68" s="104">
        <f t="shared" si="68"/>
        <v>8194000</v>
      </c>
      <c r="G68" s="113"/>
      <c r="H68" s="113"/>
      <c r="I68" s="113"/>
      <c r="J68" s="104">
        <f t="shared" si="69"/>
        <v>0</v>
      </c>
      <c r="K68" s="113"/>
      <c r="L68" s="113"/>
      <c r="M68" s="113"/>
      <c r="N68" s="104">
        <f t="shared" si="70"/>
        <v>0</v>
      </c>
      <c r="O68" s="113">
        <f t="shared" si="71"/>
        <v>0</v>
      </c>
      <c r="P68" s="113">
        <f t="shared" si="72"/>
        <v>0</v>
      </c>
      <c r="Q68" s="113">
        <f t="shared" si="73"/>
        <v>0</v>
      </c>
      <c r="R68" s="104">
        <f t="shared" si="74"/>
        <v>0</v>
      </c>
      <c r="S68" s="113">
        <f t="shared" si="75"/>
        <v>0</v>
      </c>
      <c r="T68" s="113">
        <f t="shared" si="76"/>
        <v>8194000</v>
      </c>
      <c r="U68" s="113">
        <f t="shared" si="77"/>
        <v>0</v>
      </c>
      <c r="V68" s="104">
        <f t="shared" si="78"/>
        <v>8194000</v>
      </c>
      <c r="W68" s="113">
        <f>+'FAPS-CONAP'!J18</f>
        <v>0</v>
      </c>
      <c r="X68" s="113">
        <f>+'FAPS-CONAP'!J19</f>
        <v>8096279.7699999996</v>
      </c>
      <c r="Y68" s="113">
        <f>+'FAPS-CONAP'!J20</f>
        <v>0</v>
      </c>
      <c r="Z68" s="104">
        <f t="shared" si="64"/>
        <v>8096279.7699999996</v>
      </c>
      <c r="AA68" s="113"/>
      <c r="AB68" s="113"/>
      <c r="AC68" s="113"/>
      <c r="AD68" s="104">
        <f t="shared" si="65"/>
        <v>0</v>
      </c>
      <c r="AE68" s="117">
        <f t="shared" si="53"/>
        <v>0</v>
      </c>
      <c r="AF68" s="117">
        <f t="shared" si="54"/>
        <v>8096279.7699999996</v>
      </c>
      <c r="AG68" s="117">
        <f t="shared" si="55"/>
        <v>0</v>
      </c>
      <c r="AH68" s="104">
        <f t="shared" si="66"/>
        <v>8096279.7699999996</v>
      </c>
      <c r="AI68" s="117">
        <f t="shared" si="57"/>
        <v>0</v>
      </c>
      <c r="AJ68" s="117">
        <f t="shared" si="58"/>
        <v>97720.230000000447</v>
      </c>
      <c r="AK68" s="117">
        <f t="shared" si="59"/>
        <v>0</v>
      </c>
      <c r="AL68" s="104">
        <f t="shared" si="60"/>
        <v>97720.230000000447</v>
      </c>
      <c r="AM68" s="1221" t="str">
        <f t="shared" si="6"/>
        <v xml:space="preserve"> </v>
      </c>
      <c r="AN68" s="1221">
        <f t="shared" si="7"/>
        <v>0.98807417256529162</v>
      </c>
      <c r="AO68" s="1221" t="str">
        <f t="shared" si="8"/>
        <v xml:space="preserve"> </v>
      </c>
      <c r="AP68" s="1221">
        <f t="shared" si="9"/>
        <v>0.98807417256529162</v>
      </c>
      <c r="AQ68" s="1223" t="str">
        <f t="shared" si="67"/>
        <v xml:space="preserve"> </v>
      </c>
      <c r="AT68" s="147">
        <v>8877000</v>
      </c>
      <c r="AU68" s="141">
        <f t="shared" si="61"/>
        <v>-683000</v>
      </c>
      <c r="AW68" s="107">
        <f t="shared" si="79"/>
        <v>780720.23000000045</v>
      </c>
      <c r="BP68" s="216"/>
      <c r="BQ68" s="216"/>
      <c r="BR68" s="216"/>
    </row>
    <row r="69" spans="1:70" ht="12.75">
      <c r="B69" s="1222"/>
      <c r="C69" s="113"/>
      <c r="D69" s="113"/>
      <c r="E69" s="113"/>
      <c r="F69" s="104">
        <f t="shared" si="68"/>
        <v>0</v>
      </c>
      <c r="G69" s="113"/>
      <c r="H69" s="113"/>
      <c r="I69" s="113"/>
      <c r="J69" s="104">
        <f t="shared" si="69"/>
        <v>0</v>
      </c>
      <c r="K69" s="113"/>
      <c r="L69" s="113"/>
      <c r="M69" s="113"/>
      <c r="N69" s="104">
        <f t="shared" si="70"/>
        <v>0</v>
      </c>
      <c r="O69" s="113">
        <f t="shared" si="71"/>
        <v>0</v>
      </c>
      <c r="P69" s="113">
        <f t="shared" si="72"/>
        <v>0</v>
      </c>
      <c r="Q69" s="113">
        <f t="shared" si="73"/>
        <v>0</v>
      </c>
      <c r="R69" s="104">
        <f t="shared" si="74"/>
        <v>0</v>
      </c>
      <c r="S69" s="113">
        <f t="shared" si="75"/>
        <v>0</v>
      </c>
      <c r="T69" s="113">
        <f t="shared" si="76"/>
        <v>0</v>
      </c>
      <c r="U69" s="113">
        <f t="shared" si="77"/>
        <v>0</v>
      </c>
      <c r="V69" s="104">
        <f t="shared" si="78"/>
        <v>0</v>
      </c>
      <c r="W69" s="113"/>
      <c r="X69" s="113"/>
      <c r="Y69" s="113"/>
      <c r="Z69" s="104">
        <f t="shared" si="64"/>
        <v>0</v>
      </c>
      <c r="AA69" s="113"/>
      <c r="AB69" s="113"/>
      <c r="AC69" s="113"/>
      <c r="AD69" s="104">
        <f t="shared" si="65"/>
        <v>0</v>
      </c>
      <c r="AE69" s="117">
        <f t="shared" ref="AE69:AE132" si="80">+AA69+W69</f>
        <v>0</v>
      </c>
      <c r="AF69" s="117">
        <f t="shared" ref="AF69:AF132" si="81">+AB69+X69</f>
        <v>0</v>
      </c>
      <c r="AG69" s="117">
        <f t="shared" ref="AG69:AG132" si="82">+AC69+Y69</f>
        <v>0</v>
      </c>
      <c r="AH69" s="104">
        <f t="shared" si="66"/>
        <v>0</v>
      </c>
      <c r="AI69" s="117">
        <f t="shared" si="57"/>
        <v>0</v>
      </c>
      <c r="AJ69" s="117">
        <f t="shared" si="58"/>
        <v>0</v>
      </c>
      <c r="AK69" s="117">
        <f t="shared" si="59"/>
        <v>0</v>
      </c>
      <c r="AL69" s="104">
        <f t="shared" si="60"/>
        <v>0</v>
      </c>
      <c r="AM69" s="1221" t="str">
        <f t="shared" si="6"/>
        <v xml:space="preserve"> </v>
      </c>
      <c r="AN69" s="1221" t="str">
        <f t="shared" si="7"/>
        <v xml:space="preserve"> </v>
      </c>
      <c r="AO69" s="1221" t="str">
        <f t="shared" si="8"/>
        <v xml:space="preserve"> </v>
      </c>
      <c r="AP69" s="1221" t="str">
        <f t="shared" si="9"/>
        <v xml:space="preserve"> </v>
      </c>
      <c r="AQ69" s="1223" t="str">
        <f t="shared" si="67"/>
        <v xml:space="preserve"> </v>
      </c>
      <c r="AU69" s="141">
        <f t="shared" si="61"/>
        <v>0</v>
      </c>
      <c r="AW69" s="107">
        <f t="shared" si="79"/>
        <v>0</v>
      </c>
      <c r="BP69" s="216"/>
      <c r="BQ69" s="216"/>
      <c r="BR69" s="216"/>
    </row>
    <row r="70" spans="1:70" s="116" customFormat="1" ht="12.75">
      <c r="B70" s="176" t="s">
        <v>46</v>
      </c>
      <c r="C70" s="120">
        <f>SUM(C71:C72)</f>
        <v>0</v>
      </c>
      <c r="D70" s="120">
        <f t="shared" ref="D70:AL70" si="83">SUM(D71:D72)</f>
        <v>87991891.479999989</v>
      </c>
      <c r="E70" s="120">
        <f t="shared" si="83"/>
        <v>0</v>
      </c>
      <c r="F70" s="120">
        <f t="shared" si="83"/>
        <v>87991891.479999989</v>
      </c>
      <c r="G70" s="120">
        <f t="shared" si="83"/>
        <v>0</v>
      </c>
      <c r="H70" s="120">
        <f t="shared" si="83"/>
        <v>0</v>
      </c>
      <c r="I70" s="120">
        <f t="shared" si="83"/>
        <v>0</v>
      </c>
      <c r="J70" s="120">
        <f t="shared" si="83"/>
        <v>0</v>
      </c>
      <c r="K70" s="120">
        <f t="shared" si="83"/>
        <v>0</v>
      </c>
      <c r="L70" s="120">
        <f t="shared" si="83"/>
        <v>0</v>
      </c>
      <c r="M70" s="120">
        <f t="shared" si="83"/>
        <v>0</v>
      </c>
      <c r="N70" s="120">
        <f t="shared" si="83"/>
        <v>0</v>
      </c>
      <c r="O70" s="120">
        <f t="shared" si="83"/>
        <v>0</v>
      </c>
      <c r="P70" s="120">
        <f t="shared" si="83"/>
        <v>0</v>
      </c>
      <c r="Q70" s="120">
        <f t="shared" si="83"/>
        <v>0</v>
      </c>
      <c r="R70" s="120">
        <f t="shared" si="83"/>
        <v>0</v>
      </c>
      <c r="S70" s="120">
        <f t="shared" si="83"/>
        <v>0</v>
      </c>
      <c r="T70" s="120">
        <f t="shared" si="83"/>
        <v>87991891.479999989</v>
      </c>
      <c r="U70" s="120">
        <f t="shared" si="83"/>
        <v>0</v>
      </c>
      <c r="V70" s="120">
        <f t="shared" si="83"/>
        <v>87991891.479999989</v>
      </c>
      <c r="W70" s="120">
        <f t="shared" si="83"/>
        <v>0</v>
      </c>
      <c r="X70" s="120">
        <f t="shared" si="83"/>
        <v>61057203.469999991</v>
      </c>
      <c r="Y70" s="120">
        <f t="shared" si="83"/>
        <v>0</v>
      </c>
      <c r="Z70" s="120">
        <f t="shared" si="83"/>
        <v>61057203.469999991</v>
      </c>
      <c r="AA70" s="120">
        <f t="shared" si="83"/>
        <v>0</v>
      </c>
      <c r="AB70" s="120">
        <f t="shared" si="83"/>
        <v>0</v>
      </c>
      <c r="AC70" s="120">
        <f t="shared" si="83"/>
        <v>0</v>
      </c>
      <c r="AD70" s="120">
        <f t="shared" si="83"/>
        <v>0</v>
      </c>
      <c r="AE70" s="120">
        <f t="shared" si="83"/>
        <v>0</v>
      </c>
      <c r="AF70" s="120">
        <f t="shared" si="83"/>
        <v>61057203.469999991</v>
      </c>
      <c r="AG70" s="120">
        <f t="shared" si="83"/>
        <v>0</v>
      </c>
      <c r="AH70" s="120">
        <f t="shared" si="83"/>
        <v>61057203.469999991</v>
      </c>
      <c r="AI70" s="120">
        <f t="shared" si="83"/>
        <v>0</v>
      </c>
      <c r="AJ70" s="120">
        <f t="shared" si="83"/>
        <v>26934688.009999998</v>
      </c>
      <c r="AK70" s="120">
        <f t="shared" si="83"/>
        <v>0</v>
      </c>
      <c r="AL70" s="120">
        <f t="shared" si="83"/>
        <v>26934688.009999998</v>
      </c>
      <c r="AM70" s="177" t="str">
        <f t="shared" si="6"/>
        <v xml:space="preserve"> </v>
      </c>
      <c r="AN70" s="177">
        <f t="shared" si="7"/>
        <v>0.69389579474920049</v>
      </c>
      <c r="AO70" s="177" t="str">
        <f t="shared" si="8"/>
        <v xml:space="preserve"> </v>
      </c>
      <c r="AP70" s="177">
        <f t="shared" si="9"/>
        <v>0.69389579474920049</v>
      </c>
      <c r="AQ70" s="1227" t="str">
        <f t="shared" si="67"/>
        <v xml:space="preserve"> </v>
      </c>
      <c r="AR70" s="151"/>
      <c r="AS70" s="151"/>
      <c r="AT70" s="151">
        <f>SUM(AT60:AT69)</f>
        <v>70888940.5</v>
      </c>
      <c r="AU70" s="151">
        <f t="shared" ref="AU70:AZ70" si="84">SUM(AU60:AU69)</f>
        <v>17102950.98</v>
      </c>
      <c r="AV70" s="151">
        <f t="shared" si="84"/>
        <v>0</v>
      </c>
      <c r="AW70" s="151">
        <f t="shared" si="84"/>
        <v>9831737.0299999975</v>
      </c>
      <c r="AX70" s="151">
        <f t="shared" si="84"/>
        <v>0</v>
      </c>
      <c r="AY70" s="151">
        <f t="shared" si="84"/>
        <v>0</v>
      </c>
      <c r="AZ70" s="151">
        <f t="shared" si="84"/>
        <v>24554877.510000002</v>
      </c>
      <c r="BB70" s="116">
        <f>+AL70-'FAPS-CONAP'!O27</f>
        <v>0</v>
      </c>
      <c r="BP70" s="216"/>
      <c r="BQ70" s="216"/>
      <c r="BR70" s="216"/>
    </row>
    <row r="71" spans="1:70" ht="12.75">
      <c r="B71" s="1226" t="s">
        <v>593</v>
      </c>
      <c r="C71" s="113">
        <f>+C63+C67</f>
        <v>0</v>
      </c>
      <c r="D71" s="113">
        <f t="shared" ref="D71:AL71" si="85">+D63+D67</f>
        <v>7803808.3200000003</v>
      </c>
      <c r="E71" s="113">
        <f t="shared" si="85"/>
        <v>0</v>
      </c>
      <c r="F71" s="113">
        <f t="shared" si="85"/>
        <v>7803808.3200000003</v>
      </c>
      <c r="G71" s="113">
        <f t="shared" si="85"/>
        <v>0</v>
      </c>
      <c r="H71" s="113">
        <f t="shared" si="85"/>
        <v>0</v>
      </c>
      <c r="I71" s="113">
        <f t="shared" si="85"/>
        <v>0</v>
      </c>
      <c r="J71" s="113">
        <f t="shared" si="85"/>
        <v>0</v>
      </c>
      <c r="K71" s="113">
        <f t="shared" si="85"/>
        <v>0</v>
      </c>
      <c r="L71" s="113">
        <f t="shared" si="85"/>
        <v>0</v>
      </c>
      <c r="M71" s="113">
        <f t="shared" si="85"/>
        <v>0</v>
      </c>
      <c r="N71" s="113">
        <f t="shared" si="85"/>
        <v>0</v>
      </c>
      <c r="O71" s="113">
        <f t="shared" si="85"/>
        <v>0</v>
      </c>
      <c r="P71" s="113">
        <f t="shared" si="85"/>
        <v>0</v>
      </c>
      <c r="Q71" s="113">
        <f t="shared" si="85"/>
        <v>0</v>
      </c>
      <c r="R71" s="113">
        <f t="shared" si="85"/>
        <v>0</v>
      </c>
      <c r="S71" s="113">
        <f t="shared" si="85"/>
        <v>0</v>
      </c>
      <c r="T71" s="113">
        <f t="shared" si="85"/>
        <v>7803808.3200000003</v>
      </c>
      <c r="U71" s="113">
        <f t="shared" si="85"/>
        <v>0</v>
      </c>
      <c r="V71" s="113">
        <f t="shared" si="85"/>
        <v>7803808.3200000003</v>
      </c>
      <c r="W71" s="113">
        <f t="shared" si="85"/>
        <v>0</v>
      </c>
      <c r="X71" s="113">
        <f t="shared" si="85"/>
        <v>106114.98</v>
      </c>
      <c r="Y71" s="113">
        <f t="shared" si="85"/>
        <v>0</v>
      </c>
      <c r="Z71" s="113">
        <f t="shared" si="85"/>
        <v>106114.98</v>
      </c>
      <c r="AA71" s="113">
        <f t="shared" si="85"/>
        <v>0</v>
      </c>
      <c r="AB71" s="113">
        <f t="shared" si="85"/>
        <v>0</v>
      </c>
      <c r="AC71" s="113">
        <f t="shared" si="85"/>
        <v>0</v>
      </c>
      <c r="AD71" s="113">
        <f t="shared" si="85"/>
        <v>0</v>
      </c>
      <c r="AE71" s="113">
        <f t="shared" si="85"/>
        <v>0</v>
      </c>
      <c r="AF71" s="113">
        <f t="shared" si="85"/>
        <v>106114.98</v>
      </c>
      <c r="AG71" s="113">
        <f t="shared" si="85"/>
        <v>0</v>
      </c>
      <c r="AH71" s="113">
        <f t="shared" si="85"/>
        <v>106114.98</v>
      </c>
      <c r="AI71" s="113">
        <f t="shared" si="85"/>
        <v>0</v>
      </c>
      <c r="AJ71" s="113">
        <f t="shared" si="85"/>
        <v>7697693.3399999999</v>
      </c>
      <c r="AK71" s="113">
        <f t="shared" si="85"/>
        <v>0</v>
      </c>
      <c r="AL71" s="113">
        <f t="shared" si="85"/>
        <v>7697693.3399999999</v>
      </c>
      <c r="AM71" s="1221" t="str">
        <f t="shared" si="6"/>
        <v xml:space="preserve"> </v>
      </c>
      <c r="AN71" s="1221">
        <f t="shared" si="7"/>
        <v>1.3597845519609072E-2</v>
      </c>
      <c r="AO71" s="1221" t="str">
        <f t="shared" si="8"/>
        <v xml:space="preserve"> </v>
      </c>
      <c r="AP71" s="1221">
        <f t="shared" si="9"/>
        <v>1.3597845519609072E-2</v>
      </c>
      <c r="AQ71" s="1223" t="str">
        <f t="shared" si="67"/>
        <v xml:space="preserve"> </v>
      </c>
      <c r="AU71" s="141"/>
      <c r="AW71" s="107"/>
      <c r="BP71" s="216"/>
      <c r="BQ71" s="216"/>
      <c r="BR71" s="216"/>
    </row>
    <row r="72" spans="1:70" ht="12.75">
      <c r="B72" s="1226" t="s">
        <v>594</v>
      </c>
      <c r="C72" s="113">
        <f>+C64+C68</f>
        <v>0</v>
      </c>
      <c r="D72" s="113">
        <f t="shared" ref="D72:AL72" si="86">+D64+D68</f>
        <v>80188083.159999996</v>
      </c>
      <c r="E72" s="113">
        <f t="shared" si="86"/>
        <v>0</v>
      </c>
      <c r="F72" s="113">
        <f t="shared" si="86"/>
        <v>80188083.159999996</v>
      </c>
      <c r="G72" s="113">
        <f t="shared" si="86"/>
        <v>0</v>
      </c>
      <c r="H72" s="113">
        <f t="shared" si="86"/>
        <v>0</v>
      </c>
      <c r="I72" s="113">
        <f t="shared" si="86"/>
        <v>0</v>
      </c>
      <c r="J72" s="113">
        <f t="shared" si="86"/>
        <v>0</v>
      </c>
      <c r="K72" s="113">
        <f t="shared" si="86"/>
        <v>0</v>
      </c>
      <c r="L72" s="113">
        <f t="shared" si="86"/>
        <v>0</v>
      </c>
      <c r="M72" s="113">
        <f t="shared" si="86"/>
        <v>0</v>
      </c>
      <c r="N72" s="113">
        <f t="shared" si="86"/>
        <v>0</v>
      </c>
      <c r="O72" s="113">
        <f t="shared" si="86"/>
        <v>0</v>
      </c>
      <c r="P72" s="113">
        <f t="shared" si="86"/>
        <v>0</v>
      </c>
      <c r="Q72" s="113">
        <f t="shared" si="86"/>
        <v>0</v>
      </c>
      <c r="R72" s="113">
        <f t="shared" si="86"/>
        <v>0</v>
      </c>
      <c r="S72" s="113">
        <f t="shared" si="86"/>
        <v>0</v>
      </c>
      <c r="T72" s="113">
        <f t="shared" si="86"/>
        <v>80188083.159999996</v>
      </c>
      <c r="U72" s="113">
        <f t="shared" si="86"/>
        <v>0</v>
      </c>
      <c r="V72" s="113">
        <f t="shared" si="86"/>
        <v>80188083.159999996</v>
      </c>
      <c r="W72" s="113">
        <f t="shared" si="86"/>
        <v>0</v>
      </c>
      <c r="X72" s="113">
        <f t="shared" si="86"/>
        <v>60951088.489999995</v>
      </c>
      <c r="Y72" s="113">
        <f t="shared" si="86"/>
        <v>0</v>
      </c>
      <c r="Z72" s="113">
        <f t="shared" si="86"/>
        <v>60951088.489999995</v>
      </c>
      <c r="AA72" s="113">
        <f t="shared" si="86"/>
        <v>0</v>
      </c>
      <c r="AB72" s="113">
        <f t="shared" si="86"/>
        <v>0</v>
      </c>
      <c r="AC72" s="113">
        <f t="shared" si="86"/>
        <v>0</v>
      </c>
      <c r="AD72" s="113">
        <f t="shared" si="86"/>
        <v>0</v>
      </c>
      <c r="AE72" s="113">
        <f t="shared" si="86"/>
        <v>0</v>
      </c>
      <c r="AF72" s="113">
        <f t="shared" si="86"/>
        <v>60951088.489999995</v>
      </c>
      <c r="AG72" s="113">
        <f t="shared" si="86"/>
        <v>0</v>
      </c>
      <c r="AH72" s="113">
        <f t="shared" si="86"/>
        <v>60951088.489999995</v>
      </c>
      <c r="AI72" s="113">
        <f t="shared" si="86"/>
        <v>0</v>
      </c>
      <c r="AJ72" s="113">
        <f t="shared" si="86"/>
        <v>19236994.669999998</v>
      </c>
      <c r="AK72" s="113">
        <f t="shared" si="86"/>
        <v>0</v>
      </c>
      <c r="AL72" s="113">
        <f t="shared" si="86"/>
        <v>19236994.669999998</v>
      </c>
      <c r="AM72" s="1221" t="str">
        <f t="shared" si="6"/>
        <v xml:space="preserve"> </v>
      </c>
      <c r="AN72" s="1221">
        <f t="shared" si="7"/>
        <v>0.76010157729277239</v>
      </c>
      <c r="AO72" s="1221" t="str">
        <f t="shared" si="8"/>
        <v xml:space="preserve"> </v>
      </c>
      <c r="AP72" s="1221">
        <f t="shared" si="9"/>
        <v>0.76010157729277239</v>
      </c>
      <c r="AQ72" s="1223" t="str">
        <f t="shared" si="67"/>
        <v xml:space="preserve"> </v>
      </c>
      <c r="AU72" s="141"/>
      <c r="AW72" s="107"/>
      <c r="BP72" s="216"/>
      <c r="BQ72" s="216"/>
      <c r="BR72" s="216"/>
    </row>
    <row r="73" spans="1:70" ht="12.75">
      <c r="B73" s="1222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221" t="str">
        <f t="shared" si="6"/>
        <v xml:space="preserve"> </v>
      </c>
      <c r="AN73" s="1221" t="str">
        <f t="shared" si="7"/>
        <v xml:space="preserve"> </v>
      </c>
      <c r="AO73" s="1221" t="str">
        <f t="shared" si="8"/>
        <v xml:space="preserve"> </v>
      </c>
      <c r="AP73" s="1221" t="str">
        <f t="shared" si="9"/>
        <v xml:space="preserve"> </v>
      </c>
      <c r="AQ73" s="1223" t="str">
        <f t="shared" si="67"/>
        <v xml:space="preserve"> </v>
      </c>
      <c r="AT73" s="148"/>
      <c r="AU73" s="141">
        <f t="shared" si="61"/>
        <v>0</v>
      </c>
      <c r="AW73" s="107">
        <f t="shared" si="79"/>
        <v>0</v>
      </c>
      <c r="BP73" s="216"/>
      <c r="BQ73" s="216"/>
      <c r="BR73" s="216"/>
    </row>
    <row r="74" spans="1:70" s="116" customFormat="1" ht="12.75">
      <c r="B74" s="176" t="s">
        <v>87</v>
      </c>
      <c r="C74" s="120">
        <f>+C70+C59</f>
        <v>0</v>
      </c>
      <c r="D74" s="120">
        <f t="shared" ref="D74:AL74" si="87">+D70+D59</f>
        <v>401906334.39999974</v>
      </c>
      <c r="E74" s="120">
        <f t="shared" si="87"/>
        <v>3585691671.0500002</v>
      </c>
      <c r="F74" s="120">
        <f t="shared" si="87"/>
        <v>3987598005.4499998</v>
      </c>
      <c r="G74" s="120">
        <f t="shared" si="87"/>
        <v>0</v>
      </c>
      <c r="H74" s="120">
        <f t="shared" si="87"/>
        <v>49296080.370000005</v>
      </c>
      <c r="I74" s="120">
        <f t="shared" si="87"/>
        <v>-96454837</v>
      </c>
      <c r="J74" s="120">
        <f t="shared" si="87"/>
        <v>-47158756.63000001</v>
      </c>
      <c r="K74" s="120">
        <f t="shared" si="87"/>
        <v>0</v>
      </c>
      <c r="L74" s="120">
        <f t="shared" si="87"/>
        <v>0</v>
      </c>
      <c r="M74" s="120">
        <f t="shared" si="87"/>
        <v>0</v>
      </c>
      <c r="N74" s="120">
        <f t="shared" si="87"/>
        <v>0</v>
      </c>
      <c r="O74" s="120">
        <f t="shared" si="87"/>
        <v>0</v>
      </c>
      <c r="P74" s="120">
        <f t="shared" si="87"/>
        <v>49296080.370000005</v>
      </c>
      <c r="Q74" s="120">
        <f t="shared" si="87"/>
        <v>-96454837</v>
      </c>
      <c r="R74" s="120">
        <f t="shared" si="87"/>
        <v>-47158756.63000001</v>
      </c>
      <c r="S74" s="120">
        <f t="shared" si="87"/>
        <v>0</v>
      </c>
      <c r="T74" s="120">
        <f t="shared" si="87"/>
        <v>451202414.76999974</v>
      </c>
      <c r="U74" s="120">
        <f t="shared" si="87"/>
        <v>3489236834.0500002</v>
      </c>
      <c r="V74" s="120">
        <f t="shared" si="87"/>
        <v>3940439248.8199997</v>
      </c>
      <c r="W74" s="120">
        <f t="shared" si="87"/>
        <v>0</v>
      </c>
      <c r="X74" s="120">
        <f t="shared" si="87"/>
        <v>298433314.31999999</v>
      </c>
      <c r="Y74" s="120">
        <f t="shared" si="87"/>
        <v>1623216053.24</v>
      </c>
      <c r="Z74" s="120">
        <f t="shared" si="87"/>
        <v>1921649367.5600002</v>
      </c>
      <c r="AA74" s="120">
        <f t="shared" si="87"/>
        <v>0</v>
      </c>
      <c r="AB74" s="120">
        <f t="shared" si="87"/>
        <v>0</v>
      </c>
      <c r="AC74" s="120">
        <f t="shared" si="87"/>
        <v>0</v>
      </c>
      <c r="AD74" s="120">
        <f t="shared" si="87"/>
        <v>0</v>
      </c>
      <c r="AE74" s="120">
        <f t="shared" si="87"/>
        <v>0</v>
      </c>
      <c r="AF74" s="120">
        <f t="shared" si="87"/>
        <v>298433314.31999999</v>
      </c>
      <c r="AG74" s="120">
        <f t="shared" si="87"/>
        <v>1623216053.24</v>
      </c>
      <c r="AH74" s="120">
        <f t="shared" si="87"/>
        <v>1921649367.5600002</v>
      </c>
      <c r="AI74" s="120">
        <f t="shared" si="87"/>
        <v>0</v>
      </c>
      <c r="AJ74" s="120">
        <f t="shared" si="87"/>
        <v>152769100.44999975</v>
      </c>
      <c r="AK74" s="120">
        <f t="shared" si="87"/>
        <v>1866020780.8099999</v>
      </c>
      <c r="AL74" s="120">
        <f t="shared" si="87"/>
        <v>2018789881.2599998</v>
      </c>
      <c r="AM74" s="177" t="str">
        <f t="shared" ref="AM74:AM137" si="88">IF(S74=0," ",AE74/S74)</f>
        <v xml:space="preserve"> </v>
      </c>
      <c r="AN74" s="177">
        <f t="shared" ref="AN74:AN137" si="89">IF(T74=0," ",AF74/T74)</f>
        <v>0.66141781282825418</v>
      </c>
      <c r="AO74" s="177">
        <f t="shared" ref="AO74:AO137" si="90">IF(U74=0," ",AG74/U74)</f>
        <v>0.46520661406520608</v>
      </c>
      <c r="AP74" s="177">
        <f t="shared" ref="AP74:AP137" si="91">IF(V74=0," ",AH74/V74)</f>
        <v>0.48767389781112741</v>
      </c>
      <c r="AQ74" s="1227" t="str">
        <f t="shared" si="67"/>
        <v xml:space="preserve"> </v>
      </c>
      <c r="AR74" s="151"/>
      <c r="AS74" s="151"/>
      <c r="AT74" s="151">
        <f t="shared" ref="AT74:AZ74" si="92">+AT70+AT59</f>
        <v>4025212527.8610001</v>
      </c>
      <c r="AU74" s="151">
        <f t="shared" si="92"/>
        <v>-3037614522.4110007</v>
      </c>
      <c r="AV74" s="151">
        <f t="shared" si="92"/>
        <v>0</v>
      </c>
      <c r="AW74" s="151">
        <f t="shared" si="92"/>
        <v>3290143612.3410001</v>
      </c>
      <c r="AX74" s="151">
        <f t="shared" si="92"/>
        <v>0</v>
      </c>
      <c r="AY74" s="151">
        <f t="shared" si="92"/>
        <v>0</v>
      </c>
      <c r="AZ74" s="151">
        <f t="shared" si="92"/>
        <v>-746022440.63999999</v>
      </c>
      <c r="BP74" s="216"/>
      <c r="BQ74" s="216"/>
      <c r="BR74" s="216"/>
    </row>
    <row r="75" spans="1:70" ht="12.75">
      <c r="B75" s="1222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221" t="str">
        <f t="shared" si="88"/>
        <v xml:space="preserve"> </v>
      </c>
      <c r="AN75" s="1221" t="str">
        <f t="shared" si="89"/>
        <v xml:space="preserve"> </v>
      </c>
      <c r="AO75" s="1221" t="str">
        <f t="shared" si="90"/>
        <v xml:space="preserve"> </v>
      </c>
      <c r="AP75" s="1221" t="str">
        <f t="shared" si="91"/>
        <v xml:space="preserve"> </v>
      </c>
      <c r="AQ75" s="1223"/>
      <c r="AW75" s="107"/>
      <c r="BP75" s="216"/>
      <c r="BQ75" s="216"/>
      <c r="BR75" s="216"/>
    </row>
    <row r="76" spans="1:70" s="107" customFormat="1" ht="12.75">
      <c r="B76" s="174" t="s">
        <v>51</v>
      </c>
      <c r="C76" s="114">
        <f>SUM(C77:C81)</f>
        <v>0</v>
      </c>
      <c r="D76" s="114">
        <f t="shared" ref="D76:AL76" si="93">SUM(D77:D81)</f>
        <v>17522033.82</v>
      </c>
      <c r="E76" s="114">
        <f t="shared" si="93"/>
        <v>1154652</v>
      </c>
      <c r="F76" s="114">
        <f t="shared" si="93"/>
        <v>18676685.82</v>
      </c>
      <c r="G76" s="114">
        <f t="shared" si="93"/>
        <v>0</v>
      </c>
      <c r="H76" s="114">
        <f t="shared" si="93"/>
        <v>0</v>
      </c>
      <c r="I76" s="114">
        <f t="shared" si="93"/>
        <v>0</v>
      </c>
      <c r="J76" s="114">
        <f t="shared" si="93"/>
        <v>0</v>
      </c>
      <c r="K76" s="114">
        <f t="shared" si="93"/>
        <v>0</v>
      </c>
      <c r="L76" s="114">
        <f t="shared" si="93"/>
        <v>2621061.09</v>
      </c>
      <c r="M76" s="114">
        <f t="shared" si="93"/>
        <v>0</v>
      </c>
      <c r="N76" s="114">
        <f t="shared" si="93"/>
        <v>2621061.09</v>
      </c>
      <c r="O76" s="114">
        <f t="shared" si="93"/>
        <v>0</v>
      </c>
      <c r="P76" s="114">
        <f t="shared" si="93"/>
        <v>2621061.09</v>
      </c>
      <c r="Q76" s="114">
        <f t="shared" si="93"/>
        <v>0</v>
      </c>
      <c r="R76" s="114">
        <f t="shared" si="93"/>
        <v>2621061.09</v>
      </c>
      <c r="S76" s="114">
        <f t="shared" si="93"/>
        <v>0</v>
      </c>
      <c r="T76" s="114">
        <f t="shared" si="93"/>
        <v>20143094.91</v>
      </c>
      <c r="U76" s="114">
        <f t="shared" si="93"/>
        <v>1154652</v>
      </c>
      <c r="V76" s="114">
        <f t="shared" si="93"/>
        <v>21297746.91</v>
      </c>
      <c r="W76" s="114">
        <f t="shared" si="93"/>
        <v>0</v>
      </c>
      <c r="X76" s="114">
        <f t="shared" si="93"/>
        <v>6145719.0800000001</v>
      </c>
      <c r="Y76" s="114">
        <f t="shared" si="93"/>
        <v>0</v>
      </c>
      <c r="Z76" s="114">
        <f t="shared" si="93"/>
        <v>6145719.0800000001</v>
      </c>
      <c r="AA76" s="114">
        <f t="shared" si="93"/>
        <v>0</v>
      </c>
      <c r="AB76" s="114">
        <f t="shared" si="93"/>
        <v>2619570.0599999996</v>
      </c>
      <c r="AC76" s="114">
        <f t="shared" si="93"/>
        <v>0</v>
      </c>
      <c r="AD76" s="114">
        <f t="shared" si="93"/>
        <v>2619570.0599999996</v>
      </c>
      <c r="AE76" s="114">
        <f t="shared" si="93"/>
        <v>0</v>
      </c>
      <c r="AF76" s="114">
        <f t="shared" si="93"/>
        <v>8765289.1400000006</v>
      </c>
      <c r="AG76" s="114">
        <f t="shared" si="93"/>
        <v>0</v>
      </c>
      <c r="AH76" s="114">
        <f t="shared" si="93"/>
        <v>8765289.1400000006</v>
      </c>
      <c r="AI76" s="114">
        <f t="shared" si="93"/>
        <v>0</v>
      </c>
      <c r="AJ76" s="114">
        <f t="shared" si="93"/>
        <v>11377805.77</v>
      </c>
      <c r="AK76" s="114">
        <f t="shared" si="93"/>
        <v>1154652</v>
      </c>
      <c r="AL76" s="114">
        <f t="shared" si="93"/>
        <v>12532457.77</v>
      </c>
      <c r="AM76" s="173" t="str">
        <f t="shared" si="88"/>
        <v xml:space="preserve"> </v>
      </c>
      <c r="AN76" s="173">
        <f t="shared" si="89"/>
        <v>0.43515106189806463</v>
      </c>
      <c r="AO76" s="173">
        <f t="shared" si="90"/>
        <v>0</v>
      </c>
      <c r="AP76" s="173">
        <f t="shared" si="91"/>
        <v>0.41155945636129265</v>
      </c>
      <c r="AQ76" s="1228" t="str">
        <f t="shared" si="67"/>
        <v xml:space="preserve"> </v>
      </c>
      <c r="AR76" s="150"/>
      <c r="AS76" s="150"/>
      <c r="AT76" s="150">
        <f>+F74-AT74</f>
        <v>-37614522.411000252</v>
      </c>
      <c r="BP76" s="216"/>
      <c r="BQ76" s="216"/>
      <c r="BR76" s="216"/>
    </row>
    <row r="77" spans="1:70" ht="12.75">
      <c r="B77" s="1229" t="s">
        <v>479</v>
      </c>
      <c r="C77" s="113"/>
      <c r="D77" s="113"/>
      <c r="E77" s="113"/>
      <c r="F77" s="104">
        <f t="shared" si="68"/>
        <v>0</v>
      </c>
      <c r="G77" s="113"/>
      <c r="H77" s="113"/>
      <c r="I77" s="113"/>
      <c r="J77" s="104">
        <f t="shared" si="69"/>
        <v>0</v>
      </c>
      <c r="K77" s="113"/>
      <c r="L77" s="113"/>
      <c r="M77" s="113"/>
      <c r="N77" s="104">
        <f t="shared" si="70"/>
        <v>0</v>
      </c>
      <c r="O77" s="113">
        <f t="shared" si="71"/>
        <v>0</v>
      </c>
      <c r="P77" s="113">
        <f t="shared" si="72"/>
        <v>0</v>
      </c>
      <c r="Q77" s="113">
        <f t="shared" si="73"/>
        <v>0</v>
      </c>
      <c r="R77" s="104">
        <f t="shared" si="74"/>
        <v>0</v>
      </c>
      <c r="S77" s="113">
        <f t="shared" si="75"/>
        <v>0</v>
      </c>
      <c r="T77" s="113">
        <f t="shared" si="76"/>
        <v>0</v>
      </c>
      <c r="U77" s="113">
        <f t="shared" si="77"/>
        <v>0</v>
      </c>
      <c r="V77" s="104">
        <f t="shared" si="78"/>
        <v>0</v>
      </c>
      <c r="W77" s="113"/>
      <c r="X77" s="113"/>
      <c r="Y77" s="113"/>
      <c r="Z77" s="104">
        <f t="shared" si="64"/>
        <v>0</v>
      </c>
      <c r="AA77" s="113"/>
      <c r="AB77" s="113"/>
      <c r="AC77" s="113"/>
      <c r="AD77" s="104">
        <f t="shared" si="65"/>
        <v>0</v>
      </c>
      <c r="AE77" s="117">
        <f t="shared" si="80"/>
        <v>0</v>
      </c>
      <c r="AF77" s="117">
        <f t="shared" si="81"/>
        <v>0</v>
      </c>
      <c r="AG77" s="117">
        <f t="shared" si="82"/>
        <v>0</v>
      </c>
      <c r="AH77" s="104">
        <f t="shared" si="66"/>
        <v>0</v>
      </c>
      <c r="AI77" s="117">
        <f t="shared" si="57"/>
        <v>0</v>
      </c>
      <c r="AJ77" s="117">
        <f t="shared" si="58"/>
        <v>0</v>
      </c>
      <c r="AK77" s="117">
        <f t="shared" si="59"/>
        <v>0</v>
      </c>
      <c r="AL77" s="104">
        <f t="shared" si="60"/>
        <v>0</v>
      </c>
      <c r="AM77" s="1221" t="str">
        <f t="shared" si="88"/>
        <v xml:space="preserve"> </v>
      </c>
      <c r="AN77" s="1221" t="str">
        <f t="shared" si="89"/>
        <v xml:space="preserve"> </v>
      </c>
      <c r="AO77" s="1221" t="str">
        <f t="shared" si="90"/>
        <v xml:space="preserve"> </v>
      </c>
      <c r="AP77" s="1221" t="str">
        <f t="shared" si="91"/>
        <v xml:space="preserve"> </v>
      </c>
      <c r="AQ77" s="1223" t="str">
        <f t="shared" si="67"/>
        <v xml:space="preserve"> </v>
      </c>
      <c r="AT77" s="159" t="s">
        <v>699</v>
      </c>
      <c r="AW77" s="107"/>
      <c r="BP77" s="216">
        <f t="shared" ref="BP77:BP137" si="94">+C77-BL77</f>
        <v>0</v>
      </c>
      <c r="BQ77" s="216">
        <f t="shared" ref="BQ77:BQ137" si="95">+D77-BM77</f>
        <v>0</v>
      </c>
      <c r="BR77" s="216">
        <f t="shared" ref="BR77:BR137" si="96">+E77-BN77</f>
        <v>0</v>
      </c>
    </row>
    <row r="78" spans="1:70" ht="36">
      <c r="A78" s="95" t="s">
        <v>935</v>
      </c>
      <c r="B78" s="1230" t="s">
        <v>480</v>
      </c>
      <c r="C78" s="113"/>
      <c r="D78" s="113">
        <v>14634206.220000001</v>
      </c>
      <c r="E78" s="113"/>
      <c r="F78" s="104">
        <f t="shared" si="68"/>
        <v>14634206.220000001</v>
      </c>
      <c r="G78" s="113">
        <f>+'CONAP (ALL FUNDS)'!F1215</f>
        <v>0</v>
      </c>
      <c r="H78" s="113">
        <f>+'CONAP (ALL FUNDS)'!G1215</f>
        <v>0</v>
      </c>
      <c r="I78" s="113">
        <f>+'CONAP (ALL FUNDS)'!H1215</f>
        <v>0</v>
      </c>
      <c r="J78" s="104">
        <f t="shared" si="69"/>
        <v>0</v>
      </c>
      <c r="K78" s="113">
        <f>+'CONAP (ALL FUNDS)'!F1216</f>
        <v>0</v>
      </c>
      <c r="L78" s="113">
        <v>0</v>
      </c>
      <c r="M78" s="113">
        <f>+'CONAP (ALL FUNDS)'!H1216</f>
        <v>0</v>
      </c>
      <c r="N78" s="104">
        <f t="shared" si="70"/>
        <v>0</v>
      </c>
      <c r="O78" s="113">
        <f t="shared" si="71"/>
        <v>0</v>
      </c>
      <c r="P78" s="113">
        <f t="shared" si="72"/>
        <v>0</v>
      </c>
      <c r="Q78" s="113">
        <f t="shared" si="73"/>
        <v>0</v>
      </c>
      <c r="R78" s="104">
        <f t="shared" si="74"/>
        <v>0</v>
      </c>
      <c r="S78" s="113">
        <f t="shared" si="75"/>
        <v>0</v>
      </c>
      <c r="T78" s="113">
        <f t="shared" si="76"/>
        <v>14634206.220000001</v>
      </c>
      <c r="U78" s="113">
        <f t="shared" si="77"/>
        <v>0</v>
      </c>
      <c r="V78" s="104">
        <f t="shared" si="78"/>
        <v>14634206.220000001</v>
      </c>
      <c r="W78" s="113">
        <f>+'CONAP (ALL FUNDS)'!J1213</f>
        <v>0</v>
      </c>
      <c r="X78" s="113">
        <f>+'CONAP (ALL FUNDS)'!K1213</f>
        <v>4132425.0799999996</v>
      </c>
      <c r="Y78" s="113">
        <f>+'CONAP (ALL FUNDS)'!L1213</f>
        <v>0</v>
      </c>
      <c r="Z78" s="104">
        <f t="shared" si="64"/>
        <v>4132425.0799999996</v>
      </c>
      <c r="AA78" s="113">
        <f>+'CONAP (ALL FUNDS)'!J1214</f>
        <v>0</v>
      </c>
      <c r="AB78" s="113">
        <f>+'CONAP (ALL FUNDS)'!K1214</f>
        <v>0</v>
      </c>
      <c r="AC78" s="113">
        <f>+'CONAP (ALL FUNDS)'!L1214</f>
        <v>0</v>
      </c>
      <c r="AD78" s="104">
        <f t="shared" si="65"/>
        <v>0</v>
      </c>
      <c r="AE78" s="117">
        <f t="shared" si="80"/>
        <v>0</v>
      </c>
      <c r="AF78" s="117">
        <f t="shared" si="81"/>
        <v>4132425.0799999996</v>
      </c>
      <c r="AG78" s="117">
        <f t="shared" si="82"/>
        <v>0</v>
      </c>
      <c r="AH78" s="104">
        <f t="shared" si="66"/>
        <v>4132425.0799999996</v>
      </c>
      <c r="AI78" s="117">
        <f t="shared" si="57"/>
        <v>0</v>
      </c>
      <c r="AJ78" s="117">
        <f t="shared" si="58"/>
        <v>10501781.140000001</v>
      </c>
      <c r="AK78" s="117">
        <f t="shared" si="59"/>
        <v>0</v>
      </c>
      <c r="AL78" s="104">
        <f t="shared" si="60"/>
        <v>10501781.140000001</v>
      </c>
      <c r="AM78" s="1221" t="str">
        <f t="shared" si="88"/>
        <v xml:space="preserve"> </v>
      </c>
      <c r="AN78" s="1221">
        <f t="shared" si="89"/>
        <v>0.28238122504740809</v>
      </c>
      <c r="AO78" s="1221" t="str">
        <f t="shared" si="90"/>
        <v xml:space="preserve"> </v>
      </c>
      <c r="AP78" s="1221">
        <f t="shared" si="91"/>
        <v>0.28238122504740809</v>
      </c>
      <c r="AQ78" s="1223" t="str">
        <f t="shared" si="67"/>
        <v xml:space="preserve"> </v>
      </c>
      <c r="AW78" s="107"/>
      <c r="BL78" s="149">
        <f>+'CONAP (ALL FUNDS)'!F1213</f>
        <v>0</v>
      </c>
      <c r="BM78" s="149">
        <f>+'CONAP (ALL FUNDS)'!G1213</f>
        <v>14634206.220000001</v>
      </c>
      <c r="BN78" s="149">
        <f>+'CONAP (ALL FUNDS)'!H1213</f>
        <v>0</v>
      </c>
      <c r="BP78" s="216">
        <f t="shared" si="94"/>
        <v>0</v>
      </c>
      <c r="BQ78" s="216">
        <f t="shared" si="95"/>
        <v>0</v>
      </c>
      <c r="BR78" s="216">
        <f t="shared" si="96"/>
        <v>0</v>
      </c>
    </row>
    <row r="79" spans="1:70" ht="12.75">
      <c r="A79" s="95" t="s">
        <v>935</v>
      </c>
      <c r="B79" s="1231" t="s">
        <v>481</v>
      </c>
      <c r="C79" s="113"/>
      <c r="D79" s="113">
        <v>1027334.04</v>
      </c>
      <c r="E79" s="113">
        <v>1154652</v>
      </c>
      <c r="F79" s="104">
        <f t="shared" si="68"/>
        <v>2181986.04</v>
      </c>
      <c r="G79" s="113">
        <f>+'CONAP (ALL FUNDS)'!F1226</f>
        <v>0</v>
      </c>
      <c r="H79" s="113">
        <f>+'CONAP (ALL FUNDS)'!G1226</f>
        <v>0</v>
      </c>
      <c r="I79" s="113">
        <f>+'CONAP (ALL FUNDS)'!H1226</f>
        <v>0</v>
      </c>
      <c r="J79" s="104">
        <f t="shared" si="69"/>
        <v>0</v>
      </c>
      <c r="K79" s="113">
        <f>+'CONAP (ALL FUNDS)'!F1227</f>
        <v>0</v>
      </c>
      <c r="L79" s="113">
        <v>0</v>
      </c>
      <c r="M79" s="113">
        <f>+'CONAP (ALL FUNDS)'!H1227</f>
        <v>0</v>
      </c>
      <c r="N79" s="104">
        <f t="shared" si="70"/>
        <v>0</v>
      </c>
      <c r="O79" s="113">
        <f t="shared" si="71"/>
        <v>0</v>
      </c>
      <c r="P79" s="113">
        <f t="shared" si="72"/>
        <v>0</v>
      </c>
      <c r="Q79" s="113">
        <f t="shared" si="73"/>
        <v>0</v>
      </c>
      <c r="R79" s="104">
        <f t="shared" si="74"/>
        <v>0</v>
      </c>
      <c r="S79" s="113">
        <f t="shared" si="75"/>
        <v>0</v>
      </c>
      <c r="T79" s="113">
        <f t="shared" si="76"/>
        <v>1027334.04</v>
      </c>
      <c r="U79" s="113">
        <f t="shared" si="77"/>
        <v>1154652</v>
      </c>
      <c r="V79" s="104">
        <f t="shared" si="78"/>
        <v>2181986.04</v>
      </c>
      <c r="W79" s="113">
        <f>+'CONAP (ALL FUNDS)'!J1224</f>
        <v>0</v>
      </c>
      <c r="X79" s="113">
        <f>+'CONAP (ALL FUNDS)'!K1224</f>
        <v>463380</v>
      </c>
      <c r="Y79" s="113">
        <f>+'CONAP (ALL FUNDS)'!L1224</f>
        <v>0</v>
      </c>
      <c r="Z79" s="104">
        <f t="shared" si="64"/>
        <v>463380</v>
      </c>
      <c r="AA79" s="113">
        <f>+'CONAP (ALL FUNDS)'!J1225</f>
        <v>0</v>
      </c>
      <c r="AB79" s="113">
        <f>+'CONAP (ALL FUNDS)'!K1225</f>
        <v>0</v>
      </c>
      <c r="AC79" s="113">
        <f>+'CONAP (ALL FUNDS)'!L1225</f>
        <v>0</v>
      </c>
      <c r="AD79" s="104">
        <f t="shared" si="65"/>
        <v>0</v>
      </c>
      <c r="AE79" s="117">
        <f t="shared" si="80"/>
        <v>0</v>
      </c>
      <c r="AF79" s="117">
        <f t="shared" si="81"/>
        <v>463380</v>
      </c>
      <c r="AG79" s="117">
        <f t="shared" si="82"/>
        <v>0</v>
      </c>
      <c r="AH79" s="104">
        <f t="shared" si="66"/>
        <v>463380</v>
      </c>
      <c r="AI79" s="117">
        <f t="shared" si="57"/>
        <v>0</v>
      </c>
      <c r="AJ79" s="117">
        <f t="shared" si="58"/>
        <v>563954.04</v>
      </c>
      <c r="AK79" s="117">
        <f t="shared" si="59"/>
        <v>1154652</v>
      </c>
      <c r="AL79" s="104">
        <f t="shared" si="60"/>
        <v>1718606.04</v>
      </c>
      <c r="AM79" s="1221" t="str">
        <f t="shared" si="88"/>
        <v xml:space="preserve"> </v>
      </c>
      <c r="AN79" s="1221">
        <f t="shared" si="89"/>
        <v>0.45105095514989457</v>
      </c>
      <c r="AO79" s="1221">
        <f t="shared" si="90"/>
        <v>0</v>
      </c>
      <c r="AP79" s="1221">
        <f t="shared" si="91"/>
        <v>0.21236616160935659</v>
      </c>
      <c r="AQ79" s="1223" t="str">
        <f t="shared" si="67"/>
        <v xml:space="preserve"> </v>
      </c>
      <c r="AW79" s="107"/>
      <c r="BL79" s="149">
        <f>+'CONAP (ALL FUNDS)'!F1224</f>
        <v>0</v>
      </c>
      <c r="BM79" s="149">
        <f>+'CONAP (ALL FUNDS)'!G1224</f>
        <v>1027334.04</v>
      </c>
      <c r="BN79" s="149">
        <f>+'CONAP (ALL FUNDS)'!H1224</f>
        <v>1154652</v>
      </c>
      <c r="BP79" s="216">
        <f t="shared" si="94"/>
        <v>0</v>
      </c>
      <c r="BQ79" s="216">
        <f t="shared" si="95"/>
        <v>0</v>
      </c>
      <c r="BR79" s="216">
        <f t="shared" si="96"/>
        <v>0</v>
      </c>
    </row>
    <row r="80" spans="1:70" ht="12.75">
      <c r="A80" s="95" t="s">
        <v>935</v>
      </c>
      <c r="B80" s="1231" t="s">
        <v>482</v>
      </c>
      <c r="C80" s="113">
        <v>0</v>
      </c>
      <c r="D80" s="113">
        <v>1836534</v>
      </c>
      <c r="E80" s="113">
        <v>0</v>
      </c>
      <c r="F80" s="104">
        <f t="shared" si="68"/>
        <v>1836534</v>
      </c>
      <c r="G80" s="113">
        <f>+'CONAP (ALL FUNDS)'!F1237</f>
        <v>0</v>
      </c>
      <c r="H80" s="113">
        <f>+'CONAP (ALL FUNDS)'!G1237</f>
        <v>0</v>
      </c>
      <c r="I80" s="113">
        <f>+'CONAP (ALL FUNDS)'!H1237</f>
        <v>0</v>
      </c>
      <c r="J80" s="104">
        <f t="shared" si="69"/>
        <v>0</v>
      </c>
      <c r="K80" s="113">
        <f>+'CONAP (ALL FUNDS)'!F1238</f>
        <v>0</v>
      </c>
      <c r="L80" s="113">
        <v>0</v>
      </c>
      <c r="M80" s="113">
        <f>+'CONAP (ALL FUNDS)'!H1238</f>
        <v>0</v>
      </c>
      <c r="N80" s="104">
        <f t="shared" si="70"/>
        <v>0</v>
      </c>
      <c r="O80" s="113">
        <f t="shared" si="71"/>
        <v>0</v>
      </c>
      <c r="P80" s="113">
        <f t="shared" si="72"/>
        <v>0</v>
      </c>
      <c r="Q80" s="113">
        <f t="shared" si="73"/>
        <v>0</v>
      </c>
      <c r="R80" s="104">
        <f t="shared" si="74"/>
        <v>0</v>
      </c>
      <c r="S80" s="113">
        <f t="shared" si="75"/>
        <v>0</v>
      </c>
      <c r="T80" s="113">
        <f t="shared" si="76"/>
        <v>1836534</v>
      </c>
      <c r="U80" s="113">
        <f t="shared" si="77"/>
        <v>0</v>
      </c>
      <c r="V80" s="104">
        <f t="shared" si="78"/>
        <v>1836534</v>
      </c>
      <c r="W80" s="113">
        <f>+'CONAP (ALL FUNDS)'!J1235</f>
        <v>0</v>
      </c>
      <c r="X80" s="113">
        <f>+'CONAP (ALL FUNDS)'!K1235</f>
        <v>1529914</v>
      </c>
      <c r="Y80" s="113">
        <f>+'CONAP (ALL FUNDS)'!L1235</f>
        <v>0</v>
      </c>
      <c r="Z80" s="104">
        <f t="shared" si="64"/>
        <v>1529914</v>
      </c>
      <c r="AA80" s="113">
        <f>+'CONAP (ALL FUNDS)'!J1236</f>
        <v>0</v>
      </c>
      <c r="AB80" s="113">
        <f>+'CONAP (ALL FUNDS)'!K1236</f>
        <v>0</v>
      </c>
      <c r="AC80" s="113">
        <f>+'CONAP (ALL FUNDS)'!L1236</f>
        <v>0</v>
      </c>
      <c r="AD80" s="104">
        <f t="shared" si="65"/>
        <v>0</v>
      </c>
      <c r="AE80" s="117">
        <f t="shared" si="80"/>
        <v>0</v>
      </c>
      <c r="AF80" s="117">
        <f t="shared" si="81"/>
        <v>1529914</v>
      </c>
      <c r="AG80" s="117">
        <f t="shared" si="82"/>
        <v>0</v>
      </c>
      <c r="AH80" s="104">
        <f t="shared" si="66"/>
        <v>1529914</v>
      </c>
      <c r="AI80" s="117">
        <f t="shared" si="57"/>
        <v>0</v>
      </c>
      <c r="AJ80" s="117">
        <f t="shared" si="58"/>
        <v>306620</v>
      </c>
      <c r="AK80" s="117">
        <f t="shared" si="59"/>
        <v>0</v>
      </c>
      <c r="AL80" s="104">
        <f t="shared" si="60"/>
        <v>306620</v>
      </c>
      <c r="AM80" s="1221" t="str">
        <f t="shared" si="88"/>
        <v xml:space="preserve"> </v>
      </c>
      <c r="AN80" s="1221">
        <f t="shared" si="89"/>
        <v>0.833044201740888</v>
      </c>
      <c r="AO80" s="1221" t="str">
        <f t="shared" si="90"/>
        <v xml:space="preserve"> </v>
      </c>
      <c r="AP80" s="1221">
        <f t="shared" si="91"/>
        <v>0.833044201740888</v>
      </c>
      <c r="AQ80" s="1223" t="str">
        <f t="shared" si="67"/>
        <v xml:space="preserve"> </v>
      </c>
      <c r="AW80" s="107"/>
      <c r="BL80" s="149">
        <f>+'CONAP (ALL FUNDS)'!F1235</f>
        <v>0</v>
      </c>
      <c r="BM80" s="149">
        <f>+'CONAP (ALL FUNDS)'!G1235</f>
        <v>1836534</v>
      </c>
      <c r="BN80" s="149">
        <f>+'CONAP (ALL FUNDS)'!H1235</f>
        <v>0</v>
      </c>
      <c r="BP80" s="216">
        <f t="shared" si="94"/>
        <v>0</v>
      </c>
      <c r="BQ80" s="216">
        <f t="shared" si="95"/>
        <v>0</v>
      </c>
      <c r="BR80" s="216">
        <f t="shared" si="96"/>
        <v>0</v>
      </c>
    </row>
    <row r="81" spans="1:70" ht="12.75">
      <c r="A81" s="95" t="s">
        <v>913</v>
      </c>
      <c r="B81" s="1232" t="s">
        <v>485</v>
      </c>
      <c r="C81" s="113">
        <v>0</v>
      </c>
      <c r="D81" s="113">
        <v>23959.56</v>
      </c>
      <c r="E81" s="113">
        <v>0</v>
      </c>
      <c r="F81" s="104">
        <f t="shared" si="68"/>
        <v>23959.56</v>
      </c>
      <c r="G81" s="113">
        <f>+'CONAP (ALL FUNDS)'!F1259</f>
        <v>0</v>
      </c>
      <c r="H81" s="113">
        <f>+'CONAP (ALL FUNDS)'!G1259</f>
        <v>0</v>
      </c>
      <c r="I81" s="113">
        <f>+'CONAP (ALL FUNDS)'!H1259</f>
        <v>0</v>
      </c>
      <c r="J81" s="104">
        <f t="shared" si="69"/>
        <v>0</v>
      </c>
      <c r="K81" s="113">
        <v>0</v>
      </c>
      <c r="L81" s="113">
        <f>2620026.09+1035</f>
        <v>2621061.09</v>
      </c>
      <c r="M81" s="113">
        <v>0</v>
      </c>
      <c r="N81" s="104">
        <f t="shared" si="70"/>
        <v>2621061.09</v>
      </c>
      <c r="O81" s="113">
        <f t="shared" si="71"/>
        <v>0</v>
      </c>
      <c r="P81" s="113">
        <f t="shared" si="72"/>
        <v>2621061.09</v>
      </c>
      <c r="Q81" s="113">
        <f t="shared" si="73"/>
        <v>0</v>
      </c>
      <c r="R81" s="104">
        <f t="shared" si="74"/>
        <v>2621061.09</v>
      </c>
      <c r="S81" s="113">
        <f t="shared" si="75"/>
        <v>0</v>
      </c>
      <c r="T81" s="113">
        <f t="shared" si="76"/>
        <v>2645020.65</v>
      </c>
      <c r="U81" s="113">
        <f t="shared" si="77"/>
        <v>0</v>
      </c>
      <c r="V81" s="104">
        <f t="shared" si="78"/>
        <v>2645020.65</v>
      </c>
      <c r="W81" s="113">
        <f>+'CONAP (ALL FUNDS)'!J1257+'CONAP (ALL FUNDS)'!J1261</f>
        <v>0</v>
      </c>
      <c r="X81" s="113">
        <f>+'CONAP (ALL FUNDS)'!K1257+'CONAP (ALL FUNDS)'!K1261</f>
        <v>20000</v>
      </c>
      <c r="Y81" s="113">
        <f>+'CONAP (ALL FUNDS)'!L1257+'CONAP (ALL FUNDS)'!L1261</f>
        <v>0</v>
      </c>
      <c r="Z81" s="104">
        <f t="shared" si="64"/>
        <v>20000</v>
      </c>
      <c r="AA81" s="113">
        <f>+'CONAP (ALL FUNDS)'!J1258</f>
        <v>0</v>
      </c>
      <c r="AB81" s="113">
        <f>+'CONAP (ALL FUNDS)'!K1258</f>
        <v>2619570.0599999996</v>
      </c>
      <c r="AC81" s="113">
        <f>+'CONAP (ALL FUNDS)'!L1258</f>
        <v>0</v>
      </c>
      <c r="AD81" s="104">
        <f t="shared" si="65"/>
        <v>2619570.0599999996</v>
      </c>
      <c r="AE81" s="117">
        <f t="shared" si="80"/>
        <v>0</v>
      </c>
      <c r="AF81" s="117">
        <f t="shared" si="81"/>
        <v>2639570.0599999996</v>
      </c>
      <c r="AG81" s="117">
        <f t="shared" si="82"/>
        <v>0</v>
      </c>
      <c r="AH81" s="104">
        <f t="shared" si="66"/>
        <v>2639570.0599999996</v>
      </c>
      <c r="AI81" s="117">
        <f t="shared" si="57"/>
        <v>0</v>
      </c>
      <c r="AJ81" s="117">
        <f t="shared" si="58"/>
        <v>5450.5900000003166</v>
      </c>
      <c r="AK81" s="117">
        <f t="shared" si="59"/>
        <v>0</v>
      </c>
      <c r="AL81" s="104">
        <f t="shared" si="60"/>
        <v>5450.5900000003166</v>
      </c>
      <c r="AM81" s="1221" t="str">
        <f t="shared" si="88"/>
        <v xml:space="preserve"> </v>
      </c>
      <c r="AN81" s="1221">
        <f t="shared" si="89"/>
        <v>0.99793930153248511</v>
      </c>
      <c r="AO81" s="1221" t="str">
        <f t="shared" si="90"/>
        <v xml:space="preserve"> </v>
      </c>
      <c r="AP81" s="1221">
        <f t="shared" si="91"/>
        <v>0.99793930153248511</v>
      </c>
      <c r="AQ81" s="1223" t="str">
        <f t="shared" si="67"/>
        <v xml:space="preserve"> </v>
      </c>
      <c r="AW81" s="107"/>
      <c r="BL81" s="149">
        <f>+'CONAP (ALL FUNDS)'!F1257+'CONAP (ALL FUNDS)'!F1261</f>
        <v>0</v>
      </c>
      <c r="BM81" s="149">
        <f>+'CONAP (ALL FUNDS)'!G1257+'CONAP (ALL FUNDS)'!G1261</f>
        <v>23959.56</v>
      </c>
      <c r="BN81" s="149">
        <f>+'CONAP (ALL FUNDS)'!H1257+'CONAP (ALL FUNDS)'!H1261</f>
        <v>0</v>
      </c>
      <c r="BP81" s="216">
        <f t="shared" si="94"/>
        <v>0</v>
      </c>
      <c r="BQ81" s="216">
        <f t="shared" si="95"/>
        <v>0</v>
      </c>
      <c r="BR81" s="216">
        <f t="shared" si="96"/>
        <v>0</v>
      </c>
    </row>
    <row r="82" spans="1:70" ht="12.75">
      <c r="B82" s="1233"/>
      <c r="C82" s="113"/>
      <c r="D82" s="113"/>
      <c r="E82" s="113"/>
      <c r="F82" s="104"/>
      <c r="G82" s="113"/>
      <c r="H82" s="113"/>
      <c r="I82" s="113"/>
      <c r="J82" s="104"/>
      <c r="K82" s="113"/>
      <c r="L82" s="113"/>
      <c r="M82" s="113"/>
      <c r="N82" s="104"/>
      <c r="O82" s="113">
        <f t="shared" si="71"/>
        <v>0</v>
      </c>
      <c r="P82" s="113">
        <f t="shared" si="72"/>
        <v>0</v>
      </c>
      <c r="Q82" s="113">
        <f t="shared" si="73"/>
        <v>0</v>
      </c>
      <c r="R82" s="104">
        <f t="shared" si="74"/>
        <v>0</v>
      </c>
      <c r="S82" s="113">
        <f t="shared" si="75"/>
        <v>0</v>
      </c>
      <c r="T82" s="113">
        <f t="shared" si="76"/>
        <v>0</v>
      </c>
      <c r="U82" s="113">
        <f t="shared" si="77"/>
        <v>0</v>
      </c>
      <c r="V82" s="104">
        <f t="shared" si="78"/>
        <v>0</v>
      </c>
      <c r="W82" s="113"/>
      <c r="X82" s="113"/>
      <c r="Y82" s="113"/>
      <c r="Z82" s="104">
        <f t="shared" si="64"/>
        <v>0</v>
      </c>
      <c r="AA82" s="113"/>
      <c r="AB82" s="113"/>
      <c r="AC82" s="113"/>
      <c r="AD82" s="104">
        <f t="shared" si="65"/>
        <v>0</v>
      </c>
      <c r="AE82" s="117">
        <f t="shared" si="80"/>
        <v>0</v>
      </c>
      <c r="AF82" s="117">
        <f t="shared" si="81"/>
        <v>0</v>
      </c>
      <c r="AG82" s="117">
        <f t="shared" si="82"/>
        <v>0</v>
      </c>
      <c r="AH82" s="104">
        <f t="shared" si="66"/>
        <v>0</v>
      </c>
      <c r="AI82" s="117">
        <f t="shared" si="57"/>
        <v>0</v>
      </c>
      <c r="AJ82" s="117">
        <f t="shared" si="58"/>
        <v>0</v>
      </c>
      <c r="AK82" s="117">
        <f t="shared" si="59"/>
        <v>0</v>
      </c>
      <c r="AL82" s="104">
        <f t="shared" si="60"/>
        <v>0</v>
      </c>
      <c r="AM82" s="1221" t="str">
        <f t="shared" si="88"/>
        <v xml:space="preserve"> </v>
      </c>
      <c r="AN82" s="1221" t="str">
        <f t="shared" si="89"/>
        <v xml:space="preserve"> </v>
      </c>
      <c r="AO82" s="1221" t="str">
        <f t="shared" si="90"/>
        <v xml:space="preserve"> </v>
      </c>
      <c r="AP82" s="1221" t="str">
        <f t="shared" si="91"/>
        <v xml:space="preserve"> </v>
      </c>
      <c r="AQ82" s="1223"/>
      <c r="AW82" s="107"/>
      <c r="BL82" s="149"/>
      <c r="BM82" s="149"/>
      <c r="BN82" s="149"/>
      <c r="BP82" s="216">
        <f t="shared" si="94"/>
        <v>0</v>
      </c>
      <c r="BQ82" s="216">
        <f t="shared" si="95"/>
        <v>0</v>
      </c>
      <c r="BR82" s="216">
        <f t="shared" si="96"/>
        <v>0</v>
      </c>
    </row>
    <row r="83" spans="1:70" s="107" customFormat="1" ht="12.75">
      <c r="A83" s="587" t="s">
        <v>939</v>
      </c>
      <c r="B83" s="175" t="s">
        <v>69</v>
      </c>
      <c r="C83" s="114">
        <f t="shared" ref="C83:N83" si="97">SUM(C84:C95)</f>
        <v>0</v>
      </c>
      <c r="D83" s="114">
        <f t="shared" si="97"/>
        <v>6123853.1400000006</v>
      </c>
      <c r="E83" s="114">
        <f t="shared" si="97"/>
        <v>95305000</v>
      </c>
      <c r="F83" s="114">
        <f t="shared" si="97"/>
        <v>101428853.14</v>
      </c>
      <c r="G83" s="114">
        <f t="shared" si="97"/>
        <v>0</v>
      </c>
      <c r="H83" s="114">
        <f t="shared" si="97"/>
        <v>6749570.5700000003</v>
      </c>
      <c r="I83" s="114">
        <f t="shared" si="97"/>
        <v>12962675</v>
      </c>
      <c r="J83" s="114">
        <f t="shared" si="97"/>
        <v>19712245.57</v>
      </c>
      <c r="K83" s="114">
        <f t="shared" si="97"/>
        <v>0</v>
      </c>
      <c r="L83" s="114">
        <f t="shared" si="97"/>
        <v>105665710.47000001</v>
      </c>
      <c r="M83" s="114">
        <f t="shared" si="97"/>
        <v>0</v>
      </c>
      <c r="N83" s="114">
        <f t="shared" si="97"/>
        <v>105665710.47000001</v>
      </c>
      <c r="O83" s="114">
        <f t="shared" si="71"/>
        <v>0</v>
      </c>
      <c r="P83" s="114">
        <f t="shared" si="72"/>
        <v>112415281.04000002</v>
      </c>
      <c r="Q83" s="114">
        <f t="shared" si="73"/>
        <v>12962675</v>
      </c>
      <c r="R83" s="114">
        <f t="shared" si="74"/>
        <v>125377956.04000002</v>
      </c>
      <c r="S83" s="114">
        <f t="shared" si="75"/>
        <v>0</v>
      </c>
      <c r="T83" s="114">
        <f t="shared" si="76"/>
        <v>118539134.18000002</v>
      </c>
      <c r="U83" s="114">
        <f t="shared" si="77"/>
        <v>108267675</v>
      </c>
      <c r="V83" s="114">
        <f t="shared" si="78"/>
        <v>226806809.18000001</v>
      </c>
      <c r="W83" s="114">
        <f>SUM(W84:W95)</f>
        <v>0</v>
      </c>
      <c r="X83" s="114">
        <f>SUM(X84:X95)</f>
        <v>6121486.0300000003</v>
      </c>
      <c r="Y83" s="114">
        <f>SUM(Y84:Y95)</f>
        <v>45150623</v>
      </c>
      <c r="Z83" s="114">
        <f t="shared" si="64"/>
        <v>51272109.030000001</v>
      </c>
      <c r="AA83" s="114">
        <f>SUM(AA84:AA95)</f>
        <v>0</v>
      </c>
      <c r="AB83" s="114">
        <f>SUM(AB84:AB95)</f>
        <v>98959914.810000002</v>
      </c>
      <c r="AC83" s="114">
        <f>SUM(AC84:AC95)</f>
        <v>12952075</v>
      </c>
      <c r="AD83" s="114">
        <f t="shared" si="65"/>
        <v>111911989.81</v>
      </c>
      <c r="AE83" s="114">
        <f t="shared" si="80"/>
        <v>0</v>
      </c>
      <c r="AF83" s="114">
        <f t="shared" si="81"/>
        <v>105081400.84</v>
      </c>
      <c r="AG83" s="114">
        <f t="shared" si="82"/>
        <v>58102698</v>
      </c>
      <c r="AH83" s="114">
        <f t="shared" si="66"/>
        <v>163184098.84</v>
      </c>
      <c r="AI83" s="114">
        <f t="shared" si="57"/>
        <v>0</v>
      </c>
      <c r="AJ83" s="114">
        <f t="shared" si="58"/>
        <v>13457733.340000018</v>
      </c>
      <c r="AK83" s="114">
        <f t="shared" si="59"/>
        <v>50164977</v>
      </c>
      <c r="AL83" s="114">
        <f t="shared" si="60"/>
        <v>63622710.340000018</v>
      </c>
      <c r="AM83" s="173" t="str">
        <f t="shared" si="88"/>
        <v xml:space="preserve"> </v>
      </c>
      <c r="AN83" s="173">
        <f t="shared" si="89"/>
        <v>0.88647012285778437</v>
      </c>
      <c r="AO83" s="173">
        <f t="shared" si="90"/>
        <v>0.53665785286328538</v>
      </c>
      <c r="AP83" s="173">
        <f t="shared" si="91"/>
        <v>0.7194850076590632</v>
      </c>
      <c r="AQ83" s="1228" t="str">
        <f t="shared" ref="AQ83:AQ98" si="98">IF(W83=0," ",AI83/W83)</f>
        <v xml:space="preserve"> </v>
      </c>
      <c r="AR83" s="150"/>
      <c r="AS83" s="150"/>
      <c r="AT83" s="150"/>
      <c r="BH83" s="107">
        <f>+AL83-'CONAP (ALL FUNDS)'!Q1204</f>
        <v>0</v>
      </c>
      <c r="BL83" s="150"/>
      <c r="BM83" s="150"/>
      <c r="BN83" s="150"/>
      <c r="BP83" s="216"/>
      <c r="BQ83" s="216"/>
      <c r="BR83" s="216"/>
    </row>
    <row r="84" spans="1:70" ht="12.75">
      <c r="A84" s="587" t="s">
        <v>939</v>
      </c>
      <c r="B84" s="1234" t="s">
        <v>514</v>
      </c>
      <c r="C84" s="117">
        <v>0</v>
      </c>
      <c r="D84" s="103"/>
      <c r="E84" s="113">
        <v>0</v>
      </c>
      <c r="F84" s="104">
        <f t="shared" si="68"/>
        <v>0</v>
      </c>
      <c r="G84" s="113">
        <f>+'CONAP (ALL FUNDS)'!F1069</f>
        <v>0</v>
      </c>
      <c r="H84" s="113">
        <f>+'CONAP (ALL FUNDS)'!G1069</f>
        <v>1744908.9500000002</v>
      </c>
      <c r="I84" s="113">
        <f>+'CONAP (ALL FUNDS)'!H1069</f>
        <v>0</v>
      </c>
      <c r="J84" s="104">
        <f t="shared" si="69"/>
        <v>1744908.9500000002</v>
      </c>
      <c r="K84" s="113">
        <v>0</v>
      </c>
      <c r="L84" s="113">
        <v>12419867.17</v>
      </c>
      <c r="M84" s="113">
        <v>0</v>
      </c>
      <c r="N84" s="104">
        <f t="shared" si="70"/>
        <v>12419867.17</v>
      </c>
      <c r="O84" s="113">
        <f t="shared" si="71"/>
        <v>0</v>
      </c>
      <c r="P84" s="113">
        <f t="shared" si="72"/>
        <v>14164776.120000001</v>
      </c>
      <c r="Q84" s="113">
        <f t="shared" si="73"/>
        <v>0</v>
      </c>
      <c r="R84" s="104">
        <f t="shared" si="74"/>
        <v>14164776.120000001</v>
      </c>
      <c r="S84" s="113">
        <f t="shared" si="75"/>
        <v>0</v>
      </c>
      <c r="T84" s="113">
        <f t="shared" si="76"/>
        <v>14164776.120000001</v>
      </c>
      <c r="U84" s="113">
        <f t="shared" si="77"/>
        <v>0</v>
      </c>
      <c r="V84" s="104">
        <f t="shared" si="78"/>
        <v>14164776.120000001</v>
      </c>
      <c r="W84" s="113">
        <f>+'CONAP (ALL FUNDS)'!J1067</f>
        <v>0</v>
      </c>
      <c r="X84" s="113">
        <f>+'CONAP (ALL FUNDS)'!K1067</f>
        <v>0</v>
      </c>
      <c r="Y84" s="113">
        <f>+'CONAP (ALL FUNDS)'!L1067</f>
        <v>0</v>
      </c>
      <c r="Z84" s="104">
        <f t="shared" si="64"/>
        <v>0</v>
      </c>
      <c r="AA84" s="113">
        <f>+'CONAP (ALL FUNDS)'!J1068</f>
        <v>0</v>
      </c>
      <c r="AB84" s="113">
        <f>+'CONAP (ALL FUNDS)'!K1068</f>
        <v>12781006.48</v>
      </c>
      <c r="AC84" s="113">
        <f>+'CONAP (ALL FUNDS)'!L1068</f>
        <v>0</v>
      </c>
      <c r="AD84" s="104">
        <f t="shared" si="65"/>
        <v>12781006.48</v>
      </c>
      <c r="AE84" s="117">
        <f t="shared" si="80"/>
        <v>0</v>
      </c>
      <c r="AF84" s="117">
        <f t="shared" si="81"/>
        <v>12781006.48</v>
      </c>
      <c r="AG84" s="117">
        <f t="shared" si="82"/>
        <v>0</v>
      </c>
      <c r="AH84" s="104">
        <f t="shared" si="66"/>
        <v>12781006.48</v>
      </c>
      <c r="AI84" s="117">
        <f t="shared" si="57"/>
        <v>0</v>
      </c>
      <c r="AJ84" s="117">
        <f t="shared" si="58"/>
        <v>1383769.6400000006</v>
      </c>
      <c r="AK84" s="117">
        <f t="shared" si="59"/>
        <v>0</v>
      </c>
      <c r="AL84" s="104">
        <f t="shared" si="60"/>
        <v>1383769.6400000006</v>
      </c>
      <c r="AM84" s="1221" t="str">
        <f t="shared" si="88"/>
        <v xml:space="preserve"> </v>
      </c>
      <c r="AN84" s="1221">
        <f t="shared" si="89"/>
        <v>0.90230910617456339</v>
      </c>
      <c r="AO84" s="1221" t="str">
        <f t="shared" si="90"/>
        <v xml:space="preserve"> </v>
      </c>
      <c r="AP84" s="1221">
        <f t="shared" si="91"/>
        <v>0.90230910617456339</v>
      </c>
      <c r="AQ84" s="1223" t="str">
        <f t="shared" si="98"/>
        <v xml:space="preserve"> </v>
      </c>
      <c r="AW84" s="107"/>
      <c r="BH84" s="105">
        <f>+AL84-'CONAP (ALL FUNDS)'!Q1071</f>
        <v>0</v>
      </c>
      <c r="BL84" s="149">
        <f>+'CONAP (ALL FUNDS)'!F1067</f>
        <v>0</v>
      </c>
      <c r="BM84" s="149">
        <f>+'CONAP (ALL FUNDS)'!G1067</f>
        <v>0</v>
      </c>
      <c r="BN84" s="149">
        <f>+'CONAP (ALL FUNDS)'!H1067</f>
        <v>0</v>
      </c>
      <c r="BP84" s="216">
        <f t="shared" si="94"/>
        <v>0</v>
      </c>
      <c r="BQ84" s="216">
        <f t="shared" si="95"/>
        <v>0</v>
      </c>
      <c r="BR84" s="216">
        <f t="shared" si="96"/>
        <v>0</v>
      </c>
    </row>
    <row r="85" spans="1:70" ht="12.75">
      <c r="A85" s="587" t="s">
        <v>939</v>
      </c>
      <c r="B85" s="1234" t="s">
        <v>515</v>
      </c>
      <c r="C85" s="113">
        <v>0</v>
      </c>
      <c r="D85" s="113">
        <v>156497.71</v>
      </c>
      <c r="E85" s="113">
        <v>0</v>
      </c>
      <c r="F85" s="104">
        <f t="shared" si="68"/>
        <v>156497.71</v>
      </c>
      <c r="G85" s="113">
        <f>+'CONAP (ALL FUNDS)'!F1081</f>
        <v>0</v>
      </c>
      <c r="H85" s="113">
        <f>+'CONAP (ALL FUNDS)'!G1081</f>
        <v>-284281.81</v>
      </c>
      <c r="I85" s="113">
        <f>+'CONAP (ALL FUNDS)'!H1081</f>
        <v>0</v>
      </c>
      <c r="J85" s="104">
        <f t="shared" si="69"/>
        <v>-284281.81</v>
      </c>
      <c r="K85" s="113"/>
      <c r="L85" s="113">
        <v>2772662.5300000003</v>
      </c>
      <c r="M85" s="113"/>
      <c r="N85" s="104">
        <f t="shared" si="70"/>
        <v>2772662.5300000003</v>
      </c>
      <c r="O85" s="113">
        <f t="shared" si="71"/>
        <v>0</v>
      </c>
      <c r="P85" s="113">
        <f t="shared" si="72"/>
        <v>2488380.7200000002</v>
      </c>
      <c r="Q85" s="113">
        <f t="shared" si="73"/>
        <v>0</v>
      </c>
      <c r="R85" s="104">
        <f t="shared" si="74"/>
        <v>2488380.7200000002</v>
      </c>
      <c r="S85" s="113">
        <f t="shared" si="75"/>
        <v>0</v>
      </c>
      <c r="T85" s="113">
        <f t="shared" si="76"/>
        <v>2644878.4300000002</v>
      </c>
      <c r="U85" s="113">
        <f t="shared" si="77"/>
        <v>0</v>
      </c>
      <c r="V85" s="104">
        <f t="shared" si="78"/>
        <v>2644878.4300000002</v>
      </c>
      <c r="W85" s="113">
        <f>+'CONAP (ALL FUNDS)'!J1079</f>
        <v>0</v>
      </c>
      <c r="X85" s="113">
        <f>+'CONAP (ALL FUNDS)'!K1079</f>
        <v>155692.15</v>
      </c>
      <c r="Y85" s="113">
        <f>+'CONAP (ALL FUNDS)'!L1079</f>
        <v>0</v>
      </c>
      <c r="Z85" s="104">
        <f t="shared" si="64"/>
        <v>155692.15</v>
      </c>
      <c r="AA85" s="113">
        <f>+'CONAP (ALL FUNDS)'!J1080</f>
        <v>0</v>
      </c>
      <c r="AB85" s="113">
        <f>+'CONAP (ALL FUNDS)'!K1080</f>
        <v>2115708.52</v>
      </c>
      <c r="AC85" s="113">
        <f>+'CONAP (ALL FUNDS)'!L1080</f>
        <v>0</v>
      </c>
      <c r="AD85" s="104">
        <f t="shared" si="65"/>
        <v>2115708.52</v>
      </c>
      <c r="AE85" s="117">
        <f t="shared" si="80"/>
        <v>0</v>
      </c>
      <c r="AF85" s="117">
        <f t="shared" si="81"/>
        <v>2271400.67</v>
      </c>
      <c r="AG85" s="117">
        <f t="shared" si="82"/>
        <v>0</v>
      </c>
      <c r="AH85" s="104">
        <f t="shared" si="66"/>
        <v>2271400.67</v>
      </c>
      <c r="AI85" s="117">
        <f t="shared" si="57"/>
        <v>0</v>
      </c>
      <c r="AJ85" s="117">
        <f t="shared" si="58"/>
        <v>373477.76000000024</v>
      </c>
      <c r="AK85" s="117">
        <f t="shared" si="59"/>
        <v>0</v>
      </c>
      <c r="AL85" s="104">
        <f t="shared" si="60"/>
        <v>373477.76000000024</v>
      </c>
      <c r="AM85" s="1221" t="str">
        <f t="shared" si="88"/>
        <v xml:space="preserve"> </v>
      </c>
      <c r="AN85" s="1221">
        <f t="shared" si="89"/>
        <v>0.85879208822463715</v>
      </c>
      <c r="AO85" s="1221" t="str">
        <f t="shared" si="90"/>
        <v xml:space="preserve"> </v>
      </c>
      <c r="AP85" s="1221">
        <f t="shared" si="91"/>
        <v>0.85879208822463715</v>
      </c>
      <c r="AQ85" s="1223" t="str">
        <f t="shared" si="98"/>
        <v xml:space="preserve"> </v>
      </c>
      <c r="AW85" s="107"/>
      <c r="BH85" s="105">
        <f>+AL85-'CONAP (ALL FUNDS)'!Q1083</f>
        <v>0</v>
      </c>
      <c r="BL85" s="149">
        <f>+'CONAP (ALL FUNDS)'!F1079</f>
        <v>0</v>
      </c>
      <c r="BM85" s="149">
        <f>+'CONAP (ALL FUNDS)'!G1079</f>
        <v>156497.71</v>
      </c>
      <c r="BN85" s="149">
        <f>+'CONAP (ALL FUNDS)'!H1079</f>
        <v>0</v>
      </c>
      <c r="BP85" s="216">
        <f t="shared" si="94"/>
        <v>0</v>
      </c>
      <c r="BQ85" s="216">
        <f t="shared" si="95"/>
        <v>0</v>
      </c>
      <c r="BR85" s="216">
        <f t="shared" si="96"/>
        <v>0</v>
      </c>
    </row>
    <row r="86" spans="1:70" ht="12.75">
      <c r="A86" s="587" t="s">
        <v>939</v>
      </c>
      <c r="B86" s="1234" t="s">
        <v>516</v>
      </c>
      <c r="C86" s="113">
        <v>0</v>
      </c>
      <c r="D86" s="113">
        <v>117921.94</v>
      </c>
      <c r="E86" s="113">
        <v>0</v>
      </c>
      <c r="F86" s="104">
        <f t="shared" si="68"/>
        <v>117921.94</v>
      </c>
      <c r="G86" s="113">
        <f>+'CONAP (ALL FUNDS)'!F1092</f>
        <v>0</v>
      </c>
      <c r="H86" s="113">
        <f>+'CONAP (ALL FUNDS)'!G1092</f>
        <v>10000000</v>
      </c>
      <c r="I86" s="113">
        <f>+'CONAP (ALL FUNDS)'!H1092</f>
        <v>656000</v>
      </c>
      <c r="J86" s="104">
        <f t="shared" si="69"/>
        <v>10656000</v>
      </c>
      <c r="K86" s="113">
        <v>0</v>
      </c>
      <c r="L86" s="113">
        <v>18043995.640000001</v>
      </c>
      <c r="M86" s="113">
        <v>0</v>
      </c>
      <c r="N86" s="104">
        <f t="shared" si="70"/>
        <v>18043995.640000001</v>
      </c>
      <c r="O86" s="113">
        <f t="shared" si="71"/>
        <v>0</v>
      </c>
      <c r="P86" s="113">
        <f t="shared" si="72"/>
        <v>28043995.640000001</v>
      </c>
      <c r="Q86" s="113">
        <f t="shared" si="73"/>
        <v>656000</v>
      </c>
      <c r="R86" s="104">
        <f t="shared" si="74"/>
        <v>28699995.640000001</v>
      </c>
      <c r="S86" s="113">
        <f t="shared" si="75"/>
        <v>0</v>
      </c>
      <c r="T86" s="113">
        <f t="shared" si="76"/>
        <v>28161917.580000002</v>
      </c>
      <c r="U86" s="113">
        <f t="shared" si="77"/>
        <v>656000</v>
      </c>
      <c r="V86" s="104">
        <f t="shared" si="78"/>
        <v>28817917.580000002</v>
      </c>
      <c r="W86" s="113">
        <f>+'CONAP (ALL FUNDS)'!J1090</f>
        <v>0</v>
      </c>
      <c r="X86" s="113">
        <f>+'CONAP (ALL FUNDS)'!K1090</f>
        <v>116360.38999999998</v>
      </c>
      <c r="Y86" s="113">
        <f>+'CONAP (ALL FUNDS)'!L1090</f>
        <v>0</v>
      </c>
      <c r="Z86" s="104">
        <f t="shared" si="64"/>
        <v>116360.38999999998</v>
      </c>
      <c r="AA86" s="113">
        <f>+'CONAP (ALL FUNDS)'!J1091</f>
        <v>0</v>
      </c>
      <c r="AB86" s="113">
        <f>+'CONAP (ALL FUNDS)'!K1091</f>
        <v>27150244.589999996</v>
      </c>
      <c r="AC86" s="113">
        <f>+'CONAP (ALL FUNDS)'!L1091</f>
        <v>645400</v>
      </c>
      <c r="AD86" s="104">
        <f t="shared" si="65"/>
        <v>27795644.589999996</v>
      </c>
      <c r="AE86" s="117">
        <f t="shared" si="80"/>
        <v>0</v>
      </c>
      <c r="AF86" s="117">
        <f t="shared" si="81"/>
        <v>27266604.979999997</v>
      </c>
      <c r="AG86" s="117">
        <f t="shared" si="82"/>
        <v>645400</v>
      </c>
      <c r="AH86" s="104">
        <f t="shared" si="66"/>
        <v>27912004.979999997</v>
      </c>
      <c r="AI86" s="117">
        <f t="shared" si="57"/>
        <v>0</v>
      </c>
      <c r="AJ86" s="117">
        <f t="shared" si="58"/>
        <v>895312.60000000522</v>
      </c>
      <c r="AK86" s="117">
        <f t="shared" si="59"/>
        <v>10600</v>
      </c>
      <c r="AL86" s="104">
        <f t="shared" si="60"/>
        <v>905912.60000000522</v>
      </c>
      <c r="AM86" s="1221" t="str">
        <f t="shared" si="88"/>
        <v xml:space="preserve"> </v>
      </c>
      <c r="AN86" s="1221">
        <f t="shared" si="89"/>
        <v>0.96820839357061972</v>
      </c>
      <c r="AO86" s="1221">
        <f t="shared" si="90"/>
        <v>0.98384146341463419</v>
      </c>
      <c r="AP86" s="1221">
        <f t="shared" si="91"/>
        <v>0.96856425876418217</v>
      </c>
      <c r="AQ86" s="1223" t="str">
        <f t="shared" si="98"/>
        <v xml:space="preserve"> </v>
      </c>
      <c r="AW86" s="107"/>
      <c r="BH86" s="105">
        <f>+AL86-'CONAP (ALL FUNDS)'!Q1094</f>
        <v>0</v>
      </c>
      <c r="BL86" s="149">
        <f>+'CONAP (ALL FUNDS)'!F1090</f>
        <v>0</v>
      </c>
      <c r="BM86" s="149">
        <f>+'CONAP (ALL FUNDS)'!G1090</f>
        <v>117921.94</v>
      </c>
      <c r="BN86" s="149">
        <f>+'CONAP (ALL FUNDS)'!H1090</f>
        <v>0</v>
      </c>
      <c r="BP86" s="216">
        <f t="shared" si="94"/>
        <v>0</v>
      </c>
      <c r="BQ86" s="216">
        <f t="shared" si="95"/>
        <v>0</v>
      </c>
      <c r="BR86" s="216">
        <f t="shared" si="96"/>
        <v>0</v>
      </c>
    </row>
    <row r="87" spans="1:70" ht="12.75">
      <c r="A87" s="587" t="s">
        <v>939</v>
      </c>
      <c r="B87" s="1234" t="s">
        <v>517</v>
      </c>
      <c r="C87" s="113"/>
      <c r="D87" s="113"/>
      <c r="E87" s="113"/>
      <c r="F87" s="104">
        <f t="shared" si="68"/>
        <v>0</v>
      </c>
      <c r="G87" s="113">
        <f>+'CONAP (ALL FUNDS)'!F1103</f>
        <v>0</v>
      </c>
      <c r="H87" s="113">
        <f>+'CONAP (ALL FUNDS)'!G1103</f>
        <v>-283181.32</v>
      </c>
      <c r="I87" s="113">
        <f>+'CONAP (ALL FUNDS)'!H1103</f>
        <v>0</v>
      </c>
      <c r="J87" s="104">
        <f t="shared" si="69"/>
        <v>-283181.32</v>
      </c>
      <c r="K87" s="113">
        <v>0</v>
      </c>
      <c r="L87" s="113">
        <v>283181.32</v>
      </c>
      <c r="M87" s="113">
        <v>0</v>
      </c>
      <c r="N87" s="104">
        <f t="shared" si="70"/>
        <v>283181.32</v>
      </c>
      <c r="O87" s="113">
        <f t="shared" si="71"/>
        <v>0</v>
      </c>
      <c r="P87" s="113">
        <f t="shared" si="72"/>
        <v>0</v>
      </c>
      <c r="Q87" s="113">
        <f t="shared" si="73"/>
        <v>0</v>
      </c>
      <c r="R87" s="104">
        <f t="shared" si="74"/>
        <v>0</v>
      </c>
      <c r="S87" s="113">
        <f t="shared" si="75"/>
        <v>0</v>
      </c>
      <c r="T87" s="113">
        <f t="shared" si="76"/>
        <v>0</v>
      </c>
      <c r="U87" s="113">
        <f t="shared" si="77"/>
        <v>0</v>
      </c>
      <c r="V87" s="104">
        <f t="shared" si="78"/>
        <v>0</v>
      </c>
      <c r="W87" s="113">
        <f>+'CONAP (ALL FUNDS)'!J1101</f>
        <v>0</v>
      </c>
      <c r="X87" s="113">
        <f>+'CONAP (ALL FUNDS)'!K1101</f>
        <v>0</v>
      </c>
      <c r="Y87" s="113">
        <f>+'CONAP (ALL FUNDS)'!L1101</f>
        <v>0</v>
      </c>
      <c r="Z87" s="104">
        <f t="shared" si="64"/>
        <v>0</v>
      </c>
      <c r="AA87" s="113">
        <f>+'CONAP (ALL FUNDS)'!J1102</f>
        <v>0</v>
      </c>
      <c r="AB87" s="113">
        <f>+'CONAP (ALL FUNDS)'!K1102</f>
        <v>0</v>
      </c>
      <c r="AC87" s="113">
        <f>+'CONAP (ALL FUNDS)'!L1102</f>
        <v>0</v>
      </c>
      <c r="AD87" s="104">
        <f t="shared" si="65"/>
        <v>0</v>
      </c>
      <c r="AE87" s="117">
        <f t="shared" si="80"/>
        <v>0</v>
      </c>
      <c r="AF87" s="117">
        <f t="shared" si="81"/>
        <v>0</v>
      </c>
      <c r="AG87" s="117">
        <f t="shared" si="82"/>
        <v>0</v>
      </c>
      <c r="AH87" s="104">
        <f t="shared" si="66"/>
        <v>0</v>
      </c>
      <c r="AI87" s="117">
        <f t="shared" si="57"/>
        <v>0</v>
      </c>
      <c r="AJ87" s="117">
        <f t="shared" si="58"/>
        <v>0</v>
      </c>
      <c r="AK87" s="117">
        <f t="shared" si="59"/>
        <v>0</v>
      </c>
      <c r="AL87" s="104">
        <f t="shared" si="60"/>
        <v>0</v>
      </c>
      <c r="AM87" s="1221" t="str">
        <f t="shared" si="88"/>
        <v xml:space="preserve"> </v>
      </c>
      <c r="AN87" s="1221" t="str">
        <f t="shared" si="89"/>
        <v xml:space="preserve"> </v>
      </c>
      <c r="AO87" s="1221" t="str">
        <f t="shared" si="90"/>
        <v xml:space="preserve"> </v>
      </c>
      <c r="AP87" s="1221" t="str">
        <f t="shared" si="91"/>
        <v xml:space="preserve"> </v>
      </c>
      <c r="AQ87" s="1223" t="str">
        <f t="shared" si="98"/>
        <v xml:space="preserve"> </v>
      </c>
      <c r="AT87" s="148"/>
      <c r="AW87" s="107"/>
      <c r="BH87" s="105">
        <f>+AL87-'CONAP (ALL FUNDS)'!Q1105</f>
        <v>0</v>
      </c>
      <c r="BL87" s="149">
        <f>+'CONAP (ALL FUNDS)'!F1101</f>
        <v>0</v>
      </c>
      <c r="BM87" s="149">
        <f>+'CONAP (ALL FUNDS)'!G1101</f>
        <v>0</v>
      </c>
      <c r="BN87" s="149">
        <f>+'CONAP (ALL FUNDS)'!H1101</f>
        <v>0</v>
      </c>
      <c r="BP87" s="216">
        <f t="shared" si="94"/>
        <v>0</v>
      </c>
      <c r="BQ87" s="216">
        <f t="shared" si="95"/>
        <v>0</v>
      </c>
      <c r="BR87" s="216">
        <f t="shared" si="96"/>
        <v>0</v>
      </c>
    </row>
    <row r="88" spans="1:70" ht="12.75">
      <c r="A88" s="587" t="s">
        <v>939</v>
      </c>
      <c r="B88" s="1234" t="s">
        <v>518</v>
      </c>
      <c r="C88" s="113"/>
      <c r="D88" s="113">
        <v>395859.21</v>
      </c>
      <c r="E88" s="113"/>
      <c r="F88" s="104">
        <f t="shared" si="68"/>
        <v>395859.21</v>
      </c>
      <c r="G88" s="113">
        <f>+'CONAP (ALL FUNDS)'!F1114</f>
        <v>0</v>
      </c>
      <c r="H88" s="113">
        <f>+'CONAP (ALL FUNDS)'!G1114</f>
        <v>-3742287.98</v>
      </c>
      <c r="I88" s="113">
        <f>+'CONAP (ALL FUNDS)'!H1114</f>
        <v>0</v>
      </c>
      <c r="J88" s="104">
        <f t="shared" si="69"/>
        <v>-3742287.98</v>
      </c>
      <c r="K88" s="113"/>
      <c r="L88" s="104">
        <v>4534815.0199999996</v>
      </c>
      <c r="M88" s="113"/>
      <c r="N88" s="104">
        <f t="shared" si="70"/>
        <v>4534815.0199999996</v>
      </c>
      <c r="O88" s="113">
        <f t="shared" si="71"/>
        <v>0</v>
      </c>
      <c r="P88" s="113">
        <f t="shared" si="72"/>
        <v>792527.03999999957</v>
      </c>
      <c r="Q88" s="113">
        <f t="shared" si="73"/>
        <v>0</v>
      </c>
      <c r="R88" s="104">
        <f t="shared" si="74"/>
        <v>792527.03999999957</v>
      </c>
      <c r="S88" s="113">
        <f t="shared" si="75"/>
        <v>0</v>
      </c>
      <c r="T88" s="113">
        <f t="shared" si="76"/>
        <v>1188386.2499999995</v>
      </c>
      <c r="U88" s="113">
        <f t="shared" si="77"/>
        <v>0</v>
      </c>
      <c r="V88" s="104">
        <f t="shared" si="78"/>
        <v>1188386.2499999995</v>
      </c>
      <c r="W88" s="113">
        <f>+'CONAP (ALL FUNDS)'!J1112</f>
        <v>0</v>
      </c>
      <c r="X88" s="113">
        <f>+'CONAP (ALL FUNDS)'!K1112</f>
        <v>395859.21</v>
      </c>
      <c r="Y88" s="113">
        <f>+'CONAP (ALL FUNDS)'!L1112</f>
        <v>0</v>
      </c>
      <c r="Z88" s="104">
        <f t="shared" si="64"/>
        <v>395859.21</v>
      </c>
      <c r="AA88" s="113">
        <f>+'CONAP (ALL FUNDS)'!J1113</f>
        <v>0</v>
      </c>
      <c r="AB88" s="113">
        <f>+'CONAP (ALL FUNDS)'!K1113</f>
        <v>640618.14</v>
      </c>
      <c r="AC88" s="113">
        <f>+'CONAP (ALL FUNDS)'!L1113</f>
        <v>0</v>
      </c>
      <c r="AD88" s="104">
        <f t="shared" si="65"/>
        <v>640618.14</v>
      </c>
      <c r="AE88" s="117">
        <f t="shared" si="80"/>
        <v>0</v>
      </c>
      <c r="AF88" s="117">
        <f t="shared" si="81"/>
        <v>1036477.3500000001</v>
      </c>
      <c r="AG88" s="117">
        <f t="shared" si="82"/>
        <v>0</v>
      </c>
      <c r="AH88" s="104">
        <f t="shared" si="66"/>
        <v>1036477.3500000001</v>
      </c>
      <c r="AI88" s="117">
        <f t="shared" si="57"/>
        <v>0</v>
      </c>
      <c r="AJ88" s="117">
        <f t="shared" si="58"/>
        <v>151908.89999999944</v>
      </c>
      <c r="AK88" s="117">
        <f t="shared" si="59"/>
        <v>0</v>
      </c>
      <c r="AL88" s="104">
        <f t="shared" si="60"/>
        <v>151908.89999999944</v>
      </c>
      <c r="AM88" s="1221" t="str">
        <f t="shared" si="88"/>
        <v xml:space="preserve"> </v>
      </c>
      <c r="AN88" s="1221">
        <f t="shared" si="89"/>
        <v>0.87217211575781906</v>
      </c>
      <c r="AO88" s="1221" t="str">
        <f t="shared" si="90"/>
        <v xml:space="preserve"> </v>
      </c>
      <c r="AP88" s="1221">
        <f t="shared" si="91"/>
        <v>0.87217211575781906</v>
      </c>
      <c r="AQ88" s="1223" t="str">
        <f t="shared" si="98"/>
        <v xml:space="preserve"> </v>
      </c>
      <c r="AW88" s="107"/>
      <c r="BH88" s="105">
        <f>+AL88-'CONAP (ALL FUNDS)'!Q1116</f>
        <v>0</v>
      </c>
      <c r="BL88" s="149">
        <f>+'CONAP (ALL FUNDS)'!F1112</f>
        <v>0</v>
      </c>
      <c r="BM88" s="149">
        <f>+'CONAP (ALL FUNDS)'!G1112</f>
        <v>395859.21</v>
      </c>
      <c r="BN88" s="149">
        <f>+'CONAP (ALL FUNDS)'!H1112</f>
        <v>0</v>
      </c>
      <c r="BP88" s="216">
        <f t="shared" si="94"/>
        <v>0</v>
      </c>
      <c r="BQ88" s="216">
        <f t="shared" si="95"/>
        <v>0</v>
      </c>
      <c r="BR88" s="216">
        <f t="shared" si="96"/>
        <v>0</v>
      </c>
    </row>
    <row r="89" spans="1:70" ht="12.75">
      <c r="A89" s="587" t="s">
        <v>939</v>
      </c>
      <c r="B89" s="1234" t="s">
        <v>519</v>
      </c>
      <c r="C89" s="113">
        <v>0</v>
      </c>
      <c r="D89" s="113">
        <v>0</v>
      </c>
      <c r="E89" s="113">
        <v>50000000</v>
      </c>
      <c r="F89" s="104">
        <f t="shared" si="68"/>
        <v>50000000</v>
      </c>
      <c r="G89" s="113">
        <f>+'CONAP (ALL FUNDS)'!F1125</f>
        <v>0</v>
      </c>
      <c r="H89" s="113">
        <f>+'CONAP (ALL FUNDS)'!G1125</f>
        <v>-4265891.51</v>
      </c>
      <c r="I89" s="113">
        <f>+'CONAP (ALL FUNDS)'!H1125</f>
        <v>0</v>
      </c>
      <c r="J89" s="104">
        <f t="shared" si="69"/>
        <v>-4265891.51</v>
      </c>
      <c r="K89" s="113"/>
      <c r="L89" s="113">
        <v>4306389.04</v>
      </c>
      <c r="M89" s="113"/>
      <c r="N89" s="104">
        <f t="shared" si="70"/>
        <v>4306389.04</v>
      </c>
      <c r="O89" s="113">
        <f t="shared" si="71"/>
        <v>0</v>
      </c>
      <c r="P89" s="113">
        <f t="shared" si="72"/>
        <v>40497.530000000261</v>
      </c>
      <c r="Q89" s="113">
        <f t="shared" si="73"/>
        <v>0</v>
      </c>
      <c r="R89" s="104">
        <f t="shared" si="74"/>
        <v>40497.530000000261</v>
      </c>
      <c r="S89" s="113">
        <f t="shared" si="75"/>
        <v>0</v>
      </c>
      <c r="T89" s="113">
        <f t="shared" si="76"/>
        <v>40497.530000000261</v>
      </c>
      <c r="U89" s="113">
        <f t="shared" si="77"/>
        <v>50000000</v>
      </c>
      <c r="V89" s="104">
        <f t="shared" si="78"/>
        <v>50040497.530000001</v>
      </c>
      <c r="W89" s="113">
        <f>+'CONAP (ALL FUNDS)'!J1123</f>
        <v>0</v>
      </c>
      <c r="X89" s="113">
        <f>+'CONAP (ALL FUNDS)'!K1123</f>
        <v>0</v>
      </c>
      <c r="Y89" s="113">
        <f>+'CONAP (ALL FUNDS)'!L1123</f>
        <v>5474510</v>
      </c>
      <c r="Z89" s="104">
        <f t="shared" si="64"/>
        <v>5474510</v>
      </c>
      <c r="AA89" s="113">
        <f>+'CONAP (ALL FUNDS)'!J1124</f>
        <v>0</v>
      </c>
      <c r="AB89" s="113">
        <f>+'CONAP (ALL FUNDS)'!K1124</f>
        <v>0</v>
      </c>
      <c r="AC89" s="113">
        <f>+'CONAP (ALL FUNDS)'!L1124</f>
        <v>0</v>
      </c>
      <c r="AD89" s="104">
        <f t="shared" si="65"/>
        <v>0</v>
      </c>
      <c r="AE89" s="117">
        <f t="shared" si="80"/>
        <v>0</v>
      </c>
      <c r="AF89" s="117">
        <f t="shared" si="81"/>
        <v>0</v>
      </c>
      <c r="AG89" s="117">
        <f t="shared" si="82"/>
        <v>5474510</v>
      </c>
      <c r="AH89" s="104">
        <f t="shared" si="66"/>
        <v>5474510</v>
      </c>
      <c r="AI89" s="117">
        <f t="shared" si="57"/>
        <v>0</v>
      </c>
      <c r="AJ89" s="117">
        <f t="shared" si="58"/>
        <v>40497.530000000261</v>
      </c>
      <c r="AK89" s="117">
        <f t="shared" si="59"/>
        <v>44525490</v>
      </c>
      <c r="AL89" s="104">
        <f t="shared" si="60"/>
        <v>44565987.530000001</v>
      </c>
      <c r="AM89" s="1221" t="str">
        <f t="shared" si="88"/>
        <v xml:space="preserve"> </v>
      </c>
      <c r="AN89" s="1221">
        <f t="shared" si="89"/>
        <v>0</v>
      </c>
      <c r="AO89" s="1221">
        <f t="shared" si="90"/>
        <v>0.1094902</v>
      </c>
      <c r="AP89" s="1221">
        <f t="shared" si="91"/>
        <v>0.10940159011644424</v>
      </c>
      <c r="AQ89" s="1223" t="str">
        <f t="shared" si="98"/>
        <v xml:space="preserve"> </v>
      </c>
      <c r="AW89" s="107"/>
      <c r="BH89" s="105">
        <f>+AL89-'CONAP (ALL FUNDS)'!Q1127</f>
        <v>0</v>
      </c>
      <c r="BL89" s="149">
        <f>+'CONAP (ALL FUNDS)'!F1123</f>
        <v>0</v>
      </c>
      <c r="BM89" s="149">
        <f>+'CONAP (ALL FUNDS)'!G1123</f>
        <v>0</v>
      </c>
      <c r="BN89" s="149">
        <f>+'CONAP (ALL FUNDS)'!H1123</f>
        <v>50000000</v>
      </c>
      <c r="BP89" s="216">
        <f t="shared" si="94"/>
        <v>0</v>
      </c>
      <c r="BQ89" s="216">
        <f t="shared" si="95"/>
        <v>0</v>
      </c>
      <c r="BR89" s="216">
        <f t="shared" si="96"/>
        <v>0</v>
      </c>
    </row>
    <row r="90" spans="1:70" ht="12.75">
      <c r="A90" s="587" t="s">
        <v>939</v>
      </c>
      <c r="B90" s="1234" t="s">
        <v>520</v>
      </c>
      <c r="C90" s="113"/>
      <c r="D90" s="113"/>
      <c r="E90" s="113"/>
      <c r="F90" s="104">
        <f t="shared" si="68"/>
        <v>0</v>
      </c>
      <c r="G90" s="113">
        <f>+'CONAP (ALL FUNDS)'!F1136</f>
        <v>0</v>
      </c>
      <c r="H90" s="113">
        <f>+'CONAP (ALL FUNDS)'!G1136</f>
        <v>0</v>
      </c>
      <c r="I90" s="113">
        <f>+'CONAP (ALL FUNDS)'!H1136</f>
        <v>0</v>
      </c>
      <c r="J90" s="104">
        <f t="shared" si="69"/>
        <v>0</v>
      </c>
      <c r="K90" s="113"/>
      <c r="L90" s="113"/>
      <c r="M90" s="113"/>
      <c r="N90" s="104">
        <f t="shared" si="70"/>
        <v>0</v>
      </c>
      <c r="O90" s="113">
        <f t="shared" si="71"/>
        <v>0</v>
      </c>
      <c r="P90" s="113">
        <f t="shared" si="72"/>
        <v>0</v>
      </c>
      <c r="Q90" s="113">
        <f t="shared" si="73"/>
        <v>0</v>
      </c>
      <c r="R90" s="104">
        <f t="shared" si="74"/>
        <v>0</v>
      </c>
      <c r="S90" s="113">
        <f t="shared" si="75"/>
        <v>0</v>
      </c>
      <c r="T90" s="113">
        <f t="shared" si="76"/>
        <v>0</v>
      </c>
      <c r="U90" s="113">
        <f t="shared" si="77"/>
        <v>0</v>
      </c>
      <c r="V90" s="104">
        <f t="shared" si="78"/>
        <v>0</v>
      </c>
      <c r="W90" s="113">
        <f>+'CONAP (ALL FUNDS)'!J1134</f>
        <v>0</v>
      </c>
      <c r="X90" s="113">
        <f>+'CONAP (ALL FUNDS)'!K1134</f>
        <v>0</v>
      </c>
      <c r="Y90" s="113">
        <f>+'CONAP (ALL FUNDS)'!L1134</f>
        <v>0</v>
      </c>
      <c r="Z90" s="104">
        <f t="shared" si="64"/>
        <v>0</v>
      </c>
      <c r="AA90" s="113">
        <f>+'CONAP (ALL FUNDS)'!J1135</f>
        <v>0</v>
      </c>
      <c r="AB90" s="113">
        <f>+'CONAP (ALL FUNDS)'!K1135</f>
        <v>-7665</v>
      </c>
      <c r="AC90" s="113">
        <f>+'CONAP (ALL FUNDS)'!L1135</f>
        <v>0</v>
      </c>
      <c r="AD90" s="104">
        <f t="shared" si="65"/>
        <v>-7665</v>
      </c>
      <c r="AE90" s="117">
        <f t="shared" si="80"/>
        <v>0</v>
      </c>
      <c r="AF90" s="117">
        <f t="shared" si="81"/>
        <v>-7665</v>
      </c>
      <c r="AG90" s="117">
        <f t="shared" si="82"/>
        <v>0</v>
      </c>
      <c r="AH90" s="104">
        <f t="shared" si="66"/>
        <v>-7665</v>
      </c>
      <c r="AI90" s="117">
        <f t="shared" si="57"/>
        <v>0</v>
      </c>
      <c r="AJ90" s="117">
        <f t="shared" si="58"/>
        <v>7665</v>
      </c>
      <c r="AK90" s="117">
        <f t="shared" si="59"/>
        <v>0</v>
      </c>
      <c r="AL90" s="104">
        <f t="shared" si="60"/>
        <v>7665</v>
      </c>
      <c r="AM90" s="1221" t="str">
        <f t="shared" si="88"/>
        <v xml:space="preserve"> </v>
      </c>
      <c r="AN90" s="1221" t="str">
        <f t="shared" si="89"/>
        <v xml:space="preserve"> </v>
      </c>
      <c r="AO90" s="1221" t="str">
        <f t="shared" si="90"/>
        <v xml:space="preserve"> </v>
      </c>
      <c r="AP90" s="1221" t="str">
        <f t="shared" si="91"/>
        <v xml:space="preserve"> </v>
      </c>
      <c r="AQ90" s="1223" t="str">
        <f t="shared" si="98"/>
        <v xml:space="preserve"> </v>
      </c>
      <c r="AW90" s="107"/>
      <c r="BH90" s="105">
        <f>+AL90-'CONAP (ALL FUNDS)'!Q1138</f>
        <v>0</v>
      </c>
      <c r="BL90" s="149">
        <f>+'CONAP (ALL FUNDS)'!F1134</f>
        <v>0</v>
      </c>
      <c r="BM90" s="149">
        <f>+'CONAP (ALL FUNDS)'!G1134</f>
        <v>0</v>
      </c>
      <c r="BN90" s="149">
        <f>+'CONAP (ALL FUNDS)'!H1134</f>
        <v>0</v>
      </c>
      <c r="BP90" s="216">
        <f t="shared" si="94"/>
        <v>0</v>
      </c>
      <c r="BQ90" s="216">
        <f t="shared" si="95"/>
        <v>0</v>
      </c>
      <c r="BR90" s="216">
        <f t="shared" si="96"/>
        <v>0</v>
      </c>
    </row>
    <row r="91" spans="1:70" ht="12.75">
      <c r="A91" s="587" t="s">
        <v>939</v>
      </c>
      <c r="B91" s="1234" t="s">
        <v>521</v>
      </c>
      <c r="C91" s="113"/>
      <c r="D91" s="113"/>
      <c r="E91" s="113"/>
      <c r="F91" s="104">
        <f t="shared" si="68"/>
        <v>0</v>
      </c>
      <c r="G91" s="113">
        <f>+'CONAP (ALL FUNDS)'!F1147</f>
        <v>0</v>
      </c>
      <c r="H91" s="104">
        <f>+'CONAP (ALL FUNDS)'!G1147</f>
        <v>0</v>
      </c>
      <c r="I91" s="113">
        <f>+'CONAP (ALL FUNDS)'!H1147</f>
        <v>0</v>
      </c>
      <c r="J91" s="104">
        <f t="shared" si="69"/>
        <v>0</v>
      </c>
      <c r="K91" s="113"/>
      <c r="L91" s="104">
        <v>2263524.19</v>
      </c>
      <c r="M91" s="113"/>
      <c r="N91" s="104">
        <f t="shared" si="70"/>
        <v>2263524.19</v>
      </c>
      <c r="O91" s="113">
        <f t="shared" si="71"/>
        <v>0</v>
      </c>
      <c r="P91" s="113">
        <f>+H91+L91</f>
        <v>2263524.19</v>
      </c>
      <c r="Q91" s="113">
        <f t="shared" si="73"/>
        <v>0</v>
      </c>
      <c r="R91" s="104">
        <f t="shared" si="74"/>
        <v>2263524.19</v>
      </c>
      <c r="S91" s="113">
        <f t="shared" si="75"/>
        <v>0</v>
      </c>
      <c r="T91" s="113">
        <f t="shared" si="76"/>
        <v>2263524.19</v>
      </c>
      <c r="U91" s="113">
        <f t="shared" si="77"/>
        <v>0</v>
      </c>
      <c r="V91" s="104">
        <f t="shared" si="78"/>
        <v>2263524.19</v>
      </c>
      <c r="W91" s="113">
        <f>+'CONAP (ALL FUNDS)'!J1145</f>
        <v>0</v>
      </c>
      <c r="X91" s="113">
        <f>+'CONAP (ALL FUNDS)'!K1145</f>
        <v>0</v>
      </c>
      <c r="Y91" s="113">
        <f>+'CONAP (ALL FUNDS)'!L1145</f>
        <v>0</v>
      </c>
      <c r="Z91" s="104">
        <f t="shared" si="64"/>
        <v>0</v>
      </c>
      <c r="AA91" s="113">
        <f>+'CONAP (ALL FUNDS)'!J1146</f>
        <v>0</v>
      </c>
      <c r="AB91" s="113">
        <f>+'CONAP (ALL FUNDS)'!K1146</f>
        <v>1887604.07</v>
      </c>
      <c r="AC91" s="113">
        <f>+'CONAP (ALL FUNDS)'!L1146</f>
        <v>0</v>
      </c>
      <c r="AD91" s="104">
        <f t="shared" si="65"/>
        <v>1887604.07</v>
      </c>
      <c r="AE91" s="117">
        <f t="shared" si="80"/>
        <v>0</v>
      </c>
      <c r="AF91" s="117">
        <f t="shared" si="81"/>
        <v>1887604.07</v>
      </c>
      <c r="AG91" s="117">
        <f t="shared" si="82"/>
        <v>0</v>
      </c>
      <c r="AH91" s="104">
        <f t="shared" si="66"/>
        <v>1887604.07</v>
      </c>
      <c r="AI91" s="117">
        <f t="shared" si="57"/>
        <v>0</v>
      </c>
      <c r="AJ91" s="117">
        <f t="shared" si="58"/>
        <v>375920.11999999988</v>
      </c>
      <c r="AK91" s="117">
        <f t="shared" si="59"/>
        <v>0</v>
      </c>
      <c r="AL91" s="104">
        <f t="shared" si="60"/>
        <v>375920.11999999988</v>
      </c>
      <c r="AM91" s="1221" t="str">
        <f t="shared" si="88"/>
        <v xml:space="preserve"> </v>
      </c>
      <c r="AN91" s="1221">
        <f t="shared" si="89"/>
        <v>0.83392264078255784</v>
      </c>
      <c r="AO91" s="1221" t="str">
        <f t="shared" si="90"/>
        <v xml:space="preserve"> </v>
      </c>
      <c r="AP91" s="1221">
        <f t="shared" si="91"/>
        <v>0.83392264078255784</v>
      </c>
      <c r="AQ91" s="1223" t="str">
        <f t="shared" si="98"/>
        <v xml:space="preserve"> </v>
      </c>
      <c r="AW91" s="107"/>
      <c r="BH91" s="105">
        <f>+AL91-'CONAP (ALL FUNDS)'!Q1149</f>
        <v>0</v>
      </c>
      <c r="BL91" s="149">
        <f>+'CONAP (ALL FUNDS)'!F1145</f>
        <v>0</v>
      </c>
      <c r="BM91" s="149">
        <f>+'CONAP (ALL FUNDS)'!G1145</f>
        <v>0</v>
      </c>
      <c r="BN91" s="149">
        <f>+'CONAP (ALL FUNDS)'!H1145</f>
        <v>0</v>
      </c>
      <c r="BP91" s="216">
        <f t="shared" si="94"/>
        <v>0</v>
      </c>
      <c r="BQ91" s="216">
        <f t="shared" si="95"/>
        <v>0</v>
      </c>
      <c r="BR91" s="216">
        <f t="shared" si="96"/>
        <v>0</v>
      </c>
    </row>
    <row r="92" spans="1:70" ht="12.75">
      <c r="A92" s="587" t="s">
        <v>939</v>
      </c>
      <c r="B92" s="1234" t="s">
        <v>522</v>
      </c>
      <c r="C92" s="113"/>
      <c r="D92" s="113"/>
      <c r="E92" s="113"/>
      <c r="F92" s="104">
        <f t="shared" si="68"/>
        <v>0</v>
      </c>
      <c r="G92" s="113">
        <f>+'CONAP (ALL FUNDS)'!F1158</f>
        <v>0</v>
      </c>
      <c r="H92" s="113">
        <f>+'CONAP (ALL FUNDS)'!G1158</f>
        <v>0</v>
      </c>
      <c r="I92" s="113">
        <f>+'CONAP (ALL FUNDS)'!H1158</f>
        <v>0</v>
      </c>
      <c r="J92" s="104">
        <f t="shared" si="69"/>
        <v>0</v>
      </c>
      <c r="K92" s="113">
        <v>0</v>
      </c>
      <c r="L92" s="113">
        <v>8504508.1300000008</v>
      </c>
      <c r="M92" s="113">
        <v>0</v>
      </c>
      <c r="N92" s="104">
        <f t="shared" si="70"/>
        <v>8504508.1300000008</v>
      </c>
      <c r="O92" s="113">
        <f t="shared" si="71"/>
        <v>0</v>
      </c>
      <c r="P92" s="113">
        <f t="shared" si="72"/>
        <v>8504508.1300000008</v>
      </c>
      <c r="Q92" s="113">
        <f t="shared" si="73"/>
        <v>0</v>
      </c>
      <c r="R92" s="104">
        <f t="shared" si="74"/>
        <v>8504508.1300000008</v>
      </c>
      <c r="S92" s="113">
        <f t="shared" si="75"/>
        <v>0</v>
      </c>
      <c r="T92" s="113">
        <f t="shared" si="76"/>
        <v>8504508.1300000008</v>
      </c>
      <c r="U92" s="113">
        <f t="shared" si="77"/>
        <v>0</v>
      </c>
      <c r="V92" s="104">
        <f t="shared" si="78"/>
        <v>8504508.1300000008</v>
      </c>
      <c r="W92" s="113">
        <f>+'CONAP (ALL FUNDS)'!J1156</f>
        <v>0</v>
      </c>
      <c r="X92" s="113">
        <f>+'CONAP (ALL FUNDS)'!K1156</f>
        <v>0</v>
      </c>
      <c r="Y92" s="113">
        <f>+'CONAP (ALL FUNDS)'!L1156</f>
        <v>0</v>
      </c>
      <c r="Z92" s="104">
        <f t="shared" si="64"/>
        <v>0</v>
      </c>
      <c r="AA92" s="113">
        <f>+'CONAP (ALL FUNDS)'!J1157</f>
        <v>0</v>
      </c>
      <c r="AB92" s="113">
        <f>+'CONAP (ALL FUNDS)'!K1157</f>
        <v>8410425.9000000004</v>
      </c>
      <c r="AC92" s="113">
        <f>+'CONAP (ALL FUNDS)'!L1157</f>
        <v>0</v>
      </c>
      <c r="AD92" s="104">
        <f t="shared" si="65"/>
        <v>8410425.9000000004</v>
      </c>
      <c r="AE92" s="117">
        <f t="shared" si="80"/>
        <v>0</v>
      </c>
      <c r="AF92" s="117">
        <f t="shared" si="81"/>
        <v>8410425.9000000004</v>
      </c>
      <c r="AG92" s="117">
        <f t="shared" si="82"/>
        <v>0</v>
      </c>
      <c r="AH92" s="104">
        <f t="shared" si="66"/>
        <v>8410425.9000000004</v>
      </c>
      <c r="AI92" s="117">
        <f t="shared" si="57"/>
        <v>0</v>
      </c>
      <c r="AJ92" s="117">
        <f t="shared" si="58"/>
        <v>94082.230000000447</v>
      </c>
      <c r="AK92" s="117">
        <f t="shared" si="59"/>
        <v>0</v>
      </c>
      <c r="AL92" s="104">
        <f t="shared" si="60"/>
        <v>94082.230000000447</v>
      </c>
      <c r="AM92" s="1221" t="str">
        <f t="shared" si="88"/>
        <v xml:space="preserve"> </v>
      </c>
      <c r="AN92" s="1221">
        <f t="shared" si="89"/>
        <v>0.98893736962069312</v>
      </c>
      <c r="AO92" s="1221" t="str">
        <f t="shared" si="90"/>
        <v xml:space="preserve"> </v>
      </c>
      <c r="AP92" s="1221">
        <f t="shared" si="91"/>
        <v>0.98893736962069312</v>
      </c>
      <c r="AQ92" s="1223" t="str">
        <f t="shared" si="98"/>
        <v xml:space="preserve"> </v>
      </c>
      <c r="AW92" s="107"/>
      <c r="BH92" s="105">
        <f>+AL92-'CONAP (ALL FUNDS)'!Q1160</f>
        <v>0</v>
      </c>
      <c r="BL92" s="149">
        <f>+'CONAP (ALL FUNDS)'!F1156</f>
        <v>0</v>
      </c>
      <c r="BM92" s="149">
        <f>+'CONAP (ALL FUNDS)'!G1156</f>
        <v>0</v>
      </c>
      <c r="BN92" s="149">
        <f>+'CONAP (ALL FUNDS)'!H1156</f>
        <v>0</v>
      </c>
      <c r="BP92" s="216">
        <f t="shared" si="94"/>
        <v>0</v>
      </c>
      <c r="BQ92" s="216">
        <f t="shared" si="95"/>
        <v>0</v>
      </c>
      <c r="BR92" s="216">
        <f t="shared" si="96"/>
        <v>0</v>
      </c>
    </row>
    <row r="93" spans="1:70" ht="12.75">
      <c r="A93" s="587" t="s">
        <v>939</v>
      </c>
      <c r="B93" s="1234" t="s">
        <v>523</v>
      </c>
      <c r="C93" s="113"/>
      <c r="D93" s="113">
        <v>5453574.2800000003</v>
      </c>
      <c r="E93" s="113"/>
      <c r="F93" s="104">
        <f t="shared" si="68"/>
        <v>5453574.2800000003</v>
      </c>
      <c r="G93" s="113">
        <f>+'CONAP (ALL FUNDS)'!F1169</f>
        <v>0</v>
      </c>
      <c r="H93" s="113">
        <f>+'CONAP (ALL FUNDS)'!G1169</f>
        <v>-1086619.47</v>
      </c>
      <c r="I93" s="113">
        <f>+'CONAP (ALL FUNDS)'!H1169</f>
        <v>12306675</v>
      </c>
      <c r="J93" s="104">
        <f t="shared" si="69"/>
        <v>11220055.529999999</v>
      </c>
      <c r="K93" s="113">
        <v>0</v>
      </c>
      <c r="L93" s="113">
        <v>13318829.520000001</v>
      </c>
      <c r="M93" s="113">
        <v>0</v>
      </c>
      <c r="N93" s="104">
        <f t="shared" si="70"/>
        <v>13318829.520000001</v>
      </c>
      <c r="O93" s="113">
        <f t="shared" si="71"/>
        <v>0</v>
      </c>
      <c r="P93" s="113">
        <f t="shared" si="72"/>
        <v>12232210.050000001</v>
      </c>
      <c r="Q93" s="113">
        <f>+I93+M93</f>
        <v>12306675</v>
      </c>
      <c r="R93" s="104">
        <f t="shared" si="74"/>
        <v>24538885.050000001</v>
      </c>
      <c r="S93" s="113">
        <f t="shared" si="75"/>
        <v>0</v>
      </c>
      <c r="T93" s="113">
        <f t="shared" si="76"/>
        <v>17685784.330000002</v>
      </c>
      <c r="U93" s="113">
        <f t="shared" si="77"/>
        <v>12306675</v>
      </c>
      <c r="V93" s="104">
        <f t="shared" si="78"/>
        <v>29992459.330000002</v>
      </c>
      <c r="W93" s="113">
        <f>+'CONAP (ALL FUNDS)'!J1167</f>
        <v>0</v>
      </c>
      <c r="X93" s="113">
        <f>+'CONAP (ALL FUNDS)'!K1167</f>
        <v>5453574.2800000003</v>
      </c>
      <c r="Y93" s="113">
        <f>+'CONAP (ALL FUNDS)'!L1167</f>
        <v>0</v>
      </c>
      <c r="Z93" s="104">
        <f t="shared" si="64"/>
        <v>5453574.2800000003</v>
      </c>
      <c r="AA93" s="113">
        <f>+'CONAP (ALL FUNDS)'!J1168</f>
        <v>0</v>
      </c>
      <c r="AB93" s="113">
        <f>+'CONAP (ALL FUNDS)'!K1168</f>
        <v>10109208.970000001</v>
      </c>
      <c r="AC93" s="113">
        <f>+'CONAP (ALL FUNDS)'!L1168</f>
        <v>12306675</v>
      </c>
      <c r="AD93" s="104">
        <f t="shared" si="65"/>
        <v>22415883.969999999</v>
      </c>
      <c r="AE93" s="117">
        <f t="shared" si="80"/>
        <v>0</v>
      </c>
      <c r="AF93" s="117">
        <f t="shared" si="81"/>
        <v>15562783.25</v>
      </c>
      <c r="AG93" s="117">
        <f t="shared" si="82"/>
        <v>12306675</v>
      </c>
      <c r="AH93" s="104">
        <f t="shared" si="66"/>
        <v>27869458.25</v>
      </c>
      <c r="AI93" s="117">
        <f t="shared" si="57"/>
        <v>0</v>
      </c>
      <c r="AJ93" s="117">
        <f t="shared" si="58"/>
        <v>2123001.0800000019</v>
      </c>
      <c r="AK93" s="117">
        <f t="shared" si="59"/>
        <v>0</v>
      </c>
      <c r="AL93" s="104">
        <f t="shared" si="60"/>
        <v>2123001.0800000019</v>
      </c>
      <c r="AM93" s="1221" t="str">
        <f t="shared" si="88"/>
        <v xml:space="preserve"> </v>
      </c>
      <c r="AN93" s="1221">
        <f t="shared" si="89"/>
        <v>0.87996002663004302</v>
      </c>
      <c r="AO93" s="1221">
        <f t="shared" si="90"/>
        <v>1</v>
      </c>
      <c r="AP93" s="1221">
        <f t="shared" si="91"/>
        <v>0.92921550524946561</v>
      </c>
      <c r="AQ93" s="1223" t="str">
        <f t="shared" si="98"/>
        <v xml:space="preserve"> </v>
      </c>
      <c r="AW93" s="107"/>
      <c r="BH93" s="105">
        <f>+AL93-'CONAP (ALL FUNDS)'!Q1171</f>
        <v>0</v>
      </c>
      <c r="BL93" s="149">
        <f>+'CONAP (ALL FUNDS)'!F1167</f>
        <v>0</v>
      </c>
      <c r="BM93" s="149">
        <f>+'CONAP (ALL FUNDS)'!G1167</f>
        <v>5453574.2800000003</v>
      </c>
      <c r="BN93" s="149">
        <f>+'CONAP (ALL FUNDS)'!H1167</f>
        <v>0</v>
      </c>
      <c r="BP93" s="216">
        <f t="shared" si="94"/>
        <v>0</v>
      </c>
      <c r="BQ93" s="216">
        <f t="shared" si="95"/>
        <v>0</v>
      </c>
      <c r="BR93" s="216">
        <f t="shared" si="96"/>
        <v>0</v>
      </c>
    </row>
    <row r="94" spans="1:70" ht="12.75">
      <c r="A94" s="587" t="s">
        <v>939</v>
      </c>
      <c r="B94" s="1234" t="s">
        <v>524</v>
      </c>
      <c r="C94" s="113"/>
      <c r="D94" s="113"/>
      <c r="E94" s="113">
        <v>45305000</v>
      </c>
      <c r="F94" s="104">
        <f t="shared" si="68"/>
        <v>45305000</v>
      </c>
      <c r="G94" s="113">
        <f>+'CONAP (ALL FUNDS)'!F1180</f>
        <v>0</v>
      </c>
      <c r="H94" s="113">
        <f>+'CONAP (ALL FUNDS)'!G1180</f>
        <v>7362026.1299999999</v>
      </c>
      <c r="I94" s="113">
        <f>+'CONAP (ALL FUNDS)'!H1180</f>
        <v>0</v>
      </c>
      <c r="J94" s="104">
        <f t="shared" si="69"/>
        <v>7362026.1299999999</v>
      </c>
      <c r="K94" s="113"/>
      <c r="L94" s="113">
        <v>35522835.490000002</v>
      </c>
      <c r="M94" s="113"/>
      <c r="N94" s="104">
        <f>SUM(K94:M94)</f>
        <v>35522835.490000002</v>
      </c>
      <c r="O94" s="113">
        <f t="shared" si="71"/>
        <v>0</v>
      </c>
      <c r="P94" s="113">
        <f t="shared" si="72"/>
        <v>42884861.620000005</v>
      </c>
      <c r="Q94" s="113">
        <f>+I94+M94</f>
        <v>0</v>
      </c>
      <c r="R94" s="104">
        <f t="shared" si="74"/>
        <v>42884861.620000005</v>
      </c>
      <c r="S94" s="113">
        <f t="shared" si="75"/>
        <v>0</v>
      </c>
      <c r="T94" s="113">
        <f t="shared" si="76"/>
        <v>42884861.620000005</v>
      </c>
      <c r="U94" s="113">
        <f t="shared" si="77"/>
        <v>45305000</v>
      </c>
      <c r="V94" s="104">
        <f t="shared" si="78"/>
        <v>88189861.620000005</v>
      </c>
      <c r="W94" s="113">
        <f>+'CONAP (ALL FUNDS)'!J1178</f>
        <v>0</v>
      </c>
      <c r="X94" s="113">
        <f>+'CONAP (ALL FUNDS)'!K1178</f>
        <v>0</v>
      </c>
      <c r="Y94" s="113">
        <f>+'CONAP (ALL FUNDS)'!L1178</f>
        <v>39676113</v>
      </c>
      <c r="Z94" s="104">
        <f t="shared" si="64"/>
        <v>39676113</v>
      </c>
      <c r="AA94" s="113">
        <f>+'CONAP (ALL FUNDS)'!J1179</f>
        <v>0</v>
      </c>
      <c r="AB94" s="113">
        <f>+'CONAP (ALL FUNDS)'!K1179</f>
        <v>35872763.140000008</v>
      </c>
      <c r="AC94" s="113">
        <f>+'CONAP (ALL FUNDS)'!L1179</f>
        <v>0</v>
      </c>
      <c r="AD94" s="104">
        <f t="shared" si="65"/>
        <v>35872763.140000008</v>
      </c>
      <c r="AE94" s="117">
        <f t="shared" si="80"/>
        <v>0</v>
      </c>
      <c r="AF94" s="117">
        <f t="shared" si="81"/>
        <v>35872763.140000008</v>
      </c>
      <c r="AG94" s="117">
        <f t="shared" si="82"/>
        <v>39676113</v>
      </c>
      <c r="AH94" s="104">
        <f t="shared" si="66"/>
        <v>75548876.140000015</v>
      </c>
      <c r="AI94" s="117">
        <f t="shared" si="57"/>
        <v>0</v>
      </c>
      <c r="AJ94" s="117">
        <f t="shared" si="58"/>
        <v>7012098.4799999967</v>
      </c>
      <c r="AK94" s="117">
        <f t="shared" si="59"/>
        <v>5628887</v>
      </c>
      <c r="AL94" s="104">
        <f t="shared" si="60"/>
        <v>12640985.479999997</v>
      </c>
      <c r="AM94" s="1221" t="str">
        <f t="shared" si="88"/>
        <v xml:space="preserve"> </v>
      </c>
      <c r="AN94" s="1221">
        <f t="shared" si="89"/>
        <v>0.83649012226893138</v>
      </c>
      <c r="AO94" s="1221">
        <f t="shared" si="90"/>
        <v>0.87575572232645404</v>
      </c>
      <c r="AP94" s="1221">
        <f t="shared" si="91"/>
        <v>0.85666169276386273</v>
      </c>
      <c r="AQ94" s="1223" t="str">
        <f t="shared" si="98"/>
        <v xml:space="preserve"> </v>
      </c>
      <c r="AW94" s="107"/>
      <c r="BH94" s="105">
        <f>+AL94-'CONAP (ALL FUNDS)'!Q1182</f>
        <v>0</v>
      </c>
      <c r="BL94" s="149">
        <f>+'CONAP (ALL FUNDS)'!F1178</f>
        <v>0</v>
      </c>
      <c r="BM94" s="149">
        <f>+'CONAP (ALL FUNDS)'!G1178</f>
        <v>0</v>
      </c>
      <c r="BN94" s="149">
        <f>+'CONAP (ALL FUNDS)'!H1178</f>
        <v>45305000</v>
      </c>
      <c r="BP94" s="216">
        <f t="shared" si="94"/>
        <v>0</v>
      </c>
      <c r="BQ94" s="216">
        <f t="shared" si="95"/>
        <v>0</v>
      </c>
      <c r="BR94" s="216">
        <f t="shared" si="96"/>
        <v>0</v>
      </c>
    </row>
    <row r="95" spans="1:70" ht="12.75">
      <c r="A95" s="587" t="s">
        <v>939</v>
      </c>
      <c r="B95" s="1234" t="s">
        <v>525</v>
      </c>
      <c r="C95" s="113"/>
      <c r="D95" s="113"/>
      <c r="E95" s="113"/>
      <c r="F95" s="104">
        <f t="shared" si="68"/>
        <v>0</v>
      </c>
      <c r="G95" s="113">
        <f>+'CONAP (ALL FUNDS)'!F1191</f>
        <v>0</v>
      </c>
      <c r="H95" s="113">
        <f>+'CONAP (ALL FUNDS)'!G1191</f>
        <v>-2695102.42</v>
      </c>
      <c r="I95" s="113">
        <f>+'CONAP (ALL FUNDS)'!H1191</f>
        <v>0</v>
      </c>
      <c r="J95" s="104">
        <f t="shared" si="69"/>
        <v>-2695102.42</v>
      </c>
      <c r="K95" s="113">
        <v>0</v>
      </c>
      <c r="L95" s="113">
        <v>3695102.42</v>
      </c>
      <c r="M95" s="113">
        <v>0</v>
      </c>
      <c r="N95" s="104">
        <f t="shared" si="70"/>
        <v>3695102.42</v>
      </c>
      <c r="O95" s="113">
        <f t="shared" si="71"/>
        <v>0</v>
      </c>
      <c r="P95" s="113">
        <f t="shared" si="72"/>
        <v>1000000</v>
      </c>
      <c r="Q95" s="113">
        <f t="shared" si="73"/>
        <v>0</v>
      </c>
      <c r="R95" s="104">
        <f t="shared" si="74"/>
        <v>1000000</v>
      </c>
      <c r="S95" s="113">
        <f t="shared" si="75"/>
        <v>0</v>
      </c>
      <c r="T95" s="113">
        <f t="shared" si="76"/>
        <v>1000000</v>
      </c>
      <c r="U95" s="113">
        <f t="shared" si="77"/>
        <v>0</v>
      </c>
      <c r="V95" s="104">
        <f t="shared" si="78"/>
        <v>1000000</v>
      </c>
      <c r="W95" s="113">
        <f>+'CONAP (ALL FUNDS)'!J1189</f>
        <v>0</v>
      </c>
      <c r="X95" s="113">
        <f>+'CONAP (ALL FUNDS)'!K1189</f>
        <v>0</v>
      </c>
      <c r="Y95" s="113">
        <f>+'CONAP (ALL FUNDS)'!L1189</f>
        <v>0</v>
      </c>
      <c r="Z95" s="104">
        <f t="shared" si="64"/>
        <v>0</v>
      </c>
      <c r="AA95" s="113">
        <f>+'CONAP (ALL FUNDS)'!J1190</f>
        <v>0</v>
      </c>
      <c r="AB95" s="113">
        <f>+'CONAP (ALL FUNDS)'!K1190</f>
        <v>0</v>
      </c>
      <c r="AC95" s="113">
        <f>+'CONAP (ALL FUNDS)'!L1190</f>
        <v>0</v>
      </c>
      <c r="AD95" s="104">
        <f t="shared" si="65"/>
        <v>0</v>
      </c>
      <c r="AE95" s="117">
        <f t="shared" si="80"/>
        <v>0</v>
      </c>
      <c r="AF95" s="117">
        <f t="shared" si="81"/>
        <v>0</v>
      </c>
      <c r="AG95" s="117">
        <f t="shared" si="82"/>
        <v>0</v>
      </c>
      <c r="AH95" s="104">
        <f t="shared" si="66"/>
        <v>0</v>
      </c>
      <c r="AI95" s="117">
        <f t="shared" si="57"/>
        <v>0</v>
      </c>
      <c r="AJ95" s="117">
        <f t="shared" si="58"/>
        <v>1000000</v>
      </c>
      <c r="AK95" s="117">
        <f t="shared" si="59"/>
        <v>0</v>
      </c>
      <c r="AL95" s="104">
        <f t="shared" si="60"/>
        <v>1000000</v>
      </c>
      <c r="AM95" s="1221" t="str">
        <f t="shared" si="88"/>
        <v xml:space="preserve"> </v>
      </c>
      <c r="AN95" s="1221">
        <f t="shared" si="89"/>
        <v>0</v>
      </c>
      <c r="AO95" s="1221" t="str">
        <f t="shared" si="90"/>
        <v xml:space="preserve"> </v>
      </c>
      <c r="AP95" s="1221">
        <f t="shared" si="91"/>
        <v>0</v>
      </c>
      <c r="AQ95" s="1223" t="str">
        <f t="shared" si="98"/>
        <v xml:space="preserve"> </v>
      </c>
      <c r="AW95" s="107"/>
      <c r="BH95" s="105">
        <f>+AL95-'CONAP (ALL FUNDS)'!Q1193</f>
        <v>0</v>
      </c>
      <c r="BL95" s="149">
        <f>+'CONAP (ALL FUNDS)'!F1189</f>
        <v>0</v>
      </c>
      <c r="BM95" s="149">
        <f>+'CONAP (ALL FUNDS)'!G1189</f>
        <v>0</v>
      </c>
      <c r="BN95" s="149">
        <f>+'CONAP (ALL FUNDS)'!H1189</f>
        <v>0</v>
      </c>
      <c r="BP95" s="216">
        <f t="shared" si="94"/>
        <v>0</v>
      </c>
      <c r="BQ95" s="216">
        <f t="shared" si="95"/>
        <v>0</v>
      </c>
      <c r="BR95" s="216">
        <f t="shared" si="96"/>
        <v>0</v>
      </c>
    </row>
    <row r="96" spans="1:70" ht="12.75">
      <c r="B96" s="118"/>
      <c r="C96" s="113"/>
      <c r="D96" s="113"/>
      <c r="E96" s="113"/>
      <c r="F96" s="104">
        <f t="shared" si="68"/>
        <v>0</v>
      </c>
      <c r="G96" s="113"/>
      <c r="H96" s="113"/>
      <c r="I96" s="113"/>
      <c r="J96" s="104">
        <f t="shared" si="69"/>
        <v>0</v>
      </c>
      <c r="K96" s="113"/>
      <c r="L96" s="113"/>
      <c r="M96" s="113"/>
      <c r="N96" s="104">
        <f t="shared" si="70"/>
        <v>0</v>
      </c>
      <c r="O96" s="113">
        <f t="shared" si="71"/>
        <v>0</v>
      </c>
      <c r="P96" s="113">
        <f t="shared" si="72"/>
        <v>0</v>
      </c>
      <c r="Q96" s="113">
        <f t="shared" si="73"/>
        <v>0</v>
      </c>
      <c r="R96" s="104">
        <f t="shared" si="74"/>
        <v>0</v>
      </c>
      <c r="S96" s="113">
        <f t="shared" si="75"/>
        <v>0</v>
      </c>
      <c r="T96" s="113">
        <f t="shared" si="76"/>
        <v>0</v>
      </c>
      <c r="U96" s="113">
        <f t="shared" si="77"/>
        <v>0</v>
      </c>
      <c r="V96" s="104">
        <f t="shared" si="78"/>
        <v>0</v>
      </c>
      <c r="W96" s="113"/>
      <c r="X96" s="113"/>
      <c r="Y96" s="113"/>
      <c r="Z96" s="104">
        <f t="shared" si="64"/>
        <v>0</v>
      </c>
      <c r="AA96" s="113"/>
      <c r="AB96" s="113"/>
      <c r="AC96" s="113"/>
      <c r="AD96" s="104">
        <f t="shared" si="65"/>
        <v>0</v>
      </c>
      <c r="AE96" s="117">
        <f t="shared" si="80"/>
        <v>0</v>
      </c>
      <c r="AF96" s="117">
        <f t="shared" si="81"/>
        <v>0</v>
      </c>
      <c r="AG96" s="117">
        <f t="shared" si="82"/>
        <v>0</v>
      </c>
      <c r="AH96" s="104">
        <f t="shared" si="66"/>
        <v>0</v>
      </c>
      <c r="AI96" s="117">
        <f t="shared" si="57"/>
        <v>0</v>
      </c>
      <c r="AJ96" s="117">
        <f t="shared" si="58"/>
        <v>0</v>
      </c>
      <c r="AK96" s="117">
        <f t="shared" si="59"/>
        <v>0</v>
      </c>
      <c r="AL96" s="104">
        <f t="shared" si="60"/>
        <v>0</v>
      </c>
      <c r="AM96" s="1221" t="str">
        <f t="shared" si="88"/>
        <v xml:space="preserve"> </v>
      </c>
      <c r="AN96" s="1221" t="str">
        <f t="shared" si="89"/>
        <v xml:space="preserve"> </v>
      </c>
      <c r="AO96" s="1221" t="str">
        <f t="shared" si="90"/>
        <v xml:space="preserve"> </v>
      </c>
      <c r="AP96" s="1221" t="str">
        <f t="shared" si="91"/>
        <v xml:space="preserve"> </v>
      </c>
      <c r="AQ96" s="1223" t="str">
        <f t="shared" si="98"/>
        <v xml:space="preserve"> </v>
      </c>
      <c r="AW96" s="107"/>
      <c r="BL96" s="149"/>
      <c r="BM96" s="149"/>
      <c r="BN96" s="149"/>
      <c r="BP96" s="216">
        <f t="shared" si="94"/>
        <v>0</v>
      </c>
      <c r="BQ96" s="216">
        <f t="shared" si="95"/>
        <v>0</v>
      </c>
      <c r="BR96" s="216">
        <f t="shared" si="96"/>
        <v>0</v>
      </c>
    </row>
    <row r="97" spans="1:70" s="107" customFormat="1" ht="16.5" customHeight="1">
      <c r="B97" s="115" t="s">
        <v>88</v>
      </c>
      <c r="C97" s="114">
        <f t="shared" ref="C97:N97" si="99">+C98+C104+C109+C115+C121+C128+C131+C135+C140+C146+C154+C158+C168+C173+C177+C181</f>
        <v>0</v>
      </c>
      <c r="D97" s="114">
        <f t="shared" si="99"/>
        <v>16245719.90000001</v>
      </c>
      <c r="E97" s="114">
        <f t="shared" si="99"/>
        <v>100000000</v>
      </c>
      <c r="F97" s="114">
        <f t="shared" si="99"/>
        <v>116245719.90000001</v>
      </c>
      <c r="G97" s="114">
        <f t="shared" si="99"/>
        <v>0</v>
      </c>
      <c r="H97" s="114">
        <f t="shared" si="99"/>
        <v>-5522631.7599999998</v>
      </c>
      <c r="I97" s="114">
        <f t="shared" si="99"/>
        <v>29072900</v>
      </c>
      <c r="J97" s="114">
        <f t="shared" si="99"/>
        <v>23550268.240000002</v>
      </c>
      <c r="K97" s="114">
        <f t="shared" si="99"/>
        <v>0</v>
      </c>
      <c r="L97" s="114">
        <f t="shared" si="99"/>
        <v>105931860.10999998</v>
      </c>
      <c r="M97" s="114">
        <f t="shared" si="99"/>
        <v>10000000</v>
      </c>
      <c r="N97" s="114">
        <f t="shared" si="99"/>
        <v>115931860.10999998</v>
      </c>
      <c r="O97" s="114">
        <f t="shared" si="71"/>
        <v>0</v>
      </c>
      <c r="P97" s="114">
        <f t="shared" si="72"/>
        <v>100409228.34999998</v>
      </c>
      <c r="Q97" s="114">
        <f t="shared" si="73"/>
        <v>39072900</v>
      </c>
      <c r="R97" s="114">
        <f t="shared" si="74"/>
        <v>139482128.34999996</v>
      </c>
      <c r="S97" s="114">
        <f t="shared" si="75"/>
        <v>0</v>
      </c>
      <c r="T97" s="114">
        <f t="shared" si="76"/>
        <v>116654948.24999999</v>
      </c>
      <c r="U97" s="114">
        <f t="shared" si="77"/>
        <v>139072900</v>
      </c>
      <c r="V97" s="114">
        <f t="shared" si="78"/>
        <v>255727848.25</v>
      </c>
      <c r="W97" s="114">
        <f>+W98+W104+W109+W115+W121+W128+W131+W135+W140+W146+W154+W158+W168+W173+W177+W181</f>
        <v>0</v>
      </c>
      <c r="X97" s="114">
        <f>+X98+X104+X109+X115+X121+X128+X131+X135+X140+X146+X154+X158+X168+X173+X177+X181</f>
        <v>12856629.91</v>
      </c>
      <c r="Y97" s="114">
        <f>+Y98+Y104+Y109+Y115+Y121+Y128+Y131+Y135+Y140+Y146+Y154+Y158+Y168+Y173+Y177+Y181</f>
        <v>31356400</v>
      </c>
      <c r="Z97" s="114">
        <f t="shared" si="64"/>
        <v>44213029.909999996</v>
      </c>
      <c r="AA97" s="114">
        <f>+AA98+AA104+AA109+AA115+AA121+AA128+AA131+AA135+AA140+AA146+AA154+AA158+AA168+AA173+AA177+AA181</f>
        <v>0</v>
      </c>
      <c r="AB97" s="114">
        <f>+AB98+AB104+AB109+AB115+AB121+AB128+AB131+AB135+AB140+AB146+AB154+AB158+AB168+AB173+AB177+AB181</f>
        <v>68234691.800000012</v>
      </c>
      <c r="AC97" s="114">
        <f>+AC98+AC104+AC109+AC115+AC121+AC128+AC131+AC135+AC140+AC146+AC154+AC158+AC168+AC173+AC177+AC181</f>
        <v>25980272</v>
      </c>
      <c r="AD97" s="114">
        <f t="shared" si="65"/>
        <v>94214963.800000012</v>
      </c>
      <c r="AE97" s="114">
        <f t="shared" si="80"/>
        <v>0</v>
      </c>
      <c r="AF97" s="114">
        <f t="shared" si="81"/>
        <v>81091321.710000008</v>
      </c>
      <c r="AG97" s="114">
        <f t="shared" si="82"/>
        <v>57336672</v>
      </c>
      <c r="AH97" s="114">
        <f t="shared" si="66"/>
        <v>138427993.71000001</v>
      </c>
      <c r="AI97" s="114">
        <f t="shared" si="57"/>
        <v>0</v>
      </c>
      <c r="AJ97" s="114">
        <f t="shared" si="58"/>
        <v>35563626.539999977</v>
      </c>
      <c r="AK97" s="114">
        <f t="shared" si="59"/>
        <v>81736228</v>
      </c>
      <c r="AL97" s="114">
        <f t="shared" si="60"/>
        <v>117299854.53999998</v>
      </c>
      <c r="AM97" s="173" t="str">
        <f t="shared" si="88"/>
        <v xml:space="preserve"> </v>
      </c>
      <c r="AN97" s="173">
        <f t="shared" si="89"/>
        <v>0.69513829397288351</v>
      </c>
      <c r="AO97" s="173">
        <f t="shared" si="90"/>
        <v>0.4122778197621535</v>
      </c>
      <c r="AP97" s="173">
        <f t="shared" si="91"/>
        <v>0.54130981298005743</v>
      </c>
      <c r="AQ97" s="1228" t="str">
        <f t="shared" si="98"/>
        <v xml:space="preserve"> </v>
      </c>
      <c r="AR97" s="150"/>
      <c r="AS97" s="150"/>
      <c r="AT97" s="150"/>
      <c r="BL97" s="150"/>
      <c r="BM97" s="150"/>
      <c r="BN97" s="150"/>
      <c r="BP97" s="216"/>
      <c r="BQ97" s="216"/>
      <c r="BR97" s="216"/>
    </row>
    <row r="98" spans="1:70" ht="12.75">
      <c r="A98" s="587" t="s">
        <v>939</v>
      </c>
      <c r="B98" s="1235" t="s">
        <v>25</v>
      </c>
      <c r="C98" s="117">
        <f t="shared" ref="C98:N98" si="100">SUM(C99:C102)</f>
        <v>0</v>
      </c>
      <c r="D98" s="117">
        <f t="shared" si="100"/>
        <v>1167339.0099999998</v>
      </c>
      <c r="E98" s="117">
        <f t="shared" si="100"/>
        <v>0</v>
      </c>
      <c r="F98" s="117">
        <f t="shared" si="100"/>
        <v>1167339.0099999998</v>
      </c>
      <c r="G98" s="117">
        <f t="shared" si="100"/>
        <v>0</v>
      </c>
      <c r="H98" s="117">
        <f t="shared" si="100"/>
        <v>2214500.7199999997</v>
      </c>
      <c r="I98" s="117">
        <f t="shared" si="100"/>
        <v>0</v>
      </c>
      <c r="J98" s="117">
        <f t="shared" si="100"/>
        <v>2214500.7199999997</v>
      </c>
      <c r="K98" s="117">
        <f t="shared" si="100"/>
        <v>0</v>
      </c>
      <c r="L98" s="117">
        <f t="shared" si="100"/>
        <v>6983940.1699999999</v>
      </c>
      <c r="M98" s="117">
        <f t="shared" si="100"/>
        <v>0</v>
      </c>
      <c r="N98" s="117">
        <f t="shared" si="100"/>
        <v>6983940.1699999999</v>
      </c>
      <c r="O98" s="113">
        <f t="shared" si="71"/>
        <v>0</v>
      </c>
      <c r="P98" s="113">
        <f t="shared" si="72"/>
        <v>9198440.8900000006</v>
      </c>
      <c r="Q98" s="113">
        <f t="shared" si="73"/>
        <v>0</v>
      </c>
      <c r="R98" s="104">
        <f t="shared" si="74"/>
        <v>9198440.8900000006</v>
      </c>
      <c r="S98" s="113">
        <f t="shared" si="75"/>
        <v>0</v>
      </c>
      <c r="T98" s="113">
        <f t="shared" si="76"/>
        <v>10365779.9</v>
      </c>
      <c r="U98" s="113">
        <f t="shared" si="77"/>
        <v>0</v>
      </c>
      <c r="V98" s="104">
        <f t="shared" si="78"/>
        <v>10365779.9</v>
      </c>
      <c r="W98" s="117">
        <f>SUM(W99:W102)</f>
        <v>0</v>
      </c>
      <c r="X98" s="117">
        <f>SUM(X99:X102)</f>
        <v>1164893.4000000001</v>
      </c>
      <c r="Y98" s="117">
        <f>SUM(Y99:Y102)</f>
        <v>0</v>
      </c>
      <c r="Z98" s="104">
        <f t="shared" si="64"/>
        <v>1164893.4000000001</v>
      </c>
      <c r="AA98" s="117">
        <f>SUM(AA99:AA102)</f>
        <v>0</v>
      </c>
      <c r="AB98" s="117">
        <f>SUM(AB99:AB102)</f>
        <v>8372478.3699999992</v>
      </c>
      <c r="AC98" s="117">
        <f>SUM(AC99:AC102)</f>
        <v>0</v>
      </c>
      <c r="AD98" s="104">
        <f t="shared" si="65"/>
        <v>8372478.3699999992</v>
      </c>
      <c r="AE98" s="117">
        <f t="shared" si="80"/>
        <v>0</v>
      </c>
      <c r="AF98" s="117">
        <f t="shared" si="81"/>
        <v>9537371.7699999996</v>
      </c>
      <c r="AG98" s="117">
        <f t="shared" si="82"/>
        <v>0</v>
      </c>
      <c r="AH98" s="104">
        <f t="shared" si="66"/>
        <v>9537371.7699999996</v>
      </c>
      <c r="AI98" s="117">
        <f t="shared" si="57"/>
        <v>0</v>
      </c>
      <c r="AJ98" s="117">
        <f t="shared" si="58"/>
        <v>828408.13000000082</v>
      </c>
      <c r="AK98" s="117">
        <f t="shared" si="59"/>
        <v>0</v>
      </c>
      <c r="AL98" s="104">
        <f t="shared" si="60"/>
        <v>828408.13000000082</v>
      </c>
      <c r="AM98" s="1221" t="str">
        <f t="shared" si="88"/>
        <v xml:space="preserve"> </v>
      </c>
      <c r="AN98" s="1221">
        <f t="shared" si="89"/>
        <v>0.92008241174405014</v>
      </c>
      <c r="AO98" s="1221" t="str">
        <f t="shared" si="90"/>
        <v xml:space="preserve"> </v>
      </c>
      <c r="AP98" s="1221">
        <f t="shared" si="91"/>
        <v>0.92008241174405014</v>
      </c>
      <c r="AQ98" s="1223" t="str">
        <f t="shared" si="98"/>
        <v xml:space="preserve"> </v>
      </c>
      <c r="AW98" s="107"/>
      <c r="BL98" s="1188">
        <f>SUM(BL99:BL102)</f>
        <v>0</v>
      </c>
      <c r="BM98" s="1188">
        <f t="shared" ref="BM98:BN98" si="101">SUM(BM99:BM102)</f>
        <v>1167339.0100000005</v>
      </c>
      <c r="BN98" s="1188">
        <f t="shared" si="101"/>
        <v>0</v>
      </c>
      <c r="BP98" s="216">
        <f t="shared" si="94"/>
        <v>0</v>
      </c>
      <c r="BQ98" s="216">
        <f t="shared" si="95"/>
        <v>0</v>
      </c>
      <c r="BR98" s="216">
        <f t="shared" si="96"/>
        <v>0</v>
      </c>
    </row>
    <row r="99" spans="1:70" ht="36">
      <c r="A99" s="587" t="s">
        <v>939</v>
      </c>
      <c r="B99" s="1236" t="s">
        <v>538</v>
      </c>
      <c r="C99" s="117"/>
      <c r="D99" s="117"/>
      <c r="E99" s="117"/>
      <c r="F99" s="104">
        <f t="shared" si="68"/>
        <v>0</v>
      </c>
      <c r="G99" s="117">
        <f>+'CONAP (ALL FUNDS)'!F47</f>
        <v>0</v>
      </c>
      <c r="H99" s="117">
        <f>+'CONAP (ALL FUNDS)'!G47</f>
        <v>220650</v>
      </c>
      <c r="I99" s="117">
        <f>+'CONAP (ALL FUNDS)'!H47</f>
        <v>0</v>
      </c>
      <c r="J99" s="104">
        <f t="shared" si="69"/>
        <v>220650</v>
      </c>
      <c r="K99" s="117">
        <v>0</v>
      </c>
      <c r="L99" s="117">
        <v>3774.42</v>
      </c>
      <c r="M99" s="117">
        <v>0</v>
      </c>
      <c r="N99" s="104">
        <f t="shared" si="70"/>
        <v>3774.42</v>
      </c>
      <c r="O99" s="113">
        <f t="shared" si="71"/>
        <v>0</v>
      </c>
      <c r="P99" s="113">
        <f t="shared" si="72"/>
        <v>224424.42</v>
      </c>
      <c r="Q99" s="113">
        <f t="shared" si="73"/>
        <v>0</v>
      </c>
      <c r="R99" s="104">
        <f t="shared" si="74"/>
        <v>224424.42</v>
      </c>
      <c r="S99" s="113">
        <f t="shared" si="75"/>
        <v>0</v>
      </c>
      <c r="T99" s="113">
        <f t="shared" si="76"/>
        <v>224424.42</v>
      </c>
      <c r="U99" s="113">
        <f t="shared" si="77"/>
        <v>0</v>
      </c>
      <c r="V99" s="104">
        <f t="shared" si="78"/>
        <v>224424.42</v>
      </c>
      <c r="W99" s="117">
        <f>+'CONAP (ALL FUNDS)'!J45</f>
        <v>0</v>
      </c>
      <c r="X99" s="117">
        <f>+'CONAP (ALL FUNDS)'!K45</f>
        <v>0</v>
      </c>
      <c r="Y99" s="117">
        <f>+'CONAP (ALL FUNDS)'!L45</f>
        <v>0</v>
      </c>
      <c r="Z99" s="104">
        <f t="shared" si="64"/>
        <v>0</v>
      </c>
      <c r="AA99" s="117">
        <f>+'CONAP (ALL FUNDS)'!J46</f>
        <v>0</v>
      </c>
      <c r="AB99" s="117">
        <f>+'CONAP (ALL FUNDS)'!K46</f>
        <v>28774.42</v>
      </c>
      <c r="AC99" s="117">
        <f>+'CONAP (ALL FUNDS)'!L46</f>
        <v>0</v>
      </c>
      <c r="AD99" s="104">
        <f t="shared" si="65"/>
        <v>28774.42</v>
      </c>
      <c r="AE99" s="117">
        <f t="shared" si="80"/>
        <v>0</v>
      </c>
      <c r="AF99" s="117">
        <f t="shared" si="81"/>
        <v>28774.42</v>
      </c>
      <c r="AG99" s="117">
        <f t="shared" si="82"/>
        <v>0</v>
      </c>
      <c r="AH99" s="104">
        <f t="shared" si="66"/>
        <v>28774.42</v>
      </c>
      <c r="AI99" s="117">
        <f t="shared" si="57"/>
        <v>0</v>
      </c>
      <c r="AJ99" s="117">
        <f t="shared" si="58"/>
        <v>195650</v>
      </c>
      <c r="AK99" s="117">
        <f t="shared" si="59"/>
        <v>0</v>
      </c>
      <c r="AL99" s="104">
        <f t="shared" si="60"/>
        <v>195650</v>
      </c>
      <c r="AM99" s="1221" t="str">
        <f t="shared" si="88"/>
        <v xml:space="preserve"> </v>
      </c>
      <c r="AN99" s="1221">
        <f t="shared" si="89"/>
        <v>0.12821430038674042</v>
      </c>
      <c r="AO99" s="1221" t="str">
        <f t="shared" si="90"/>
        <v xml:space="preserve"> </v>
      </c>
      <c r="AP99" s="1221">
        <f t="shared" si="91"/>
        <v>0.12821430038674042</v>
      </c>
      <c r="AQ99" s="1223" t="str">
        <f t="shared" ref="AQ99:AQ162" si="102">IF(W99=0," ",AI99/W99)</f>
        <v xml:space="preserve"> </v>
      </c>
      <c r="AW99" s="107"/>
      <c r="BH99" s="105">
        <f>+AL99-'CONAP (ALL FUNDS)'!Q49</f>
        <v>0</v>
      </c>
      <c r="BL99" s="1188">
        <f>+'CONAP (ALL FUNDS)'!F45</f>
        <v>0</v>
      </c>
      <c r="BM99" s="1188">
        <f>+'CONAP (ALL FUNDS)'!G45</f>
        <v>0</v>
      </c>
      <c r="BN99" s="1188">
        <f>+'CONAP (ALL FUNDS)'!H45</f>
        <v>0</v>
      </c>
      <c r="BP99" s="216">
        <f t="shared" si="94"/>
        <v>0</v>
      </c>
      <c r="BQ99" s="216">
        <f t="shared" si="95"/>
        <v>0</v>
      </c>
      <c r="BR99" s="216">
        <f t="shared" si="96"/>
        <v>0</v>
      </c>
    </row>
    <row r="100" spans="1:70" ht="36">
      <c r="A100" s="587" t="s">
        <v>939</v>
      </c>
      <c r="B100" s="1236" t="s">
        <v>539</v>
      </c>
      <c r="C100" s="117">
        <v>0</v>
      </c>
      <c r="D100" s="117">
        <v>1164893.4000000004</v>
      </c>
      <c r="E100" s="117">
        <v>0</v>
      </c>
      <c r="F100" s="104">
        <f t="shared" si="68"/>
        <v>1164893.4000000004</v>
      </c>
      <c r="G100" s="117">
        <f>+'CONAP (ALL FUNDS)'!F58</f>
        <v>0</v>
      </c>
      <c r="H100" s="117">
        <f>+'CONAP (ALL FUNDS)'!G58</f>
        <v>1230514.76</v>
      </c>
      <c r="I100" s="117">
        <f>+'CONAP (ALL FUNDS)'!H58</f>
        <v>0</v>
      </c>
      <c r="J100" s="104">
        <f t="shared" si="69"/>
        <v>1230514.76</v>
      </c>
      <c r="K100" s="117">
        <v>0</v>
      </c>
      <c r="L100" s="103">
        <v>5727717.2700000005</v>
      </c>
      <c r="M100" s="117">
        <v>0</v>
      </c>
      <c r="N100" s="104">
        <f t="shared" si="70"/>
        <v>5727717.2700000005</v>
      </c>
      <c r="O100" s="113">
        <f t="shared" si="71"/>
        <v>0</v>
      </c>
      <c r="P100" s="113">
        <f t="shared" si="72"/>
        <v>6958232.0300000003</v>
      </c>
      <c r="Q100" s="113">
        <f t="shared" si="73"/>
        <v>0</v>
      </c>
      <c r="R100" s="104">
        <f t="shared" si="74"/>
        <v>6958232.0300000003</v>
      </c>
      <c r="S100" s="113">
        <f t="shared" si="75"/>
        <v>0</v>
      </c>
      <c r="T100" s="113">
        <f t="shared" si="76"/>
        <v>8123125.4300000006</v>
      </c>
      <c r="U100" s="113">
        <f t="shared" si="77"/>
        <v>0</v>
      </c>
      <c r="V100" s="104">
        <f t="shared" si="78"/>
        <v>8123125.4300000006</v>
      </c>
      <c r="W100" s="117">
        <f>+'CONAP (ALL FUNDS)'!J56</f>
        <v>0</v>
      </c>
      <c r="X100" s="117">
        <f>+'CONAP (ALL FUNDS)'!K56</f>
        <v>1164893.4000000001</v>
      </c>
      <c r="Y100" s="117">
        <f>+'CONAP (ALL FUNDS)'!L56</f>
        <v>0</v>
      </c>
      <c r="Z100" s="104">
        <f t="shared" si="64"/>
        <v>1164893.4000000001</v>
      </c>
      <c r="AA100" s="117">
        <f>+'CONAP (ALL FUNDS)'!J57</f>
        <v>0</v>
      </c>
      <c r="AB100" s="117">
        <f>+'CONAP (ALL FUNDS)'!K57</f>
        <v>6919197.7299999995</v>
      </c>
      <c r="AC100" s="117">
        <f>+'CONAP (ALL FUNDS)'!L57</f>
        <v>0</v>
      </c>
      <c r="AD100" s="104">
        <f t="shared" si="65"/>
        <v>6919197.7299999995</v>
      </c>
      <c r="AE100" s="117">
        <f t="shared" si="80"/>
        <v>0</v>
      </c>
      <c r="AF100" s="117">
        <f t="shared" si="81"/>
        <v>8084091.1299999999</v>
      </c>
      <c r="AG100" s="117">
        <f t="shared" si="82"/>
        <v>0</v>
      </c>
      <c r="AH100" s="104">
        <f t="shared" si="66"/>
        <v>8084091.1299999999</v>
      </c>
      <c r="AI100" s="117">
        <f t="shared" si="57"/>
        <v>0</v>
      </c>
      <c r="AJ100" s="117">
        <f t="shared" si="58"/>
        <v>39034.300000000745</v>
      </c>
      <c r="AK100" s="117">
        <f t="shared" si="59"/>
        <v>0</v>
      </c>
      <c r="AL100" s="104">
        <f t="shared" si="60"/>
        <v>39034.300000000745</v>
      </c>
      <c r="AM100" s="1221" t="str">
        <f t="shared" si="88"/>
        <v xml:space="preserve"> </v>
      </c>
      <c r="AN100" s="1221">
        <f t="shared" si="89"/>
        <v>0.99519466979349591</v>
      </c>
      <c r="AO100" s="1221" t="str">
        <f t="shared" si="90"/>
        <v xml:space="preserve"> </v>
      </c>
      <c r="AP100" s="1221">
        <f t="shared" si="91"/>
        <v>0.99519466979349591</v>
      </c>
      <c r="AQ100" s="1223" t="str">
        <f t="shared" si="102"/>
        <v xml:space="preserve"> </v>
      </c>
      <c r="AW100" s="107"/>
      <c r="BH100" s="105">
        <f>+AL100-'CONAP (ALL FUNDS)'!Q60</f>
        <v>0</v>
      </c>
      <c r="BL100" s="1188">
        <f>+'CONAP (ALL FUNDS)'!F56</f>
        <v>0</v>
      </c>
      <c r="BM100" s="1188">
        <f>+'CONAP (ALL FUNDS)'!G56</f>
        <v>1164893.4000000004</v>
      </c>
      <c r="BN100" s="1188">
        <f>+'CONAP (ALL FUNDS)'!H56</f>
        <v>0</v>
      </c>
      <c r="BP100" s="216">
        <f t="shared" si="94"/>
        <v>0</v>
      </c>
      <c r="BQ100" s="216">
        <f t="shared" si="95"/>
        <v>0</v>
      </c>
      <c r="BR100" s="216">
        <f t="shared" si="96"/>
        <v>0</v>
      </c>
    </row>
    <row r="101" spans="1:70" ht="36">
      <c r="A101" s="587" t="s">
        <v>939</v>
      </c>
      <c r="B101" s="1237" t="s">
        <v>540</v>
      </c>
      <c r="C101" s="117">
        <v>0</v>
      </c>
      <c r="D101" s="117">
        <v>2445.609999999404</v>
      </c>
      <c r="E101" s="117">
        <v>0</v>
      </c>
      <c r="F101" s="104">
        <f t="shared" si="68"/>
        <v>2445.609999999404</v>
      </c>
      <c r="G101" s="117">
        <f>+'CONAP (ALL FUNDS)'!F69</f>
        <v>0</v>
      </c>
      <c r="H101" s="117">
        <f>+'CONAP (ALL FUNDS)'!G69</f>
        <v>763335.96</v>
      </c>
      <c r="I101" s="117">
        <f>+'CONAP (ALL FUNDS)'!H69</f>
        <v>0</v>
      </c>
      <c r="J101" s="104">
        <f t="shared" si="69"/>
        <v>763335.96</v>
      </c>
      <c r="K101" s="117">
        <v>0</v>
      </c>
      <c r="L101" s="117">
        <v>1252448.48</v>
      </c>
      <c r="M101" s="117">
        <v>0</v>
      </c>
      <c r="N101" s="104">
        <f t="shared" si="70"/>
        <v>1252448.48</v>
      </c>
      <c r="O101" s="113">
        <f t="shared" si="71"/>
        <v>0</v>
      </c>
      <c r="P101" s="113">
        <f t="shared" si="72"/>
        <v>2015784.44</v>
      </c>
      <c r="Q101" s="113">
        <f t="shared" si="73"/>
        <v>0</v>
      </c>
      <c r="R101" s="104">
        <f t="shared" si="74"/>
        <v>2015784.44</v>
      </c>
      <c r="S101" s="113">
        <f t="shared" si="75"/>
        <v>0</v>
      </c>
      <c r="T101" s="113">
        <f t="shared" si="76"/>
        <v>2018230.0499999993</v>
      </c>
      <c r="U101" s="113">
        <f t="shared" si="77"/>
        <v>0</v>
      </c>
      <c r="V101" s="104">
        <f t="shared" si="78"/>
        <v>2018230.0499999993</v>
      </c>
      <c r="W101" s="117">
        <f>+'CONAP (ALL FUNDS)'!J67</f>
        <v>0</v>
      </c>
      <c r="X101" s="117">
        <f>+'CONAP (ALL FUNDS)'!K67</f>
        <v>0</v>
      </c>
      <c r="Y101" s="117">
        <f>+'CONAP (ALL FUNDS)'!L67</f>
        <v>0</v>
      </c>
      <c r="Z101" s="104">
        <f t="shared" si="64"/>
        <v>0</v>
      </c>
      <c r="AA101" s="117">
        <f>+'CONAP (ALL FUNDS)'!J68</f>
        <v>0</v>
      </c>
      <c r="AB101" s="117">
        <f>+'CONAP (ALL FUNDS)'!K68</f>
        <v>1424506.2199999997</v>
      </c>
      <c r="AC101" s="117">
        <f>+'CONAP (ALL FUNDS)'!L68</f>
        <v>0</v>
      </c>
      <c r="AD101" s="104">
        <f t="shared" si="65"/>
        <v>1424506.2199999997</v>
      </c>
      <c r="AE101" s="117">
        <f t="shared" si="80"/>
        <v>0</v>
      </c>
      <c r="AF101" s="117">
        <f t="shared" si="81"/>
        <v>1424506.2199999997</v>
      </c>
      <c r="AG101" s="117">
        <f t="shared" si="82"/>
        <v>0</v>
      </c>
      <c r="AH101" s="104">
        <f t="shared" si="66"/>
        <v>1424506.2199999997</v>
      </c>
      <c r="AI101" s="117">
        <f t="shared" si="57"/>
        <v>0</v>
      </c>
      <c r="AJ101" s="117">
        <f t="shared" si="58"/>
        <v>593723.82999999961</v>
      </c>
      <c r="AK101" s="117">
        <f t="shared" si="59"/>
        <v>0</v>
      </c>
      <c r="AL101" s="104">
        <f t="shared" si="60"/>
        <v>593723.82999999961</v>
      </c>
      <c r="AM101" s="1221" t="str">
        <f t="shared" si="88"/>
        <v xml:space="preserve"> </v>
      </c>
      <c r="AN101" s="1221">
        <f t="shared" si="89"/>
        <v>0.70581954718194795</v>
      </c>
      <c r="AO101" s="1221" t="str">
        <f t="shared" si="90"/>
        <v xml:space="preserve"> </v>
      </c>
      <c r="AP101" s="1221">
        <f t="shared" si="91"/>
        <v>0.70581954718194795</v>
      </c>
      <c r="AQ101" s="1223" t="str">
        <f t="shared" si="102"/>
        <v xml:space="preserve"> </v>
      </c>
      <c r="AW101" s="107"/>
      <c r="BH101" s="105">
        <f>+AL101-'CONAP (ALL FUNDS)'!Q71</f>
        <v>0</v>
      </c>
      <c r="BL101" s="1188">
        <f>+'CONAP (ALL FUNDS)'!F67</f>
        <v>0</v>
      </c>
      <c r="BM101" s="1188">
        <f>+'CONAP (ALL FUNDS)'!G67</f>
        <v>2445.61</v>
      </c>
      <c r="BN101" s="1188">
        <f>+'CONAP (ALL FUNDS)'!H67</f>
        <v>0</v>
      </c>
      <c r="BP101" s="216">
        <f t="shared" si="94"/>
        <v>0</v>
      </c>
      <c r="BQ101" s="216">
        <f t="shared" si="95"/>
        <v>-5.9617377701215446E-10</v>
      </c>
      <c r="BR101" s="216">
        <f t="shared" si="96"/>
        <v>0</v>
      </c>
    </row>
    <row r="102" spans="1:70" ht="48">
      <c r="A102" s="587" t="s">
        <v>939</v>
      </c>
      <c r="B102" s="1236" t="s">
        <v>541</v>
      </c>
      <c r="C102" s="117"/>
      <c r="D102" s="117"/>
      <c r="E102" s="117"/>
      <c r="F102" s="104">
        <f t="shared" si="68"/>
        <v>0</v>
      </c>
      <c r="G102" s="117">
        <f>+'CONAP (ALL FUNDS)'!F80</f>
        <v>0</v>
      </c>
      <c r="H102" s="117">
        <f>+'CONAP (ALL FUNDS)'!G80</f>
        <v>0</v>
      </c>
      <c r="I102" s="117">
        <f>+'CONAP (ALL FUNDS)'!H80</f>
        <v>0</v>
      </c>
      <c r="J102" s="104">
        <f t="shared" si="69"/>
        <v>0</v>
      </c>
      <c r="K102" s="117"/>
      <c r="L102" s="117"/>
      <c r="M102" s="117"/>
      <c r="N102" s="104">
        <f t="shared" si="70"/>
        <v>0</v>
      </c>
      <c r="O102" s="113">
        <f t="shared" si="71"/>
        <v>0</v>
      </c>
      <c r="P102" s="113">
        <f t="shared" si="72"/>
        <v>0</v>
      </c>
      <c r="Q102" s="113">
        <f t="shared" si="73"/>
        <v>0</v>
      </c>
      <c r="R102" s="104">
        <f t="shared" si="74"/>
        <v>0</v>
      </c>
      <c r="S102" s="113">
        <f t="shared" si="75"/>
        <v>0</v>
      </c>
      <c r="T102" s="113">
        <f t="shared" si="76"/>
        <v>0</v>
      </c>
      <c r="U102" s="113">
        <f t="shared" si="77"/>
        <v>0</v>
      </c>
      <c r="V102" s="104">
        <f t="shared" si="78"/>
        <v>0</v>
      </c>
      <c r="W102" s="117">
        <f>+'CONAP (ALL FUNDS)'!J78</f>
        <v>0</v>
      </c>
      <c r="X102" s="117">
        <f>+'CONAP (ALL FUNDS)'!K78</f>
        <v>0</v>
      </c>
      <c r="Y102" s="117">
        <f>+'CONAP (ALL FUNDS)'!L78</f>
        <v>0</v>
      </c>
      <c r="Z102" s="104">
        <f t="shared" si="64"/>
        <v>0</v>
      </c>
      <c r="AA102" s="117">
        <f>+'CONAP (ALL FUNDS)'!J79</f>
        <v>0</v>
      </c>
      <c r="AB102" s="117">
        <f>+'CONAP (ALL FUNDS)'!K79</f>
        <v>0</v>
      </c>
      <c r="AC102" s="117">
        <f>+'CONAP (ALL FUNDS)'!L79</f>
        <v>0</v>
      </c>
      <c r="AD102" s="104">
        <f t="shared" si="65"/>
        <v>0</v>
      </c>
      <c r="AE102" s="117">
        <f t="shared" si="80"/>
        <v>0</v>
      </c>
      <c r="AF102" s="117">
        <f t="shared" si="81"/>
        <v>0</v>
      </c>
      <c r="AG102" s="117">
        <f t="shared" si="82"/>
        <v>0</v>
      </c>
      <c r="AH102" s="104">
        <f t="shared" si="66"/>
        <v>0</v>
      </c>
      <c r="AI102" s="117">
        <f t="shared" si="57"/>
        <v>0</v>
      </c>
      <c r="AJ102" s="117">
        <f t="shared" si="58"/>
        <v>0</v>
      </c>
      <c r="AK102" s="117">
        <f t="shared" si="59"/>
        <v>0</v>
      </c>
      <c r="AL102" s="104">
        <f t="shared" si="60"/>
        <v>0</v>
      </c>
      <c r="AM102" s="1221" t="str">
        <f t="shared" si="88"/>
        <v xml:space="preserve"> </v>
      </c>
      <c r="AN102" s="1221" t="str">
        <f t="shared" si="89"/>
        <v xml:space="preserve"> </v>
      </c>
      <c r="AO102" s="1221" t="str">
        <f t="shared" si="90"/>
        <v xml:space="preserve"> </v>
      </c>
      <c r="AP102" s="1221" t="str">
        <f t="shared" si="91"/>
        <v xml:space="preserve"> </v>
      </c>
      <c r="AQ102" s="1223" t="str">
        <f t="shared" si="102"/>
        <v xml:space="preserve"> </v>
      </c>
      <c r="AW102" s="107"/>
      <c r="BH102" s="105">
        <f>+AL102-'CONAP (ALL FUNDS)'!Q82</f>
        <v>0</v>
      </c>
      <c r="BL102" s="1188">
        <f>+'CONAP (ALL FUNDS)'!F78</f>
        <v>0</v>
      </c>
      <c r="BM102" s="1188">
        <f>+'CONAP (ALL FUNDS)'!G78</f>
        <v>0</v>
      </c>
      <c r="BN102" s="1188">
        <f>+'CONAP (ALL FUNDS)'!H78</f>
        <v>0</v>
      </c>
      <c r="BP102" s="216">
        <f t="shared" si="94"/>
        <v>0</v>
      </c>
      <c r="BQ102" s="216">
        <f t="shared" si="95"/>
        <v>0</v>
      </c>
      <c r="BR102" s="216">
        <f t="shared" si="96"/>
        <v>0</v>
      </c>
    </row>
    <row r="103" spans="1:70" ht="12.75">
      <c r="B103" s="1238"/>
      <c r="C103" s="117"/>
      <c r="D103" s="117"/>
      <c r="E103" s="117"/>
      <c r="F103" s="104">
        <f t="shared" si="68"/>
        <v>0</v>
      </c>
      <c r="G103" s="117"/>
      <c r="H103" s="117"/>
      <c r="I103" s="117"/>
      <c r="J103" s="104">
        <f t="shared" si="69"/>
        <v>0</v>
      </c>
      <c r="K103" s="117"/>
      <c r="L103" s="117"/>
      <c r="M103" s="117"/>
      <c r="N103" s="104"/>
      <c r="O103" s="113">
        <f t="shared" si="71"/>
        <v>0</v>
      </c>
      <c r="P103" s="113">
        <f t="shared" si="72"/>
        <v>0</v>
      </c>
      <c r="Q103" s="113">
        <f t="shared" si="73"/>
        <v>0</v>
      </c>
      <c r="R103" s="104">
        <f t="shared" si="74"/>
        <v>0</v>
      </c>
      <c r="S103" s="113">
        <f t="shared" si="75"/>
        <v>0</v>
      </c>
      <c r="T103" s="113">
        <f t="shared" si="76"/>
        <v>0</v>
      </c>
      <c r="U103" s="113">
        <f t="shared" si="77"/>
        <v>0</v>
      </c>
      <c r="V103" s="104">
        <f t="shared" si="78"/>
        <v>0</v>
      </c>
      <c r="W103" s="117"/>
      <c r="X103" s="117"/>
      <c r="Y103" s="117"/>
      <c r="Z103" s="104">
        <f t="shared" si="64"/>
        <v>0</v>
      </c>
      <c r="AA103" s="117"/>
      <c r="AB103" s="117"/>
      <c r="AC103" s="117"/>
      <c r="AD103" s="104">
        <f t="shared" si="65"/>
        <v>0</v>
      </c>
      <c r="AE103" s="117">
        <f t="shared" si="80"/>
        <v>0</v>
      </c>
      <c r="AF103" s="117">
        <f t="shared" si="81"/>
        <v>0</v>
      </c>
      <c r="AG103" s="117">
        <f t="shared" si="82"/>
        <v>0</v>
      </c>
      <c r="AH103" s="104">
        <f t="shared" si="66"/>
        <v>0</v>
      </c>
      <c r="AI103" s="117">
        <f t="shared" si="57"/>
        <v>0</v>
      </c>
      <c r="AJ103" s="117">
        <f t="shared" si="58"/>
        <v>0</v>
      </c>
      <c r="AK103" s="117">
        <f t="shared" si="59"/>
        <v>0</v>
      </c>
      <c r="AL103" s="104">
        <f t="shared" si="60"/>
        <v>0</v>
      </c>
      <c r="AM103" s="1221" t="str">
        <f t="shared" si="88"/>
        <v xml:space="preserve"> </v>
      </c>
      <c r="AN103" s="1221" t="str">
        <f t="shared" si="89"/>
        <v xml:space="preserve"> </v>
      </c>
      <c r="AO103" s="1221" t="str">
        <f t="shared" si="90"/>
        <v xml:space="preserve"> </v>
      </c>
      <c r="AP103" s="1221" t="str">
        <f t="shared" si="91"/>
        <v xml:space="preserve"> </v>
      </c>
      <c r="AQ103" s="1223" t="str">
        <f t="shared" si="102"/>
        <v xml:space="preserve"> </v>
      </c>
      <c r="AW103" s="107"/>
      <c r="BL103" s="1188"/>
      <c r="BM103" s="1188"/>
      <c r="BN103" s="1188"/>
      <c r="BP103" s="216">
        <f t="shared" si="94"/>
        <v>0</v>
      </c>
      <c r="BQ103" s="216">
        <f t="shared" si="95"/>
        <v>0</v>
      </c>
      <c r="BR103" s="216">
        <f t="shared" si="96"/>
        <v>0</v>
      </c>
    </row>
    <row r="104" spans="1:70" ht="12.75">
      <c r="A104" s="587" t="s">
        <v>936</v>
      </c>
      <c r="B104" s="1235" t="s">
        <v>26</v>
      </c>
      <c r="C104" s="117">
        <f t="shared" ref="C104:N104" si="103">SUM(C105:C107)</f>
        <v>0</v>
      </c>
      <c r="D104" s="117">
        <f t="shared" si="103"/>
        <v>2780.4600000017881</v>
      </c>
      <c r="E104" s="117">
        <f t="shared" si="103"/>
        <v>0</v>
      </c>
      <c r="F104" s="117">
        <f t="shared" si="103"/>
        <v>2780.4600000017881</v>
      </c>
      <c r="G104" s="117">
        <f t="shared" si="103"/>
        <v>0</v>
      </c>
      <c r="H104" s="117">
        <f t="shared" si="103"/>
        <v>-3764191.4699999997</v>
      </c>
      <c r="I104" s="117">
        <f t="shared" si="103"/>
        <v>0</v>
      </c>
      <c r="J104" s="117">
        <f t="shared" si="103"/>
        <v>-3764191.4699999997</v>
      </c>
      <c r="K104" s="117">
        <f t="shared" si="103"/>
        <v>0</v>
      </c>
      <c r="L104" s="117">
        <f t="shared" si="103"/>
        <v>4482594.8100000005</v>
      </c>
      <c r="M104" s="117">
        <f t="shared" si="103"/>
        <v>0</v>
      </c>
      <c r="N104" s="117">
        <f t="shared" si="103"/>
        <v>4482594.8100000005</v>
      </c>
      <c r="O104" s="113">
        <f t="shared" si="71"/>
        <v>0</v>
      </c>
      <c r="P104" s="113">
        <f t="shared" si="72"/>
        <v>718403.34000000078</v>
      </c>
      <c r="Q104" s="113">
        <f t="shared" si="73"/>
        <v>0</v>
      </c>
      <c r="R104" s="104">
        <f t="shared" si="74"/>
        <v>718403.34000000078</v>
      </c>
      <c r="S104" s="113">
        <f t="shared" si="75"/>
        <v>0</v>
      </c>
      <c r="T104" s="113">
        <f t="shared" si="76"/>
        <v>721183.80000000261</v>
      </c>
      <c r="U104" s="113">
        <f t="shared" si="77"/>
        <v>0</v>
      </c>
      <c r="V104" s="104">
        <f t="shared" si="78"/>
        <v>721183.80000000261</v>
      </c>
      <c r="W104" s="117">
        <f>SUM(W105:W107)</f>
        <v>0</v>
      </c>
      <c r="X104" s="117">
        <f>SUM(X105:X107)</f>
        <v>0</v>
      </c>
      <c r="Y104" s="117">
        <f>SUM(Y105:Y107)</f>
        <v>0</v>
      </c>
      <c r="Z104" s="104">
        <f t="shared" si="64"/>
        <v>0</v>
      </c>
      <c r="AA104" s="117">
        <f>SUM(AA105:AA107)</f>
        <v>0</v>
      </c>
      <c r="AB104" s="117">
        <f>SUM(AB105:AB107)</f>
        <v>716713.87</v>
      </c>
      <c r="AC104" s="117">
        <f>SUM(AC105:AC107)</f>
        <v>0</v>
      </c>
      <c r="AD104" s="104">
        <f t="shared" si="65"/>
        <v>716713.87</v>
      </c>
      <c r="AE104" s="117">
        <f t="shared" si="80"/>
        <v>0</v>
      </c>
      <c r="AF104" s="117">
        <f t="shared" si="81"/>
        <v>716713.87</v>
      </c>
      <c r="AG104" s="117">
        <f t="shared" si="82"/>
        <v>0</v>
      </c>
      <c r="AH104" s="104">
        <f t="shared" si="66"/>
        <v>716713.87</v>
      </c>
      <c r="AI104" s="117">
        <f t="shared" si="57"/>
        <v>0</v>
      </c>
      <c r="AJ104" s="117">
        <f t="shared" si="58"/>
        <v>4469.9300000026124</v>
      </c>
      <c r="AK104" s="117">
        <f t="shared" si="59"/>
        <v>0</v>
      </c>
      <c r="AL104" s="104">
        <f t="shared" si="60"/>
        <v>4469.9300000026124</v>
      </c>
      <c r="AM104" s="1221" t="str">
        <f t="shared" si="88"/>
        <v xml:space="preserve"> </v>
      </c>
      <c r="AN104" s="1221">
        <f t="shared" si="89"/>
        <v>0.99380195450868059</v>
      </c>
      <c r="AO104" s="1221" t="str">
        <f t="shared" si="90"/>
        <v xml:space="preserve"> </v>
      </c>
      <c r="AP104" s="1221">
        <f t="shared" si="91"/>
        <v>0.99380195450868059</v>
      </c>
      <c r="AQ104" s="1223" t="str">
        <f t="shared" si="102"/>
        <v xml:space="preserve"> </v>
      </c>
      <c r="AW104" s="107"/>
      <c r="BL104" s="1188">
        <f>SUM(BL105:BL107)</f>
        <v>0</v>
      </c>
      <c r="BM104" s="1188">
        <f t="shared" ref="BM104:BN104" si="104">SUM(BM105:BM107)</f>
        <v>2780.4600000017881</v>
      </c>
      <c r="BN104" s="1188">
        <f t="shared" si="104"/>
        <v>0</v>
      </c>
      <c r="BP104" s="216">
        <f t="shared" si="94"/>
        <v>0</v>
      </c>
      <c r="BQ104" s="216">
        <f t="shared" si="95"/>
        <v>0</v>
      </c>
      <c r="BR104" s="216">
        <f t="shared" si="96"/>
        <v>0</v>
      </c>
    </row>
    <row r="105" spans="1:70" ht="48">
      <c r="A105" s="587" t="s">
        <v>936</v>
      </c>
      <c r="B105" s="1236" t="s">
        <v>542</v>
      </c>
      <c r="C105" s="117"/>
      <c r="D105" s="117"/>
      <c r="E105" s="117"/>
      <c r="F105" s="104">
        <f t="shared" si="68"/>
        <v>0</v>
      </c>
      <c r="G105" s="117">
        <f>+'CONAP (ALL FUNDS)'!F200</f>
        <v>0</v>
      </c>
      <c r="H105" s="104">
        <f>+'CONAP (ALL FUNDS)'!G200</f>
        <v>0</v>
      </c>
      <c r="I105" s="117">
        <f>+'CONAP (ALL FUNDS)'!H200</f>
        <v>0</v>
      </c>
      <c r="J105" s="104">
        <f t="shared" si="69"/>
        <v>0</v>
      </c>
      <c r="K105" s="117"/>
      <c r="L105" s="104"/>
      <c r="M105" s="117"/>
      <c r="N105" s="104">
        <f t="shared" si="70"/>
        <v>0</v>
      </c>
      <c r="O105" s="113">
        <f t="shared" si="71"/>
        <v>0</v>
      </c>
      <c r="P105" s="113">
        <f t="shared" si="72"/>
        <v>0</v>
      </c>
      <c r="Q105" s="113">
        <f t="shared" si="73"/>
        <v>0</v>
      </c>
      <c r="R105" s="104">
        <f t="shared" si="74"/>
        <v>0</v>
      </c>
      <c r="S105" s="113">
        <f t="shared" si="75"/>
        <v>0</v>
      </c>
      <c r="T105" s="113">
        <f t="shared" si="76"/>
        <v>0</v>
      </c>
      <c r="U105" s="113">
        <f t="shared" si="77"/>
        <v>0</v>
      </c>
      <c r="V105" s="104">
        <f t="shared" si="78"/>
        <v>0</v>
      </c>
      <c r="W105" s="117">
        <f>+'CONAP (ALL FUNDS)'!J198</f>
        <v>0</v>
      </c>
      <c r="X105" s="117">
        <f>+'CONAP (ALL FUNDS)'!K198</f>
        <v>0</v>
      </c>
      <c r="Y105" s="117">
        <f>+'CONAP (ALL FUNDS)'!L198</f>
        <v>0</v>
      </c>
      <c r="Z105" s="104">
        <f t="shared" si="64"/>
        <v>0</v>
      </c>
      <c r="AA105" s="117">
        <f>+'CONAP (ALL FUNDS)'!J199</f>
        <v>0</v>
      </c>
      <c r="AB105" s="117">
        <f>+'CONAP (ALL FUNDS)'!K199</f>
        <v>0</v>
      </c>
      <c r="AC105" s="117">
        <f>+'CONAP (ALL FUNDS)'!L199</f>
        <v>0</v>
      </c>
      <c r="AD105" s="104">
        <f t="shared" si="65"/>
        <v>0</v>
      </c>
      <c r="AE105" s="117">
        <f t="shared" si="80"/>
        <v>0</v>
      </c>
      <c r="AF105" s="117">
        <f t="shared" si="81"/>
        <v>0</v>
      </c>
      <c r="AG105" s="117">
        <f t="shared" si="82"/>
        <v>0</v>
      </c>
      <c r="AH105" s="104">
        <f t="shared" si="66"/>
        <v>0</v>
      </c>
      <c r="AI105" s="117">
        <f t="shared" si="57"/>
        <v>0</v>
      </c>
      <c r="AJ105" s="117">
        <f t="shared" si="58"/>
        <v>0</v>
      </c>
      <c r="AK105" s="117">
        <f t="shared" si="59"/>
        <v>0</v>
      </c>
      <c r="AL105" s="104">
        <f t="shared" si="60"/>
        <v>0</v>
      </c>
      <c r="AM105" s="1221" t="str">
        <f t="shared" si="88"/>
        <v xml:space="preserve"> </v>
      </c>
      <c r="AN105" s="1221" t="str">
        <f t="shared" si="89"/>
        <v xml:space="preserve"> </v>
      </c>
      <c r="AO105" s="1221" t="str">
        <f t="shared" si="90"/>
        <v xml:space="preserve"> </v>
      </c>
      <c r="AP105" s="1221" t="str">
        <f t="shared" si="91"/>
        <v xml:space="preserve"> </v>
      </c>
      <c r="AQ105" s="1223" t="str">
        <f t="shared" si="102"/>
        <v xml:space="preserve"> </v>
      </c>
      <c r="AW105" s="107"/>
      <c r="BH105" s="105">
        <f>+AL105-'CONAP (ALL FUNDS)'!Q202</f>
        <v>0</v>
      </c>
      <c r="BL105" s="1188">
        <f>+'CONAP (ALL FUNDS)'!F198</f>
        <v>0</v>
      </c>
      <c r="BM105" s="1188">
        <f>+'CONAP (ALL FUNDS)'!G198</f>
        <v>0</v>
      </c>
      <c r="BN105" s="1188">
        <f>+'CONAP (ALL FUNDS)'!H198</f>
        <v>0</v>
      </c>
      <c r="BP105" s="216">
        <f t="shared" si="94"/>
        <v>0</v>
      </c>
      <c r="BQ105" s="216">
        <f t="shared" si="95"/>
        <v>0</v>
      </c>
      <c r="BR105" s="216">
        <f t="shared" si="96"/>
        <v>0</v>
      </c>
    </row>
    <row r="106" spans="1:70" ht="36">
      <c r="A106" s="587" t="s">
        <v>936</v>
      </c>
      <c r="B106" s="1236" t="s">
        <v>543</v>
      </c>
      <c r="C106" s="117">
        <v>0</v>
      </c>
      <c r="D106" s="117">
        <f>619.79+1680</f>
        <v>2299.79</v>
      </c>
      <c r="E106" s="117">
        <v>0</v>
      </c>
      <c r="F106" s="104">
        <f t="shared" si="68"/>
        <v>2299.79</v>
      </c>
      <c r="G106" s="117">
        <f>+'CONAP (ALL FUNDS)'!F189</f>
        <v>0</v>
      </c>
      <c r="H106" s="117">
        <f>+'CONAP (ALL FUNDS)'!G189</f>
        <v>-2723934.42</v>
      </c>
      <c r="I106" s="117">
        <f>+'CONAP (ALL FUNDS)'!H189</f>
        <v>0</v>
      </c>
      <c r="J106" s="104">
        <f t="shared" si="69"/>
        <v>-2723934.42</v>
      </c>
      <c r="K106" s="117">
        <v>0</v>
      </c>
      <c r="L106" s="117">
        <v>2863482.4299999997</v>
      </c>
      <c r="M106" s="117">
        <v>0</v>
      </c>
      <c r="N106" s="104">
        <f t="shared" si="70"/>
        <v>2863482.4299999997</v>
      </c>
      <c r="O106" s="113">
        <f t="shared" si="71"/>
        <v>0</v>
      </c>
      <c r="P106" s="113">
        <f t="shared" si="72"/>
        <v>139548.00999999978</v>
      </c>
      <c r="Q106" s="113">
        <f t="shared" si="73"/>
        <v>0</v>
      </c>
      <c r="R106" s="104">
        <f t="shared" si="74"/>
        <v>139548.00999999978</v>
      </c>
      <c r="S106" s="113">
        <f t="shared" si="75"/>
        <v>0</v>
      </c>
      <c r="T106" s="113">
        <f t="shared" si="76"/>
        <v>141847.79999999978</v>
      </c>
      <c r="U106" s="113">
        <f t="shared" si="77"/>
        <v>0</v>
      </c>
      <c r="V106" s="104">
        <f t="shared" si="78"/>
        <v>141847.79999999978</v>
      </c>
      <c r="W106" s="117">
        <f>+'CONAP (ALL FUNDS)'!J187</f>
        <v>0</v>
      </c>
      <c r="X106" s="117">
        <f>+'CONAP (ALL FUNDS)'!K187</f>
        <v>0</v>
      </c>
      <c r="Y106" s="117">
        <f>+'CONAP (ALL FUNDS)'!L187</f>
        <v>0</v>
      </c>
      <c r="Z106" s="104">
        <f t="shared" si="64"/>
        <v>0</v>
      </c>
      <c r="AA106" s="117">
        <f>+'CONAP (ALL FUNDS)'!J188</f>
        <v>0</v>
      </c>
      <c r="AB106" s="117">
        <f>+'CONAP (ALL FUNDS)'!K188</f>
        <v>139548.01</v>
      </c>
      <c r="AC106" s="117">
        <f>+'CONAP (ALL FUNDS)'!L188</f>
        <v>0</v>
      </c>
      <c r="AD106" s="104">
        <f t="shared" si="65"/>
        <v>139548.01</v>
      </c>
      <c r="AE106" s="117">
        <f t="shared" si="80"/>
        <v>0</v>
      </c>
      <c r="AF106" s="117">
        <f t="shared" si="81"/>
        <v>139548.01</v>
      </c>
      <c r="AG106" s="117">
        <f t="shared" si="82"/>
        <v>0</v>
      </c>
      <c r="AH106" s="104">
        <f t="shared" si="66"/>
        <v>139548.01</v>
      </c>
      <c r="AI106" s="117">
        <f t="shared" si="57"/>
        <v>0</v>
      </c>
      <c r="AJ106" s="117">
        <f t="shared" si="58"/>
        <v>2299.7899999997753</v>
      </c>
      <c r="AK106" s="117">
        <f t="shared" si="59"/>
        <v>0</v>
      </c>
      <c r="AL106" s="104">
        <f t="shared" si="60"/>
        <v>2299.7899999997753</v>
      </c>
      <c r="AM106" s="1221" t="str">
        <f t="shared" si="88"/>
        <v xml:space="preserve"> </v>
      </c>
      <c r="AN106" s="1221">
        <f t="shared" si="89"/>
        <v>0.98378691809108232</v>
      </c>
      <c r="AO106" s="1221" t="str">
        <f t="shared" si="90"/>
        <v xml:space="preserve"> </v>
      </c>
      <c r="AP106" s="1221">
        <f t="shared" si="91"/>
        <v>0.98378691809108232</v>
      </c>
      <c r="AQ106" s="1223" t="str">
        <f t="shared" si="102"/>
        <v xml:space="preserve"> </v>
      </c>
      <c r="AW106" s="107"/>
      <c r="BH106" s="105">
        <f>+AL106-'CONAP (ALL FUNDS)'!Q191</f>
        <v>8.1854523159563541E-12</v>
      </c>
      <c r="BL106" s="1188">
        <f>+'CONAP (ALL FUNDS)'!F187</f>
        <v>0</v>
      </c>
      <c r="BM106" s="1188">
        <f>+'CONAP (ALL FUNDS)'!G187</f>
        <v>2299.79</v>
      </c>
      <c r="BN106" s="1188">
        <f>+'CONAP (ALL FUNDS)'!H187</f>
        <v>0</v>
      </c>
      <c r="BP106" s="216">
        <f t="shared" si="94"/>
        <v>0</v>
      </c>
      <c r="BQ106" s="216">
        <f t="shared" si="95"/>
        <v>0</v>
      </c>
      <c r="BR106" s="216">
        <f t="shared" si="96"/>
        <v>0</v>
      </c>
    </row>
    <row r="107" spans="1:70" ht="36">
      <c r="A107" s="587" t="s">
        <v>936</v>
      </c>
      <c r="B107" s="1236" t="s">
        <v>544</v>
      </c>
      <c r="C107" s="117">
        <v>0</v>
      </c>
      <c r="D107" s="117">
        <v>480.67000000178814</v>
      </c>
      <c r="E107" s="117">
        <v>0</v>
      </c>
      <c r="F107" s="104">
        <f>SUM(C107:E107)</f>
        <v>480.67000000178814</v>
      </c>
      <c r="G107" s="117">
        <f>+'CONAP (ALL FUNDS)'!F211</f>
        <v>0</v>
      </c>
      <c r="H107" s="117">
        <f>+'CONAP (ALL FUNDS)'!G211</f>
        <v>-1040257.05</v>
      </c>
      <c r="I107" s="117">
        <f>+'CONAP (ALL FUNDS)'!H211</f>
        <v>0</v>
      </c>
      <c r="J107" s="104">
        <f>SUM(G107:I107)</f>
        <v>-1040257.05</v>
      </c>
      <c r="K107" s="117">
        <v>0</v>
      </c>
      <c r="L107" s="117">
        <v>1619112.3800000008</v>
      </c>
      <c r="M107" s="117">
        <v>0</v>
      </c>
      <c r="N107" s="104">
        <f>SUM(K107:M107)</f>
        <v>1619112.3800000008</v>
      </c>
      <c r="O107" s="113">
        <f>+G107+K107</f>
        <v>0</v>
      </c>
      <c r="P107" s="113">
        <f>+H107+L107</f>
        <v>578855.33000000077</v>
      </c>
      <c r="Q107" s="113">
        <f>+I107+M107</f>
        <v>0</v>
      </c>
      <c r="R107" s="104">
        <f>SUM(O107:Q107)</f>
        <v>578855.33000000077</v>
      </c>
      <c r="S107" s="113">
        <f>+O107+C107</f>
        <v>0</v>
      </c>
      <c r="T107" s="113">
        <f>+P107+D107</f>
        <v>579336.00000000256</v>
      </c>
      <c r="U107" s="113">
        <f>+Q107+E107</f>
        <v>0</v>
      </c>
      <c r="V107" s="104">
        <f>SUM(S107:U107)</f>
        <v>579336.00000000256</v>
      </c>
      <c r="W107" s="117">
        <f>+'CONAP (ALL FUNDS)'!J209</f>
        <v>0</v>
      </c>
      <c r="X107" s="117">
        <f>+'CONAP (ALL FUNDS)'!K209</f>
        <v>0</v>
      </c>
      <c r="Y107" s="117">
        <f>+'CONAP (ALL FUNDS)'!L209</f>
        <v>0</v>
      </c>
      <c r="Z107" s="104">
        <f>SUM(W107:Y107)</f>
        <v>0</v>
      </c>
      <c r="AA107" s="117">
        <f>+'CONAP (ALL FUNDS)'!J210</f>
        <v>0</v>
      </c>
      <c r="AB107" s="117">
        <f>+'CONAP (ALL FUNDS)'!K210</f>
        <v>577165.86</v>
      </c>
      <c r="AC107" s="117">
        <f>+'CONAP (ALL FUNDS)'!L210</f>
        <v>0</v>
      </c>
      <c r="AD107" s="104">
        <f>SUM(AA107:AC107)</f>
        <v>577165.86</v>
      </c>
      <c r="AE107" s="117">
        <f>+AA107+W107</f>
        <v>0</v>
      </c>
      <c r="AF107" s="117">
        <f>+AB107+X107</f>
        <v>577165.86</v>
      </c>
      <c r="AG107" s="117">
        <f>+AC107+Y107</f>
        <v>0</v>
      </c>
      <c r="AH107" s="104">
        <f>SUM(AE107:AG107)</f>
        <v>577165.86</v>
      </c>
      <c r="AI107" s="117">
        <f>+S107-AE107</f>
        <v>0</v>
      </c>
      <c r="AJ107" s="117">
        <f>+T107-AF107</f>
        <v>2170.1400000025751</v>
      </c>
      <c r="AK107" s="117">
        <f>+U107-AG107</f>
        <v>0</v>
      </c>
      <c r="AL107" s="104">
        <f>SUM(AI107:AK107)</f>
        <v>2170.1400000025751</v>
      </c>
      <c r="AM107" s="1221" t="str">
        <f>IF(S107=0," ",AE107/S107)</f>
        <v xml:space="preserve"> </v>
      </c>
      <c r="AN107" s="1221">
        <f>IF(T107=0," ",AF107/T107)</f>
        <v>0.99625409089025618</v>
      </c>
      <c r="AO107" s="1221" t="str">
        <f>IF(U107=0," ",AG107/U107)</f>
        <v xml:space="preserve"> </v>
      </c>
      <c r="AP107" s="1221">
        <f>IF(V107=0," ",AH107/V107)</f>
        <v>0.99625409089025618</v>
      </c>
      <c r="AQ107" s="1223" t="str">
        <f>IF(W107=0," ",AI107/W107)</f>
        <v xml:space="preserve"> </v>
      </c>
      <c r="AW107" s="107"/>
      <c r="BH107" s="105">
        <f>+AL107-'CONAP (ALL FUNDS)'!Q213</f>
        <v>0</v>
      </c>
      <c r="BL107" s="1188">
        <f>+'CONAP (ALL FUNDS)'!F209</f>
        <v>0</v>
      </c>
      <c r="BM107" s="1188">
        <f>+'CONAP (ALL FUNDS)'!G209</f>
        <v>480.67000000178814</v>
      </c>
      <c r="BN107" s="1188">
        <f>+'CONAP (ALL FUNDS)'!H209</f>
        <v>0</v>
      </c>
      <c r="BP107" s="216">
        <f t="shared" si="94"/>
        <v>0</v>
      </c>
      <c r="BQ107" s="216">
        <f t="shared" si="95"/>
        <v>0</v>
      </c>
      <c r="BR107" s="216">
        <f t="shared" si="96"/>
        <v>0</v>
      </c>
    </row>
    <row r="108" spans="1:70" ht="12.75">
      <c r="B108" s="1238"/>
      <c r="C108" s="117"/>
      <c r="D108" s="117"/>
      <c r="E108" s="117"/>
      <c r="F108" s="104">
        <f t="shared" si="68"/>
        <v>0</v>
      </c>
      <c r="G108" s="117"/>
      <c r="H108" s="117"/>
      <c r="I108" s="117"/>
      <c r="J108" s="104">
        <f t="shared" si="69"/>
        <v>0</v>
      </c>
      <c r="K108" s="117"/>
      <c r="L108" s="117"/>
      <c r="M108" s="117"/>
      <c r="N108" s="104"/>
      <c r="O108" s="113">
        <f t="shared" si="71"/>
        <v>0</v>
      </c>
      <c r="P108" s="113">
        <f t="shared" si="72"/>
        <v>0</v>
      </c>
      <c r="Q108" s="113">
        <f t="shared" si="73"/>
        <v>0</v>
      </c>
      <c r="R108" s="104">
        <f t="shared" si="74"/>
        <v>0</v>
      </c>
      <c r="S108" s="113">
        <f t="shared" si="75"/>
        <v>0</v>
      </c>
      <c r="T108" s="113">
        <f t="shared" si="76"/>
        <v>0</v>
      </c>
      <c r="U108" s="113">
        <f t="shared" si="77"/>
        <v>0</v>
      </c>
      <c r="V108" s="104">
        <f t="shared" si="78"/>
        <v>0</v>
      </c>
      <c r="W108" s="117"/>
      <c r="X108" s="117"/>
      <c r="Y108" s="117"/>
      <c r="Z108" s="104">
        <f t="shared" si="64"/>
        <v>0</v>
      </c>
      <c r="AA108" s="117"/>
      <c r="AB108" s="117"/>
      <c r="AC108" s="117"/>
      <c r="AD108" s="104">
        <f t="shared" si="65"/>
        <v>0</v>
      </c>
      <c r="AE108" s="117">
        <f t="shared" si="80"/>
        <v>0</v>
      </c>
      <c r="AF108" s="117">
        <f t="shared" si="81"/>
        <v>0</v>
      </c>
      <c r="AG108" s="117">
        <f t="shared" si="82"/>
        <v>0</v>
      </c>
      <c r="AH108" s="104">
        <f t="shared" si="66"/>
        <v>0</v>
      </c>
      <c r="AI108" s="117">
        <f t="shared" si="57"/>
        <v>0</v>
      </c>
      <c r="AJ108" s="117">
        <f t="shared" si="58"/>
        <v>0</v>
      </c>
      <c r="AK108" s="117">
        <f t="shared" si="59"/>
        <v>0</v>
      </c>
      <c r="AL108" s="104">
        <f t="shared" si="60"/>
        <v>0</v>
      </c>
      <c r="AM108" s="1221" t="str">
        <f t="shared" si="88"/>
        <v xml:space="preserve"> </v>
      </c>
      <c r="AN108" s="1221" t="str">
        <f t="shared" si="89"/>
        <v xml:space="preserve"> </v>
      </c>
      <c r="AO108" s="1221" t="str">
        <f t="shared" si="90"/>
        <v xml:space="preserve"> </v>
      </c>
      <c r="AP108" s="1221" t="str">
        <f t="shared" si="91"/>
        <v xml:space="preserve"> </v>
      </c>
      <c r="AQ108" s="1223" t="str">
        <f t="shared" si="102"/>
        <v xml:space="preserve"> </v>
      </c>
      <c r="AW108" s="107"/>
      <c r="BL108" s="1188"/>
      <c r="BM108" s="1188"/>
      <c r="BN108" s="1188"/>
      <c r="BP108" s="216">
        <f t="shared" si="94"/>
        <v>0</v>
      </c>
      <c r="BQ108" s="216">
        <f t="shared" si="95"/>
        <v>0</v>
      </c>
      <c r="BR108" s="216">
        <f t="shared" si="96"/>
        <v>0</v>
      </c>
    </row>
    <row r="109" spans="1:70" ht="12.75">
      <c r="A109" s="587" t="s">
        <v>936</v>
      </c>
      <c r="B109" s="1235" t="s">
        <v>27</v>
      </c>
      <c r="C109" s="117">
        <f t="shared" ref="C109:N109" si="105">SUM(C110:C113)</f>
        <v>0</v>
      </c>
      <c r="D109" s="117">
        <f t="shared" si="105"/>
        <v>2982.57</v>
      </c>
      <c r="E109" s="117">
        <f t="shared" si="105"/>
        <v>0</v>
      </c>
      <c r="F109" s="117">
        <f t="shared" si="105"/>
        <v>2982.57</v>
      </c>
      <c r="G109" s="117">
        <f t="shared" si="105"/>
        <v>0</v>
      </c>
      <c r="H109" s="117">
        <f t="shared" si="105"/>
        <v>-587518.53</v>
      </c>
      <c r="I109" s="117">
        <f t="shared" si="105"/>
        <v>0</v>
      </c>
      <c r="J109" s="117">
        <f t="shared" si="105"/>
        <v>-587518.53</v>
      </c>
      <c r="K109" s="117">
        <f t="shared" si="105"/>
        <v>0</v>
      </c>
      <c r="L109" s="117">
        <f t="shared" si="105"/>
        <v>587518.53</v>
      </c>
      <c r="M109" s="117">
        <f t="shared" si="105"/>
        <v>0</v>
      </c>
      <c r="N109" s="117">
        <f t="shared" si="105"/>
        <v>587518.53</v>
      </c>
      <c r="O109" s="113">
        <f t="shared" si="71"/>
        <v>0</v>
      </c>
      <c r="P109" s="113">
        <f t="shared" si="72"/>
        <v>0</v>
      </c>
      <c r="Q109" s="113">
        <f t="shared" si="73"/>
        <v>0</v>
      </c>
      <c r="R109" s="104">
        <f t="shared" si="74"/>
        <v>0</v>
      </c>
      <c r="S109" s="113">
        <f t="shared" si="75"/>
        <v>0</v>
      </c>
      <c r="T109" s="113">
        <f t="shared" si="76"/>
        <v>2982.57</v>
      </c>
      <c r="U109" s="113">
        <f t="shared" si="77"/>
        <v>0</v>
      </c>
      <c r="V109" s="104">
        <f t="shared" si="78"/>
        <v>2982.57</v>
      </c>
      <c r="W109" s="117">
        <f>SUM(W110:W113)</f>
        <v>0</v>
      </c>
      <c r="X109" s="117">
        <f>SUM(X110:X113)</f>
        <v>2982.57</v>
      </c>
      <c r="Y109" s="117">
        <f>SUM(Y110:Y113)</f>
        <v>0</v>
      </c>
      <c r="Z109" s="104">
        <f t="shared" si="64"/>
        <v>2982.57</v>
      </c>
      <c r="AA109" s="117">
        <f>SUM(AA110:AA113)</f>
        <v>0</v>
      </c>
      <c r="AB109" s="117">
        <f>SUM(AB110:AB113)</f>
        <v>0</v>
      </c>
      <c r="AC109" s="117">
        <f>SUM(AC110:AC113)</f>
        <v>0</v>
      </c>
      <c r="AD109" s="104">
        <f t="shared" si="65"/>
        <v>0</v>
      </c>
      <c r="AE109" s="117">
        <f t="shared" si="80"/>
        <v>0</v>
      </c>
      <c r="AF109" s="117">
        <f t="shared" si="81"/>
        <v>2982.57</v>
      </c>
      <c r="AG109" s="117">
        <f t="shared" si="82"/>
        <v>0</v>
      </c>
      <c r="AH109" s="104">
        <f t="shared" si="66"/>
        <v>2982.57</v>
      </c>
      <c r="AI109" s="117">
        <f t="shared" si="57"/>
        <v>0</v>
      </c>
      <c r="AJ109" s="117">
        <f t="shared" si="58"/>
        <v>0</v>
      </c>
      <c r="AK109" s="117">
        <f t="shared" si="59"/>
        <v>0</v>
      </c>
      <c r="AL109" s="104">
        <f t="shared" si="60"/>
        <v>0</v>
      </c>
      <c r="AM109" s="1221" t="str">
        <f t="shared" si="88"/>
        <v xml:space="preserve"> </v>
      </c>
      <c r="AN109" s="1221">
        <f t="shared" si="89"/>
        <v>1</v>
      </c>
      <c r="AO109" s="1221" t="str">
        <f t="shared" si="90"/>
        <v xml:space="preserve"> </v>
      </c>
      <c r="AP109" s="1221">
        <f t="shared" si="91"/>
        <v>1</v>
      </c>
      <c r="AQ109" s="1223" t="str">
        <f t="shared" si="102"/>
        <v xml:space="preserve"> </v>
      </c>
      <c r="AW109" s="107"/>
      <c r="BL109" s="1188">
        <f>SUM(BL110:BL113)</f>
        <v>0</v>
      </c>
      <c r="BM109" s="1188">
        <f t="shared" ref="BM109:BN109" si="106">SUM(BM110:BM113)</f>
        <v>2982.57</v>
      </c>
      <c r="BN109" s="1188">
        <f t="shared" si="106"/>
        <v>0</v>
      </c>
      <c r="BP109" s="216">
        <f t="shared" si="94"/>
        <v>0</v>
      </c>
      <c r="BQ109" s="216">
        <f t="shared" si="95"/>
        <v>0</v>
      </c>
      <c r="BR109" s="216">
        <f t="shared" si="96"/>
        <v>0</v>
      </c>
    </row>
    <row r="110" spans="1:70" ht="36">
      <c r="A110" s="587" t="s">
        <v>936</v>
      </c>
      <c r="B110" s="1236" t="s">
        <v>545</v>
      </c>
      <c r="C110" s="117"/>
      <c r="D110" s="117"/>
      <c r="E110" s="117"/>
      <c r="F110" s="104">
        <f t="shared" si="68"/>
        <v>0</v>
      </c>
      <c r="G110" s="117">
        <f>+'CONAP (ALL FUNDS)'!F118</f>
        <v>0</v>
      </c>
      <c r="H110" s="104">
        <f>+'CONAP (ALL FUNDS)'!G118</f>
        <v>0</v>
      </c>
      <c r="I110" s="117">
        <f>+'CONAP (ALL FUNDS)'!H118</f>
        <v>0</v>
      </c>
      <c r="J110" s="104">
        <f t="shared" si="69"/>
        <v>0</v>
      </c>
      <c r="K110" s="117"/>
      <c r="L110" s="104"/>
      <c r="M110" s="117"/>
      <c r="N110" s="104">
        <f t="shared" si="70"/>
        <v>0</v>
      </c>
      <c r="O110" s="113">
        <f t="shared" si="71"/>
        <v>0</v>
      </c>
      <c r="P110" s="113">
        <f t="shared" si="72"/>
        <v>0</v>
      </c>
      <c r="Q110" s="113">
        <f t="shared" si="73"/>
        <v>0</v>
      </c>
      <c r="R110" s="104">
        <f t="shared" si="74"/>
        <v>0</v>
      </c>
      <c r="S110" s="113">
        <f t="shared" si="75"/>
        <v>0</v>
      </c>
      <c r="T110" s="113">
        <f t="shared" si="76"/>
        <v>0</v>
      </c>
      <c r="U110" s="113">
        <f t="shared" si="77"/>
        <v>0</v>
      </c>
      <c r="V110" s="104">
        <f t="shared" si="78"/>
        <v>0</v>
      </c>
      <c r="W110" s="117">
        <f>+'CONAP (ALL FUNDS)'!J116</f>
        <v>0</v>
      </c>
      <c r="X110" s="117">
        <f>+'CONAP (ALL FUNDS)'!K116</f>
        <v>0</v>
      </c>
      <c r="Y110" s="117">
        <f>+'CONAP (ALL FUNDS)'!L116</f>
        <v>0</v>
      </c>
      <c r="Z110" s="104">
        <f t="shared" si="64"/>
        <v>0</v>
      </c>
      <c r="AA110" s="117">
        <f>+'CONAP (ALL FUNDS)'!J117</f>
        <v>0</v>
      </c>
      <c r="AB110" s="117">
        <f>+'CONAP (ALL FUNDS)'!K117</f>
        <v>0</v>
      </c>
      <c r="AC110" s="117">
        <f>+'CONAP (ALL FUNDS)'!L117</f>
        <v>0</v>
      </c>
      <c r="AD110" s="104">
        <f t="shared" si="65"/>
        <v>0</v>
      </c>
      <c r="AE110" s="117">
        <f t="shared" si="80"/>
        <v>0</v>
      </c>
      <c r="AF110" s="117">
        <f t="shared" si="81"/>
        <v>0</v>
      </c>
      <c r="AG110" s="117">
        <f t="shared" si="82"/>
        <v>0</v>
      </c>
      <c r="AH110" s="104">
        <f t="shared" si="66"/>
        <v>0</v>
      </c>
      <c r="AI110" s="117">
        <f t="shared" si="57"/>
        <v>0</v>
      </c>
      <c r="AJ110" s="117">
        <f t="shared" si="58"/>
        <v>0</v>
      </c>
      <c r="AK110" s="117">
        <f t="shared" si="59"/>
        <v>0</v>
      </c>
      <c r="AL110" s="104">
        <f t="shared" si="60"/>
        <v>0</v>
      </c>
      <c r="AM110" s="1221" t="str">
        <f t="shared" si="88"/>
        <v xml:space="preserve"> </v>
      </c>
      <c r="AN110" s="1221" t="str">
        <f t="shared" si="89"/>
        <v xml:space="preserve"> </v>
      </c>
      <c r="AO110" s="1221" t="str">
        <f t="shared" si="90"/>
        <v xml:space="preserve"> </v>
      </c>
      <c r="AP110" s="1221" t="str">
        <f t="shared" si="91"/>
        <v xml:space="preserve"> </v>
      </c>
      <c r="AQ110" s="1223" t="str">
        <f t="shared" si="102"/>
        <v xml:space="preserve"> </v>
      </c>
      <c r="AW110" s="107"/>
      <c r="BH110" s="105">
        <f>+AL110-'CONAP (ALL FUNDS)'!Q120</f>
        <v>0</v>
      </c>
      <c r="BL110" s="1188">
        <f>+'CONAP (ALL FUNDS)'!F116</f>
        <v>0</v>
      </c>
      <c r="BM110" s="1188">
        <f>+'CONAP (ALL FUNDS)'!G116</f>
        <v>0</v>
      </c>
      <c r="BN110" s="1188">
        <f>+'CONAP (ALL FUNDS)'!H116</f>
        <v>0</v>
      </c>
      <c r="BP110" s="216">
        <f t="shared" si="94"/>
        <v>0</v>
      </c>
      <c r="BQ110" s="216">
        <f t="shared" si="95"/>
        <v>0</v>
      </c>
      <c r="BR110" s="216">
        <f t="shared" si="96"/>
        <v>0</v>
      </c>
    </row>
    <row r="111" spans="1:70" ht="36">
      <c r="A111" s="587" t="s">
        <v>936</v>
      </c>
      <c r="B111" s="1236" t="s">
        <v>546</v>
      </c>
      <c r="C111" s="117"/>
      <c r="D111" s="117"/>
      <c r="E111" s="117"/>
      <c r="F111" s="104">
        <f t="shared" si="68"/>
        <v>0</v>
      </c>
      <c r="G111" s="117">
        <f>+'CONAP (ALL FUNDS)'!F129</f>
        <v>0</v>
      </c>
      <c r="H111" s="117">
        <f>+'CONAP (ALL FUNDS)'!G129</f>
        <v>0</v>
      </c>
      <c r="I111" s="117">
        <f>+'CONAP (ALL FUNDS)'!H129</f>
        <v>0</v>
      </c>
      <c r="J111" s="104">
        <f t="shared" si="69"/>
        <v>0</v>
      </c>
      <c r="K111" s="117"/>
      <c r="L111" s="117"/>
      <c r="M111" s="117"/>
      <c r="N111" s="104">
        <f t="shared" si="70"/>
        <v>0</v>
      </c>
      <c r="O111" s="113">
        <f t="shared" si="71"/>
        <v>0</v>
      </c>
      <c r="P111" s="113">
        <f t="shared" si="72"/>
        <v>0</v>
      </c>
      <c r="Q111" s="113">
        <f t="shared" si="73"/>
        <v>0</v>
      </c>
      <c r="R111" s="104">
        <f t="shared" si="74"/>
        <v>0</v>
      </c>
      <c r="S111" s="113">
        <f t="shared" si="75"/>
        <v>0</v>
      </c>
      <c r="T111" s="113">
        <f t="shared" si="76"/>
        <v>0</v>
      </c>
      <c r="U111" s="113">
        <f t="shared" si="77"/>
        <v>0</v>
      </c>
      <c r="V111" s="104">
        <f t="shared" si="78"/>
        <v>0</v>
      </c>
      <c r="W111" s="117">
        <f>+'CONAP (ALL FUNDS)'!J127</f>
        <v>0</v>
      </c>
      <c r="X111" s="117">
        <f>+'CONAP (ALL FUNDS)'!K127</f>
        <v>0</v>
      </c>
      <c r="Y111" s="117">
        <f>+'CONAP (ALL FUNDS)'!L127</f>
        <v>0</v>
      </c>
      <c r="Z111" s="104">
        <f t="shared" si="64"/>
        <v>0</v>
      </c>
      <c r="AA111" s="117">
        <f>+'CONAP (ALL FUNDS)'!J128</f>
        <v>0</v>
      </c>
      <c r="AB111" s="117">
        <f>+'CONAP (ALL FUNDS)'!K128</f>
        <v>0</v>
      </c>
      <c r="AC111" s="117">
        <f>+'CONAP (ALL FUNDS)'!L128</f>
        <v>0</v>
      </c>
      <c r="AD111" s="104">
        <f t="shared" si="65"/>
        <v>0</v>
      </c>
      <c r="AE111" s="117">
        <f t="shared" si="80"/>
        <v>0</v>
      </c>
      <c r="AF111" s="117">
        <f t="shared" si="81"/>
        <v>0</v>
      </c>
      <c r="AG111" s="117">
        <f t="shared" si="82"/>
        <v>0</v>
      </c>
      <c r="AH111" s="104">
        <f t="shared" si="66"/>
        <v>0</v>
      </c>
      <c r="AI111" s="117">
        <f t="shared" si="57"/>
        <v>0</v>
      </c>
      <c r="AJ111" s="117">
        <f t="shared" si="58"/>
        <v>0</v>
      </c>
      <c r="AK111" s="117">
        <f t="shared" si="59"/>
        <v>0</v>
      </c>
      <c r="AL111" s="104">
        <f t="shared" si="60"/>
        <v>0</v>
      </c>
      <c r="AM111" s="1221" t="str">
        <f t="shared" si="88"/>
        <v xml:space="preserve"> </v>
      </c>
      <c r="AN111" s="1221" t="str">
        <f t="shared" si="89"/>
        <v xml:space="preserve"> </v>
      </c>
      <c r="AO111" s="1221" t="str">
        <f t="shared" si="90"/>
        <v xml:space="preserve"> </v>
      </c>
      <c r="AP111" s="1221" t="str">
        <f t="shared" si="91"/>
        <v xml:space="preserve"> </v>
      </c>
      <c r="AQ111" s="1223" t="str">
        <f t="shared" si="102"/>
        <v xml:space="preserve"> </v>
      </c>
      <c r="AW111" s="107"/>
      <c r="BH111" s="105">
        <f>+AL111-'CONAP (ALL FUNDS)'!Q131</f>
        <v>0</v>
      </c>
      <c r="BL111" s="1188">
        <f>+'CONAP (ALL FUNDS)'!F127</f>
        <v>0</v>
      </c>
      <c r="BM111" s="1188">
        <f>+'CONAP (ALL FUNDS)'!G127</f>
        <v>0</v>
      </c>
      <c r="BN111" s="1188">
        <f>+'CONAP (ALL FUNDS)'!H127</f>
        <v>0</v>
      </c>
      <c r="BP111" s="216">
        <f t="shared" si="94"/>
        <v>0</v>
      </c>
      <c r="BQ111" s="216">
        <f t="shared" si="95"/>
        <v>0</v>
      </c>
      <c r="BR111" s="216">
        <f t="shared" si="96"/>
        <v>0</v>
      </c>
    </row>
    <row r="112" spans="1:70" ht="12.75">
      <c r="A112" s="587" t="s">
        <v>936</v>
      </c>
      <c r="B112" s="1234" t="s">
        <v>547</v>
      </c>
      <c r="C112" s="117"/>
      <c r="D112" s="117">
        <v>2982.57</v>
      </c>
      <c r="E112" s="117"/>
      <c r="F112" s="104">
        <f t="shared" si="68"/>
        <v>2982.57</v>
      </c>
      <c r="G112" s="117">
        <f>+'CONAP (ALL FUNDS)'!F140</f>
        <v>0</v>
      </c>
      <c r="H112" s="117">
        <f>+'CONAP (ALL FUNDS)'!G140</f>
        <v>0</v>
      </c>
      <c r="I112" s="117">
        <f>+'CONAP (ALL FUNDS)'!H140</f>
        <v>0</v>
      </c>
      <c r="J112" s="104">
        <f t="shared" si="69"/>
        <v>0</v>
      </c>
      <c r="K112" s="117"/>
      <c r="L112" s="117"/>
      <c r="M112" s="117"/>
      <c r="N112" s="104">
        <f t="shared" si="70"/>
        <v>0</v>
      </c>
      <c r="O112" s="113">
        <f t="shared" si="71"/>
        <v>0</v>
      </c>
      <c r="P112" s="113">
        <f t="shared" si="72"/>
        <v>0</v>
      </c>
      <c r="Q112" s="113">
        <f t="shared" si="73"/>
        <v>0</v>
      </c>
      <c r="R112" s="104">
        <f t="shared" si="74"/>
        <v>0</v>
      </c>
      <c r="S112" s="113">
        <f t="shared" si="75"/>
        <v>0</v>
      </c>
      <c r="T112" s="113">
        <f t="shared" si="76"/>
        <v>2982.57</v>
      </c>
      <c r="U112" s="113">
        <f t="shared" si="77"/>
        <v>0</v>
      </c>
      <c r="V112" s="104">
        <f t="shared" si="78"/>
        <v>2982.57</v>
      </c>
      <c r="W112" s="117">
        <f>+'CONAP (ALL FUNDS)'!J138</f>
        <v>0</v>
      </c>
      <c r="X112" s="117">
        <f>+'CONAP (ALL FUNDS)'!K138</f>
        <v>2982.57</v>
      </c>
      <c r="Y112" s="117">
        <f>+'CONAP (ALL FUNDS)'!L138</f>
        <v>0</v>
      </c>
      <c r="Z112" s="104">
        <f t="shared" si="64"/>
        <v>2982.57</v>
      </c>
      <c r="AA112" s="117">
        <f>+'CONAP (ALL FUNDS)'!J139</f>
        <v>0</v>
      </c>
      <c r="AB112" s="117">
        <f>+'CONAP (ALL FUNDS)'!K139</f>
        <v>0</v>
      </c>
      <c r="AC112" s="117">
        <f>+'CONAP (ALL FUNDS)'!L139</f>
        <v>0</v>
      </c>
      <c r="AD112" s="104">
        <f t="shared" si="65"/>
        <v>0</v>
      </c>
      <c r="AE112" s="117">
        <f t="shared" si="80"/>
        <v>0</v>
      </c>
      <c r="AF112" s="117">
        <f t="shared" si="81"/>
        <v>2982.57</v>
      </c>
      <c r="AG112" s="117">
        <f t="shared" si="82"/>
        <v>0</v>
      </c>
      <c r="AH112" s="104">
        <f t="shared" si="66"/>
        <v>2982.57</v>
      </c>
      <c r="AI112" s="117">
        <f t="shared" si="57"/>
        <v>0</v>
      </c>
      <c r="AJ112" s="117">
        <f t="shared" si="58"/>
        <v>0</v>
      </c>
      <c r="AK112" s="117">
        <f t="shared" si="59"/>
        <v>0</v>
      </c>
      <c r="AL112" s="104">
        <f t="shared" si="60"/>
        <v>0</v>
      </c>
      <c r="AM112" s="1221" t="str">
        <f t="shared" si="88"/>
        <v xml:space="preserve"> </v>
      </c>
      <c r="AN112" s="1221">
        <f t="shared" si="89"/>
        <v>1</v>
      </c>
      <c r="AO112" s="1221" t="str">
        <f t="shared" si="90"/>
        <v xml:space="preserve"> </v>
      </c>
      <c r="AP112" s="1221">
        <f t="shared" si="91"/>
        <v>1</v>
      </c>
      <c r="AQ112" s="1223" t="str">
        <f t="shared" si="102"/>
        <v xml:space="preserve"> </v>
      </c>
      <c r="AW112" s="107"/>
      <c r="BH112" s="105">
        <f>+AL112-'CONAP (ALL FUNDS)'!Q142</f>
        <v>0</v>
      </c>
      <c r="BL112" s="1188">
        <f>+'CONAP (ALL FUNDS)'!F138</f>
        <v>0</v>
      </c>
      <c r="BM112" s="1188">
        <f>+'CONAP (ALL FUNDS)'!G138</f>
        <v>2982.57</v>
      </c>
      <c r="BN112" s="1188">
        <f>+'CONAP (ALL FUNDS)'!H138</f>
        <v>0</v>
      </c>
      <c r="BP112" s="216">
        <f t="shared" si="94"/>
        <v>0</v>
      </c>
      <c r="BQ112" s="216">
        <f t="shared" si="95"/>
        <v>0</v>
      </c>
      <c r="BR112" s="216">
        <f t="shared" si="96"/>
        <v>0</v>
      </c>
    </row>
    <row r="113" spans="1:70" ht="36">
      <c r="A113" s="587" t="s">
        <v>936</v>
      </c>
      <c r="B113" s="1236" t="s">
        <v>548</v>
      </c>
      <c r="C113" s="117"/>
      <c r="D113" s="117"/>
      <c r="E113" s="117"/>
      <c r="F113" s="104">
        <f t="shared" si="68"/>
        <v>0</v>
      </c>
      <c r="G113" s="117">
        <f>+'CONAP (ALL FUNDS)'!F151</f>
        <v>0</v>
      </c>
      <c r="H113" s="117">
        <f>+'CONAP (ALL FUNDS)'!G151</f>
        <v>-587518.53</v>
      </c>
      <c r="I113" s="117">
        <f>+'CONAP (ALL FUNDS)'!H151</f>
        <v>0</v>
      </c>
      <c r="J113" s="104">
        <f t="shared" si="69"/>
        <v>-587518.53</v>
      </c>
      <c r="K113" s="117"/>
      <c r="L113" s="104">
        <v>587518.53</v>
      </c>
      <c r="M113" s="117"/>
      <c r="N113" s="104">
        <f t="shared" si="70"/>
        <v>587518.53</v>
      </c>
      <c r="O113" s="113">
        <f t="shared" si="71"/>
        <v>0</v>
      </c>
      <c r="P113" s="113">
        <f t="shared" si="72"/>
        <v>0</v>
      </c>
      <c r="Q113" s="113">
        <f t="shared" si="73"/>
        <v>0</v>
      </c>
      <c r="R113" s="104">
        <f t="shared" si="74"/>
        <v>0</v>
      </c>
      <c r="S113" s="113">
        <f t="shared" si="75"/>
        <v>0</v>
      </c>
      <c r="T113" s="113">
        <f t="shared" si="76"/>
        <v>0</v>
      </c>
      <c r="U113" s="113">
        <f t="shared" si="77"/>
        <v>0</v>
      </c>
      <c r="V113" s="104">
        <f t="shared" si="78"/>
        <v>0</v>
      </c>
      <c r="W113" s="117">
        <f>+'CONAP (ALL FUNDS)'!J149</f>
        <v>0</v>
      </c>
      <c r="X113" s="117">
        <f>+'CONAP (ALL FUNDS)'!K149</f>
        <v>0</v>
      </c>
      <c r="Y113" s="117">
        <f>+'CONAP (ALL FUNDS)'!L149</f>
        <v>0</v>
      </c>
      <c r="Z113" s="104">
        <f t="shared" si="64"/>
        <v>0</v>
      </c>
      <c r="AA113" s="117">
        <f>+'CONAP (ALL FUNDS)'!J150</f>
        <v>0</v>
      </c>
      <c r="AB113" s="117">
        <f>+'CONAP (ALL FUNDS)'!K150</f>
        <v>0</v>
      </c>
      <c r="AC113" s="117">
        <f>+'CONAP (ALL FUNDS)'!L150</f>
        <v>0</v>
      </c>
      <c r="AD113" s="104">
        <f t="shared" si="65"/>
        <v>0</v>
      </c>
      <c r="AE113" s="117">
        <f t="shared" si="80"/>
        <v>0</v>
      </c>
      <c r="AF113" s="117">
        <f t="shared" si="81"/>
        <v>0</v>
      </c>
      <c r="AG113" s="117">
        <f t="shared" si="82"/>
        <v>0</v>
      </c>
      <c r="AH113" s="104">
        <f t="shared" si="66"/>
        <v>0</v>
      </c>
      <c r="AI113" s="117">
        <f t="shared" si="57"/>
        <v>0</v>
      </c>
      <c r="AJ113" s="117">
        <f t="shared" si="58"/>
        <v>0</v>
      </c>
      <c r="AK113" s="117">
        <f t="shared" si="59"/>
        <v>0</v>
      </c>
      <c r="AL113" s="104">
        <f t="shared" si="60"/>
        <v>0</v>
      </c>
      <c r="AM113" s="1221" t="str">
        <f t="shared" si="88"/>
        <v xml:space="preserve"> </v>
      </c>
      <c r="AN113" s="1221" t="str">
        <f t="shared" si="89"/>
        <v xml:space="preserve"> </v>
      </c>
      <c r="AO113" s="1221" t="str">
        <f t="shared" si="90"/>
        <v xml:space="preserve"> </v>
      </c>
      <c r="AP113" s="1221" t="str">
        <f t="shared" si="91"/>
        <v xml:space="preserve"> </v>
      </c>
      <c r="AQ113" s="1223" t="str">
        <f t="shared" si="102"/>
        <v xml:space="preserve"> </v>
      </c>
      <c r="AW113" s="107"/>
      <c r="BH113" s="105">
        <f>+AL113-'CONAP (ALL FUNDS)'!Q153</f>
        <v>0</v>
      </c>
      <c r="BL113" s="1188">
        <f>+'CONAP (ALL FUNDS)'!F149</f>
        <v>0</v>
      </c>
      <c r="BM113" s="1188">
        <f>+'CONAP (ALL FUNDS)'!G149</f>
        <v>0</v>
      </c>
      <c r="BN113" s="1188">
        <f>+'CONAP (ALL FUNDS)'!H149</f>
        <v>0</v>
      </c>
      <c r="BP113" s="216">
        <f t="shared" si="94"/>
        <v>0</v>
      </c>
      <c r="BQ113" s="216">
        <f t="shared" si="95"/>
        <v>0</v>
      </c>
      <c r="BR113" s="216">
        <f t="shared" si="96"/>
        <v>0</v>
      </c>
    </row>
    <row r="114" spans="1:70" ht="12.75">
      <c r="B114" s="1238"/>
      <c r="C114" s="117"/>
      <c r="D114" s="117"/>
      <c r="E114" s="117"/>
      <c r="F114" s="104">
        <f t="shared" si="68"/>
        <v>0</v>
      </c>
      <c r="G114" s="117"/>
      <c r="H114" s="117"/>
      <c r="I114" s="117"/>
      <c r="J114" s="104">
        <f t="shared" si="69"/>
        <v>0</v>
      </c>
      <c r="K114" s="117"/>
      <c r="L114" s="117"/>
      <c r="M114" s="117"/>
      <c r="N114" s="104"/>
      <c r="O114" s="113">
        <f t="shared" si="71"/>
        <v>0</v>
      </c>
      <c r="P114" s="113">
        <f t="shared" si="72"/>
        <v>0</v>
      </c>
      <c r="Q114" s="113">
        <f t="shared" si="73"/>
        <v>0</v>
      </c>
      <c r="R114" s="104">
        <f t="shared" si="74"/>
        <v>0</v>
      </c>
      <c r="S114" s="113">
        <f t="shared" si="75"/>
        <v>0</v>
      </c>
      <c r="T114" s="113">
        <f t="shared" si="76"/>
        <v>0</v>
      </c>
      <c r="U114" s="113">
        <f t="shared" si="77"/>
        <v>0</v>
      </c>
      <c r="V114" s="104">
        <f t="shared" si="78"/>
        <v>0</v>
      </c>
      <c r="W114" s="117"/>
      <c r="X114" s="117"/>
      <c r="Y114" s="117"/>
      <c r="Z114" s="104">
        <f t="shared" si="64"/>
        <v>0</v>
      </c>
      <c r="AA114" s="117"/>
      <c r="AB114" s="117"/>
      <c r="AC114" s="117"/>
      <c r="AD114" s="104">
        <f t="shared" si="65"/>
        <v>0</v>
      </c>
      <c r="AE114" s="117">
        <f t="shared" si="80"/>
        <v>0</v>
      </c>
      <c r="AF114" s="117">
        <f t="shared" si="81"/>
        <v>0</v>
      </c>
      <c r="AG114" s="117">
        <f t="shared" si="82"/>
        <v>0</v>
      </c>
      <c r="AH114" s="104">
        <f t="shared" si="66"/>
        <v>0</v>
      </c>
      <c r="AI114" s="117">
        <f t="shared" si="57"/>
        <v>0</v>
      </c>
      <c r="AJ114" s="117">
        <f t="shared" si="58"/>
        <v>0</v>
      </c>
      <c r="AK114" s="117">
        <f t="shared" si="59"/>
        <v>0</v>
      </c>
      <c r="AL114" s="104">
        <f t="shared" si="60"/>
        <v>0</v>
      </c>
      <c r="AM114" s="1221" t="str">
        <f t="shared" si="88"/>
        <v xml:space="preserve"> </v>
      </c>
      <c r="AN114" s="1221" t="str">
        <f t="shared" si="89"/>
        <v xml:space="preserve"> </v>
      </c>
      <c r="AO114" s="1221" t="str">
        <f t="shared" si="90"/>
        <v xml:space="preserve"> </v>
      </c>
      <c r="AP114" s="1221" t="str">
        <f t="shared" si="91"/>
        <v xml:space="preserve"> </v>
      </c>
      <c r="AQ114" s="1223" t="str">
        <f t="shared" si="102"/>
        <v xml:space="preserve"> </v>
      </c>
      <c r="AW114" s="107"/>
      <c r="BL114" s="1188"/>
      <c r="BM114" s="1188"/>
      <c r="BN114" s="1188"/>
      <c r="BP114" s="216">
        <f t="shared" si="94"/>
        <v>0</v>
      </c>
      <c r="BQ114" s="216">
        <f t="shared" si="95"/>
        <v>0</v>
      </c>
      <c r="BR114" s="216">
        <f t="shared" si="96"/>
        <v>0</v>
      </c>
    </row>
    <row r="115" spans="1:70" ht="12.75">
      <c r="A115" s="587" t="s">
        <v>936</v>
      </c>
      <c r="B115" s="1235" t="s">
        <v>28</v>
      </c>
      <c r="C115" s="117">
        <f t="shared" ref="C115:N115" si="107">SUM(C116:C119)</f>
        <v>0</v>
      </c>
      <c r="D115" s="117">
        <f t="shared" si="107"/>
        <v>1334011</v>
      </c>
      <c r="E115" s="117">
        <f t="shared" si="107"/>
        <v>0</v>
      </c>
      <c r="F115" s="117">
        <f t="shared" si="107"/>
        <v>1334011</v>
      </c>
      <c r="G115" s="117">
        <f t="shared" si="107"/>
        <v>0</v>
      </c>
      <c r="H115" s="117">
        <f t="shared" si="107"/>
        <v>-648864.24</v>
      </c>
      <c r="I115" s="117">
        <f t="shared" si="107"/>
        <v>0</v>
      </c>
      <c r="J115" s="117">
        <f t="shared" si="107"/>
        <v>-648864.24</v>
      </c>
      <c r="K115" s="117">
        <f t="shared" si="107"/>
        <v>0</v>
      </c>
      <c r="L115" s="117">
        <f t="shared" si="107"/>
        <v>1664566.6099999999</v>
      </c>
      <c r="M115" s="117">
        <f t="shared" si="107"/>
        <v>0</v>
      </c>
      <c r="N115" s="117">
        <f t="shared" si="107"/>
        <v>1664566.6099999999</v>
      </c>
      <c r="O115" s="113">
        <f t="shared" si="71"/>
        <v>0</v>
      </c>
      <c r="P115" s="113">
        <f t="shared" si="72"/>
        <v>1015702.3699999999</v>
      </c>
      <c r="Q115" s="113">
        <f t="shared" si="73"/>
        <v>0</v>
      </c>
      <c r="R115" s="104">
        <f t="shared" si="74"/>
        <v>1015702.3699999999</v>
      </c>
      <c r="S115" s="113">
        <f t="shared" si="75"/>
        <v>0</v>
      </c>
      <c r="T115" s="113">
        <f t="shared" si="76"/>
        <v>2349713.37</v>
      </c>
      <c r="U115" s="113">
        <f t="shared" si="77"/>
        <v>0</v>
      </c>
      <c r="V115" s="104">
        <f t="shared" si="78"/>
        <v>2349713.37</v>
      </c>
      <c r="W115" s="117">
        <f>SUM(W116:W119)</f>
        <v>0</v>
      </c>
      <c r="X115" s="117">
        <f>SUM(X116:X119)</f>
        <v>1334000</v>
      </c>
      <c r="Y115" s="117">
        <f>SUM(Y116:Y119)</f>
        <v>0</v>
      </c>
      <c r="Z115" s="104">
        <f t="shared" si="64"/>
        <v>1334000</v>
      </c>
      <c r="AA115" s="117">
        <f>SUM(AA116:AA119)</f>
        <v>0</v>
      </c>
      <c r="AB115" s="117">
        <f>SUM(AB116:AB119)</f>
        <v>916191.97</v>
      </c>
      <c r="AC115" s="117">
        <f>SUM(AC116:AC119)</f>
        <v>0</v>
      </c>
      <c r="AD115" s="104">
        <f t="shared" si="65"/>
        <v>916191.97</v>
      </c>
      <c r="AE115" s="117">
        <f t="shared" si="80"/>
        <v>0</v>
      </c>
      <c r="AF115" s="117">
        <f t="shared" si="81"/>
        <v>2250191.9699999997</v>
      </c>
      <c r="AG115" s="117">
        <f t="shared" si="82"/>
        <v>0</v>
      </c>
      <c r="AH115" s="104">
        <f t="shared" si="66"/>
        <v>2250191.9699999997</v>
      </c>
      <c r="AI115" s="117">
        <f t="shared" si="57"/>
        <v>0</v>
      </c>
      <c r="AJ115" s="117">
        <f t="shared" si="58"/>
        <v>99521.400000000373</v>
      </c>
      <c r="AK115" s="117">
        <f t="shared" si="59"/>
        <v>0</v>
      </c>
      <c r="AL115" s="104">
        <f t="shared" si="60"/>
        <v>99521.400000000373</v>
      </c>
      <c r="AM115" s="1221" t="str">
        <f t="shared" si="88"/>
        <v xml:space="preserve"> </v>
      </c>
      <c r="AN115" s="1221">
        <f t="shared" si="89"/>
        <v>0.95764530207358856</v>
      </c>
      <c r="AO115" s="1221" t="str">
        <f t="shared" si="90"/>
        <v xml:space="preserve"> </v>
      </c>
      <c r="AP115" s="1221">
        <f t="shared" si="91"/>
        <v>0.95764530207358856</v>
      </c>
      <c r="AQ115" s="1223" t="str">
        <f t="shared" si="102"/>
        <v xml:space="preserve"> </v>
      </c>
      <c r="AW115" s="107"/>
      <c r="BL115" s="1188">
        <f>SUM(BL116:BL119)</f>
        <v>0</v>
      </c>
      <c r="BM115" s="1188">
        <f t="shared" ref="BM115:BN115" si="108">SUM(BM116:BM119)</f>
        <v>1334011</v>
      </c>
      <c r="BN115" s="1188">
        <f t="shared" si="108"/>
        <v>0</v>
      </c>
      <c r="BP115" s="216">
        <f t="shared" si="94"/>
        <v>0</v>
      </c>
      <c r="BQ115" s="216">
        <f t="shared" si="95"/>
        <v>0</v>
      </c>
      <c r="BR115" s="216">
        <f t="shared" si="96"/>
        <v>0</v>
      </c>
    </row>
    <row r="116" spans="1:70" ht="48">
      <c r="A116" s="587" t="s">
        <v>936</v>
      </c>
      <c r="B116" s="1236" t="s">
        <v>549</v>
      </c>
      <c r="C116" s="117"/>
      <c r="D116" s="117">
        <v>1334000</v>
      </c>
      <c r="E116" s="117"/>
      <c r="F116" s="104">
        <f t="shared" si="68"/>
        <v>1334000</v>
      </c>
      <c r="G116" s="117">
        <f>+'CONAP (ALL FUNDS)'!F249</f>
        <v>0</v>
      </c>
      <c r="H116" s="117">
        <f>+'CONAP (ALL FUNDS)'!G249</f>
        <v>0</v>
      </c>
      <c r="I116" s="117">
        <f>+'CONAP (ALL FUNDS)'!H249</f>
        <v>0</v>
      </c>
      <c r="J116" s="104">
        <f t="shared" si="69"/>
        <v>0</v>
      </c>
      <c r="K116" s="117">
        <v>0</v>
      </c>
      <c r="L116" s="117">
        <v>490614.1</v>
      </c>
      <c r="M116" s="117">
        <v>0</v>
      </c>
      <c r="N116" s="104">
        <f t="shared" si="70"/>
        <v>490614.1</v>
      </c>
      <c r="O116" s="113">
        <f t="shared" si="71"/>
        <v>0</v>
      </c>
      <c r="P116" s="113">
        <f t="shared" si="72"/>
        <v>490614.1</v>
      </c>
      <c r="Q116" s="113">
        <f t="shared" si="73"/>
        <v>0</v>
      </c>
      <c r="R116" s="104">
        <f t="shared" si="74"/>
        <v>490614.1</v>
      </c>
      <c r="S116" s="113">
        <f t="shared" si="75"/>
        <v>0</v>
      </c>
      <c r="T116" s="113">
        <f t="shared" si="76"/>
        <v>1824614.1</v>
      </c>
      <c r="U116" s="113">
        <f t="shared" si="77"/>
        <v>0</v>
      </c>
      <c r="V116" s="104">
        <f t="shared" si="78"/>
        <v>1824614.1</v>
      </c>
      <c r="W116" s="117">
        <f>+'CONAP (ALL FUNDS)'!J247</f>
        <v>0</v>
      </c>
      <c r="X116" s="117">
        <f>+'CONAP (ALL FUNDS)'!K247</f>
        <v>1334000</v>
      </c>
      <c r="Y116" s="117">
        <f>+'CONAP (ALL FUNDS)'!L247</f>
        <v>0</v>
      </c>
      <c r="Z116" s="104">
        <f t="shared" si="64"/>
        <v>1334000</v>
      </c>
      <c r="AA116" s="117">
        <f>+'CONAP (ALL FUNDS)'!J248</f>
        <v>0</v>
      </c>
      <c r="AB116" s="117">
        <f>+'CONAP (ALL FUNDS)'!K248</f>
        <v>395409.19999999995</v>
      </c>
      <c r="AC116" s="117">
        <f>+'CONAP (ALL FUNDS)'!L248</f>
        <v>0</v>
      </c>
      <c r="AD116" s="104">
        <f t="shared" si="65"/>
        <v>395409.19999999995</v>
      </c>
      <c r="AE116" s="117">
        <f t="shared" si="80"/>
        <v>0</v>
      </c>
      <c r="AF116" s="117">
        <f t="shared" si="81"/>
        <v>1729409.2</v>
      </c>
      <c r="AG116" s="117">
        <f t="shared" si="82"/>
        <v>0</v>
      </c>
      <c r="AH116" s="104">
        <f t="shared" si="66"/>
        <v>1729409.2</v>
      </c>
      <c r="AI116" s="117">
        <f t="shared" ref="AI116:AI179" si="109">+S116-AE116</f>
        <v>0</v>
      </c>
      <c r="AJ116" s="117">
        <f t="shared" ref="AJ116:AJ179" si="110">+T116-AF116</f>
        <v>95204.90000000014</v>
      </c>
      <c r="AK116" s="117">
        <f t="shared" ref="AK116:AK179" si="111">+U116-AG116</f>
        <v>0</v>
      </c>
      <c r="AL116" s="104">
        <f t="shared" ref="AL116:AL179" si="112">SUM(AI116:AK116)</f>
        <v>95204.90000000014</v>
      </c>
      <c r="AM116" s="1221" t="str">
        <f t="shared" si="88"/>
        <v xml:space="preserve"> </v>
      </c>
      <c r="AN116" s="1221">
        <f t="shared" si="89"/>
        <v>0.94782189834003794</v>
      </c>
      <c r="AO116" s="1221" t="str">
        <f t="shared" si="90"/>
        <v xml:space="preserve"> </v>
      </c>
      <c r="AP116" s="1221">
        <f t="shared" si="91"/>
        <v>0.94782189834003794</v>
      </c>
      <c r="AQ116" s="1223" t="str">
        <f t="shared" si="102"/>
        <v xml:space="preserve"> </v>
      </c>
      <c r="AW116" s="107"/>
      <c r="BH116" s="105">
        <f>+AL116-'CONAP (ALL FUNDS)'!Q251</f>
        <v>1.1641532182693481E-10</v>
      </c>
      <c r="BL116" s="1188">
        <f>+'CONAP (ALL FUNDS)'!F247</f>
        <v>0</v>
      </c>
      <c r="BM116" s="1188">
        <f>+'CONAP (ALL FUNDS)'!G247</f>
        <v>1334000</v>
      </c>
      <c r="BN116" s="1188">
        <f>+'CONAP (ALL FUNDS)'!H247</f>
        <v>0</v>
      </c>
      <c r="BP116" s="216">
        <f t="shared" si="94"/>
        <v>0</v>
      </c>
      <c r="BQ116" s="216">
        <f t="shared" si="95"/>
        <v>0</v>
      </c>
      <c r="BR116" s="216">
        <f t="shared" si="96"/>
        <v>0</v>
      </c>
    </row>
    <row r="117" spans="1:70" ht="36">
      <c r="A117" s="587" t="s">
        <v>936</v>
      </c>
      <c r="B117" s="1236" t="s">
        <v>550</v>
      </c>
      <c r="C117" s="113"/>
      <c r="D117" s="113"/>
      <c r="E117" s="113"/>
      <c r="F117" s="104">
        <f t="shared" si="68"/>
        <v>0</v>
      </c>
      <c r="G117" s="113">
        <f>+'CONAP (ALL FUNDS)'!F260</f>
        <v>0</v>
      </c>
      <c r="H117" s="113">
        <f>+'CONAP (ALL FUNDS)'!G260</f>
        <v>0</v>
      </c>
      <c r="I117" s="113">
        <f>+'CONAP (ALL FUNDS)'!H260</f>
        <v>0</v>
      </c>
      <c r="J117" s="104">
        <f t="shared" si="69"/>
        <v>0</v>
      </c>
      <c r="K117" s="113"/>
      <c r="L117" s="113">
        <v>145088.27000000002</v>
      </c>
      <c r="M117" s="113"/>
      <c r="N117" s="104">
        <f t="shared" si="70"/>
        <v>145088.27000000002</v>
      </c>
      <c r="O117" s="113">
        <f t="shared" si="71"/>
        <v>0</v>
      </c>
      <c r="P117" s="113">
        <f t="shared" si="72"/>
        <v>145088.27000000002</v>
      </c>
      <c r="Q117" s="113">
        <f t="shared" si="73"/>
        <v>0</v>
      </c>
      <c r="R117" s="104">
        <f t="shared" si="74"/>
        <v>145088.27000000002</v>
      </c>
      <c r="S117" s="113">
        <f t="shared" si="75"/>
        <v>0</v>
      </c>
      <c r="T117" s="113">
        <f t="shared" si="76"/>
        <v>145088.27000000002</v>
      </c>
      <c r="U117" s="113">
        <f t="shared" si="77"/>
        <v>0</v>
      </c>
      <c r="V117" s="104">
        <f t="shared" si="78"/>
        <v>145088.27000000002</v>
      </c>
      <c r="W117" s="113">
        <f>+'CONAP (ALL FUNDS)'!J258</f>
        <v>0</v>
      </c>
      <c r="X117" s="113">
        <f>+'CONAP (ALL FUNDS)'!K258</f>
        <v>0</v>
      </c>
      <c r="Y117" s="113">
        <f>+'CONAP (ALL FUNDS)'!L258</f>
        <v>0</v>
      </c>
      <c r="Z117" s="104">
        <f t="shared" si="64"/>
        <v>0</v>
      </c>
      <c r="AA117" s="113">
        <f>+'CONAP (ALL FUNDS)'!J259</f>
        <v>0</v>
      </c>
      <c r="AB117" s="113">
        <f>+'CONAP (ALL FUNDS)'!K259</f>
        <v>145088.27000000002</v>
      </c>
      <c r="AC117" s="113">
        <f>+'CONAP (ALL FUNDS)'!L259</f>
        <v>0</v>
      </c>
      <c r="AD117" s="104">
        <f t="shared" si="65"/>
        <v>145088.27000000002</v>
      </c>
      <c r="AE117" s="117">
        <f t="shared" si="80"/>
        <v>0</v>
      </c>
      <c r="AF117" s="117">
        <f t="shared" si="81"/>
        <v>145088.27000000002</v>
      </c>
      <c r="AG117" s="117">
        <f t="shared" si="82"/>
        <v>0</v>
      </c>
      <c r="AH117" s="104">
        <f t="shared" si="66"/>
        <v>145088.27000000002</v>
      </c>
      <c r="AI117" s="117">
        <f t="shared" si="109"/>
        <v>0</v>
      </c>
      <c r="AJ117" s="117">
        <f t="shared" si="110"/>
        <v>0</v>
      </c>
      <c r="AK117" s="117">
        <f t="shared" si="111"/>
        <v>0</v>
      </c>
      <c r="AL117" s="104">
        <f t="shared" si="112"/>
        <v>0</v>
      </c>
      <c r="AM117" s="1221" t="str">
        <f t="shared" si="88"/>
        <v xml:space="preserve"> </v>
      </c>
      <c r="AN117" s="1221">
        <f t="shared" si="89"/>
        <v>1</v>
      </c>
      <c r="AO117" s="1221" t="str">
        <f t="shared" si="90"/>
        <v xml:space="preserve"> </v>
      </c>
      <c r="AP117" s="1221">
        <f t="shared" si="91"/>
        <v>1</v>
      </c>
      <c r="AQ117" s="1223" t="str">
        <f t="shared" si="102"/>
        <v xml:space="preserve"> </v>
      </c>
      <c r="AW117" s="107"/>
      <c r="BH117" s="105">
        <f>+AL117-'CONAP (ALL FUNDS)'!Q262</f>
        <v>0</v>
      </c>
      <c r="BL117" s="149">
        <f>+'CONAP (ALL FUNDS)'!F258</f>
        <v>0</v>
      </c>
      <c r="BM117" s="149">
        <f>+'CONAP (ALL FUNDS)'!G258</f>
        <v>0</v>
      </c>
      <c r="BN117" s="149">
        <f>+'CONAP (ALL FUNDS)'!H258</f>
        <v>0</v>
      </c>
      <c r="BP117" s="216">
        <f t="shared" si="94"/>
        <v>0</v>
      </c>
      <c r="BQ117" s="216">
        <f t="shared" si="95"/>
        <v>0</v>
      </c>
      <c r="BR117" s="216">
        <f t="shared" si="96"/>
        <v>0</v>
      </c>
    </row>
    <row r="118" spans="1:70" ht="36">
      <c r="A118" s="587" t="s">
        <v>936</v>
      </c>
      <c r="B118" s="1237" t="s">
        <v>551</v>
      </c>
      <c r="C118" s="113"/>
      <c r="D118" s="113">
        <v>11</v>
      </c>
      <c r="E118" s="113"/>
      <c r="F118" s="104">
        <f t="shared" si="68"/>
        <v>11</v>
      </c>
      <c r="G118" s="113">
        <f>+'CONAP (ALL FUNDS)'!F271</f>
        <v>0</v>
      </c>
      <c r="H118" s="113">
        <f>+'CONAP (ALL FUNDS)'!G271</f>
        <v>0</v>
      </c>
      <c r="I118" s="113">
        <f>+'CONAP (ALL FUNDS)'!H271</f>
        <v>0</v>
      </c>
      <c r="J118" s="104">
        <f t="shared" si="69"/>
        <v>0</v>
      </c>
      <c r="K118" s="113"/>
      <c r="L118" s="104"/>
      <c r="M118" s="113"/>
      <c r="N118" s="104">
        <f t="shared" si="70"/>
        <v>0</v>
      </c>
      <c r="O118" s="113">
        <f t="shared" si="71"/>
        <v>0</v>
      </c>
      <c r="P118" s="113">
        <f t="shared" si="72"/>
        <v>0</v>
      </c>
      <c r="Q118" s="113">
        <f t="shared" si="73"/>
        <v>0</v>
      </c>
      <c r="R118" s="104">
        <f t="shared" si="74"/>
        <v>0</v>
      </c>
      <c r="S118" s="113">
        <f t="shared" si="75"/>
        <v>0</v>
      </c>
      <c r="T118" s="113">
        <f t="shared" si="76"/>
        <v>11</v>
      </c>
      <c r="U118" s="113">
        <f t="shared" si="77"/>
        <v>0</v>
      </c>
      <c r="V118" s="104">
        <f t="shared" si="78"/>
        <v>11</v>
      </c>
      <c r="W118" s="113">
        <f>+'CONAP (ALL FUNDS)'!J269</f>
        <v>0</v>
      </c>
      <c r="X118" s="113">
        <f>+'CONAP (ALL FUNDS)'!K269</f>
        <v>0</v>
      </c>
      <c r="Y118" s="113">
        <f>+'CONAP (ALL FUNDS)'!L269</f>
        <v>0</v>
      </c>
      <c r="Z118" s="104">
        <f t="shared" si="64"/>
        <v>0</v>
      </c>
      <c r="AA118" s="113">
        <f>+'CONAP (ALL FUNDS)'!J270</f>
        <v>0</v>
      </c>
      <c r="AB118" s="113">
        <f>+'CONAP (ALL FUNDS)'!K270</f>
        <v>0</v>
      </c>
      <c r="AC118" s="113">
        <f>+'CONAP (ALL FUNDS)'!L270</f>
        <v>0</v>
      </c>
      <c r="AD118" s="104">
        <f t="shared" si="65"/>
        <v>0</v>
      </c>
      <c r="AE118" s="117">
        <f t="shared" si="80"/>
        <v>0</v>
      </c>
      <c r="AF118" s="117">
        <f t="shared" si="81"/>
        <v>0</v>
      </c>
      <c r="AG118" s="117">
        <f t="shared" si="82"/>
        <v>0</v>
      </c>
      <c r="AH118" s="104">
        <f t="shared" si="66"/>
        <v>0</v>
      </c>
      <c r="AI118" s="117">
        <f t="shared" si="109"/>
        <v>0</v>
      </c>
      <c r="AJ118" s="117">
        <f t="shared" si="110"/>
        <v>11</v>
      </c>
      <c r="AK118" s="117">
        <f t="shared" si="111"/>
        <v>0</v>
      </c>
      <c r="AL118" s="104">
        <f t="shared" si="112"/>
        <v>11</v>
      </c>
      <c r="AM118" s="1221" t="str">
        <f t="shared" si="88"/>
        <v xml:space="preserve"> </v>
      </c>
      <c r="AN118" s="1221">
        <f t="shared" si="89"/>
        <v>0</v>
      </c>
      <c r="AO118" s="1221" t="str">
        <f t="shared" si="90"/>
        <v xml:space="preserve"> </v>
      </c>
      <c r="AP118" s="1221">
        <f t="shared" si="91"/>
        <v>0</v>
      </c>
      <c r="AQ118" s="1223" t="str">
        <f t="shared" si="102"/>
        <v xml:space="preserve"> </v>
      </c>
      <c r="AW118" s="107"/>
      <c r="BH118" s="105">
        <f>+AL118-'CONAP (ALL FUNDS)'!Q273</f>
        <v>0</v>
      </c>
      <c r="BL118" s="149">
        <f>+'CONAP (ALL FUNDS)'!F269</f>
        <v>0</v>
      </c>
      <c r="BM118" s="149">
        <f>+'CONAP (ALL FUNDS)'!G269</f>
        <v>11</v>
      </c>
      <c r="BN118" s="149">
        <f>+'CONAP (ALL FUNDS)'!H269</f>
        <v>0</v>
      </c>
      <c r="BP118" s="216">
        <f t="shared" si="94"/>
        <v>0</v>
      </c>
      <c r="BQ118" s="216">
        <f t="shared" si="95"/>
        <v>0</v>
      </c>
      <c r="BR118" s="216">
        <f t="shared" si="96"/>
        <v>0</v>
      </c>
    </row>
    <row r="119" spans="1:70" ht="24">
      <c r="A119" s="587" t="s">
        <v>936</v>
      </c>
      <c r="B119" s="1237" t="s">
        <v>552</v>
      </c>
      <c r="C119" s="113"/>
      <c r="D119" s="113"/>
      <c r="E119" s="113"/>
      <c r="F119" s="104">
        <f t="shared" si="68"/>
        <v>0</v>
      </c>
      <c r="G119" s="113">
        <f>+'CONAP (ALL FUNDS)'!F282</f>
        <v>0</v>
      </c>
      <c r="H119" s="113">
        <f>+'CONAP (ALL FUNDS)'!G282</f>
        <v>-648864.24</v>
      </c>
      <c r="I119" s="113">
        <f>+'CONAP (ALL FUNDS)'!H282</f>
        <v>0</v>
      </c>
      <c r="J119" s="104">
        <f t="shared" si="69"/>
        <v>-648864.24</v>
      </c>
      <c r="K119" s="113">
        <v>0</v>
      </c>
      <c r="L119" s="113">
        <v>1028864.24</v>
      </c>
      <c r="M119" s="113">
        <v>0</v>
      </c>
      <c r="N119" s="104">
        <f t="shared" si="70"/>
        <v>1028864.24</v>
      </c>
      <c r="O119" s="113">
        <f t="shared" si="71"/>
        <v>0</v>
      </c>
      <c r="P119" s="113">
        <f t="shared" si="72"/>
        <v>380000</v>
      </c>
      <c r="Q119" s="113">
        <f t="shared" si="73"/>
        <v>0</v>
      </c>
      <c r="R119" s="104">
        <f t="shared" si="74"/>
        <v>380000</v>
      </c>
      <c r="S119" s="113">
        <f t="shared" si="75"/>
        <v>0</v>
      </c>
      <c r="T119" s="113">
        <f t="shared" si="76"/>
        <v>380000</v>
      </c>
      <c r="U119" s="113">
        <f t="shared" si="77"/>
        <v>0</v>
      </c>
      <c r="V119" s="104">
        <f t="shared" si="78"/>
        <v>380000</v>
      </c>
      <c r="W119" s="113">
        <f>+'CONAP (ALL FUNDS)'!J280</f>
        <v>0</v>
      </c>
      <c r="X119" s="113">
        <f>+'CONAP (ALL FUNDS)'!K280</f>
        <v>0</v>
      </c>
      <c r="Y119" s="113">
        <f>+'CONAP (ALL FUNDS)'!L280</f>
        <v>0</v>
      </c>
      <c r="Z119" s="104">
        <f t="shared" si="64"/>
        <v>0</v>
      </c>
      <c r="AA119" s="113">
        <f>+'CONAP (ALL FUNDS)'!J281</f>
        <v>0</v>
      </c>
      <c r="AB119" s="113">
        <f>+'CONAP (ALL FUNDS)'!K281</f>
        <v>375694.5</v>
      </c>
      <c r="AC119" s="113">
        <f>+'CONAP (ALL FUNDS)'!L281</f>
        <v>0</v>
      </c>
      <c r="AD119" s="104">
        <f t="shared" si="65"/>
        <v>375694.5</v>
      </c>
      <c r="AE119" s="117">
        <f t="shared" si="80"/>
        <v>0</v>
      </c>
      <c r="AF119" s="117">
        <f t="shared" si="81"/>
        <v>375694.5</v>
      </c>
      <c r="AG119" s="117">
        <f t="shared" si="82"/>
        <v>0</v>
      </c>
      <c r="AH119" s="104">
        <f t="shared" si="66"/>
        <v>375694.5</v>
      </c>
      <c r="AI119" s="117">
        <f t="shared" si="109"/>
        <v>0</v>
      </c>
      <c r="AJ119" s="117">
        <f t="shared" si="110"/>
        <v>4305.5</v>
      </c>
      <c r="AK119" s="117">
        <f t="shared" si="111"/>
        <v>0</v>
      </c>
      <c r="AL119" s="104">
        <f t="shared" si="112"/>
        <v>4305.5</v>
      </c>
      <c r="AM119" s="1221" t="str">
        <f t="shared" si="88"/>
        <v xml:space="preserve"> </v>
      </c>
      <c r="AN119" s="1221">
        <f t="shared" si="89"/>
        <v>0.98866973684210524</v>
      </c>
      <c r="AO119" s="1221" t="str">
        <f t="shared" si="90"/>
        <v xml:space="preserve"> </v>
      </c>
      <c r="AP119" s="1221">
        <f t="shared" si="91"/>
        <v>0.98866973684210524</v>
      </c>
      <c r="AQ119" s="1223" t="str">
        <f t="shared" si="102"/>
        <v xml:space="preserve"> </v>
      </c>
      <c r="AW119" s="107"/>
      <c r="BH119" s="105">
        <f>+AL119-'CONAP (ALL FUNDS)'!Q284</f>
        <v>0</v>
      </c>
      <c r="BL119" s="149">
        <f>+'CONAP (ALL FUNDS)'!F280</f>
        <v>0</v>
      </c>
      <c r="BM119" s="149">
        <f>+'CONAP (ALL FUNDS)'!G280</f>
        <v>0</v>
      </c>
      <c r="BN119" s="149">
        <f>+'CONAP (ALL FUNDS)'!H280</f>
        <v>0</v>
      </c>
      <c r="BP119" s="216">
        <f t="shared" si="94"/>
        <v>0</v>
      </c>
      <c r="BQ119" s="216">
        <f t="shared" si="95"/>
        <v>0</v>
      </c>
      <c r="BR119" s="216">
        <f t="shared" si="96"/>
        <v>0</v>
      </c>
    </row>
    <row r="120" spans="1:70" ht="12.75">
      <c r="B120" s="1238"/>
      <c r="C120" s="113"/>
      <c r="D120" s="113"/>
      <c r="E120" s="113"/>
      <c r="F120" s="104"/>
      <c r="G120" s="113"/>
      <c r="H120" s="113"/>
      <c r="I120" s="113"/>
      <c r="J120" s="104"/>
      <c r="K120" s="113"/>
      <c r="L120" s="113"/>
      <c r="M120" s="113"/>
      <c r="N120" s="104"/>
      <c r="O120" s="113"/>
      <c r="P120" s="113"/>
      <c r="Q120" s="113"/>
      <c r="R120" s="104"/>
      <c r="S120" s="113"/>
      <c r="T120" s="113"/>
      <c r="U120" s="113"/>
      <c r="V120" s="104"/>
      <c r="W120" s="113"/>
      <c r="X120" s="113"/>
      <c r="Y120" s="113"/>
      <c r="Z120" s="104"/>
      <c r="AA120" s="113"/>
      <c r="AB120" s="113"/>
      <c r="AC120" s="113"/>
      <c r="AD120" s="104"/>
      <c r="AE120" s="117"/>
      <c r="AF120" s="117"/>
      <c r="AG120" s="117"/>
      <c r="AH120" s="104"/>
      <c r="AI120" s="117">
        <f t="shared" si="109"/>
        <v>0</v>
      </c>
      <c r="AJ120" s="117">
        <f t="shared" si="110"/>
        <v>0</v>
      </c>
      <c r="AK120" s="117">
        <f t="shared" si="111"/>
        <v>0</v>
      </c>
      <c r="AL120" s="104">
        <f t="shared" si="112"/>
        <v>0</v>
      </c>
      <c r="AM120" s="1221" t="str">
        <f t="shared" si="88"/>
        <v xml:space="preserve"> </v>
      </c>
      <c r="AN120" s="1221" t="str">
        <f t="shared" si="89"/>
        <v xml:space="preserve"> </v>
      </c>
      <c r="AO120" s="1221" t="str">
        <f t="shared" si="90"/>
        <v xml:space="preserve"> </v>
      </c>
      <c r="AP120" s="1221" t="str">
        <f t="shared" si="91"/>
        <v xml:space="preserve"> </v>
      </c>
      <c r="AQ120" s="1223"/>
      <c r="AW120" s="107"/>
      <c r="BL120" s="149"/>
      <c r="BM120" s="149"/>
      <c r="BN120" s="149"/>
      <c r="BP120" s="216">
        <f t="shared" si="94"/>
        <v>0</v>
      </c>
      <c r="BQ120" s="216">
        <f t="shared" si="95"/>
        <v>0</v>
      </c>
      <c r="BR120" s="216">
        <f t="shared" si="96"/>
        <v>0</v>
      </c>
    </row>
    <row r="121" spans="1:70" ht="12.75">
      <c r="A121" s="587" t="s">
        <v>936</v>
      </c>
      <c r="B121" s="1235" t="s">
        <v>29</v>
      </c>
      <c r="C121" s="113">
        <f t="shared" ref="C121:N121" si="113">SUM(C122:C126)</f>
        <v>0</v>
      </c>
      <c r="D121" s="113">
        <f t="shared" si="113"/>
        <v>2779696.8099999996</v>
      </c>
      <c r="E121" s="113">
        <f t="shared" si="113"/>
        <v>0</v>
      </c>
      <c r="F121" s="113">
        <f t="shared" si="113"/>
        <v>2779696.8099999996</v>
      </c>
      <c r="G121" s="113">
        <f t="shared" si="113"/>
        <v>0</v>
      </c>
      <c r="H121" s="113">
        <f t="shared" si="113"/>
        <v>-12617578.82</v>
      </c>
      <c r="I121" s="113">
        <f t="shared" si="113"/>
        <v>0</v>
      </c>
      <c r="J121" s="113">
        <f t="shared" si="113"/>
        <v>-12617578.82</v>
      </c>
      <c r="K121" s="113">
        <f t="shared" si="113"/>
        <v>0</v>
      </c>
      <c r="L121" s="113">
        <f t="shared" si="113"/>
        <v>16298569.969999999</v>
      </c>
      <c r="M121" s="113">
        <f t="shared" si="113"/>
        <v>0</v>
      </c>
      <c r="N121" s="113">
        <f t="shared" si="113"/>
        <v>16298569.969999999</v>
      </c>
      <c r="O121" s="113">
        <f t="shared" si="71"/>
        <v>0</v>
      </c>
      <c r="P121" s="113">
        <f t="shared" si="72"/>
        <v>3680991.1499999985</v>
      </c>
      <c r="Q121" s="113">
        <f t="shared" si="73"/>
        <v>0</v>
      </c>
      <c r="R121" s="104">
        <f t="shared" si="74"/>
        <v>3680991.1499999985</v>
      </c>
      <c r="S121" s="113">
        <f t="shared" si="75"/>
        <v>0</v>
      </c>
      <c r="T121" s="113">
        <f t="shared" si="76"/>
        <v>6460687.9599999981</v>
      </c>
      <c r="U121" s="113">
        <f t="shared" si="77"/>
        <v>0</v>
      </c>
      <c r="V121" s="104">
        <f t="shared" si="78"/>
        <v>6460687.9599999981</v>
      </c>
      <c r="W121" s="113">
        <f>SUM(W122:W126)</f>
        <v>0</v>
      </c>
      <c r="X121" s="113">
        <f>SUM(X122:X126)</f>
        <v>2779498.1300000004</v>
      </c>
      <c r="Y121" s="113">
        <f>SUM(Y122:Y126)</f>
        <v>0</v>
      </c>
      <c r="Z121" s="104">
        <f t="shared" si="64"/>
        <v>2779498.1300000004</v>
      </c>
      <c r="AA121" s="113">
        <f>SUM(AA122:AA126)</f>
        <v>0</v>
      </c>
      <c r="AB121" s="113">
        <f>SUM(AB122:AB126)</f>
        <v>2703630.5200000005</v>
      </c>
      <c r="AC121" s="113">
        <f>SUM(AC122:AC126)</f>
        <v>0</v>
      </c>
      <c r="AD121" s="104">
        <f t="shared" si="65"/>
        <v>2703630.5200000005</v>
      </c>
      <c r="AE121" s="117">
        <f t="shared" si="80"/>
        <v>0</v>
      </c>
      <c r="AF121" s="117">
        <f t="shared" si="81"/>
        <v>5483128.6500000004</v>
      </c>
      <c r="AG121" s="117">
        <f t="shared" si="82"/>
        <v>0</v>
      </c>
      <c r="AH121" s="104">
        <f t="shared" si="66"/>
        <v>5483128.6500000004</v>
      </c>
      <c r="AI121" s="117">
        <f t="shared" si="109"/>
        <v>0</v>
      </c>
      <c r="AJ121" s="117">
        <f t="shared" si="110"/>
        <v>977559.30999999773</v>
      </c>
      <c r="AK121" s="117">
        <f t="shared" si="111"/>
        <v>0</v>
      </c>
      <c r="AL121" s="104">
        <f t="shared" si="112"/>
        <v>977559.30999999773</v>
      </c>
      <c r="AM121" s="1221" t="str">
        <f t="shared" si="88"/>
        <v xml:space="preserve"> </v>
      </c>
      <c r="AN121" s="1221">
        <f t="shared" si="89"/>
        <v>0.84869114310235194</v>
      </c>
      <c r="AO121" s="1221" t="str">
        <f t="shared" si="90"/>
        <v xml:space="preserve"> </v>
      </c>
      <c r="AP121" s="1221">
        <f t="shared" si="91"/>
        <v>0.84869114310235194</v>
      </c>
      <c r="AQ121" s="1223" t="str">
        <f t="shared" si="102"/>
        <v xml:space="preserve"> </v>
      </c>
      <c r="AW121" s="107"/>
      <c r="BL121" s="149">
        <f>SUM(BL122:BL126)</f>
        <v>0</v>
      </c>
      <c r="BM121" s="149">
        <f t="shared" ref="BM121:BN121" si="114">SUM(BM122:BM126)</f>
        <v>2779696.8099999996</v>
      </c>
      <c r="BN121" s="149">
        <f t="shared" si="114"/>
        <v>0</v>
      </c>
      <c r="BP121" s="216">
        <f t="shared" si="94"/>
        <v>0</v>
      </c>
      <c r="BQ121" s="216">
        <f t="shared" si="95"/>
        <v>0</v>
      </c>
      <c r="BR121" s="216">
        <f t="shared" si="96"/>
        <v>0</v>
      </c>
    </row>
    <row r="122" spans="1:70" ht="48">
      <c r="A122" s="587" t="s">
        <v>936</v>
      </c>
      <c r="B122" s="1236" t="s">
        <v>553</v>
      </c>
      <c r="C122" s="113"/>
      <c r="D122" s="113"/>
      <c r="E122" s="113"/>
      <c r="F122" s="104">
        <f t="shared" si="68"/>
        <v>0</v>
      </c>
      <c r="G122" s="113">
        <f>+'CONAP (ALL FUNDS)'!F320</f>
        <v>0</v>
      </c>
      <c r="H122" s="113">
        <f>+'CONAP (ALL FUNDS)'!G320</f>
        <v>-2724466.02</v>
      </c>
      <c r="I122" s="113">
        <f>+'CONAP (ALL FUNDS)'!H320</f>
        <v>0</v>
      </c>
      <c r="J122" s="104">
        <f t="shared" si="69"/>
        <v>-2724466.02</v>
      </c>
      <c r="K122" s="113">
        <v>0</v>
      </c>
      <c r="L122" s="113">
        <v>3018415.92</v>
      </c>
      <c r="M122" s="113">
        <v>0</v>
      </c>
      <c r="N122" s="104">
        <f t="shared" si="70"/>
        <v>3018415.92</v>
      </c>
      <c r="O122" s="113">
        <f t="shared" si="71"/>
        <v>0</v>
      </c>
      <c r="P122" s="113">
        <f t="shared" si="72"/>
        <v>293949.89999999991</v>
      </c>
      <c r="Q122" s="113">
        <f t="shared" si="73"/>
        <v>0</v>
      </c>
      <c r="R122" s="104">
        <f t="shared" si="74"/>
        <v>293949.89999999991</v>
      </c>
      <c r="S122" s="113">
        <f t="shared" si="75"/>
        <v>0</v>
      </c>
      <c r="T122" s="113">
        <f t="shared" si="76"/>
        <v>293949.89999999991</v>
      </c>
      <c r="U122" s="113">
        <f t="shared" si="77"/>
        <v>0</v>
      </c>
      <c r="V122" s="104">
        <f t="shared" si="78"/>
        <v>293949.89999999991</v>
      </c>
      <c r="W122" s="113">
        <f>+'CONAP (ALL FUNDS)'!J318</f>
        <v>0</v>
      </c>
      <c r="X122" s="113">
        <f>+'CONAP (ALL FUNDS)'!K318</f>
        <v>0</v>
      </c>
      <c r="Y122" s="113">
        <f>+'CONAP (ALL FUNDS)'!L318</f>
        <v>0</v>
      </c>
      <c r="Z122" s="104">
        <f t="shared" si="64"/>
        <v>0</v>
      </c>
      <c r="AA122" s="113">
        <f>+'CONAP (ALL FUNDS)'!J319</f>
        <v>0</v>
      </c>
      <c r="AB122" s="113">
        <f>+'CONAP (ALL FUNDS)'!K319</f>
        <v>111802.29999999999</v>
      </c>
      <c r="AC122" s="113">
        <f>+'CONAP (ALL FUNDS)'!L319</f>
        <v>0</v>
      </c>
      <c r="AD122" s="104">
        <f t="shared" si="65"/>
        <v>111802.29999999999</v>
      </c>
      <c r="AE122" s="117">
        <f t="shared" si="80"/>
        <v>0</v>
      </c>
      <c r="AF122" s="117">
        <f t="shared" si="81"/>
        <v>111802.29999999999</v>
      </c>
      <c r="AG122" s="117">
        <f t="shared" si="82"/>
        <v>0</v>
      </c>
      <c r="AH122" s="104">
        <f t="shared" si="66"/>
        <v>111802.29999999999</v>
      </c>
      <c r="AI122" s="117">
        <f t="shared" si="109"/>
        <v>0</v>
      </c>
      <c r="AJ122" s="117">
        <f t="shared" si="110"/>
        <v>182147.59999999992</v>
      </c>
      <c r="AK122" s="117">
        <f t="shared" si="111"/>
        <v>0</v>
      </c>
      <c r="AL122" s="104">
        <f t="shared" si="112"/>
        <v>182147.59999999992</v>
      </c>
      <c r="AM122" s="1221" t="str">
        <f t="shared" si="88"/>
        <v xml:space="preserve"> </v>
      </c>
      <c r="AN122" s="1221">
        <f t="shared" si="89"/>
        <v>0.38034474582233241</v>
      </c>
      <c r="AO122" s="1221" t="str">
        <f t="shared" si="90"/>
        <v xml:space="preserve"> </v>
      </c>
      <c r="AP122" s="1221">
        <f t="shared" si="91"/>
        <v>0.38034474582233241</v>
      </c>
      <c r="AQ122" s="1223" t="str">
        <f t="shared" si="102"/>
        <v xml:space="preserve"> </v>
      </c>
      <c r="AW122" s="107"/>
      <c r="BH122" s="105">
        <f>+AL122-'CONAP (ALL FUNDS)'!Q322</f>
        <v>0</v>
      </c>
      <c r="BL122" s="149">
        <f>+'CONAP (ALL FUNDS)'!F318</f>
        <v>0</v>
      </c>
      <c r="BM122" s="149">
        <f>+'CONAP (ALL FUNDS)'!G318</f>
        <v>0</v>
      </c>
      <c r="BN122" s="149">
        <f>+'CONAP (ALL FUNDS)'!H318</f>
        <v>0</v>
      </c>
      <c r="BP122" s="216">
        <f t="shared" si="94"/>
        <v>0</v>
      </c>
      <c r="BQ122" s="216">
        <f t="shared" si="95"/>
        <v>0</v>
      </c>
      <c r="BR122" s="216">
        <f t="shared" si="96"/>
        <v>0</v>
      </c>
    </row>
    <row r="123" spans="1:70" ht="36">
      <c r="A123" s="587" t="s">
        <v>936</v>
      </c>
      <c r="B123" s="1236" t="s">
        <v>554</v>
      </c>
      <c r="C123" s="113"/>
      <c r="D123" s="113"/>
      <c r="E123" s="113"/>
      <c r="F123" s="104">
        <f t="shared" si="68"/>
        <v>0</v>
      </c>
      <c r="G123" s="113">
        <f>+'CONAP (ALL FUNDS)'!F331</f>
        <v>0</v>
      </c>
      <c r="H123" s="113">
        <f>+'CONAP (ALL FUNDS)'!G331</f>
        <v>0</v>
      </c>
      <c r="I123" s="113">
        <f>+'CONAP (ALL FUNDS)'!H331</f>
        <v>0</v>
      </c>
      <c r="J123" s="104">
        <f t="shared" si="69"/>
        <v>0</v>
      </c>
      <c r="K123" s="113">
        <v>0</v>
      </c>
      <c r="L123" s="113">
        <v>2155124</v>
      </c>
      <c r="M123" s="113">
        <v>0</v>
      </c>
      <c r="N123" s="104">
        <f t="shared" si="70"/>
        <v>2155124</v>
      </c>
      <c r="O123" s="113">
        <f t="shared" si="71"/>
        <v>0</v>
      </c>
      <c r="P123" s="113">
        <f t="shared" si="72"/>
        <v>2155124</v>
      </c>
      <c r="Q123" s="113">
        <f t="shared" si="73"/>
        <v>0</v>
      </c>
      <c r="R123" s="104">
        <f t="shared" si="74"/>
        <v>2155124</v>
      </c>
      <c r="S123" s="113">
        <f t="shared" si="75"/>
        <v>0</v>
      </c>
      <c r="T123" s="113">
        <f t="shared" si="76"/>
        <v>2155124</v>
      </c>
      <c r="U123" s="113">
        <f t="shared" si="77"/>
        <v>0</v>
      </c>
      <c r="V123" s="104">
        <f t="shared" si="78"/>
        <v>2155124</v>
      </c>
      <c r="W123" s="113">
        <f>+'CONAP (ALL FUNDS)'!J329</f>
        <v>0</v>
      </c>
      <c r="X123" s="113">
        <f>+'CONAP (ALL FUNDS)'!K329</f>
        <v>0</v>
      </c>
      <c r="Y123" s="113">
        <f>+'CONAP (ALL FUNDS)'!L329</f>
        <v>0</v>
      </c>
      <c r="Z123" s="104">
        <f t="shared" si="64"/>
        <v>0</v>
      </c>
      <c r="AA123" s="113">
        <f>+'CONAP (ALL FUNDS)'!J330</f>
        <v>0</v>
      </c>
      <c r="AB123" s="113">
        <f>+'CONAP (ALL FUNDS)'!K330</f>
        <v>1673295.78</v>
      </c>
      <c r="AC123" s="113">
        <f>+'CONAP (ALL FUNDS)'!L330</f>
        <v>0</v>
      </c>
      <c r="AD123" s="104">
        <f t="shared" si="65"/>
        <v>1673295.78</v>
      </c>
      <c r="AE123" s="117">
        <f t="shared" si="80"/>
        <v>0</v>
      </c>
      <c r="AF123" s="117">
        <f t="shared" si="81"/>
        <v>1673295.78</v>
      </c>
      <c r="AG123" s="117">
        <f t="shared" si="82"/>
        <v>0</v>
      </c>
      <c r="AH123" s="104">
        <f t="shared" si="66"/>
        <v>1673295.78</v>
      </c>
      <c r="AI123" s="117">
        <f t="shared" si="109"/>
        <v>0</v>
      </c>
      <c r="AJ123" s="117">
        <f t="shared" si="110"/>
        <v>481828.22</v>
      </c>
      <c r="AK123" s="117">
        <f t="shared" si="111"/>
        <v>0</v>
      </c>
      <c r="AL123" s="104">
        <f t="shared" si="112"/>
        <v>481828.22</v>
      </c>
      <c r="AM123" s="1221" t="str">
        <f t="shared" si="88"/>
        <v xml:space="preserve"> </v>
      </c>
      <c r="AN123" s="1221">
        <f t="shared" si="89"/>
        <v>0.77642668356901967</v>
      </c>
      <c r="AO123" s="1221" t="str">
        <f t="shared" si="90"/>
        <v xml:space="preserve"> </v>
      </c>
      <c r="AP123" s="1221">
        <f t="shared" si="91"/>
        <v>0.77642668356901967</v>
      </c>
      <c r="AQ123" s="1223" t="str">
        <f t="shared" si="102"/>
        <v xml:space="preserve"> </v>
      </c>
      <c r="AW123" s="107"/>
      <c r="BH123" s="105">
        <f>+AL123-'CONAP (ALL FUNDS)'!Q333</f>
        <v>0</v>
      </c>
      <c r="BL123" s="149">
        <f>+'CONAP (ALL FUNDS)'!F329</f>
        <v>0</v>
      </c>
      <c r="BM123" s="149">
        <f>+'CONAP (ALL FUNDS)'!G329</f>
        <v>0</v>
      </c>
      <c r="BN123" s="149">
        <f>+'CONAP (ALL FUNDS)'!H329</f>
        <v>0</v>
      </c>
      <c r="BP123" s="216">
        <f t="shared" si="94"/>
        <v>0</v>
      </c>
      <c r="BQ123" s="216">
        <f t="shared" si="95"/>
        <v>0</v>
      </c>
      <c r="BR123" s="216">
        <f t="shared" si="96"/>
        <v>0</v>
      </c>
    </row>
    <row r="124" spans="1:70" ht="36">
      <c r="A124" s="587" t="s">
        <v>936</v>
      </c>
      <c r="B124" s="1236" t="s">
        <v>555</v>
      </c>
      <c r="C124" s="113">
        <v>0</v>
      </c>
      <c r="D124" s="113">
        <v>5049.78</v>
      </c>
      <c r="E124" s="113">
        <v>0</v>
      </c>
      <c r="F124" s="104">
        <f t="shared" si="68"/>
        <v>5049.78</v>
      </c>
      <c r="G124" s="113">
        <f>+'CONAP (ALL FUNDS)'!F342</f>
        <v>0</v>
      </c>
      <c r="H124" s="113">
        <f>+'CONAP (ALL FUNDS)'!G342</f>
        <v>-3272578.66</v>
      </c>
      <c r="I124" s="113">
        <f>+'CONAP (ALL FUNDS)'!H342</f>
        <v>0</v>
      </c>
      <c r="J124" s="104">
        <f t="shared" si="69"/>
        <v>-3272578.66</v>
      </c>
      <c r="K124" s="113">
        <v>0</v>
      </c>
      <c r="L124" s="113">
        <v>3688110.86</v>
      </c>
      <c r="M124" s="113">
        <v>0</v>
      </c>
      <c r="N124" s="104">
        <f t="shared" si="70"/>
        <v>3688110.86</v>
      </c>
      <c r="O124" s="113">
        <f t="shared" si="71"/>
        <v>0</v>
      </c>
      <c r="P124" s="113">
        <f t="shared" si="72"/>
        <v>415532.19999999972</v>
      </c>
      <c r="Q124" s="113">
        <f t="shared" si="73"/>
        <v>0</v>
      </c>
      <c r="R124" s="104">
        <f t="shared" si="74"/>
        <v>415532.19999999972</v>
      </c>
      <c r="S124" s="113">
        <f t="shared" si="75"/>
        <v>0</v>
      </c>
      <c r="T124" s="113">
        <f t="shared" si="76"/>
        <v>420581.97999999975</v>
      </c>
      <c r="U124" s="113">
        <f t="shared" si="77"/>
        <v>0</v>
      </c>
      <c r="V124" s="104">
        <f t="shared" si="78"/>
        <v>420581.97999999975</v>
      </c>
      <c r="W124" s="113">
        <f>+'CONAP (ALL FUNDS)'!J340</f>
        <v>0</v>
      </c>
      <c r="X124" s="113">
        <f>+'CONAP (ALL FUNDS)'!K340</f>
        <v>4851.1000000000004</v>
      </c>
      <c r="Y124" s="113">
        <f>+'CONAP (ALL FUNDS)'!L340</f>
        <v>0</v>
      </c>
      <c r="Z124" s="104">
        <f t="shared" si="64"/>
        <v>4851.1000000000004</v>
      </c>
      <c r="AA124" s="113">
        <f>+'CONAP (ALL FUNDS)'!J341</f>
        <v>0</v>
      </c>
      <c r="AB124" s="113">
        <f>+'CONAP (ALL FUNDS)'!K341</f>
        <v>338502.78000000009</v>
      </c>
      <c r="AC124" s="113">
        <f>+'CONAP (ALL FUNDS)'!L341</f>
        <v>0</v>
      </c>
      <c r="AD124" s="104">
        <f t="shared" si="65"/>
        <v>338502.78000000009</v>
      </c>
      <c r="AE124" s="117">
        <f t="shared" si="80"/>
        <v>0</v>
      </c>
      <c r="AF124" s="117">
        <f t="shared" si="81"/>
        <v>343353.88000000006</v>
      </c>
      <c r="AG124" s="117">
        <f t="shared" si="82"/>
        <v>0</v>
      </c>
      <c r="AH124" s="104">
        <f t="shared" si="66"/>
        <v>343353.88000000006</v>
      </c>
      <c r="AI124" s="117">
        <f t="shared" si="109"/>
        <v>0</v>
      </c>
      <c r="AJ124" s="117">
        <f t="shared" si="110"/>
        <v>77228.099999999686</v>
      </c>
      <c r="AK124" s="117">
        <f t="shared" si="111"/>
        <v>0</v>
      </c>
      <c r="AL124" s="104">
        <f t="shared" si="112"/>
        <v>77228.099999999686</v>
      </c>
      <c r="AM124" s="1221" t="str">
        <f t="shared" si="88"/>
        <v xml:space="preserve"> </v>
      </c>
      <c r="AN124" s="1221">
        <f t="shared" si="89"/>
        <v>0.81637801029896784</v>
      </c>
      <c r="AO124" s="1221" t="str">
        <f t="shared" si="90"/>
        <v xml:space="preserve"> </v>
      </c>
      <c r="AP124" s="1221">
        <f t="shared" si="91"/>
        <v>0.81637801029896784</v>
      </c>
      <c r="AQ124" s="1223" t="str">
        <f t="shared" si="102"/>
        <v xml:space="preserve"> </v>
      </c>
      <c r="AW124" s="107"/>
      <c r="BH124" s="105">
        <f>+AL124-'CONAP (ALL FUNDS)'!Q344</f>
        <v>0</v>
      </c>
      <c r="BL124" s="149">
        <f>+'CONAP (ALL FUNDS)'!F340</f>
        <v>0</v>
      </c>
      <c r="BM124" s="149">
        <f>+'CONAP (ALL FUNDS)'!G340</f>
        <v>5049.78</v>
      </c>
      <c r="BN124" s="149">
        <f>+'CONAP (ALL FUNDS)'!H340</f>
        <v>0</v>
      </c>
      <c r="BP124" s="216">
        <f t="shared" si="94"/>
        <v>0</v>
      </c>
      <c r="BQ124" s="216">
        <f t="shared" si="95"/>
        <v>0</v>
      </c>
      <c r="BR124" s="216">
        <f t="shared" si="96"/>
        <v>0</v>
      </c>
    </row>
    <row r="125" spans="1:70" ht="12.75">
      <c r="A125" s="587" t="s">
        <v>936</v>
      </c>
      <c r="B125" s="1234" t="s">
        <v>556</v>
      </c>
      <c r="C125" s="113"/>
      <c r="D125" s="113"/>
      <c r="E125" s="113"/>
      <c r="F125" s="104">
        <f t="shared" si="68"/>
        <v>0</v>
      </c>
      <c r="G125" s="113">
        <f>+'CONAP (ALL FUNDS)'!F353</f>
        <v>0</v>
      </c>
      <c r="H125" s="113">
        <f>+'CONAP (ALL FUNDS)'!G353</f>
        <v>-3987389.48</v>
      </c>
      <c r="I125" s="113">
        <f>+'CONAP (ALL FUNDS)'!H353</f>
        <v>0</v>
      </c>
      <c r="J125" s="104">
        <f t="shared" si="69"/>
        <v>-3987389.48</v>
      </c>
      <c r="K125" s="113">
        <v>0</v>
      </c>
      <c r="L125" s="113">
        <v>4367389.4800000004</v>
      </c>
      <c r="M125" s="113">
        <v>0</v>
      </c>
      <c r="N125" s="104">
        <f t="shared" si="70"/>
        <v>4367389.4800000004</v>
      </c>
      <c r="O125" s="113">
        <f t="shared" si="71"/>
        <v>0</v>
      </c>
      <c r="P125" s="113">
        <f t="shared" si="72"/>
        <v>380000.00000000047</v>
      </c>
      <c r="Q125" s="113">
        <f t="shared" si="73"/>
        <v>0</v>
      </c>
      <c r="R125" s="104">
        <f t="shared" si="74"/>
        <v>380000.00000000047</v>
      </c>
      <c r="S125" s="113">
        <f t="shared" si="75"/>
        <v>0</v>
      </c>
      <c r="T125" s="113">
        <f t="shared" si="76"/>
        <v>380000.00000000047</v>
      </c>
      <c r="U125" s="113">
        <f t="shared" si="77"/>
        <v>0</v>
      </c>
      <c r="V125" s="104">
        <f t="shared" si="78"/>
        <v>380000.00000000047</v>
      </c>
      <c r="W125" s="113">
        <f>+'CONAP (ALL FUNDS)'!J351</f>
        <v>0</v>
      </c>
      <c r="X125" s="113">
        <f>+'CONAP (ALL FUNDS)'!K351</f>
        <v>0</v>
      </c>
      <c r="Y125" s="113">
        <f>+'CONAP (ALL FUNDS)'!L351</f>
        <v>0</v>
      </c>
      <c r="Z125" s="104">
        <f t="shared" si="64"/>
        <v>0</v>
      </c>
      <c r="AA125" s="113">
        <f>+'CONAP (ALL FUNDS)'!J352</f>
        <v>0</v>
      </c>
      <c r="AB125" s="113">
        <f>+'CONAP (ALL FUNDS)'!K352</f>
        <v>164924.63999999998</v>
      </c>
      <c r="AC125" s="113">
        <f>+'CONAP (ALL FUNDS)'!L352</f>
        <v>0</v>
      </c>
      <c r="AD125" s="104">
        <f t="shared" si="65"/>
        <v>164924.63999999998</v>
      </c>
      <c r="AE125" s="117">
        <f t="shared" si="80"/>
        <v>0</v>
      </c>
      <c r="AF125" s="117">
        <f t="shared" si="81"/>
        <v>164924.63999999998</v>
      </c>
      <c r="AG125" s="117">
        <f t="shared" si="82"/>
        <v>0</v>
      </c>
      <c r="AH125" s="104">
        <f t="shared" si="66"/>
        <v>164924.63999999998</v>
      </c>
      <c r="AI125" s="117">
        <f t="shared" si="109"/>
        <v>0</v>
      </c>
      <c r="AJ125" s="117">
        <f t="shared" si="110"/>
        <v>215075.36000000048</v>
      </c>
      <c r="AK125" s="117">
        <f t="shared" si="111"/>
        <v>0</v>
      </c>
      <c r="AL125" s="104">
        <f t="shared" si="112"/>
        <v>215075.36000000048</v>
      </c>
      <c r="AM125" s="1221" t="str">
        <f t="shared" si="88"/>
        <v xml:space="preserve"> </v>
      </c>
      <c r="AN125" s="1221">
        <f t="shared" si="89"/>
        <v>0.43401221052631522</v>
      </c>
      <c r="AO125" s="1221" t="str">
        <f t="shared" si="90"/>
        <v xml:space="preserve"> </v>
      </c>
      <c r="AP125" s="1221">
        <f t="shared" si="91"/>
        <v>0.43401221052631522</v>
      </c>
      <c r="AQ125" s="1223" t="str">
        <f t="shared" si="102"/>
        <v xml:space="preserve"> </v>
      </c>
      <c r="AW125" s="107"/>
      <c r="BH125" s="105">
        <f>+AL125-'CONAP (ALL FUNDS)'!Q355</f>
        <v>0</v>
      </c>
      <c r="BL125" s="149">
        <f>+'CONAP (ALL FUNDS)'!F351</f>
        <v>0</v>
      </c>
      <c r="BM125" s="149">
        <f>+'CONAP (ALL FUNDS)'!G351</f>
        <v>0</v>
      </c>
      <c r="BN125" s="149">
        <f>+'CONAP (ALL FUNDS)'!H351</f>
        <v>0</v>
      </c>
      <c r="BP125" s="216">
        <f t="shared" si="94"/>
        <v>0</v>
      </c>
      <c r="BQ125" s="216">
        <f t="shared" si="95"/>
        <v>0</v>
      </c>
      <c r="BR125" s="216">
        <f t="shared" si="96"/>
        <v>0</v>
      </c>
    </row>
    <row r="126" spans="1:70" ht="24">
      <c r="A126" s="587" t="s">
        <v>936</v>
      </c>
      <c r="B126" s="1237" t="s">
        <v>557</v>
      </c>
      <c r="C126" s="113">
        <v>0</v>
      </c>
      <c r="D126" s="113">
        <v>2774647.03</v>
      </c>
      <c r="E126" s="113">
        <v>0</v>
      </c>
      <c r="F126" s="104">
        <f t="shared" si="68"/>
        <v>2774647.03</v>
      </c>
      <c r="G126" s="113">
        <f>+'CONAP (ALL FUNDS)'!F364</f>
        <v>0</v>
      </c>
      <c r="H126" s="113">
        <f>+'CONAP (ALL FUNDS)'!G364</f>
        <v>-2633144.66</v>
      </c>
      <c r="I126" s="113">
        <f>+'CONAP (ALL FUNDS)'!H364</f>
        <v>0</v>
      </c>
      <c r="J126" s="104">
        <f t="shared" si="69"/>
        <v>-2633144.66</v>
      </c>
      <c r="K126" s="113">
        <v>0</v>
      </c>
      <c r="L126" s="113">
        <v>3069529.71</v>
      </c>
      <c r="M126" s="113">
        <v>0</v>
      </c>
      <c r="N126" s="104">
        <f t="shared" si="70"/>
        <v>3069529.71</v>
      </c>
      <c r="O126" s="113">
        <f t="shared" si="71"/>
        <v>0</v>
      </c>
      <c r="P126" s="113">
        <f t="shared" si="72"/>
        <v>436385.04999999981</v>
      </c>
      <c r="Q126" s="113">
        <f t="shared" si="73"/>
        <v>0</v>
      </c>
      <c r="R126" s="104">
        <f t="shared" si="74"/>
        <v>436385.04999999981</v>
      </c>
      <c r="S126" s="113">
        <f t="shared" si="75"/>
        <v>0</v>
      </c>
      <c r="T126" s="113">
        <f t="shared" si="76"/>
        <v>3211032.0799999996</v>
      </c>
      <c r="U126" s="113">
        <f t="shared" si="77"/>
        <v>0</v>
      </c>
      <c r="V126" s="104">
        <f t="shared" si="78"/>
        <v>3211032.0799999996</v>
      </c>
      <c r="W126" s="113">
        <f>+'CONAP (ALL FUNDS)'!J362</f>
        <v>0</v>
      </c>
      <c r="X126" s="113">
        <f>+'CONAP (ALL FUNDS)'!K362</f>
        <v>2774647.0300000003</v>
      </c>
      <c r="Y126" s="113">
        <f>+'CONAP (ALL FUNDS)'!L362</f>
        <v>0</v>
      </c>
      <c r="Z126" s="104">
        <f t="shared" si="64"/>
        <v>2774647.0300000003</v>
      </c>
      <c r="AA126" s="113">
        <f>+'CONAP (ALL FUNDS)'!J363</f>
        <v>0</v>
      </c>
      <c r="AB126" s="113">
        <f>+'CONAP (ALL FUNDS)'!K363</f>
        <v>415105.02</v>
      </c>
      <c r="AC126" s="113">
        <f>+'CONAP (ALL FUNDS)'!L363</f>
        <v>0</v>
      </c>
      <c r="AD126" s="104">
        <f t="shared" si="65"/>
        <v>415105.02</v>
      </c>
      <c r="AE126" s="117">
        <f t="shared" si="80"/>
        <v>0</v>
      </c>
      <c r="AF126" s="117">
        <f t="shared" si="81"/>
        <v>3189752.0500000003</v>
      </c>
      <c r="AG126" s="117">
        <f t="shared" si="82"/>
        <v>0</v>
      </c>
      <c r="AH126" s="104">
        <f t="shared" si="66"/>
        <v>3189752.0500000003</v>
      </c>
      <c r="AI126" s="117">
        <f t="shared" si="109"/>
        <v>0</v>
      </c>
      <c r="AJ126" s="117">
        <f t="shared" si="110"/>
        <v>21280.029999999329</v>
      </c>
      <c r="AK126" s="117">
        <f t="shared" si="111"/>
        <v>0</v>
      </c>
      <c r="AL126" s="104">
        <f t="shared" si="112"/>
        <v>21280.029999999329</v>
      </c>
      <c r="AM126" s="1221" t="str">
        <f t="shared" si="88"/>
        <v xml:space="preserve"> </v>
      </c>
      <c r="AN126" s="1221">
        <f t="shared" si="89"/>
        <v>0.993372837931909</v>
      </c>
      <c r="AO126" s="1221" t="str">
        <f t="shared" si="90"/>
        <v xml:space="preserve"> </v>
      </c>
      <c r="AP126" s="1221">
        <f t="shared" si="91"/>
        <v>0.993372837931909</v>
      </c>
      <c r="AQ126" s="1223" t="str">
        <f t="shared" si="102"/>
        <v xml:space="preserve"> </v>
      </c>
      <c r="AW126" s="107"/>
      <c r="BH126" s="105">
        <f>+AL126-'CONAP (ALL FUNDS)'!Q366</f>
        <v>-4.6566128730773926E-10</v>
      </c>
      <c r="BL126" s="149">
        <f>+'CONAP (ALL FUNDS)'!F362</f>
        <v>0</v>
      </c>
      <c r="BM126" s="149">
        <f>+'CONAP (ALL FUNDS)'!G362</f>
        <v>2774647.03</v>
      </c>
      <c r="BN126" s="149">
        <f>+'CONAP (ALL FUNDS)'!H362</f>
        <v>0</v>
      </c>
      <c r="BP126" s="216">
        <f t="shared" si="94"/>
        <v>0</v>
      </c>
      <c r="BQ126" s="216">
        <f t="shared" si="95"/>
        <v>0</v>
      </c>
      <c r="BR126" s="216">
        <f t="shared" si="96"/>
        <v>0</v>
      </c>
    </row>
    <row r="127" spans="1:70" ht="12.75">
      <c r="B127" s="1238"/>
      <c r="C127" s="113"/>
      <c r="D127" s="113"/>
      <c r="E127" s="113"/>
      <c r="F127" s="104">
        <f t="shared" si="68"/>
        <v>0</v>
      </c>
      <c r="G127" s="113"/>
      <c r="H127" s="113"/>
      <c r="I127" s="113"/>
      <c r="J127" s="104">
        <f t="shared" si="69"/>
        <v>0</v>
      </c>
      <c r="K127" s="113"/>
      <c r="L127" s="113"/>
      <c r="M127" s="113"/>
      <c r="N127" s="104">
        <f t="shared" si="70"/>
        <v>0</v>
      </c>
      <c r="O127" s="113">
        <f t="shared" si="71"/>
        <v>0</v>
      </c>
      <c r="P127" s="113">
        <f t="shared" si="72"/>
        <v>0</v>
      </c>
      <c r="Q127" s="113">
        <f t="shared" si="73"/>
        <v>0</v>
      </c>
      <c r="R127" s="104">
        <f t="shared" si="74"/>
        <v>0</v>
      </c>
      <c r="S127" s="113">
        <f t="shared" si="75"/>
        <v>0</v>
      </c>
      <c r="T127" s="113">
        <f t="shared" si="76"/>
        <v>0</v>
      </c>
      <c r="U127" s="113">
        <f t="shared" si="77"/>
        <v>0</v>
      </c>
      <c r="V127" s="104">
        <f t="shared" si="78"/>
        <v>0</v>
      </c>
      <c r="W127" s="113"/>
      <c r="X127" s="113"/>
      <c r="Y127" s="113"/>
      <c r="Z127" s="104">
        <f t="shared" si="64"/>
        <v>0</v>
      </c>
      <c r="AA127" s="113"/>
      <c r="AB127" s="113"/>
      <c r="AC127" s="113"/>
      <c r="AD127" s="104">
        <f t="shared" si="65"/>
        <v>0</v>
      </c>
      <c r="AE127" s="117">
        <f t="shared" si="80"/>
        <v>0</v>
      </c>
      <c r="AF127" s="117">
        <f t="shared" si="81"/>
        <v>0</v>
      </c>
      <c r="AG127" s="117">
        <f t="shared" si="82"/>
        <v>0</v>
      </c>
      <c r="AH127" s="104">
        <f t="shared" si="66"/>
        <v>0</v>
      </c>
      <c r="AI127" s="117">
        <f t="shared" si="109"/>
        <v>0</v>
      </c>
      <c r="AJ127" s="117">
        <f t="shared" si="110"/>
        <v>0</v>
      </c>
      <c r="AK127" s="117">
        <f t="shared" si="111"/>
        <v>0</v>
      </c>
      <c r="AL127" s="104">
        <f t="shared" si="112"/>
        <v>0</v>
      </c>
      <c r="AM127" s="1221" t="str">
        <f t="shared" si="88"/>
        <v xml:space="preserve"> </v>
      </c>
      <c r="AN127" s="1221" t="str">
        <f t="shared" si="89"/>
        <v xml:space="preserve"> </v>
      </c>
      <c r="AO127" s="1221" t="str">
        <f t="shared" si="90"/>
        <v xml:space="preserve"> </v>
      </c>
      <c r="AP127" s="1221" t="str">
        <f t="shared" si="91"/>
        <v xml:space="preserve"> </v>
      </c>
      <c r="AQ127" s="1223" t="str">
        <f t="shared" si="102"/>
        <v xml:space="preserve"> </v>
      </c>
      <c r="AW127" s="107"/>
      <c r="BL127" s="149"/>
      <c r="BM127" s="149"/>
      <c r="BN127" s="149"/>
      <c r="BP127" s="216">
        <f t="shared" si="94"/>
        <v>0</v>
      </c>
      <c r="BQ127" s="216">
        <f t="shared" si="95"/>
        <v>0</v>
      </c>
      <c r="BR127" s="216">
        <f t="shared" si="96"/>
        <v>0</v>
      </c>
    </row>
    <row r="128" spans="1:70" ht="12.75">
      <c r="A128" s="587" t="s">
        <v>939</v>
      </c>
      <c r="B128" s="1235" t="s">
        <v>30</v>
      </c>
      <c r="C128" s="113">
        <f>+C129</f>
        <v>0</v>
      </c>
      <c r="D128" s="113">
        <f>+D129</f>
        <v>0</v>
      </c>
      <c r="E128" s="113">
        <f>+E129</f>
        <v>0</v>
      </c>
      <c r="F128" s="113">
        <f>+F129</f>
        <v>0</v>
      </c>
      <c r="G128" s="113">
        <f t="shared" ref="G128:AC128" si="115">+G129</f>
        <v>0</v>
      </c>
      <c r="H128" s="113">
        <f t="shared" si="115"/>
        <v>0</v>
      </c>
      <c r="I128" s="113">
        <f t="shared" si="115"/>
        <v>0</v>
      </c>
      <c r="J128" s="113">
        <f t="shared" si="115"/>
        <v>0</v>
      </c>
      <c r="K128" s="113">
        <f t="shared" si="115"/>
        <v>0</v>
      </c>
      <c r="L128" s="113">
        <f t="shared" si="115"/>
        <v>4276266.33</v>
      </c>
      <c r="M128" s="113">
        <f t="shared" si="115"/>
        <v>0</v>
      </c>
      <c r="N128" s="113">
        <f t="shared" si="115"/>
        <v>4276266.33</v>
      </c>
      <c r="O128" s="113">
        <f t="shared" si="71"/>
        <v>0</v>
      </c>
      <c r="P128" s="113">
        <f t="shared" si="72"/>
        <v>4276266.33</v>
      </c>
      <c r="Q128" s="113">
        <f t="shared" si="73"/>
        <v>0</v>
      </c>
      <c r="R128" s="104">
        <f t="shared" si="74"/>
        <v>4276266.33</v>
      </c>
      <c r="S128" s="113">
        <f t="shared" si="75"/>
        <v>0</v>
      </c>
      <c r="T128" s="113">
        <f t="shared" si="76"/>
        <v>4276266.33</v>
      </c>
      <c r="U128" s="113">
        <f t="shared" si="77"/>
        <v>0</v>
      </c>
      <c r="V128" s="104">
        <f t="shared" si="78"/>
        <v>4276266.33</v>
      </c>
      <c r="W128" s="113">
        <f t="shared" si="115"/>
        <v>0</v>
      </c>
      <c r="X128" s="113">
        <f t="shared" si="115"/>
        <v>0</v>
      </c>
      <c r="Y128" s="113">
        <f t="shared" si="115"/>
        <v>0</v>
      </c>
      <c r="Z128" s="104">
        <f t="shared" si="64"/>
        <v>0</v>
      </c>
      <c r="AA128" s="113">
        <f t="shared" si="115"/>
        <v>0</v>
      </c>
      <c r="AB128" s="113">
        <f t="shared" si="115"/>
        <v>3122715.61</v>
      </c>
      <c r="AC128" s="113">
        <f t="shared" si="115"/>
        <v>0</v>
      </c>
      <c r="AD128" s="104">
        <f t="shared" si="65"/>
        <v>3122715.61</v>
      </c>
      <c r="AE128" s="117">
        <f t="shared" si="80"/>
        <v>0</v>
      </c>
      <c r="AF128" s="117">
        <f t="shared" si="81"/>
        <v>3122715.61</v>
      </c>
      <c r="AG128" s="117">
        <f t="shared" si="82"/>
        <v>0</v>
      </c>
      <c r="AH128" s="104">
        <f t="shared" si="66"/>
        <v>3122715.61</v>
      </c>
      <c r="AI128" s="117">
        <f t="shared" si="109"/>
        <v>0</v>
      </c>
      <c r="AJ128" s="117">
        <f t="shared" si="110"/>
        <v>1153550.7200000002</v>
      </c>
      <c r="AK128" s="117">
        <f t="shared" si="111"/>
        <v>0</v>
      </c>
      <c r="AL128" s="104">
        <f t="shared" si="112"/>
        <v>1153550.7200000002</v>
      </c>
      <c r="AM128" s="1221" t="str">
        <f t="shared" si="88"/>
        <v xml:space="preserve"> </v>
      </c>
      <c r="AN128" s="1221">
        <f t="shared" si="89"/>
        <v>0.73024348088253888</v>
      </c>
      <c r="AO128" s="1221" t="str">
        <f t="shared" si="90"/>
        <v xml:space="preserve"> </v>
      </c>
      <c r="AP128" s="1221">
        <f t="shared" si="91"/>
        <v>0.73024348088253888</v>
      </c>
      <c r="AQ128" s="1223" t="str">
        <f t="shared" si="102"/>
        <v xml:space="preserve"> </v>
      </c>
      <c r="AW128" s="107"/>
      <c r="BL128" s="149">
        <f t="shared" ref="BL128:BN128" si="116">+BL129</f>
        <v>0</v>
      </c>
      <c r="BM128" s="149">
        <f t="shared" si="116"/>
        <v>0</v>
      </c>
      <c r="BN128" s="149">
        <f t="shared" si="116"/>
        <v>0</v>
      </c>
      <c r="BP128" s="216">
        <f t="shared" si="94"/>
        <v>0</v>
      </c>
      <c r="BQ128" s="216">
        <f t="shared" si="95"/>
        <v>0</v>
      </c>
      <c r="BR128" s="216">
        <f t="shared" si="96"/>
        <v>0</v>
      </c>
    </row>
    <row r="129" spans="1:70" ht="24">
      <c r="A129" s="587" t="s">
        <v>939</v>
      </c>
      <c r="B129" s="1236" t="s">
        <v>558</v>
      </c>
      <c r="C129" s="113"/>
      <c r="D129" s="113"/>
      <c r="E129" s="113"/>
      <c r="F129" s="104">
        <f t="shared" si="68"/>
        <v>0</v>
      </c>
      <c r="G129" s="113">
        <f>+'CONAP (ALL FUNDS)'!F402</f>
        <v>0</v>
      </c>
      <c r="H129" s="113">
        <f>+'CONAP (ALL FUNDS)'!G402</f>
        <v>0</v>
      </c>
      <c r="I129" s="113">
        <f>+'CONAP (ALL FUNDS)'!H402</f>
        <v>0</v>
      </c>
      <c r="J129" s="104">
        <f t="shared" si="69"/>
        <v>0</v>
      </c>
      <c r="K129" s="113">
        <v>0</v>
      </c>
      <c r="L129" s="113">
        <v>4276266.33</v>
      </c>
      <c r="M129" s="113">
        <v>0</v>
      </c>
      <c r="N129" s="104">
        <f t="shared" si="70"/>
        <v>4276266.33</v>
      </c>
      <c r="O129" s="113">
        <f t="shared" si="71"/>
        <v>0</v>
      </c>
      <c r="P129" s="113">
        <f t="shared" si="72"/>
        <v>4276266.33</v>
      </c>
      <c r="Q129" s="113">
        <f t="shared" si="73"/>
        <v>0</v>
      </c>
      <c r="R129" s="104">
        <f t="shared" si="74"/>
        <v>4276266.33</v>
      </c>
      <c r="S129" s="113">
        <f t="shared" si="75"/>
        <v>0</v>
      </c>
      <c r="T129" s="113">
        <f t="shared" si="76"/>
        <v>4276266.33</v>
      </c>
      <c r="U129" s="113">
        <f t="shared" si="77"/>
        <v>0</v>
      </c>
      <c r="V129" s="104">
        <f t="shared" si="78"/>
        <v>4276266.33</v>
      </c>
      <c r="W129" s="113">
        <f>+'CONAP (ALL FUNDS)'!J400</f>
        <v>0</v>
      </c>
      <c r="X129" s="113">
        <f>+'CONAP (ALL FUNDS)'!K400</f>
        <v>0</v>
      </c>
      <c r="Y129" s="113">
        <f>+'CONAP (ALL FUNDS)'!L400</f>
        <v>0</v>
      </c>
      <c r="Z129" s="104">
        <f t="shared" si="64"/>
        <v>0</v>
      </c>
      <c r="AA129" s="113">
        <f>+'CONAP (ALL FUNDS)'!J401</f>
        <v>0</v>
      </c>
      <c r="AB129" s="113">
        <f>+'CONAP (ALL FUNDS)'!K401</f>
        <v>3122715.61</v>
      </c>
      <c r="AC129" s="113">
        <f>+'CONAP (ALL FUNDS)'!L401</f>
        <v>0</v>
      </c>
      <c r="AD129" s="104">
        <f t="shared" si="65"/>
        <v>3122715.61</v>
      </c>
      <c r="AE129" s="117">
        <f t="shared" si="80"/>
        <v>0</v>
      </c>
      <c r="AF129" s="117">
        <f t="shared" si="81"/>
        <v>3122715.61</v>
      </c>
      <c r="AG129" s="117">
        <f t="shared" si="82"/>
        <v>0</v>
      </c>
      <c r="AH129" s="104">
        <f t="shared" si="66"/>
        <v>3122715.61</v>
      </c>
      <c r="AI129" s="117">
        <f t="shared" si="109"/>
        <v>0</v>
      </c>
      <c r="AJ129" s="117">
        <f t="shared" si="110"/>
        <v>1153550.7200000002</v>
      </c>
      <c r="AK129" s="117">
        <f t="shared" si="111"/>
        <v>0</v>
      </c>
      <c r="AL129" s="104">
        <f t="shared" si="112"/>
        <v>1153550.7200000002</v>
      </c>
      <c r="AM129" s="1221" t="str">
        <f t="shared" si="88"/>
        <v xml:space="preserve"> </v>
      </c>
      <c r="AN129" s="1221">
        <f t="shared" si="89"/>
        <v>0.73024348088253888</v>
      </c>
      <c r="AO129" s="1221" t="str">
        <f t="shared" si="90"/>
        <v xml:space="preserve"> </v>
      </c>
      <c r="AP129" s="1221">
        <f t="shared" si="91"/>
        <v>0.73024348088253888</v>
      </c>
      <c r="AQ129" s="1223" t="str">
        <f t="shared" si="102"/>
        <v xml:space="preserve"> </v>
      </c>
      <c r="AW129" s="107"/>
      <c r="BH129" s="105">
        <f>+AL129-'CONAP (ALL FUNDS)'!Q404</f>
        <v>0</v>
      </c>
      <c r="BL129" s="149">
        <f>+'CONAP (ALL FUNDS)'!F400</f>
        <v>0</v>
      </c>
      <c r="BM129" s="149">
        <f>+'CONAP (ALL FUNDS)'!G400</f>
        <v>0</v>
      </c>
      <c r="BN129" s="149">
        <f>+'CONAP (ALL FUNDS)'!H400</f>
        <v>0</v>
      </c>
      <c r="BP129" s="216">
        <f t="shared" si="94"/>
        <v>0</v>
      </c>
      <c r="BQ129" s="216">
        <f t="shared" si="95"/>
        <v>0</v>
      </c>
      <c r="BR129" s="216">
        <f t="shared" si="96"/>
        <v>0</v>
      </c>
    </row>
    <row r="130" spans="1:70" ht="12.75">
      <c r="B130" s="1238"/>
      <c r="C130" s="113"/>
      <c r="D130" s="113"/>
      <c r="E130" s="113"/>
      <c r="F130" s="104">
        <f t="shared" si="68"/>
        <v>0</v>
      </c>
      <c r="G130" s="113"/>
      <c r="H130" s="113"/>
      <c r="I130" s="113"/>
      <c r="J130" s="104">
        <f t="shared" si="69"/>
        <v>0</v>
      </c>
      <c r="K130" s="113"/>
      <c r="L130" s="113"/>
      <c r="M130" s="113"/>
      <c r="N130" s="104">
        <f t="shared" si="70"/>
        <v>0</v>
      </c>
      <c r="O130" s="113">
        <f t="shared" si="71"/>
        <v>0</v>
      </c>
      <c r="P130" s="113">
        <f t="shared" si="72"/>
        <v>0</v>
      </c>
      <c r="Q130" s="113">
        <f t="shared" si="73"/>
        <v>0</v>
      </c>
      <c r="R130" s="104">
        <f t="shared" si="74"/>
        <v>0</v>
      </c>
      <c r="S130" s="113">
        <f t="shared" si="75"/>
        <v>0</v>
      </c>
      <c r="T130" s="113">
        <f t="shared" si="76"/>
        <v>0</v>
      </c>
      <c r="U130" s="113">
        <f t="shared" si="77"/>
        <v>0</v>
      </c>
      <c r="V130" s="104">
        <f t="shared" si="78"/>
        <v>0</v>
      </c>
      <c r="W130" s="113"/>
      <c r="X130" s="113"/>
      <c r="Y130" s="113"/>
      <c r="Z130" s="104">
        <f t="shared" ref="Z130:Z193" si="117">SUM(W130:Y130)</f>
        <v>0</v>
      </c>
      <c r="AA130" s="113"/>
      <c r="AB130" s="113"/>
      <c r="AC130" s="113"/>
      <c r="AD130" s="104">
        <f t="shared" ref="AD130:AD193" si="118">SUM(AA130:AC130)</f>
        <v>0</v>
      </c>
      <c r="AE130" s="117">
        <f t="shared" si="80"/>
        <v>0</v>
      </c>
      <c r="AF130" s="117">
        <f t="shared" si="81"/>
        <v>0</v>
      </c>
      <c r="AG130" s="117">
        <f t="shared" si="82"/>
        <v>0</v>
      </c>
      <c r="AH130" s="104">
        <f t="shared" ref="AH130:AH193" si="119">SUM(AE130:AG130)</f>
        <v>0</v>
      </c>
      <c r="AI130" s="117">
        <f t="shared" si="109"/>
        <v>0</v>
      </c>
      <c r="AJ130" s="117">
        <f t="shared" si="110"/>
        <v>0</v>
      </c>
      <c r="AK130" s="117">
        <f t="shared" si="111"/>
        <v>0</v>
      </c>
      <c r="AL130" s="104">
        <f t="shared" si="112"/>
        <v>0</v>
      </c>
      <c r="AM130" s="1221" t="str">
        <f t="shared" si="88"/>
        <v xml:space="preserve"> </v>
      </c>
      <c r="AN130" s="1221" t="str">
        <f t="shared" si="89"/>
        <v xml:space="preserve"> </v>
      </c>
      <c r="AO130" s="1221" t="str">
        <f t="shared" si="90"/>
        <v xml:space="preserve"> </v>
      </c>
      <c r="AP130" s="1221" t="str">
        <f t="shared" si="91"/>
        <v xml:space="preserve"> </v>
      </c>
      <c r="AQ130" s="1223" t="str">
        <f t="shared" si="102"/>
        <v xml:space="preserve"> </v>
      </c>
      <c r="AW130" s="107"/>
      <c r="BL130" s="149"/>
      <c r="BM130" s="149"/>
      <c r="BN130" s="149"/>
      <c r="BP130" s="216">
        <f t="shared" si="94"/>
        <v>0</v>
      </c>
      <c r="BQ130" s="216">
        <f t="shared" si="95"/>
        <v>0</v>
      </c>
      <c r="BR130" s="216">
        <f t="shared" si="96"/>
        <v>0</v>
      </c>
    </row>
    <row r="131" spans="1:70" ht="12.75">
      <c r="A131" s="587" t="s">
        <v>939</v>
      </c>
      <c r="B131" s="1235" t="s">
        <v>31</v>
      </c>
      <c r="C131" s="113">
        <f t="shared" ref="C131:N131" si="120">SUM(C132:C133)</f>
        <v>0</v>
      </c>
      <c r="D131" s="113">
        <f t="shared" si="120"/>
        <v>183.46</v>
      </c>
      <c r="E131" s="113">
        <f t="shared" si="120"/>
        <v>0</v>
      </c>
      <c r="F131" s="113">
        <f t="shared" si="120"/>
        <v>183.46</v>
      </c>
      <c r="G131" s="113">
        <f t="shared" si="120"/>
        <v>0</v>
      </c>
      <c r="H131" s="113">
        <f t="shared" si="120"/>
        <v>2783317</v>
      </c>
      <c r="I131" s="113">
        <f t="shared" si="120"/>
        <v>0</v>
      </c>
      <c r="J131" s="113">
        <f t="shared" si="120"/>
        <v>2783317</v>
      </c>
      <c r="K131" s="113">
        <f t="shared" si="120"/>
        <v>0</v>
      </c>
      <c r="L131" s="113">
        <f t="shared" si="120"/>
        <v>1206301.22</v>
      </c>
      <c r="M131" s="113">
        <f t="shared" si="120"/>
        <v>0</v>
      </c>
      <c r="N131" s="113">
        <f t="shared" si="120"/>
        <v>1206301.22</v>
      </c>
      <c r="O131" s="113">
        <f t="shared" ref="O131:O194" si="121">+G131+K131</f>
        <v>0</v>
      </c>
      <c r="P131" s="113">
        <f t="shared" ref="P131:P194" si="122">+H131+L131</f>
        <v>3989618.2199999997</v>
      </c>
      <c r="Q131" s="113">
        <f t="shared" ref="Q131:Q194" si="123">+I131+M131</f>
        <v>0</v>
      </c>
      <c r="R131" s="104">
        <f t="shared" ref="R131:R194" si="124">SUM(O131:Q131)</f>
        <v>3989618.2199999997</v>
      </c>
      <c r="S131" s="113">
        <f t="shared" ref="S131:S194" si="125">+O131+C131</f>
        <v>0</v>
      </c>
      <c r="T131" s="113">
        <f t="shared" ref="T131:T194" si="126">+P131+D131</f>
        <v>3989801.6799999997</v>
      </c>
      <c r="U131" s="113">
        <f t="shared" ref="U131:U194" si="127">+Q131+E131</f>
        <v>0</v>
      </c>
      <c r="V131" s="104">
        <f t="shared" ref="V131:V194" si="128">SUM(S131:U131)</f>
        <v>3989801.6799999997</v>
      </c>
      <c r="W131" s="113">
        <f>SUM(W132:W133)</f>
        <v>0</v>
      </c>
      <c r="X131" s="113">
        <f>SUM(X132:X133)</f>
        <v>0</v>
      </c>
      <c r="Y131" s="113">
        <f>SUM(Y132:Y133)</f>
        <v>0</v>
      </c>
      <c r="Z131" s="104">
        <f t="shared" si="117"/>
        <v>0</v>
      </c>
      <c r="AA131" s="113">
        <f>SUM(AA132:AA133)</f>
        <v>0</v>
      </c>
      <c r="AB131" s="113">
        <f>SUM(AB132:AB133)</f>
        <v>2609302.5700000003</v>
      </c>
      <c r="AC131" s="113">
        <f>SUM(AC132:AC133)</f>
        <v>0</v>
      </c>
      <c r="AD131" s="104">
        <f t="shared" si="118"/>
        <v>2609302.5700000003</v>
      </c>
      <c r="AE131" s="117">
        <f t="shared" si="80"/>
        <v>0</v>
      </c>
      <c r="AF131" s="117">
        <f t="shared" si="81"/>
        <v>2609302.5700000003</v>
      </c>
      <c r="AG131" s="117">
        <f t="shared" si="82"/>
        <v>0</v>
      </c>
      <c r="AH131" s="104">
        <f t="shared" si="119"/>
        <v>2609302.5700000003</v>
      </c>
      <c r="AI131" s="117">
        <f t="shared" si="109"/>
        <v>0</v>
      </c>
      <c r="AJ131" s="117">
        <f t="shared" si="110"/>
        <v>1380499.1099999994</v>
      </c>
      <c r="AK131" s="117">
        <f t="shared" si="111"/>
        <v>0</v>
      </c>
      <c r="AL131" s="104">
        <f t="shared" si="112"/>
        <v>1380499.1099999994</v>
      </c>
      <c r="AM131" s="1221" t="str">
        <f t="shared" si="88"/>
        <v xml:space="preserve"> </v>
      </c>
      <c r="AN131" s="1221">
        <f t="shared" si="89"/>
        <v>0.65399305010067577</v>
      </c>
      <c r="AO131" s="1221" t="str">
        <f t="shared" si="90"/>
        <v xml:space="preserve"> </v>
      </c>
      <c r="AP131" s="1221">
        <f t="shared" si="91"/>
        <v>0.65399305010067577</v>
      </c>
      <c r="AQ131" s="1223" t="str">
        <f t="shared" si="102"/>
        <v xml:space="preserve"> </v>
      </c>
      <c r="AW131" s="107"/>
      <c r="BL131" s="149">
        <f>SUM(BL132:BL133)</f>
        <v>0</v>
      </c>
      <c r="BM131" s="149">
        <f t="shared" ref="BM131:BN131" si="129">SUM(BM132:BM133)</f>
        <v>183.46</v>
      </c>
      <c r="BN131" s="149">
        <f t="shared" si="129"/>
        <v>0</v>
      </c>
      <c r="BP131" s="216">
        <f t="shared" si="94"/>
        <v>0</v>
      </c>
      <c r="BQ131" s="216">
        <f t="shared" si="95"/>
        <v>0</v>
      </c>
      <c r="BR131" s="216">
        <f t="shared" si="96"/>
        <v>0</v>
      </c>
    </row>
    <row r="132" spans="1:70" ht="48">
      <c r="A132" s="587" t="s">
        <v>939</v>
      </c>
      <c r="B132" s="1236" t="s">
        <v>559</v>
      </c>
      <c r="C132" s="113">
        <v>0</v>
      </c>
      <c r="D132" s="113">
        <v>183.46</v>
      </c>
      <c r="E132" s="113">
        <v>0</v>
      </c>
      <c r="F132" s="104">
        <f t="shared" ref="F132:F176" si="130">SUM(C132:E132)</f>
        <v>183.46</v>
      </c>
      <c r="G132" s="113">
        <f>+'CONAP (ALL FUNDS)'!F439</f>
        <v>0</v>
      </c>
      <c r="H132" s="104">
        <f>+'CONAP (ALL FUNDS)'!G439</f>
        <v>1300000</v>
      </c>
      <c r="I132" s="113">
        <f>+'CONAP (ALL FUNDS)'!H439</f>
        <v>0</v>
      </c>
      <c r="J132" s="104">
        <f t="shared" ref="J132:J176" si="131">SUM(G132:I132)</f>
        <v>1300000</v>
      </c>
      <c r="K132" s="113">
        <v>0</v>
      </c>
      <c r="L132" s="104">
        <v>450.74</v>
      </c>
      <c r="M132" s="113">
        <v>0</v>
      </c>
      <c r="N132" s="104">
        <f t="shared" ref="N132:N176" si="132">SUM(K132:M132)</f>
        <v>450.74</v>
      </c>
      <c r="O132" s="113">
        <f t="shared" si="121"/>
        <v>0</v>
      </c>
      <c r="P132" s="113">
        <f t="shared" si="122"/>
        <v>1300450.74</v>
      </c>
      <c r="Q132" s="113">
        <f t="shared" si="123"/>
        <v>0</v>
      </c>
      <c r="R132" s="104">
        <f t="shared" si="124"/>
        <v>1300450.74</v>
      </c>
      <c r="S132" s="113">
        <f t="shared" si="125"/>
        <v>0</v>
      </c>
      <c r="T132" s="113">
        <f t="shared" si="126"/>
        <v>1300634.2</v>
      </c>
      <c r="U132" s="113">
        <f t="shared" si="127"/>
        <v>0</v>
      </c>
      <c r="V132" s="104">
        <f t="shared" si="128"/>
        <v>1300634.2</v>
      </c>
      <c r="W132" s="113">
        <f>+'CONAP (ALL FUNDS)'!J437</f>
        <v>0</v>
      </c>
      <c r="X132" s="113">
        <f>+'CONAP (ALL FUNDS)'!K437</f>
        <v>0</v>
      </c>
      <c r="Y132" s="113">
        <f>+'CONAP (ALL FUNDS)'!L437</f>
        <v>0</v>
      </c>
      <c r="Z132" s="104">
        <f t="shared" si="117"/>
        <v>0</v>
      </c>
      <c r="AA132" s="113">
        <f>+'CONAP (ALL FUNDS)'!J438</f>
        <v>0</v>
      </c>
      <c r="AB132" s="113">
        <f>+'CONAP (ALL FUNDS)'!K438</f>
        <v>748337.7</v>
      </c>
      <c r="AC132" s="113">
        <f>+'CONAP (ALL FUNDS)'!L438</f>
        <v>0</v>
      </c>
      <c r="AD132" s="104">
        <f t="shared" si="118"/>
        <v>748337.7</v>
      </c>
      <c r="AE132" s="117">
        <f t="shared" si="80"/>
        <v>0</v>
      </c>
      <c r="AF132" s="117">
        <f t="shared" si="81"/>
        <v>748337.7</v>
      </c>
      <c r="AG132" s="117">
        <f t="shared" si="82"/>
        <v>0</v>
      </c>
      <c r="AH132" s="104">
        <f t="shared" si="119"/>
        <v>748337.7</v>
      </c>
      <c r="AI132" s="117">
        <f t="shared" si="109"/>
        <v>0</v>
      </c>
      <c r="AJ132" s="117">
        <f t="shared" si="110"/>
        <v>552296.5</v>
      </c>
      <c r="AK132" s="117">
        <f t="shared" si="111"/>
        <v>0</v>
      </c>
      <c r="AL132" s="104">
        <f t="shared" si="112"/>
        <v>552296.5</v>
      </c>
      <c r="AM132" s="1221" t="str">
        <f t="shared" si="88"/>
        <v xml:space="preserve"> </v>
      </c>
      <c r="AN132" s="1221">
        <f t="shared" si="89"/>
        <v>0.57536369564939938</v>
      </c>
      <c r="AO132" s="1221" t="str">
        <f t="shared" si="90"/>
        <v xml:space="preserve"> </v>
      </c>
      <c r="AP132" s="1221">
        <f t="shared" si="91"/>
        <v>0.57536369564939938</v>
      </c>
      <c r="AQ132" s="1223" t="str">
        <f t="shared" si="102"/>
        <v xml:space="preserve"> </v>
      </c>
      <c r="AW132" s="107"/>
      <c r="BH132" s="105">
        <f>+AL132-'CONAP (ALL FUNDS)'!Q441</f>
        <v>0</v>
      </c>
      <c r="BL132" s="149">
        <f>+'CONAP (ALL FUNDS)'!F437</f>
        <v>0</v>
      </c>
      <c r="BM132" s="149">
        <f>+'CONAP (ALL FUNDS)'!G437</f>
        <v>183.46</v>
      </c>
      <c r="BN132" s="149">
        <f>+'CONAP (ALL FUNDS)'!H437</f>
        <v>0</v>
      </c>
      <c r="BP132" s="216">
        <f t="shared" si="94"/>
        <v>0</v>
      </c>
      <c r="BQ132" s="216">
        <f t="shared" si="95"/>
        <v>0</v>
      </c>
      <c r="BR132" s="216">
        <f t="shared" si="96"/>
        <v>0</v>
      </c>
    </row>
    <row r="133" spans="1:70" ht="24">
      <c r="A133" s="587" t="s">
        <v>939</v>
      </c>
      <c r="B133" s="1237" t="s">
        <v>560</v>
      </c>
      <c r="C133" s="113"/>
      <c r="D133" s="113"/>
      <c r="E133" s="113"/>
      <c r="F133" s="104">
        <f t="shared" si="130"/>
        <v>0</v>
      </c>
      <c r="G133" s="113">
        <f>+'CONAP (ALL FUNDS)'!F450</f>
        <v>0</v>
      </c>
      <c r="H133" s="113">
        <f>+'CONAP (ALL FUNDS)'!G450</f>
        <v>1483317</v>
      </c>
      <c r="I133" s="113">
        <f>+'CONAP (ALL FUNDS)'!H450</f>
        <v>0</v>
      </c>
      <c r="J133" s="104">
        <f t="shared" si="131"/>
        <v>1483317</v>
      </c>
      <c r="K133" s="113">
        <v>0</v>
      </c>
      <c r="L133" s="113">
        <v>1205850.48</v>
      </c>
      <c r="M133" s="113">
        <v>0</v>
      </c>
      <c r="N133" s="104">
        <f t="shared" si="132"/>
        <v>1205850.48</v>
      </c>
      <c r="O133" s="113">
        <f t="shared" si="121"/>
        <v>0</v>
      </c>
      <c r="P133" s="113">
        <f t="shared" si="122"/>
        <v>2689167.48</v>
      </c>
      <c r="Q133" s="113">
        <f t="shared" si="123"/>
        <v>0</v>
      </c>
      <c r="R133" s="104">
        <f t="shared" si="124"/>
        <v>2689167.48</v>
      </c>
      <c r="S133" s="113">
        <f t="shared" si="125"/>
        <v>0</v>
      </c>
      <c r="T133" s="113">
        <f t="shared" si="126"/>
        <v>2689167.48</v>
      </c>
      <c r="U133" s="113">
        <f t="shared" si="127"/>
        <v>0</v>
      </c>
      <c r="V133" s="104">
        <f t="shared" si="128"/>
        <v>2689167.48</v>
      </c>
      <c r="W133" s="113">
        <f>+'CONAP (ALL FUNDS)'!J448</f>
        <v>0</v>
      </c>
      <c r="X133" s="113">
        <f>+'CONAP (ALL FUNDS)'!K448</f>
        <v>0</v>
      </c>
      <c r="Y133" s="113">
        <f>+'CONAP (ALL FUNDS)'!L448</f>
        <v>0</v>
      </c>
      <c r="Z133" s="104">
        <f t="shared" si="117"/>
        <v>0</v>
      </c>
      <c r="AA133" s="113">
        <f>+'CONAP (ALL FUNDS)'!J449</f>
        <v>0</v>
      </c>
      <c r="AB133" s="113">
        <f>+'CONAP (ALL FUNDS)'!K449</f>
        <v>1860964.87</v>
      </c>
      <c r="AC133" s="113">
        <f>+'CONAP (ALL FUNDS)'!L449</f>
        <v>0</v>
      </c>
      <c r="AD133" s="104">
        <f t="shared" si="118"/>
        <v>1860964.87</v>
      </c>
      <c r="AE133" s="117">
        <f t="shared" ref="AE133:AE196" si="133">+AA133+W133</f>
        <v>0</v>
      </c>
      <c r="AF133" s="117">
        <f t="shared" ref="AF133:AF196" si="134">+AB133+X133</f>
        <v>1860964.87</v>
      </c>
      <c r="AG133" s="117">
        <f t="shared" ref="AG133:AG196" si="135">+AC133+Y133</f>
        <v>0</v>
      </c>
      <c r="AH133" s="104">
        <f t="shared" si="119"/>
        <v>1860964.87</v>
      </c>
      <c r="AI133" s="117">
        <f t="shared" si="109"/>
        <v>0</v>
      </c>
      <c r="AJ133" s="117">
        <f t="shared" si="110"/>
        <v>828202.60999999987</v>
      </c>
      <c r="AK133" s="117">
        <f t="shared" si="111"/>
        <v>0</v>
      </c>
      <c r="AL133" s="104">
        <f t="shared" si="112"/>
        <v>828202.60999999987</v>
      </c>
      <c r="AM133" s="1221" t="str">
        <f t="shared" si="88"/>
        <v xml:space="preserve"> </v>
      </c>
      <c r="AN133" s="1221">
        <f t="shared" si="89"/>
        <v>0.69202267387228711</v>
      </c>
      <c r="AO133" s="1221" t="str">
        <f t="shared" si="90"/>
        <v xml:space="preserve"> </v>
      </c>
      <c r="AP133" s="1221">
        <f t="shared" si="91"/>
        <v>0.69202267387228711</v>
      </c>
      <c r="AQ133" s="1223" t="str">
        <f t="shared" si="102"/>
        <v xml:space="preserve"> </v>
      </c>
      <c r="AW133" s="107"/>
      <c r="BH133" s="105">
        <f>+AL133-'CONAP (ALL FUNDS)'!Q452</f>
        <v>0</v>
      </c>
      <c r="BL133" s="149">
        <f>+'CONAP (ALL FUNDS)'!F448</f>
        <v>0</v>
      </c>
      <c r="BM133" s="149">
        <f>+'CONAP (ALL FUNDS)'!G448</f>
        <v>0</v>
      </c>
      <c r="BN133" s="149">
        <f>+'CONAP (ALL FUNDS)'!H448</f>
        <v>0</v>
      </c>
      <c r="BP133" s="216">
        <f t="shared" si="94"/>
        <v>0</v>
      </c>
      <c r="BQ133" s="216">
        <f t="shared" si="95"/>
        <v>0</v>
      </c>
      <c r="BR133" s="216">
        <f t="shared" si="96"/>
        <v>0</v>
      </c>
    </row>
    <row r="134" spans="1:70" ht="12.75">
      <c r="B134" s="1238"/>
      <c r="C134" s="113"/>
      <c r="D134" s="113"/>
      <c r="E134" s="113"/>
      <c r="F134" s="104">
        <f t="shared" si="130"/>
        <v>0</v>
      </c>
      <c r="G134" s="113"/>
      <c r="H134" s="113"/>
      <c r="I134" s="113"/>
      <c r="J134" s="104">
        <f t="shared" si="131"/>
        <v>0</v>
      </c>
      <c r="K134" s="113"/>
      <c r="L134" s="113"/>
      <c r="M134" s="113"/>
      <c r="N134" s="104">
        <f t="shared" si="132"/>
        <v>0</v>
      </c>
      <c r="O134" s="113">
        <f t="shared" si="121"/>
        <v>0</v>
      </c>
      <c r="P134" s="113">
        <f t="shared" si="122"/>
        <v>0</v>
      </c>
      <c r="Q134" s="113">
        <f t="shared" si="123"/>
        <v>0</v>
      </c>
      <c r="R134" s="104">
        <f t="shared" si="124"/>
        <v>0</v>
      </c>
      <c r="S134" s="113">
        <f t="shared" si="125"/>
        <v>0</v>
      </c>
      <c r="T134" s="113">
        <f t="shared" si="126"/>
        <v>0</v>
      </c>
      <c r="U134" s="113">
        <f t="shared" si="127"/>
        <v>0</v>
      </c>
      <c r="V134" s="104">
        <f t="shared" si="128"/>
        <v>0</v>
      </c>
      <c r="W134" s="113"/>
      <c r="X134" s="113"/>
      <c r="Y134" s="113"/>
      <c r="Z134" s="104">
        <f t="shared" si="117"/>
        <v>0</v>
      </c>
      <c r="AA134" s="113"/>
      <c r="AB134" s="113"/>
      <c r="AC134" s="113"/>
      <c r="AD134" s="104">
        <f t="shared" si="118"/>
        <v>0</v>
      </c>
      <c r="AE134" s="117">
        <f t="shared" si="133"/>
        <v>0</v>
      </c>
      <c r="AF134" s="117">
        <f t="shared" si="134"/>
        <v>0</v>
      </c>
      <c r="AG134" s="117">
        <f t="shared" si="135"/>
        <v>0</v>
      </c>
      <c r="AH134" s="104">
        <f t="shared" si="119"/>
        <v>0</v>
      </c>
      <c r="AI134" s="117">
        <f t="shared" si="109"/>
        <v>0</v>
      </c>
      <c r="AJ134" s="117">
        <f t="shared" si="110"/>
        <v>0</v>
      </c>
      <c r="AK134" s="117">
        <f t="shared" si="111"/>
        <v>0</v>
      </c>
      <c r="AL134" s="104">
        <f t="shared" si="112"/>
        <v>0</v>
      </c>
      <c r="AM134" s="1221" t="str">
        <f t="shared" si="88"/>
        <v xml:space="preserve"> </v>
      </c>
      <c r="AN134" s="1221" t="str">
        <f t="shared" si="89"/>
        <v xml:space="preserve"> </v>
      </c>
      <c r="AO134" s="1221" t="str">
        <f t="shared" si="90"/>
        <v xml:space="preserve"> </v>
      </c>
      <c r="AP134" s="1221" t="str">
        <f t="shared" si="91"/>
        <v xml:space="preserve"> </v>
      </c>
      <c r="AQ134" s="1223" t="str">
        <f t="shared" si="102"/>
        <v xml:space="preserve"> </v>
      </c>
      <c r="AW134" s="107"/>
      <c r="BL134" s="149"/>
      <c r="BM134" s="149"/>
      <c r="BN134" s="149"/>
      <c r="BP134" s="216">
        <f t="shared" si="94"/>
        <v>0</v>
      </c>
      <c r="BQ134" s="216">
        <f t="shared" si="95"/>
        <v>0</v>
      </c>
      <c r="BR134" s="216">
        <f t="shared" si="96"/>
        <v>0</v>
      </c>
    </row>
    <row r="135" spans="1:70" ht="12.75">
      <c r="A135" s="587" t="s">
        <v>939</v>
      </c>
      <c r="B135" s="1235" t="s">
        <v>32</v>
      </c>
      <c r="C135" s="113">
        <f t="shared" ref="C135:N135" si="136">SUM(C136:C138)</f>
        <v>0</v>
      </c>
      <c r="D135" s="113">
        <f t="shared" si="136"/>
        <v>250000</v>
      </c>
      <c r="E135" s="113">
        <f t="shared" si="136"/>
        <v>0</v>
      </c>
      <c r="F135" s="113">
        <f t="shared" si="136"/>
        <v>250000</v>
      </c>
      <c r="G135" s="113">
        <f t="shared" si="136"/>
        <v>0</v>
      </c>
      <c r="H135" s="113">
        <f t="shared" si="136"/>
        <v>-3394570.75</v>
      </c>
      <c r="I135" s="113">
        <f t="shared" si="136"/>
        <v>15000000</v>
      </c>
      <c r="J135" s="113">
        <f t="shared" si="136"/>
        <v>11605429.25</v>
      </c>
      <c r="K135" s="113">
        <f t="shared" si="136"/>
        <v>0</v>
      </c>
      <c r="L135" s="113">
        <f t="shared" si="136"/>
        <v>17567810.109999999</v>
      </c>
      <c r="M135" s="113">
        <f t="shared" si="136"/>
        <v>0</v>
      </c>
      <c r="N135" s="113">
        <f t="shared" si="136"/>
        <v>17567810.109999999</v>
      </c>
      <c r="O135" s="113">
        <f t="shared" si="121"/>
        <v>0</v>
      </c>
      <c r="P135" s="113">
        <f t="shared" si="122"/>
        <v>14173239.359999999</v>
      </c>
      <c r="Q135" s="113">
        <f t="shared" si="123"/>
        <v>15000000</v>
      </c>
      <c r="R135" s="104">
        <f t="shared" si="124"/>
        <v>29173239.359999999</v>
      </c>
      <c r="S135" s="113">
        <f t="shared" si="125"/>
        <v>0</v>
      </c>
      <c r="T135" s="113">
        <f t="shared" si="126"/>
        <v>14423239.359999999</v>
      </c>
      <c r="U135" s="113">
        <f t="shared" si="127"/>
        <v>15000000</v>
      </c>
      <c r="V135" s="104">
        <f t="shared" si="128"/>
        <v>29423239.359999999</v>
      </c>
      <c r="W135" s="113">
        <f>SUM(W136:W138)</f>
        <v>0</v>
      </c>
      <c r="X135" s="113">
        <f>SUM(X136:X138)</f>
        <v>250000</v>
      </c>
      <c r="Y135" s="113">
        <f>SUM(Y136:Y138)</f>
        <v>0</v>
      </c>
      <c r="Z135" s="104">
        <f t="shared" si="117"/>
        <v>250000</v>
      </c>
      <c r="AA135" s="113">
        <f>SUM(AA136:AA138)</f>
        <v>0</v>
      </c>
      <c r="AB135" s="113">
        <f>SUM(AB136:AB138)</f>
        <v>13442740.77</v>
      </c>
      <c r="AC135" s="113">
        <f>SUM(AC136:AC138)</f>
        <v>12980000</v>
      </c>
      <c r="AD135" s="104">
        <f t="shared" si="118"/>
        <v>26422740.77</v>
      </c>
      <c r="AE135" s="117">
        <f t="shared" si="133"/>
        <v>0</v>
      </c>
      <c r="AF135" s="117">
        <f t="shared" si="134"/>
        <v>13692740.77</v>
      </c>
      <c r="AG135" s="117">
        <f t="shared" si="135"/>
        <v>12980000</v>
      </c>
      <c r="AH135" s="104">
        <f t="shared" si="119"/>
        <v>26672740.77</v>
      </c>
      <c r="AI135" s="117">
        <f t="shared" si="109"/>
        <v>0</v>
      </c>
      <c r="AJ135" s="117">
        <f t="shared" si="110"/>
        <v>730498.58999999985</v>
      </c>
      <c r="AK135" s="117">
        <f t="shared" si="111"/>
        <v>2020000</v>
      </c>
      <c r="AL135" s="104">
        <f t="shared" si="112"/>
        <v>2750498.59</v>
      </c>
      <c r="AM135" s="1221" t="str">
        <f t="shared" si="88"/>
        <v xml:space="preserve"> </v>
      </c>
      <c r="AN135" s="1221">
        <f t="shared" si="89"/>
        <v>0.94935266816510766</v>
      </c>
      <c r="AO135" s="1221">
        <f t="shared" si="90"/>
        <v>0.86533333333333329</v>
      </c>
      <c r="AP135" s="1221">
        <f t="shared" si="91"/>
        <v>0.90651951825062405</v>
      </c>
      <c r="AQ135" s="1223" t="str">
        <f t="shared" si="102"/>
        <v xml:space="preserve"> </v>
      </c>
      <c r="AW135" s="107"/>
      <c r="BL135" s="149">
        <f>SUM(BL136:BL138)</f>
        <v>0</v>
      </c>
      <c r="BM135" s="149">
        <f t="shared" ref="BM135:BN135" si="137">SUM(BM136:BM138)</f>
        <v>250000</v>
      </c>
      <c r="BN135" s="149">
        <f t="shared" si="137"/>
        <v>0</v>
      </c>
      <c r="BP135" s="216">
        <f t="shared" si="94"/>
        <v>0</v>
      </c>
      <c r="BQ135" s="216">
        <f t="shared" si="95"/>
        <v>0</v>
      </c>
      <c r="BR135" s="216">
        <f t="shared" si="96"/>
        <v>0</v>
      </c>
    </row>
    <row r="136" spans="1:70" ht="36">
      <c r="A136" s="587" t="s">
        <v>939</v>
      </c>
      <c r="B136" s="1237" t="s">
        <v>561</v>
      </c>
      <c r="C136" s="113"/>
      <c r="D136" s="113"/>
      <c r="E136" s="113"/>
      <c r="F136" s="104">
        <f t="shared" si="130"/>
        <v>0</v>
      </c>
      <c r="G136" s="113">
        <f>+'CONAP (ALL FUNDS)'!F488</f>
        <v>0</v>
      </c>
      <c r="H136" s="113">
        <f>+'CONAP (ALL FUNDS)'!G488</f>
        <v>-2971035.76</v>
      </c>
      <c r="I136" s="113">
        <f>+'CONAP (ALL FUNDS)'!H488</f>
        <v>15000000</v>
      </c>
      <c r="J136" s="104">
        <f t="shared" si="131"/>
        <v>12028964.24</v>
      </c>
      <c r="K136" s="113">
        <v>0</v>
      </c>
      <c r="L136" s="113">
        <v>11990816.380000001</v>
      </c>
      <c r="M136" s="113">
        <v>0</v>
      </c>
      <c r="N136" s="104">
        <f t="shared" si="132"/>
        <v>11990816.380000001</v>
      </c>
      <c r="O136" s="113">
        <f t="shared" si="121"/>
        <v>0</v>
      </c>
      <c r="P136" s="113">
        <f t="shared" si="122"/>
        <v>9019780.620000001</v>
      </c>
      <c r="Q136" s="113">
        <f t="shared" si="123"/>
        <v>15000000</v>
      </c>
      <c r="R136" s="104">
        <f t="shared" si="124"/>
        <v>24019780.620000001</v>
      </c>
      <c r="S136" s="113">
        <f t="shared" si="125"/>
        <v>0</v>
      </c>
      <c r="T136" s="113">
        <f t="shared" si="126"/>
        <v>9019780.620000001</v>
      </c>
      <c r="U136" s="113">
        <f t="shared" si="127"/>
        <v>15000000</v>
      </c>
      <c r="V136" s="104">
        <f t="shared" si="128"/>
        <v>24019780.620000001</v>
      </c>
      <c r="W136" s="113">
        <f>+'CONAP (ALL FUNDS)'!J486</f>
        <v>0</v>
      </c>
      <c r="X136" s="113">
        <f>+'CONAP (ALL FUNDS)'!K486</f>
        <v>0</v>
      </c>
      <c r="Y136" s="113">
        <f>+'CONAP (ALL FUNDS)'!L486</f>
        <v>0</v>
      </c>
      <c r="Z136" s="104">
        <f t="shared" si="117"/>
        <v>0</v>
      </c>
      <c r="AA136" s="113">
        <f>+'CONAP (ALL FUNDS)'!J487</f>
        <v>0</v>
      </c>
      <c r="AB136" s="113">
        <f>+'CONAP (ALL FUNDS)'!K487</f>
        <v>9019780.6199999992</v>
      </c>
      <c r="AC136" s="113">
        <f>+'CONAP (ALL FUNDS)'!L487</f>
        <v>12980000</v>
      </c>
      <c r="AD136" s="104">
        <f t="shared" si="118"/>
        <v>21999780.619999997</v>
      </c>
      <c r="AE136" s="117">
        <f t="shared" si="133"/>
        <v>0</v>
      </c>
      <c r="AF136" s="117">
        <f t="shared" si="134"/>
        <v>9019780.6199999992</v>
      </c>
      <c r="AG136" s="117">
        <f t="shared" si="135"/>
        <v>12980000</v>
      </c>
      <c r="AH136" s="104">
        <f t="shared" si="119"/>
        <v>21999780.619999997</v>
      </c>
      <c r="AI136" s="117">
        <f t="shared" si="109"/>
        <v>0</v>
      </c>
      <c r="AJ136" s="117">
        <f t="shared" si="110"/>
        <v>0</v>
      </c>
      <c r="AK136" s="117">
        <f t="shared" si="111"/>
        <v>2020000</v>
      </c>
      <c r="AL136" s="104">
        <f t="shared" si="112"/>
        <v>2020000</v>
      </c>
      <c r="AM136" s="1221" t="str">
        <f t="shared" si="88"/>
        <v xml:space="preserve"> </v>
      </c>
      <c r="AN136" s="1221">
        <f t="shared" si="89"/>
        <v>0.99999999999999978</v>
      </c>
      <c r="AO136" s="1221">
        <f t="shared" si="90"/>
        <v>0.86533333333333329</v>
      </c>
      <c r="AP136" s="1221">
        <f t="shared" si="91"/>
        <v>0.91590264574198244</v>
      </c>
      <c r="AQ136" s="1223" t="str">
        <f t="shared" si="102"/>
        <v xml:space="preserve"> </v>
      </c>
      <c r="AW136" s="107"/>
      <c r="BH136" s="105">
        <f>+AL136-'CONAP (ALL FUNDS)'!Q490</f>
        <v>0</v>
      </c>
      <c r="BL136" s="149">
        <f>+'CONAP (ALL FUNDS)'!F486</f>
        <v>0</v>
      </c>
      <c r="BM136" s="149">
        <f>+'CONAP (ALL FUNDS)'!G486</f>
        <v>0</v>
      </c>
      <c r="BN136" s="149">
        <f>+'CONAP (ALL FUNDS)'!H486</f>
        <v>0</v>
      </c>
      <c r="BP136" s="216">
        <f t="shared" si="94"/>
        <v>0</v>
      </c>
      <c r="BQ136" s="216">
        <f t="shared" si="95"/>
        <v>0</v>
      </c>
      <c r="BR136" s="216">
        <f t="shared" si="96"/>
        <v>0</v>
      </c>
    </row>
    <row r="137" spans="1:70" ht="36">
      <c r="A137" s="587" t="s">
        <v>939</v>
      </c>
      <c r="B137" s="1236" t="s">
        <v>562</v>
      </c>
      <c r="C137" s="113"/>
      <c r="D137" s="113"/>
      <c r="E137" s="113"/>
      <c r="F137" s="104">
        <f t="shared" si="130"/>
        <v>0</v>
      </c>
      <c r="G137" s="113">
        <f>+'CONAP (ALL FUNDS)'!F499</f>
        <v>0</v>
      </c>
      <c r="H137" s="113">
        <f>+'CONAP (ALL FUNDS)'!G499</f>
        <v>-157500</v>
      </c>
      <c r="I137" s="113">
        <f>+'CONAP (ALL FUNDS)'!H499</f>
        <v>0</v>
      </c>
      <c r="J137" s="104">
        <f t="shared" si="131"/>
        <v>-157500</v>
      </c>
      <c r="K137" s="113">
        <v>0</v>
      </c>
      <c r="L137" s="113">
        <v>1868989.73</v>
      </c>
      <c r="M137" s="113">
        <v>0</v>
      </c>
      <c r="N137" s="104">
        <f t="shared" si="132"/>
        <v>1868989.73</v>
      </c>
      <c r="O137" s="113">
        <f t="shared" si="121"/>
        <v>0</v>
      </c>
      <c r="P137" s="113">
        <f t="shared" si="122"/>
        <v>1711489.73</v>
      </c>
      <c r="Q137" s="113">
        <f t="shared" si="123"/>
        <v>0</v>
      </c>
      <c r="R137" s="104">
        <f t="shared" si="124"/>
        <v>1711489.73</v>
      </c>
      <c r="S137" s="113">
        <f t="shared" si="125"/>
        <v>0</v>
      </c>
      <c r="T137" s="113">
        <f t="shared" si="126"/>
        <v>1711489.73</v>
      </c>
      <c r="U137" s="113">
        <f t="shared" si="127"/>
        <v>0</v>
      </c>
      <c r="V137" s="104">
        <f t="shared" si="128"/>
        <v>1711489.73</v>
      </c>
      <c r="W137" s="113">
        <f>+'CONAP (ALL FUNDS)'!J497</f>
        <v>0</v>
      </c>
      <c r="X137" s="113">
        <f>+'CONAP (ALL FUNDS)'!K497</f>
        <v>0</v>
      </c>
      <c r="Y137" s="113">
        <f>+'CONAP (ALL FUNDS)'!L497</f>
        <v>0</v>
      </c>
      <c r="Z137" s="104">
        <f t="shared" si="117"/>
        <v>0</v>
      </c>
      <c r="AA137" s="113">
        <f>+'CONAP (ALL FUNDS)'!J498</f>
        <v>0</v>
      </c>
      <c r="AB137" s="113">
        <f>+'CONAP (ALL FUNDS)'!K498</f>
        <v>980991.14000000013</v>
      </c>
      <c r="AC137" s="113">
        <f>+'CONAP (ALL FUNDS)'!L498</f>
        <v>0</v>
      </c>
      <c r="AD137" s="104">
        <f t="shared" si="118"/>
        <v>980991.14000000013</v>
      </c>
      <c r="AE137" s="117">
        <f t="shared" si="133"/>
        <v>0</v>
      </c>
      <c r="AF137" s="117">
        <f t="shared" si="134"/>
        <v>980991.14000000013</v>
      </c>
      <c r="AG137" s="117">
        <f t="shared" si="135"/>
        <v>0</v>
      </c>
      <c r="AH137" s="104">
        <f t="shared" si="119"/>
        <v>980991.14000000013</v>
      </c>
      <c r="AI137" s="117">
        <f t="shared" si="109"/>
        <v>0</v>
      </c>
      <c r="AJ137" s="117">
        <f t="shared" si="110"/>
        <v>730498.58999999985</v>
      </c>
      <c r="AK137" s="117">
        <f t="shared" si="111"/>
        <v>0</v>
      </c>
      <c r="AL137" s="104">
        <f t="shared" si="112"/>
        <v>730498.58999999985</v>
      </c>
      <c r="AM137" s="1221" t="str">
        <f t="shared" si="88"/>
        <v xml:space="preserve"> </v>
      </c>
      <c r="AN137" s="1221">
        <f t="shared" si="89"/>
        <v>0.5731796824746358</v>
      </c>
      <c r="AO137" s="1221" t="str">
        <f t="shared" si="90"/>
        <v xml:space="preserve"> </v>
      </c>
      <c r="AP137" s="1221">
        <f t="shared" si="91"/>
        <v>0.5731796824746358</v>
      </c>
      <c r="AQ137" s="1223" t="str">
        <f t="shared" si="102"/>
        <v xml:space="preserve"> </v>
      </c>
      <c r="AW137" s="107"/>
      <c r="BH137" s="105">
        <f>+AL137-'CONAP (ALL FUNDS)'!Q501</f>
        <v>0</v>
      </c>
      <c r="BL137" s="149">
        <f>+'CONAP (ALL FUNDS)'!F497</f>
        <v>0</v>
      </c>
      <c r="BM137" s="149">
        <f>+'CONAP (ALL FUNDS)'!G497</f>
        <v>0</v>
      </c>
      <c r="BN137" s="149">
        <f>+'CONAP (ALL FUNDS)'!H497</f>
        <v>0</v>
      </c>
      <c r="BP137" s="216">
        <f t="shared" si="94"/>
        <v>0</v>
      </c>
      <c r="BQ137" s="216">
        <f t="shared" si="95"/>
        <v>0</v>
      </c>
      <c r="BR137" s="216">
        <f t="shared" si="96"/>
        <v>0</v>
      </c>
    </row>
    <row r="138" spans="1:70" ht="24">
      <c r="A138" s="587" t="s">
        <v>939</v>
      </c>
      <c r="B138" s="1237" t="s">
        <v>563</v>
      </c>
      <c r="C138" s="113">
        <v>0</v>
      </c>
      <c r="D138" s="113">
        <v>250000</v>
      </c>
      <c r="E138" s="113">
        <v>0</v>
      </c>
      <c r="F138" s="104">
        <f t="shared" si="130"/>
        <v>250000</v>
      </c>
      <c r="G138" s="113">
        <f>+'CONAP (ALL FUNDS)'!F510</f>
        <v>0</v>
      </c>
      <c r="H138" s="113">
        <f>+'CONAP (ALL FUNDS)'!G510</f>
        <v>-266034.99</v>
      </c>
      <c r="I138" s="113">
        <f>+'CONAP (ALL FUNDS)'!H510</f>
        <v>0</v>
      </c>
      <c r="J138" s="104">
        <f t="shared" si="131"/>
        <v>-266034.99</v>
      </c>
      <c r="K138" s="113">
        <v>0</v>
      </c>
      <c r="L138" s="113">
        <v>3708004</v>
      </c>
      <c r="M138" s="113">
        <v>0</v>
      </c>
      <c r="N138" s="104">
        <f t="shared" si="132"/>
        <v>3708004</v>
      </c>
      <c r="O138" s="113">
        <f t="shared" si="121"/>
        <v>0</v>
      </c>
      <c r="P138" s="113">
        <f t="shared" si="122"/>
        <v>3441969.01</v>
      </c>
      <c r="Q138" s="113">
        <f t="shared" si="123"/>
        <v>0</v>
      </c>
      <c r="R138" s="104">
        <f t="shared" si="124"/>
        <v>3441969.01</v>
      </c>
      <c r="S138" s="113">
        <f t="shared" si="125"/>
        <v>0</v>
      </c>
      <c r="T138" s="113">
        <f t="shared" si="126"/>
        <v>3691969.01</v>
      </c>
      <c r="U138" s="113">
        <f t="shared" si="127"/>
        <v>0</v>
      </c>
      <c r="V138" s="104">
        <f t="shared" si="128"/>
        <v>3691969.01</v>
      </c>
      <c r="W138" s="113">
        <f>+'CONAP (ALL FUNDS)'!J508</f>
        <v>0</v>
      </c>
      <c r="X138" s="113">
        <f>+'CONAP (ALL FUNDS)'!K508</f>
        <v>250000</v>
      </c>
      <c r="Y138" s="113">
        <f>+'CONAP (ALL FUNDS)'!L508</f>
        <v>0</v>
      </c>
      <c r="Z138" s="104">
        <f t="shared" si="117"/>
        <v>250000</v>
      </c>
      <c r="AA138" s="113">
        <f>+'CONAP (ALL FUNDS)'!J509</f>
        <v>0</v>
      </c>
      <c r="AB138" s="113">
        <f>+'CONAP (ALL FUNDS)'!K509</f>
        <v>3441969.01</v>
      </c>
      <c r="AC138" s="113">
        <f>+'CONAP (ALL FUNDS)'!L509</f>
        <v>0</v>
      </c>
      <c r="AD138" s="104">
        <f t="shared" si="118"/>
        <v>3441969.01</v>
      </c>
      <c r="AE138" s="117">
        <f t="shared" si="133"/>
        <v>0</v>
      </c>
      <c r="AF138" s="117">
        <f t="shared" si="134"/>
        <v>3691969.01</v>
      </c>
      <c r="AG138" s="117">
        <f t="shared" si="135"/>
        <v>0</v>
      </c>
      <c r="AH138" s="104">
        <f t="shared" si="119"/>
        <v>3691969.01</v>
      </c>
      <c r="AI138" s="117">
        <f t="shared" si="109"/>
        <v>0</v>
      </c>
      <c r="AJ138" s="117">
        <f t="shared" si="110"/>
        <v>0</v>
      </c>
      <c r="AK138" s="117">
        <f t="shared" si="111"/>
        <v>0</v>
      </c>
      <c r="AL138" s="104">
        <f t="shared" si="112"/>
        <v>0</v>
      </c>
      <c r="AM138" s="1221" t="str">
        <f t="shared" ref="AM138:AM201" si="138">IF(S138=0," ",AE138/S138)</f>
        <v xml:space="preserve"> </v>
      </c>
      <c r="AN138" s="1221">
        <f t="shared" ref="AN138:AN201" si="139">IF(T138=0," ",AF138/T138)</f>
        <v>1</v>
      </c>
      <c r="AO138" s="1221" t="str">
        <f t="shared" ref="AO138:AO201" si="140">IF(U138=0," ",AG138/U138)</f>
        <v xml:space="preserve"> </v>
      </c>
      <c r="AP138" s="1221">
        <f t="shared" ref="AP138:AP201" si="141">IF(V138=0," ",AH138/V138)</f>
        <v>1</v>
      </c>
      <c r="AQ138" s="1223" t="str">
        <f t="shared" si="102"/>
        <v xml:space="preserve"> </v>
      </c>
      <c r="AW138" s="107"/>
      <c r="BH138" s="105">
        <f>+AL138-'CONAP (ALL FUNDS)'!Q512</f>
        <v>0</v>
      </c>
      <c r="BL138" s="149">
        <f>+'CONAP (ALL FUNDS)'!F508</f>
        <v>0</v>
      </c>
      <c r="BM138" s="149">
        <f>+'CONAP (ALL FUNDS)'!G508</f>
        <v>250000</v>
      </c>
      <c r="BN138" s="149">
        <f>+'CONAP (ALL FUNDS)'!H508</f>
        <v>0</v>
      </c>
      <c r="BP138" s="216">
        <f t="shared" ref="BP138:BP201" si="142">+C138-BL138</f>
        <v>0</v>
      </c>
      <c r="BQ138" s="216">
        <f t="shared" ref="BQ138:BQ201" si="143">+D138-BM138</f>
        <v>0</v>
      </c>
      <c r="BR138" s="216">
        <f t="shared" ref="BR138:BR201" si="144">+E138-BN138</f>
        <v>0</v>
      </c>
    </row>
    <row r="139" spans="1:70" ht="12.75">
      <c r="B139" s="1238"/>
      <c r="C139" s="113"/>
      <c r="D139" s="113"/>
      <c r="E139" s="113"/>
      <c r="F139" s="104">
        <f t="shared" si="130"/>
        <v>0</v>
      </c>
      <c r="G139" s="113"/>
      <c r="H139" s="113"/>
      <c r="I139" s="113"/>
      <c r="J139" s="104">
        <f t="shared" si="131"/>
        <v>0</v>
      </c>
      <c r="K139" s="113"/>
      <c r="L139" s="113"/>
      <c r="M139" s="113"/>
      <c r="N139" s="104">
        <f t="shared" si="132"/>
        <v>0</v>
      </c>
      <c r="O139" s="113">
        <f t="shared" si="121"/>
        <v>0</v>
      </c>
      <c r="P139" s="113">
        <f t="shared" si="122"/>
        <v>0</v>
      </c>
      <c r="Q139" s="113">
        <f t="shared" si="123"/>
        <v>0</v>
      </c>
      <c r="R139" s="104">
        <f t="shared" si="124"/>
        <v>0</v>
      </c>
      <c r="S139" s="113">
        <f t="shared" si="125"/>
        <v>0</v>
      </c>
      <c r="T139" s="113">
        <f t="shared" si="126"/>
        <v>0</v>
      </c>
      <c r="U139" s="113">
        <f t="shared" si="127"/>
        <v>0</v>
      </c>
      <c r="V139" s="104">
        <f t="shared" si="128"/>
        <v>0</v>
      </c>
      <c r="W139" s="113"/>
      <c r="X139" s="113"/>
      <c r="Y139" s="113"/>
      <c r="Z139" s="104">
        <f t="shared" si="117"/>
        <v>0</v>
      </c>
      <c r="AA139" s="113"/>
      <c r="AB139" s="113"/>
      <c r="AC139" s="113"/>
      <c r="AD139" s="104">
        <f t="shared" si="118"/>
        <v>0</v>
      </c>
      <c r="AE139" s="117">
        <f t="shared" si="133"/>
        <v>0</v>
      </c>
      <c r="AF139" s="117">
        <f t="shared" si="134"/>
        <v>0</v>
      </c>
      <c r="AG139" s="117">
        <f t="shared" si="135"/>
        <v>0</v>
      </c>
      <c r="AH139" s="104">
        <f t="shared" si="119"/>
        <v>0</v>
      </c>
      <c r="AI139" s="117">
        <f t="shared" si="109"/>
        <v>0</v>
      </c>
      <c r="AJ139" s="117">
        <f t="shared" si="110"/>
        <v>0</v>
      </c>
      <c r="AK139" s="117">
        <f t="shared" si="111"/>
        <v>0</v>
      </c>
      <c r="AL139" s="104">
        <f t="shared" si="112"/>
        <v>0</v>
      </c>
      <c r="AM139" s="1221" t="str">
        <f t="shared" si="138"/>
        <v xml:space="preserve"> </v>
      </c>
      <c r="AN139" s="1221" t="str">
        <f t="shared" si="139"/>
        <v xml:space="preserve"> </v>
      </c>
      <c r="AO139" s="1221" t="str">
        <f t="shared" si="140"/>
        <v xml:space="preserve"> </v>
      </c>
      <c r="AP139" s="1221" t="str">
        <f t="shared" si="141"/>
        <v xml:space="preserve"> </v>
      </c>
      <c r="AQ139" s="1223" t="str">
        <f t="shared" si="102"/>
        <v xml:space="preserve"> </v>
      </c>
      <c r="AW139" s="107"/>
      <c r="BL139" s="149"/>
      <c r="BM139" s="149"/>
      <c r="BN139" s="149"/>
      <c r="BP139" s="216">
        <f t="shared" si="142"/>
        <v>0</v>
      </c>
      <c r="BQ139" s="216">
        <f t="shared" si="143"/>
        <v>0</v>
      </c>
      <c r="BR139" s="216">
        <f t="shared" si="144"/>
        <v>0</v>
      </c>
    </row>
    <row r="140" spans="1:70" ht="12.75">
      <c r="A140" s="587" t="s">
        <v>937</v>
      </c>
      <c r="B140" s="1235" t="s">
        <v>33</v>
      </c>
      <c r="C140" s="113">
        <f t="shared" ref="C140:N140" si="145">SUM(C141:C144)</f>
        <v>0</v>
      </c>
      <c r="D140" s="113">
        <f t="shared" si="145"/>
        <v>2954235.3299999996</v>
      </c>
      <c r="E140" s="113">
        <f t="shared" si="145"/>
        <v>100000000</v>
      </c>
      <c r="F140" s="113">
        <f t="shared" si="145"/>
        <v>102954235.33</v>
      </c>
      <c r="G140" s="113">
        <f t="shared" si="145"/>
        <v>0</v>
      </c>
      <c r="H140" s="113">
        <f t="shared" si="145"/>
        <v>1642622.0899999999</v>
      </c>
      <c r="I140" s="113">
        <f t="shared" si="145"/>
        <v>0</v>
      </c>
      <c r="J140" s="113">
        <f t="shared" si="145"/>
        <v>1642622.0899999999</v>
      </c>
      <c r="K140" s="113">
        <f t="shared" si="145"/>
        <v>0</v>
      </c>
      <c r="L140" s="113">
        <f t="shared" si="145"/>
        <v>11587144.859999999</v>
      </c>
      <c r="M140" s="113">
        <f t="shared" si="145"/>
        <v>0</v>
      </c>
      <c r="N140" s="113">
        <f t="shared" si="145"/>
        <v>11587144.859999999</v>
      </c>
      <c r="O140" s="113">
        <f t="shared" si="121"/>
        <v>0</v>
      </c>
      <c r="P140" s="113">
        <f t="shared" si="122"/>
        <v>13229766.949999999</v>
      </c>
      <c r="Q140" s="113">
        <f t="shared" si="123"/>
        <v>0</v>
      </c>
      <c r="R140" s="104">
        <f t="shared" si="124"/>
        <v>13229766.949999999</v>
      </c>
      <c r="S140" s="113">
        <f t="shared" si="125"/>
        <v>0</v>
      </c>
      <c r="T140" s="113">
        <f t="shared" si="126"/>
        <v>16184002.279999999</v>
      </c>
      <c r="U140" s="113">
        <f t="shared" si="127"/>
        <v>100000000</v>
      </c>
      <c r="V140" s="104">
        <f t="shared" si="128"/>
        <v>116184002.28</v>
      </c>
      <c r="W140" s="113">
        <f>SUM(W141:W144)</f>
        <v>0</v>
      </c>
      <c r="X140" s="113">
        <f>SUM(X141:X144)</f>
        <v>1899444.95</v>
      </c>
      <c r="Y140" s="113">
        <f>SUM(Y141:Y144)</f>
        <v>31356400</v>
      </c>
      <c r="Z140" s="104">
        <f t="shared" si="117"/>
        <v>33255844.949999999</v>
      </c>
      <c r="AA140" s="113">
        <f>SUM(AA141:AA144)</f>
        <v>0</v>
      </c>
      <c r="AB140" s="113">
        <f>SUM(AB141:AB144)</f>
        <v>4086073.42</v>
      </c>
      <c r="AC140" s="113">
        <f>SUM(AC141:AC144)</f>
        <v>0</v>
      </c>
      <c r="AD140" s="104">
        <f t="shared" si="118"/>
        <v>4086073.42</v>
      </c>
      <c r="AE140" s="117">
        <f t="shared" si="133"/>
        <v>0</v>
      </c>
      <c r="AF140" s="117">
        <f t="shared" si="134"/>
        <v>5985518.3700000001</v>
      </c>
      <c r="AG140" s="117">
        <f t="shared" si="135"/>
        <v>31356400</v>
      </c>
      <c r="AH140" s="104">
        <f t="shared" si="119"/>
        <v>37341918.369999997</v>
      </c>
      <c r="AI140" s="117">
        <f t="shared" si="109"/>
        <v>0</v>
      </c>
      <c r="AJ140" s="117">
        <f t="shared" si="110"/>
        <v>10198483.91</v>
      </c>
      <c r="AK140" s="117">
        <f t="shared" si="111"/>
        <v>68643600</v>
      </c>
      <c r="AL140" s="104">
        <f t="shared" si="112"/>
        <v>78842083.909999996</v>
      </c>
      <c r="AM140" s="1221" t="str">
        <f t="shared" si="138"/>
        <v xml:space="preserve"> </v>
      </c>
      <c r="AN140" s="1221">
        <f t="shared" si="139"/>
        <v>0.36984166626056608</v>
      </c>
      <c r="AO140" s="1221">
        <f t="shared" si="140"/>
        <v>0.31356400000000001</v>
      </c>
      <c r="AP140" s="1221">
        <f t="shared" si="141"/>
        <v>0.32140327099428956</v>
      </c>
      <c r="AQ140" s="1223" t="str">
        <f t="shared" si="102"/>
        <v xml:space="preserve"> </v>
      </c>
      <c r="AW140" s="107"/>
      <c r="BL140" s="149">
        <f>SUM(BL141:BL144)</f>
        <v>0</v>
      </c>
      <c r="BM140" s="149">
        <f t="shared" ref="BM140:BN140" si="146">SUM(BM141:BM144)</f>
        <v>2954235.3299999996</v>
      </c>
      <c r="BN140" s="149">
        <f t="shared" si="146"/>
        <v>100000000</v>
      </c>
      <c r="BP140" s="216">
        <f t="shared" si="142"/>
        <v>0</v>
      </c>
      <c r="BQ140" s="216">
        <f t="shared" si="143"/>
        <v>0</v>
      </c>
      <c r="BR140" s="216">
        <f t="shared" si="144"/>
        <v>0</v>
      </c>
    </row>
    <row r="141" spans="1:70" s="95" customFormat="1" ht="36">
      <c r="A141" s="587" t="s">
        <v>937</v>
      </c>
      <c r="B141" s="1236" t="s">
        <v>564</v>
      </c>
      <c r="C141" s="104">
        <v>0</v>
      </c>
      <c r="D141" s="104">
        <v>2470437.36</v>
      </c>
      <c r="E141" s="104">
        <v>0</v>
      </c>
      <c r="F141" s="104">
        <f t="shared" si="130"/>
        <v>2470437.36</v>
      </c>
      <c r="G141" s="104">
        <f>+'CONAP (ALL FUNDS)'!F548</f>
        <v>0</v>
      </c>
      <c r="H141" s="104">
        <f>+'CONAP (ALL FUNDS)'!G548</f>
        <v>1631324.54</v>
      </c>
      <c r="I141" s="104">
        <f>+'CONAP (ALL FUNDS)'!H548</f>
        <v>0</v>
      </c>
      <c r="J141" s="104">
        <f t="shared" si="131"/>
        <v>1631324.54</v>
      </c>
      <c r="K141" s="104">
        <v>0</v>
      </c>
      <c r="L141" s="104">
        <v>8860190.4699999988</v>
      </c>
      <c r="M141" s="104">
        <v>0</v>
      </c>
      <c r="N141" s="104">
        <f t="shared" si="132"/>
        <v>8860190.4699999988</v>
      </c>
      <c r="O141" s="113">
        <f t="shared" si="121"/>
        <v>0</v>
      </c>
      <c r="P141" s="113">
        <f t="shared" si="122"/>
        <v>10491515.009999998</v>
      </c>
      <c r="Q141" s="113">
        <f t="shared" si="123"/>
        <v>0</v>
      </c>
      <c r="R141" s="104">
        <f t="shared" si="124"/>
        <v>10491515.009999998</v>
      </c>
      <c r="S141" s="113">
        <f t="shared" si="125"/>
        <v>0</v>
      </c>
      <c r="T141" s="113">
        <f t="shared" si="126"/>
        <v>12961952.369999997</v>
      </c>
      <c r="U141" s="113">
        <f t="shared" si="127"/>
        <v>0</v>
      </c>
      <c r="V141" s="104">
        <f t="shared" si="128"/>
        <v>12961952.369999997</v>
      </c>
      <c r="W141" s="104">
        <f>+'CONAP (ALL FUNDS)'!J546</f>
        <v>0</v>
      </c>
      <c r="X141" s="104">
        <f>+'CONAP (ALL FUNDS)'!K546</f>
        <v>1483279.99</v>
      </c>
      <c r="Y141" s="104">
        <f>+'CONAP (ALL FUNDS)'!L546</f>
        <v>0</v>
      </c>
      <c r="Z141" s="104">
        <f t="shared" si="117"/>
        <v>1483279.99</v>
      </c>
      <c r="AA141" s="104">
        <f>+'CONAP (ALL FUNDS)'!J547</f>
        <v>0</v>
      </c>
      <c r="AB141" s="104">
        <f>+'CONAP (ALL FUNDS)'!K547</f>
        <v>2627541.64</v>
      </c>
      <c r="AC141" s="104">
        <f>+'CONAP (ALL FUNDS)'!L547</f>
        <v>0</v>
      </c>
      <c r="AD141" s="104">
        <f t="shared" si="118"/>
        <v>2627541.64</v>
      </c>
      <c r="AE141" s="117">
        <f t="shared" si="133"/>
        <v>0</v>
      </c>
      <c r="AF141" s="117">
        <f t="shared" si="134"/>
        <v>4110821.63</v>
      </c>
      <c r="AG141" s="117">
        <f t="shared" si="135"/>
        <v>0</v>
      </c>
      <c r="AH141" s="104">
        <f t="shared" si="119"/>
        <v>4110821.63</v>
      </c>
      <c r="AI141" s="117">
        <f t="shared" si="109"/>
        <v>0</v>
      </c>
      <c r="AJ141" s="117">
        <f t="shared" si="110"/>
        <v>8851130.7399999984</v>
      </c>
      <c r="AK141" s="117">
        <f t="shared" si="111"/>
        <v>0</v>
      </c>
      <c r="AL141" s="104">
        <f t="shared" si="112"/>
        <v>8851130.7399999984</v>
      </c>
      <c r="AM141" s="1221" t="str">
        <f t="shared" si="138"/>
        <v xml:space="preserve"> </v>
      </c>
      <c r="AN141" s="1221">
        <f t="shared" si="139"/>
        <v>0.31714525039563934</v>
      </c>
      <c r="AO141" s="1221" t="str">
        <f t="shared" si="140"/>
        <v xml:space="preserve"> </v>
      </c>
      <c r="AP141" s="1221">
        <f t="shared" si="141"/>
        <v>0.31714525039563934</v>
      </c>
      <c r="AQ141" s="1223" t="str">
        <f t="shared" si="102"/>
        <v xml:space="preserve"> </v>
      </c>
      <c r="AR141" s="147"/>
      <c r="AS141" s="147"/>
      <c r="AT141" s="147"/>
      <c r="AU141" s="111"/>
      <c r="AW141" s="107"/>
      <c r="AY141" s="156"/>
      <c r="AZ141" s="156"/>
      <c r="BH141" s="95">
        <f>+AL141-'CONAP (ALL FUNDS)'!Q550</f>
        <v>0</v>
      </c>
      <c r="BL141" s="147">
        <f>+'CONAP (ALL FUNDS)'!F546</f>
        <v>0</v>
      </c>
      <c r="BM141" s="147">
        <f>+'CONAP (ALL FUNDS)'!G546</f>
        <v>2470437.36</v>
      </c>
      <c r="BN141" s="147">
        <f>+'CONAP (ALL FUNDS)'!H546</f>
        <v>0</v>
      </c>
      <c r="BP141" s="216">
        <f t="shared" si="142"/>
        <v>0</v>
      </c>
      <c r="BQ141" s="216">
        <f t="shared" si="143"/>
        <v>0</v>
      </c>
      <c r="BR141" s="216">
        <f t="shared" si="144"/>
        <v>0</v>
      </c>
    </row>
    <row r="142" spans="1:70" ht="36">
      <c r="A142" s="587" t="s">
        <v>937</v>
      </c>
      <c r="B142" s="1236" t="s">
        <v>565</v>
      </c>
      <c r="C142" s="113">
        <v>0</v>
      </c>
      <c r="D142" s="113">
        <v>483713.05</v>
      </c>
      <c r="E142" s="113">
        <v>100000000</v>
      </c>
      <c r="F142" s="104">
        <f t="shared" si="130"/>
        <v>100483713.05</v>
      </c>
      <c r="G142" s="113">
        <f>+'CONAP (ALL FUNDS)'!F581</f>
        <v>0</v>
      </c>
      <c r="H142" s="113">
        <f>+'CONAP (ALL FUNDS)'!G581</f>
        <v>-177731.34000000008</v>
      </c>
      <c r="I142" s="113">
        <f>+'CONAP (ALL FUNDS)'!H581</f>
        <v>0</v>
      </c>
      <c r="J142" s="104">
        <f t="shared" si="131"/>
        <v>-177731.34000000008</v>
      </c>
      <c r="K142" s="113">
        <v>0</v>
      </c>
      <c r="L142" s="113">
        <v>2398625.98</v>
      </c>
      <c r="M142" s="113">
        <v>0</v>
      </c>
      <c r="N142" s="104">
        <f t="shared" si="132"/>
        <v>2398625.98</v>
      </c>
      <c r="O142" s="113">
        <f t="shared" si="121"/>
        <v>0</v>
      </c>
      <c r="P142" s="113">
        <f t="shared" si="122"/>
        <v>2220894.6399999997</v>
      </c>
      <c r="Q142" s="113">
        <f t="shared" si="123"/>
        <v>0</v>
      </c>
      <c r="R142" s="104">
        <f t="shared" si="124"/>
        <v>2220894.6399999997</v>
      </c>
      <c r="S142" s="113">
        <f t="shared" si="125"/>
        <v>0</v>
      </c>
      <c r="T142" s="113">
        <f>+P142+D142</f>
        <v>2704607.6899999995</v>
      </c>
      <c r="U142" s="113">
        <f t="shared" si="127"/>
        <v>100000000</v>
      </c>
      <c r="V142" s="104">
        <f t="shared" si="128"/>
        <v>102704607.69</v>
      </c>
      <c r="W142" s="113">
        <f>+'CONAP (ALL FUNDS)'!J579</f>
        <v>0</v>
      </c>
      <c r="X142" s="113">
        <f>+'CONAP (ALL FUNDS)'!K579</f>
        <v>416164.96</v>
      </c>
      <c r="Y142" s="113">
        <f>+'CONAP (ALL FUNDS)'!L579</f>
        <v>31356400</v>
      </c>
      <c r="Z142" s="104">
        <f t="shared" si="117"/>
        <v>31772564.960000001</v>
      </c>
      <c r="AA142" s="113">
        <f>+'CONAP (ALL FUNDS)'!J580</f>
        <v>0</v>
      </c>
      <c r="AB142" s="113">
        <f>+'CONAP (ALL FUNDS)'!K580</f>
        <v>951650</v>
      </c>
      <c r="AC142" s="113">
        <f>+'CONAP (ALL FUNDS)'!L580</f>
        <v>0</v>
      </c>
      <c r="AD142" s="104">
        <f t="shared" si="118"/>
        <v>951650</v>
      </c>
      <c r="AE142" s="117">
        <f t="shared" si="133"/>
        <v>0</v>
      </c>
      <c r="AF142" s="117">
        <f t="shared" si="134"/>
        <v>1367814.96</v>
      </c>
      <c r="AG142" s="117">
        <f t="shared" si="135"/>
        <v>31356400</v>
      </c>
      <c r="AH142" s="104">
        <f t="shared" si="119"/>
        <v>32724214.960000001</v>
      </c>
      <c r="AI142" s="117">
        <f t="shared" si="109"/>
        <v>0</v>
      </c>
      <c r="AJ142" s="117">
        <f t="shared" si="110"/>
        <v>1336792.7299999995</v>
      </c>
      <c r="AK142" s="117">
        <f t="shared" si="111"/>
        <v>68643600</v>
      </c>
      <c r="AL142" s="104">
        <f t="shared" si="112"/>
        <v>69980392.730000004</v>
      </c>
      <c r="AM142" s="1221" t="str">
        <f t="shared" si="138"/>
        <v xml:space="preserve"> </v>
      </c>
      <c r="AN142" s="1221">
        <f t="shared" si="139"/>
        <v>0.50573507021271547</v>
      </c>
      <c r="AO142" s="1221">
        <f t="shared" si="140"/>
        <v>0.31356400000000001</v>
      </c>
      <c r="AP142" s="1221">
        <f t="shared" si="141"/>
        <v>0.31862460405645704</v>
      </c>
      <c r="AQ142" s="1223" t="str">
        <f t="shared" si="102"/>
        <v xml:space="preserve"> </v>
      </c>
      <c r="AW142" s="107"/>
      <c r="BH142" s="105">
        <f>+AL142-'CONAP (ALL FUNDS)'!Q583</f>
        <v>0</v>
      </c>
      <c r="BL142" s="149">
        <f>+'CONAP (ALL FUNDS)'!F579</f>
        <v>0</v>
      </c>
      <c r="BM142" s="149">
        <f>+'CONAP (ALL FUNDS)'!G579</f>
        <v>483713.05</v>
      </c>
      <c r="BN142" s="149">
        <f>+'CONAP (ALL FUNDS)'!H579</f>
        <v>100000000</v>
      </c>
      <c r="BP142" s="216">
        <f t="shared" si="142"/>
        <v>0</v>
      </c>
      <c r="BQ142" s="216">
        <f t="shared" si="143"/>
        <v>0</v>
      </c>
      <c r="BR142" s="216">
        <f t="shared" si="144"/>
        <v>0</v>
      </c>
    </row>
    <row r="143" spans="1:70" ht="36">
      <c r="A143" s="587" t="s">
        <v>937</v>
      </c>
      <c r="B143" s="1237" t="s">
        <v>566</v>
      </c>
      <c r="C143" s="113"/>
      <c r="D143" s="113">
        <v>84.92</v>
      </c>
      <c r="E143" s="113"/>
      <c r="F143" s="104">
        <f t="shared" si="130"/>
        <v>84.92</v>
      </c>
      <c r="G143" s="113">
        <f>+'CONAP (ALL FUNDS)'!F559</f>
        <v>0</v>
      </c>
      <c r="H143" s="104">
        <f>+'CONAP (ALL FUNDS)'!G559</f>
        <v>0</v>
      </c>
      <c r="I143" s="113">
        <f>+'CONAP (ALL FUNDS)'!H559</f>
        <v>0</v>
      </c>
      <c r="J143" s="104">
        <f t="shared" si="131"/>
        <v>0</v>
      </c>
      <c r="K143" s="113"/>
      <c r="L143" s="104">
        <v>1783.52</v>
      </c>
      <c r="M143" s="113"/>
      <c r="N143" s="104">
        <f t="shared" si="132"/>
        <v>1783.52</v>
      </c>
      <c r="O143" s="113">
        <f t="shared" si="121"/>
        <v>0</v>
      </c>
      <c r="P143" s="113">
        <f t="shared" si="122"/>
        <v>1783.52</v>
      </c>
      <c r="Q143" s="113">
        <f t="shared" si="123"/>
        <v>0</v>
      </c>
      <c r="R143" s="104">
        <f t="shared" si="124"/>
        <v>1783.52</v>
      </c>
      <c r="S143" s="113">
        <f t="shared" si="125"/>
        <v>0</v>
      </c>
      <c r="T143" s="113">
        <f t="shared" si="126"/>
        <v>1868.44</v>
      </c>
      <c r="U143" s="113">
        <f t="shared" si="127"/>
        <v>0</v>
      </c>
      <c r="V143" s="104">
        <f t="shared" si="128"/>
        <v>1868.44</v>
      </c>
      <c r="W143" s="113">
        <f>+'CONAP (ALL FUNDS)'!J557</f>
        <v>0</v>
      </c>
      <c r="X143" s="113">
        <f>+'CONAP (ALL FUNDS)'!K557</f>
        <v>0</v>
      </c>
      <c r="Y143" s="113">
        <f>+'CONAP (ALL FUNDS)'!L557</f>
        <v>0</v>
      </c>
      <c r="Z143" s="104">
        <f t="shared" si="117"/>
        <v>0</v>
      </c>
      <c r="AA143" s="113">
        <f>+'CONAP (ALL FUNDS)'!J558</f>
        <v>0</v>
      </c>
      <c r="AB143" s="113">
        <f>+'CONAP (ALL FUNDS)'!K558</f>
        <v>0</v>
      </c>
      <c r="AC143" s="113">
        <f>+'CONAP (ALL FUNDS)'!L558</f>
        <v>0</v>
      </c>
      <c r="AD143" s="104">
        <f t="shared" si="118"/>
        <v>0</v>
      </c>
      <c r="AE143" s="117">
        <f t="shared" si="133"/>
        <v>0</v>
      </c>
      <c r="AF143" s="117">
        <f t="shared" si="134"/>
        <v>0</v>
      </c>
      <c r="AG143" s="117">
        <f t="shared" si="135"/>
        <v>0</v>
      </c>
      <c r="AH143" s="104">
        <f t="shared" si="119"/>
        <v>0</v>
      </c>
      <c r="AI143" s="117">
        <f t="shared" si="109"/>
        <v>0</v>
      </c>
      <c r="AJ143" s="117">
        <f t="shared" si="110"/>
        <v>1868.44</v>
      </c>
      <c r="AK143" s="117">
        <f t="shared" si="111"/>
        <v>0</v>
      </c>
      <c r="AL143" s="104">
        <f t="shared" si="112"/>
        <v>1868.44</v>
      </c>
      <c r="AM143" s="1221" t="str">
        <f t="shared" si="138"/>
        <v xml:space="preserve"> </v>
      </c>
      <c r="AN143" s="1221">
        <f t="shared" si="139"/>
        <v>0</v>
      </c>
      <c r="AO143" s="1221" t="str">
        <f t="shared" si="140"/>
        <v xml:space="preserve"> </v>
      </c>
      <c r="AP143" s="1221">
        <f t="shared" si="141"/>
        <v>0</v>
      </c>
      <c r="AQ143" s="1223" t="str">
        <f t="shared" si="102"/>
        <v xml:space="preserve"> </v>
      </c>
      <c r="AW143" s="107"/>
      <c r="BH143" s="105">
        <f>+AL143-'CONAP (ALL FUNDS)'!Q561</f>
        <v>0</v>
      </c>
      <c r="BL143" s="149">
        <f>+'CONAP (ALL FUNDS)'!F557</f>
        <v>0</v>
      </c>
      <c r="BM143" s="149">
        <f>+'CONAP (ALL FUNDS)'!G557</f>
        <v>84.92</v>
      </c>
      <c r="BN143" s="149">
        <f>+'CONAP (ALL FUNDS)'!H557</f>
        <v>0</v>
      </c>
      <c r="BP143" s="216">
        <f t="shared" si="142"/>
        <v>0</v>
      </c>
      <c r="BQ143" s="216">
        <f t="shared" si="143"/>
        <v>0</v>
      </c>
      <c r="BR143" s="216">
        <f t="shared" si="144"/>
        <v>0</v>
      </c>
    </row>
    <row r="144" spans="1:70" ht="36">
      <c r="A144" s="587" t="s">
        <v>937</v>
      </c>
      <c r="B144" s="1236" t="s">
        <v>567</v>
      </c>
      <c r="C144" s="113"/>
      <c r="D144" s="113"/>
      <c r="E144" s="113"/>
      <c r="F144" s="104">
        <f t="shared" si="130"/>
        <v>0</v>
      </c>
      <c r="G144" s="113">
        <f>+'CONAP (ALL FUNDS)'!F570</f>
        <v>0</v>
      </c>
      <c r="H144" s="113">
        <f>+'CONAP (ALL FUNDS)'!G570</f>
        <v>189028.89</v>
      </c>
      <c r="I144" s="113">
        <f>+'CONAP (ALL FUNDS)'!H570</f>
        <v>0</v>
      </c>
      <c r="J144" s="104">
        <f t="shared" si="131"/>
        <v>189028.89</v>
      </c>
      <c r="K144" s="113">
        <v>0</v>
      </c>
      <c r="L144" s="113">
        <v>326544.89</v>
      </c>
      <c r="M144" s="113">
        <v>0</v>
      </c>
      <c r="N144" s="104">
        <f t="shared" si="132"/>
        <v>326544.89</v>
      </c>
      <c r="O144" s="113">
        <f t="shared" si="121"/>
        <v>0</v>
      </c>
      <c r="P144" s="113">
        <f t="shared" si="122"/>
        <v>515573.78</v>
      </c>
      <c r="Q144" s="113">
        <f t="shared" si="123"/>
        <v>0</v>
      </c>
      <c r="R144" s="104">
        <f t="shared" si="124"/>
        <v>515573.78</v>
      </c>
      <c r="S144" s="113">
        <f t="shared" si="125"/>
        <v>0</v>
      </c>
      <c r="T144" s="113">
        <f t="shared" si="126"/>
        <v>515573.78</v>
      </c>
      <c r="U144" s="113">
        <f t="shared" si="127"/>
        <v>0</v>
      </c>
      <c r="V144" s="104">
        <f t="shared" si="128"/>
        <v>515573.78</v>
      </c>
      <c r="W144" s="113">
        <f>+'CONAP (ALL FUNDS)'!K568</f>
        <v>0</v>
      </c>
      <c r="X144" s="113">
        <f>+'CONAP (ALL FUNDS)'!L568</f>
        <v>0</v>
      </c>
      <c r="Y144" s="113">
        <f>+'CONAP (ALL FUNDS)'!M568</f>
        <v>0</v>
      </c>
      <c r="Z144" s="104">
        <f t="shared" si="117"/>
        <v>0</v>
      </c>
      <c r="AA144" s="113">
        <f>+'CONAP (ALL FUNDS)'!J569</f>
        <v>0</v>
      </c>
      <c r="AB144" s="113">
        <f>+'CONAP (ALL FUNDS)'!K569</f>
        <v>506881.78</v>
      </c>
      <c r="AC144" s="113">
        <f>+'CONAP (ALL FUNDS)'!L569</f>
        <v>0</v>
      </c>
      <c r="AD144" s="104">
        <f t="shared" si="118"/>
        <v>506881.78</v>
      </c>
      <c r="AE144" s="117">
        <f t="shared" si="133"/>
        <v>0</v>
      </c>
      <c r="AF144" s="117">
        <f t="shared" si="134"/>
        <v>506881.78</v>
      </c>
      <c r="AG144" s="117">
        <f t="shared" si="135"/>
        <v>0</v>
      </c>
      <c r="AH144" s="104">
        <f t="shared" si="119"/>
        <v>506881.78</v>
      </c>
      <c r="AI144" s="117">
        <f t="shared" si="109"/>
        <v>0</v>
      </c>
      <c r="AJ144" s="117">
        <f t="shared" si="110"/>
        <v>8692</v>
      </c>
      <c r="AK144" s="117">
        <f t="shared" si="111"/>
        <v>0</v>
      </c>
      <c r="AL144" s="104">
        <f t="shared" si="112"/>
        <v>8692</v>
      </c>
      <c r="AM144" s="1221" t="str">
        <f t="shared" si="138"/>
        <v xml:space="preserve"> </v>
      </c>
      <c r="AN144" s="1221">
        <f t="shared" si="139"/>
        <v>0.98314111318849462</v>
      </c>
      <c r="AO144" s="1221" t="str">
        <f t="shared" si="140"/>
        <v xml:space="preserve"> </v>
      </c>
      <c r="AP144" s="1221">
        <f t="shared" si="141"/>
        <v>0.98314111318849462</v>
      </c>
      <c r="AQ144" s="1223" t="str">
        <f t="shared" si="102"/>
        <v xml:space="preserve"> </v>
      </c>
      <c r="AW144" s="107"/>
      <c r="BH144" s="105">
        <f>+AL144-'CONAP (ALL FUNDS)'!Q572</f>
        <v>0</v>
      </c>
      <c r="BL144" s="149">
        <f>+'CONAP (ALL FUNDS)'!F568</f>
        <v>0</v>
      </c>
      <c r="BM144" s="149">
        <f>+'CONAP (ALL FUNDS)'!G568</f>
        <v>0</v>
      </c>
      <c r="BN144" s="149">
        <f>+'CONAP (ALL FUNDS)'!H568</f>
        <v>0</v>
      </c>
      <c r="BP144" s="216">
        <f t="shared" si="142"/>
        <v>0</v>
      </c>
      <c r="BQ144" s="216">
        <f t="shared" si="143"/>
        <v>0</v>
      </c>
      <c r="BR144" s="216">
        <f t="shared" si="144"/>
        <v>0</v>
      </c>
    </row>
    <row r="145" spans="1:70" ht="12.75">
      <c r="B145" s="1238"/>
      <c r="C145" s="113"/>
      <c r="D145" s="113"/>
      <c r="E145" s="113"/>
      <c r="F145" s="104">
        <f t="shared" si="130"/>
        <v>0</v>
      </c>
      <c r="G145" s="113"/>
      <c r="H145" s="113"/>
      <c r="I145" s="113"/>
      <c r="J145" s="104">
        <f t="shared" si="131"/>
        <v>0</v>
      </c>
      <c r="K145" s="113"/>
      <c r="L145" s="113"/>
      <c r="M145" s="113"/>
      <c r="N145" s="104">
        <f t="shared" si="132"/>
        <v>0</v>
      </c>
      <c r="O145" s="113">
        <f t="shared" si="121"/>
        <v>0</v>
      </c>
      <c r="P145" s="113">
        <f t="shared" si="122"/>
        <v>0</v>
      </c>
      <c r="Q145" s="113">
        <f t="shared" si="123"/>
        <v>0</v>
      </c>
      <c r="R145" s="104">
        <f t="shared" si="124"/>
        <v>0</v>
      </c>
      <c r="S145" s="113">
        <f t="shared" si="125"/>
        <v>0</v>
      </c>
      <c r="T145" s="113">
        <f t="shared" si="126"/>
        <v>0</v>
      </c>
      <c r="U145" s="113">
        <f t="shared" si="127"/>
        <v>0</v>
      </c>
      <c r="V145" s="104">
        <f t="shared" si="128"/>
        <v>0</v>
      </c>
      <c r="W145" s="113"/>
      <c r="X145" s="113"/>
      <c r="Y145" s="113"/>
      <c r="Z145" s="104">
        <f t="shared" si="117"/>
        <v>0</v>
      </c>
      <c r="AA145" s="113"/>
      <c r="AB145" s="113"/>
      <c r="AC145" s="113"/>
      <c r="AD145" s="104">
        <f t="shared" si="118"/>
        <v>0</v>
      </c>
      <c r="AE145" s="117">
        <f t="shared" si="133"/>
        <v>0</v>
      </c>
      <c r="AF145" s="117">
        <f t="shared" si="134"/>
        <v>0</v>
      </c>
      <c r="AG145" s="117">
        <f t="shared" si="135"/>
        <v>0</v>
      </c>
      <c r="AH145" s="104">
        <f t="shared" si="119"/>
        <v>0</v>
      </c>
      <c r="AI145" s="117">
        <f t="shared" si="109"/>
        <v>0</v>
      </c>
      <c r="AJ145" s="117">
        <f t="shared" si="110"/>
        <v>0</v>
      </c>
      <c r="AK145" s="117">
        <f t="shared" si="111"/>
        <v>0</v>
      </c>
      <c r="AL145" s="104">
        <f t="shared" si="112"/>
        <v>0</v>
      </c>
      <c r="AM145" s="1221" t="str">
        <f t="shared" si="138"/>
        <v xml:space="preserve"> </v>
      </c>
      <c r="AN145" s="1221" t="str">
        <f t="shared" si="139"/>
        <v xml:space="preserve"> </v>
      </c>
      <c r="AO145" s="1221" t="str">
        <f t="shared" si="140"/>
        <v xml:space="preserve"> </v>
      </c>
      <c r="AP145" s="1221" t="str">
        <f t="shared" si="141"/>
        <v xml:space="preserve"> </v>
      </c>
      <c r="AQ145" s="1223" t="str">
        <f t="shared" si="102"/>
        <v xml:space="preserve"> </v>
      </c>
      <c r="AW145" s="107"/>
      <c r="BL145" s="149"/>
      <c r="BM145" s="149"/>
      <c r="BN145" s="149"/>
      <c r="BP145" s="216">
        <f t="shared" si="142"/>
        <v>0</v>
      </c>
      <c r="BQ145" s="216">
        <f t="shared" si="143"/>
        <v>0</v>
      </c>
      <c r="BR145" s="216">
        <f t="shared" si="144"/>
        <v>0</v>
      </c>
    </row>
    <row r="146" spans="1:70" ht="12.75">
      <c r="A146" s="587" t="s">
        <v>937</v>
      </c>
      <c r="B146" s="1235" t="s">
        <v>34</v>
      </c>
      <c r="C146" s="113">
        <f t="shared" ref="C146:N146" si="147">SUM(C147:C152)</f>
        <v>0</v>
      </c>
      <c r="D146" s="113">
        <f t="shared" si="147"/>
        <v>3730132.7700000145</v>
      </c>
      <c r="E146" s="113">
        <f t="shared" si="147"/>
        <v>0</v>
      </c>
      <c r="F146" s="113">
        <f t="shared" si="147"/>
        <v>3730132.7700000145</v>
      </c>
      <c r="G146" s="113">
        <f t="shared" si="147"/>
        <v>0</v>
      </c>
      <c r="H146" s="113">
        <f t="shared" si="147"/>
        <v>-3043379.22</v>
      </c>
      <c r="I146" s="113">
        <f t="shared" si="147"/>
        <v>0</v>
      </c>
      <c r="J146" s="113">
        <f t="shared" si="147"/>
        <v>-3043379.22</v>
      </c>
      <c r="K146" s="113">
        <f t="shared" si="147"/>
        <v>0</v>
      </c>
      <c r="L146" s="113">
        <f t="shared" si="147"/>
        <v>17085124.759999998</v>
      </c>
      <c r="M146" s="113">
        <f t="shared" si="147"/>
        <v>0</v>
      </c>
      <c r="N146" s="113">
        <f t="shared" si="147"/>
        <v>17085124.759999998</v>
      </c>
      <c r="O146" s="113">
        <f t="shared" si="121"/>
        <v>0</v>
      </c>
      <c r="P146" s="113">
        <f t="shared" si="122"/>
        <v>14041745.539999997</v>
      </c>
      <c r="Q146" s="113">
        <f t="shared" si="123"/>
        <v>0</v>
      </c>
      <c r="R146" s="104">
        <f t="shared" si="124"/>
        <v>14041745.539999997</v>
      </c>
      <c r="S146" s="113">
        <f t="shared" si="125"/>
        <v>0</v>
      </c>
      <c r="T146" s="113">
        <f t="shared" si="126"/>
        <v>17771878.31000001</v>
      </c>
      <c r="U146" s="113">
        <f t="shared" si="127"/>
        <v>0</v>
      </c>
      <c r="V146" s="104">
        <f t="shared" si="128"/>
        <v>17771878.31000001</v>
      </c>
      <c r="W146" s="113">
        <f>SUM(W147:W152)</f>
        <v>0</v>
      </c>
      <c r="X146" s="113">
        <f>SUM(X147:X152)</f>
        <v>3700366.4299999997</v>
      </c>
      <c r="Y146" s="113">
        <f>SUM(Y147:Y152)</f>
        <v>0</v>
      </c>
      <c r="Z146" s="104">
        <f t="shared" si="117"/>
        <v>3700366.4299999997</v>
      </c>
      <c r="AA146" s="113">
        <f>SUM(AA147:AA152)</f>
        <v>0</v>
      </c>
      <c r="AB146" s="113">
        <f>SUM(AB147:AB152)</f>
        <v>3381633.06</v>
      </c>
      <c r="AC146" s="113">
        <f>SUM(AC147:AC152)</f>
        <v>0</v>
      </c>
      <c r="AD146" s="104">
        <f t="shared" si="118"/>
        <v>3381633.06</v>
      </c>
      <c r="AE146" s="117">
        <f t="shared" si="133"/>
        <v>0</v>
      </c>
      <c r="AF146" s="117">
        <f t="shared" si="134"/>
        <v>7081999.4900000002</v>
      </c>
      <c r="AG146" s="117">
        <f t="shared" si="135"/>
        <v>0</v>
      </c>
      <c r="AH146" s="104">
        <f t="shared" si="119"/>
        <v>7081999.4900000002</v>
      </c>
      <c r="AI146" s="117">
        <f t="shared" si="109"/>
        <v>0</v>
      </c>
      <c r="AJ146" s="117">
        <f t="shared" si="110"/>
        <v>10689878.82000001</v>
      </c>
      <c r="AK146" s="117">
        <f t="shared" si="111"/>
        <v>0</v>
      </c>
      <c r="AL146" s="104">
        <f t="shared" si="112"/>
        <v>10689878.82000001</v>
      </c>
      <c r="AM146" s="1221" t="str">
        <f t="shared" si="138"/>
        <v xml:space="preserve"> </v>
      </c>
      <c r="AN146" s="1221">
        <f t="shared" si="139"/>
        <v>0.39849470981438406</v>
      </c>
      <c r="AO146" s="1221" t="str">
        <f t="shared" si="140"/>
        <v xml:space="preserve"> </v>
      </c>
      <c r="AP146" s="1221">
        <f t="shared" si="141"/>
        <v>0.39849470981438406</v>
      </c>
      <c r="AQ146" s="1223" t="str">
        <f t="shared" si="102"/>
        <v xml:space="preserve"> </v>
      </c>
      <c r="AW146" s="107"/>
      <c r="BL146" s="149">
        <f>SUM(BL147:BL152)</f>
        <v>0</v>
      </c>
      <c r="BM146" s="149">
        <f t="shared" ref="BM146:BN146" si="148">SUM(BM147:BM152)</f>
        <v>3730132.7700000145</v>
      </c>
      <c r="BN146" s="149">
        <f t="shared" si="148"/>
        <v>0</v>
      </c>
      <c r="BP146" s="216">
        <f t="shared" si="142"/>
        <v>0</v>
      </c>
      <c r="BQ146" s="216">
        <f t="shared" si="143"/>
        <v>0</v>
      </c>
      <c r="BR146" s="216">
        <f t="shared" si="144"/>
        <v>0</v>
      </c>
    </row>
    <row r="147" spans="1:70" ht="36">
      <c r="A147" s="587" t="s">
        <v>937</v>
      </c>
      <c r="B147" s="1236" t="s">
        <v>568</v>
      </c>
      <c r="C147" s="113">
        <v>0</v>
      </c>
      <c r="D147" s="113">
        <v>2974859.6700000167</v>
      </c>
      <c r="E147" s="113">
        <v>0</v>
      </c>
      <c r="F147" s="104">
        <f t="shared" si="130"/>
        <v>2974859.6700000167</v>
      </c>
      <c r="G147" s="113">
        <f>+'CONAP (ALL FUNDS)'!F619</f>
        <v>0</v>
      </c>
      <c r="H147" s="113">
        <f>+'CONAP (ALL FUNDS)'!G619</f>
        <v>0</v>
      </c>
      <c r="I147" s="113">
        <f>+'CONAP (ALL FUNDS)'!H619</f>
        <v>0</v>
      </c>
      <c r="J147" s="104">
        <f t="shared" si="131"/>
        <v>0</v>
      </c>
      <c r="K147" s="113">
        <v>0</v>
      </c>
      <c r="L147" s="113">
        <v>13181742.42</v>
      </c>
      <c r="M147" s="113">
        <v>0</v>
      </c>
      <c r="N147" s="104">
        <f t="shared" si="132"/>
        <v>13181742.42</v>
      </c>
      <c r="O147" s="113">
        <f t="shared" si="121"/>
        <v>0</v>
      </c>
      <c r="P147" s="113">
        <f t="shared" si="122"/>
        <v>13181742.42</v>
      </c>
      <c r="Q147" s="113">
        <f t="shared" si="123"/>
        <v>0</v>
      </c>
      <c r="R147" s="104">
        <f t="shared" si="124"/>
        <v>13181742.42</v>
      </c>
      <c r="S147" s="113">
        <f t="shared" si="125"/>
        <v>0</v>
      </c>
      <c r="T147" s="113">
        <f t="shared" si="126"/>
        <v>16156602.090000017</v>
      </c>
      <c r="U147" s="113">
        <f t="shared" si="127"/>
        <v>0</v>
      </c>
      <c r="V147" s="104">
        <f t="shared" si="128"/>
        <v>16156602.090000017</v>
      </c>
      <c r="W147" s="113">
        <f>+'CONAP (ALL FUNDS)'!J617</f>
        <v>0</v>
      </c>
      <c r="X147" s="113">
        <f>+'CONAP (ALL FUNDS)'!K617</f>
        <v>2974859.67</v>
      </c>
      <c r="Y147" s="113">
        <f>+'CONAP (ALL FUNDS)'!L617</f>
        <v>0</v>
      </c>
      <c r="Z147" s="104">
        <f t="shared" si="117"/>
        <v>2974859.67</v>
      </c>
      <c r="AA147" s="113">
        <f>+'CONAP (ALL FUNDS)'!J618</f>
        <v>0</v>
      </c>
      <c r="AB147" s="113">
        <f>+'CONAP (ALL FUNDS)'!K618</f>
        <v>2527002.1599999997</v>
      </c>
      <c r="AC147" s="113">
        <f>+'CONAP (ALL FUNDS)'!L618</f>
        <v>0</v>
      </c>
      <c r="AD147" s="104">
        <f t="shared" si="118"/>
        <v>2527002.1599999997</v>
      </c>
      <c r="AE147" s="117">
        <f t="shared" si="133"/>
        <v>0</v>
      </c>
      <c r="AF147" s="117">
        <f t="shared" si="134"/>
        <v>5501861.8300000001</v>
      </c>
      <c r="AG147" s="117">
        <f t="shared" si="135"/>
        <v>0</v>
      </c>
      <c r="AH147" s="104">
        <f t="shared" si="119"/>
        <v>5501861.8300000001</v>
      </c>
      <c r="AI147" s="117">
        <f t="shared" si="109"/>
        <v>0</v>
      </c>
      <c r="AJ147" s="117">
        <f t="shared" si="110"/>
        <v>10654740.260000017</v>
      </c>
      <c r="AK147" s="117">
        <f t="shared" si="111"/>
        <v>0</v>
      </c>
      <c r="AL147" s="104">
        <f t="shared" si="112"/>
        <v>10654740.260000017</v>
      </c>
      <c r="AM147" s="1221" t="str">
        <f t="shared" si="138"/>
        <v xml:space="preserve"> </v>
      </c>
      <c r="AN147" s="1221">
        <f t="shared" si="139"/>
        <v>0.34053334973232569</v>
      </c>
      <c r="AO147" s="1221" t="str">
        <f t="shared" si="140"/>
        <v xml:space="preserve"> </v>
      </c>
      <c r="AP147" s="1221">
        <f t="shared" si="141"/>
        <v>0.34053334973232569</v>
      </c>
      <c r="AQ147" s="1223" t="str">
        <f t="shared" si="102"/>
        <v xml:space="preserve"> </v>
      </c>
      <c r="AW147" s="107"/>
      <c r="BH147" s="105">
        <f>+AL147-'CONAP (ALL FUNDS)'!Q621</f>
        <v>0</v>
      </c>
      <c r="BL147" s="149">
        <f>+'CONAP (ALL FUNDS)'!F617</f>
        <v>0</v>
      </c>
      <c r="BM147" s="149">
        <f>+'CONAP (ALL FUNDS)'!G617</f>
        <v>2974859.6700000167</v>
      </c>
      <c r="BN147" s="149">
        <f>+'CONAP (ALL FUNDS)'!H617</f>
        <v>0</v>
      </c>
      <c r="BP147" s="216">
        <f t="shared" si="142"/>
        <v>0</v>
      </c>
      <c r="BQ147" s="216">
        <f t="shared" si="143"/>
        <v>0</v>
      </c>
      <c r="BR147" s="216">
        <f t="shared" si="144"/>
        <v>0</v>
      </c>
    </row>
    <row r="148" spans="1:70" ht="36">
      <c r="A148" s="587" t="s">
        <v>937</v>
      </c>
      <c r="B148" s="1236" t="s">
        <v>569</v>
      </c>
      <c r="C148" s="113">
        <v>0</v>
      </c>
      <c r="D148" s="113">
        <v>29385.189999997616</v>
      </c>
      <c r="E148" s="113">
        <v>0</v>
      </c>
      <c r="F148" s="104">
        <f t="shared" si="130"/>
        <v>29385.189999997616</v>
      </c>
      <c r="G148" s="113">
        <f>+'CONAP (ALL FUNDS)'!F630</f>
        <v>0</v>
      </c>
      <c r="H148" s="104">
        <f>+'CONAP (ALL FUNDS)'!G630</f>
        <v>-2806843.85</v>
      </c>
      <c r="I148" s="113">
        <f>+'CONAP (ALL FUNDS)'!H630</f>
        <v>0</v>
      </c>
      <c r="J148" s="104">
        <f t="shared" si="131"/>
        <v>-2806843.85</v>
      </c>
      <c r="K148" s="113">
        <v>0</v>
      </c>
      <c r="L148" s="104">
        <v>2810618.38</v>
      </c>
      <c r="M148" s="113">
        <v>0</v>
      </c>
      <c r="N148" s="104">
        <f t="shared" si="132"/>
        <v>2810618.38</v>
      </c>
      <c r="O148" s="113">
        <f t="shared" si="121"/>
        <v>0</v>
      </c>
      <c r="P148" s="113">
        <f t="shared" si="122"/>
        <v>3774.5299999997951</v>
      </c>
      <c r="Q148" s="113">
        <f t="shared" si="123"/>
        <v>0</v>
      </c>
      <c r="R148" s="104">
        <f t="shared" si="124"/>
        <v>3774.5299999997951</v>
      </c>
      <c r="S148" s="113">
        <f t="shared" si="125"/>
        <v>0</v>
      </c>
      <c r="T148" s="113">
        <f t="shared" si="126"/>
        <v>33159.719999997411</v>
      </c>
      <c r="U148" s="113">
        <f t="shared" si="127"/>
        <v>0</v>
      </c>
      <c r="V148" s="104">
        <f t="shared" si="128"/>
        <v>33159.719999997411</v>
      </c>
      <c r="W148" s="113">
        <f>+'CONAP (ALL FUNDS)'!J628</f>
        <v>0</v>
      </c>
      <c r="X148" s="113">
        <f>+'CONAP (ALL FUNDS)'!K628</f>
        <v>0</v>
      </c>
      <c r="Y148" s="113">
        <f>+'CONAP (ALL FUNDS)'!L628</f>
        <v>0</v>
      </c>
      <c r="Z148" s="104">
        <f t="shared" si="117"/>
        <v>0</v>
      </c>
      <c r="AA148" s="113">
        <f>+'CONAP (ALL FUNDS)'!J629</f>
        <v>0</v>
      </c>
      <c r="AB148" s="113">
        <f>+'CONAP (ALL FUNDS)'!K629</f>
        <v>0</v>
      </c>
      <c r="AC148" s="113">
        <f>+'CONAP (ALL FUNDS)'!L629</f>
        <v>0</v>
      </c>
      <c r="AD148" s="104">
        <f t="shared" si="118"/>
        <v>0</v>
      </c>
      <c r="AE148" s="117">
        <f t="shared" si="133"/>
        <v>0</v>
      </c>
      <c r="AF148" s="117">
        <f t="shared" si="134"/>
        <v>0</v>
      </c>
      <c r="AG148" s="117">
        <f t="shared" si="135"/>
        <v>0</v>
      </c>
      <c r="AH148" s="104">
        <f t="shared" si="119"/>
        <v>0</v>
      </c>
      <c r="AI148" s="117">
        <f t="shared" si="109"/>
        <v>0</v>
      </c>
      <c r="AJ148" s="117">
        <f t="shared" si="110"/>
        <v>33159.719999997411</v>
      </c>
      <c r="AK148" s="117">
        <f t="shared" si="111"/>
        <v>0</v>
      </c>
      <c r="AL148" s="104">
        <f t="shared" si="112"/>
        <v>33159.719999997411</v>
      </c>
      <c r="AM148" s="1221" t="str">
        <f t="shared" si="138"/>
        <v xml:space="preserve"> </v>
      </c>
      <c r="AN148" s="1221">
        <f t="shared" si="139"/>
        <v>0</v>
      </c>
      <c r="AO148" s="1221" t="str">
        <f t="shared" si="140"/>
        <v xml:space="preserve"> </v>
      </c>
      <c r="AP148" s="1221">
        <f t="shared" si="141"/>
        <v>0</v>
      </c>
      <c r="AQ148" s="1223" t="str">
        <f t="shared" si="102"/>
        <v xml:space="preserve"> </v>
      </c>
      <c r="AW148" s="107"/>
      <c r="BH148" s="105">
        <f>+AL148-'CONAP (ALL FUNDS)'!Q632</f>
        <v>0</v>
      </c>
      <c r="BL148" s="149">
        <f>+'CONAP (ALL FUNDS)'!F628</f>
        <v>0</v>
      </c>
      <c r="BM148" s="149">
        <f>+'CONAP (ALL FUNDS)'!G628</f>
        <v>29385.189999997616</v>
      </c>
      <c r="BN148" s="149">
        <f>+'CONAP (ALL FUNDS)'!H628</f>
        <v>0</v>
      </c>
      <c r="BP148" s="216">
        <f t="shared" si="142"/>
        <v>0</v>
      </c>
      <c r="BQ148" s="216">
        <f t="shared" si="143"/>
        <v>0</v>
      </c>
      <c r="BR148" s="216">
        <f t="shared" si="144"/>
        <v>0</v>
      </c>
    </row>
    <row r="149" spans="1:70" s="95" customFormat="1" ht="36">
      <c r="A149" s="587" t="s">
        <v>937</v>
      </c>
      <c r="B149" s="1239" t="s">
        <v>570</v>
      </c>
      <c r="C149" s="113"/>
      <c r="D149" s="113"/>
      <c r="E149" s="113"/>
      <c r="F149" s="104">
        <f t="shared" si="130"/>
        <v>0</v>
      </c>
      <c r="G149" s="104">
        <f>+'CONAP (ALL FUNDS)'!F641</f>
        <v>0</v>
      </c>
      <c r="H149" s="104">
        <f>+'CONAP (ALL FUNDS)'!G641</f>
        <v>0</v>
      </c>
      <c r="I149" s="104">
        <f>+'CONAP (ALL FUNDS)'!H641</f>
        <v>0</v>
      </c>
      <c r="J149" s="104">
        <f t="shared" si="131"/>
        <v>0</v>
      </c>
      <c r="K149" s="104">
        <v>0</v>
      </c>
      <c r="L149" s="104">
        <v>141452.59</v>
      </c>
      <c r="M149" s="104">
        <v>0</v>
      </c>
      <c r="N149" s="104">
        <f t="shared" si="132"/>
        <v>141452.59</v>
      </c>
      <c r="O149" s="113">
        <f t="shared" si="121"/>
        <v>0</v>
      </c>
      <c r="P149" s="113">
        <f t="shared" si="122"/>
        <v>141452.59</v>
      </c>
      <c r="Q149" s="113">
        <f t="shared" si="123"/>
        <v>0</v>
      </c>
      <c r="R149" s="104">
        <f t="shared" si="124"/>
        <v>141452.59</v>
      </c>
      <c r="S149" s="113">
        <f t="shared" si="125"/>
        <v>0</v>
      </c>
      <c r="T149" s="113">
        <f t="shared" si="126"/>
        <v>141452.59</v>
      </c>
      <c r="U149" s="113">
        <f t="shared" si="127"/>
        <v>0</v>
      </c>
      <c r="V149" s="104">
        <f t="shared" si="128"/>
        <v>141452.59</v>
      </c>
      <c r="W149" s="104">
        <f>+'CONAP (ALL FUNDS)'!J639</f>
        <v>0</v>
      </c>
      <c r="X149" s="104">
        <f>+'CONAP (ALL FUNDS)'!K639</f>
        <v>0</v>
      </c>
      <c r="Y149" s="104">
        <f>+'CONAP (ALL FUNDS)'!L639</f>
        <v>0</v>
      </c>
      <c r="Z149" s="104">
        <f t="shared" si="117"/>
        <v>0</v>
      </c>
      <c r="AA149" s="104">
        <f>+'CONAP (ALL FUNDS)'!J640</f>
        <v>0</v>
      </c>
      <c r="AB149" s="104">
        <f>+'CONAP (ALL FUNDS)'!K640</f>
        <v>140946.68</v>
      </c>
      <c r="AC149" s="104">
        <f>+'CONAP (ALL FUNDS)'!L640</f>
        <v>0</v>
      </c>
      <c r="AD149" s="104">
        <f t="shared" si="118"/>
        <v>140946.68</v>
      </c>
      <c r="AE149" s="117">
        <f t="shared" si="133"/>
        <v>0</v>
      </c>
      <c r="AF149" s="117">
        <f t="shared" si="134"/>
        <v>140946.68</v>
      </c>
      <c r="AG149" s="117">
        <f t="shared" si="135"/>
        <v>0</v>
      </c>
      <c r="AH149" s="104">
        <f t="shared" si="119"/>
        <v>140946.68</v>
      </c>
      <c r="AI149" s="117">
        <f t="shared" si="109"/>
        <v>0</v>
      </c>
      <c r="AJ149" s="117">
        <f t="shared" si="110"/>
        <v>505.91000000000349</v>
      </c>
      <c r="AK149" s="117">
        <f t="shared" si="111"/>
        <v>0</v>
      </c>
      <c r="AL149" s="104">
        <f t="shared" si="112"/>
        <v>505.91000000000349</v>
      </c>
      <c r="AM149" s="1221" t="str">
        <f t="shared" si="138"/>
        <v xml:space="preserve"> </v>
      </c>
      <c r="AN149" s="1221">
        <f t="shared" si="139"/>
        <v>0.99642346598248921</v>
      </c>
      <c r="AO149" s="1221" t="str">
        <f t="shared" si="140"/>
        <v xml:space="preserve"> </v>
      </c>
      <c r="AP149" s="1221">
        <f t="shared" si="141"/>
        <v>0.99642346598248921</v>
      </c>
      <c r="AQ149" s="1240" t="str">
        <f t="shared" si="102"/>
        <v xml:space="preserve"> </v>
      </c>
      <c r="AR149" s="147"/>
      <c r="AS149" s="147"/>
      <c r="AT149" s="147"/>
      <c r="AW149" s="110"/>
      <c r="AY149" s="156"/>
      <c r="AZ149" s="156"/>
      <c r="BH149" s="95">
        <f>+AL149-'CONAP (ALL FUNDS)'!Q643</f>
        <v>0</v>
      </c>
      <c r="BL149" s="147">
        <f>+'CONAP (ALL FUNDS)'!F639</f>
        <v>0</v>
      </c>
      <c r="BM149" s="147">
        <f>+'CONAP (ALL FUNDS)'!G639</f>
        <v>0</v>
      </c>
      <c r="BN149" s="147">
        <f>+'CONAP (ALL FUNDS)'!H639</f>
        <v>0</v>
      </c>
      <c r="BP149" s="216">
        <f t="shared" si="142"/>
        <v>0</v>
      </c>
      <c r="BQ149" s="216">
        <f t="shared" si="143"/>
        <v>0</v>
      </c>
      <c r="BR149" s="216">
        <f t="shared" si="144"/>
        <v>0</v>
      </c>
    </row>
    <row r="150" spans="1:70" ht="36">
      <c r="A150" s="587" t="s">
        <v>937</v>
      </c>
      <c r="B150" s="1237" t="s">
        <v>571</v>
      </c>
      <c r="C150" s="113">
        <v>0</v>
      </c>
      <c r="D150" s="113">
        <v>723709.8200000003</v>
      </c>
      <c r="E150" s="113">
        <v>0</v>
      </c>
      <c r="F150" s="104">
        <f t="shared" si="130"/>
        <v>723709.8200000003</v>
      </c>
      <c r="G150" s="113">
        <f>+'CONAP (ALL FUNDS)'!F652</f>
        <v>0</v>
      </c>
      <c r="H150" s="113">
        <f>+'CONAP (ALL FUNDS)'!G652</f>
        <v>-223610.37</v>
      </c>
      <c r="I150" s="113">
        <f>+'CONAP (ALL FUNDS)'!H652</f>
        <v>0</v>
      </c>
      <c r="J150" s="104">
        <f t="shared" si="131"/>
        <v>-223610.37</v>
      </c>
      <c r="K150" s="113">
        <v>0</v>
      </c>
      <c r="L150" s="113">
        <v>759266.15</v>
      </c>
      <c r="M150" s="113">
        <v>0</v>
      </c>
      <c r="N150" s="104">
        <f t="shared" si="132"/>
        <v>759266.15</v>
      </c>
      <c r="O150" s="113">
        <f t="shared" si="121"/>
        <v>0</v>
      </c>
      <c r="P150" s="113">
        <f t="shared" si="122"/>
        <v>535655.78</v>
      </c>
      <c r="Q150" s="113">
        <f t="shared" si="123"/>
        <v>0</v>
      </c>
      <c r="R150" s="104">
        <f t="shared" si="124"/>
        <v>535655.78</v>
      </c>
      <c r="S150" s="113">
        <f t="shared" si="125"/>
        <v>0</v>
      </c>
      <c r="T150" s="113">
        <f t="shared" si="126"/>
        <v>1259365.6000000003</v>
      </c>
      <c r="U150" s="113">
        <f t="shared" si="127"/>
        <v>0</v>
      </c>
      <c r="V150" s="104">
        <f t="shared" si="128"/>
        <v>1259365.6000000003</v>
      </c>
      <c r="W150" s="113">
        <f>+'CONAP (ALL FUNDS)'!J650</f>
        <v>0</v>
      </c>
      <c r="X150" s="113">
        <f>+'CONAP (ALL FUNDS)'!K650</f>
        <v>723562.88000000012</v>
      </c>
      <c r="Y150" s="113">
        <f>+'CONAP (ALL FUNDS)'!L650</f>
        <v>0</v>
      </c>
      <c r="Z150" s="104">
        <f t="shared" si="117"/>
        <v>723562.88000000012</v>
      </c>
      <c r="AA150" s="113">
        <f>+'CONAP (ALL FUNDS)'!J651</f>
        <v>0</v>
      </c>
      <c r="AB150" s="113">
        <f>+'CONAP (ALL FUNDS)'!K651</f>
        <v>535454</v>
      </c>
      <c r="AC150" s="113">
        <f>+'CONAP (ALL FUNDS)'!L651</f>
        <v>0</v>
      </c>
      <c r="AD150" s="104">
        <f t="shared" si="118"/>
        <v>535454</v>
      </c>
      <c r="AE150" s="117">
        <f t="shared" si="133"/>
        <v>0</v>
      </c>
      <c r="AF150" s="117">
        <f t="shared" si="134"/>
        <v>1259016.8800000001</v>
      </c>
      <c r="AG150" s="117">
        <f t="shared" si="135"/>
        <v>0</v>
      </c>
      <c r="AH150" s="104">
        <f t="shared" si="119"/>
        <v>1259016.8800000001</v>
      </c>
      <c r="AI150" s="117">
        <f t="shared" si="109"/>
        <v>0</v>
      </c>
      <c r="AJ150" s="117">
        <f t="shared" si="110"/>
        <v>348.72000000020489</v>
      </c>
      <c r="AK150" s="117">
        <f t="shared" si="111"/>
        <v>0</v>
      </c>
      <c r="AL150" s="104">
        <f t="shared" si="112"/>
        <v>348.72000000020489</v>
      </c>
      <c r="AM150" s="1221" t="str">
        <f t="shared" si="138"/>
        <v xml:space="preserve"> </v>
      </c>
      <c r="AN150" s="1221">
        <f t="shared" si="139"/>
        <v>0.99972309867761977</v>
      </c>
      <c r="AO150" s="1221" t="str">
        <f t="shared" si="140"/>
        <v xml:space="preserve"> </v>
      </c>
      <c r="AP150" s="1221">
        <f t="shared" si="141"/>
        <v>0.99972309867761977</v>
      </c>
      <c r="AQ150" s="1223" t="str">
        <f t="shared" si="102"/>
        <v xml:space="preserve"> </v>
      </c>
      <c r="AW150" s="107"/>
      <c r="BH150" s="105">
        <f>+AL150-'CONAP (ALL FUNDS)'!Q654</f>
        <v>0</v>
      </c>
      <c r="BL150" s="149">
        <f>+'CONAP (ALL FUNDS)'!F650</f>
        <v>0</v>
      </c>
      <c r="BM150" s="149">
        <f>+'CONAP (ALL FUNDS)'!G650</f>
        <v>723709.8200000003</v>
      </c>
      <c r="BN150" s="149">
        <f>+'CONAP (ALL FUNDS)'!H650</f>
        <v>0</v>
      </c>
      <c r="BP150" s="216">
        <f t="shared" si="142"/>
        <v>0</v>
      </c>
      <c r="BQ150" s="216">
        <f t="shared" si="143"/>
        <v>0</v>
      </c>
      <c r="BR150" s="216">
        <f t="shared" si="144"/>
        <v>0</v>
      </c>
    </row>
    <row r="151" spans="1:70" ht="12.75">
      <c r="A151" s="587" t="s">
        <v>937</v>
      </c>
      <c r="B151" s="1234" t="s">
        <v>572</v>
      </c>
      <c r="C151" s="113"/>
      <c r="D151" s="113">
        <v>118.73</v>
      </c>
      <c r="E151" s="113"/>
      <c r="F151" s="104">
        <f t="shared" si="130"/>
        <v>118.73</v>
      </c>
      <c r="G151" s="113">
        <f>+'CONAP (ALL FUNDS)'!F663</f>
        <v>0</v>
      </c>
      <c r="H151" s="113">
        <f>+'CONAP (ALL FUNDS)'!G663</f>
        <v>0</v>
      </c>
      <c r="I151" s="113">
        <f>+'CONAP (ALL FUNDS)'!H663</f>
        <v>0</v>
      </c>
      <c r="J151" s="104">
        <f t="shared" si="131"/>
        <v>0</v>
      </c>
      <c r="K151" s="113">
        <v>0</v>
      </c>
      <c r="L151" s="113">
        <v>890</v>
      </c>
      <c r="M151" s="113">
        <v>0</v>
      </c>
      <c r="N151" s="104">
        <f t="shared" si="132"/>
        <v>890</v>
      </c>
      <c r="O151" s="113">
        <f t="shared" si="121"/>
        <v>0</v>
      </c>
      <c r="P151" s="113">
        <f t="shared" si="122"/>
        <v>890</v>
      </c>
      <c r="Q151" s="113">
        <f t="shared" si="123"/>
        <v>0</v>
      </c>
      <c r="R151" s="104">
        <f t="shared" si="124"/>
        <v>890</v>
      </c>
      <c r="S151" s="113">
        <f t="shared" si="125"/>
        <v>0</v>
      </c>
      <c r="T151" s="113">
        <f t="shared" si="126"/>
        <v>1008.73</v>
      </c>
      <c r="U151" s="113">
        <f t="shared" si="127"/>
        <v>0</v>
      </c>
      <c r="V151" s="104">
        <f t="shared" si="128"/>
        <v>1008.73</v>
      </c>
      <c r="W151" s="113">
        <f>+'CONAP (ALL FUNDS)'!J661</f>
        <v>0</v>
      </c>
      <c r="X151" s="113">
        <f>+'CONAP (ALL FUNDS)'!K661</f>
        <v>0</v>
      </c>
      <c r="Y151" s="113">
        <f>+'CONAP (ALL FUNDS)'!L661</f>
        <v>0</v>
      </c>
      <c r="Z151" s="104">
        <f t="shared" si="117"/>
        <v>0</v>
      </c>
      <c r="AA151" s="113">
        <f>+'CONAP (ALL FUNDS)'!J662</f>
        <v>0</v>
      </c>
      <c r="AB151" s="113">
        <f>+'CONAP (ALL FUNDS)'!K662</f>
        <v>0</v>
      </c>
      <c r="AC151" s="113">
        <f>+'CONAP (ALL FUNDS)'!L662</f>
        <v>0</v>
      </c>
      <c r="AD151" s="104">
        <f t="shared" si="118"/>
        <v>0</v>
      </c>
      <c r="AE151" s="117">
        <f t="shared" si="133"/>
        <v>0</v>
      </c>
      <c r="AF151" s="117">
        <f t="shared" si="134"/>
        <v>0</v>
      </c>
      <c r="AG151" s="117">
        <f t="shared" si="135"/>
        <v>0</v>
      </c>
      <c r="AH151" s="104">
        <f t="shared" si="119"/>
        <v>0</v>
      </c>
      <c r="AI151" s="117">
        <f t="shared" si="109"/>
        <v>0</v>
      </c>
      <c r="AJ151" s="117">
        <f t="shared" si="110"/>
        <v>1008.73</v>
      </c>
      <c r="AK151" s="117">
        <f t="shared" si="111"/>
        <v>0</v>
      </c>
      <c r="AL151" s="104">
        <f t="shared" si="112"/>
        <v>1008.73</v>
      </c>
      <c r="AM151" s="1221" t="str">
        <f t="shared" si="138"/>
        <v xml:space="preserve"> </v>
      </c>
      <c r="AN151" s="1221">
        <f t="shared" si="139"/>
        <v>0</v>
      </c>
      <c r="AO151" s="1221" t="str">
        <f t="shared" si="140"/>
        <v xml:space="preserve"> </v>
      </c>
      <c r="AP151" s="1221">
        <f t="shared" si="141"/>
        <v>0</v>
      </c>
      <c r="AQ151" s="1223" t="str">
        <f t="shared" si="102"/>
        <v xml:space="preserve"> </v>
      </c>
      <c r="AW151" s="107"/>
      <c r="BH151" s="105">
        <f>+AL151-'CONAP (ALL FUNDS)'!Q665</f>
        <v>0</v>
      </c>
      <c r="BL151" s="149">
        <f>+'CONAP (ALL FUNDS)'!F661</f>
        <v>0</v>
      </c>
      <c r="BM151" s="149">
        <f>+'CONAP (ALL FUNDS)'!G661</f>
        <v>118.73</v>
      </c>
      <c r="BN151" s="149">
        <f>+'CONAP (ALL FUNDS)'!H661</f>
        <v>0</v>
      </c>
      <c r="BP151" s="216">
        <f t="shared" si="142"/>
        <v>0</v>
      </c>
      <c r="BQ151" s="216">
        <f t="shared" si="143"/>
        <v>0</v>
      </c>
      <c r="BR151" s="216">
        <f t="shared" si="144"/>
        <v>0</v>
      </c>
    </row>
    <row r="152" spans="1:70" ht="24">
      <c r="A152" s="587" t="s">
        <v>937</v>
      </c>
      <c r="B152" s="1237" t="s">
        <v>573</v>
      </c>
      <c r="C152" s="113"/>
      <c r="D152" s="113">
        <v>2059.36</v>
      </c>
      <c r="E152" s="113"/>
      <c r="F152" s="104">
        <f t="shared" si="130"/>
        <v>2059.36</v>
      </c>
      <c r="G152" s="113">
        <f>+'CONAP (ALL FUNDS)'!F674</f>
        <v>0</v>
      </c>
      <c r="H152" s="113">
        <f>+'CONAP (ALL FUNDS)'!G674</f>
        <v>-12925</v>
      </c>
      <c r="I152" s="113">
        <f>+'CONAP (ALL FUNDS)'!H674</f>
        <v>0</v>
      </c>
      <c r="J152" s="104">
        <f t="shared" si="131"/>
        <v>-12925</v>
      </c>
      <c r="K152" s="113">
        <v>0</v>
      </c>
      <c r="L152" s="113">
        <v>191155.22</v>
      </c>
      <c r="M152" s="113">
        <v>0</v>
      </c>
      <c r="N152" s="104">
        <f t="shared" si="132"/>
        <v>191155.22</v>
      </c>
      <c r="O152" s="113">
        <f t="shared" si="121"/>
        <v>0</v>
      </c>
      <c r="P152" s="113">
        <f t="shared" si="122"/>
        <v>178230.22</v>
      </c>
      <c r="Q152" s="113">
        <f t="shared" si="123"/>
        <v>0</v>
      </c>
      <c r="R152" s="104">
        <f t="shared" si="124"/>
        <v>178230.22</v>
      </c>
      <c r="S152" s="113">
        <f t="shared" si="125"/>
        <v>0</v>
      </c>
      <c r="T152" s="113">
        <f t="shared" si="126"/>
        <v>180289.58</v>
      </c>
      <c r="U152" s="113">
        <f t="shared" si="127"/>
        <v>0</v>
      </c>
      <c r="V152" s="104">
        <f t="shared" si="128"/>
        <v>180289.58</v>
      </c>
      <c r="W152" s="113">
        <f>+'CONAP (ALL FUNDS)'!J672</f>
        <v>0</v>
      </c>
      <c r="X152" s="113">
        <f>+'CONAP (ALL FUNDS)'!K672</f>
        <v>1943.88</v>
      </c>
      <c r="Y152" s="113">
        <f>+'CONAP (ALL FUNDS)'!L672</f>
        <v>0</v>
      </c>
      <c r="Z152" s="104">
        <f t="shared" si="117"/>
        <v>1943.88</v>
      </c>
      <c r="AA152" s="113">
        <f>+'CONAP (ALL FUNDS)'!J673</f>
        <v>0</v>
      </c>
      <c r="AB152" s="113">
        <f>+'CONAP (ALL FUNDS)'!K673</f>
        <v>178230.22</v>
      </c>
      <c r="AC152" s="113">
        <f>+'CONAP (ALL FUNDS)'!L673</f>
        <v>0</v>
      </c>
      <c r="AD152" s="104">
        <f t="shared" si="118"/>
        <v>178230.22</v>
      </c>
      <c r="AE152" s="117">
        <f t="shared" si="133"/>
        <v>0</v>
      </c>
      <c r="AF152" s="117">
        <f t="shared" si="134"/>
        <v>180174.1</v>
      </c>
      <c r="AG152" s="117">
        <f t="shared" si="135"/>
        <v>0</v>
      </c>
      <c r="AH152" s="104">
        <f t="shared" si="119"/>
        <v>180174.1</v>
      </c>
      <c r="AI152" s="117">
        <f t="shared" si="109"/>
        <v>0</v>
      </c>
      <c r="AJ152" s="117">
        <f t="shared" si="110"/>
        <v>115.47999999998137</v>
      </c>
      <c r="AK152" s="117">
        <f t="shared" si="111"/>
        <v>0</v>
      </c>
      <c r="AL152" s="104">
        <f t="shared" si="112"/>
        <v>115.47999999998137</v>
      </c>
      <c r="AM152" s="1221" t="str">
        <f t="shared" si="138"/>
        <v xml:space="preserve"> </v>
      </c>
      <c r="AN152" s="1221">
        <f t="shared" si="139"/>
        <v>0.99935947490698029</v>
      </c>
      <c r="AO152" s="1221" t="str">
        <f t="shared" si="140"/>
        <v xml:space="preserve"> </v>
      </c>
      <c r="AP152" s="1221">
        <f t="shared" si="141"/>
        <v>0.99935947490698029</v>
      </c>
      <c r="AQ152" s="1223" t="str">
        <f t="shared" si="102"/>
        <v xml:space="preserve"> </v>
      </c>
      <c r="AW152" s="107"/>
      <c r="BH152" s="105">
        <f>+AL152-'CONAP (ALL FUNDS)'!Q676</f>
        <v>-1.8644641386345029E-11</v>
      </c>
      <c r="BL152" s="149">
        <f>+'CONAP (ALL FUNDS)'!F672</f>
        <v>0</v>
      </c>
      <c r="BM152" s="149">
        <f>+'CONAP (ALL FUNDS)'!G672</f>
        <v>2059.36</v>
      </c>
      <c r="BN152" s="149">
        <f>+'CONAP (ALL FUNDS)'!H672</f>
        <v>0</v>
      </c>
      <c r="BP152" s="216">
        <f t="shared" si="142"/>
        <v>0</v>
      </c>
      <c r="BQ152" s="216">
        <f t="shared" si="143"/>
        <v>0</v>
      </c>
      <c r="BR152" s="216">
        <f t="shared" si="144"/>
        <v>0</v>
      </c>
    </row>
    <row r="153" spans="1:70" ht="12.75">
      <c r="B153" s="1238"/>
      <c r="C153" s="113"/>
      <c r="D153" s="113"/>
      <c r="E153" s="113"/>
      <c r="F153" s="104">
        <f t="shared" si="130"/>
        <v>0</v>
      </c>
      <c r="G153" s="113"/>
      <c r="H153" s="113"/>
      <c r="I153" s="113"/>
      <c r="J153" s="104">
        <f t="shared" si="131"/>
        <v>0</v>
      </c>
      <c r="K153" s="113"/>
      <c r="L153" s="113"/>
      <c r="M153" s="113"/>
      <c r="N153" s="104">
        <f t="shared" si="132"/>
        <v>0</v>
      </c>
      <c r="O153" s="113">
        <f t="shared" si="121"/>
        <v>0</v>
      </c>
      <c r="P153" s="113">
        <f t="shared" si="122"/>
        <v>0</v>
      </c>
      <c r="Q153" s="113">
        <f t="shared" si="123"/>
        <v>0</v>
      </c>
      <c r="R153" s="104">
        <f t="shared" si="124"/>
        <v>0</v>
      </c>
      <c r="S153" s="113">
        <f t="shared" si="125"/>
        <v>0</v>
      </c>
      <c r="T153" s="113">
        <f t="shared" si="126"/>
        <v>0</v>
      </c>
      <c r="U153" s="113">
        <f t="shared" si="127"/>
        <v>0</v>
      </c>
      <c r="V153" s="104">
        <f t="shared" si="128"/>
        <v>0</v>
      </c>
      <c r="W153" s="113"/>
      <c r="X153" s="113"/>
      <c r="Y153" s="113"/>
      <c r="Z153" s="104">
        <f t="shared" si="117"/>
        <v>0</v>
      </c>
      <c r="AA153" s="113"/>
      <c r="AB153" s="113"/>
      <c r="AC153" s="113"/>
      <c r="AD153" s="104">
        <f t="shared" si="118"/>
        <v>0</v>
      </c>
      <c r="AE153" s="117">
        <f t="shared" si="133"/>
        <v>0</v>
      </c>
      <c r="AF153" s="117">
        <f t="shared" si="134"/>
        <v>0</v>
      </c>
      <c r="AG153" s="117">
        <f t="shared" si="135"/>
        <v>0</v>
      </c>
      <c r="AH153" s="104">
        <f t="shared" si="119"/>
        <v>0</v>
      </c>
      <c r="AI153" s="117">
        <f t="shared" si="109"/>
        <v>0</v>
      </c>
      <c r="AJ153" s="117">
        <f t="shared" si="110"/>
        <v>0</v>
      </c>
      <c r="AK153" s="117">
        <f t="shared" si="111"/>
        <v>0</v>
      </c>
      <c r="AL153" s="104">
        <f t="shared" si="112"/>
        <v>0</v>
      </c>
      <c r="AM153" s="1221" t="str">
        <f t="shared" si="138"/>
        <v xml:space="preserve"> </v>
      </c>
      <c r="AN153" s="1221" t="str">
        <f t="shared" si="139"/>
        <v xml:space="preserve"> </v>
      </c>
      <c r="AO153" s="1221" t="str">
        <f t="shared" si="140"/>
        <v xml:space="preserve"> </v>
      </c>
      <c r="AP153" s="1221" t="str">
        <f t="shared" si="141"/>
        <v xml:space="preserve"> </v>
      </c>
      <c r="AQ153" s="1223" t="str">
        <f t="shared" si="102"/>
        <v xml:space="preserve"> </v>
      </c>
      <c r="AW153" s="107"/>
      <c r="BL153" s="149"/>
      <c r="BM153" s="149"/>
      <c r="BN153" s="149"/>
      <c r="BP153" s="216">
        <f t="shared" si="142"/>
        <v>0</v>
      </c>
      <c r="BQ153" s="216">
        <f t="shared" si="143"/>
        <v>0</v>
      </c>
      <c r="BR153" s="216">
        <f t="shared" si="144"/>
        <v>0</v>
      </c>
    </row>
    <row r="154" spans="1:70" ht="12.75">
      <c r="A154" s="587" t="s">
        <v>937</v>
      </c>
      <c r="B154" s="1235" t="s">
        <v>35</v>
      </c>
      <c r="C154" s="113">
        <f t="shared" ref="C154:N154" si="149">SUM(C155:C156)</f>
        <v>0</v>
      </c>
      <c r="D154" s="113">
        <f t="shared" si="149"/>
        <v>0</v>
      </c>
      <c r="E154" s="113">
        <f t="shared" si="149"/>
        <v>0</v>
      </c>
      <c r="F154" s="113">
        <f t="shared" si="149"/>
        <v>0</v>
      </c>
      <c r="G154" s="113">
        <f t="shared" si="149"/>
        <v>0</v>
      </c>
      <c r="H154" s="113">
        <f t="shared" si="149"/>
        <v>0</v>
      </c>
      <c r="I154" s="113">
        <f t="shared" si="149"/>
        <v>0</v>
      </c>
      <c r="J154" s="113">
        <f t="shared" si="149"/>
        <v>0</v>
      </c>
      <c r="K154" s="113">
        <f t="shared" si="149"/>
        <v>0</v>
      </c>
      <c r="L154" s="113">
        <f t="shared" si="149"/>
        <v>0</v>
      </c>
      <c r="M154" s="113">
        <f t="shared" si="149"/>
        <v>0</v>
      </c>
      <c r="N154" s="113">
        <f t="shared" si="149"/>
        <v>0</v>
      </c>
      <c r="O154" s="113">
        <f t="shared" si="121"/>
        <v>0</v>
      </c>
      <c r="P154" s="113">
        <f t="shared" si="122"/>
        <v>0</v>
      </c>
      <c r="Q154" s="113">
        <f t="shared" si="123"/>
        <v>0</v>
      </c>
      <c r="R154" s="104">
        <f t="shared" si="124"/>
        <v>0</v>
      </c>
      <c r="S154" s="113">
        <f t="shared" si="125"/>
        <v>0</v>
      </c>
      <c r="T154" s="113">
        <f t="shared" si="126"/>
        <v>0</v>
      </c>
      <c r="U154" s="113">
        <f t="shared" si="127"/>
        <v>0</v>
      </c>
      <c r="V154" s="104">
        <f t="shared" si="128"/>
        <v>0</v>
      </c>
      <c r="W154" s="113">
        <f>SUM(W155:W156)</f>
        <v>0</v>
      </c>
      <c r="X154" s="113">
        <f>SUM(X155:X156)</f>
        <v>0</v>
      </c>
      <c r="Y154" s="113">
        <f>SUM(Y155:Y156)</f>
        <v>0</v>
      </c>
      <c r="Z154" s="104">
        <f t="shared" si="117"/>
        <v>0</v>
      </c>
      <c r="AA154" s="113">
        <f>SUM(AA155:AA156)</f>
        <v>0</v>
      </c>
      <c r="AB154" s="113">
        <f>SUM(AB155:AB156)</f>
        <v>0</v>
      </c>
      <c r="AC154" s="113">
        <f>SUM(AC155:AC156)</f>
        <v>0</v>
      </c>
      <c r="AD154" s="104">
        <f t="shared" si="118"/>
        <v>0</v>
      </c>
      <c r="AE154" s="117">
        <f t="shared" si="133"/>
        <v>0</v>
      </c>
      <c r="AF154" s="117">
        <f t="shared" si="134"/>
        <v>0</v>
      </c>
      <c r="AG154" s="117">
        <f t="shared" si="135"/>
        <v>0</v>
      </c>
      <c r="AH154" s="104">
        <f t="shared" si="119"/>
        <v>0</v>
      </c>
      <c r="AI154" s="117">
        <f t="shared" si="109"/>
        <v>0</v>
      </c>
      <c r="AJ154" s="117">
        <f t="shared" si="110"/>
        <v>0</v>
      </c>
      <c r="AK154" s="117">
        <f t="shared" si="111"/>
        <v>0</v>
      </c>
      <c r="AL154" s="104">
        <f t="shared" si="112"/>
        <v>0</v>
      </c>
      <c r="AM154" s="1221" t="str">
        <f t="shared" si="138"/>
        <v xml:space="preserve"> </v>
      </c>
      <c r="AN154" s="1221" t="str">
        <f t="shared" si="139"/>
        <v xml:space="preserve"> </v>
      </c>
      <c r="AO154" s="1221" t="str">
        <f t="shared" si="140"/>
        <v xml:space="preserve"> </v>
      </c>
      <c r="AP154" s="1221" t="str">
        <f t="shared" si="141"/>
        <v xml:space="preserve"> </v>
      </c>
      <c r="AQ154" s="1223" t="str">
        <f t="shared" si="102"/>
        <v xml:space="preserve"> </v>
      </c>
      <c r="AW154" s="107"/>
      <c r="BL154" s="149">
        <f>SUM(BL155:BL156)</f>
        <v>0</v>
      </c>
      <c r="BM154" s="149">
        <f t="shared" ref="BM154:BN154" si="150">SUM(BM155:BM156)</f>
        <v>0</v>
      </c>
      <c r="BN154" s="149">
        <f t="shared" si="150"/>
        <v>0</v>
      </c>
      <c r="BP154" s="216">
        <f t="shared" si="142"/>
        <v>0</v>
      </c>
      <c r="BQ154" s="216">
        <f t="shared" si="143"/>
        <v>0</v>
      </c>
      <c r="BR154" s="216">
        <f t="shared" si="144"/>
        <v>0</v>
      </c>
    </row>
    <row r="155" spans="1:70" ht="36">
      <c r="A155" s="587" t="s">
        <v>937</v>
      </c>
      <c r="B155" s="1236" t="s">
        <v>574</v>
      </c>
      <c r="C155" s="113"/>
      <c r="D155" s="113"/>
      <c r="E155" s="113"/>
      <c r="F155" s="104">
        <f t="shared" si="130"/>
        <v>0</v>
      </c>
      <c r="G155" s="113">
        <f>+'CONAP (ALL FUNDS)'!F712</f>
        <v>0</v>
      </c>
      <c r="H155" s="113">
        <f>+'CONAP (ALL FUNDS)'!G712</f>
        <v>0</v>
      </c>
      <c r="I155" s="113">
        <f>+'CONAP (ALL FUNDS)'!H712</f>
        <v>0</v>
      </c>
      <c r="J155" s="104">
        <f t="shared" si="131"/>
        <v>0</v>
      </c>
      <c r="K155" s="113"/>
      <c r="L155" s="113"/>
      <c r="M155" s="113"/>
      <c r="N155" s="104">
        <f t="shared" si="132"/>
        <v>0</v>
      </c>
      <c r="O155" s="113">
        <f t="shared" si="121"/>
        <v>0</v>
      </c>
      <c r="P155" s="113">
        <f t="shared" si="122"/>
        <v>0</v>
      </c>
      <c r="Q155" s="113">
        <f t="shared" si="123"/>
        <v>0</v>
      </c>
      <c r="R155" s="104">
        <f t="shared" si="124"/>
        <v>0</v>
      </c>
      <c r="S155" s="113">
        <f t="shared" si="125"/>
        <v>0</v>
      </c>
      <c r="T155" s="113">
        <f t="shared" si="126"/>
        <v>0</v>
      </c>
      <c r="U155" s="113">
        <f t="shared" si="127"/>
        <v>0</v>
      </c>
      <c r="V155" s="104">
        <f t="shared" si="128"/>
        <v>0</v>
      </c>
      <c r="W155" s="113">
        <f>+'CONAP (ALL FUNDS)'!J710</f>
        <v>0</v>
      </c>
      <c r="X155" s="113">
        <f>+'CONAP (ALL FUNDS)'!K710</f>
        <v>0</v>
      </c>
      <c r="Y155" s="113">
        <f>+'CONAP (ALL FUNDS)'!L710</f>
        <v>0</v>
      </c>
      <c r="Z155" s="104">
        <f t="shared" si="117"/>
        <v>0</v>
      </c>
      <c r="AA155" s="113">
        <f>+'CONAP (ALL FUNDS)'!J711</f>
        <v>0</v>
      </c>
      <c r="AB155" s="113">
        <f>+'CONAP (ALL FUNDS)'!K711</f>
        <v>0</v>
      </c>
      <c r="AC155" s="113">
        <f>+'CONAP (ALL FUNDS)'!L711</f>
        <v>0</v>
      </c>
      <c r="AD155" s="104">
        <f t="shared" si="118"/>
        <v>0</v>
      </c>
      <c r="AE155" s="117">
        <f t="shared" si="133"/>
        <v>0</v>
      </c>
      <c r="AF155" s="117">
        <f t="shared" si="134"/>
        <v>0</v>
      </c>
      <c r="AG155" s="117">
        <f t="shared" si="135"/>
        <v>0</v>
      </c>
      <c r="AH155" s="104">
        <f t="shared" si="119"/>
        <v>0</v>
      </c>
      <c r="AI155" s="117">
        <f t="shared" si="109"/>
        <v>0</v>
      </c>
      <c r="AJ155" s="117">
        <f t="shared" si="110"/>
        <v>0</v>
      </c>
      <c r="AK155" s="117">
        <f t="shared" si="111"/>
        <v>0</v>
      </c>
      <c r="AL155" s="104">
        <f t="shared" si="112"/>
        <v>0</v>
      </c>
      <c r="AM155" s="1221" t="str">
        <f t="shared" si="138"/>
        <v xml:space="preserve"> </v>
      </c>
      <c r="AN155" s="1221" t="str">
        <f t="shared" si="139"/>
        <v xml:space="preserve"> </v>
      </c>
      <c r="AO155" s="1221" t="str">
        <f t="shared" si="140"/>
        <v xml:space="preserve"> </v>
      </c>
      <c r="AP155" s="1221" t="str">
        <f t="shared" si="141"/>
        <v xml:space="preserve"> </v>
      </c>
      <c r="AQ155" s="1223" t="str">
        <f t="shared" si="102"/>
        <v xml:space="preserve"> </v>
      </c>
      <c r="AW155" s="107"/>
      <c r="BH155" s="105">
        <f>+AL155-'CONAP (ALL FUNDS)'!Q714</f>
        <v>0</v>
      </c>
      <c r="BL155" s="149">
        <f>+'CONAP (ALL FUNDS)'!F710</f>
        <v>0</v>
      </c>
      <c r="BM155" s="149">
        <f>+'CONAP (ALL FUNDS)'!G710</f>
        <v>0</v>
      </c>
      <c r="BN155" s="149">
        <f>+'CONAP (ALL FUNDS)'!H710</f>
        <v>0</v>
      </c>
      <c r="BP155" s="216">
        <f t="shared" si="142"/>
        <v>0</v>
      </c>
      <c r="BQ155" s="216">
        <f t="shared" si="143"/>
        <v>0</v>
      </c>
      <c r="BR155" s="216">
        <f t="shared" si="144"/>
        <v>0</v>
      </c>
    </row>
    <row r="156" spans="1:70" ht="36">
      <c r="A156" s="587" t="s">
        <v>937</v>
      </c>
      <c r="B156" s="1236" t="s">
        <v>575</v>
      </c>
      <c r="C156" s="113"/>
      <c r="D156" s="113"/>
      <c r="E156" s="113"/>
      <c r="F156" s="104">
        <f t="shared" si="130"/>
        <v>0</v>
      </c>
      <c r="G156" s="113">
        <f>+'CONAP (ALL FUNDS)'!F723</f>
        <v>0</v>
      </c>
      <c r="H156" s="113">
        <f>+'CONAP (ALL FUNDS)'!G723</f>
        <v>0</v>
      </c>
      <c r="I156" s="113">
        <f>+'CONAP (ALL FUNDS)'!H723</f>
        <v>0</v>
      </c>
      <c r="J156" s="104">
        <f t="shared" si="131"/>
        <v>0</v>
      </c>
      <c r="K156" s="113"/>
      <c r="L156" s="113"/>
      <c r="M156" s="113"/>
      <c r="N156" s="104">
        <f t="shared" si="132"/>
        <v>0</v>
      </c>
      <c r="O156" s="113">
        <f t="shared" si="121"/>
        <v>0</v>
      </c>
      <c r="P156" s="113">
        <f t="shared" si="122"/>
        <v>0</v>
      </c>
      <c r="Q156" s="113">
        <f t="shared" si="123"/>
        <v>0</v>
      </c>
      <c r="R156" s="104">
        <f t="shared" si="124"/>
        <v>0</v>
      </c>
      <c r="S156" s="113">
        <f t="shared" si="125"/>
        <v>0</v>
      </c>
      <c r="T156" s="113">
        <f t="shared" si="126"/>
        <v>0</v>
      </c>
      <c r="U156" s="113">
        <f t="shared" si="127"/>
        <v>0</v>
      </c>
      <c r="V156" s="104">
        <f t="shared" si="128"/>
        <v>0</v>
      </c>
      <c r="W156" s="113">
        <f>+'CONAP (ALL FUNDS)'!J721</f>
        <v>0</v>
      </c>
      <c r="X156" s="113">
        <f>+'CONAP (ALL FUNDS)'!K721</f>
        <v>0</v>
      </c>
      <c r="Y156" s="113">
        <f>+'CONAP (ALL FUNDS)'!L721</f>
        <v>0</v>
      </c>
      <c r="Z156" s="104">
        <f t="shared" si="117"/>
        <v>0</v>
      </c>
      <c r="AA156" s="113">
        <f>+'CONAP (ALL FUNDS)'!J722</f>
        <v>0</v>
      </c>
      <c r="AB156" s="113">
        <f>+'CONAP (ALL FUNDS)'!K722</f>
        <v>0</v>
      </c>
      <c r="AC156" s="113">
        <f>+'CONAP (ALL FUNDS)'!L722</f>
        <v>0</v>
      </c>
      <c r="AD156" s="104">
        <f t="shared" si="118"/>
        <v>0</v>
      </c>
      <c r="AE156" s="117">
        <f t="shared" si="133"/>
        <v>0</v>
      </c>
      <c r="AF156" s="117">
        <f t="shared" si="134"/>
        <v>0</v>
      </c>
      <c r="AG156" s="117">
        <f t="shared" si="135"/>
        <v>0</v>
      </c>
      <c r="AH156" s="104">
        <f t="shared" si="119"/>
        <v>0</v>
      </c>
      <c r="AI156" s="117">
        <f t="shared" si="109"/>
        <v>0</v>
      </c>
      <c r="AJ156" s="117">
        <f t="shared" si="110"/>
        <v>0</v>
      </c>
      <c r="AK156" s="117">
        <f t="shared" si="111"/>
        <v>0</v>
      </c>
      <c r="AL156" s="104">
        <f t="shared" si="112"/>
        <v>0</v>
      </c>
      <c r="AM156" s="1221" t="str">
        <f t="shared" si="138"/>
        <v xml:space="preserve"> </v>
      </c>
      <c r="AN156" s="1221" t="str">
        <f t="shared" si="139"/>
        <v xml:space="preserve"> </v>
      </c>
      <c r="AO156" s="1221" t="str">
        <f t="shared" si="140"/>
        <v xml:space="preserve"> </v>
      </c>
      <c r="AP156" s="1221" t="str">
        <f t="shared" si="141"/>
        <v xml:space="preserve"> </v>
      </c>
      <c r="AQ156" s="1223" t="str">
        <f t="shared" si="102"/>
        <v xml:space="preserve"> </v>
      </c>
      <c r="AW156" s="107"/>
      <c r="BH156" s="105">
        <f>+AL156-'CONAP (ALL FUNDS)'!Q725</f>
        <v>0</v>
      </c>
      <c r="BL156" s="149">
        <f>+'CONAP (ALL FUNDS)'!F721</f>
        <v>0</v>
      </c>
      <c r="BM156" s="149">
        <f>+'CONAP (ALL FUNDS)'!G721</f>
        <v>0</v>
      </c>
      <c r="BN156" s="149">
        <f>+'CONAP (ALL FUNDS)'!H721</f>
        <v>0</v>
      </c>
      <c r="BP156" s="216">
        <f t="shared" si="142"/>
        <v>0</v>
      </c>
      <c r="BQ156" s="216">
        <f t="shared" si="143"/>
        <v>0</v>
      </c>
      <c r="BR156" s="216">
        <f t="shared" si="144"/>
        <v>0</v>
      </c>
    </row>
    <row r="157" spans="1:70" ht="12.75">
      <c r="B157" s="1238"/>
      <c r="C157" s="113"/>
      <c r="D157" s="113"/>
      <c r="E157" s="113"/>
      <c r="F157" s="104">
        <f t="shared" si="130"/>
        <v>0</v>
      </c>
      <c r="G157" s="113"/>
      <c r="H157" s="113"/>
      <c r="I157" s="113"/>
      <c r="J157" s="104">
        <f t="shared" si="131"/>
        <v>0</v>
      </c>
      <c r="K157" s="113"/>
      <c r="L157" s="113"/>
      <c r="M157" s="113"/>
      <c r="N157" s="104">
        <f t="shared" si="132"/>
        <v>0</v>
      </c>
      <c r="O157" s="113">
        <f t="shared" si="121"/>
        <v>0</v>
      </c>
      <c r="P157" s="113">
        <f t="shared" si="122"/>
        <v>0</v>
      </c>
      <c r="Q157" s="113">
        <f t="shared" si="123"/>
        <v>0</v>
      </c>
      <c r="R157" s="104">
        <f t="shared" si="124"/>
        <v>0</v>
      </c>
      <c r="S157" s="113">
        <f t="shared" si="125"/>
        <v>0</v>
      </c>
      <c r="T157" s="113">
        <f t="shared" si="126"/>
        <v>0</v>
      </c>
      <c r="U157" s="113">
        <f t="shared" si="127"/>
        <v>0</v>
      </c>
      <c r="V157" s="104">
        <f t="shared" si="128"/>
        <v>0</v>
      </c>
      <c r="W157" s="113"/>
      <c r="X157" s="113"/>
      <c r="Y157" s="113"/>
      <c r="Z157" s="104">
        <f t="shared" si="117"/>
        <v>0</v>
      </c>
      <c r="AA157" s="113"/>
      <c r="AB157" s="113"/>
      <c r="AC157" s="113"/>
      <c r="AD157" s="104">
        <f t="shared" si="118"/>
        <v>0</v>
      </c>
      <c r="AE157" s="117">
        <f t="shared" si="133"/>
        <v>0</v>
      </c>
      <c r="AF157" s="117">
        <f t="shared" si="134"/>
        <v>0</v>
      </c>
      <c r="AG157" s="117">
        <f t="shared" si="135"/>
        <v>0</v>
      </c>
      <c r="AH157" s="104">
        <f t="shared" si="119"/>
        <v>0</v>
      </c>
      <c r="AI157" s="117">
        <f t="shared" si="109"/>
        <v>0</v>
      </c>
      <c r="AJ157" s="117">
        <f t="shared" si="110"/>
        <v>0</v>
      </c>
      <c r="AK157" s="117">
        <f t="shared" si="111"/>
        <v>0</v>
      </c>
      <c r="AL157" s="104">
        <f t="shared" si="112"/>
        <v>0</v>
      </c>
      <c r="AM157" s="1221" t="str">
        <f t="shared" si="138"/>
        <v xml:space="preserve"> </v>
      </c>
      <c r="AN157" s="1221" t="str">
        <f t="shared" si="139"/>
        <v xml:space="preserve"> </v>
      </c>
      <c r="AO157" s="1221" t="str">
        <f t="shared" si="140"/>
        <v xml:space="preserve"> </v>
      </c>
      <c r="AP157" s="1221" t="str">
        <f t="shared" si="141"/>
        <v xml:space="preserve"> </v>
      </c>
      <c r="AQ157" s="1223" t="str">
        <f t="shared" si="102"/>
        <v xml:space="preserve"> </v>
      </c>
      <c r="AW157" s="107"/>
      <c r="BL157" s="149"/>
      <c r="BM157" s="149"/>
      <c r="BN157" s="149"/>
      <c r="BP157" s="216">
        <f t="shared" si="142"/>
        <v>0</v>
      </c>
      <c r="BQ157" s="216">
        <f t="shared" si="143"/>
        <v>0</v>
      </c>
      <c r="BR157" s="216">
        <f t="shared" si="144"/>
        <v>0</v>
      </c>
    </row>
    <row r="158" spans="1:70" ht="12.75">
      <c r="A158" s="587" t="s">
        <v>938</v>
      </c>
      <c r="B158" s="1235" t="s">
        <v>36</v>
      </c>
      <c r="C158" s="113">
        <f t="shared" ref="C158:N158" si="151">SUM(C159:C166)</f>
        <v>0</v>
      </c>
      <c r="D158" s="113">
        <f t="shared" si="151"/>
        <v>1394726.5199999968</v>
      </c>
      <c r="E158" s="113">
        <f t="shared" si="151"/>
        <v>0</v>
      </c>
      <c r="F158" s="113">
        <f t="shared" si="151"/>
        <v>1394726.5199999968</v>
      </c>
      <c r="G158" s="113">
        <f t="shared" si="151"/>
        <v>0</v>
      </c>
      <c r="H158" s="113">
        <f t="shared" si="151"/>
        <v>-2883159.96</v>
      </c>
      <c r="I158" s="113">
        <f t="shared" si="151"/>
        <v>13992900</v>
      </c>
      <c r="J158" s="113">
        <f t="shared" si="151"/>
        <v>11109740.039999999</v>
      </c>
      <c r="K158" s="113">
        <f t="shared" si="151"/>
        <v>0</v>
      </c>
      <c r="L158" s="113">
        <f t="shared" si="151"/>
        <v>4769622.8200000012</v>
      </c>
      <c r="M158" s="113">
        <f t="shared" si="151"/>
        <v>10000000</v>
      </c>
      <c r="N158" s="113">
        <f t="shared" si="151"/>
        <v>14769622.820000002</v>
      </c>
      <c r="O158" s="113">
        <f t="shared" si="121"/>
        <v>0</v>
      </c>
      <c r="P158" s="113">
        <f t="shared" si="122"/>
        <v>1886462.8600000013</v>
      </c>
      <c r="Q158" s="113">
        <f t="shared" si="123"/>
        <v>23992900</v>
      </c>
      <c r="R158" s="104">
        <f t="shared" si="124"/>
        <v>25879362.859999999</v>
      </c>
      <c r="S158" s="113">
        <f t="shared" si="125"/>
        <v>0</v>
      </c>
      <c r="T158" s="113">
        <f t="shared" si="126"/>
        <v>3281189.379999998</v>
      </c>
      <c r="U158" s="113">
        <f t="shared" si="127"/>
        <v>23992900</v>
      </c>
      <c r="V158" s="104">
        <f t="shared" si="128"/>
        <v>27274089.379999999</v>
      </c>
      <c r="W158" s="113">
        <f>SUM(W159:W166)</f>
        <v>0</v>
      </c>
      <c r="X158" s="113">
        <f>SUM(X159:X166)</f>
        <v>701150.69000000006</v>
      </c>
      <c r="Y158" s="113">
        <f>SUM(Y159:Y166)</f>
        <v>0</v>
      </c>
      <c r="Z158" s="104">
        <f t="shared" si="117"/>
        <v>701150.69000000006</v>
      </c>
      <c r="AA158" s="113">
        <f>SUM(AA159:AA166)</f>
        <v>0</v>
      </c>
      <c r="AB158" s="113">
        <f>SUM(AB159:AB166)</f>
        <v>847885.53999999992</v>
      </c>
      <c r="AC158" s="113">
        <f>SUM(AC159:AC166)</f>
        <v>13000272</v>
      </c>
      <c r="AD158" s="104">
        <f t="shared" si="118"/>
        <v>13848157.539999999</v>
      </c>
      <c r="AE158" s="117">
        <f t="shared" si="133"/>
        <v>0</v>
      </c>
      <c r="AF158" s="117">
        <f t="shared" si="134"/>
        <v>1549036.23</v>
      </c>
      <c r="AG158" s="117">
        <f t="shared" si="135"/>
        <v>13000272</v>
      </c>
      <c r="AH158" s="104">
        <f t="shared" si="119"/>
        <v>14549308.23</v>
      </c>
      <c r="AI158" s="117">
        <f t="shared" si="109"/>
        <v>0</v>
      </c>
      <c r="AJ158" s="117">
        <f t="shared" si="110"/>
        <v>1732153.149999998</v>
      </c>
      <c r="AK158" s="117">
        <f t="shared" si="111"/>
        <v>10992628</v>
      </c>
      <c r="AL158" s="104">
        <f t="shared" si="112"/>
        <v>12724781.149999999</v>
      </c>
      <c r="AM158" s="1221" t="str">
        <f t="shared" si="138"/>
        <v xml:space="preserve"> </v>
      </c>
      <c r="AN158" s="1221">
        <f t="shared" si="139"/>
        <v>0.47209595381538172</v>
      </c>
      <c r="AO158" s="1221">
        <f t="shared" si="140"/>
        <v>0.54183829382859094</v>
      </c>
      <c r="AP158" s="1221">
        <f t="shared" si="141"/>
        <v>0.53344799260902032</v>
      </c>
      <c r="AQ158" s="1223" t="str">
        <f t="shared" si="102"/>
        <v xml:space="preserve"> </v>
      </c>
      <c r="AW158" s="107"/>
      <c r="BL158" s="149">
        <f>SUM(BL159:BL166)</f>
        <v>0</v>
      </c>
      <c r="BM158" s="149">
        <f t="shared" ref="BM158:BN158" si="152">SUM(BM159:BM166)</f>
        <v>1394726.5199999968</v>
      </c>
      <c r="BN158" s="149">
        <f t="shared" si="152"/>
        <v>0</v>
      </c>
      <c r="BP158" s="216">
        <f t="shared" si="142"/>
        <v>0</v>
      </c>
      <c r="BQ158" s="216">
        <f t="shared" si="143"/>
        <v>0</v>
      </c>
      <c r="BR158" s="216">
        <f t="shared" si="144"/>
        <v>0</v>
      </c>
    </row>
    <row r="159" spans="1:70" ht="36">
      <c r="A159" s="587" t="s">
        <v>938</v>
      </c>
      <c r="B159" s="1236" t="s">
        <v>576</v>
      </c>
      <c r="C159" s="113"/>
      <c r="D159" s="113">
        <v>340.51999999582767</v>
      </c>
      <c r="E159" s="113"/>
      <c r="F159" s="104">
        <f t="shared" si="130"/>
        <v>340.51999999582767</v>
      </c>
      <c r="G159" s="113">
        <f>+'CONAP (ALL FUNDS)'!F761</f>
        <v>0</v>
      </c>
      <c r="H159" s="104">
        <f>+'CONAP (ALL FUNDS)'!G761</f>
        <v>-2163146.4</v>
      </c>
      <c r="I159" s="113">
        <f>+'CONAP (ALL FUNDS)'!H761</f>
        <v>0</v>
      </c>
      <c r="J159" s="104">
        <f t="shared" si="131"/>
        <v>-2163146.4</v>
      </c>
      <c r="K159" s="113"/>
      <c r="L159" s="104">
        <v>2707859.9000000004</v>
      </c>
      <c r="M159" s="113"/>
      <c r="N159" s="104">
        <f t="shared" si="132"/>
        <v>2707859.9000000004</v>
      </c>
      <c r="O159" s="113">
        <f t="shared" si="121"/>
        <v>0</v>
      </c>
      <c r="P159" s="113">
        <f t="shared" si="122"/>
        <v>544713.50000000047</v>
      </c>
      <c r="Q159" s="113">
        <f t="shared" si="123"/>
        <v>0</v>
      </c>
      <c r="R159" s="104">
        <f t="shared" si="124"/>
        <v>544713.50000000047</v>
      </c>
      <c r="S159" s="113">
        <f t="shared" si="125"/>
        <v>0</v>
      </c>
      <c r="T159" s="113">
        <f t="shared" si="126"/>
        <v>545054.01999999629</v>
      </c>
      <c r="U159" s="113">
        <f t="shared" si="127"/>
        <v>0</v>
      </c>
      <c r="V159" s="104">
        <f t="shared" si="128"/>
        <v>545054.01999999629</v>
      </c>
      <c r="W159" s="113">
        <f>+'CONAP (ALL FUNDS)'!J759</f>
        <v>0</v>
      </c>
      <c r="X159" s="113">
        <f>+'CONAP (ALL FUNDS)'!K759</f>
        <v>340.52</v>
      </c>
      <c r="Y159" s="113">
        <f>+'CONAP (ALL FUNDS)'!L759</f>
        <v>0</v>
      </c>
      <c r="Z159" s="104">
        <f t="shared" si="117"/>
        <v>340.52</v>
      </c>
      <c r="AA159" s="113">
        <f>+'CONAP (ALL FUNDS)'!J760</f>
        <v>0</v>
      </c>
      <c r="AB159" s="113">
        <f>+'CONAP (ALL FUNDS)'!K760</f>
        <v>251542.26</v>
      </c>
      <c r="AC159" s="113">
        <f>+'CONAP (ALL FUNDS)'!L760</f>
        <v>0</v>
      </c>
      <c r="AD159" s="104">
        <f t="shared" si="118"/>
        <v>251542.26</v>
      </c>
      <c r="AE159" s="117">
        <f t="shared" si="133"/>
        <v>0</v>
      </c>
      <c r="AF159" s="117">
        <f t="shared" si="134"/>
        <v>251882.78</v>
      </c>
      <c r="AG159" s="117">
        <f t="shared" si="135"/>
        <v>0</v>
      </c>
      <c r="AH159" s="104">
        <f t="shared" si="119"/>
        <v>251882.78</v>
      </c>
      <c r="AI159" s="117">
        <f t="shared" si="109"/>
        <v>0</v>
      </c>
      <c r="AJ159" s="117">
        <f t="shared" si="110"/>
        <v>293171.23999999627</v>
      </c>
      <c r="AK159" s="117">
        <f t="shared" si="111"/>
        <v>0</v>
      </c>
      <c r="AL159" s="104">
        <f t="shared" si="112"/>
        <v>293171.23999999627</v>
      </c>
      <c r="AM159" s="1221" t="str">
        <f t="shared" si="138"/>
        <v xml:space="preserve"> </v>
      </c>
      <c r="AN159" s="1221">
        <f t="shared" si="139"/>
        <v>0.46212443309747853</v>
      </c>
      <c r="AO159" s="1221" t="str">
        <f t="shared" si="140"/>
        <v xml:space="preserve"> </v>
      </c>
      <c r="AP159" s="1221">
        <f t="shared" si="141"/>
        <v>0.46212443309747853</v>
      </c>
      <c r="AQ159" s="1223" t="str">
        <f t="shared" si="102"/>
        <v xml:space="preserve"> </v>
      </c>
      <c r="AW159" s="107"/>
      <c r="BH159" s="105">
        <f>+AL159-'CONAP (ALL FUNDS)'!Q763</f>
        <v>0</v>
      </c>
      <c r="BL159" s="149">
        <f>+'CONAP (ALL FUNDS)'!F759</f>
        <v>0</v>
      </c>
      <c r="BM159" s="149">
        <f>+'CONAP (ALL FUNDS)'!G759</f>
        <v>340.51999999582767</v>
      </c>
      <c r="BN159" s="149">
        <f>+'CONAP (ALL FUNDS)'!H759</f>
        <v>0</v>
      </c>
      <c r="BP159" s="216">
        <f t="shared" si="142"/>
        <v>0</v>
      </c>
      <c r="BQ159" s="216">
        <f t="shared" si="143"/>
        <v>0</v>
      </c>
      <c r="BR159" s="216">
        <f t="shared" si="144"/>
        <v>0</v>
      </c>
    </row>
    <row r="160" spans="1:70" ht="48">
      <c r="A160" s="587" t="s">
        <v>938</v>
      </c>
      <c r="B160" s="1236" t="s">
        <v>577</v>
      </c>
      <c r="C160" s="113">
        <v>0</v>
      </c>
      <c r="D160" s="113">
        <v>102.66000000201166</v>
      </c>
      <c r="E160" s="113">
        <v>0</v>
      </c>
      <c r="F160" s="104">
        <f t="shared" si="130"/>
        <v>102.66000000201166</v>
      </c>
      <c r="G160" s="113">
        <f>+'CONAP (ALL FUNDS)'!F772</f>
        <v>0</v>
      </c>
      <c r="H160" s="113">
        <f>+'CONAP (ALL FUNDS)'!G772</f>
        <v>-158662.85999999999</v>
      </c>
      <c r="I160" s="113">
        <f>+'CONAP (ALL FUNDS)'!H772</f>
        <v>0</v>
      </c>
      <c r="J160" s="104">
        <f t="shared" si="131"/>
        <v>-158662.85999999999</v>
      </c>
      <c r="K160" s="113">
        <v>0</v>
      </c>
      <c r="L160" s="113">
        <v>415071.06</v>
      </c>
      <c r="M160" s="113">
        <v>0</v>
      </c>
      <c r="N160" s="104">
        <f t="shared" si="132"/>
        <v>415071.06</v>
      </c>
      <c r="O160" s="113">
        <f t="shared" si="121"/>
        <v>0</v>
      </c>
      <c r="P160" s="113">
        <f t="shared" si="122"/>
        <v>256408.2</v>
      </c>
      <c r="Q160" s="113">
        <f t="shared" si="123"/>
        <v>0</v>
      </c>
      <c r="R160" s="104">
        <f t="shared" si="124"/>
        <v>256408.2</v>
      </c>
      <c r="S160" s="113">
        <f t="shared" si="125"/>
        <v>0</v>
      </c>
      <c r="T160" s="113">
        <f t="shared" si="126"/>
        <v>256510.86000000202</v>
      </c>
      <c r="U160" s="113">
        <f t="shared" si="127"/>
        <v>0</v>
      </c>
      <c r="V160" s="104">
        <f t="shared" si="128"/>
        <v>256510.86000000202</v>
      </c>
      <c r="W160" s="113">
        <f>+'CONAP (ALL FUNDS)'!J770</f>
        <v>0</v>
      </c>
      <c r="X160" s="113">
        <f>+'CONAP (ALL FUNDS)'!K770</f>
        <v>0</v>
      </c>
      <c r="Y160" s="113">
        <f>+'CONAP (ALL FUNDS)'!L770</f>
        <v>0</v>
      </c>
      <c r="Z160" s="104">
        <f t="shared" si="117"/>
        <v>0</v>
      </c>
      <c r="AA160" s="113">
        <f>+'CONAP (ALL FUNDS)'!J771</f>
        <v>0</v>
      </c>
      <c r="AB160" s="113">
        <f>+'CONAP (ALL FUNDS)'!K771</f>
        <v>180823.5</v>
      </c>
      <c r="AC160" s="113">
        <f>+'CONAP (ALL FUNDS)'!L771</f>
        <v>0</v>
      </c>
      <c r="AD160" s="104">
        <f t="shared" si="118"/>
        <v>180823.5</v>
      </c>
      <c r="AE160" s="117">
        <f t="shared" si="133"/>
        <v>0</v>
      </c>
      <c r="AF160" s="117">
        <f t="shared" si="134"/>
        <v>180823.5</v>
      </c>
      <c r="AG160" s="117">
        <f t="shared" si="135"/>
        <v>0</v>
      </c>
      <c r="AH160" s="104">
        <f t="shared" si="119"/>
        <v>180823.5</v>
      </c>
      <c r="AI160" s="117">
        <f t="shared" si="109"/>
        <v>0</v>
      </c>
      <c r="AJ160" s="117">
        <f t="shared" si="110"/>
        <v>75687.360000002023</v>
      </c>
      <c r="AK160" s="117">
        <f t="shared" si="111"/>
        <v>0</v>
      </c>
      <c r="AL160" s="104">
        <f t="shared" si="112"/>
        <v>75687.360000002023</v>
      </c>
      <c r="AM160" s="1221" t="str">
        <f t="shared" si="138"/>
        <v xml:space="preserve"> </v>
      </c>
      <c r="AN160" s="1221">
        <f t="shared" si="139"/>
        <v>0.7049350659071455</v>
      </c>
      <c r="AO160" s="1221" t="str">
        <f t="shared" si="140"/>
        <v xml:space="preserve"> </v>
      </c>
      <c r="AP160" s="1221">
        <f t="shared" si="141"/>
        <v>0.7049350659071455</v>
      </c>
      <c r="AQ160" s="1223" t="str">
        <f t="shared" si="102"/>
        <v xml:space="preserve"> </v>
      </c>
      <c r="AW160" s="107"/>
      <c r="BH160" s="105">
        <f>+AL160-'CONAP (ALL FUNDS)'!Q774</f>
        <v>0</v>
      </c>
      <c r="BL160" s="149">
        <f>+'CONAP (ALL FUNDS)'!F770</f>
        <v>0</v>
      </c>
      <c r="BM160" s="149">
        <f>+'CONAP (ALL FUNDS)'!G770</f>
        <v>102.66000000201166</v>
      </c>
      <c r="BN160" s="149">
        <f>+'CONAP (ALL FUNDS)'!H770</f>
        <v>0</v>
      </c>
      <c r="BP160" s="216">
        <f t="shared" si="142"/>
        <v>0</v>
      </c>
      <c r="BQ160" s="216">
        <f t="shared" si="143"/>
        <v>0</v>
      </c>
      <c r="BR160" s="216">
        <f t="shared" si="144"/>
        <v>0</v>
      </c>
    </row>
    <row r="161" spans="1:70" ht="24">
      <c r="A161" s="587" t="s">
        <v>938</v>
      </c>
      <c r="B161" s="1237" t="s">
        <v>578</v>
      </c>
      <c r="C161" s="113"/>
      <c r="D161" s="113"/>
      <c r="E161" s="113"/>
      <c r="F161" s="104">
        <f t="shared" si="130"/>
        <v>0</v>
      </c>
      <c r="G161" s="113">
        <f>+'CONAP (ALL FUNDS)'!F783</f>
        <v>0</v>
      </c>
      <c r="H161" s="113">
        <f>+'CONAP (ALL FUNDS)'!G783</f>
        <v>0</v>
      </c>
      <c r="I161" s="113">
        <f>+'CONAP (ALL FUNDS)'!H783</f>
        <v>0</v>
      </c>
      <c r="J161" s="104">
        <f t="shared" si="131"/>
        <v>0</v>
      </c>
      <c r="K161" s="113"/>
      <c r="L161" s="113">
        <v>23897.47</v>
      </c>
      <c r="M161" s="113"/>
      <c r="N161" s="104">
        <f t="shared" si="132"/>
        <v>23897.47</v>
      </c>
      <c r="O161" s="113">
        <f t="shared" si="121"/>
        <v>0</v>
      </c>
      <c r="P161" s="113">
        <f t="shared" si="122"/>
        <v>23897.47</v>
      </c>
      <c r="Q161" s="113">
        <f t="shared" si="123"/>
        <v>0</v>
      </c>
      <c r="R161" s="104">
        <f t="shared" si="124"/>
        <v>23897.47</v>
      </c>
      <c r="S161" s="113">
        <f t="shared" si="125"/>
        <v>0</v>
      </c>
      <c r="T161" s="113">
        <f t="shared" si="126"/>
        <v>23897.47</v>
      </c>
      <c r="U161" s="113">
        <f t="shared" si="127"/>
        <v>0</v>
      </c>
      <c r="V161" s="104">
        <f t="shared" si="128"/>
        <v>23897.47</v>
      </c>
      <c r="W161" s="113">
        <f>+'CONAP (ALL FUNDS)'!J781</f>
        <v>0</v>
      </c>
      <c r="X161" s="113">
        <f>+'CONAP (ALL FUNDS)'!K781</f>
        <v>0</v>
      </c>
      <c r="Y161" s="113">
        <f>+'CONAP (ALL FUNDS)'!L781</f>
        <v>0</v>
      </c>
      <c r="Z161" s="104">
        <f t="shared" si="117"/>
        <v>0</v>
      </c>
      <c r="AA161" s="113">
        <f>+'CONAP (ALL FUNDS)'!J782</f>
        <v>0</v>
      </c>
      <c r="AB161" s="113">
        <f>+'CONAP (ALL FUNDS)'!K782</f>
        <v>8450</v>
      </c>
      <c r="AC161" s="113">
        <f>+'CONAP (ALL FUNDS)'!L782</f>
        <v>0</v>
      </c>
      <c r="AD161" s="104">
        <f t="shared" si="118"/>
        <v>8450</v>
      </c>
      <c r="AE161" s="117">
        <f t="shared" si="133"/>
        <v>0</v>
      </c>
      <c r="AF161" s="117">
        <f t="shared" si="134"/>
        <v>8450</v>
      </c>
      <c r="AG161" s="117">
        <f t="shared" si="135"/>
        <v>0</v>
      </c>
      <c r="AH161" s="104">
        <f t="shared" si="119"/>
        <v>8450</v>
      </c>
      <c r="AI161" s="117">
        <f t="shared" si="109"/>
        <v>0</v>
      </c>
      <c r="AJ161" s="117">
        <f t="shared" si="110"/>
        <v>15447.470000000001</v>
      </c>
      <c r="AK161" s="117">
        <f t="shared" si="111"/>
        <v>0</v>
      </c>
      <c r="AL161" s="104">
        <f t="shared" si="112"/>
        <v>15447.470000000001</v>
      </c>
      <c r="AM161" s="1221" t="str">
        <f t="shared" si="138"/>
        <v xml:space="preserve"> </v>
      </c>
      <c r="AN161" s="1221">
        <f t="shared" si="139"/>
        <v>0.35359391600868206</v>
      </c>
      <c r="AO161" s="1221" t="str">
        <f t="shared" si="140"/>
        <v xml:space="preserve"> </v>
      </c>
      <c r="AP161" s="1221">
        <f t="shared" si="141"/>
        <v>0.35359391600868206</v>
      </c>
      <c r="AQ161" s="1223" t="str">
        <f t="shared" si="102"/>
        <v xml:space="preserve"> </v>
      </c>
      <c r="AW161" s="107"/>
      <c r="BH161" s="105">
        <f>+AL161-'CONAP (ALL FUNDS)'!Q785</f>
        <v>0</v>
      </c>
      <c r="BL161" s="149">
        <f>+'CONAP (ALL FUNDS)'!F781</f>
        <v>0</v>
      </c>
      <c r="BM161" s="149">
        <f>+'CONAP (ALL FUNDS)'!G781</f>
        <v>0</v>
      </c>
      <c r="BN161" s="149">
        <f>+'CONAP (ALL FUNDS)'!H781</f>
        <v>0</v>
      </c>
      <c r="BP161" s="216">
        <f t="shared" si="142"/>
        <v>0</v>
      </c>
      <c r="BQ161" s="216">
        <f t="shared" si="143"/>
        <v>0</v>
      </c>
      <c r="BR161" s="216">
        <f t="shared" si="144"/>
        <v>0</v>
      </c>
    </row>
    <row r="162" spans="1:70" ht="12.75">
      <c r="A162" s="587" t="s">
        <v>938</v>
      </c>
      <c r="B162" s="1234" t="s">
        <v>579</v>
      </c>
      <c r="C162" s="113"/>
      <c r="D162" s="113"/>
      <c r="E162" s="113"/>
      <c r="F162" s="104">
        <f t="shared" si="130"/>
        <v>0</v>
      </c>
      <c r="G162" s="113">
        <f>+'CONAP (ALL FUNDS)'!F794</f>
        <v>0</v>
      </c>
      <c r="H162" s="104">
        <f>+'CONAP (ALL FUNDS)'!G794</f>
        <v>-363.7</v>
      </c>
      <c r="I162" s="113">
        <f>+'CONAP (ALL FUNDS)'!H794</f>
        <v>0</v>
      </c>
      <c r="J162" s="104">
        <f t="shared" si="131"/>
        <v>-363.7</v>
      </c>
      <c r="K162" s="113"/>
      <c r="L162" s="104">
        <v>60363.700000000012</v>
      </c>
      <c r="M162" s="113"/>
      <c r="N162" s="104">
        <f t="shared" si="132"/>
        <v>60363.700000000012</v>
      </c>
      <c r="O162" s="113">
        <f t="shared" si="121"/>
        <v>0</v>
      </c>
      <c r="P162" s="113">
        <f t="shared" si="122"/>
        <v>60000.000000000015</v>
      </c>
      <c r="Q162" s="113">
        <f t="shared" si="123"/>
        <v>0</v>
      </c>
      <c r="R162" s="104">
        <f t="shared" si="124"/>
        <v>60000.000000000015</v>
      </c>
      <c r="S162" s="113">
        <f t="shared" si="125"/>
        <v>0</v>
      </c>
      <c r="T162" s="113">
        <f t="shared" si="126"/>
        <v>60000.000000000015</v>
      </c>
      <c r="U162" s="113">
        <f t="shared" si="127"/>
        <v>0</v>
      </c>
      <c r="V162" s="104">
        <f t="shared" si="128"/>
        <v>60000.000000000015</v>
      </c>
      <c r="W162" s="113">
        <f>+'CONAP (ALL FUNDS)'!J792</f>
        <v>0</v>
      </c>
      <c r="X162" s="113">
        <f>+'CONAP (ALL FUNDS)'!K792</f>
        <v>0</v>
      </c>
      <c r="Y162" s="113">
        <f>+'CONAP (ALL FUNDS)'!L792</f>
        <v>0</v>
      </c>
      <c r="Z162" s="104">
        <f t="shared" si="117"/>
        <v>0</v>
      </c>
      <c r="AA162" s="113">
        <f>+'CONAP (ALL FUNDS)'!J793</f>
        <v>0</v>
      </c>
      <c r="AB162" s="113">
        <f>+'CONAP (ALL FUNDS)'!K793</f>
        <v>0</v>
      </c>
      <c r="AC162" s="113">
        <f>+'CONAP (ALL FUNDS)'!L793</f>
        <v>0</v>
      </c>
      <c r="AD162" s="104">
        <f t="shared" si="118"/>
        <v>0</v>
      </c>
      <c r="AE162" s="117">
        <f t="shared" si="133"/>
        <v>0</v>
      </c>
      <c r="AF162" s="117">
        <f t="shared" si="134"/>
        <v>0</v>
      </c>
      <c r="AG162" s="117">
        <f t="shared" si="135"/>
        <v>0</v>
      </c>
      <c r="AH162" s="104">
        <f t="shared" si="119"/>
        <v>0</v>
      </c>
      <c r="AI162" s="117">
        <f t="shared" si="109"/>
        <v>0</v>
      </c>
      <c r="AJ162" s="117">
        <f t="shared" si="110"/>
        <v>60000.000000000015</v>
      </c>
      <c r="AK162" s="117">
        <f t="shared" si="111"/>
        <v>0</v>
      </c>
      <c r="AL162" s="104">
        <f t="shared" si="112"/>
        <v>60000.000000000015</v>
      </c>
      <c r="AM162" s="1221" t="str">
        <f t="shared" si="138"/>
        <v xml:space="preserve"> </v>
      </c>
      <c r="AN162" s="1221">
        <f t="shared" si="139"/>
        <v>0</v>
      </c>
      <c r="AO162" s="1221" t="str">
        <f t="shared" si="140"/>
        <v xml:space="preserve"> </v>
      </c>
      <c r="AP162" s="1221">
        <f t="shared" si="141"/>
        <v>0</v>
      </c>
      <c r="AQ162" s="1223" t="str">
        <f t="shared" si="102"/>
        <v xml:space="preserve"> </v>
      </c>
      <c r="AW162" s="107"/>
      <c r="BH162" s="105">
        <f>+AL162-'CONAP (ALL FUNDS)'!Q796</f>
        <v>0</v>
      </c>
      <c r="BL162" s="149">
        <f>+'CONAP (ALL FUNDS)'!F792</f>
        <v>0</v>
      </c>
      <c r="BM162" s="149">
        <f>+'CONAP (ALL FUNDS)'!G792</f>
        <v>0</v>
      </c>
      <c r="BN162" s="149">
        <f>+'CONAP (ALL FUNDS)'!H792</f>
        <v>0</v>
      </c>
      <c r="BP162" s="216">
        <f t="shared" si="142"/>
        <v>0</v>
      </c>
      <c r="BQ162" s="216">
        <f t="shared" si="143"/>
        <v>0</v>
      </c>
      <c r="BR162" s="216">
        <f t="shared" si="144"/>
        <v>0</v>
      </c>
    </row>
    <row r="163" spans="1:70" ht="24">
      <c r="A163" s="587" t="s">
        <v>938</v>
      </c>
      <c r="B163" s="1237" t="s">
        <v>580</v>
      </c>
      <c r="C163" s="113">
        <v>0</v>
      </c>
      <c r="D163" s="113">
        <v>48677.38</v>
      </c>
      <c r="E163" s="113">
        <v>0</v>
      </c>
      <c r="F163" s="104">
        <f t="shared" si="130"/>
        <v>48677.38</v>
      </c>
      <c r="G163" s="113">
        <f>+'CONAP (ALL FUNDS)'!F805</f>
        <v>0</v>
      </c>
      <c r="H163" s="113">
        <f>+'CONAP (ALL FUNDS)'!G805</f>
        <v>0</v>
      </c>
      <c r="I163" s="113">
        <f>+'CONAP (ALL FUNDS)'!H805</f>
        <v>10808000</v>
      </c>
      <c r="J163" s="104">
        <f t="shared" si="131"/>
        <v>10808000</v>
      </c>
      <c r="K163" s="113">
        <v>0</v>
      </c>
      <c r="L163" s="113">
        <v>226206.31</v>
      </c>
      <c r="M163" s="113">
        <v>0</v>
      </c>
      <c r="N163" s="104">
        <f t="shared" si="132"/>
        <v>226206.31</v>
      </c>
      <c r="O163" s="113">
        <f t="shared" si="121"/>
        <v>0</v>
      </c>
      <c r="P163" s="113">
        <f t="shared" si="122"/>
        <v>226206.31</v>
      </c>
      <c r="Q163" s="113">
        <f t="shared" si="123"/>
        <v>10808000</v>
      </c>
      <c r="R163" s="104">
        <f t="shared" si="124"/>
        <v>11034206.310000001</v>
      </c>
      <c r="S163" s="113">
        <f t="shared" si="125"/>
        <v>0</v>
      </c>
      <c r="T163" s="113">
        <f t="shared" si="126"/>
        <v>274883.69</v>
      </c>
      <c r="U163" s="113">
        <f t="shared" si="127"/>
        <v>10808000</v>
      </c>
      <c r="V163" s="104">
        <f t="shared" si="128"/>
        <v>11082883.689999999</v>
      </c>
      <c r="W163" s="113">
        <f>+'CONAP (ALL FUNDS)'!J803</f>
        <v>0</v>
      </c>
      <c r="X163" s="113">
        <f>+'CONAP (ALL FUNDS)'!K803</f>
        <v>48677.38</v>
      </c>
      <c r="Y163" s="113">
        <f>+'CONAP (ALL FUNDS)'!L803</f>
        <v>0</v>
      </c>
      <c r="Z163" s="104">
        <f t="shared" si="117"/>
        <v>48677.38</v>
      </c>
      <c r="AA163" s="113">
        <f>+'CONAP (ALL FUNDS)'!J804</f>
        <v>0</v>
      </c>
      <c r="AB163" s="113">
        <f>+'CONAP (ALL FUNDS)'!K804</f>
        <v>166206.30999999997</v>
      </c>
      <c r="AC163" s="113">
        <f>+'CONAP (ALL FUNDS)'!L804</f>
        <v>0</v>
      </c>
      <c r="AD163" s="104">
        <f t="shared" si="118"/>
        <v>166206.30999999997</v>
      </c>
      <c r="AE163" s="117">
        <f t="shared" si="133"/>
        <v>0</v>
      </c>
      <c r="AF163" s="117">
        <f t="shared" si="134"/>
        <v>214883.68999999997</v>
      </c>
      <c r="AG163" s="117">
        <f t="shared" si="135"/>
        <v>0</v>
      </c>
      <c r="AH163" s="104">
        <f t="shared" si="119"/>
        <v>214883.68999999997</v>
      </c>
      <c r="AI163" s="117">
        <f t="shared" si="109"/>
        <v>0</v>
      </c>
      <c r="AJ163" s="117">
        <f t="shared" si="110"/>
        <v>60000.000000000029</v>
      </c>
      <c r="AK163" s="117">
        <f t="shared" si="111"/>
        <v>10808000</v>
      </c>
      <c r="AL163" s="104">
        <f t="shared" si="112"/>
        <v>10868000</v>
      </c>
      <c r="AM163" s="1221" t="str">
        <f t="shared" si="138"/>
        <v xml:space="preserve"> </v>
      </c>
      <c r="AN163" s="1221">
        <f t="shared" si="139"/>
        <v>0.781725863764416</v>
      </c>
      <c r="AO163" s="1221">
        <f t="shared" si="140"/>
        <v>0</v>
      </c>
      <c r="AP163" s="1221">
        <f t="shared" si="141"/>
        <v>1.938878869530029E-2</v>
      </c>
      <c r="AQ163" s="1223" t="str">
        <f t="shared" ref="AQ163:AQ183" si="153">IF(W163=0," ",AI163/W163)</f>
        <v xml:space="preserve"> </v>
      </c>
      <c r="AW163" s="107"/>
      <c r="BH163" s="105">
        <f>+AL163-'CONAP (ALL FUNDS)'!Q807</f>
        <v>0</v>
      </c>
      <c r="BL163" s="149">
        <f>+'CONAP (ALL FUNDS)'!F803</f>
        <v>0</v>
      </c>
      <c r="BM163" s="149">
        <f>+'CONAP (ALL FUNDS)'!G803</f>
        <v>48677.38</v>
      </c>
      <c r="BN163" s="149">
        <f>+'CONAP (ALL FUNDS)'!H803</f>
        <v>0</v>
      </c>
      <c r="BP163" s="216">
        <f t="shared" si="142"/>
        <v>0</v>
      </c>
      <c r="BQ163" s="216">
        <f t="shared" si="143"/>
        <v>0</v>
      </c>
      <c r="BR163" s="216">
        <f t="shared" si="144"/>
        <v>0</v>
      </c>
    </row>
    <row r="164" spans="1:70" ht="36">
      <c r="A164" s="587" t="s">
        <v>938</v>
      </c>
      <c r="B164" s="1236" t="s">
        <v>581</v>
      </c>
      <c r="C164" s="113"/>
      <c r="D164" s="113"/>
      <c r="E164" s="113"/>
      <c r="F164" s="104">
        <f t="shared" si="130"/>
        <v>0</v>
      </c>
      <c r="G164" s="113">
        <f>+'CONAP (ALL FUNDS)'!F816</f>
        <v>0</v>
      </c>
      <c r="H164" s="113">
        <f>+'CONAP (ALL FUNDS)'!G816</f>
        <v>0</v>
      </c>
      <c r="I164" s="113">
        <f>+'CONAP (ALL FUNDS)'!H816</f>
        <v>0</v>
      </c>
      <c r="J164" s="104">
        <f t="shared" si="131"/>
        <v>0</v>
      </c>
      <c r="K164" s="113">
        <v>0</v>
      </c>
      <c r="L164" s="113">
        <v>658710.0700000003</v>
      </c>
      <c r="M164" s="113">
        <v>0</v>
      </c>
      <c r="N164" s="104">
        <f t="shared" si="132"/>
        <v>658710.0700000003</v>
      </c>
      <c r="O164" s="113">
        <f t="shared" si="121"/>
        <v>0</v>
      </c>
      <c r="P164" s="113">
        <f t="shared" si="122"/>
        <v>658710.0700000003</v>
      </c>
      <c r="Q164" s="113">
        <f t="shared" si="123"/>
        <v>0</v>
      </c>
      <c r="R164" s="104">
        <f t="shared" si="124"/>
        <v>658710.0700000003</v>
      </c>
      <c r="S164" s="113">
        <f t="shared" si="125"/>
        <v>0</v>
      </c>
      <c r="T164" s="113">
        <f t="shared" si="126"/>
        <v>658710.0700000003</v>
      </c>
      <c r="U164" s="113">
        <f t="shared" si="127"/>
        <v>0</v>
      </c>
      <c r="V164" s="104">
        <f t="shared" si="128"/>
        <v>658710.0700000003</v>
      </c>
      <c r="W164" s="113">
        <f>+'CONAP (ALL FUNDS)'!J814</f>
        <v>0</v>
      </c>
      <c r="X164" s="113">
        <f>+'CONAP (ALL FUNDS)'!K814</f>
        <v>0</v>
      </c>
      <c r="Y164" s="113">
        <f>+'CONAP (ALL FUNDS)'!L814</f>
        <v>0</v>
      </c>
      <c r="Z164" s="104">
        <f t="shared" si="117"/>
        <v>0</v>
      </c>
      <c r="AA164" s="113">
        <f>+'CONAP (ALL FUNDS)'!J815</f>
        <v>0</v>
      </c>
      <c r="AB164" s="113">
        <f>+'CONAP (ALL FUNDS)'!K815</f>
        <v>162804.47</v>
      </c>
      <c r="AC164" s="113">
        <f>+'CONAP (ALL FUNDS)'!L815</f>
        <v>0</v>
      </c>
      <c r="AD164" s="104">
        <f t="shared" si="118"/>
        <v>162804.47</v>
      </c>
      <c r="AE164" s="117">
        <f t="shared" si="133"/>
        <v>0</v>
      </c>
      <c r="AF164" s="117">
        <f t="shared" si="134"/>
        <v>162804.47</v>
      </c>
      <c r="AG164" s="117">
        <f t="shared" si="135"/>
        <v>0</v>
      </c>
      <c r="AH164" s="104">
        <f t="shared" si="119"/>
        <v>162804.47</v>
      </c>
      <c r="AI164" s="117">
        <f t="shared" si="109"/>
        <v>0</v>
      </c>
      <c r="AJ164" s="117">
        <f t="shared" si="110"/>
        <v>495905.60000000033</v>
      </c>
      <c r="AK164" s="117">
        <f t="shared" si="111"/>
        <v>0</v>
      </c>
      <c r="AL164" s="104">
        <f t="shared" si="112"/>
        <v>495905.60000000033</v>
      </c>
      <c r="AM164" s="1221" t="str">
        <f t="shared" si="138"/>
        <v xml:space="preserve"> </v>
      </c>
      <c r="AN164" s="1221">
        <f t="shared" si="139"/>
        <v>0.24715649177793794</v>
      </c>
      <c r="AO164" s="1221" t="str">
        <f t="shared" si="140"/>
        <v xml:space="preserve"> </v>
      </c>
      <c r="AP164" s="1221">
        <f t="shared" si="141"/>
        <v>0.24715649177793794</v>
      </c>
      <c r="AQ164" s="1223" t="str">
        <f t="shared" si="153"/>
        <v xml:space="preserve"> </v>
      </c>
      <c r="AW164" s="107"/>
      <c r="BH164" s="105">
        <f>+AL164-'CONAP (ALL FUNDS)'!Q818</f>
        <v>0</v>
      </c>
      <c r="BL164" s="149">
        <f>+'CONAP (ALL FUNDS)'!F814</f>
        <v>0</v>
      </c>
      <c r="BM164" s="149">
        <f>+'CONAP (ALL FUNDS)'!G814</f>
        <v>0</v>
      </c>
      <c r="BN164" s="149">
        <f>+'CONAP (ALL FUNDS)'!H814</f>
        <v>0</v>
      </c>
      <c r="BP164" s="216">
        <f t="shared" si="142"/>
        <v>0</v>
      </c>
      <c r="BQ164" s="216">
        <f t="shared" si="143"/>
        <v>0</v>
      </c>
      <c r="BR164" s="216">
        <f t="shared" si="144"/>
        <v>0</v>
      </c>
    </row>
    <row r="165" spans="1:70" ht="36">
      <c r="A165" s="587" t="s">
        <v>938</v>
      </c>
      <c r="B165" s="1236" t="s">
        <v>582</v>
      </c>
      <c r="C165" s="113">
        <v>0</v>
      </c>
      <c r="D165" s="375">
        <v>654605.95999999903</v>
      </c>
      <c r="E165" s="113">
        <v>0</v>
      </c>
      <c r="F165" s="104">
        <f t="shared" si="130"/>
        <v>654605.95999999903</v>
      </c>
      <c r="G165" s="113">
        <f>+'CONAP (ALL FUNDS)'!F827</f>
        <v>0</v>
      </c>
      <c r="H165" s="113">
        <f>+'CONAP (ALL FUNDS)'!G827</f>
        <v>-560987</v>
      </c>
      <c r="I165" s="113">
        <f>+'CONAP (ALL FUNDS)'!H827</f>
        <v>3184900</v>
      </c>
      <c r="J165" s="104">
        <f t="shared" si="131"/>
        <v>2623913</v>
      </c>
      <c r="K165" s="113">
        <v>0</v>
      </c>
      <c r="L165" s="113">
        <v>677514.31</v>
      </c>
      <c r="M165" s="113">
        <v>10000000</v>
      </c>
      <c r="N165" s="104">
        <f t="shared" si="132"/>
        <v>10677514.310000001</v>
      </c>
      <c r="O165" s="113">
        <f t="shared" si="121"/>
        <v>0</v>
      </c>
      <c r="P165" s="113">
        <f t="shared" si="122"/>
        <v>116527.31000000006</v>
      </c>
      <c r="Q165" s="113">
        <f t="shared" si="123"/>
        <v>13184900</v>
      </c>
      <c r="R165" s="104">
        <f t="shared" si="124"/>
        <v>13301427.310000001</v>
      </c>
      <c r="S165" s="113">
        <f t="shared" si="125"/>
        <v>0</v>
      </c>
      <c r="T165" s="113">
        <f t="shared" si="126"/>
        <v>771133.26999999909</v>
      </c>
      <c r="U165" s="113">
        <f t="shared" si="127"/>
        <v>13184900</v>
      </c>
      <c r="V165" s="104">
        <f t="shared" si="128"/>
        <v>13956033.27</v>
      </c>
      <c r="W165" s="113">
        <f>+'CONAP (ALL FUNDS)'!J825</f>
        <v>0</v>
      </c>
      <c r="X165" s="113">
        <f>+'CONAP (ALL FUNDS)'!K825</f>
        <v>652132.79</v>
      </c>
      <c r="Y165" s="113">
        <f>+'CONAP (ALL FUNDS)'!L825</f>
        <v>0</v>
      </c>
      <c r="Z165" s="104">
        <f t="shared" si="117"/>
        <v>652132.79</v>
      </c>
      <c r="AA165" s="113">
        <f>+'CONAP (ALL FUNDS)'!J826</f>
        <v>0</v>
      </c>
      <c r="AB165" s="113">
        <f>+'CONAP (ALL FUNDS)'!K826</f>
        <v>78059</v>
      </c>
      <c r="AC165" s="113">
        <f>+'CONAP (ALL FUNDS)'!L826</f>
        <v>13000272</v>
      </c>
      <c r="AD165" s="104">
        <f t="shared" si="118"/>
        <v>13078331</v>
      </c>
      <c r="AE165" s="117">
        <f t="shared" si="133"/>
        <v>0</v>
      </c>
      <c r="AF165" s="117">
        <f t="shared" si="134"/>
        <v>730191.79</v>
      </c>
      <c r="AG165" s="117">
        <f t="shared" si="135"/>
        <v>13000272</v>
      </c>
      <c r="AH165" s="104">
        <f t="shared" si="119"/>
        <v>13730463.789999999</v>
      </c>
      <c r="AI165" s="117">
        <f t="shared" si="109"/>
        <v>0</v>
      </c>
      <c r="AJ165" s="117">
        <f t="shared" si="110"/>
        <v>40941.47999999905</v>
      </c>
      <c r="AK165" s="117">
        <f t="shared" si="111"/>
        <v>184628</v>
      </c>
      <c r="AL165" s="104">
        <f t="shared" si="112"/>
        <v>225569.47999999905</v>
      </c>
      <c r="AM165" s="1221" t="str">
        <f t="shared" si="138"/>
        <v xml:space="preserve"> </v>
      </c>
      <c r="AN165" s="1221">
        <f t="shared" si="139"/>
        <v>0.94690738735731228</v>
      </c>
      <c r="AO165" s="1221">
        <f t="shared" si="140"/>
        <v>0.98599701173311893</v>
      </c>
      <c r="AP165" s="1221">
        <f t="shared" si="141"/>
        <v>0.98383713512027182</v>
      </c>
      <c r="AQ165" s="1223" t="str">
        <f t="shared" si="153"/>
        <v xml:space="preserve"> </v>
      </c>
      <c r="AW165" s="107"/>
      <c r="BH165" s="105">
        <f>+AL165-'CONAP (ALL FUNDS)'!Q829</f>
        <v>0</v>
      </c>
      <c r="BL165" s="149">
        <f>+'CONAP (ALL FUNDS)'!F825</f>
        <v>0</v>
      </c>
      <c r="BM165" s="149">
        <f>+'CONAP (ALL FUNDS)'!G825</f>
        <v>654605.95999999903</v>
      </c>
      <c r="BN165" s="149">
        <f>+'CONAP (ALL FUNDS)'!H825</f>
        <v>0</v>
      </c>
      <c r="BP165" s="216">
        <f t="shared" si="142"/>
        <v>0</v>
      </c>
      <c r="BQ165" s="216">
        <f t="shared" si="143"/>
        <v>0</v>
      </c>
      <c r="BR165" s="216">
        <f t="shared" si="144"/>
        <v>0</v>
      </c>
    </row>
    <row r="166" spans="1:70" ht="12.75">
      <c r="A166" s="587" t="s">
        <v>938</v>
      </c>
      <c r="B166" s="1234" t="s">
        <v>583</v>
      </c>
      <c r="C166" s="113"/>
      <c r="D166" s="113">
        <v>691000</v>
      </c>
      <c r="E166" s="113"/>
      <c r="F166" s="104">
        <f t="shared" si="130"/>
        <v>691000</v>
      </c>
      <c r="G166" s="113">
        <f>+'CONAP (ALL FUNDS)'!F838</f>
        <v>0</v>
      </c>
      <c r="H166" s="113">
        <f>+'CONAP (ALL FUNDS)'!G838</f>
        <v>0</v>
      </c>
      <c r="I166" s="113">
        <f>+'CONAP (ALL FUNDS)'!H838</f>
        <v>0</v>
      </c>
      <c r="J166" s="104">
        <f t="shared" si="131"/>
        <v>0</v>
      </c>
      <c r="K166" s="113"/>
      <c r="L166" s="113"/>
      <c r="M166" s="113"/>
      <c r="N166" s="104">
        <f t="shared" si="132"/>
        <v>0</v>
      </c>
      <c r="O166" s="113">
        <f t="shared" si="121"/>
        <v>0</v>
      </c>
      <c r="P166" s="113">
        <f t="shared" si="122"/>
        <v>0</v>
      </c>
      <c r="Q166" s="113">
        <f t="shared" si="123"/>
        <v>0</v>
      </c>
      <c r="R166" s="104">
        <f t="shared" si="124"/>
        <v>0</v>
      </c>
      <c r="S166" s="113">
        <f t="shared" si="125"/>
        <v>0</v>
      </c>
      <c r="T166" s="113">
        <f t="shared" si="126"/>
        <v>691000</v>
      </c>
      <c r="U166" s="113">
        <f t="shared" si="127"/>
        <v>0</v>
      </c>
      <c r="V166" s="104">
        <f t="shared" si="128"/>
        <v>691000</v>
      </c>
      <c r="W166" s="113">
        <f>+'CONAP (ALL FUNDS)'!J836</f>
        <v>0</v>
      </c>
      <c r="X166" s="113">
        <f>+'CONAP (ALL FUNDS)'!K836</f>
        <v>0</v>
      </c>
      <c r="Y166" s="113">
        <f>+'CONAP (ALL FUNDS)'!L836</f>
        <v>0</v>
      </c>
      <c r="Z166" s="104">
        <f t="shared" si="117"/>
        <v>0</v>
      </c>
      <c r="AA166" s="113">
        <f>+'CONAP (ALL FUNDS)'!J837</f>
        <v>0</v>
      </c>
      <c r="AB166" s="113">
        <f>+'CONAP (ALL FUNDS)'!K837</f>
        <v>0</v>
      </c>
      <c r="AC166" s="113">
        <f>+'CONAP (ALL FUNDS)'!L837</f>
        <v>0</v>
      </c>
      <c r="AD166" s="104">
        <f t="shared" si="118"/>
        <v>0</v>
      </c>
      <c r="AE166" s="117">
        <f t="shared" si="133"/>
        <v>0</v>
      </c>
      <c r="AF166" s="117">
        <f t="shared" si="134"/>
        <v>0</v>
      </c>
      <c r="AG166" s="117">
        <f t="shared" si="135"/>
        <v>0</v>
      </c>
      <c r="AH166" s="104">
        <f t="shared" si="119"/>
        <v>0</v>
      </c>
      <c r="AI166" s="117">
        <f t="shared" si="109"/>
        <v>0</v>
      </c>
      <c r="AJ166" s="117">
        <f t="shared" si="110"/>
        <v>691000</v>
      </c>
      <c r="AK166" s="117">
        <f t="shared" si="111"/>
        <v>0</v>
      </c>
      <c r="AL166" s="104">
        <f t="shared" si="112"/>
        <v>691000</v>
      </c>
      <c r="AM166" s="1221" t="str">
        <f t="shared" si="138"/>
        <v xml:space="preserve"> </v>
      </c>
      <c r="AN166" s="1221">
        <f t="shared" si="139"/>
        <v>0</v>
      </c>
      <c r="AO166" s="1221" t="str">
        <f t="shared" si="140"/>
        <v xml:space="preserve"> </v>
      </c>
      <c r="AP166" s="1221">
        <f t="shared" si="141"/>
        <v>0</v>
      </c>
      <c r="AQ166" s="1223" t="str">
        <f t="shared" si="153"/>
        <v xml:space="preserve"> </v>
      </c>
      <c r="AW166" s="107"/>
      <c r="BH166" s="105">
        <f>+AL166-'CONAP (ALL FUNDS)'!Q840</f>
        <v>0</v>
      </c>
      <c r="BL166" s="149">
        <f>+'CONAP (ALL FUNDS)'!F836</f>
        <v>0</v>
      </c>
      <c r="BM166" s="149">
        <f>+'CONAP (ALL FUNDS)'!G836</f>
        <v>691000</v>
      </c>
      <c r="BN166" s="149">
        <f>+'CONAP (ALL FUNDS)'!H836</f>
        <v>0</v>
      </c>
      <c r="BP166" s="216">
        <f t="shared" si="142"/>
        <v>0</v>
      </c>
      <c r="BQ166" s="216">
        <f t="shared" si="143"/>
        <v>0</v>
      </c>
      <c r="BR166" s="216">
        <f t="shared" si="144"/>
        <v>0</v>
      </c>
    </row>
    <row r="167" spans="1:70" ht="12.75">
      <c r="B167" s="1238"/>
      <c r="C167" s="113"/>
      <c r="D167" s="113"/>
      <c r="E167" s="113"/>
      <c r="F167" s="104">
        <f t="shared" si="130"/>
        <v>0</v>
      </c>
      <c r="G167" s="113"/>
      <c r="H167" s="113"/>
      <c r="I167" s="113"/>
      <c r="J167" s="104">
        <f t="shared" si="131"/>
        <v>0</v>
      </c>
      <c r="K167" s="113"/>
      <c r="L167" s="113"/>
      <c r="M167" s="113"/>
      <c r="N167" s="104">
        <f t="shared" si="132"/>
        <v>0</v>
      </c>
      <c r="O167" s="113">
        <f t="shared" si="121"/>
        <v>0</v>
      </c>
      <c r="P167" s="113">
        <f t="shared" si="122"/>
        <v>0</v>
      </c>
      <c r="Q167" s="113">
        <f t="shared" si="123"/>
        <v>0</v>
      </c>
      <c r="R167" s="104">
        <f t="shared" si="124"/>
        <v>0</v>
      </c>
      <c r="S167" s="113">
        <f t="shared" si="125"/>
        <v>0</v>
      </c>
      <c r="T167" s="113">
        <f t="shared" si="126"/>
        <v>0</v>
      </c>
      <c r="U167" s="113">
        <f t="shared" si="127"/>
        <v>0</v>
      </c>
      <c r="V167" s="104">
        <f t="shared" si="128"/>
        <v>0</v>
      </c>
      <c r="W167" s="113"/>
      <c r="X167" s="113"/>
      <c r="Y167" s="113"/>
      <c r="Z167" s="104">
        <f t="shared" si="117"/>
        <v>0</v>
      </c>
      <c r="AA167" s="113"/>
      <c r="AB167" s="113"/>
      <c r="AC167" s="113"/>
      <c r="AD167" s="104">
        <f t="shared" si="118"/>
        <v>0</v>
      </c>
      <c r="AE167" s="117">
        <f t="shared" si="133"/>
        <v>0</v>
      </c>
      <c r="AF167" s="117">
        <f t="shared" si="134"/>
        <v>0</v>
      </c>
      <c r="AG167" s="117">
        <f t="shared" si="135"/>
        <v>0</v>
      </c>
      <c r="AH167" s="104">
        <f t="shared" si="119"/>
        <v>0</v>
      </c>
      <c r="AI167" s="117">
        <f t="shared" si="109"/>
        <v>0</v>
      </c>
      <c r="AJ167" s="117">
        <f t="shared" si="110"/>
        <v>0</v>
      </c>
      <c r="AK167" s="117">
        <f t="shared" si="111"/>
        <v>0</v>
      </c>
      <c r="AL167" s="104">
        <f t="shared" si="112"/>
        <v>0</v>
      </c>
      <c r="AM167" s="1221" t="str">
        <f t="shared" si="138"/>
        <v xml:space="preserve"> </v>
      </c>
      <c r="AN167" s="1221" t="str">
        <f t="shared" si="139"/>
        <v xml:space="preserve"> </v>
      </c>
      <c r="AO167" s="1221" t="str">
        <f t="shared" si="140"/>
        <v xml:space="preserve"> </v>
      </c>
      <c r="AP167" s="1221" t="str">
        <f t="shared" si="141"/>
        <v xml:space="preserve"> </v>
      </c>
      <c r="AQ167" s="1223" t="str">
        <f t="shared" si="153"/>
        <v xml:space="preserve"> </v>
      </c>
      <c r="AW167" s="107"/>
      <c r="BL167" s="149"/>
      <c r="BM167" s="149"/>
      <c r="BN167" s="149"/>
      <c r="BP167" s="216">
        <f t="shared" si="142"/>
        <v>0</v>
      </c>
      <c r="BQ167" s="216">
        <f t="shared" si="143"/>
        <v>0</v>
      </c>
      <c r="BR167" s="216">
        <f t="shared" si="144"/>
        <v>0</v>
      </c>
    </row>
    <row r="168" spans="1:70" ht="12.75">
      <c r="A168" s="587" t="s">
        <v>938</v>
      </c>
      <c r="B168" s="1235" t="s">
        <v>37</v>
      </c>
      <c r="C168" s="113">
        <f t="shared" ref="C168:N168" si="154">SUM(C169:C171)</f>
        <v>0</v>
      </c>
      <c r="D168" s="113">
        <f t="shared" si="154"/>
        <v>0</v>
      </c>
      <c r="E168" s="113">
        <f t="shared" si="154"/>
        <v>0</v>
      </c>
      <c r="F168" s="113">
        <f t="shared" si="154"/>
        <v>0</v>
      </c>
      <c r="G168" s="113">
        <f t="shared" si="154"/>
        <v>0</v>
      </c>
      <c r="H168" s="113">
        <f t="shared" si="154"/>
        <v>8487425.7599999998</v>
      </c>
      <c r="I168" s="113">
        <f t="shared" si="154"/>
        <v>80000</v>
      </c>
      <c r="J168" s="113">
        <f t="shared" si="154"/>
        <v>8567425.7599999998</v>
      </c>
      <c r="K168" s="113">
        <f t="shared" si="154"/>
        <v>0</v>
      </c>
      <c r="L168" s="113">
        <f t="shared" si="154"/>
        <v>6015110.5399999991</v>
      </c>
      <c r="M168" s="113">
        <f t="shared" si="154"/>
        <v>0</v>
      </c>
      <c r="N168" s="113">
        <f t="shared" si="154"/>
        <v>6015110.5399999991</v>
      </c>
      <c r="O168" s="113">
        <f t="shared" si="121"/>
        <v>0</v>
      </c>
      <c r="P168" s="113">
        <f t="shared" si="122"/>
        <v>14502536.299999999</v>
      </c>
      <c r="Q168" s="113">
        <f t="shared" si="123"/>
        <v>80000</v>
      </c>
      <c r="R168" s="104">
        <f t="shared" si="124"/>
        <v>14582536.299999999</v>
      </c>
      <c r="S168" s="113">
        <f t="shared" si="125"/>
        <v>0</v>
      </c>
      <c r="T168" s="113">
        <f t="shared" si="126"/>
        <v>14502536.299999999</v>
      </c>
      <c r="U168" s="113">
        <f t="shared" si="127"/>
        <v>80000</v>
      </c>
      <c r="V168" s="104">
        <f t="shared" si="128"/>
        <v>14582536.299999999</v>
      </c>
      <c r="W168" s="113">
        <f>SUM(W169:W171)</f>
        <v>0</v>
      </c>
      <c r="X168" s="113">
        <f>SUM(X169:X171)</f>
        <v>0</v>
      </c>
      <c r="Y168" s="113">
        <f>SUM(Y169:Y171)</f>
        <v>0</v>
      </c>
      <c r="Z168" s="104">
        <f t="shared" si="117"/>
        <v>0</v>
      </c>
      <c r="AA168" s="113">
        <f>SUM(AA169:AA171)</f>
        <v>0</v>
      </c>
      <c r="AB168" s="113">
        <f>SUM(AB169:AB171)</f>
        <v>10075374.560000001</v>
      </c>
      <c r="AC168" s="113">
        <f>SUM(AC169:AC171)</f>
        <v>0</v>
      </c>
      <c r="AD168" s="104">
        <f t="shared" si="118"/>
        <v>10075374.560000001</v>
      </c>
      <c r="AE168" s="117">
        <f t="shared" si="133"/>
        <v>0</v>
      </c>
      <c r="AF168" s="117">
        <f t="shared" si="134"/>
        <v>10075374.560000001</v>
      </c>
      <c r="AG168" s="117">
        <f t="shared" si="135"/>
        <v>0</v>
      </c>
      <c r="AH168" s="104">
        <f t="shared" si="119"/>
        <v>10075374.560000001</v>
      </c>
      <c r="AI168" s="117">
        <f t="shared" si="109"/>
        <v>0</v>
      </c>
      <c r="AJ168" s="117">
        <f t="shared" si="110"/>
        <v>4427161.7399999984</v>
      </c>
      <c r="AK168" s="117">
        <f t="shared" si="111"/>
        <v>80000</v>
      </c>
      <c r="AL168" s="104">
        <f t="shared" si="112"/>
        <v>4507161.7399999984</v>
      </c>
      <c r="AM168" s="1221" t="str">
        <f t="shared" si="138"/>
        <v xml:space="preserve"> </v>
      </c>
      <c r="AN168" s="1221">
        <f t="shared" si="139"/>
        <v>0.69473189734405294</v>
      </c>
      <c r="AO168" s="1221">
        <f t="shared" si="140"/>
        <v>0</v>
      </c>
      <c r="AP168" s="1221">
        <f t="shared" si="141"/>
        <v>0.6909205883478583</v>
      </c>
      <c r="AQ168" s="1223" t="str">
        <f t="shared" si="153"/>
        <v xml:space="preserve"> </v>
      </c>
      <c r="AW168" s="107"/>
      <c r="BL168" s="149">
        <f>SUM(BL169:BL171)</f>
        <v>0</v>
      </c>
      <c r="BM168" s="149">
        <f t="shared" ref="BM168:BN168" si="155">SUM(BM169:BM171)</f>
        <v>0</v>
      </c>
      <c r="BN168" s="149">
        <f t="shared" si="155"/>
        <v>0</v>
      </c>
      <c r="BP168" s="216">
        <f t="shared" si="142"/>
        <v>0</v>
      </c>
      <c r="BQ168" s="216">
        <f t="shared" si="143"/>
        <v>0</v>
      </c>
      <c r="BR168" s="216">
        <f t="shared" si="144"/>
        <v>0</v>
      </c>
    </row>
    <row r="169" spans="1:70" ht="36">
      <c r="A169" s="587" t="s">
        <v>938</v>
      </c>
      <c r="B169" s="1236" t="s">
        <v>584</v>
      </c>
      <c r="C169" s="113"/>
      <c r="D169" s="113"/>
      <c r="E169" s="113"/>
      <c r="F169" s="104">
        <f t="shared" si="130"/>
        <v>0</v>
      </c>
      <c r="G169" s="113">
        <f>+'CONAP (ALL FUNDS)'!F876</f>
        <v>0</v>
      </c>
      <c r="H169" s="113">
        <f>+'CONAP (ALL FUNDS)'!G876</f>
        <v>10000000</v>
      </c>
      <c r="I169" s="113">
        <f>+'CONAP (ALL FUNDS)'!H876</f>
        <v>0</v>
      </c>
      <c r="J169" s="104">
        <f t="shared" si="131"/>
        <v>10000000</v>
      </c>
      <c r="K169" s="113">
        <v>0</v>
      </c>
      <c r="L169" s="113">
        <v>3960685.78</v>
      </c>
      <c r="M169" s="113">
        <v>0</v>
      </c>
      <c r="N169" s="104">
        <f t="shared" si="132"/>
        <v>3960685.78</v>
      </c>
      <c r="O169" s="113">
        <f t="shared" si="121"/>
        <v>0</v>
      </c>
      <c r="P169" s="113">
        <f t="shared" si="122"/>
        <v>13960685.779999999</v>
      </c>
      <c r="Q169" s="113">
        <f t="shared" si="123"/>
        <v>0</v>
      </c>
      <c r="R169" s="104">
        <f t="shared" si="124"/>
        <v>13960685.779999999</v>
      </c>
      <c r="S169" s="113">
        <f t="shared" si="125"/>
        <v>0</v>
      </c>
      <c r="T169" s="113">
        <f t="shared" si="126"/>
        <v>13960685.779999999</v>
      </c>
      <c r="U169" s="113">
        <f t="shared" si="127"/>
        <v>0</v>
      </c>
      <c r="V169" s="104">
        <f t="shared" si="128"/>
        <v>13960685.779999999</v>
      </c>
      <c r="W169" s="113">
        <f>+'CONAP (ALL FUNDS)'!J874</f>
        <v>0</v>
      </c>
      <c r="X169" s="113">
        <f>+'CONAP (ALL FUNDS)'!K874</f>
        <v>0</v>
      </c>
      <c r="Y169" s="113">
        <f>+'CONAP (ALL FUNDS)'!L874</f>
        <v>0</v>
      </c>
      <c r="Z169" s="104">
        <f t="shared" si="117"/>
        <v>0</v>
      </c>
      <c r="AA169" s="113">
        <f>+'CONAP (ALL FUNDS)'!J875</f>
        <v>0</v>
      </c>
      <c r="AB169" s="113">
        <f>+'CONAP (ALL FUNDS)'!K875</f>
        <v>9739814.0899999999</v>
      </c>
      <c r="AC169" s="113">
        <f>+'CONAP (ALL FUNDS)'!L875</f>
        <v>0</v>
      </c>
      <c r="AD169" s="104">
        <f t="shared" si="118"/>
        <v>9739814.0899999999</v>
      </c>
      <c r="AE169" s="117">
        <f t="shared" si="133"/>
        <v>0</v>
      </c>
      <c r="AF169" s="117">
        <f t="shared" si="134"/>
        <v>9739814.0899999999</v>
      </c>
      <c r="AG169" s="117">
        <f t="shared" si="135"/>
        <v>0</v>
      </c>
      <c r="AH169" s="104">
        <f t="shared" si="119"/>
        <v>9739814.0899999999</v>
      </c>
      <c r="AI169" s="117">
        <f t="shared" si="109"/>
        <v>0</v>
      </c>
      <c r="AJ169" s="117">
        <f t="shared" si="110"/>
        <v>4220871.6899999995</v>
      </c>
      <c r="AK169" s="117">
        <f t="shared" si="111"/>
        <v>0</v>
      </c>
      <c r="AL169" s="104">
        <f t="shared" si="112"/>
        <v>4220871.6899999995</v>
      </c>
      <c r="AM169" s="1221" t="str">
        <f t="shared" si="138"/>
        <v xml:space="preserve"> </v>
      </c>
      <c r="AN169" s="1221">
        <f t="shared" si="139"/>
        <v>0.69766014674961052</v>
      </c>
      <c r="AO169" s="1221" t="str">
        <f t="shared" si="140"/>
        <v xml:space="preserve"> </v>
      </c>
      <c r="AP169" s="1221">
        <f t="shared" si="141"/>
        <v>0.69766014674961052</v>
      </c>
      <c r="AQ169" s="1223" t="str">
        <f t="shared" si="153"/>
        <v xml:space="preserve"> </v>
      </c>
      <c r="AW169" s="107"/>
      <c r="BH169" s="105">
        <f>+AL169-'CONAP (ALL FUNDS)'!Q878</f>
        <v>0</v>
      </c>
      <c r="BL169" s="149">
        <f>+'CONAP (ALL FUNDS)'!F874</f>
        <v>0</v>
      </c>
      <c r="BM169" s="149">
        <f>+'CONAP (ALL FUNDS)'!G874</f>
        <v>0</v>
      </c>
      <c r="BN169" s="149">
        <f>+'CONAP (ALL FUNDS)'!H874</f>
        <v>0</v>
      </c>
      <c r="BP169" s="216">
        <f t="shared" si="142"/>
        <v>0</v>
      </c>
      <c r="BQ169" s="216">
        <f t="shared" si="143"/>
        <v>0</v>
      </c>
      <c r="BR169" s="216">
        <f t="shared" si="144"/>
        <v>0</v>
      </c>
    </row>
    <row r="170" spans="1:70" ht="36">
      <c r="A170" s="587" t="s">
        <v>938</v>
      </c>
      <c r="B170" s="1236" t="s">
        <v>585</v>
      </c>
      <c r="C170" s="113"/>
      <c r="D170" s="113"/>
      <c r="E170" s="113"/>
      <c r="F170" s="104">
        <f t="shared" si="130"/>
        <v>0</v>
      </c>
      <c r="G170" s="113">
        <f>+'CONAP (ALL FUNDS)'!F887</f>
        <v>0</v>
      </c>
      <c r="H170" s="113">
        <f>+'CONAP (ALL FUNDS)'!G887</f>
        <v>-1304814.1599999999</v>
      </c>
      <c r="I170" s="113">
        <f>+'CONAP (ALL FUNDS)'!H887</f>
        <v>80000</v>
      </c>
      <c r="J170" s="104">
        <f t="shared" si="131"/>
        <v>-1224814.1599999999</v>
      </c>
      <c r="K170" s="113">
        <v>0</v>
      </c>
      <c r="L170" s="113">
        <v>1310396.92</v>
      </c>
      <c r="M170" s="113">
        <v>0</v>
      </c>
      <c r="N170" s="104">
        <f t="shared" si="132"/>
        <v>1310396.92</v>
      </c>
      <c r="O170" s="113">
        <f t="shared" si="121"/>
        <v>0</v>
      </c>
      <c r="P170" s="113">
        <f t="shared" si="122"/>
        <v>5582.7600000000093</v>
      </c>
      <c r="Q170" s="113">
        <f t="shared" si="123"/>
        <v>80000</v>
      </c>
      <c r="R170" s="104">
        <f t="shared" si="124"/>
        <v>85582.760000000009</v>
      </c>
      <c r="S170" s="113">
        <f t="shared" si="125"/>
        <v>0</v>
      </c>
      <c r="T170" s="113">
        <f t="shared" si="126"/>
        <v>5582.7600000000093</v>
      </c>
      <c r="U170" s="113">
        <f t="shared" si="127"/>
        <v>80000</v>
      </c>
      <c r="V170" s="104">
        <f t="shared" si="128"/>
        <v>85582.760000000009</v>
      </c>
      <c r="W170" s="113">
        <f>+'CONAP (ALL FUNDS)'!J885</f>
        <v>0</v>
      </c>
      <c r="X170" s="113">
        <f>+'CONAP (ALL FUNDS)'!K885</f>
        <v>0</v>
      </c>
      <c r="Y170" s="113">
        <f>+'CONAP (ALL FUNDS)'!L885</f>
        <v>0</v>
      </c>
      <c r="Z170" s="104">
        <f t="shared" si="117"/>
        <v>0</v>
      </c>
      <c r="AA170" s="113">
        <f>+'CONAP (ALL FUNDS)'!J886</f>
        <v>0</v>
      </c>
      <c r="AB170" s="113">
        <f>+'CONAP (ALL FUNDS)'!K886</f>
        <v>0</v>
      </c>
      <c r="AC170" s="113">
        <f>+'CONAP (ALL FUNDS)'!L886</f>
        <v>0</v>
      </c>
      <c r="AD170" s="104">
        <f t="shared" si="118"/>
        <v>0</v>
      </c>
      <c r="AE170" s="117">
        <f t="shared" si="133"/>
        <v>0</v>
      </c>
      <c r="AF170" s="117">
        <f t="shared" si="134"/>
        <v>0</v>
      </c>
      <c r="AG170" s="117">
        <f t="shared" si="135"/>
        <v>0</v>
      </c>
      <c r="AH170" s="104">
        <f t="shared" si="119"/>
        <v>0</v>
      </c>
      <c r="AI170" s="117">
        <f t="shared" si="109"/>
        <v>0</v>
      </c>
      <c r="AJ170" s="117">
        <f t="shared" si="110"/>
        <v>5582.7600000000093</v>
      </c>
      <c r="AK170" s="117">
        <f t="shared" si="111"/>
        <v>80000</v>
      </c>
      <c r="AL170" s="104">
        <f t="shared" si="112"/>
        <v>85582.760000000009</v>
      </c>
      <c r="AM170" s="1221" t="str">
        <f t="shared" si="138"/>
        <v xml:space="preserve"> </v>
      </c>
      <c r="AN170" s="1221">
        <f t="shared" si="139"/>
        <v>0</v>
      </c>
      <c r="AO170" s="1221">
        <f t="shared" si="140"/>
        <v>0</v>
      </c>
      <c r="AP170" s="1221">
        <f t="shared" si="141"/>
        <v>0</v>
      </c>
      <c r="AQ170" s="1223" t="str">
        <f t="shared" si="153"/>
        <v xml:space="preserve"> </v>
      </c>
      <c r="AW170" s="107"/>
      <c r="BH170" s="105">
        <f>+AL170-'CONAP (ALL FUNDS)'!Q889</f>
        <v>0</v>
      </c>
      <c r="BL170" s="149">
        <f>+'CONAP (ALL FUNDS)'!F885</f>
        <v>0</v>
      </c>
      <c r="BM170" s="149">
        <f>+'CONAP (ALL FUNDS)'!G885</f>
        <v>0</v>
      </c>
      <c r="BN170" s="149">
        <f>+'CONAP (ALL FUNDS)'!H885</f>
        <v>0</v>
      </c>
      <c r="BP170" s="216">
        <f t="shared" si="142"/>
        <v>0</v>
      </c>
      <c r="BQ170" s="216">
        <f t="shared" si="143"/>
        <v>0</v>
      </c>
      <c r="BR170" s="216">
        <f t="shared" si="144"/>
        <v>0</v>
      </c>
    </row>
    <row r="171" spans="1:70" ht="36">
      <c r="A171" s="587" t="s">
        <v>938</v>
      </c>
      <c r="B171" s="1236" t="s">
        <v>586</v>
      </c>
      <c r="C171" s="113"/>
      <c r="D171" s="104"/>
      <c r="E171" s="113"/>
      <c r="F171" s="104">
        <f t="shared" si="130"/>
        <v>0</v>
      </c>
      <c r="G171" s="113">
        <f>+'CONAP (ALL FUNDS)'!F898</f>
        <v>0</v>
      </c>
      <c r="H171" s="113">
        <f>+'CONAP (ALL FUNDS)'!G898</f>
        <v>-207760.08</v>
      </c>
      <c r="I171" s="113">
        <f>+'CONAP (ALL FUNDS)'!H898</f>
        <v>0</v>
      </c>
      <c r="J171" s="104">
        <f t="shared" si="131"/>
        <v>-207760.08</v>
      </c>
      <c r="K171" s="113">
        <v>0</v>
      </c>
      <c r="L171" s="113">
        <v>744027.84000000008</v>
      </c>
      <c r="M171" s="113">
        <v>0</v>
      </c>
      <c r="N171" s="104">
        <f t="shared" si="132"/>
        <v>744027.84000000008</v>
      </c>
      <c r="O171" s="113">
        <f t="shared" si="121"/>
        <v>0</v>
      </c>
      <c r="P171" s="113">
        <f t="shared" si="122"/>
        <v>536267.76000000013</v>
      </c>
      <c r="Q171" s="113">
        <f t="shared" si="123"/>
        <v>0</v>
      </c>
      <c r="R171" s="104">
        <f t="shared" si="124"/>
        <v>536267.76000000013</v>
      </c>
      <c r="S171" s="113">
        <f t="shared" si="125"/>
        <v>0</v>
      </c>
      <c r="T171" s="113">
        <f t="shared" si="126"/>
        <v>536267.76000000013</v>
      </c>
      <c r="U171" s="113">
        <f t="shared" si="127"/>
        <v>0</v>
      </c>
      <c r="V171" s="104">
        <f t="shared" si="128"/>
        <v>536267.76000000013</v>
      </c>
      <c r="W171" s="113">
        <f>+'CONAP (ALL FUNDS)'!J896</f>
        <v>0</v>
      </c>
      <c r="X171" s="113">
        <f>+'CONAP (ALL FUNDS)'!K896</f>
        <v>0</v>
      </c>
      <c r="Y171" s="113">
        <f>+'CONAP (ALL FUNDS)'!L896</f>
        <v>0</v>
      </c>
      <c r="Z171" s="104">
        <f t="shared" si="117"/>
        <v>0</v>
      </c>
      <c r="AA171" s="113">
        <f>+'CONAP (ALL FUNDS)'!J897</f>
        <v>0</v>
      </c>
      <c r="AB171" s="113">
        <f>+'CONAP (ALL FUNDS)'!K897</f>
        <v>335560.47</v>
      </c>
      <c r="AC171" s="113">
        <f>+'CONAP (ALL FUNDS)'!L897</f>
        <v>0</v>
      </c>
      <c r="AD171" s="104">
        <f t="shared" si="118"/>
        <v>335560.47</v>
      </c>
      <c r="AE171" s="117">
        <f t="shared" si="133"/>
        <v>0</v>
      </c>
      <c r="AF171" s="117">
        <f t="shared" si="134"/>
        <v>335560.47</v>
      </c>
      <c r="AG171" s="117">
        <f t="shared" si="135"/>
        <v>0</v>
      </c>
      <c r="AH171" s="104">
        <f t="shared" si="119"/>
        <v>335560.47</v>
      </c>
      <c r="AI171" s="117">
        <f t="shared" si="109"/>
        <v>0</v>
      </c>
      <c r="AJ171" s="117">
        <f t="shared" si="110"/>
        <v>200707.29000000015</v>
      </c>
      <c r="AK171" s="117">
        <f t="shared" si="111"/>
        <v>0</v>
      </c>
      <c r="AL171" s="104">
        <f t="shared" si="112"/>
        <v>200707.29000000015</v>
      </c>
      <c r="AM171" s="1221" t="str">
        <f t="shared" si="138"/>
        <v xml:space="preserve"> </v>
      </c>
      <c r="AN171" s="1221">
        <f t="shared" si="139"/>
        <v>0.62573306663074413</v>
      </c>
      <c r="AO171" s="1221" t="str">
        <f t="shared" si="140"/>
        <v xml:space="preserve"> </v>
      </c>
      <c r="AP171" s="1221">
        <f t="shared" si="141"/>
        <v>0.62573306663074413</v>
      </c>
      <c r="AQ171" s="1223" t="str">
        <f t="shared" si="153"/>
        <v xml:space="preserve"> </v>
      </c>
      <c r="AW171" s="107"/>
      <c r="BH171" s="105">
        <f>+AL171-'CONAP (ALL FUNDS)'!Q900</f>
        <v>0</v>
      </c>
      <c r="BL171" s="149">
        <f>+'CONAP (ALL FUNDS)'!F896</f>
        <v>0</v>
      </c>
      <c r="BM171" s="149">
        <f>+'CONAP (ALL FUNDS)'!G896</f>
        <v>0</v>
      </c>
      <c r="BN171" s="149">
        <f>+'CONAP (ALL FUNDS)'!H896</f>
        <v>0</v>
      </c>
      <c r="BP171" s="216">
        <f t="shared" si="142"/>
        <v>0</v>
      </c>
      <c r="BQ171" s="216">
        <f t="shared" si="143"/>
        <v>0</v>
      </c>
      <c r="BR171" s="216">
        <f t="shared" si="144"/>
        <v>0</v>
      </c>
    </row>
    <row r="172" spans="1:70" ht="12.75">
      <c r="B172" s="1238"/>
      <c r="C172" s="113"/>
      <c r="D172" s="113"/>
      <c r="E172" s="113"/>
      <c r="F172" s="104">
        <f t="shared" si="130"/>
        <v>0</v>
      </c>
      <c r="G172" s="113"/>
      <c r="H172" s="113"/>
      <c r="I172" s="113"/>
      <c r="J172" s="104">
        <f t="shared" si="131"/>
        <v>0</v>
      </c>
      <c r="K172" s="113"/>
      <c r="L172" s="113"/>
      <c r="M172" s="113"/>
      <c r="N172" s="104">
        <f t="shared" si="132"/>
        <v>0</v>
      </c>
      <c r="O172" s="113">
        <f t="shared" si="121"/>
        <v>0</v>
      </c>
      <c r="P172" s="113">
        <f t="shared" si="122"/>
        <v>0</v>
      </c>
      <c r="Q172" s="113">
        <f t="shared" si="123"/>
        <v>0</v>
      </c>
      <c r="R172" s="104">
        <f t="shared" si="124"/>
        <v>0</v>
      </c>
      <c r="S172" s="113">
        <f t="shared" si="125"/>
        <v>0</v>
      </c>
      <c r="T172" s="113">
        <f t="shared" si="126"/>
        <v>0</v>
      </c>
      <c r="U172" s="113">
        <f t="shared" si="127"/>
        <v>0</v>
      </c>
      <c r="V172" s="104">
        <f t="shared" si="128"/>
        <v>0</v>
      </c>
      <c r="W172" s="113"/>
      <c r="X172" s="113"/>
      <c r="Y172" s="113"/>
      <c r="Z172" s="104">
        <f t="shared" si="117"/>
        <v>0</v>
      </c>
      <c r="AA172" s="113"/>
      <c r="AB172" s="113"/>
      <c r="AC172" s="113"/>
      <c r="AD172" s="104">
        <f t="shared" si="118"/>
        <v>0</v>
      </c>
      <c r="AE172" s="117">
        <f t="shared" si="133"/>
        <v>0</v>
      </c>
      <c r="AF172" s="117">
        <f t="shared" si="134"/>
        <v>0</v>
      </c>
      <c r="AG172" s="117">
        <f t="shared" si="135"/>
        <v>0</v>
      </c>
      <c r="AH172" s="104">
        <f t="shared" si="119"/>
        <v>0</v>
      </c>
      <c r="AI172" s="117">
        <f t="shared" si="109"/>
        <v>0</v>
      </c>
      <c r="AJ172" s="117">
        <f t="shared" si="110"/>
        <v>0</v>
      </c>
      <c r="AK172" s="117">
        <f t="shared" si="111"/>
        <v>0</v>
      </c>
      <c r="AL172" s="104">
        <f t="shared" si="112"/>
        <v>0</v>
      </c>
      <c r="AM172" s="1221" t="str">
        <f t="shared" si="138"/>
        <v xml:space="preserve"> </v>
      </c>
      <c r="AN172" s="1221" t="str">
        <f t="shared" si="139"/>
        <v xml:space="preserve"> </v>
      </c>
      <c r="AO172" s="1221" t="str">
        <f t="shared" si="140"/>
        <v xml:space="preserve"> </v>
      </c>
      <c r="AP172" s="1221" t="str">
        <f t="shared" si="141"/>
        <v xml:space="preserve"> </v>
      </c>
      <c r="AQ172" s="1223" t="str">
        <f t="shared" si="153"/>
        <v xml:space="preserve"> </v>
      </c>
      <c r="AW172" s="107"/>
      <c r="BL172" s="149"/>
      <c r="BM172" s="149"/>
      <c r="BN172" s="149"/>
      <c r="BP172" s="216">
        <f t="shared" si="142"/>
        <v>0</v>
      </c>
      <c r="BQ172" s="216">
        <f t="shared" si="143"/>
        <v>0</v>
      </c>
      <c r="BR172" s="216">
        <f t="shared" si="144"/>
        <v>0</v>
      </c>
    </row>
    <row r="173" spans="1:70" ht="12.75">
      <c r="A173" s="587" t="s">
        <v>938</v>
      </c>
      <c r="B173" s="1235" t="s">
        <v>38</v>
      </c>
      <c r="C173" s="113">
        <f t="shared" ref="C173:N173" si="156">SUM(C174:C175)</f>
        <v>0</v>
      </c>
      <c r="D173" s="113">
        <f t="shared" si="156"/>
        <v>1275463.4099999999</v>
      </c>
      <c r="E173" s="113">
        <f t="shared" si="156"/>
        <v>0</v>
      </c>
      <c r="F173" s="113">
        <f t="shared" si="156"/>
        <v>1275463.4099999999</v>
      </c>
      <c r="G173" s="113">
        <f t="shared" si="156"/>
        <v>0</v>
      </c>
      <c r="H173" s="113">
        <f t="shared" si="156"/>
        <v>6213434.9900000002</v>
      </c>
      <c r="I173" s="113">
        <f t="shared" si="156"/>
        <v>0</v>
      </c>
      <c r="J173" s="113">
        <f t="shared" si="156"/>
        <v>6213434.9900000002</v>
      </c>
      <c r="K173" s="113">
        <f t="shared" si="156"/>
        <v>0</v>
      </c>
      <c r="L173" s="113">
        <f t="shared" si="156"/>
        <v>8139675.8499999996</v>
      </c>
      <c r="M173" s="113">
        <f t="shared" si="156"/>
        <v>0</v>
      </c>
      <c r="N173" s="113">
        <f t="shared" si="156"/>
        <v>8139675.8499999996</v>
      </c>
      <c r="O173" s="113">
        <f t="shared" si="121"/>
        <v>0</v>
      </c>
      <c r="P173" s="113">
        <f t="shared" si="122"/>
        <v>14353110.84</v>
      </c>
      <c r="Q173" s="113">
        <f t="shared" si="123"/>
        <v>0</v>
      </c>
      <c r="R173" s="104">
        <f t="shared" si="124"/>
        <v>14353110.84</v>
      </c>
      <c r="S173" s="113">
        <f t="shared" si="125"/>
        <v>0</v>
      </c>
      <c r="T173" s="113">
        <f t="shared" si="126"/>
        <v>15628574.25</v>
      </c>
      <c r="U173" s="113">
        <f t="shared" si="127"/>
        <v>0</v>
      </c>
      <c r="V173" s="104">
        <f t="shared" si="128"/>
        <v>15628574.25</v>
      </c>
      <c r="W173" s="113">
        <f>SUM(W174:W175)</f>
        <v>0</v>
      </c>
      <c r="X173" s="113">
        <f>SUM(X174:X175)</f>
        <v>298373.5</v>
      </c>
      <c r="Y173" s="113">
        <f>SUM(Y174:Y175)</f>
        <v>0</v>
      </c>
      <c r="Z173" s="104">
        <f t="shared" si="117"/>
        <v>298373.5</v>
      </c>
      <c r="AA173" s="113">
        <f>SUM(AA174:AA175)</f>
        <v>0</v>
      </c>
      <c r="AB173" s="113">
        <f>SUM(AB174:AB175)</f>
        <v>13223357.73</v>
      </c>
      <c r="AC173" s="113">
        <f>SUM(AC174:AC175)</f>
        <v>0</v>
      </c>
      <c r="AD173" s="104">
        <f t="shared" si="118"/>
        <v>13223357.73</v>
      </c>
      <c r="AE173" s="117">
        <f t="shared" si="133"/>
        <v>0</v>
      </c>
      <c r="AF173" s="117">
        <f t="shared" si="134"/>
        <v>13521731.23</v>
      </c>
      <c r="AG173" s="117">
        <f t="shared" si="135"/>
        <v>0</v>
      </c>
      <c r="AH173" s="104">
        <f t="shared" si="119"/>
        <v>13521731.23</v>
      </c>
      <c r="AI173" s="117">
        <f t="shared" si="109"/>
        <v>0</v>
      </c>
      <c r="AJ173" s="117">
        <f t="shared" si="110"/>
        <v>2106843.0199999996</v>
      </c>
      <c r="AK173" s="117">
        <f t="shared" si="111"/>
        <v>0</v>
      </c>
      <c r="AL173" s="104">
        <f t="shared" si="112"/>
        <v>2106843.0199999996</v>
      </c>
      <c r="AM173" s="1221" t="str">
        <f t="shared" si="138"/>
        <v xml:space="preserve"> </v>
      </c>
      <c r="AN173" s="1221">
        <f t="shared" si="139"/>
        <v>0.86519288411737238</v>
      </c>
      <c r="AO173" s="1221" t="str">
        <f t="shared" si="140"/>
        <v xml:space="preserve"> </v>
      </c>
      <c r="AP173" s="1221">
        <f t="shared" si="141"/>
        <v>0.86519288411737238</v>
      </c>
      <c r="AQ173" s="1223" t="str">
        <f t="shared" si="153"/>
        <v xml:space="preserve"> </v>
      </c>
      <c r="AW173" s="107"/>
      <c r="BL173" s="149">
        <f>SUM(BL174:BL175)</f>
        <v>0</v>
      </c>
      <c r="BM173" s="149">
        <f t="shared" ref="BM173:BN173" si="157">SUM(BM174:BM175)</f>
        <v>1275463.4099999999</v>
      </c>
      <c r="BN173" s="149">
        <f t="shared" si="157"/>
        <v>0</v>
      </c>
      <c r="BP173" s="216">
        <f t="shared" si="142"/>
        <v>0</v>
      </c>
      <c r="BQ173" s="216">
        <f t="shared" si="143"/>
        <v>0</v>
      </c>
      <c r="BR173" s="216">
        <f t="shared" si="144"/>
        <v>0</v>
      </c>
    </row>
    <row r="174" spans="1:70" ht="36">
      <c r="A174" s="587" t="s">
        <v>938</v>
      </c>
      <c r="B174" s="1236" t="s">
        <v>587</v>
      </c>
      <c r="C174" s="113"/>
      <c r="D174" s="113">
        <v>965223.62</v>
      </c>
      <c r="E174" s="113"/>
      <c r="F174" s="104">
        <f t="shared" si="130"/>
        <v>965223.62</v>
      </c>
      <c r="G174" s="113">
        <f>+'CONAP (ALL FUNDS)'!F936</f>
        <v>0</v>
      </c>
      <c r="H174" s="113">
        <f>+'CONAP (ALL FUNDS)'!G936</f>
        <v>0</v>
      </c>
      <c r="I174" s="113">
        <f>+'CONAP (ALL FUNDS)'!H936</f>
        <v>0</v>
      </c>
      <c r="J174" s="104">
        <f t="shared" si="131"/>
        <v>0</v>
      </c>
      <c r="K174" s="113"/>
      <c r="L174" s="113">
        <v>1001351.02</v>
      </c>
      <c r="M174" s="113"/>
      <c r="N174" s="104">
        <f t="shared" si="132"/>
        <v>1001351.02</v>
      </c>
      <c r="O174" s="113">
        <f t="shared" si="121"/>
        <v>0</v>
      </c>
      <c r="P174" s="113">
        <f t="shared" si="122"/>
        <v>1001351.02</v>
      </c>
      <c r="Q174" s="113">
        <f t="shared" si="123"/>
        <v>0</v>
      </c>
      <c r="R174" s="104">
        <f t="shared" si="124"/>
        <v>1001351.02</v>
      </c>
      <c r="S174" s="113">
        <f t="shared" si="125"/>
        <v>0</v>
      </c>
      <c r="T174" s="113">
        <f t="shared" si="126"/>
        <v>1966574.6400000001</v>
      </c>
      <c r="U174" s="113">
        <f t="shared" si="127"/>
        <v>0</v>
      </c>
      <c r="V174" s="104">
        <f t="shared" si="128"/>
        <v>1966574.6400000001</v>
      </c>
      <c r="W174" s="113">
        <f>+'CONAP (ALL FUNDS)'!J934</f>
        <v>0</v>
      </c>
      <c r="X174" s="113">
        <f>+'CONAP (ALL FUNDS)'!K934</f>
        <v>0</v>
      </c>
      <c r="Y174" s="113">
        <f>+'CONAP (ALL FUNDS)'!L934</f>
        <v>0</v>
      </c>
      <c r="Z174" s="104">
        <f t="shared" si="117"/>
        <v>0</v>
      </c>
      <c r="AA174" s="113">
        <f>+'CONAP (ALL FUNDS)'!J935</f>
        <v>0</v>
      </c>
      <c r="AB174" s="113">
        <f>+'CONAP (ALL FUNDS)'!K935</f>
        <v>697535.52</v>
      </c>
      <c r="AC174" s="113">
        <f>+'CONAP (ALL FUNDS)'!L935</f>
        <v>0</v>
      </c>
      <c r="AD174" s="104">
        <f t="shared" si="118"/>
        <v>697535.52</v>
      </c>
      <c r="AE174" s="117">
        <f t="shared" si="133"/>
        <v>0</v>
      </c>
      <c r="AF174" s="117">
        <f t="shared" si="134"/>
        <v>697535.52</v>
      </c>
      <c r="AG174" s="117">
        <f t="shared" si="135"/>
        <v>0</v>
      </c>
      <c r="AH174" s="104">
        <f t="shared" si="119"/>
        <v>697535.52</v>
      </c>
      <c r="AI174" s="117">
        <f t="shared" si="109"/>
        <v>0</v>
      </c>
      <c r="AJ174" s="117">
        <f t="shared" si="110"/>
        <v>1269039.1200000001</v>
      </c>
      <c r="AK174" s="117">
        <f t="shared" si="111"/>
        <v>0</v>
      </c>
      <c r="AL174" s="104">
        <f t="shared" si="112"/>
        <v>1269039.1200000001</v>
      </c>
      <c r="AM174" s="1221" t="str">
        <f t="shared" si="138"/>
        <v xml:space="preserve"> </v>
      </c>
      <c r="AN174" s="1221">
        <f t="shared" si="139"/>
        <v>0.35469567531899016</v>
      </c>
      <c r="AO174" s="1221" t="str">
        <f t="shared" si="140"/>
        <v xml:space="preserve"> </v>
      </c>
      <c r="AP174" s="1221">
        <f t="shared" si="141"/>
        <v>0.35469567531899016</v>
      </c>
      <c r="AQ174" s="1223" t="str">
        <f t="shared" si="153"/>
        <v xml:space="preserve"> </v>
      </c>
      <c r="AW174" s="107"/>
      <c r="BH174" s="105">
        <f>+AL174-'CONAP (ALL FUNDS)'!Q938</f>
        <v>0</v>
      </c>
      <c r="BL174" s="149">
        <f>+'CONAP (ALL FUNDS)'!F934</f>
        <v>0</v>
      </c>
      <c r="BM174" s="149">
        <f>+'CONAP (ALL FUNDS)'!G934</f>
        <v>965223.62</v>
      </c>
      <c r="BN174" s="149">
        <f>+'CONAP (ALL FUNDS)'!H934</f>
        <v>0</v>
      </c>
      <c r="BP174" s="216">
        <f t="shared" si="142"/>
        <v>0</v>
      </c>
      <c r="BQ174" s="216">
        <f t="shared" si="143"/>
        <v>0</v>
      </c>
      <c r="BR174" s="216">
        <f t="shared" si="144"/>
        <v>0</v>
      </c>
    </row>
    <row r="175" spans="1:70" ht="36">
      <c r="A175" s="587" t="s">
        <v>938</v>
      </c>
      <c r="B175" s="1236" t="s">
        <v>588</v>
      </c>
      <c r="C175" s="113"/>
      <c r="D175" s="113">
        <v>310239.78999999998</v>
      </c>
      <c r="E175" s="113"/>
      <c r="F175" s="104">
        <f t="shared" si="130"/>
        <v>310239.78999999998</v>
      </c>
      <c r="G175" s="113">
        <f>+'CONAP (ALL FUNDS)'!F947</f>
        <v>0</v>
      </c>
      <c r="H175" s="113">
        <f>+'CONAP (ALL FUNDS)'!G947</f>
        <v>6213434.9900000002</v>
      </c>
      <c r="I175" s="113">
        <f>+'CONAP (ALL FUNDS)'!H947</f>
        <v>0</v>
      </c>
      <c r="J175" s="104">
        <f t="shared" si="131"/>
        <v>6213434.9900000002</v>
      </c>
      <c r="K175" s="113">
        <v>0</v>
      </c>
      <c r="L175" s="113">
        <v>7138324.8300000001</v>
      </c>
      <c r="M175" s="113">
        <v>0</v>
      </c>
      <c r="N175" s="104">
        <f t="shared" si="132"/>
        <v>7138324.8300000001</v>
      </c>
      <c r="O175" s="113">
        <f t="shared" si="121"/>
        <v>0</v>
      </c>
      <c r="P175" s="113">
        <f t="shared" si="122"/>
        <v>13351759.82</v>
      </c>
      <c r="Q175" s="113">
        <f t="shared" si="123"/>
        <v>0</v>
      </c>
      <c r="R175" s="104">
        <f t="shared" si="124"/>
        <v>13351759.82</v>
      </c>
      <c r="S175" s="113">
        <f t="shared" si="125"/>
        <v>0</v>
      </c>
      <c r="T175" s="113">
        <f t="shared" si="126"/>
        <v>13661999.609999999</v>
      </c>
      <c r="U175" s="113">
        <f t="shared" si="127"/>
        <v>0</v>
      </c>
      <c r="V175" s="104">
        <f t="shared" si="128"/>
        <v>13661999.609999999</v>
      </c>
      <c r="W175" s="113">
        <f>+'CONAP (ALL FUNDS)'!J945</f>
        <v>0</v>
      </c>
      <c r="X175" s="113">
        <f>+'CONAP (ALL FUNDS)'!K945</f>
        <v>298373.5</v>
      </c>
      <c r="Y175" s="113">
        <f>+'CONAP (ALL FUNDS)'!L945</f>
        <v>0</v>
      </c>
      <c r="Z175" s="104">
        <f t="shared" si="117"/>
        <v>298373.5</v>
      </c>
      <c r="AA175" s="113">
        <f>+'CONAP (ALL FUNDS)'!J946</f>
        <v>0</v>
      </c>
      <c r="AB175" s="113">
        <f>+'CONAP (ALL FUNDS)'!K946</f>
        <v>12525822.210000001</v>
      </c>
      <c r="AC175" s="113">
        <f>+'CONAP (ALL FUNDS)'!L946</f>
        <v>0</v>
      </c>
      <c r="AD175" s="104">
        <f t="shared" si="118"/>
        <v>12525822.210000001</v>
      </c>
      <c r="AE175" s="117">
        <f t="shared" si="133"/>
        <v>0</v>
      </c>
      <c r="AF175" s="117">
        <f t="shared" si="134"/>
        <v>12824195.710000001</v>
      </c>
      <c r="AG175" s="117">
        <f t="shared" si="135"/>
        <v>0</v>
      </c>
      <c r="AH175" s="104">
        <f t="shared" si="119"/>
        <v>12824195.710000001</v>
      </c>
      <c r="AI175" s="117">
        <f t="shared" si="109"/>
        <v>0</v>
      </c>
      <c r="AJ175" s="117">
        <f t="shared" si="110"/>
        <v>837803.89999999851</v>
      </c>
      <c r="AK175" s="117">
        <f t="shared" si="111"/>
        <v>0</v>
      </c>
      <c r="AL175" s="104">
        <f t="shared" si="112"/>
        <v>837803.89999999851</v>
      </c>
      <c r="AM175" s="1221" t="str">
        <f t="shared" si="138"/>
        <v xml:space="preserve"> </v>
      </c>
      <c r="AN175" s="1221">
        <f t="shared" si="139"/>
        <v>0.93867633407142237</v>
      </c>
      <c r="AO175" s="1221" t="str">
        <f t="shared" si="140"/>
        <v xml:space="preserve"> </v>
      </c>
      <c r="AP175" s="1221">
        <f t="shared" si="141"/>
        <v>0.93867633407142237</v>
      </c>
      <c r="AQ175" s="1223" t="str">
        <f t="shared" si="153"/>
        <v xml:space="preserve"> </v>
      </c>
      <c r="AT175" s="148"/>
      <c r="AW175" s="107"/>
      <c r="BH175" s="105">
        <f>+AL175-'CONAP (ALL FUNDS)'!Q949</f>
        <v>-9.3132257461547852E-10</v>
      </c>
      <c r="BL175" s="149">
        <f>+'CONAP (ALL FUNDS)'!F945</f>
        <v>0</v>
      </c>
      <c r="BM175" s="149">
        <f>+'CONAP (ALL FUNDS)'!G945</f>
        <v>310239.78999999998</v>
      </c>
      <c r="BN175" s="149">
        <f>+'CONAP (ALL FUNDS)'!H945</f>
        <v>0</v>
      </c>
      <c r="BP175" s="216">
        <f t="shared" si="142"/>
        <v>0</v>
      </c>
      <c r="BQ175" s="216">
        <f t="shared" si="143"/>
        <v>0</v>
      </c>
      <c r="BR175" s="216">
        <f t="shared" si="144"/>
        <v>0</v>
      </c>
    </row>
    <row r="176" spans="1:70" ht="12.75">
      <c r="B176" s="1238"/>
      <c r="C176" s="113"/>
      <c r="D176" s="113"/>
      <c r="E176" s="113"/>
      <c r="F176" s="104">
        <f t="shared" si="130"/>
        <v>0</v>
      </c>
      <c r="G176" s="113"/>
      <c r="H176" s="113"/>
      <c r="I176" s="113"/>
      <c r="J176" s="104">
        <f t="shared" si="131"/>
        <v>0</v>
      </c>
      <c r="K176" s="113"/>
      <c r="L176" s="113"/>
      <c r="M176" s="113"/>
      <c r="N176" s="104">
        <f t="shared" si="132"/>
        <v>0</v>
      </c>
      <c r="O176" s="113">
        <f t="shared" si="121"/>
        <v>0</v>
      </c>
      <c r="P176" s="113">
        <f t="shared" si="122"/>
        <v>0</v>
      </c>
      <c r="Q176" s="113">
        <f t="shared" si="123"/>
        <v>0</v>
      </c>
      <c r="R176" s="104">
        <f t="shared" si="124"/>
        <v>0</v>
      </c>
      <c r="S176" s="113">
        <f t="shared" si="125"/>
        <v>0</v>
      </c>
      <c r="T176" s="113">
        <f t="shared" si="126"/>
        <v>0</v>
      </c>
      <c r="U176" s="113">
        <f t="shared" si="127"/>
        <v>0</v>
      </c>
      <c r="V176" s="104">
        <f t="shared" si="128"/>
        <v>0</v>
      </c>
      <c r="W176" s="113"/>
      <c r="X176" s="113"/>
      <c r="Y176" s="113"/>
      <c r="Z176" s="104">
        <f t="shared" si="117"/>
        <v>0</v>
      </c>
      <c r="AA176" s="113"/>
      <c r="AB176" s="113"/>
      <c r="AC176" s="113"/>
      <c r="AD176" s="104">
        <f t="shared" si="118"/>
        <v>0</v>
      </c>
      <c r="AE176" s="117">
        <f t="shared" si="133"/>
        <v>0</v>
      </c>
      <c r="AF176" s="117">
        <f t="shared" si="134"/>
        <v>0</v>
      </c>
      <c r="AG176" s="117">
        <f t="shared" si="135"/>
        <v>0</v>
      </c>
      <c r="AH176" s="104">
        <f t="shared" si="119"/>
        <v>0</v>
      </c>
      <c r="AI176" s="117">
        <f t="shared" si="109"/>
        <v>0</v>
      </c>
      <c r="AJ176" s="117">
        <f t="shared" si="110"/>
        <v>0</v>
      </c>
      <c r="AK176" s="117">
        <f t="shared" si="111"/>
        <v>0</v>
      </c>
      <c r="AL176" s="104">
        <f t="shared" si="112"/>
        <v>0</v>
      </c>
      <c r="AM176" s="1221" t="str">
        <f t="shared" si="138"/>
        <v xml:space="preserve"> </v>
      </c>
      <c r="AN176" s="1221" t="str">
        <f t="shared" si="139"/>
        <v xml:space="preserve"> </v>
      </c>
      <c r="AO176" s="1221" t="str">
        <f t="shared" si="140"/>
        <v xml:space="preserve"> </v>
      </c>
      <c r="AP176" s="1221" t="str">
        <f t="shared" si="141"/>
        <v xml:space="preserve"> </v>
      </c>
      <c r="AQ176" s="1223" t="str">
        <f t="shared" si="153"/>
        <v xml:space="preserve"> </v>
      </c>
      <c r="AW176" s="107"/>
      <c r="BL176" s="149"/>
      <c r="BM176" s="149"/>
      <c r="BN176" s="149"/>
      <c r="BP176" s="216">
        <f t="shared" si="142"/>
        <v>0</v>
      </c>
      <c r="BQ176" s="216">
        <f t="shared" si="143"/>
        <v>0</v>
      </c>
      <c r="BR176" s="216">
        <f t="shared" si="144"/>
        <v>0</v>
      </c>
    </row>
    <row r="177" spans="1:70" ht="12.75">
      <c r="A177" s="587" t="s">
        <v>938</v>
      </c>
      <c r="B177" s="1235" t="s">
        <v>39</v>
      </c>
      <c r="C177" s="113">
        <f t="shared" ref="C177:N177" si="158">SUM(C178:C179)</f>
        <v>0</v>
      </c>
      <c r="D177" s="113">
        <f t="shared" si="158"/>
        <v>776049.79</v>
      </c>
      <c r="E177" s="113">
        <f t="shared" si="158"/>
        <v>0</v>
      </c>
      <c r="F177" s="113">
        <f t="shared" si="158"/>
        <v>776049.79</v>
      </c>
      <c r="G177" s="113">
        <f t="shared" si="158"/>
        <v>0</v>
      </c>
      <c r="H177" s="113">
        <f t="shared" si="158"/>
        <v>456594.44</v>
      </c>
      <c r="I177" s="113">
        <f t="shared" si="158"/>
        <v>0</v>
      </c>
      <c r="J177" s="113">
        <f t="shared" si="158"/>
        <v>456594.44</v>
      </c>
      <c r="K177" s="113">
        <f t="shared" si="158"/>
        <v>0</v>
      </c>
      <c r="L177" s="113">
        <f t="shared" si="158"/>
        <v>43405.56</v>
      </c>
      <c r="M177" s="113">
        <f t="shared" si="158"/>
        <v>0</v>
      </c>
      <c r="N177" s="113">
        <f t="shared" si="158"/>
        <v>43405.56</v>
      </c>
      <c r="O177" s="113">
        <f t="shared" si="121"/>
        <v>0</v>
      </c>
      <c r="P177" s="113">
        <f t="shared" si="122"/>
        <v>500000</v>
      </c>
      <c r="Q177" s="113">
        <f t="shared" si="123"/>
        <v>0</v>
      </c>
      <c r="R177" s="104">
        <f t="shared" si="124"/>
        <v>500000</v>
      </c>
      <c r="S177" s="113">
        <f t="shared" si="125"/>
        <v>0</v>
      </c>
      <c r="T177" s="113">
        <f t="shared" si="126"/>
        <v>1276049.79</v>
      </c>
      <c r="U177" s="113">
        <f t="shared" si="127"/>
        <v>0</v>
      </c>
      <c r="V177" s="104">
        <f t="shared" si="128"/>
        <v>1276049.79</v>
      </c>
      <c r="W177" s="113">
        <f>SUM(W178:W179)</f>
        <v>0</v>
      </c>
      <c r="X177" s="113">
        <f>SUM(X178:X179)</f>
        <v>725920.24</v>
      </c>
      <c r="Y177" s="113">
        <f>SUM(Y178:Y179)</f>
        <v>0</v>
      </c>
      <c r="Z177" s="104">
        <f t="shared" si="117"/>
        <v>725920.24</v>
      </c>
      <c r="AA177" s="113">
        <f>SUM(AA178:AA179)</f>
        <v>0</v>
      </c>
      <c r="AB177" s="113">
        <f>SUM(AB178:AB179)</f>
        <v>500000</v>
      </c>
      <c r="AC177" s="113">
        <f>SUM(AC178:AC179)</f>
        <v>0</v>
      </c>
      <c r="AD177" s="104">
        <f t="shared" si="118"/>
        <v>500000</v>
      </c>
      <c r="AE177" s="117">
        <f t="shared" si="133"/>
        <v>0</v>
      </c>
      <c r="AF177" s="117">
        <f t="shared" si="134"/>
        <v>1225920.24</v>
      </c>
      <c r="AG177" s="117">
        <f t="shared" si="135"/>
        <v>0</v>
      </c>
      <c r="AH177" s="104">
        <f t="shared" si="119"/>
        <v>1225920.24</v>
      </c>
      <c r="AI177" s="117">
        <f t="shared" si="109"/>
        <v>0</v>
      </c>
      <c r="AJ177" s="117">
        <f t="shared" si="110"/>
        <v>50129.550000000047</v>
      </c>
      <c r="AK177" s="117">
        <f t="shared" si="111"/>
        <v>0</v>
      </c>
      <c r="AL177" s="104">
        <f t="shared" si="112"/>
        <v>50129.550000000047</v>
      </c>
      <c r="AM177" s="1221" t="str">
        <f t="shared" si="138"/>
        <v xml:space="preserve"> </v>
      </c>
      <c r="AN177" s="1221">
        <f t="shared" si="139"/>
        <v>0.96071505172223726</v>
      </c>
      <c r="AO177" s="1221" t="str">
        <f t="shared" si="140"/>
        <v xml:space="preserve"> </v>
      </c>
      <c r="AP177" s="1221">
        <f t="shared" si="141"/>
        <v>0.96071505172223726</v>
      </c>
      <c r="AQ177" s="1223" t="str">
        <f t="shared" si="153"/>
        <v xml:space="preserve"> </v>
      </c>
      <c r="AT177" s="148"/>
      <c r="AW177" s="107"/>
      <c r="BL177" s="149">
        <f>SUM(BL178:BL179)</f>
        <v>0</v>
      </c>
      <c r="BM177" s="149">
        <f t="shared" ref="BM177:BN177" si="159">SUM(BM178:BM179)</f>
        <v>776049.79</v>
      </c>
      <c r="BN177" s="149">
        <f t="shared" si="159"/>
        <v>0</v>
      </c>
      <c r="BP177" s="216">
        <f t="shared" si="142"/>
        <v>0</v>
      </c>
      <c r="BQ177" s="216">
        <f t="shared" si="143"/>
        <v>0</v>
      </c>
      <c r="BR177" s="216">
        <f t="shared" si="144"/>
        <v>0</v>
      </c>
    </row>
    <row r="178" spans="1:70" ht="36">
      <c r="A178" s="587" t="s">
        <v>938</v>
      </c>
      <c r="B178" s="1236" t="s">
        <v>589</v>
      </c>
      <c r="C178" s="113"/>
      <c r="D178" s="113">
        <v>738534.55</v>
      </c>
      <c r="E178" s="113"/>
      <c r="F178" s="104">
        <f t="shared" ref="F178:F240" si="160">SUM(C178:E178)</f>
        <v>738534.55</v>
      </c>
      <c r="G178" s="113">
        <f>+'CONAP (ALL FUNDS)'!F985</f>
        <v>0</v>
      </c>
      <c r="H178" s="113">
        <f>+'CONAP (ALL FUNDS)'!G985</f>
        <v>481100</v>
      </c>
      <c r="I178" s="113">
        <f>+'CONAP (ALL FUNDS)'!H985</f>
        <v>0</v>
      </c>
      <c r="J178" s="104">
        <f t="shared" ref="J178:J241" si="161">SUM(G178:I178)</f>
        <v>481100</v>
      </c>
      <c r="K178" s="113"/>
      <c r="L178" s="113">
        <v>18900</v>
      </c>
      <c r="M178" s="113"/>
      <c r="N178" s="104">
        <f t="shared" ref="N178:N241" si="162">SUM(K178:M178)</f>
        <v>18900</v>
      </c>
      <c r="O178" s="113">
        <f t="shared" si="121"/>
        <v>0</v>
      </c>
      <c r="P178" s="113">
        <f t="shared" si="122"/>
        <v>500000</v>
      </c>
      <c r="Q178" s="113">
        <f t="shared" si="123"/>
        <v>0</v>
      </c>
      <c r="R178" s="104">
        <f t="shared" si="124"/>
        <v>500000</v>
      </c>
      <c r="S178" s="113">
        <f t="shared" si="125"/>
        <v>0</v>
      </c>
      <c r="T178" s="113">
        <f t="shared" si="126"/>
        <v>1238534.55</v>
      </c>
      <c r="U178" s="113">
        <f t="shared" si="127"/>
        <v>0</v>
      </c>
      <c r="V178" s="104">
        <f t="shared" si="128"/>
        <v>1238534.55</v>
      </c>
      <c r="W178" s="113">
        <f>+'CONAP (ALL FUNDS)'!J983</f>
        <v>0</v>
      </c>
      <c r="X178" s="113">
        <f>+'CONAP (ALL FUNDS)'!K983</f>
        <v>688405</v>
      </c>
      <c r="Y178" s="113">
        <f>+'CONAP (ALL FUNDS)'!L983</f>
        <v>0</v>
      </c>
      <c r="Z178" s="104">
        <f t="shared" si="117"/>
        <v>688405</v>
      </c>
      <c r="AA178" s="113">
        <f>+'CONAP (ALL FUNDS)'!J984</f>
        <v>0</v>
      </c>
      <c r="AB178" s="113">
        <f>+'CONAP (ALL FUNDS)'!K984</f>
        <v>500000</v>
      </c>
      <c r="AC178" s="113">
        <f>+'CONAP (ALL FUNDS)'!L984</f>
        <v>0</v>
      </c>
      <c r="AD178" s="104">
        <f t="shared" si="118"/>
        <v>500000</v>
      </c>
      <c r="AE178" s="117">
        <f t="shared" si="133"/>
        <v>0</v>
      </c>
      <c r="AF178" s="117">
        <f t="shared" si="134"/>
        <v>1188405</v>
      </c>
      <c r="AG178" s="117">
        <f t="shared" si="135"/>
        <v>0</v>
      </c>
      <c r="AH178" s="104">
        <f t="shared" si="119"/>
        <v>1188405</v>
      </c>
      <c r="AI178" s="117">
        <f t="shared" si="109"/>
        <v>0</v>
      </c>
      <c r="AJ178" s="117">
        <f t="shared" si="110"/>
        <v>50129.550000000047</v>
      </c>
      <c r="AK178" s="117">
        <f t="shared" si="111"/>
        <v>0</v>
      </c>
      <c r="AL178" s="104">
        <f t="shared" si="112"/>
        <v>50129.550000000047</v>
      </c>
      <c r="AM178" s="1221" t="str">
        <f t="shared" si="138"/>
        <v xml:space="preserve"> </v>
      </c>
      <c r="AN178" s="1221">
        <f t="shared" si="139"/>
        <v>0.95952510973553373</v>
      </c>
      <c r="AO178" s="1221" t="str">
        <f t="shared" si="140"/>
        <v xml:space="preserve"> </v>
      </c>
      <c r="AP178" s="1221">
        <f t="shared" si="141"/>
        <v>0.95952510973553373</v>
      </c>
      <c r="AQ178" s="1223" t="str">
        <f t="shared" si="153"/>
        <v xml:space="preserve"> </v>
      </c>
      <c r="AW178" s="107"/>
      <c r="BH178" s="105">
        <f>+AL178-'CONAP (ALL FUNDS)'!Q987</f>
        <v>0</v>
      </c>
      <c r="BL178" s="149">
        <f>+'CONAP (ALL FUNDS)'!F983</f>
        <v>0</v>
      </c>
      <c r="BM178" s="149">
        <f>+'CONAP (ALL FUNDS)'!G983</f>
        <v>738534.55</v>
      </c>
      <c r="BN178" s="149">
        <f>+'CONAP (ALL FUNDS)'!H983</f>
        <v>0</v>
      </c>
      <c r="BP178" s="216">
        <f t="shared" si="142"/>
        <v>0</v>
      </c>
      <c r="BQ178" s="216">
        <f t="shared" si="143"/>
        <v>0</v>
      </c>
      <c r="BR178" s="216">
        <f t="shared" si="144"/>
        <v>0</v>
      </c>
    </row>
    <row r="179" spans="1:70" ht="36">
      <c r="A179" s="587" t="s">
        <v>938</v>
      </c>
      <c r="B179" s="1237" t="s">
        <v>590</v>
      </c>
      <c r="C179" s="113">
        <v>0</v>
      </c>
      <c r="D179" s="113">
        <v>37515.24</v>
      </c>
      <c r="E179" s="113"/>
      <c r="F179" s="104">
        <f t="shared" si="160"/>
        <v>37515.24</v>
      </c>
      <c r="G179" s="113">
        <f>+'CONAP (ALL FUNDS)'!F996</f>
        <v>0</v>
      </c>
      <c r="H179" s="113">
        <f>+'CONAP (ALL FUNDS)'!G996</f>
        <v>-24505.56</v>
      </c>
      <c r="I179" s="113">
        <f>+'CONAP (ALL FUNDS)'!H996</f>
        <v>0</v>
      </c>
      <c r="J179" s="104">
        <f t="shared" si="161"/>
        <v>-24505.56</v>
      </c>
      <c r="K179" s="113"/>
      <c r="L179" s="113">
        <v>24505.56</v>
      </c>
      <c r="M179" s="113"/>
      <c r="N179" s="104">
        <f t="shared" si="162"/>
        <v>24505.56</v>
      </c>
      <c r="O179" s="113">
        <f t="shared" si="121"/>
        <v>0</v>
      </c>
      <c r="P179" s="113">
        <f t="shared" si="122"/>
        <v>0</v>
      </c>
      <c r="Q179" s="113">
        <f t="shared" si="123"/>
        <v>0</v>
      </c>
      <c r="R179" s="104">
        <f t="shared" si="124"/>
        <v>0</v>
      </c>
      <c r="S179" s="113">
        <f t="shared" si="125"/>
        <v>0</v>
      </c>
      <c r="T179" s="113">
        <f t="shared" si="126"/>
        <v>37515.24</v>
      </c>
      <c r="U179" s="113">
        <f t="shared" si="127"/>
        <v>0</v>
      </c>
      <c r="V179" s="104">
        <f t="shared" si="128"/>
        <v>37515.24</v>
      </c>
      <c r="W179" s="113">
        <f>+'CONAP (ALL FUNDS)'!J994</f>
        <v>0</v>
      </c>
      <c r="X179" s="113">
        <f>+'CONAP (ALL FUNDS)'!K994</f>
        <v>37515.24</v>
      </c>
      <c r="Y179" s="113">
        <f>+'CONAP (ALL FUNDS)'!L994</f>
        <v>0</v>
      </c>
      <c r="Z179" s="104">
        <f t="shared" si="117"/>
        <v>37515.24</v>
      </c>
      <c r="AA179" s="113">
        <f>+'CONAP (ALL FUNDS)'!J995</f>
        <v>0</v>
      </c>
      <c r="AB179" s="113">
        <f>+'CONAP (ALL FUNDS)'!K995</f>
        <v>0</v>
      </c>
      <c r="AC179" s="113">
        <f>+'CONAP (ALL FUNDS)'!L995</f>
        <v>0</v>
      </c>
      <c r="AD179" s="104">
        <f t="shared" si="118"/>
        <v>0</v>
      </c>
      <c r="AE179" s="117">
        <f t="shared" si="133"/>
        <v>0</v>
      </c>
      <c r="AF179" s="117">
        <f t="shared" si="134"/>
        <v>37515.24</v>
      </c>
      <c r="AG179" s="117">
        <f t="shared" si="135"/>
        <v>0</v>
      </c>
      <c r="AH179" s="104">
        <f t="shared" si="119"/>
        <v>37515.24</v>
      </c>
      <c r="AI179" s="117">
        <f t="shared" si="109"/>
        <v>0</v>
      </c>
      <c r="AJ179" s="117">
        <f t="shared" si="110"/>
        <v>0</v>
      </c>
      <c r="AK179" s="117">
        <f t="shared" si="111"/>
        <v>0</v>
      </c>
      <c r="AL179" s="104">
        <f t="shared" si="112"/>
        <v>0</v>
      </c>
      <c r="AM179" s="1221" t="str">
        <f t="shared" si="138"/>
        <v xml:space="preserve"> </v>
      </c>
      <c r="AN179" s="1221">
        <f t="shared" si="139"/>
        <v>1</v>
      </c>
      <c r="AO179" s="1221" t="str">
        <f t="shared" si="140"/>
        <v xml:space="preserve"> </v>
      </c>
      <c r="AP179" s="1221">
        <f t="shared" si="141"/>
        <v>1</v>
      </c>
      <c r="AQ179" s="1223" t="str">
        <f t="shared" si="153"/>
        <v xml:space="preserve"> </v>
      </c>
      <c r="AW179" s="107"/>
      <c r="BH179" s="105">
        <f>+AL179-'CONAP (ALL FUNDS)'!Q998</f>
        <v>0</v>
      </c>
      <c r="BL179" s="149">
        <f>+'CONAP (ALL FUNDS)'!F994</f>
        <v>0</v>
      </c>
      <c r="BM179" s="149">
        <f>+'CONAP (ALL FUNDS)'!G994</f>
        <v>37515.24</v>
      </c>
      <c r="BN179" s="149">
        <f>+'CONAP (ALL FUNDS)'!H994</f>
        <v>0</v>
      </c>
      <c r="BP179" s="216">
        <f t="shared" si="142"/>
        <v>0</v>
      </c>
      <c r="BQ179" s="216">
        <f t="shared" si="143"/>
        <v>0</v>
      </c>
      <c r="BR179" s="216">
        <f t="shared" si="144"/>
        <v>0</v>
      </c>
    </row>
    <row r="180" spans="1:70" ht="12.75">
      <c r="B180" s="1238"/>
      <c r="C180" s="113"/>
      <c r="D180" s="113"/>
      <c r="E180" s="113"/>
      <c r="F180" s="104">
        <f t="shared" si="160"/>
        <v>0</v>
      </c>
      <c r="G180" s="113"/>
      <c r="H180" s="113"/>
      <c r="I180" s="113"/>
      <c r="J180" s="104">
        <f t="shared" si="161"/>
        <v>0</v>
      </c>
      <c r="K180" s="113"/>
      <c r="L180" s="113"/>
      <c r="M180" s="113"/>
      <c r="N180" s="104">
        <f t="shared" si="162"/>
        <v>0</v>
      </c>
      <c r="O180" s="113">
        <f t="shared" si="121"/>
        <v>0</v>
      </c>
      <c r="P180" s="113">
        <f t="shared" si="122"/>
        <v>0</v>
      </c>
      <c r="Q180" s="113">
        <f t="shared" si="123"/>
        <v>0</v>
      </c>
      <c r="R180" s="104">
        <f t="shared" si="124"/>
        <v>0</v>
      </c>
      <c r="S180" s="113">
        <f t="shared" si="125"/>
        <v>0</v>
      </c>
      <c r="T180" s="113">
        <f t="shared" si="126"/>
        <v>0</v>
      </c>
      <c r="U180" s="113">
        <f t="shared" si="127"/>
        <v>0</v>
      </c>
      <c r="V180" s="104">
        <f t="shared" si="128"/>
        <v>0</v>
      </c>
      <c r="W180" s="113"/>
      <c r="X180" s="113"/>
      <c r="Y180" s="113"/>
      <c r="Z180" s="104">
        <f t="shared" si="117"/>
        <v>0</v>
      </c>
      <c r="AA180" s="113"/>
      <c r="AB180" s="113"/>
      <c r="AC180" s="113"/>
      <c r="AD180" s="104">
        <f t="shared" si="118"/>
        <v>0</v>
      </c>
      <c r="AE180" s="117">
        <f t="shared" si="133"/>
        <v>0</v>
      </c>
      <c r="AF180" s="117">
        <f t="shared" si="134"/>
        <v>0</v>
      </c>
      <c r="AG180" s="117">
        <f t="shared" si="135"/>
        <v>0</v>
      </c>
      <c r="AH180" s="104">
        <f t="shared" si="119"/>
        <v>0</v>
      </c>
      <c r="AI180" s="117">
        <f t="shared" ref="AI180:AI243" si="163">+S180-AE180</f>
        <v>0</v>
      </c>
      <c r="AJ180" s="117">
        <f t="shared" ref="AJ180:AJ243" si="164">+T180-AF180</f>
        <v>0</v>
      </c>
      <c r="AK180" s="117">
        <f t="shared" ref="AK180:AK243" si="165">+U180-AG180</f>
        <v>0</v>
      </c>
      <c r="AL180" s="104">
        <f t="shared" ref="AL180:AL243" si="166">SUM(AI180:AK180)</f>
        <v>0</v>
      </c>
      <c r="AM180" s="1221" t="str">
        <f t="shared" si="138"/>
        <v xml:space="preserve"> </v>
      </c>
      <c r="AN180" s="1221" t="str">
        <f t="shared" si="139"/>
        <v xml:space="preserve"> </v>
      </c>
      <c r="AO180" s="1221" t="str">
        <f t="shared" si="140"/>
        <v xml:space="preserve"> </v>
      </c>
      <c r="AP180" s="1221" t="str">
        <f t="shared" si="141"/>
        <v xml:space="preserve"> </v>
      </c>
      <c r="AQ180" s="1223" t="str">
        <f t="shared" si="153"/>
        <v xml:space="preserve"> </v>
      </c>
      <c r="AW180" s="107"/>
      <c r="BL180" s="149"/>
      <c r="BM180" s="149"/>
      <c r="BN180" s="149"/>
      <c r="BP180" s="216">
        <f t="shared" si="142"/>
        <v>0</v>
      </c>
      <c r="BQ180" s="216">
        <f t="shared" si="143"/>
        <v>0</v>
      </c>
      <c r="BR180" s="216">
        <f t="shared" si="144"/>
        <v>0</v>
      </c>
    </row>
    <row r="181" spans="1:70" ht="12.75">
      <c r="A181" s="587" t="s">
        <v>938</v>
      </c>
      <c r="B181" s="1235" t="s">
        <v>40</v>
      </c>
      <c r="C181" s="113">
        <f t="shared" ref="C181:N181" si="167">SUM(C182:C183)</f>
        <v>0</v>
      </c>
      <c r="D181" s="113">
        <f t="shared" si="167"/>
        <v>578118.77</v>
      </c>
      <c r="E181" s="113">
        <f t="shared" si="167"/>
        <v>0</v>
      </c>
      <c r="F181" s="113">
        <f t="shared" si="167"/>
        <v>578118.77</v>
      </c>
      <c r="G181" s="113">
        <f t="shared" si="167"/>
        <v>0</v>
      </c>
      <c r="H181" s="113">
        <f t="shared" si="167"/>
        <v>-381263.77</v>
      </c>
      <c r="I181" s="113">
        <f t="shared" si="167"/>
        <v>0</v>
      </c>
      <c r="J181" s="113">
        <f t="shared" si="167"/>
        <v>-381263.77</v>
      </c>
      <c r="K181" s="113">
        <f t="shared" si="167"/>
        <v>0</v>
      </c>
      <c r="L181" s="113">
        <f t="shared" si="167"/>
        <v>5224207.9700000007</v>
      </c>
      <c r="M181" s="113">
        <f t="shared" si="167"/>
        <v>0</v>
      </c>
      <c r="N181" s="113">
        <f t="shared" si="167"/>
        <v>5224207.9700000007</v>
      </c>
      <c r="O181" s="113">
        <f t="shared" si="121"/>
        <v>0</v>
      </c>
      <c r="P181" s="113">
        <f t="shared" si="122"/>
        <v>4842944.2000000011</v>
      </c>
      <c r="Q181" s="113">
        <f t="shared" si="123"/>
        <v>0</v>
      </c>
      <c r="R181" s="104">
        <f t="shared" si="124"/>
        <v>4842944.2000000011</v>
      </c>
      <c r="S181" s="113">
        <f t="shared" si="125"/>
        <v>0</v>
      </c>
      <c r="T181" s="113">
        <f t="shared" si="126"/>
        <v>5421062.9700000007</v>
      </c>
      <c r="U181" s="113">
        <f t="shared" si="127"/>
        <v>0</v>
      </c>
      <c r="V181" s="104">
        <f t="shared" si="128"/>
        <v>5421062.9700000007</v>
      </c>
      <c r="W181" s="113">
        <f>SUM(W182:W183)</f>
        <v>0</v>
      </c>
      <c r="X181" s="113">
        <f>SUM(X182:X183)</f>
        <v>0</v>
      </c>
      <c r="Y181" s="113">
        <f>SUM(Y182:Y183)</f>
        <v>0</v>
      </c>
      <c r="Z181" s="104">
        <f t="shared" si="117"/>
        <v>0</v>
      </c>
      <c r="AA181" s="113">
        <f>SUM(AA182:AA183)</f>
        <v>0</v>
      </c>
      <c r="AB181" s="113">
        <f>SUM(AB182:AB183)</f>
        <v>4236593.8100000005</v>
      </c>
      <c r="AC181" s="113">
        <f>SUM(AC182:AC183)</f>
        <v>0</v>
      </c>
      <c r="AD181" s="104">
        <f t="shared" si="118"/>
        <v>4236593.8100000005</v>
      </c>
      <c r="AE181" s="117">
        <f t="shared" si="133"/>
        <v>0</v>
      </c>
      <c r="AF181" s="117">
        <f t="shared" si="134"/>
        <v>4236593.8100000005</v>
      </c>
      <c r="AG181" s="117">
        <f t="shared" si="135"/>
        <v>0</v>
      </c>
      <c r="AH181" s="104">
        <f t="shared" si="119"/>
        <v>4236593.8100000005</v>
      </c>
      <c r="AI181" s="117">
        <f t="shared" si="163"/>
        <v>0</v>
      </c>
      <c r="AJ181" s="117">
        <f t="shared" si="164"/>
        <v>1184469.1600000001</v>
      </c>
      <c r="AK181" s="117">
        <f t="shared" si="165"/>
        <v>0</v>
      </c>
      <c r="AL181" s="104">
        <f t="shared" si="166"/>
        <v>1184469.1600000001</v>
      </c>
      <c r="AM181" s="1221" t="str">
        <f t="shared" si="138"/>
        <v xml:space="preserve"> </v>
      </c>
      <c r="AN181" s="1221">
        <f t="shared" si="139"/>
        <v>0.78150610561898715</v>
      </c>
      <c r="AO181" s="1221" t="str">
        <f t="shared" si="140"/>
        <v xml:space="preserve"> </v>
      </c>
      <c r="AP181" s="1221">
        <f t="shared" si="141"/>
        <v>0.78150610561898715</v>
      </c>
      <c r="AQ181" s="1223" t="str">
        <f t="shared" si="153"/>
        <v xml:space="preserve"> </v>
      </c>
      <c r="AW181" s="107"/>
      <c r="BL181" s="149">
        <f>SUM(BL182:BL183)</f>
        <v>0</v>
      </c>
      <c r="BM181" s="149">
        <f t="shared" ref="BM181:BN181" si="168">SUM(BM182:BM183)</f>
        <v>578118.77</v>
      </c>
      <c r="BN181" s="149">
        <f t="shared" si="168"/>
        <v>0</v>
      </c>
      <c r="BP181" s="216">
        <f t="shared" si="142"/>
        <v>0</v>
      </c>
      <c r="BQ181" s="216">
        <f t="shared" si="143"/>
        <v>0</v>
      </c>
      <c r="BR181" s="216">
        <f t="shared" si="144"/>
        <v>0</v>
      </c>
    </row>
    <row r="182" spans="1:70" ht="24">
      <c r="A182" s="587" t="s">
        <v>938</v>
      </c>
      <c r="B182" s="1237" t="s">
        <v>591</v>
      </c>
      <c r="C182" s="113"/>
      <c r="D182" s="113"/>
      <c r="E182" s="113"/>
      <c r="F182" s="104">
        <f t="shared" si="160"/>
        <v>0</v>
      </c>
      <c r="G182" s="113">
        <f>+'CONAP (ALL FUNDS)'!F1034</f>
        <v>0</v>
      </c>
      <c r="H182" s="113">
        <f>+'CONAP (ALL FUNDS)'!G1034</f>
        <v>80000</v>
      </c>
      <c r="I182" s="104">
        <f>+'CONAP (ALL FUNDS)'!H1034</f>
        <v>0</v>
      </c>
      <c r="J182" s="104">
        <f t="shared" si="161"/>
        <v>80000</v>
      </c>
      <c r="K182" s="113"/>
      <c r="L182" s="113">
        <v>3197393.39</v>
      </c>
      <c r="M182" s="104"/>
      <c r="N182" s="104">
        <f t="shared" si="162"/>
        <v>3197393.39</v>
      </c>
      <c r="O182" s="113">
        <f t="shared" si="121"/>
        <v>0</v>
      </c>
      <c r="P182" s="113">
        <f t="shared" si="122"/>
        <v>3277393.39</v>
      </c>
      <c r="Q182" s="113">
        <f t="shared" si="123"/>
        <v>0</v>
      </c>
      <c r="R182" s="104">
        <f t="shared" si="124"/>
        <v>3277393.39</v>
      </c>
      <c r="S182" s="113">
        <f t="shared" si="125"/>
        <v>0</v>
      </c>
      <c r="T182" s="113">
        <f t="shared" si="126"/>
        <v>3277393.39</v>
      </c>
      <c r="U182" s="113">
        <f t="shared" si="127"/>
        <v>0</v>
      </c>
      <c r="V182" s="104">
        <f t="shared" si="128"/>
        <v>3277393.39</v>
      </c>
      <c r="W182" s="113">
        <f>+'CONAP (ALL FUNDS)'!J1032</f>
        <v>0</v>
      </c>
      <c r="X182" s="113">
        <f>+'CONAP (ALL FUNDS)'!K1032</f>
        <v>0</v>
      </c>
      <c r="Y182" s="113">
        <f>+'CONAP (ALL FUNDS)'!L1032</f>
        <v>0</v>
      </c>
      <c r="Z182" s="104">
        <f t="shared" si="117"/>
        <v>0</v>
      </c>
      <c r="AA182" s="113">
        <f>+'CONAP (ALL FUNDS)'!J1033</f>
        <v>0</v>
      </c>
      <c r="AB182" s="113">
        <f>+'CONAP (ALL FUNDS)'!K1033</f>
        <v>3277393.39</v>
      </c>
      <c r="AC182" s="113">
        <f>+'CONAP (ALL FUNDS)'!L1033</f>
        <v>0</v>
      </c>
      <c r="AD182" s="104">
        <f t="shared" si="118"/>
        <v>3277393.39</v>
      </c>
      <c r="AE182" s="117">
        <f t="shared" si="133"/>
        <v>0</v>
      </c>
      <c r="AF182" s="117">
        <f t="shared" si="134"/>
        <v>3277393.39</v>
      </c>
      <c r="AG182" s="117">
        <f t="shared" si="135"/>
        <v>0</v>
      </c>
      <c r="AH182" s="104">
        <f t="shared" si="119"/>
        <v>3277393.39</v>
      </c>
      <c r="AI182" s="117">
        <f t="shared" si="163"/>
        <v>0</v>
      </c>
      <c r="AJ182" s="117">
        <f t="shared" si="164"/>
        <v>0</v>
      </c>
      <c r="AK182" s="117">
        <f t="shared" si="165"/>
        <v>0</v>
      </c>
      <c r="AL182" s="104">
        <f t="shared" si="166"/>
        <v>0</v>
      </c>
      <c r="AM182" s="1221" t="str">
        <f t="shared" si="138"/>
        <v xml:space="preserve"> </v>
      </c>
      <c r="AN182" s="1221">
        <f t="shared" si="139"/>
        <v>1</v>
      </c>
      <c r="AO182" s="1221" t="str">
        <f t="shared" si="140"/>
        <v xml:space="preserve"> </v>
      </c>
      <c r="AP182" s="1221">
        <f t="shared" si="141"/>
        <v>1</v>
      </c>
      <c r="AQ182" s="1223" t="str">
        <f t="shared" si="153"/>
        <v xml:space="preserve"> </v>
      </c>
      <c r="AW182" s="107"/>
      <c r="BH182" s="105">
        <f>+AL182-'CONAP (ALL FUNDS)'!Q1036</f>
        <v>0</v>
      </c>
      <c r="BL182" s="149">
        <f>+'CONAP (ALL FUNDS)'!F1032</f>
        <v>0</v>
      </c>
      <c r="BM182" s="149">
        <f>+'CONAP (ALL FUNDS)'!G1032</f>
        <v>0</v>
      </c>
      <c r="BN182" s="149">
        <f>+'CONAP (ALL FUNDS)'!H1032</f>
        <v>0</v>
      </c>
      <c r="BP182" s="216">
        <f t="shared" si="142"/>
        <v>0</v>
      </c>
      <c r="BQ182" s="216">
        <f t="shared" si="143"/>
        <v>0</v>
      </c>
      <c r="BR182" s="216">
        <f t="shared" si="144"/>
        <v>0</v>
      </c>
    </row>
    <row r="183" spans="1:70" ht="36">
      <c r="A183" s="587" t="s">
        <v>938</v>
      </c>
      <c r="B183" s="1236" t="s">
        <v>592</v>
      </c>
      <c r="C183" s="113"/>
      <c r="D183" s="113">
        <v>578118.77</v>
      </c>
      <c r="E183" s="113"/>
      <c r="F183" s="104">
        <f t="shared" si="160"/>
        <v>578118.77</v>
      </c>
      <c r="G183" s="113">
        <f>+'CONAP (ALL FUNDS)'!F1045</f>
        <v>0</v>
      </c>
      <c r="H183" s="113">
        <f>+'CONAP (ALL FUNDS)'!G1045</f>
        <v>-461263.77</v>
      </c>
      <c r="I183" s="113">
        <f>+'CONAP (ALL FUNDS)'!H1045</f>
        <v>0</v>
      </c>
      <c r="J183" s="104">
        <f t="shared" si="161"/>
        <v>-461263.77</v>
      </c>
      <c r="K183" s="113"/>
      <c r="L183" s="113">
        <v>2026814.58</v>
      </c>
      <c r="M183" s="113"/>
      <c r="N183" s="104">
        <f t="shared" si="162"/>
        <v>2026814.58</v>
      </c>
      <c r="O183" s="113">
        <f t="shared" si="121"/>
        <v>0</v>
      </c>
      <c r="P183" s="113">
        <f t="shared" si="122"/>
        <v>1565550.81</v>
      </c>
      <c r="Q183" s="113">
        <f t="shared" si="123"/>
        <v>0</v>
      </c>
      <c r="R183" s="104">
        <f t="shared" si="124"/>
        <v>1565550.81</v>
      </c>
      <c r="S183" s="113">
        <f t="shared" si="125"/>
        <v>0</v>
      </c>
      <c r="T183" s="113">
        <f t="shared" si="126"/>
        <v>2143669.58</v>
      </c>
      <c r="U183" s="113">
        <f t="shared" si="127"/>
        <v>0</v>
      </c>
      <c r="V183" s="104">
        <f t="shared" si="128"/>
        <v>2143669.58</v>
      </c>
      <c r="W183" s="113">
        <f>+'CONAP (ALL FUNDS)'!J1043</f>
        <v>0</v>
      </c>
      <c r="X183" s="113">
        <f>+'CONAP (ALL FUNDS)'!K1043</f>
        <v>0</v>
      </c>
      <c r="Y183" s="113">
        <f>+'CONAP (ALL FUNDS)'!L1043</f>
        <v>0</v>
      </c>
      <c r="Z183" s="104">
        <f t="shared" si="117"/>
        <v>0</v>
      </c>
      <c r="AA183" s="113">
        <f>+'CONAP (ALL FUNDS)'!J1044</f>
        <v>0</v>
      </c>
      <c r="AB183" s="113">
        <f>+'CONAP (ALL FUNDS)'!K1044</f>
        <v>959200.42</v>
      </c>
      <c r="AC183" s="113">
        <f>+'CONAP (ALL FUNDS)'!L1044</f>
        <v>0</v>
      </c>
      <c r="AD183" s="104">
        <f t="shared" si="118"/>
        <v>959200.42</v>
      </c>
      <c r="AE183" s="117">
        <f t="shared" si="133"/>
        <v>0</v>
      </c>
      <c r="AF183" s="117">
        <f t="shared" si="134"/>
        <v>959200.42</v>
      </c>
      <c r="AG183" s="117">
        <f t="shared" si="135"/>
        <v>0</v>
      </c>
      <c r="AH183" s="104">
        <f t="shared" si="119"/>
        <v>959200.42</v>
      </c>
      <c r="AI183" s="117">
        <f t="shared" si="163"/>
        <v>0</v>
      </c>
      <c r="AJ183" s="117">
        <f t="shared" si="164"/>
        <v>1184469.1600000001</v>
      </c>
      <c r="AK183" s="117">
        <f t="shared" si="165"/>
        <v>0</v>
      </c>
      <c r="AL183" s="104">
        <f t="shared" si="166"/>
        <v>1184469.1600000001</v>
      </c>
      <c r="AM183" s="1221" t="str">
        <f t="shared" si="138"/>
        <v xml:space="preserve"> </v>
      </c>
      <c r="AN183" s="1221">
        <f t="shared" si="139"/>
        <v>0.44745721493141682</v>
      </c>
      <c r="AO183" s="1221" t="str">
        <f t="shared" si="140"/>
        <v xml:space="preserve"> </v>
      </c>
      <c r="AP183" s="1221">
        <f t="shared" si="141"/>
        <v>0.44745721493141682</v>
      </c>
      <c r="AQ183" s="1223" t="str">
        <f t="shared" si="153"/>
        <v xml:space="preserve"> </v>
      </c>
      <c r="AW183" s="107"/>
      <c r="BH183" s="105">
        <f>+AL183-'CONAP (ALL FUNDS)'!Q1047</f>
        <v>0</v>
      </c>
      <c r="BL183" s="149">
        <f>+'CONAP (ALL FUNDS)'!F1043</f>
        <v>0</v>
      </c>
      <c r="BM183" s="149">
        <f>+'CONAP (ALL FUNDS)'!G1043</f>
        <v>578118.77</v>
      </c>
      <c r="BN183" s="149">
        <f>+'CONAP (ALL FUNDS)'!H1043</f>
        <v>0</v>
      </c>
      <c r="BP183" s="216">
        <f t="shared" si="142"/>
        <v>0</v>
      </c>
      <c r="BQ183" s="216">
        <f t="shared" si="143"/>
        <v>0</v>
      </c>
      <c r="BR183" s="216">
        <f t="shared" si="144"/>
        <v>0</v>
      </c>
    </row>
    <row r="184" spans="1:70" ht="12.75">
      <c r="B184" s="118"/>
      <c r="C184" s="113"/>
      <c r="D184" s="113"/>
      <c r="E184" s="113"/>
      <c r="F184" s="104">
        <f t="shared" si="160"/>
        <v>0</v>
      </c>
      <c r="G184" s="113"/>
      <c r="H184" s="113"/>
      <c r="I184" s="113"/>
      <c r="J184" s="104">
        <f t="shared" si="161"/>
        <v>0</v>
      </c>
      <c r="K184" s="113"/>
      <c r="L184" s="113"/>
      <c r="M184" s="113"/>
      <c r="N184" s="104">
        <f t="shared" si="162"/>
        <v>0</v>
      </c>
      <c r="O184" s="113">
        <f t="shared" si="121"/>
        <v>0</v>
      </c>
      <c r="P184" s="113">
        <f t="shared" si="122"/>
        <v>0</v>
      </c>
      <c r="Q184" s="113">
        <f t="shared" si="123"/>
        <v>0</v>
      </c>
      <c r="R184" s="104">
        <f t="shared" si="124"/>
        <v>0</v>
      </c>
      <c r="S184" s="113">
        <f t="shared" si="125"/>
        <v>0</v>
      </c>
      <c r="T184" s="113">
        <f t="shared" si="126"/>
        <v>0</v>
      </c>
      <c r="U184" s="113">
        <f t="shared" si="127"/>
        <v>0</v>
      </c>
      <c r="V184" s="104">
        <f t="shared" si="128"/>
        <v>0</v>
      </c>
      <c r="W184" s="113"/>
      <c r="X184" s="113"/>
      <c r="Y184" s="113"/>
      <c r="Z184" s="104">
        <f t="shared" si="117"/>
        <v>0</v>
      </c>
      <c r="AA184" s="113"/>
      <c r="AB184" s="113"/>
      <c r="AC184" s="113"/>
      <c r="AD184" s="104">
        <f t="shared" si="118"/>
        <v>0</v>
      </c>
      <c r="AE184" s="117">
        <f t="shared" si="133"/>
        <v>0</v>
      </c>
      <c r="AF184" s="117">
        <f t="shared" si="134"/>
        <v>0</v>
      </c>
      <c r="AG184" s="117">
        <f t="shared" si="135"/>
        <v>0</v>
      </c>
      <c r="AH184" s="104">
        <f t="shared" si="119"/>
        <v>0</v>
      </c>
      <c r="AI184" s="117">
        <f t="shared" si="163"/>
        <v>0</v>
      </c>
      <c r="AJ184" s="117">
        <f t="shared" si="164"/>
        <v>0</v>
      </c>
      <c r="AK184" s="117">
        <f t="shared" si="165"/>
        <v>0</v>
      </c>
      <c r="AL184" s="104">
        <f t="shared" si="166"/>
        <v>0</v>
      </c>
      <c r="AM184" s="1221" t="str">
        <f t="shared" si="138"/>
        <v xml:space="preserve"> </v>
      </c>
      <c r="AN184" s="1221" t="str">
        <f t="shared" si="139"/>
        <v xml:space="preserve"> </v>
      </c>
      <c r="AO184" s="1221" t="str">
        <f t="shared" si="140"/>
        <v xml:space="preserve"> </v>
      </c>
      <c r="AP184" s="1221" t="str">
        <f t="shared" si="141"/>
        <v xml:space="preserve"> </v>
      </c>
      <c r="AQ184" s="1223" t="str">
        <f t="shared" ref="AQ184:AQ242" si="169">IF(W184=0," ",AI184/W184)</f>
        <v xml:space="preserve"> </v>
      </c>
      <c r="AW184" s="107"/>
      <c r="BL184" s="149"/>
      <c r="BM184" s="149"/>
      <c r="BN184" s="149"/>
      <c r="BP184" s="216">
        <f t="shared" si="142"/>
        <v>0</v>
      </c>
      <c r="BQ184" s="216">
        <f t="shared" si="143"/>
        <v>0</v>
      </c>
      <c r="BR184" s="216">
        <f t="shared" si="144"/>
        <v>0</v>
      </c>
    </row>
    <row r="185" spans="1:70" s="107" customFormat="1" ht="12.75">
      <c r="B185" s="115" t="s">
        <v>90</v>
      </c>
      <c r="C185" s="114">
        <f t="shared" ref="C185:N185" si="170">+C97+C83</f>
        <v>0</v>
      </c>
      <c r="D185" s="114">
        <f t="shared" si="170"/>
        <v>22369573.04000001</v>
      </c>
      <c r="E185" s="114">
        <f t="shared" si="170"/>
        <v>195305000</v>
      </c>
      <c r="F185" s="114">
        <f t="shared" si="170"/>
        <v>217674573.04000002</v>
      </c>
      <c r="G185" s="114">
        <f t="shared" si="170"/>
        <v>0</v>
      </c>
      <c r="H185" s="114">
        <f t="shared" si="170"/>
        <v>1226938.8100000005</v>
      </c>
      <c r="I185" s="114">
        <f t="shared" si="170"/>
        <v>42035575</v>
      </c>
      <c r="J185" s="114">
        <f t="shared" si="170"/>
        <v>43262513.810000002</v>
      </c>
      <c r="K185" s="114">
        <f t="shared" si="170"/>
        <v>0</v>
      </c>
      <c r="L185" s="114">
        <f t="shared" si="170"/>
        <v>211597570.57999998</v>
      </c>
      <c r="M185" s="114">
        <f t="shared" si="170"/>
        <v>10000000</v>
      </c>
      <c r="N185" s="114">
        <f t="shared" si="170"/>
        <v>221597570.57999998</v>
      </c>
      <c r="O185" s="114">
        <f t="shared" si="121"/>
        <v>0</v>
      </c>
      <c r="P185" s="114">
        <f t="shared" si="122"/>
        <v>212824509.38999999</v>
      </c>
      <c r="Q185" s="114">
        <f t="shared" si="123"/>
        <v>52035575</v>
      </c>
      <c r="R185" s="114">
        <f t="shared" si="124"/>
        <v>264860084.38999999</v>
      </c>
      <c r="S185" s="114">
        <f t="shared" si="125"/>
        <v>0</v>
      </c>
      <c r="T185" s="114">
        <f t="shared" si="126"/>
        <v>235194082.43000001</v>
      </c>
      <c r="U185" s="114">
        <f t="shared" si="127"/>
        <v>247340575</v>
      </c>
      <c r="V185" s="114">
        <f t="shared" si="128"/>
        <v>482534657.43000001</v>
      </c>
      <c r="W185" s="114">
        <f>+W97+W83</f>
        <v>0</v>
      </c>
      <c r="X185" s="114">
        <f>+X97+X83</f>
        <v>18978115.940000001</v>
      </c>
      <c r="Y185" s="114">
        <f>+Y97+Y83</f>
        <v>76507023</v>
      </c>
      <c r="Z185" s="114">
        <f t="shared" si="117"/>
        <v>95485138.939999998</v>
      </c>
      <c r="AA185" s="114">
        <f>+AA97+AA83</f>
        <v>0</v>
      </c>
      <c r="AB185" s="114">
        <f>+AB97+AB83</f>
        <v>167194606.61000001</v>
      </c>
      <c r="AC185" s="114">
        <f>+AC97+AC83</f>
        <v>38932347</v>
      </c>
      <c r="AD185" s="114">
        <f t="shared" si="118"/>
        <v>206126953.61000001</v>
      </c>
      <c r="AE185" s="114">
        <f t="shared" si="133"/>
        <v>0</v>
      </c>
      <c r="AF185" s="114">
        <f t="shared" si="134"/>
        <v>186172722.55000001</v>
      </c>
      <c r="AG185" s="114">
        <f t="shared" si="135"/>
        <v>115439370</v>
      </c>
      <c r="AH185" s="114">
        <f t="shared" si="119"/>
        <v>301612092.55000001</v>
      </c>
      <c r="AI185" s="114">
        <f t="shared" si="163"/>
        <v>0</v>
      </c>
      <c r="AJ185" s="114">
        <f t="shared" si="164"/>
        <v>49021359.879999995</v>
      </c>
      <c r="AK185" s="114">
        <f t="shared" si="165"/>
        <v>131901205</v>
      </c>
      <c r="AL185" s="114">
        <f t="shared" si="166"/>
        <v>180922564.88</v>
      </c>
      <c r="AM185" s="173" t="str">
        <f t="shared" si="138"/>
        <v xml:space="preserve"> </v>
      </c>
      <c r="AN185" s="173">
        <f t="shared" si="139"/>
        <v>0.79157060682175096</v>
      </c>
      <c r="AO185" s="173">
        <f t="shared" si="140"/>
        <v>0.46672233215274123</v>
      </c>
      <c r="AP185" s="173">
        <f t="shared" si="141"/>
        <v>0.62505788528517059</v>
      </c>
      <c r="AQ185" s="1228" t="str">
        <f t="shared" si="169"/>
        <v xml:space="preserve"> </v>
      </c>
      <c r="AR185" s="150"/>
      <c r="AS185" s="150"/>
      <c r="AT185" s="150"/>
      <c r="BL185" s="150">
        <f>+BL97+BL83</f>
        <v>0</v>
      </c>
      <c r="BM185" s="150">
        <f t="shared" ref="BM185:BN185" si="171">+BM97+BM83</f>
        <v>0</v>
      </c>
      <c r="BN185" s="150">
        <f t="shared" si="171"/>
        <v>0</v>
      </c>
      <c r="BP185" s="216"/>
      <c r="BQ185" s="216"/>
      <c r="BR185" s="216"/>
    </row>
    <row r="186" spans="1:70" ht="12.75">
      <c r="B186" s="118"/>
      <c r="C186" s="113"/>
      <c r="D186" s="113"/>
      <c r="E186" s="113"/>
      <c r="F186" s="104"/>
      <c r="G186" s="113"/>
      <c r="H186" s="113"/>
      <c r="I186" s="113"/>
      <c r="J186" s="104">
        <f t="shared" si="161"/>
        <v>0</v>
      </c>
      <c r="K186" s="113"/>
      <c r="L186" s="113"/>
      <c r="M186" s="113"/>
      <c r="N186" s="104">
        <f t="shared" si="162"/>
        <v>0</v>
      </c>
      <c r="O186" s="113">
        <f t="shared" si="121"/>
        <v>0</v>
      </c>
      <c r="P186" s="113">
        <f t="shared" si="122"/>
        <v>0</v>
      </c>
      <c r="Q186" s="113">
        <f t="shared" si="123"/>
        <v>0</v>
      </c>
      <c r="R186" s="104">
        <f t="shared" si="124"/>
        <v>0</v>
      </c>
      <c r="S186" s="113">
        <f t="shared" si="125"/>
        <v>0</v>
      </c>
      <c r="T186" s="113">
        <f t="shared" si="126"/>
        <v>0</v>
      </c>
      <c r="U186" s="113">
        <f t="shared" si="127"/>
        <v>0</v>
      </c>
      <c r="V186" s="104">
        <f t="shared" si="128"/>
        <v>0</v>
      </c>
      <c r="W186" s="113"/>
      <c r="X186" s="113"/>
      <c r="Y186" s="113"/>
      <c r="Z186" s="104">
        <f t="shared" si="117"/>
        <v>0</v>
      </c>
      <c r="AA186" s="113"/>
      <c r="AB186" s="113"/>
      <c r="AC186" s="113"/>
      <c r="AD186" s="104">
        <f t="shared" si="118"/>
        <v>0</v>
      </c>
      <c r="AE186" s="117">
        <f t="shared" si="133"/>
        <v>0</v>
      </c>
      <c r="AF186" s="117">
        <f t="shared" si="134"/>
        <v>0</v>
      </c>
      <c r="AG186" s="117">
        <f t="shared" si="135"/>
        <v>0</v>
      </c>
      <c r="AH186" s="104">
        <f t="shared" si="119"/>
        <v>0</v>
      </c>
      <c r="AI186" s="117">
        <f t="shared" si="163"/>
        <v>0</v>
      </c>
      <c r="AJ186" s="117">
        <f t="shared" si="164"/>
        <v>0</v>
      </c>
      <c r="AK186" s="117">
        <f t="shared" si="165"/>
        <v>0</v>
      </c>
      <c r="AL186" s="104">
        <f t="shared" si="166"/>
        <v>0</v>
      </c>
      <c r="AM186" s="1221" t="str">
        <f t="shared" si="138"/>
        <v xml:space="preserve"> </v>
      </c>
      <c r="AN186" s="1221" t="str">
        <f t="shared" si="139"/>
        <v xml:space="preserve"> </v>
      </c>
      <c r="AO186" s="1221" t="str">
        <f t="shared" si="140"/>
        <v xml:space="preserve"> </v>
      </c>
      <c r="AP186" s="1221" t="str">
        <f t="shared" si="141"/>
        <v xml:space="preserve"> </v>
      </c>
      <c r="AQ186" s="1223" t="str">
        <f t="shared" si="169"/>
        <v xml:space="preserve"> </v>
      </c>
      <c r="AW186" s="107"/>
      <c r="BL186" s="149"/>
      <c r="BM186" s="149"/>
      <c r="BN186" s="149"/>
      <c r="BP186" s="216">
        <f t="shared" si="142"/>
        <v>0</v>
      </c>
      <c r="BQ186" s="216">
        <f t="shared" si="143"/>
        <v>0</v>
      </c>
      <c r="BR186" s="216">
        <f t="shared" si="144"/>
        <v>0</v>
      </c>
    </row>
    <row r="187" spans="1:70" s="107" customFormat="1" ht="12.75">
      <c r="B187" s="115" t="s">
        <v>60</v>
      </c>
      <c r="C187" s="114">
        <f t="shared" ref="C187:AL187" si="172">+C188+C193+C198+C203+C208+C213+C218+C223+C228+C233+C238+C243+C248+C253+C258+C263</f>
        <v>0</v>
      </c>
      <c r="D187" s="114">
        <f t="shared" si="172"/>
        <v>54549684.279999994</v>
      </c>
      <c r="E187" s="114">
        <f t="shared" si="172"/>
        <v>1237960</v>
      </c>
      <c r="F187" s="114">
        <f t="shared" si="172"/>
        <v>55787644.279999994</v>
      </c>
      <c r="G187" s="114">
        <f t="shared" si="172"/>
        <v>0</v>
      </c>
      <c r="H187" s="114">
        <f t="shared" si="172"/>
        <v>-50523019.179999992</v>
      </c>
      <c r="I187" s="114">
        <f t="shared" si="172"/>
        <v>54419262</v>
      </c>
      <c r="J187" s="114">
        <f t="shared" si="172"/>
        <v>3896242.8199999942</v>
      </c>
      <c r="K187" s="114">
        <f t="shared" si="172"/>
        <v>0</v>
      </c>
      <c r="L187" s="114">
        <f t="shared" si="172"/>
        <v>547774611.04999995</v>
      </c>
      <c r="M187" s="114">
        <f t="shared" si="172"/>
        <v>676110486.57000005</v>
      </c>
      <c r="N187" s="114">
        <f t="shared" si="172"/>
        <v>1223885097.6199999</v>
      </c>
      <c r="O187" s="114">
        <f t="shared" si="172"/>
        <v>0</v>
      </c>
      <c r="P187" s="114">
        <f t="shared" si="172"/>
        <v>497819789.37</v>
      </c>
      <c r="Q187" s="114">
        <f t="shared" si="172"/>
        <v>731672312.57000005</v>
      </c>
      <c r="R187" s="114">
        <f t="shared" si="172"/>
        <v>1229492101.9400001</v>
      </c>
      <c r="S187" s="114">
        <f t="shared" si="172"/>
        <v>0</v>
      </c>
      <c r="T187" s="114">
        <f t="shared" si="172"/>
        <v>552369473.64999998</v>
      </c>
      <c r="U187" s="114">
        <f t="shared" si="172"/>
        <v>732910272.57000005</v>
      </c>
      <c r="V187" s="114">
        <f t="shared" si="172"/>
        <v>1285279746.22</v>
      </c>
      <c r="W187" s="114">
        <f t="shared" si="172"/>
        <v>0</v>
      </c>
      <c r="X187" s="114">
        <f t="shared" si="172"/>
        <v>35504764.899999999</v>
      </c>
      <c r="Y187" s="114">
        <f t="shared" si="172"/>
        <v>1188000.03</v>
      </c>
      <c r="Z187" s="114">
        <f t="shared" si="172"/>
        <v>36692764.93</v>
      </c>
      <c r="AA187" s="114">
        <f t="shared" si="172"/>
        <v>0</v>
      </c>
      <c r="AB187" s="114">
        <f t="shared" si="172"/>
        <v>397896793.32000005</v>
      </c>
      <c r="AC187" s="114">
        <f t="shared" si="172"/>
        <v>458716821.83999997</v>
      </c>
      <c r="AD187" s="114">
        <f t="shared" si="172"/>
        <v>856613615.16000009</v>
      </c>
      <c r="AE187" s="114">
        <f t="shared" si="172"/>
        <v>0</v>
      </c>
      <c r="AF187" s="114">
        <f t="shared" si="172"/>
        <v>433401558.21999991</v>
      </c>
      <c r="AG187" s="114">
        <f t="shared" si="172"/>
        <v>459904821.87</v>
      </c>
      <c r="AH187" s="114">
        <f t="shared" si="172"/>
        <v>893306380.08999979</v>
      </c>
      <c r="AI187" s="114">
        <f t="shared" si="172"/>
        <v>0</v>
      </c>
      <c r="AJ187" s="114">
        <f t="shared" si="172"/>
        <v>118967915.42999995</v>
      </c>
      <c r="AK187" s="114">
        <f t="shared" si="172"/>
        <v>273005450.70000005</v>
      </c>
      <c r="AL187" s="114">
        <f t="shared" si="172"/>
        <v>391973366.12999994</v>
      </c>
      <c r="AM187" s="173" t="str">
        <f t="shared" si="138"/>
        <v xml:space="preserve"> </v>
      </c>
      <c r="AN187" s="173">
        <f t="shared" si="139"/>
        <v>0.78462257401034041</v>
      </c>
      <c r="AO187" s="173">
        <f t="shared" si="140"/>
        <v>0.62750494717083483</v>
      </c>
      <c r="AP187" s="173">
        <f t="shared" si="141"/>
        <v>0.69502875363687044</v>
      </c>
      <c r="AQ187" s="1228"/>
      <c r="AR187" s="150"/>
      <c r="AS187" s="150"/>
      <c r="AT187" s="150"/>
      <c r="BH187" s="107">
        <f>+AL187-'CONAP (ALL FUNDS)'!Q1299</f>
        <v>0</v>
      </c>
      <c r="BL187" s="150">
        <f>+BL188+BL193+BL198+BL203+BL208+BL213+BL218+BL223+BL228+BL233+BL238+BL243+BL248+BL253+BL258+BL263</f>
        <v>0</v>
      </c>
      <c r="BM187" s="150">
        <f t="shared" ref="BM187:BN187" si="173">+BM188+BM193+BM198+BM203+BM208+BM213+BM218+BM223+BM228+BM233+BM238+BM243+BM248+BM253+BM258+BM263</f>
        <v>54549684.279999994</v>
      </c>
      <c r="BN187" s="150">
        <f t="shared" si="173"/>
        <v>1237960</v>
      </c>
      <c r="BP187" s="216">
        <f t="shared" si="142"/>
        <v>0</v>
      </c>
      <c r="BQ187" s="216">
        <f t="shared" si="143"/>
        <v>0</v>
      </c>
      <c r="BR187" s="216">
        <f t="shared" si="144"/>
        <v>0</v>
      </c>
    </row>
    <row r="188" spans="1:70" ht="12.75">
      <c r="A188" s="105" t="s">
        <v>939</v>
      </c>
      <c r="B188" s="1235" t="s">
        <v>25</v>
      </c>
      <c r="C188" s="113">
        <f t="shared" ref="C188:N188" si="174">SUM(C189:C191)</f>
        <v>0</v>
      </c>
      <c r="D188" s="113">
        <f t="shared" si="174"/>
        <v>2363191.2899999972</v>
      </c>
      <c r="E188" s="113">
        <f t="shared" si="174"/>
        <v>0</v>
      </c>
      <c r="F188" s="113">
        <f t="shared" si="174"/>
        <v>2363191.2899999972</v>
      </c>
      <c r="G188" s="113">
        <f t="shared" si="174"/>
        <v>0</v>
      </c>
      <c r="H188" s="113">
        <f t="shared" si="174"/>
        <v>-3551774.76</v>
      </c>
      <c r="I188" s="113">
        <f t="shared" si="174"/>
        <v>770000</v>
      </c>
      <c r="J188" s="113">
        <f t="shared" si="174"/>
        <v>-2781774.76</v>
      </c>
      <c r="K188" s="113">
        <f t="shared" si="174"/>
        <v>0</v>
      </c>
      <c r="L188" s="113">
        <f t="shared" si="174"/>
        <v>28878746.399999999</v>
      </c>
      <c r="M188" s="113">
        <f t="shared" si="174"/>
        <v>3375016.33</v>
      </c>
      <c r="N188" s="113">
        <f t="shared" si="174"/>
        <v>32253762.729999997</v>
      </c>
      <c r="O188" s="113">
        <f t="shared" si="121"/>
        <v>0</v>
      </c>
      <c r="P188" s="113">
        <f t="shared" si="122"/>
        <v>25326971.640000001</v>
      </c>
      <c r="Q188" s="113">
        <f t="shared" si="123"/>
        <v>4145016.33</v>
      </c>
      <c r="R188" s="104">
        <f t="shared" si="124"/>
        <v>29471987.969999999</v>
      </c>
      <c r="S188" s="113">
        <f t="shared" si="125"/>
        <v>0</v>
      </c>
      <c r="T188" s="113">
        <f t="shared" si="126"/>
        <v>27690162.93</v>
      </c>
      <c r="U188" s="113">
        <f t="shared" si="127"/>
        <v>4145016.33</v>
      </c>
      <c r="V188" s="104">
        <f t="shared" si="128"/>
        <v>31835179.259999998</v>
      </c>
      <c r="W188" s="113">
        <f>SUM(W189:W191)</f>
        <v>0</v>
      </c>
      <c r="X188" s="113">
        <f>SUM(X189:X191)</f>
        <v>2363142.9500000002</v>
      </c>
      <c r="Y188" s="113">
        <f>SUM(Y189:Y191)</f>
        <v>0</v>
      </c>
      <c r="Z188" s="104">
        <f t="shared" si="117"/>
        <v>2363142.9500000002</v>
      </c>
      <c r="AA188" s="113">
        <f>SUM(AA189:AA191)</f>
        <v>0</v>
      </c>
      <c r="AB188" s="113">
        <f>SUM(AB189:AB191)</f>
        <v>17627958.810000002</v>
      </c>
      <c r="AC188" s="113">
        <f>SUM(AC189:AC191)</f>
        <v>189808</v>
      </c>
      <c r="AD188" s="104">
        <f t="shared" si="118"/>
        <v>17817766.810000002</v>
      </c>
      <c r="AE188" s="117">
        <f t="shared" si="133"/>
        <v>0</v>
      </c>
      <c r="AF188" s="117">
        <f t="shared" si="134"/>
        <v>19991101.760000002</v>
      </c>
      <c r="AG188" s="117">
        <f t="shared" si="135"/>
        <v>189808</v>
      </c>
      <c r="AH188" s="104">
        <f t="shared" si="119"/>
        <v>20180909.760000002</v>
      </c>
      <c r="AI188" s="117">
        <f t="shared" si="163"/>
        <v>0</v>
      </c>
      <c r="AJ188" s="117">
        <f t="shared" si="164"/>
        <v>7699061.1699999981</v>
      </c>
      <c r="AK188" s="117">
        <f t="shared" si="165"/>
        <v>3955208.33</v>
      </c>
      <c r="AL188" s="104">
        <f t="shared" si="166"/>
        <v>11654269.499999998</v>
      </c>
      <c r="AM188" s="1221" t="str">
        <f t="shared" si="138"/>
        <v xml:space="preserve"> </v>
      </c>
      <c r="AN188" s="1221">
        <f t="shared" si="139"/>
        <v>0.72195681226350961</v>
      </c>
      <c r="AO188" s="1221">
        <f t="shared" si="140"/>
        <v>4.5791858195164216E-2</v>
      </c>
      <c r="AP188" s="1221">
        <f t="shared" si="141"/>
        <v>0.63391852124284231</v>
      </c>
      <c r="AQ188" s="1223" t="str">
        <f t="shared" si="169"/>
        <v xml:space="preserve"> </v>
      </c>
      <c r="AW188" s="107"/>
      <c r="BH188" s="105">
        <f>+AL188-'CONAP (ALL FUNDS)'!Q37</f>
        <v>0</v>
      </c>
      <c r="BL188" s="149">
        <f>SUM(BL189:BL191)</f>
        <v>0</v>
      </c>
      <c r="BM188" s="149">
        <f t="shared" ref="BM188:BN188" si="175">SUM(BM189:BM191)</f>
        <v>2363191.2899999972</v>
      </c>
      <c r="BN188" s="149">
        <f t="shared" si="175"/>
        <v>0</v>
      </c>
      <c r="BP188" s="216">
        <f t="shared" si="142"/>
        <v>0</v>
      </c>
      <c r="BQ188" s="216">
        <f t="shared" si="143"/>
        <v>0</v>
      </c>
      <c r="BR188" s="216">
        <f t="shared" si="144"/>
        <v>0</v>
      </c>
    </row>
    <row r="189" spans="1:70" ht="36">
      <c r="A189" s="105" t="s">
        <v>939</v>
      </c>
      <c r="B189" s="1241" t="s">
        <v>534</v>
      </c>
      <c r="C189" s="113">
        <v>0</v>
      </c>
      <c r="D189" s="113">
        <v>242070.08999999985</v>
      </c>
      <c r="E189" s="113">
        <v>0</v>
      </c>
      <c r="F189" s="104">
        <f t="shared" si="160"/>
        <v>242070.08999999985</v>
      </c>
      <c r="G189" s="113"/>
      <c r="H189" s="113"/>
      <c r="I189" s="113"/>
      <c r="J189" s="104">
        <f t="shared" si="161"/>
        <v>0</v>
      </c>
      <c r="K189" s="113"/>
      <c r="L189" s="113"/>
      <c r="M189" s="113"/>
      <c r="N189" s="104">
        <f t="shared" si="162"/>
        <v>0</v>
      </c>
      <c r="O189" s="113">
        <f t="shared" si="121"/>
        <v>0</v>
      </c>
      <c r="P189" s="113">
        <f t="shared" si="122"/>
        <v>0</v>
      </c>
      <c r="Q189" s="113">
        <f t="shared" si="123"/>
        <v>0</v>
      </c>
      <c r="R189" s="104">
        <f t="shared" si="124"/>
        <v>0</v>
      </c>
      <c r="S189" s="113">
        <f t="shared" si="125"/>
        <v>0</v>
      </c>
      <c r="T189" s="113">
        <f t="shared" si="126"/>
        <v>242070.08999999985</v>
      </c>
      <c r="U189" s="113">
        <f t="shared" si="127"/>
        <v>0</v>
      </c>
      <c r="V189" s="104">
        <f t="shared" si="128"/>
        <v>242070.08999999985</v>
      </c>
      <c r="W189" s="113">
        <f>+'CONAP (ALL FUNDS)'!J31</f>
        <v>0</v>
      </c>
      <c r="X189" s="113">
        <f>+'CONAP (ALL FUNDS)'!K31</f>
        <v>242070.09</v>
      </c>
      <c r="Y189" s="113">
        <f>+'CONAP (ALL FUNDS)'!L31</f>
        <v>0</v>
      </c>
      <c r="Z189" s="104">
        <f t="shared" si="117"/>
        <v>242070.09</v>
      </c>
      <c r="AA189" s="113"/>
      <c r="AB189" s="113"/>
      <c r="AC189" s="113"/>
      <c r="AD189" s="104">
        <f t="shared" si="118"/>
        <v>0</v>
      </c>
      <c r="AE189" s="117">
        <f t="shared" si="133"/>
        <v>0</v>
      </c>
      <c r="AF189" s="117">
        <f t="shared" si="134"/>
        <v>242070.09</v>
      </c>
      <c r="AG189" s="117">
        <f t="shared" si="135"/>
        <v>0</v>
      </c>
      <c r="AH189" s="104">
        <f t="shared" si="119"/>
        <v>242070.09</v>
      </c>
      <c r="AI189" s="117">
        <f t="shared" si="163"/>
        <v>0</v>
      </c>
      <c r="AJ189" s="117">
        <f t="shared" si="164"/>
        <v>0</v>
      </c>
      <c r="AK189" s="117">
        <f t="shared" si="165"/>
        <v>0</v>
      </c>
      <c r="AL189" s="104">
        <f t="shared" si="166"/>
        <v>0</v>
      </c>
      <c r="AM189" s="1221" t="str">
        <f t="shared" si="138"/>
        <v xml:space="preserve"> </v>
      </c>
      <c r="AN189" s="1221">
        <f t="shared" si="139"/>
        <v>1.0000000000000007</v>
      </c>
      <c r="AO189" s="1221" t="str">
        <f t="shared" si="140"/>
        <v xml:space="preserve"> </v>
      </c>
      <c r="AP189" s="1221">
        <f t="shared" si="141"/>
        <v>1.0000000000000007</v>
      </c>
      <c r="AQ189" s="1223" t="str">
        <f t="shared" si="169"/>
        <v xml:space="preserve"> </v>
      </c>
      <c r="AW189" s="107"/>
      <c r="BL189" s="149">
        <f>+'CONAP (ALL FUNDS)'!F31</f>
        <v>0</v>
      </c>
      <c r="BM189" s="149">
        <f>+'CONAP (ALL FUNDS)'!G31</f>
        <v>242070.08999999985</v>
      </c>
      <c r="BN189" s="149">
        <f>+'CONAP (ALL FUNDS)'!H31</f>
        <v>0</v>
      </c>
      <c r="BP189" s="216">
        <f t="shared" si="142"/>
        <v>0</v>
      </c>
      <c r="BQ189" s="216">
        <f t="shared" si="143"/>
        <v>0</v>
      </c>
      <c r="BR189" s="216">
        <f t="shared" si="144"/>
        <v>0</v>
      </c>
    </row>
    <row r="190" spans="1:70" ht="12.75">
      <c r="A190" s="105" t="s">
        <v>939</v>
      </c>
      <c r="B190" s="1231" t="s">
        <v>535</v>
      </c>
      <c r="C190" s="113">
        <v>0</v>
      </c>
      <c r="D190" s="113">
        <v>954146.40000000037</v>
      </c>
      <c r="E190" s="113">
        <v>0</v>
      </c>
      <c r="F190" s="104">
        <f t="shared" si="160"/>
        <v>954146.40000000037</v>
      </c>
      <c r="G190" s="113"/>
      <c r="H190" s="113"/>
      <c r="I190" s="113"/>
      <c r="J190" s="104">
        <f t="shared" si="161"/>
        <v>0</v>
      </c>
      <c r="K190" s="113"/>
      <c r="L190" s="113"/>
      <c r="M190" s="113"/>
      <c r="N190" s="104">
        <f t="shared" si="162"/>
        <v>0</v>
      </c>
      <c r="O190" s="113">
        <f t="shared" si="121"/>
        <v>0</v>
      </c>
      <c r="P190" s="113">
        <f t="shared" si="122"/>
        <v>0</v>
      </c>
      <c r="Q190" s="113">
        <f t="shared" si="123"/>
        <v>0</v>
      </c>
      <c r="R190" s="104">
        <f t="shared" si="124"/>
        <v>0</v>
      </c>
      <c r="S190" s="113">
        <f t="shared" si="125"/>
        <v>0</v>
      </c>
      <c r="T190" s="113">
        <f t="shared" si="126"/>
        <v>954146.40000000037</v>
      </c>
      <c r="U190" s="113">
        <f t="shared" si="127"/>
        <v>0</v>
      </c>
      <c r="V190" s="104">
        <f t="shared" si="128"/>
        <v>954146.40000000037</v>
      </c>
      <c r="W190" s="113">
        <f>+'CONAP (ALL FUNDS)'!J32</f>
        <v>0</v>
      </c>
      <c r="X190" s="113">
        <f>+'CONAP (ALL FUNDS)'!K32</f>
        <v>954131.40000000014</v>
      </c>
      <c r="Y190" s="113">
        <f>+'CONAP (ALL FUNDS)'!L32</f>
        <v>0</v>
      </c>
      <c r="Z190" s="104">
        <f t="shared" si="117"/>
        <v>954131.40000000014</v>
      </c>
      <c r="AA190" s="113"/>
      <c r="AB190" s="113"/>
      <c r="AC190" s="113"/>
      <c r="AD190" s="104">
        <f t="shared" si="118"/>
        <v>0</v>
      </c>
      <c r="AE190" s="117">
        <f t="shared" si="133"/>
        <v>0</v>
      </c>
      <c r="AF190" s="117">
        <f t="shared" si="134"/>
        <v>954131.40000000014</v>
      </c>
      <c r="AG190" s="117">
        <f t="shared" si="135"/>
        <v>0</v>
      </c>
      <c r="AH190" s="104">
        <f t="shared" si="119"/>
        <v>954131.40000000014</v>
      </c>
      <c r="AI190" s="117">
        <f t="shared" si="163"/>
        <v>0</v>
      </c>
      <c r="AJ190" s="117">
        <f t="shared" si="164"/>
        <v>15.000000000232831</v>
      </c>
      <c r="AK190" s="117">
        <f t="shared" si="165"/>
        <v>0</v>
      </c>
      <c r="AL190" s="104">
        <f t="shared" si="166"/>
        <v>15.000000000232831</v>
      </c>
      <c r="AM190" s="1221" t="str">
        <f t="shared" si="138"/>
        <v xml:space="preserve"> </v>
      </c>
      <c r="AN190" s="1221">
        <f t="shared" si="139"/>
        <v>0.99998427914206856</v>
      </c>
      <c r="AO190" s="1221" t="str">
        <f t="shared" si="140"/>
        <v xml:space="preserve"> </v>
      </c>
      <c r="AP190" s="1221">
        <f t="shared" si="141"/>
        <v>0.99998427914206856</v>
      </c>
      <c r="AQ190" s="1223" t="str">
        <f t="shared" si="169"/>
        <v xml:space="preserve"> </v>
      </c>
      <c r="AW190" s="107"/>
      <c r="BL190" s="149">
        <f>+'CONAP (ALL FUNDS)'!F32</f>
        <v>0</v>
      </c>
      <c r="BM190" s="149">
        <f>+'CONAP (ALL FUNDS)'!G32</f>
        <v>954146.40000000037</v>
      </c>
      <c r="BN190" s="149">
        <f>+'CONAP (ALL FUNDS)'!H32</f>
        <v>0</v>
      </c>
      <c r="BP190" s="216">
        <f t="shared" si="142"/>
        <v>0</v>
      </c>
      <c r="BQ190" s="216">
        <f t="shared" si="143"/>
        <v>0</v>
      </c>
      <c r="BR190" s="216">
        <f t="shared" si="144"/>
        <v>0</v>
      </c>
    </row>
    <row r="191" spans="1:70" ht="36">
      <c r="A191" s="105" t="s">
        <v>939</v>
      </c>
      <c r="B191" s="1241" t="s">
        <v>536</v>
      </c>
      <c r="C191" s="113">
        <v>0</v>
      </c>
      <c r="D191" s="113">
        <v>1166974.799999997</v>
      </c>
      <c r="E191" s="113">
        <v>0</v>
      </c>
      <c r="F191" s="104">
        <f t="shared" si="160"/>
        <v>1166974.799999997</v>
      </c>
      <c r="G191" s="113">
        <f>+'CONAP (ALL FUNDS)'!F35</f>
        <v>0</v>
      </c>
      <c r="H191" s="113">
        <f>+'CONAP (ALL FUNDS)'!G35</f>
        <v>-3551774.76</v>
      </c>
      <c r="I191" s="113">
        <f>+'CONAP (ALL FUNDS)'!H35</f>
        <v>770000</v>
      </c>
      <c r="J191" s="104">
        <f t="shared" si="161"/>
        <v>-2781774.76</v>
      </c>
      <c r="K191" s="113">
        <v>0</v>
      </c>
      <c r="L191" s="113">
        <v>28878746.399999999</v>
      </c>
      <c r="M191" s="113">
        <v>3375016.33</v>
      </c>
      <c r="N191" s="104">
        <f t="shared" si="162"/>
        <v>32253762.729999997</v>
      </c>
      <c r="O191" s="113">
        <f t="shared" si="121"/>
        <v>0</v>
      </c>
      <c r="P191" s="113">
        <f t="shared" si="122"/>
        <v>25326971.640000001</v>
      </c>
      <c r="Q191" s="113">
        <f t="shared" si="123"/>
        <v>4145016.33</v>
      </c>
      <c r="R191" s="104">
        <f t="shared" si="124"/>
        <v>29471987.969999999</v>
      </c>
      <c r="S191" s="113">
        <f t="shared" si="125"/>
        <v>0</v>
      </c>
      <c r="T191" s="113">
        <f t="shared" si="126"/>
        <v>26493946.439999998</v>
      </c>
      <c r="U191" s="113">
        <f t="shared" si="127"/>
        <v>4145016.33</v>
      </c>
      <c r="V191" s="104">
        <f t="shared" si="128"/>
        <v>30638962.769999996</v>
      </c>
      <c r="W191" s="113">
        <f>+'CONAP (ALL FUNDS)'!J33</f>
        <v>0</v>
      </c>
      <c r="X191" s="113">
        <f>+'CONAP (ALL FUNDS)'!K33</f>
        <v>1166941.46</v>
      </c>
      <c r="Y191" s="113">
        <f>+'CONAP (ALL FUNDS)'!L33</f>
        <v>0</v>
      </c>
      <c r="Z191" s="104">
        <f t="shared" si="117"/>
        <v>1166941.46</v>
      </c>
      <c r="AA191" s="113">
        <f>+'CONAP (ALL FUNDS)'!J34</f>
        <v>0</v>
      </c>
      <c r="AB191" s="113">
        <f>+'CONAP (ALL FUNDS)'!K34</f>
        <v>17627958.810000002</v>
      </c>
      <c r="AC191" s="113">
        <f>+'CONAP (ALL FUNDS)'!L34</f>
        <v>189808</v>
      </c>
      <c r="AD191" s="104">
        <f t="shared" si="118"/>
        <v>17817766.810000002</v>
      </c>
      <c r="AE191" s="117">
        <f t="shared" si="133"/>
        <v>0</v>
      </c>
      <c r="AF191" s="117">
        <f t="shared" si="134"/>
        <v>18794900.270000003</v>
      </c>
      <c r="AG191" s="117">
        <f t="shared" si="135"/>
        <v>189808</v>
      </c>
      <c r="AH191" s="104">
        <f t="shared" si="119"/>
        <v>18984708.270000003</v>
      </c>
      <c r="AI191" s="117">
        <f t="shared" si="163"/>
        <v>0</v>
      </c>
      <c r="AJ191" s="117">
        <f t="shared" si="164"/>
        <v>7699046.1699999943</v>
      </c>
      <c r="AK191" s="117">
        <f t="shared" si="165"/>
        <v>3955208.33</v>
      </c>
      <c r="AL191" s="104">
        <f t="shared" si="166"/>
        <v>11654254.499999994</v>
      </c>
      <c r="AM191" s="1221" t="str">
        <f t="shared" si="138"/>
        <v xml:space="preserve"> </v>
      </c>
      <c r="AN191" s="1221">
        <f t="shared" si="139"/>
        <v>0.7094035730978856</v>
      </c>
      <c r="AO191" s="1221">
        <f t="shared" si="140"/>
        <v>4.5791858195164216E-2</v>
      </c>
      <c r="AP191" s="1221">
        <f t="shared" si="141"/>
        <v>0.61962633697863934</v>
      </c>
      <c r="AQ191" s="1223" t="str">
        <f t="shared" si="169"/>
        <v xml:space="preserve"> </v>
      </c>
      <c r="AW191" s="107"/>
      <c r="BL191" s="149">
        <f>+'CONAP (ALL FUNDS)'!F33</f>
        <v>0</v>
      </c>
      <c r="BM191" s="149">
        <f>+'CONAP (ALL FUNDS)'!G33</f>
        <v>1166974.799999997</v>
      </c>
      <c r="BN191" s="149">
        <f>+'CONAP (ALL FUNDS)'!H33</f>
        <v>0</v>
      </c>
      <c r="BP191" s="216">
        <f t="shared" si="142"/>
        <v>0</v>
      </c>
      <c r="BQ191" s="216">
        <f t="shared" si="143"/>
        <v>0</v>
      </c>
      <c r="BR191" s="216">
        <f t="shared" si="144"/>
        <v>0</v>
      </c>
    </row>
    <row r="192" spans="1:70" ht="12.75">
      <c r="B192" s="1238"/>
      <c r="C192" s="113"/>
      <c r="D192" s="113"/>
      <c r="E192" s="113"/>
      <c r="F192" s="104"/>
      <c r="G192" s="113"/>
      <c r="H192" s="113"/>
      <c r="I192" s="113"/>
      <c r="J192" s="104">
        <f t="shared" si="161"/>
        <v>0</v>
      </c>
      <c r="K192" s="113"/>
      <c r="L192" s="113"/>
      <c r="M192" s="113"/>
      <c r="N192" s="104"/>
      <c r="O192" s="113">
        <f t="shared" si="121"/>
        <v>0</v>
      </c>
      <c r="P192" s="113">
        <f t="shared" si="122"/>
        <v>0</v>
      </c>
      <c r="Q192" s="113">
        <f t="shared" si="123"/>
        <v>0</v>
      </c>
      <c r="R192" s="104">
        <f t="shared" si="124"/>
        <v>0</v>
      </c>
      <c r="S192" s="113">
        <f t="shared" si="125"/>
        <v>0</v>
      </c>
      <c r="T192" s="113">
        <f t="shared" si="126"/>
        <v>0</v>
      </c>
      <c r="U192" s="113">
        <f t="shared" si="127"/>
        <v>0</v>
      </c>
      <c r="V192" s="104">
        <f t="shared" si="128"/>
        <v>0</v>
      </c>
      <c r="W192" s="113"/>
      <c r="X192" s="113"/>
      <c r="Y192" s="113"/>
      <c r="Z192" s="104">
        <f t="shared" si="117"/>
        <v>0</v>
      </c>
      <c r="AA192" s="113"/>
      <c r="AB192" s="113"/>
      <c r="AC192" s="113"/>
      <c r="AD192" s="104">
        <f t="shared" si="118"/>
        <v>0</v>
      </c>
      <c r="AE192" s="117">
        <f t="shared" si="133"/>
        <v>0</v>
      </c>
      <c r="AF192" s="117">
        <f t="shared" si="134"/>
        <v>0</v>
      </c>
      <c r="AG192" s="117">
        <f t="shared" si="135"/>
        <v>0</v>
      </c>
      <c r="AH192" s="104">
        <f t="shared" si="119"/>
        <v>0</v>
      </c>
      <c r="AI192" s="117">
        <f t="shared" si="163"/>
        <v>0</v>
      </c>
      <c r="AJ192" s="117">
        <f t="shared" si="164"/>
        <v>0</v>
      </c>
      <c r="AK192" s="117">
        <f t="shared" si="165"/>
        <v>0</v>
      </c>
      <c r="AL192" s="104">
        <f t="shared" si="166"/>
        <v>0</v>
      </c>
      <c r="AM192" s="1221" t="str">
        <f t="shared" si="138"/>
        <v xml:space="preserve"> </v>
      </c>
      <c r="AN192" s="1221" t="str">
        <f t="shared" si="139"/>
        <v xml:space="preserve"> </v>
      </c>
      <c r="AO192" s="1221" t="str">
        <f t="shared" si="140"/>
        <v xml:space="preserve"> </v>
      </c>
      <c r="AP192" s="1221" t="str">
        <f t="shared" si="141"/>
        <v xml:space="preserve"> </v>
      </c>
      <c r="AQ192" s="1223" t="str">
        <f t="shared" si="169"/>
        <v xml:space="preserve"> </v>
      </c>
      <c r="AW192" s="107"/>
      <c r="BL192" s="149"/>
      <c r="BM192" s="149"/>
      <c r="BN192" s="149"/>
      <c r="BP192" s="216">
        <f t="shared" si="142"/>
        <v>0</v>
      </c>
      <c r="BQ192" s="216">
        <f t="shared" si="143"/>
        <v>0</v>
      </c>
      <c r="BR192" s="216">
        <f t="shared" si="144"/>
        <v>0</v>
      </c>
    </row>
    <row r="193" spans="1:70" ht="12.75">
      <c r="A193" s="587" t="s">
        <v>936</v>
      </c>
      <c r="B193" s="1235" t="s">
        <v>26</v>
      </c>
      <c r="C193" s="113">
        <f t="shared" ref="C193:N193" si="176">SUM(C194:C196)</f>
        <v>0</v>
      </c>
      <c r="D193" s="113">
        <f t="shared" si="176"/>
        <v>2545834.6800000006</v>
      </c>
      <c r="E193" s="113">
        <f t="shared" si="176"/>
        <v>0</v>
      </c>
      <c r="F193" s="113">
        <f t="shared" si="176"/>
        <v>2545834.6800000006</v>
      </c>
      <c r="G193" s="113">
        <f t="shared" si="176"/>
        <v>0</v>
      </c>
      <c r="H193" s="113">
        <f t="shared" si="176"/>
        <v>-406414.93</v>
      </c>
      <c r="I193" s="113">
        <f t="shared" si="176"/>
        <v>8133000</v>
      </c>
      <c r="J193" s="113">
        <f t="shared" si="176"/>
        <v>7726585.0700000003</v>
      </c>
      <c r="K193" s="113">
        <f t="shared" si="176"/>
        <v>0</v>
      </c>
      <c r="L193" s="113">
        <f t="shared" si="176"/>
        <v>8221812.9799999893</v>
      </c>
      <c r="M193" s="113">
        <f t="shared" si="176"/>
        <v>78473191.560000002</v>
      </c>
      <c r="N193" s="113">
        <f t="shared" si="176"/>
        <v>86695004.539999992</v>
      </c>
      <c r="O193" s="113">
        <f t="shared" si="121"/>
        <v>0</v>
      </c>
      <c r="P193" s="113">
        <f t="shared" si="122"/>
        <v>7815398.0499999896</v>
      </c>
      <c r="Q193" s="113">
        <f t="shared" si="123"/>
        <v>86606191.560000002</v>
      </c>
      <c r="R193" s="104">
        <f t="shared" si="124"/>
        <v>94421589.609999985</v>
      </c>
      <c r="S193" s="113">
        <f t="shared" si="125"/>
        <v>0</v>
      </c>
      <c r="T193" s="113">
        <f t="shared" si="126"/>
        <v>10361232.729999989</v>
      </c>
      <c r="U193" s="113">
        <f t="shared" si="127"/>
        <v>86606191.560000002</v>
      </c>
      <c r="V193" s="104">
        <f t="shared" si="128"/>
        <v>96967424.289999992</v>
      </c>
      <c r="W193" s="113">
        <f>SUM(W194:W196)</f>
        <v>0</v>
      </c>
      <c r="X193" s="113">
        <f>SUM(X194:X196)</f>
        <v>2545377.87</v>
      </c>
      <c r="Y193" s="113">
        <f>SUM(Y194:Y196)</f>
        <v>0</v>
      </c>
      <c r="Z193" s="104">
        <f t="shared" si="117"/>
        <v>2545377.87</v>
      </c>
      <c r="AA193" s="113">
        <f>SUM(AA194:AA196)</f>
        <v>0</v>
      </c>
      <c r="AB193" s="113">
        <f>SUM(AB194:AB196)</f>
        <v>6651585.3099999996</v>
      </c>
      <c r="AC193" s="113">
        <f>SUM(AC194:AC196)</f>
        <v>80297091.36999999</v>
      </c>
      <c r="AD193" s="104">
        <f t="shared" si="118"/>
        <v>86948676.679999992</v>
      </c>
      <c r="AE193" s="117">
        <f t="shared" si="133"/>
        <v>0</v>
      </c>
      <c r="AF193" s="117">
        <f t="shared" si="134"/>
        <v>9196963.1799999997</v>
      </c>
      <c r="AG193" s="117">
        <f t="shared" si="135"/>
        <v>80297091.36999999</v>
      </c>
      <c r="AH193" s="104">
        <f t="shared" si="119"/>
        <v>89494054.549999982</v>
      </c>
      <c r="AI193" s="117">
        <f t="shared" si="163"/>
        <v>0</v>
      </c>
      <c r="AJ193" s="117">
        <f t="shared" si="164"/>
        <v>1164269.5499999896</v>
      </c>
      <c r="AK193" s="117">
        <f t="shared" si="165"/>
        <v>6309100.1900000125</v>
      </c>
      <c r="AL193" s="104">
        <f t="shared" si="166"/>
        <v>7473369.7400000021</v>
      </c>
      <c r="AM193" s="1221" t="str">
        <f t="shared" si="138"/>
        <v xml:space="preserve"> </v>
      </c>
      <c r="AN193" s="1221">
        <f t="shared" si="139"/>
        <v>0.88763213988727852</v>
      </c>
      <c r="AO193" s="1221">
        <f t="shared" si="140"/>
        <v>0.92715185743239703</v>
      </c>
      <c r="AP193" s="1221">
        <f t="shared" si="141"/>
        <v>0.92292906824409982</v>
      </c>
      <c r="AQ193" s="1223" t="str">
        <f t="shared" si="169"/>
        <v xml:space="preserve"> </v>
      </c>
      <c r="AW193" s="107"/>
      <c r="BH193" s="105">
        <f>+AL193-'CONAP (ALL FUNDS)'!Q179</f>
        <v>0</v>
      </c>
      <c r="BL193" s="149">
        <f>SUM(BL194:BL196)</f>
        <v>0</v>
      </c>
      <c r="BM193" s="149">
        <f t="shared" ref="BM193:BN193" si="177">SUM(BM194:BM196)</f>
        <v>2545834.6800000006</v>
      </c>
      <c r="BN193" s="149">
        <f t="shared" si="177"/>
        <v>0</v>
      </c>
      <c r="BP193" s="216">
        <f t="shared" si="142"/>
        <v>0</v>
      </c>
      <c r="BQ193" s="216">
        <f t="shared" si="143"/>
        <v>0</v>
      </c>
      <c r="BR193" s="216">
        <f t="shared" si="144"/>
        <v>0</v>
      </c>
    </row>
    <row r="194" spans="1:70" ht="36">
      <c r="A194" s="587" t="s">
        <v>936</v>
      </c>
      <c r="B194" s="1241" t="s">
        <v>534</v>
      </c>
      <c r="C194" s="113">
        <v>0</v>
      </c>
      <c r="D194" s="113">
        <v>546703.25</v>
      </c>
      <c r="E194" s="113">
        <v>0</v>
      </c>
      <c r="F194" s="104">
        <f t="shared" si="160"/>
        <v>546703.25</v>
      </c>
      <c r="G194" s="113"/>
      <c r="H194" s="113"/>
      <c r="I194" s="113"/>
      <c r="J194" s="104">
        <f t="shared" si="161"/>
        <v>0</v>
      </c>
      <c r="K194" s="113"/>
      <c r="L194" s="113"/>
      <c r="M194" s="113"/>
      <c r="N194" s="104">
        <f t="shared" si="162"/>
        <v>0</v>
      </c>
      <c r="O194" s="113">
        <f t="shared" si="121"/>
        <v>0</v>
      </c>
      <c r="P194" s="113">
        <f t="shared" si="122"/>
        <v>0</v>
      </c>
      <c r="Q194" s="113">
        <f t="shared" si="123"/>
        <v>0</v>
      </c>
      <c r="R194" s="104">
        <f t="shared" si="124"/>
        <v>0</v>
      </c>
      <c r="S194" s="113">
        <f t="shared" si="125"/>
        <v>0</v>
      </c>
      <c r="T194" s="113">
        <f t="shared" si="126"/>
        <v>546703.25</v>
      </c>
      <c r="U194" s="113">
        <f t="shared" si="127"/>
        <v>0</v>
      </c>
      <c r="V194" s="104">
        <f t="shared" si="128"/>
        <v>546703.25</v>
      </c>
      <c r="W194" s="113">
        <f>+'CONAP (ALL FUNDS)'!J173</f>
        <v>0</v>
      </c>
      <c r="X194" s="113">
        <f>+'CONAP (ALL FUNDS)'!K173</f>
        <v>546453.64</v>
      </c>
      <c r="Y194" s="113">
        <f>+'CONAP (ALL FUNDS)'!L173</f>
        <v>0</v>
      </c>
      <c r="Z194" s="104">
        <f t="shared" ref="Z194:Z257" si="178">SUM(W194:Y194)</f>
        <v>546453.64</v>
      </c>
      <c r="AA194" s="113"/>
      <c r="AB194" s="113"/>
      <c r="AC194" s="113"/>
      <c r="AD194" s="104">
        <f t="shared" ref="AD194:AD257" si="179">SUM(AA194:AC194)</f>
        <v>0</v>
      </c>
      <c r="AE194" s="117">
        <f t="shared" si="133"/>
        <v>0</v>
      </c>
      <c r="AF194" s="117">
        <f t="shared" si="134"/>
        <v>546453.64</v>
      </c>
      <c r="AG194" s="117">
        <f t="shared" si="135"/>
        <v>0</v>
      </c>
      <c r="AH194" s="104">
        <f t="shared" ref="AH194:AH257" si="180">SUM(AE194:AG194)</f>
        <v>546453.64</v>
      </c>
      <c r="AI194" s="117">
        <f t="shared" si="163"/>
        <v>0</v>
      </c>
      <c r="AJ194" s="117">
        <f t="shared" si="164"/>
        <v>249.60999999998603</v>
      </c>
      <c r="AK194" s="117">
        <f t="shared" si="165"/>
        <v>0</v>
      </c>
      <c r="AL194" s="104">
        <f t="shared" si="166"/>
        <v>249.60999999998603</v>
      </c>
      <c r="AM194" s="1221" t="str">
        <f t="shared" si="138"/>
        <v xml:space="preserve"> </v>
      </c>
      <c r="AN194" s="1221">
        <f t="shared" si="139"/>
        <v>0.99954342689566966</v>
      </c>
      <c r="AO194" s="1221" t="str">
        <f t="shared" si="140"/>
        <v xml:space="preserve"> </v>
      </c>
      <c r="AP194" s="1221">
        <f t="shared" si="141"/>
        <v>0.99954342689566966</v>
      </c>
      <c r="AQ194" s="1223" t="str">
        <f t="shared" si="169"/>
        <v xml:space="preserve"> </v>
      </c>
      <c r="AW194" s="107"/>
      <c r="BL194" s="149">
        <f>+'CONAP (ALL FUNDS)'!F173</f>
        <v>0</v>
      </c>
      <c r="BM194" s="149">
        <f>+'CONAP (ALL FUNDS)'!G173</f>
        <v>546703.25</v>
      </c>
      <c r="BN194" s="149">
        <f>+'CONAP (ALL FUNDS)'!H173</f>
        <v>0</v>
      </c>
      <c r="BP194" s="216">
        <f t="shared" si="142"/>
        <v>0</v>
      </c>
      <c r="BQ194" s="216">
        <f t="shared" si="143"/>
        <v>0</v>
      </c>
      <c r="BR194" s="216">
        <f t="shared" si="144"/>
        <v>0</v>
      </c>
    </row>
    <row r="195" spans="1:70" ht="12.75">
      <c r="A195" s="587" t="s">
        <v>936</v>
      </c>
      <c r="B195" s="1231" t="s">
        <v>535</v>
      </c>
      <c r="C195" s="113">
        <v>0</v>
      </c>
      <c r="D195" s="113">
        <v>406877.80999999959</v>
      </c>
      <c r="E195" s="113">
        <v>0</v>
      </c>
      <c r="F195" s="104">
        <f t="shared" si="160"/>
        <v>406877.80999999959</v>
      </c>
      <c r="G195" s="113"/>
      <c r="H195" s="113"/>
      <c r="I195" s="113"/>
      <c r="J195" s="104">
        <f t="shared" si="161"/>
        <v>0</v>
      </c>
      <c r="K195" s="113"/>
      <c r="L195" s="113"/>
      <c r="M195" s="113"/>
      <c r="N195" s="104">
        <f t="shared" si="162"/>
        <v>0</v>
      </c>
      <c r="O195" s="113">
        <f t="shared" ref="O195:O258" si="181">+G195+K195</f>
        <v>0</v>
      </c>
      <c r="P195" s="113">
        <f t="shared" ref="P195:P258" si="182">+H195+L195</f>
        <v>0</v>
      </c>
      <c r="Q195" s="113">
        <f t="shared" ref="Q195:Q258" si="183">+I195+M195</f>
        <v>0</v>
      </c>
      <c r="R195" s="104">
        <f t="shared" ref="R195:R258" si="184">SUM(O195:Q195)</f>
        <v>0</v>
      </c>
      <c r="S195" s="113">
        <f t="shared" ref="S195:S258" si="185">+O195+C195</f>
        <v>0</v>
      </c>
      <c r="T195" s="113">
        <f t="shared" ref="T195:T258" si="186">+P195+D195</f>
        <v>406877.80999999959</v>
      </c>
      <c r="U195" s="113">
        <f t="shared" ref="U195:U258" si="187">+Q195+E195</f>
        <v>0</v>
      </c>
      <c r="V195" s="104">
        <f t="shared" ref="V195:V258" si="188">SUM(S195:U195)</f>
        <v>406877.80999999959</v>
      </c>
      <c r="W195" s="113">
        <f>+'CONAP (ALL FUNDS)'!J174</f>
        <v>0</v>
      </c>
      <c r="X195" s="113">
        <f>+'CONAP (ALL FUNDS)'!K174</f>
        <v>406753.36</v>
      </c>
      <c r="Y195" s="113">
        <f>+'CONAP (ALL FUNDS)'!L174</f>
        <v>0</v>
      </c>
      <c r="Z195" s="104">
        <f t="shared" si="178"/>
        <v>406753.36</v>
      </c>
      <c r="AA195" s="113"/>
      <c r="AB195" s="113"/>
      <c r="AC195" s="113"/>
      <c r="AD195" s="104">
        <f t="shared" si="179"/>
        <v>0</v>
      </c>
      <c r="AE195" s="117">
        <f t="shared" si="133"/>
        <v>0</v>
      </c>
      <c r="AF195" s="117">
        <f t="shared" si="134"/>
        <v>406753.36</v>
      </c>
      <c r="AG195" s="117">
        <f t="shared" si="135"/>
        <v>0</v>
      </c>
      <c r="AH195" s="104">
        <f t="shared" si="180"/>
        <v>406753.36</v>
      </c>
      <c r="AI195" s="117">
        <f t="shared" si="163"/>
        <v>0</v>
      </c>
      <c r="AJ195" s="117">
        <f t="shared" si="164"/>
        <v>124.44999999960419</v>
      </c>
      <c r="AK195" s="117">
        <f t="shared" si="165"/>
        <v>0</v>
      </c>
      <c r="AL195" s="104">
        <f t="shared" si="166"/>
        <v>124.44999999960419</v>
      </c>
      <c r="AM195" s="1221" t="str">
        <f t="shared" si="138"/>
        <v xml:space="preserve"> </v>
      </c>
      <c r="AN195" s="1221">
        <f t="shared" si="139"/>
        <v>0.99969413421685593</v>
      </c>
      <c r="AO195" s="1221" t="str">
        <f t="shared" si="140"/>
        <v xml:space="preserve"> </v>
      </c>
      <c r="AP195" s="1221">
        <f t="shared" si="141"/>
        <v>0.99969413421685593</v>
      </c>
      <c r="AQ195" s="1223" t="str">
        <f t="shared" si="169"/>
        <v xml:space="preserve"> </v>
      </c>
      <c r="AW195" s="107"/>
      <c r="BL195" s="149">
        <f>+'CONAP (ALL FUNDS)'!F174</f>
        <v>0</v>
      </c>
      <c r="BM195" s="149">
        <f>+'CONAP (ALL FUNDS)'!G174</f>
        <v>406877.80999999959</v>
      </c>
      <c r="BN195" s="149">
        <f>+'CONAP (ALL FUNDS)'!H174</f>
        <v>0</v>
      </c>
      <c r="BP195" s="216">
        <f t="shared" si="142"/>
        <v>0</v>
      </c>
      <c r="BQ195" s="216">
        <f t="shared" si="143"/>
        <v>0</v>
      </c>
      <c r="BR195" s="216">
        <f t="shared" si="144"/>
        <v>0</v>
      </c>
    </row>
    <row r="196" spans="1:70" ht="36">
      <c r="A196" s="587" t="s">
        <v>936</v>
      </c>
      <c r="B196" s="1241" t="s">
        <v>536</v>
      </c>
      <c r="C196" s="113">
        <v>0</v>
      </c>
      <c r="D196" s="113">
        <v>1592253.620000001</v>
      </c>
      <c r="E196" s="113">
        <v>0</v>
      </c>
      <c r="F196" s="104">
        <f t="shared" si="160"/>
        <v>1592253.620000001</v>
      </c>
      <c r="G196" s="113">
        <f>+'CONAP (ALL FUNDS)'!F177</f>
        <v>0</v>
      </c>
      <c r="H196" s="104">
        <f>+'CONAP (ALL FUNDS)'!G177</f>
        <v>-406414.93</v>
      </c>
      <c r="I196" s="113">
        <f>+'CONAP (ALL FUNDS)'!H177</f>
        <v>8133000</v>
      </c>
      <c r="J196" s="104">
        <f t="shared" si="161"/>
        <v>7726585.0700000003</v>
      </c>
      <c r="K196" s="113">
        <v>0</v>
      </c>
      <c r="L196" s="104">
        <v>8221812.9799999893</v>
      </c>
      <c r="M196" s="113">
        <v>78473191.560000002</v>
      </c>
      <c r="N196" s="104">
        <f t="shared" si="162"/>
        <v>86695004.539999992</v>
      </c>
      <c r="O196" s="113">
        <f t="shared" si="181"/>
        <v>0</v>
      </c>
      <c r="P196" s="113">
        <f t="shared" si="182"/>
        <v>7815398.0499999896</v>
      </c>
      <c r="Q196" s="113">
        <f t="shared" si="183"/>
        <v>86606191.560000002</v>
      </c>
      <c r="R196" s="104">
        <f t="shared" si="184"/>
        <v>94421589.609999985</v>
      </c>
      <c r="S196" s="113">
        <f t="shared" si="185"/>
        <v>0</v>
      </c>
      <c r="T196" s="113">
        <f t="shared" si="186"/>
        <v>9407651.6699999906</v>
      </c>
      <c r="U196" s="113">
        <f t="shared" si="187"/>
        <v>86606191.560000002</v>
      </c>
      <c r="V196" s="104">
        <f t="shared" si="188"/>
        <v>96013843.229999989</v>
      </c>
      <c r="W196" s="113">
        <f>+'CONAP (ALL FUNDS)'!J175</f>
        <v>0</v>
      </c>
      <c r="X196" s="113">
        <f>+'CONAP (ALL FUNDS)'!K175</f>
        <v>1592170.8699999999</v>
      </c>
      <c r="Y196" s="113">
        <f>+'CONAP (ALL FUNDS)'!L175</f>
        <v>0</v>
      </c>
      <c r="Z196" s="104">
        <f t="shared" si="178"/>
        <v>1592170.8699999999</v>
      </c>
      <c r="AA196" s="113">
        <f>+'CONAP (ALL FUNDS)'!J176</f>
        <v>0</v>
      </c>
      <c r="AB196" s="113">
        <f>+'CONAP (ALL FUNDS)'!K176</f>
        <v>6651585.3099999996</v>
      </c>
      <c r="AC196" s="113">
        <f>+'CONAP (ALL FUNDS)'!L176</f>
        <v>80297091.36999999</v>
      </c>
      <c r="AD196" s="104">
        <f t="shared" si="179"/>
        <v>86948676.679999992</v>
      </c>
      <c r="AE196" s="117">
        <f t="shared" si="133"/>
        <v>0</v>
      </c>
      <c r="AF196" s="117">
        <f t="shared" si="134"/>
        <v>8243756.1799999997</v>
      </c>
      <c r="AG196" s="117">
        <f t="shared" si="135"/>
        <v>80297091.36999999</v>
      </c>
      <c r="AH196" s="104">
        <f t="shared" si="180"/>
        <v>88540847.549999982</v>
      </c>
      <c r="AI196" s="117">
        <f t="shared" si="163"/>
        <v>0</v>
      </c>
      <c r="AJ196" s="117">
        <f t="shared" si="164"/>
        <v>1163895.4899999909</v>
      </c>
      <c r="AK196" s="117">
        <f t="shared" si="165"/>
        <v>6309100.1900000125</v>
      </c>
      <c r="AL196" s="104">
        <f t="shared" si="166"/>
        <v>7472995.6800000034</v>
      </c>
      <c r="AM196" s="1221" t="str">
        <f t="shared" si="138"/>
        <v xml:space="preserve"> </v>
      </c>
      <c r="AN196" s="1221">
        <f t="shared" si="139"/>
        <v>0.87628203819327932</v>
      </c>
      <c r="AO196" s="1221">
        <f t="shared" si="140"/>
        <v>0.92715185743239703</v>
      </c>
      <c r="AP196" s="1221">
        <f t="shared" si="141"/>
        <v>0.92216751846815948</v>
      </c>
      <c r="AQ196" s="1223" t="str">
        <f t="shared" si="169"/>
        <v xml:space="preserve"> </v>
      </c>
      <c r="AW196" s="107"/>
      <c r="BL196" s="149">
        <f>+'CONAP (ALL FUNDS)'!F175</f>
        <v>0</v>
      </c>
      <c r="BM196" s="149">
        <f>+'CONAP (ALL FUNDS)'!G175</f>
        <v>1592253.620000001</v>
      </c>
      <c r="BN196" s="149">
        <f>+'CONAP (ALL FUNDS)'!H175</f>
        <v>0</v>
      </c>
      <c r="BP196" s="216">
        <f t="shared" si="142"/>
        <v>0</v>
      </c>
      <c r="BQ196" s="216">
        <f t="shared" si="143"/>
        <v>0</v>
      </c>
      <c r="BR196" s="216">
        <f t="shared" si="144"/>
        <v>0</v>
      </c>
    </row>
    <row r="197" spans="1:70" ht="12.75">
      <c r="B197" s="1238"/>
      <c r="C197" s="113"/>
      <c r="D197" s="113"/>
      <c r="E197" s="113"/>
      <c r="F197" s="104">
        <f t="shared" si="160"/>
        <v>0</v>
      </c>
      <c r="G197" s="113"/>
      <c r="H197" s="113"/>
      <c r="I197" s="113"/>
      <c r="J197" s="104">
        <f t="shared" si="161"/>
        <v>0</v>
      </c>
      <c r="K197" s="113"/>
      <c r="L197" s="113"/>
      <c r="M197" s="113"/>
      <c r="N197" s="104">
        <f t="shared" si="162"/>
        <v>0</v>
      </c>
      <c r="O197" s="113">
        <f t="shared" si="181"/>
        <v>0</v>
      </c>
      <c r="P197" s="113">
        <f t="shared" si="182"/>
        <v>0</v>
      </c>
      <c r="Q197" s="113">
        <f t="shared" si="183"/>
        <v>0</v>
      </c>
      <c r="R197" s="104">
        <f t="shared" si="184"/>
        <v>0</v>
      </c>
      <c r="S197" s="113">
        <f t="shared" si="185"/>
        <v>0</v>
      </c>
      <c r="T197" s="113">
        <f t="shared" si="186"/>
        <v>0</v>
      </c>
      <c r="U197" s="113">
        <f t="shared" si="187"/>
        <v>0</v>
      </c>
      <c r="V197" s="104">
        <f t="shared" si="188"/>
        <v>0</v>
      </c>
      <c r="W197" s="113"/>
      <c r="X197" s="113"/>
      <c r="Y197" s="113"/>
      <c r="Z197" s="104">
        <f t="shared" si="178"/>
        <v>0</v>
      </c>
      <c r="AA197" s="113"/>
      <c r="AB197" s="113"/>
      <c r="AC197" s="113"/>
      <c r="AD197" s="104">
        <f t="shared" si="179"/>
        <v>0</v>
      </c>
      <c r="AE197" s="117">
        <f t="shared" ref="AE197:AE260" si="189">+AA197+W197</f>
        <v>0</v>
      </c>
      <c r="AF197" s="117">
        <f t="shared" ref="AF197:AF260" si="190">+AB197+X197</f>
        <v>0</v>
      </c>
      <c r="AG197" s="117">
        <f t="shared" ref="AG197:AG260" si="191">+AC197+Y197</f>
        <v>0</v>
      </c>
      <c r="AH197" s="104">
        <f t="shared" si="180"/>
        <v>0</v>
      </c>
      <c r="AI197" s="117">
        <f t="shared" si="163"/>
        <v>0</v>
      </c>
      <c r="AJ197" s="117">
        <f t="shared" si="164"/>
        <v>0</v>
      </c>
      <c r="AK197" s="117">
        <f t="shared" si="165"/>
        <v>0</v>
      </c>
      <c r="AL197" s="104">
        <f t="shared" si="166"/>
        <v>0</v>
      </c>
      <c r="AM197" s="1221" t="str">
        <f t="shared" si="138"/>
        <v xml:space="preserve"> </v>
      </c>
      <c r="AN197" s="1221" t="str">
        <f t="shared" si="139"/>
        <v xml:space="preserve"> </v>
      </c>
      <c r="AO197" s="1221" t="str">
        <f t="shared" si="140"/>
        <v xml:space="preserve"> </v>
      </c>
      <c r="AP197" s="1221" t="str">
        <f t="shared" si="141"/>
        <v xml:space="preserve"> </v>
      </c>
      <c r="AQ197" s="1223" t="str">
        <f t="shared" si="169"/>
        <v xml:space="preserve"> </v>
      </c>
      <c r="AW197" s="107"/>
      <c r="BL197" s="149"/>
      <c r="BM197" s="149"/>
      <c r="BN197" s="149"/>
      <c r="BP197" s="216">
        <f t="shared" si="142"/>
        <v>0</v>
      </c>
      <c r="BQ197" s="216">
        <f t="shared" si="143"/>
        <v>0</v>
      </c>
      <c r="BR197" s="216">
        <f t="shared" si="144"/>
        <v>0</v>
      </c>
    </row>
    <row r="198" spans="1:70" ht="12.75">
      <c r="A198" s="587" t="s">
        <v>936</v>
      </c>
      <c r="B198" s="1235" t="s">
        <v>27</v>
      </c>
      <c r="C198" s="113">
        <f t="shared" ref="C198:N198" si="192">SUM(C199:C201)</f>
        <v>0</v>
      </c>
      <c r="D198" s="113">
        <f t="shared" si="192"/>
        <v>226908.83000000002</v>
      </c>
      <c r="E198" s="113">
        <f t="shared" si="192"/>
        <v>1237960</v>
      </c>
      <c r="F198" s="113">
        <f t="shared" si="192"/>
        <v>1464868.83</v>
      </c>
      <c r="G198" s="113">
        <f t="shared" si="192"/>
        <v>0</v>
      </c>
      <c r="H198" s="113">
        <f t="shared" si="192"/>
        <v>-1586949.1200000001</v>
      </c>
      <c r="I198" s="113">
        <f t="shared" si="192"/>
        <v>11498400</v>
      </c>
      <c r="J198" s="113">
        <f t="shared" si="192"/>
        <v>9911450.879999999</v>
      </c>
      <c r="K198" s="113">
        <f t="shared" si="192"/>
        <v>0</v>
      </c>
      <c r="L198" s="113">
        <f t="shared" si="192"/>
        <v>9391056.0399999917</v>
      </c>
      <c r="M198" s="113">
        <f t="shared" si="192"/>
        <v>140564542.78</v>
      </c>
      <c r="N198" s="113">
        <f t="shared" si="192"/>
        <v>149955598.81999999</v>
      </c>
      <c r="O198" s="113">
        <f t="shared" si="181"/>
        <v>0</v>
      </c>
      <c r="P198" s="113">
        <f t="shared" si="182"/>
        <v>7804106.9199999915</v>
      </c>
      <c r="Q198" s="113">
        <f t="shared" si="183"/>
        <v>152062942.78</v>
      </c>
      <c r="R198" s="104">
        <f t="shared" si="184"/>
        <v>159867049.69999999</v>
      </c>
      <c r="S198" s="113">
        <f t="shared" si="185"/>
        <v>0</v>
      </c>
      <c r="T198" s="113">
        <f t="shared" si="186"/>
        <v>8031015.7499999916</v>
      </c>
      <c r="U198" s="113">
        <f t="shared" si="187"/>
        <v>153300902.78</v>
      </c>
      <c r="V198" s="104">
        <f t="shared" si="188"/>
        <v>161331918.53</v>
      </c>
      <c r="W198" s="113">
        <f>SUM(W199:W201)</f>
        <v>0</v>
      </c>
      <c r="X198" s="113">
        <f>SUM(X199:X201)</f>
        <v>226908.83000000002</v>
      </c>
      <c r="Y198" s="113">
        <f>SUM(Y199:Y201)</f>
        <v>1188000.03</v>
      </c>
      <c r="Z198" s="104">
        <f t="shared" si="178"/>
        <v>1414908.86</v>
      </c>
      <c r="AA198" s="113">
        <f>SUM(AA199:AA201)</f>
        <v>0</v>
      </c>
      <c r="AB198" s="113">
        <f>SUM(AB199:AB201)</f>
        <v>7556806.3700000001</v>
      </c>
      <c r="AC198" s="113">
        <f>SUM(AC199:AC201)</f>
        <v>123544037.11</v>
      </c>
      <c r="AD198" s="104">
        <f t="shared" si="179"/>
        <v>131100843.48</v>
      </c>
      <c r="AE198" s="117">
        <f t="shared" si="189"/>
        <v>0</v>
      </c>
      <c r="AF198" s="117">
        <f t="shared" si="190"/>
        <v>7783715.2000000002</v>
      </c>
      <c r="AG198" s="117">
        <f t="shared" si="191"/>
        <v>124732037.14</v>
      </c>
      <c r="AH198" s="104">
        <f t="shared" si="180"/>
        <v>132515752.34</v>
      </c>
      <c r="AI198" s="117">
        <f t="shared" si="163"/>
        <v>0</v>
      </c>
      <c r="AJ198" s="117">
        <f t="shared" si="164"/>
        <v>247300.54999999143</v>
      </c>
      <c r="AK198" s="117">
        <f t="shared" si="165"/>
        <v>28568865.640000001</v>
      </c>
      <c r="AL198" s="104">
        <f t="shared" si="166"/>
        <v>28816166.18999999</v>
      </c>
      <c r="AM198" s="1221" t="str">
        <f t="shared" si="138"/>
        <v xml:space="preserve"> </v>
      </c>
      <c r="AN198" s="1221">
        <f t="shared" si="139"/>
        <v>0.96920681546415943</v>
      </c>
      <c r="AO198" s="1221">
        <f t="shared" si="140"/>
        <v>0.81364189563189471</v>
      </c>
      <c r="AP198" s="1221">
        <f t="shared" si="141"/>
        <v>0.82138583330215853</v>
      </c>
      <c r="AQ198" s="1223" t="str">
        <f t="shared" si="169"/>
        <v xml:space="preserve"> </v>
      </c>
      <c r="AW198" s="107"/>
      <c r="BH198" s="105">
        <f>+AL198-'CONAP (ALL FUNDS)'!Q108</f>
        <v>0</v>
      </c>
      <c r="BL198" s="149">
        <f>SUM(BL199:BL201)</f>
        <v>0</v>
      </c>
      <c r="BM198" s="149">
        <f t="shared" ref="BM198:BN198" si="193">SUM(BM199:BM201)</f>
        <v>226908.83000000002</v>
      </c>
      <c r="BN198" s="149">
        <f t="shared" si="193"/>
        <v>1237960</v>
      </c>
      <c r="BP198" s="216">
        <f t="shared" si="142"/>
        <v>0</v>
      </c>
      <c r="BQ198" s="216">
        <f t="shared" si="143"/>
        <v>0</v>
      </c>
      <c r="BR198" s="216">
        <f t="shared" si="144"/>
        <v>0</v>
      </c>
    </row>
    <row r="199" spans="1:70" ht="36">
      <c r="A199" s="587" t="s">
        <v>936</v>
      </c>
      <c r="B199" s="1241" t="s">
        <v>534</v>
      </c>
      <c r="C199" s="113">
        <v>0</v>
      </c>
      <c r="D199" s="113">
        <v>55388.33</v>
      </c>
      <c r="E199" s="113">
        <v>1237960</v>
      </c>
      <c r="F199" s="104">
        <f t="shared" si="160"/>
        <v>1293348.33</v>
      </c>
      <c r="G199" s="113"/>
      <c r="H199" s="113"/>
      <c r="I199" s="113"/>
      <c r="J199" s="104">
        <f t="shared" si="161"/>
        <v>0</v>
      </c>
      <c r="K199" s="113"/>
      <c r="L199" s="113"/>
      <c r="M199" s="113"/>
      <c r="N199" s="104">
        <f t="shared" si="162"/>
        <v>0</v>
      </c>
      <c r="O199" s="113">
        <f t="shared" si="181"/>
        <v>0</v>
      </c>
      <c r="P199" s="113">
        <f t="shared" si="182"/>
        <v>0</v>
      </c>
      <c r="Q199" s="113">
        <f t="shared" si="183"/>
        <v>0</v>
      </c>
      <c r="R199" s="104">
        <f t="shared" si="184"/>
        <v>0</v>
      </c>
      <c r="S199" s="113">
        <f t="shared" si="185"/>
        <v>0</v>
      </c>
      <c r="T199" s="113">
        <f t="shared" si="186"/>
        <v>55388.33</v>
      </c>
      <c r="U199" s="113">
        <f t="shared" si="187"/>
        <v>1237960</v>
      </c>
      <c r="V199" s="104">
        <f t="shared" si="188"/>
        <v>1293348.33</v>
      </c>
      <c r="W199" s="113">
        <f>+'CONAP (ALL FUNDS)'!J102</f>
        <v>0</v>
      </c>
      <c r="X199" s="113">
        <f>+'CONAP (ALL FUNDS)'!K102</f>
        <v>55388.33</v>
      </c>
      <c r="Y199" s="113">
        <f>+'CONAP (ALL FUNDS)'!L102</f>
        <v>1188000.03</v>
      </c>
      <c r="Z199" s="104">
        <f t="shared" si="178"/>
        <v>1243388.3600000001</v>
      </c>
      <c r="AA199" s="113"/>
      <c r="AB199" s="113"/>
      <c r="AC199" s="113"/>
      <c r="AD199" s="104">
        <f t="shared" si="179"/>
        <v>0</v>
      </c>
      <c r="AE199" s="117">
        <f t="shared" si="189"/>
        <v>0</v>
      </c>
      <c r="AF199" s="117">
        <f t="shared" si="190"/>
        <v>55388.33</v>
      </c>
      <c r="AG199" s="117">
        <f t="shared" si="191"/>
        <v>1188000.03</v>
      </c>
      <c r="AH199" s="104">
        <f t="shared" si="180"/>
        <v>1243388.3600000001</v>
      </c>
      <c r="AI199" s="117">
        <f t="shared" si="163"/>
        <v>0</v>
      </c>
      <c r="AJ199" s="117">
        <f t="shared" si="164"/>
        <v>0</v>
      </c>
      <c r="AK199" s="117">
        <f t="shared" si="165"/>
        <v>49959.969999999972</v>
      </c>
      <c r="AL199" s="104">
        <f t="shared" si="166"/>
        <v>49959.969999999972</v>
      </c>
      <c r="AM199" s="1221" t="str">
        <f t="shared" si="138"/>
        <v xml:space="preserve"> </v>
      </c>
      <c r="AN199" s="1221">
        <f t="shared" si="139"/>
        <v>1</v>
      </c>
      <c r="AO199" s="1221">
        <f t="shared" si="140"/>
        <v>0.95964330834598854</v>
      </c>
      <c r="AP199" s="1221">
        <f t="shared" si="141"/>
        <v>0.96137160512667152</v>
      </c>
      <c r="AQ199" s="1223" t="str">
        <f t="shared" si="169"/>
        <v xml:space="preserve"> </v>
      </c>
      <c r="AW199" s="107"/>
      <c r="BL199" s="149">
        <f>+'CONAP (ALL FUNDS)'!F102</f>
        <v>0</v>
      </c>
      <c r="BM199" s="149">
        <f>+'CONAP (ALL FUNDS)'!G102</f>
        <v>55388.33</v>
      </c>
      <c r="BN199" s="149">
        <f>+'CONAP (ALL FUNDS)'!H102</f>
        <v>1237960</v>
      </c>
      <c r="BP199" s="216">
        <f t="shared" si="142"/>
        <v>0</v>
      </c>
      <c r="BQ199" s="216">
        <f t="shared" si="143"/>
        <v>0</v>
      </c>
      <c r="BR199" s="216">
        <f t="shared" si="144"/>
        <v>0</v>
      </c>
    </row>
    <row r="200" spans="1:70" ht="12.75">
      <c r="A200" s="587" t="s">
        <v>936</v>
      </c>
      <c r="B200" s="1231" t="s">
        <v>535</v>
      </c>
      <c r="C200" s="113">
        <v>0</v>
      </c>
      <c r="D200" s="113">
        <v>70439.399999999994</v>
      </c>
      <c r="E200" s="113">
        <v>0</v>
      </c>
      <c r="F200" s="104">
        <f t="shared" si="160"/>
        <v>70439.399999999994</v>
      </c>
      <c r="G200" s="113"/>
      <c r="H200" s="113"/>
      <c r="I200" s="113"/>
      <c r="J200" s="104">
        <f t="shared" si="161"/>
        <v>0</v>
      </c>
      <c r="K200" s="113"/>
      <c r="L200" s="113"/>
      <c r="M200" s="113"/>
      <c r="N200" s="104">
        <f t="shared" si="162"/>
        <v>0</v>
      </c>
      <c r="O200" s="113">
        <f t="shared" si="181"/>
        <v>0</v>
      </c>
      <c r="P200" s="113">
        <f t="shared" si="182"/>
        <v>0</v>
      </c>
      <c r="Q200" s="113">
        <f t="shared" si="183"/>
        <v>0</v>
      </c>
      <c r="R200" s="104">
        <f t="shared" si="184"/>
        <v>0</v>
      </c>
      <c r="S200" s="113">
        <f t="shared" si="185"/>
        <v>0</v>
      </c>
      <c r="T200" s="113">
        <f t="shared" si="186"/>
        <v>70439.399999999994</v>
      </c>
      <c r="U200" s="113">
        <f t="shared" si="187"/>
        <v>0</v>
      </c>
      <c r="V200" s="104">
        <f t="shared" si="188"/>
        <v>70439.399999999994</v>
      </c>
      <c r="W200" s="113">
        <f>+'CONAP (ALL FUNDS)'!J103</f>
        <v>0</v>
      </c>
      <c r="X200" s="113">
        <f>+'CONAP (ALL FUNDS)'!K103</f>
        <v>70439.399999999994</v>
      </c>
      <c r="Y200" s="113">
        <f>+'CONAP (ALL FUNDS)'!L103</f>
        <v>0</v>
      </c>
      <c r="Z200" s="104">
        <f t="shared" si="178"/>
        <v>70439.399999999994</v>
      </c>
      <c r="AA200" s="113"/>
      <c r="AB200" s="113"/>
      <c r="AC200" s="113"/>
      <c r="AD200" s="104">
        <f t="shared" si="179"/>
        <v>0</v>
      </c>
      <c r="AE200" s="117">
        <f t="shared" si="189"/>
        <v>0</v>
      </c>
      <c r="AF200" s="117">
        <f t="shared" si="190"/>
        <v>70439.399999999994</v>
      </c>
      <c r="AG200" s="117">
        <f t="shared" si="191"/>
        <v>0</v>
      </c>
      <c r="AH200" s="104">
        <f t="shared" si="180"/>
        <v>70439.399999999994</v>
      </c>
      <c r="AI200" s="117">
        <f t="shared" si="163"/>
        <v>0</v>
      </c>
      <c r="AJ200" s="117">
        <f t="shared" si="164"/>
        <v>0</v>
      </c>
      <c r="AK200" s="117">
        <f t="shared" si="165"/>
        <v>0</v>
      </c>
      <c r="AL200" s="104">
        <f t="shared" si="166"/>
        <v>0</v>
      </c>
      <c r="AM200" s="1221" t="str">
        <f t="shared" si="138"/>
        <v xml:space="preserve"> </v>
      </c>
      <c r="AN200" s="1221">
        <f t="shared" si="139"/>
        <v>1</v>
      </c>
      <c r="AO200" s="1221" t="str">
        <f t="shared" si="140"/>
        <v xml:space="preserve"> </v>
      </c>
      <c r="AP200" s="1221">
        <f t="shared" si="141"/>
        <v>1</v>
      </c>
      <c r="AQ200" s="1223" t="str">
        <f t="shared" si="169"/>
        <v xml:space="preserve"> </v>
      </c>
      <c r="AW200" s="107"/>
      <c r="BL200" s="149">
        <f>+'CONAP (ALL FUNDS)'!F103</f>
        <v>0</v>
      </c>
      <c r="BM200" s="149">
        <f>+'CONAP (ALL FUNDS)'!G103</f>
        <v>70439.399999999994</v>
      </c>
      <c r="BN200" s="149">
        <f>+'CONAP (ALL FUNDS)'!H103</f>
        <v>0</v>
      </c>
      <c r="BP200" s="216">
        <f t="shared" si="142"/>
        <v>0</v>
      </c>
      <c r="BQ200" s="216">
        <f t="shared" si="143"/>
        <v>0</v>
      </c>
      <c r="BR200" s="216">
        <f t="shared" si="144"/>
        <v>0</v>
      </c>
    </row>
    <row r="201" spans="1:70" ht="36">
      <c r="A201" s="587" t="s">
        <v>936</v>
      </c>
      <c r="B201" s="1241" t="s">
        <v>536</v>
      </c>
      <c r="C201" s="113">
        <v>0</v>
      </c>
      <c r="D201" s="113">
        <v>101081.1</v>
      </c>
      <c r="E201" s="113">
        <v>0</v>
      </c>
      <c r="F201" s="104">
        <f t="shared" si="160"/>
        <v>101081.1</v>
      </c>
      <c r="G201" s="113">
        <f>+'CONAP (ALL FUNDS)'!F106</f>
        <v>0</v>
      </c>
      <c r="H201" s="113">
        <f>+'CONAP (ALL FUNDS)'!G106</f>
        <v>-1586949.1200000001</v>
      </c>
      <c r="I201" s="113">
        <f>+'CONAP (ALL FUNDS)'!H106</f>
        <v>11498400</v>
      </c>
      <c r="J201" s="104">
        <f t="shared" si="161"/>
        <v>9911450.879999999</v>
      </c>
      <c r="K201" s="113">
        <v>0</v>
      </c>
      <c r="L201" s="113">
        <v>9391056.0399999917</v>
      </c>
      <c r="M201" s="113">
        <v>140564542.78</v>
      </c>
      <c r="N201" s="104">
        <f t="shared" si="162"/>
        <v>149955598.81999999</v>
      </c>
      <c r="O201" s="113">
        <f t="shared" si="181"/>
        <v>0</v>
      </c>
      <c r="P201" s="113">
        <f t="shared" si="182"/>
        <v>7804106.9199999915</v>
      </c>
      <c r="Q201" s="113">
        <f t="shared" si="183"/>
        <v>152062942.78</v>
      </c>
      <c r="R201" s="104">
        <f t="shared" si="184"/>
        <v>159867049.69999999</v>
      </c>
      <c r="S201" s="113">
        <f t="shared" si="185"/>
        <v>0</v>
      </c>
      <c r="T201" s="113">
        <f t="shared" si="186"/>
        <v>7905188.0199999912</v>
      </c>
      <c r="U201" s="113">
        <f t="shared" si="187"/>
        <v>152062942.78</v>
      </c>
      <c r="V201" s="104">
        <f t="shared" si="188"/>
        <v>159968130.79999998</v>
      </c>
      <c r="W201" s="113">
        <f>+'CONAP (ALL FUNDS)'!J104</f>
        <v>0</v>
      </c>
      <c r="X201" s="113">
        <f>+'CONAP (ALL FUNDS)'!K104</f>
        <v>101081.1</v>
      </c>
      <c r="Y201" s="113">
        <f>+'CONAP (ALL FUNDS)'!L104</f>
        <v>0</v>
      </c>
      <c r="Z201" s="104">
        <f t="shared" si="178"/>
        <v>101081.1</v>
      </c>
      <c r="AA201" s="113">
        <f>+'CONAP (ALL FUNDS)'!J105</f>
        <v>0</v>
      </c>
      <c r="AB201" s="113">
        <f>+'CONAP (ALL FUNDS)'!K105</f>
        <v>7556806.3700000001</v>
      </c>
      <c r="AC201" s="113">
        <f>+'CONAP (ALL FUNDS)'!L105</f>
        <v>123544037.11</v>
      </c>
      <c r="AD201" s="104">
        <f t="shared" si="179"/>
        <v>131100843.48</v>
      </c>
      <c r="AE201" s="117">
        <f t="shared" si="189"/>
        <v>0</v>
      </c>
      <c r="AF201" s="117">
        <f t="shared" si="190"/>
        <v>7657887.4699999997</v>
      </c>
      <c r="AG201" s="117">
        <f t="shared" si="191"/>
        <v>123544037.11</v>
      </c>
      <c r="AH201" s="104">
        <f t="shared" si="180"/>
        <v>131201924.58</v>
      </c>
      <c r="AI201" s="117">
        <f t="shared" si="163"/>
        <v>0</v>
      </c>
      <c r="AJ201" s="117">
        <f t="shared" si="164"/>
        <v>247300.54999999143</v>
      </c>
      <c r="AK201" s="117">
        <f t="shared" si="165"/>
        <v>28518905.670000002</v>
      </c>
      <c r="AL201" s="104">
        <f t="shared" si="166"/>
        <v>28766206.219999991</v>
      </c>
      <c r="AM201" s="1221" t="str">
        <f t="shared" si="138"/>
        <v xml:space="preserve"> </v>
      </c>
      <c r="AN201" s="1221">
        <f t="shared" si="139"/>
        <v>0.96871667702598274</v>
      </c>
      <c r="AO201" s="1221">
        <f t="shared" si="140"/>
        <v>0.81245328316932364</v>
      </c>
      <c r="AP201" s="1221">
        <f t="shared" si="141"/>
        <v>0.82017539321025823</v>
      </c>
      <c r="AQ201" s="1223" t="str">
        <f t="shared" si="169"/>
        <v xml:space="preserve"> </v>
      </c>
      <c r="AW201" s="107"/>
      <c r="BL201" s="149">
        <f>+'CONAP (ALL FUNDS)'!F104</f>
        <v>0</v>
      </c>
      <c r="BM201" s="149">
        <f>+'CONAP (ALL FUNDS)'!G104</f>
        <v>101081.1</v>
      </c>
      <c r="BN201" s="149">
        <f>+'CONAP (ALL FUNDS)'!H104</f>
        <v>0</v>
      </c>
      <c r="BP201" s="216">
        <f t="shared" si="142"/>
        <v>0</v>
      </c>
      <c r="BQ201" s="216">
        <f t="shared" si="143"/>
        <v>0</v>
      </c>
      <c r="BR201" s="216">
        <f t="shared" si="144"/>
        <v>0</v>
      </c>
    </row>
    <row r="202" spans="1:70" ht="12.75">
      <c r="B202" s="1238"/>
      <c r="C202" s="113"/>
      <c r="D202" s="113"/>
      <c r="E202" s="113"/>
      <c r="F202" s="104">
        <f t="shared" si="160"/>
        <v>0</v>
      </c>
      <c r="G202" s="113"/>
      <c r="H202" s="113"/>
      <c r="I202" s="113"/>
      <c r="J202" s="104">
        <f t="shared" si="161"/>
        <v>0</v>
      </c>
      <c r="K202" s="113"/>
      <c r="L202" s="113"/>
      <c r="M202" s="113"/>
      <c r="N202" s="104">
        <f t="shared" si="162"/>
        <v>0</v>
      </c>
      <c r="O202" s="113">
        <f t="shared" si="181"/>
        <v>0</v>
      </c>
      <c r="P202" s="113">
        <f t="shared" si="182"/>
        <v>0</v>
      </c>
      <c r="Q202" s="113">
        <f t="shared" si="183"/>
        <v>0</v>
      </c>
      <c r="R202" s="104">
        <f t="shared" si="184"/>
        <v>0</v>
      </c>
      <c r="S202" s="113">
        <f t="shared" si="185"/>
        <v>0</v>
      </c>
      <c r="T202" s="113">
        <f t="shared" si="186"/>
        <v>0</v>
      </c>
      <c r="U202" s="113">
        <f t="shared" si="187"/>
        <v>0</v>
      </c>
      <c r="V202" s="104">
        <f t="shared" si="188"/>
        <v>0</v>
      </c>
      <c r="W202" s="113"/>
      <c r="X202" s="113"/>
      <c r="Y202" s="113"/>
      <c r="Z202" s="104">
        <f t="shared" si="178"/>
        <v>0</v>
      </c>
      <c r="AA202" s="113"/>
      <c r="AB202" s="113"/>
      <c r="AC202" s="113"/>
      <c r="AD202" s="104">
        <f t="shared" si="179"/>
        <v>0</v>
      </c>
      <c r="AE202" s="117">
        <f t="shared" si="189"/>
        <v>0</v>
      </c>
      <c r="AF202" s="117">
        <f t="shared" si="190"/>
        <v>0</v>
      </c>
      <c r="AG202" s="117">
        <f t="shared" si="191"/>
        <v>0</v>
      </c>
      <c r="AH202" s="104">
        <f t="shared" si="180"/>
        <v>0</v>
      </c>
      <c r="AI202" s="117">
        <f t="shared" si="163"/>
        <v>0</v>
      </c>
      <c r="AJ202" s="117">
        <f t="shared" si="164"/>
        <v>0</v>
      </c>
      <c r="AK202" s="117">
        <f t="shared" si="165"/>
        <v>0</v>
      </c>
      <c r="AL202" s="104">
        <f t="shared" si="166"/>
        <v>0</v>
      </c>
      <c r="AM202" s="1221" t="str">
        <f t="shared" ref="AM202:AM265" si="194">IF(S202=0," ",AE202/S202)</f>
        <v xml:space="preserve"> </v>
      </c>
      <c r="AN202" s="1221" t="str">
        <f t="shared" ref="AN202:AN265" si="195">IF(T202=0," ",AF202/T202)</f>
        <v xml:space="preserve"> </v>
      </c>
      <c r="AO202" s="1221" t="str">
        <f t="shared" ref="AO202:AO265" si="196">IF(U202=0," ",AG202/U202)</f>
        <v xml:space="preserve"> </v>
      </c>
      <c r="AP202" s="1221" t="str">
        <f t="shared" ref="AP202:AP265" si="197">IF(V202=0," ",AH202/V202)</f>
        <v xml:space="preserve"> </v>
      </c>
      <c r="AQ202" s="1223" t="str">
        <f t="shared" si="169"/>
        <v xml:space="preserve"> </v>
      </c>
      <c r="AW202" s="107"/>
      <c r="BL202" s="149"/>
      <c r="BM202" s="149"/>
      <c r="BN202" s="149"/>
      <c r="BP202" s="216">
        <f t="shared" ref="BP202:BP265" si="198">+C202-BL202</f>
        <v>0</v>
      </c>
      <c r="BQ202" s="216">
        <f t="shared" ref="BQ202:BQ265" si="199">+D202-BM202</f>
        <v>0</v>
      </c>
      <c r="BR202" s="216">
        <f t="shared" ref="BR202:BR265" si="200">+E202-BN202</f>
        <v>0</v>
      </c>
    </row>
    <row r="203" spans="1:70" ht="12.75">
      <c r="A203" s="587" t="s">
        <v>936</v>
      </c>
      <c r="B203" s="1235" t="s">
        <v>28</v>
      </c>
      <c r="C203" s="113">
        <f t="shared" ref="C203:N203" si="201">SUM(C204:C206)</f>
        <v>0</v>
      </c>
      <c r="D203" s="113">
        <f t="shared" si="201"/>
        <v>1418736.4599999981</v>
      </c>
      <c r="E203" s="113">
        <f t="shared" si="201"/>
        <v>0</v>
      </c>
      <c r="F203" s="113">
        <f t="shared" si="201"/>
        <v>1418736.4599999981</v>
      </c>
      <c r="G203" s="113">
        <f t="shared" si="201"/>
        <v>0</v>
      </c>
      <c r="H203" s="113">
        <f t="shared" si="201"/>
        <v>-3000000</v>
      </c>
      <c r="I203" s="113">
        <f t="shared" si="201"/>
        <v>12615500</v>
      </c>
      <c r="J203" s="113">
        <f t="shared" si="201"/>
        <v>9615500</v>
      </c>
      <c r="K203" s="113">
        <f t="shared" si="201"/>
        <v>0</v>
      </c>
      <c r="L203" s="113">
        <f t="shared" si="201"/>
        <v>30625215.920000002</v>
      </c>
      <c r="M203" s="113">
        <f t="shared" si="201"/>
        <v>7284803.5800000001</v>
      </c>
      <c r="N203" s="113">
        <f t="shared" si="201"/>
        <v>37910019.5</v>
      </c>
      <c r="O203" s="113">
        <f t="shared" si="181"/>
        <v>0</v>
      </c>
      <c r="P203" s="113">
        <f t="shared" si="182"/>
        <v>27625215.920000002</v>
      </c>
      <c r="Q203" s="113">
        <f t="shared" si="183"/>
        <v>19900303.579999998</v>
      </c>
      <c r="R203" s="104">
        <f t="shared" si="184"/>
        <v>47525519.5</v>
      </c>
      <c r="S203" s="113">
        <f t="shared" si="185"/>
        <v>0</v>
      </c>
      <c r="T203" s="113">
        <f t="shared" si="186"/>
        <v>29043952.379999999</v>
      </c>
      <c r="U203" s="113">
        <f t="shared" si="187"/>
        <v>19900303.579999998</v>
      </c>
      <c r="V203" s="104">
        <f t="shared" si="188"/>
        <v>48944255.959999993</v>
      </c>
      <c r="W203" s="113">
        <f>SUM(W204:W206)</f>
        <v>0</v>
      </c>
      <c r="X203" s="113">
        <f>SUM(X204:X206)</f>
        <v>1418736.46</v>
      </c>
      <c r="Y203" s="113">
        <f>SUM(Y204:Y206)</f>
        <v>0</v>
      </c>
      <c r="Z203" s="104">
        <f t="shared" si="178"/>
        <v>1418736.46</v>
      </c>
      <c r="AA203" s="113">
        <f>SUM(AA204:AA206)</f>
        <v>0</v>
      </c>
      <c r="AB203" s="113">
        <f>SUM(AB204:AB206)</f>
        <v>28747224.509999998</v>
      </c>
      <c r="AC203" s="113">
        <f>SUM(AC204:AC206)</f>
        <v>10941703.109999999</v>
      </c>
      <c r="AD203" s="104">
        <f t="shared" si="179"/>
        <v>39688927.619999997</v>
      </c>
      <c r="AE203" s="117">
        <f t="shared" si="189"/>
        <v>0</v>
      </c>
      <c r="AF203" s="117">
        <f t="shared" si="190"/>
        <v>30165960.969999999</v>
      </c>
      <c r="AG203" s="117">
        <f t="shared" si="191"/>
        <v>10941703.109999999</v>
      </c>
      <c r="AH203" s="104">
        <f t="shared" si="180"/>
        <v>41107664.079999998</v>
      </c>
      <c r="AI203" s="117">
        <f t="shared" si="163"/>
        <v>0</v>
      </c>
      <c r="AJ203" s="117">
        <f t="shared" si="164"/>
        <v>-1122008.5899999999</v>
      </c>
      <c r="AK203" s="117">
        <f t="shared" si="165"/>
        <v>8958600.4699999988</v>
      </c>
      <c r="AL203" s="104">
        <f t="shared" si="166"/>
        <v>7836591.879999999</v>
      </c>
      <c r="AM203" s="1221" t="str">
        <f t="shared" si="194"/>
        <v xml:space="preserve"> </v>
      </c>
      <c r="AN203" s="1221">
        <f t="shared" si="195"/>
        <v>1.0386314016536065</v>
      </c>
      <c r="AO203" s="1221">
        <f t="shared" si="196"/>
        <v>0.54982593938901114</v>
      </c>
      <c r="AP203" s="1221">
        <f t="shared" si="197"/>
        <v>0.83988740402133188</v>
      </c>
      <c r="AQ203" s="1223" t="str">
        <f t="shared" si="169"/>
        <v xml:space="preserve"> </v>
      </c>
      <c r="AW203" s="107"/>
      <c r="BH203" s="105">
        <f>+AL203-'CONAP (ALL FUNDS)'!Q239</f>
        <v>0</v>
      </c>
      <c r="BL203" s="149">
        <f>SUM(BL204:BL206)</f>
        <v>0</v>
      </c>
      <c r="BM203" s="149">
        <f t="shared" ref="BM203:BN203" si="202">SUM(BM204:BM206)</f>
        <v>1418736.4599999981</v>
      </c>
      <c r="BN203" s="149">
        <f t="shared" si="202"/>
        <v>0</v>
      </c>
      <c r="BP203" s="216">
        <f t="shared" si="198"/>
        <v>0</v>
      </c>
      <c r="BQ203" s="216">
        <f t="shared" si="199"/>
        <v>0</v>
      </c>
      <c r="BR203" s="216">
        <f t="shared" si="200"/>
        <v>0</v>
      </c>
    </row>
    <row r="204" spans="1:70" ht="36">
      <c r="A204" s="587" t="s">
        <v>936</v>
      </c>
      <c r="B204" s="1241" t="s">
        <v>534</v>
      </c>
      <c r="C204" s="113">
        <v>0</v>
      </c>
      <c r="D204" s="113">
        <v>773806.36</v>
      </c>
      <c r="E204" s="113">
        <v>0</v>
      </c>
      <c r="F204" s="104">
        <f t="shared" si="160"/>
        <v>773806.36</v>
      </c>
      <c r="G204" s="113"/>
      <c r="H204" s="113"/>
      <c r="I204" s="113"/>
      <c r="J204" s="104">
        <f t="shared" si="161"/>
        <v>0</v>
      </c>
      <c r="K204" s="113"/>
      <c r="L204" s="113"/>
      <c r="M204" s="113"/>
      <c r="N204" s="104">
        <f t="shared" si="162"/>
        <v>0</v>
      </c>
      <c r="O204" s="113">
        <f t="shared" si="181"/>
        <v>0</v>
      </c>
      <c r="P204" s="113">
        <f t="shared" si="182"/>
        <v>0</v>
      </c>
      <c r="Q204" s="113">
        <f t="shared" si="183"/>
        <v>0</v>
      </c>
      <c r="R204" s="104">
        <f t="shared" si="184"/>
        <v>0</v>
      </c>
      <c r="S204" s="113">
        <f t="shared" si="185"/>
        <v>0</v>
      </c>
      <c r="T204" s="113">
        <f t="shared" si="186"/>
        <v>773806.36</v>
      </c>
      <c r="U204" s="113">
        <f t="shared" si="187"/>
        <v>0</v>
      </c>
      <c r="V204" s="104">
        <f t="shared" si="188"/>
        <v>773806.36</v>
      </c>
      <c r="W204" s="113">
        <f>+'CONAP (ALL FUNDS)'!J233</f>
        <v>0</v>
      </c>
      <c r="X204" s="113">
        <f>+'CONAP (ALL FUNDS)'!K233</f>
        <v>773806.36</v>
      </c>
      <c r="Y204" s="113">
        <f>+'CONAP (ALL FUNDS)'!L233</f>
        <v>0</v>
      </c>
      <c r="Z204" s="104">
        <f t="shared" si="178"/>
        <v>773806.36</v>
      </c>
      <c r="AA204" s="113"/>
      <c r="AB204" s="113"/>
      <c r="AC204" s="113"/>
      <c r="AD204" s="104">
        <f t="shared" si="179"/>
        <v>0</v>
      </c>
      <c r="AE204" s="117">
        <f t="shared" si="189"/>
        <v>0</v>
      </c>
      <c r="AF204" s="117">
        <f t="shared" si="190"/>
        <v>773806.36</v>
      </c>
      <c r="AG204" s="117">
        <f t="shared" si="191"/>
        <v>0</v>
      </c>
      <c r="AH204" s="104">
        <f t="shared" si="180"/>
        <v>773806.36</v>
      </c>
      <c r="AI204" s="117">
        <f t="shared" si="163"/>
        <v>0</v>
      </c>
      <c r="AJ204" s="117">
        <f t="shared" si="164"/>
        <v>0</v>
      </c>
      <c r="AK204" s="117">
        <f t="shared" si="165"/>
        <v>0</v>
      </c>
      <c r="AL204" s="104">
        <f t="shared" si="166"/>
        <v>0</v>
      </c>
      <c r="AM204" s="1221" t="str">
        <f t="shared" si="194"/>
        <v xml:space="preserve"> </v>
      </c>
      <c r="AN204" s="1221">
        <f t="shared" si="195"/>
        <v>1</v>
      </c>
      <c r="AO204" s="1221" t="str">
        <f t="shared" si="196"/>
        <v xml:space="preserve"> </v>
      </c>
      <c r="AP204" s="1221">
        <f t="shared" si="197"/>
        <v>1</v>
      </c>
      <c r="AQ204" s="1223" t="str">
        <f t="shared" si="169"/>
        <v xml:space="preserve"> </v>
      </c>
      <c r="AW204" s="107"/>
      <c r="BL204" s="149">
        <f>+'CONAP (ALL FUNDS)'!F233</f>
        <v>0</v>
      </c>
      <c r="BM204" s="149">
        <f>+'CONAP (ALL FUNDS)'!G233</f>
        <v>773806.36</v>
      </c>
      <c r="BN204" s="149">
        <f>+'CONAP (ALL FUNDS)'!H233</f>
        <v>0</v>
      </c>
      <c r="BP204" s="216">
        <f t="shared" si="198"/>
        <v>0</v>
      </c>
      <c r="BQ204" s="216">
        <f t="shared" si="199"/>
        <v>0</v>
      </c>
      <c r="BR204" s="216">
        <f t="shared" si="200"/>
        <v>0</v>
      </c>
    </row>
    <row r="205" spans="1:70" ht="12.75">
      <c r="A205" s="587" t="s">
        <v>936</v>
      </c>
      <c r="B205" s="1231" t="s">
        <v>535</v>
      </c>
      <c r="C205" s="113">
        <v>0</v>
      </c>
      <c r="D205" s="113">
        <v>33334.410000000149</v>
      </c>
      <c r="E205" s="113">
        <v>0</v>
      </c>
      <c r="F205" s="104">
        <f t="shared" si="160"/>
        <v>33334.410000000149</v>
      </c>
      <c r="G205" s="113"/>
      <c r="H205" s="113"/>
      <c r="I205" s="113"/>
      <c r="J205" s="104">
        <f t="shared" si="161"/>
        <v>0</v>
      </c>
      <c r="K205" s="113"/>
      <c r="L205" s="113"/>
      <c r="M205" s="113"/>
      <c r="N205" s="104">
        <f t="shared" si="162"/>
        <v>0</v>
      </c>
      <c r="O205" s="113">
        <f t="shared" si="181"/>
        <v>0</v>
      </c>
      <c r="P205" s="113">
        <f t="shared" si="182"/>
        <v>0</v>
      </c>
      <c r="Q205" s="113">
        <f t="shared" si="183"/>
        <v>0</v>
      </c>
      <c r="R205" s="104">
        <f t="shared" si="184"/>
        <v>0</v>
      </c>
      <c r="S205" s="113">
        <f t="shared" si="185"/>
        <v>0</v>
      </c>
      <c r="T205" s="113">
        <f t="shared" si="186"/>
        <v>33334.410000000149</v>
      </c>
      <c r="U205" s="113">
        <f t="shared" si="187"/>
        <v>0</v>
      </c>
      <c r="V205" s="104">
        <f t="shared" si="188"/>
        <v>33334.410000000149</v>
      </c>
      <c r="W205" s="113">
        <f>+'CONAP (ALL FUNDS)'!J234</f>
        <v>0</v>
      </c>
      <c r="X205" s="113">
        <f>+'CONAP (ALL FUNDS)'!K234</f>
        <v>33334.409999999996</v>
      </c>
      <c r="Y205" s="113">
        <f>+'CONAP (ALL FUNDS)'!L234</f>
        <v>0</v>
      </c>
      <c r="Z205" s="104">
        <f t="shared" si="178"/>
        <v>33334.409999999996</v>
      </c>
      <c r="AA205" s="113"/>
      <c r="AB205" s="113"/>
      <c r="AC205" s="113"/>
      <c r="AD205" s="104">
        <f t="shared" si="179"/>
        <v>0</v>
      </c>
      <c r="AE205" s="117">
        <f t="shared" si="189"/>
        <v>0</v>
      </c>
      <c r="AF205" s="117">
        <f t="shared" si="190"/>
        <v>33334.409999999996</v>
      </c>
      <c r="AG205" s="117">
        <f t="shared" si="191"/>
        <v>0</v>
      </c>
      <c r="AH205" s="104">
        <f t="shared" si="180"/>
        <v>33334.409999999996</v>
      </c>
      <c r="AI205" s="117">
        <f t="shared" si="163"/>
        <v>0</v>
      </c>
      <c r="AJ205" s="117">
        <f t="shared" si="164"/>
        <v>1.5279510989785194E-10</v>
      </c>
      <c r="AK205" s="117">
        <f t="shared" si="165"/>
        <v>0</v>
      </c>
      <c r="AL205" s="104">
        <f t="shared" si="166"/>
        <v>1.5279510989785194E-10</v>
      </c>
      <c r="AM205" s="1221" t="str">
        <f t="shared" si="194"/>
        <v xml:space="preserve"> </v>
      </c>
      <c r="AN205" s="1221">
        <f t="shared" si="195"/>
        <v>0.99999999999999545</v>
      </c>
      <c r="AO205" s="1221" t="str">
        <f t="shared" si="196"/>
        <v xml:space="preserve"> </v>
      </c>
      <c r="AP205" s="1221">
        <f t="shared" si="197"/>
        <v>0.99999999999999545</v>
      </c>
      <c r="AQ205" s="1223" t="str">
        <f t="shared" si="169"/>
        <v xml:space="preserve"> </v>
      </c>
      <c r="AW205" s="107"/>
      <c r="BL205" s="149">
        <f>+'CONAP (ALL FUNDS)'!F234</f>
        <v>0</v>
      </c>
      <c r="BM205" s="149">
        <f>+'CONAP (ALL FUNDS)'!G234</f>
        <v>33334.410000000149</v>
      </c>
      <c r="BN205" s="149">
        <f>+'CONAP (ALL FUNDS)'!H234</f>
        <v>0</v>
      </c>
      <c r="BP205" s="216">
        <f t="shared" si="198"/>
        <v>0</v>
      </c>
      <c r="BQ205" s="216">
        <f t="shared" si="199"/>
        <v>0</v>
      </c>
      <c r="BR205" s="216">
        <f t="shared" si="200"/>
        <v>0</v>
      </c>
    </row>
    <row r="206" spans="1:70" ht="36">
      <c r="A206" s="587" t="s">
        <v>936</v>
      </c>
      <c r="B206" s="1241" t="s">
        <v>536</v>
      </c>
      <c r="C206" s="113">
        <v>0</v>
      </c>
      <c r="D206" s="113">
        <v>611595.68999999808</v>
      </c>
      <c r="E206" s="113">
        <v>0</v>
      </c>
      <c r="F206" s="104">
        <f t="shared" si="160"/>
        <v>611595.68999999808</v>
      </c>
      <c r="G206" s="113">
        <f>+'CONAP (ALL FUNDS)'!F237</f>
        <v>0</v>
      </c>
      <c r="H206" s="113">
        <f>+'CONAP (ALL FUNDS)'!G237</f>
        <v>-3000000</v>
      </c>
      <c r="I206" s="113">
        <f>+'CONAP (ALL FUNDS)'!H237</f>
        <v>12615500</v>
      </c>
      <c r="J206" s="104">
        <f t="shared" si="161"/>
        <v>9615500</v>
      </c>
      <c r="K206" s="113">
        <v>0</v>
      </c>
      <c r="L206" s="113">
        <v>30625215.920000002</v>
      </c>
      <c r="M206" s="113">
        <v>7284803.5800000001</v>
      </c>
      <c r="N206" s="104">
        <f t="shared" si="162"/>
        <v>37910019.5</v>
      </c>
      <c r="O206" s="113">
        <f t="shared" si="181"/>
        <v>0</v>
      </c>
      <c r="P206" s="113">
        <f t="shared" si="182"/>
        <v>27625215.920000002</v>
      </c>
      <c r="Q206" s="113">
        <f t="shared" si="183"/>
        <v>19900303.579999998</v>
      </c>
      <c r="R206" s="104">
        <f t="shared" si="184"/>
        <v>47525519.5</v>
      </c>
      <c r="S206" s="113">
        <f t="shared" si="185"/>
        <v>0</v>
      </c>
      <c r="T206" s="113">
        <f t="shared" si="186"/>
        <v>28236811.609999999</v>
      </c>
      <c r="U206" s="113">
        <f t="shared" si="187"/>
        <v>19900303.579999998</v>
      </c>
      <c r="V206" s="104">
        <f t="shared" si="188"/>
        <v>48137115.189999998</v>
      </c>
      <c r="W206" s="113">
        <f>+'CONAP (ALL FUNDS)'!J235</f>
        <v>0</v>
      </c>
      <c r="X206" s="113">
        <f>+'CONAP (ALL FUNDS)'!K235</f>
        <v>611595.69000000006</v>
      </c>
      <c r="Y206" s="113">
        <f>+'CONAP (ALL FUNDS)'!L235</f>
        <v>0</v>
      </c>
      <c r="Z206" s="104">
        <f t="shared" si="178"/>
        <v>611595.69000000006</v>
      </c>
      <c r="AA206" s="113">
        <f>+'CONAP (ALL FUNDS)'!J236</f>
        <v>0</v>
      </c>
      <c r="AB206" s="113">
        <f>+'CONAP (ALL FUNDS)'!K236</f>
        <v>28747224.509999998</v>
      </c>
      <c r="AC206" s="113">
        <f>+'CONAP (ALL FUNDS)'!L236</f>
        <v>10941703.109999999</v>
      </c>
      <c r="AD206" s="104">
        <f t="shared" si="179"/>
        <v>39688927.619999997</v>
      </c>
      <c r="AE206" s="117">
        <f t="shared" si="189"/>
        <v>0</v>
      </c>
      <c r="AF206" s="117">
        <f t="shared" si="190"/>
        <v>29358820.199999999</v>
      </c>
      <c r="AG206" s="117">
        <f t="shared" si="191"/>
        <v>10941703.109999999</v>
      </c>
      <c r="AH206" s="104">
        <f t="shared" si="180"/>
        <v>40300523.310000002</v>
      </c>
      <c r="AI206" s="117">
        <f t="shared" si="163"/>
        <v>0</v>
      </c>
      <c r="AJ206" s="117">
        <f t="shared" si="164"/>
        <v>-1122008.5899999999</v>
      </c>
      <c r="AK206" s="117">
        <f t="shared" si="165"/>
        <v>8958600.4699999988</v>
      </c>
      <c r="AL206" s="104">
        <f t="shared" si="166"/>
        <v>7836591.879999999</v>
      </c>
      <c r="AM206" s="1221" t="str">
        <f t="shared" si="194"/>
        <v xml:space="preserve"> </v>
      </c>
      <c r="AN206" s="1221">
        <f t="shared" si="195"/>
        <v>1.0397356686546948</v>
      </c>
      <c r="AO206" s="1221">
        <f t="shared" si="196"/>
        <v>0.54982593938901114</v>
      </c>
      <c r="AP206" s="1221">
        <f t="shared" si="197"/>
        <v>0.83720271044352135</v>
      </c>
      <c r="AQ206" s="1223" t="str">
        <f t="shared" si="169"/>
        <v xml:space="preserve"> </v>
      </c>
      <c r="AW206" s="107"/>
      <c r="BL206" s="149">
        <f>+'CONAP (ALL FUNDS)'!F235</f>
        <v>0</v>
      </c>
      <c r="BM206" s="149">
        <f>+'CONAP (ALL FUNDS)'!G235</f>
        <v>611595.68999999808</v>
      </c>
      <c r="BN206" s="149">
        <f>+'CONAP (ALL FUNDS)'!H235</f>
        <v>0</v>
      </c>
      <c r="BP206" s="216">
        <f t="shared" si="198"/>
        <v>0</v>
      </c>
      <c r="BQ206" s="216">
        <f t="shared" si="199"/>
        <v>0</v>
      </c>
      <c r="BR206" s="216">
        <f t="shared" si="200"/>
        <v>0</v>
      </c>
    </row>
    <row r="207" spans="1:70" ht="12.75">
      <c r="B207" s="1238"/>
      <c r="C207" s="113"/>
      <c r="D207" s="113"/>
      <c r="E207" s="113"/>
      <c r="F207" s="104">
        <f t="shared" si="160"/>
        <v>0</v>
      </c>
      <c r="G207" s="113"/>
      <c r="H207" s="113"/>
      <c r="I207" s="113"/>
      <c r="J207" s="104">
        <f t="shared" si="161"/>
        <v>0</v>
      </c>
      <c r="K207" s="113"/>
      <c r="L207" s="113"/>
      <c r="M207" s="113"/>
      <c r="N207" s="104">
        <f t="shared" si="162"/>
        <v>0</v>
      </c>
      <c r="O207" s="113">
        <f t="shared" si="181"/>
        <v>0</v>
      </c>
      <c r="P207" s="113">
        <f t="shared" si="182"/>
        <v>0</v>
      </c>
      <c r="Q207" s="113">
        <f t="shared" si="183"/>
        <v>0</v>
      </c>
      <c r="R207" s="104">
        <f t="shared" si="184"/>
        <v>0</v>
      </c>
      <c r="S207" s="113">
        <f t="shared" si="185"/>
        <v>0</v>
      </c>
      <c r="T207" s="113">
        <f t="shared" si="186"/>
        <v>0</v>
      </c>
      <c r="U207" s="113">
        <f t="shared" si="187"/>
        <v>0</v>
      </c>
      <c r="V207" s="104">
        <f t="shared" si="188"/>
        <v>0</v>
      </c>
      <c r="W207" s="113"/>
      <c r="X207" s="113"/>
      <c r="Y207" s="113"/>
      <c r="Z207" s="104">
        <f t="shared" si="178"/>
        <v>0</v>
      </c>
      <c r="AA207" s="113"/>
      <c r="AB207" s="113"/>
      <c r="AC207" s="113"/>
      <c r="AD207" s="104">
        <f t="shared" si="179"/>
        <v>0</v>
      </c>
      <c r="AE207" s="117">
        <f t="shared" si="189"/>
        <v>0</v>
      </c>
      <c r="AF207" s="117">
        <f t="shared" si="190"/>
        <v>0</v>
      </c>
      <c r="AG207" s="117">
        <f t="shared" si="191"/>
        <v>0</v>
      </c>
      <c r="AH207" s="104">
        <f t="shared" si="180"/>
        <v>0</v>
      </c>
      <c r="AI207" s="117">
        <f t="shared" si="163"/>
        <v>0</v>
      </c>
      <c r="AJ207" s="117">
        <f t="shared" si="164"/>
        <v>0</v>
      </c>
      <c r="AK207" s="117">
        <f t="shared" si="165"/>
        <v>0</v>
      </c>
      <c r="AL207" s="104">
        <f t="shared" si="166"/>
        <v>0</v>
      </c>
      <c r="AM207" s="1221" t="str">
        <f t="shared" si="194"/>
        <v xml:space="preserve"> </v>
      </c>
      <c r="AN207" s="1221" t="str">
        <f t="shared" si="195"/>
        <v xml:space="preserve"> </v>
      </c>
      <c r="AO207" s="1221" t="str">
        <f t="shared" si="196"/>
        <v xml:space="preserve"> </v>
      </c>
      <c r="AP207" s="1221" t="str">
        <f t="shared" si="197"/>
        <v xml:space="preserve"> </v>
      </c>
      <c r="AQ207" s="1223" t="str">
        <f t="shared" si="169"/>
        <v xml:space="preserve"> </v>
      </c>
      <c r="AW207" s="107"/>
      <c r="BL207" s="149"/>
      <c r="BM207" s="149"/>
      <c r="BN207" s="149"/>
      <c r="BP207" s="216">
        <f t="shared" si="198"/>
        <v>0</v>
      </c>
      <c r="BQ207" s="216">
        <f t="shared" si="199"/>
        <v>0</v>
      </c>
      <c r="BR207" s="216">
        <f t="shared" si="200"/>
        <v>0</v>
      </c>
    </row>
    <row r="208" spans="1:70" ht="12.75">
      <c r="A208" s="587" t="s">
        <v>936</v>
      </c>
      <c r="B208" s="1235" t="s">
        <v>29</v>
      </c>
      <c r="C208" s="113">
        <f t="shared" ref="C208:N208" si="203">SUM(C209:C211)</f>
        <v>0</v>
      </c>
      <c r="D208" s="113">
        <f t="shared" si="203"/>
        <v>3891496.9800000004</v>
      </c>
      <c r="E208" s="113">
        <f t="shared" si="203"/>
        <v>0</v>
      </c>
      <c r="F208" s="113">
        <f t="shared" si="203"/>
        <v>3891496.9800000004</v>
      </c>
      <c r="G208" s="113">
        <f t="shared" si="203"/>
        <v>0</v>
      </c>
      <c r="H208" s="113">
        <f t="shared" si="203"/>
        <v>-800000</v>
      </c>
      <c r="I208" s="113">
        <f t="shared" si="203"/>
        <v>6913000</v>
      </c>
      <c r="J208" s="113">
        <f t="shared" si="203"/>
        <v>6113000</v>
      </c>
      <c r="K208" s="113">
        <f t="shared" si="203"/>
        <v>0</v>
      </c>
      <c r="L208" s="113">
        <f t="shared" si="203"/>
        <v>50705095.57</v>
      </c>
      <c r="M208" s="113">
        <f t="shared" si="203"/>
        <v>21871993.719999999</v>
      </c>
      <c r="N208" s="113">
        <f t="shared" si="203"/>
        <v>72577089.289999992</v>
      </c>
      <c r="O208" s="113">
        <f t="shared" si="181"/>
        <v>0</v>
      </c>
      <c r="P208" s="113">
        <f t="shared" si="182"/>
        <v>49905095.57</v>
      </c>
      <c r="Q208" s="113">
        <f t="shared" si="183"/>
        <v>28784993.719999999</v>
      </c>
      <c r="R208" s="104">
        <f t="shared" si="184"/>
        <v>78690089.289999992</v>
      </c>
      <c r="S208" s="113">
        <f t="shared" si="185"/>
        <v>0</v>
      </c>
      <c r="T208" s="113">
        <f t="shared" si="186"/>
        <v>53796592.549999997</v>
      </c>
      <c r="U208" s="113">
        <f t="shared" si="187"/>
        <v>28784993.719999999</v>
      </c>
      <c r="V208" s="104">
        <f t="shared" si="188"/>
        <v>82581586.269999996</v>
      </c>
      <c r="W208" s="113">
        <f>SUM(W209:W211)</f>
        <v>0</v>
      </c>
      <c r="X208" s="113">
        <f>SUM(X209:X211)</f>
        <v>3597243.27</v>
      </c>
      <c r="Y208" s="113">
        <f>SUM(Y209:Y211)</f>
        <v>0</v>
      </c>
      <c r="Z208" s="104">
        <f t="shared" si="178"/>
        <v>3597243.27</v>
      </c>
      <c r="AA208" s="113">
        <f>SUM(AA209:AA211)</f>
        <v>0</v>
      </c>
      <c r="AB208" s="113">
        <f>SUM(AB209:AB211)</f>
        <v>23708217.900000002</v>
      </c>
      <c r="AC208" s="113">
        <f>SUM(AC209:AC211)</f>
        <v>11021183.379999999</v>
      </c>
      <c r="AD208" s="104">
        <f t="shared" si="179"/>
        <v>34729401.280000001</v>
      </c>
      <c r="AE208" s="117">
        <f t="shared" si="189"/>
        <v>0</v>
      </c>
      <c r="AF208" s="117">
        <f t="shared" si="190"/>
        <v>27305461.170000002</v>
      </c>
      <c r="AG208" s="117">
        <f t="shared" si="191"/>
        <v>11021183.379999999</v>
      </c>
      <c r="AH208" s="104">
        <f t="shared" si="180"/>
        <v>38326644.549999997</v>
      </c>
      <c r="AI208" s="117">
        <f t="shared" si="163"/>
        <v>0</v>
      </c>
      <c r="AJ208" s="117">
        <f t="shared" si="164"/>
        <v>26491131.379999995</v>
      </c>
      <c r="AK208" s="117">
        <f t="shared" si="165"/>
        <v>17763810.34</v>
      </c>
      <c r="AL208" s="104">
        <f t="shared" si="166"/>
        <v>44254941.719999999</v>
      </c>
      <c r="AM208" s="1221" t="str">
        <f t="shared" si="194"/>
        <v xml:space="preserve"> </v>
      </c>
      <c r="AN208" s="1221">
        <f t="shared" si="195"/>
        <v>0.50756860008599192</v>
      </c>
      <c r="AO208" s="1221">
        <f t="shared" si="196"/>
        <v>0.38287947835619673</v>
      </c>
      <c r="AP208" s="1221">
        <f t="shared" si="197"/>
        <v>0.4641064222802801</v>
      </c>
      <c r="AQ208" s="1223" t="str">
        <f t="shared" si="169"/>
        <v xml:space="preserve"> </v>
      </c>
      <c r="AW208" s="107"/>
      <c r="BH208" s="105">
        <f>+AL208-'CONAP (ALL FUNDS)'!Q310</f>
        <v>0</v>
      </c>
      <c r="BL208" s="149">
        <f>SUM(BL209:BL211)</f>
        <v>0</v>
      </c>
      <c r="BM208" s="149">
        <f t="shared" ref="BM208:BN208" si="204">SUM(BM209:BM211)</f>
        <v>3891496.9800000004</v>
      </c>
      <c r="BN208" s="149">
        <f t="shared" si="204"/>
        <v>0</v>
      </c>
      <c r="BP208" s="216">
        <f t="shared" si="198"/>
        <v>0</v>
      </c>
      <c r="BQ208" s="216">
        <f t="shared" si="199"/>
        <v>0</v>
      </c>
      <c r="BR208" s="216">
        <f t="shared" si="200"/>
        <v>0</v>
      </c>
    </row>
    <row r="209" spans="1:70" ht="36">
      <c r="A209" s="587" t="s">
        <v>936</v>
      </c>
      <c r="B209" s="1241" t="s">
        <v>534</v>
      </c>
      <c r="C209" s="113">
        <v>0</v>
      </c>
      <c r="D209" s="113">
        <v>997435.33999999985</v>
      </c>
      <c r="E209" s="113">
        <v>0</v>
      </c>
      <c r="F209" s="104">
        <f t="shared" si="160"/>
        <v>997435.33999999985</v>
      </c>
      <c r="G209" s="113"/>
      <c r="H209" s="113"/>
      <c r="I209" s="113"/>
      <c r="J209" s="104">
        <f t="shared" si="161"/>
        <v>0</v>
      </c>
      <c r="K209" s="113"/>
      <c r="L209" s="113"/>
      <c r="M209" s="113"/>
      <c r="N209" s="104">
        <f t="shared" si="162"/>
        <v>0</v>
      </c>
      <c r="O209" s="113">
        <f t="shared" si="181"/>
        <v>0</v>
      </c>
      <c r="P209" s="113">
        <f t="shared" si="182"/>
        <v>0</v>
      </c>
      <c r="Q209" s="113">
        <f t="shared" si="183"/>
        <v>0</v>
      </c>
      <c r="R209" s="104">
        <f t="shared" si="184"/>
        <v>0</v>
      </c>
      <c r="S209" s="113">
        <f t="shared" si="185"/>
        <v>0</v>
      </c>
      <c r="T209" s="113">
        <f t="shared" si="186"/>
        <v>997435.33999999985</v>
      </c>
      <c r="U209" s="113">
        <f t="shared" si="187"/>
        <v>0</v>
      </c>
      <c r="V209" s="104">
        <f t="shared" si="188"/>
        <v>997435.33999999985</v>
      </c>
      <c r="W209" s="113">
        <f>+'CONAP (ALL FUNDS)'!J304</f>
        <v>0</v>
      </c>
      <c r="X209" s="113">
        <f>+'CONAP (ALL FUNDS)'!K304</f>
        <v>902467.88</v>
      </c>
      <c r="Y209" s="113">
        <f>+'CONAP (ALL FUNDS)'!L304</f>
        <v>0</v>
      </c>
      <c r="Z209" s="104">
        <f t="shared" si="178"/>
        <v>902467.88</v>
      </c>
      <c r="AA209" s="113"/>
      <c r="AB209" s="113"/>
      <c r="AC209" s="113"/>
      <c r="AD209" s="104">
        <f t="shared" si="179"/>
        <v>0</v>
      </c>
      <c r="AE209" s="117">
        <f t="shared" si="189"/>
        <v>0</v>
      </c>
      <c r="AF209" s="117">
        <f t="shared" si="190"/>
        <v>902467.88</v>
      </c>
      <c r="AG209" s="117">
        <f t="shared" si="191"/>
        <v>0</v>
      </c>
      <c r="AH209" s="104">
        <f t="shared" si="180"/>
        <v>902467.88</v>
      </c>
      <c r="AI209" s="117">
        <f t="shared" si="163"/>
        <v>0</v>
      </c>
      <c r="AJ209" s="117">
        <f t="shared" si="164"/>
        <v>94967.459999999846</v>
      </c>
      <c r="AK209" s="117">
        <f t="shared" si="165"/>
        <v>0</v>
      </c>
      <c r="AL209" s="104">
        <f t="shared" si="166"/>
        <v>94967.459999999846</v>
      </c>
      <c r="AM209" s="1221" t="str">
        <f t="shared" si="194"/>
        <v xml:space="preserve"> </v>
      </c>
      <c r="AN209" s="1221">
        <f t="shared" si="195"/>
        <v>0.90478835450125528</v>
      </c>
      <c r="AO209" s="1221" t="str">
        <f t="shared" si="196"/>
        <v xml:space="preserve"> </v>
      </c>
      <c r="AP209" s="1221">
        <f t="shared" si="197"/>
        <v>0.90478835450125528</v>
      </c>
      <c r="AQ209" s="1223" t="str">
        <f t="shared" si="169"/>
        <v xml:space="preserve"> </v>
      </c>
      <c r="AW209" s="107"/>
      <c r="BL209" s="149">
        <f>+'CONAP (ALL FUNDS)'!F304</f>
        <v>0</v>
      </c>
      <c r="BM209" s="149">
        <f>+'CONAP (ALL FUNDS)'!G304</f>
        <v>997435.33999999985</v>
      </c>
      <c r="BN209" s="149">
        <f>+'CONAP (ALL FUNDS)'!H304</f>
        <v>0</v>
      </c>
      <c r="BP209" s="216">
        <f t="shared" si="198"/>
        <v>0</v>
      </c>
      <c r="BQ209" s="216">
        <f t="shared" si="199"/>
        <v>0</v>
      </c>
      <c r="BR209" s="216">
        <f t="shared" si="200"/>
        <v>0</v>
      </c>
    </row>
    <row r="210" spans="1:70" ht="12.75">
      <c r="A210" s="587" t="s">
        <v>936</v>
      </c>
      <c r="B210" s="1231" t="s">
        <v>535</v>
      </c>
      <c r="C210" s="113">
        <v>0</v>
      </c>
      <c r="D210" s="113">
        <v>0</v>
      </c>
      <c r="E210" s="113">
        <v>0</v>
      </c>
      <c r="F210" s="104">
        <f t="shared" si="160"/>
        <v>0</v>
      </c>
      <c r="G210" s="113"/>
      <c r="H210" s="113"/>
      <c r="I210" s="113"/>
      <c r="J210" s="104">
        <f t="shared" si="161"/>
        <v>0</v>
      </c>
      <c r="K210" s="113"/>
      <c r="L210" s="113"/>
      <c r="M210" s="113"/>
      <c r="N210" s="104">
        <f t="shared" si="162"/>
        <v>0</v>
      </c>
      <c r="O210" s="113">
        <f t="shared" si="181"/>
        <v>0</v>
      </c>
      <c r="P210" s="113">
        <f t="shared" si="182"/>
        <v>0</v>
      </c>
      <c r="Q210" s="113">
        <f t="shared" si="183"/>
        <v>0</v>
      </c>
      <c r="R210" s="104">
        <f t="shared" si="184"/>
        <v>0</v>
      </c>
      <c r="S210" s="113">
        <f t="shared" si="185"/>
        <v>0</v>
      </c>
      <c r="T210" s="113">
        <f t="shared" si="186"/>
        <v>0</v>
      </c>
      <c r="U210" s="113">
        <f t="shared" si="187"/>
        <v>0</v>
      </c>
      <c r="V210" s="104">
        <f t="shared" si="188"/>
        <v>0</v>
      </c>
      <c r="W210" s="113">
        <f>+'CONAP (ALL FUNDS)'!J305</f>
        <v>0</v>
      </c>
      <c r="X210" s="113">
        <f>+'CONAP (ALL FUNDS)'!K305</f>
        <v>0</v>
      </c>
      <c r="Y210" s="113">
        <f>+'CONAP (ALL FUNDS)'!L305</f>
        <v>0</v>
      </c>
      <c r="Z210" s="104">
        <f t="shared" si="178"/>
        <v>0</v>
      </c>
      <c r="AA210" s="113"/>
      <c r="AB210" s="113"/>
      <c r="AC210" s="113"/>
      <c r="AD210" s="104">
        <f t="shared" si="179"/>
        <v>0</v>
      </c>
      <c r="AE210" s="117">
        <f t="shared" si="189"/>
        <v>0</v>
      </c>
      <c r="AF210" s="117">
        <f t="shared" si="190"/>
        <v>0</v>
      </c>
      <c r="AG210" s="117">
        <f t="shared" si="191"/>
        <v>0</v>
      </c>
      <c r="AH210" s="104">
        <f t="shared" si="180"/>
        <v>0</v>
      </c>
      <c r="AI210" s="117">
        <f t="shared" si="163"/>
        <v>0</v>
      </c>
      <c r="AJ210" s="117">
        <f t="shared" si="164"/>
        <v>0</v>
      </c>
      <c r="AK210" s="117">
        <f t="shared" si="165"/>
        <v>0</v>
      </c>
      <c r="AL210" s="104">
        <f t="shared" si="166"/>
        <v>0</v>
      </c>
      <c r="AM210" s="1221" t="str">
        <f t="shared" si="194"/>
        <v xml:space="preserve"> </v>
      </c>
      <c r="AN210" s="1221" t="str">
        <f t="shared" si="195"/>
        <v xml:space="preserve"> </v>
      </c>
      <c r="AO210" s="1221" t="str">
        <f t="shared" si="196"/>
        <v xml:space="preserve"> </v>
      </c>
      <c r="AP210" s="1221" t="str">
        <f t="shared" si="197"/>
        <v xml:space="preserve"> </v>
      </c>
      <c r="AQ210" s="1223" t="str">
        <f t="shared" si="169"/>
        <v xml:space="preserve"> </v>
      </c>
      <c r="AW210" s="107"/>
      <c r="BL210" s="149">
        <f>+'CONAP (ALL FUNDS)'!F305</f>
        <v>0</v>
      </c>
      <c r="BM210" s="149">
        <f>+'CONAP (ALL FUNDS)'!G305</f>
        <v>0</v>
      </c>
      <c r="BN210" s="149">
        <f>+'CONAP (ALL FUNDS)'!H305</f>
        <v>0</v>
      </c>
      <c r="BP210" s="216">
        <f t="shared" si="198"/>
        <v>0</v>
      </c>
      <c r="BQ210" s="216">
        <f t="shared" si="199"/>
        <v>0</v>
      </c>
      <c r="BR210" s="216">
        <f t="shared" si="200"/>
        <v>0</v>
      </c>
    </row>
    <row r="211" spans="1:70" ht="36">
      <c r="A211" s="587" t="s">
        <v>936</v>
      </c>
      <c r="B211" s="1241" t="s">
        <v>536</v>
      </c>
      <c r="C211" s="113">
        <v>0</v>
      </c>
      <c r="D211" s="113">
        <v>2894061.6400000006</v>
      </c>
      <c r="E211" s="113">
        <v>0</v>
      </c>
      <c r="F211" s="104">
        <f t="shared" si="160"/>
        <v>2894061.6400000006</v>
      </c>
      <c r="G211" s="113">
        <f>+'CONAP (ALL FUNDS)'!F308</f>
        <v>0</v>
      </c>
      <c r="H211" s="113">
        <f>+'CONAP (ALL FUNDS)'!G308</f>
        <v>-800000</v>
      </c>
      <c r="I211" s="113">
        <f>+'CONAP (ALL FUNDS)'!H308</f>
        <v>6913000</v>
      </c>
      <c r="J211" s="104">
        <f t="shared" si="161"/>
        <v>6113000</v>
      </c>
      <c r="K211" s="113"/>
      <c r="L211" s="113">
        <v>50705095.57</v>
      </c>
      <c r="M211" s="113">
        <v>21871993.719999999</v>
      </c>
      <c r="N211" s="104">
        <f t="shared" si="162"/>
        <v>72577089.289999992</v>
      </c>
      <c r="O211" s="113">
        <f t="shared" si="181"/>
        <v>0</v>
      </c>
      <c r="P211" s="113">
        <f t="shared" si="182"/>
        <v>49905095.57</v>
      </c>
      <c r="Q211" s="113">
        <f t="shared" si="183"/>
        <v>28784993.719999999</v>
      </c>
      <c r="R211" s="104">
        <f t="shared" si="184"/>
        <v>78690089.289999992</v>
      </c>
      <c r="S211" s="113">
        <f t="shared" si="185"/>
        <v>0</v>
      </c>
      <c r="T211" s="113">
        <f t="shared" si="186"/>
        <v>52799157.210000001</v>
      </c>
      <c r="U211" s="113">
        <f t="shared" si="187"/>
        <v>28784993.719999999</v>
      </c>
      <c r="V211" s="104">
        <f t="shared" si="188"/>
        <v>81584150.930000007</v>
      </c>
      <c r="W211" s="113">
        <f>+'CONAP (ALL FUNDS)'!J306</f>
        <v>0</v>
      </c>
      <c r="X211" s="113">
        <f>+'CONAP (ALL FUNDS)'!K306</f>
        <v>2694775.39</v>
      </c>
      <c r="Y211" s="113">
        <f>+'CONAP (ALL FUNDS)'!L306</f>
        <v>0</v>
      </c>
      <c r="Z211" s="104">
        <f t="shared" si="178"/>
        <v>2694775.39</v>
      </c>
      <c r="AA211" s="113">
        <f>+'CONAP (ALL FUNDS)'!J307</f>
        <v>0</v>
      </c>
      <c r="AB211" s="113">
        <f>+'CONAP (ALL FUNDS)'!K307</f>
        <v>23708217.900000002</v>
      </c>
      <c r="AC211" s="113">
        <f>+'CONAP (ALL FUNDS)'!L307</f>
        <v>11021183.379999999</v>
      </c>
      <c r="AD211" s="104">
        <f t="shared" si="179"/>
        <v>34729401.280000001</v>
      </c>
      <c r="AE211" s="117">
        <f t="shared" si="189"/>
        <v>0</v>
      </c>
      <c r="AF211" s="117">
        <f t="shared" si="190"/>
        <v>26402993.290000003</v>
      </c>
      <c r="AG211" s="117">
        <f t="shared" si="191"/>
        <v>11021183.379999999</v>
      </c>
      <c r="AH211" s="104">
        <f t="shared" si="180"/>
        <v>37424176.670000002</v>
      </c>
      <c r="AI211" s="117">
        <f t="shared" si="163"/>
        <v>0</v>
      </c>
      <c r="AJ211" s="117">
        <f t="shared" si="164"/>
        <v>26396163.919999998</v>
      </c>
      <c r="AK211" s="117">
        <f t="shared" si="165"/>
        <v>17763810.34</v>
      </c>
      <c r="AL211" s="104">
        <f t="shared" si="166"/>
        <v>44159974.259999998</v>
      </c>
      <c r="AM211" s="1221" t="str">
        <f t="shared" si="194"/>
        <v xml:space="preserve"> </v>
      </c>
      <c r="AN211" s="1221">
        <f t="shared" si="195"/>
        <v>0.50006467309670155</v>
      </c>
      <c r="AO211" s="1221">
        <f t="shared" si="196"/>
        <v>0.38287947835619673</v>
      </c>
      <c r="AP211" s="1221">
        <f t="shared" si="197"/>
        <v>0.4587187124385263</v>
      </c>
      <c r="AQ211" s="1223" t="str">
        <f t="shared" si="169"/>
        <v xml:space="preserve"> </v>
      </c>
      <c r="AW211" s="107"/>
      <c r="BL211" s="149">
        <f>+'CONAP (ALL FUNDS)'!F306</f>
        <v>0</v>
      </c>
      <c r="BM211" s="149">
        <f>+'CONAP (ALL FUNDS)'!G306</f>
        <v>2894061.6400000006</v>
      </c>
      <c r="BN211" s="149">
        <f>+'CONAP (ALL FUNDS)'!H306</f>
        <v>0</v>
      </c>
      <c r="BP211" s="216">
        <f t="shared" si="198"/>
        <v>0</v>
      </c>
      <c r="BQ211" s="216">
        <f t="shared" si="199"/>
        <v>0</v>
      </c>
      <c r="BR211" s="216">
        <f t="shared" si="200"/>
        <v>0</v>
      </c>
    </row>
    <row r="212" spans="1:70" ht="12.75">
      <c r="B212" s="1238"/>
      <c r="C212" s="113"/>
      <c r="D212" s="113"/>
      <c r="E212" s="113"/>
      <c r="F212" s="104">
        <f t="shared" si="160"/>
        <v>0</v>
      </c>
      <c r="G212" s="113"/>
      <c r="H212" s="113"/>
      <c r="I212" s="113"/>
      <c r="J212" s="104">
        <f t="shared" si="161"/>
        <v>0</v>
      </c>
      <c r="K212" s="113"/>
      <c r="L212" s="113"/>
      <c r="M212" s="113"/>
      <c r="N212" s="104">
        <f t="shared" si="162"/>
        <v>0</v>
      </c>
      <c r="O212" s="113">
        <f t="shared" si="181"/>
        <v>0</v>
      </c>
      <c r="P212" s="113">
        <f t="shared" si="182"/>
        <v>0</v>
      </c>
      <c r="Q212" s="113">
        <f t="shared" si="183"/>
        <v>0</v>
      </c>
      <c r="R212" s="104">
        <f t="shared" si="184"/>
        <v>0</v>
      </c>
      <c r="S212" s="113">
        <f t="shared" si="185"/>
        <v>0</v>
      </c>
      <c r="T212" s="113">
        <f t="shared" si="186"/>
        <v>0</v>
      </c>
      <c r="U212" s="113">
        <f t="shared" si="187"/>
        <v>0</v>
      </c>
      <c r="V212" s="104">
        <f t="shared" si="188"/>
        <v>0</v>
      </c>
      <c r="W212" s="113"/>
      <c r="X212" s="113"/>
      <c r="Y212" s="113"/>
      <c r="Z212" s="104">
        <f t="shared" si="178"/>
        <v>0</v>
      </c>
      <c r="AA212" s="113"/>
      <c r="AB212" s="113"/>
      <c r="AC212" s="113"/>
      <c r="AD212" s="104">
        <f t="shared" si="179"/>
        <v>0</v>
      </c>
      <c r="AE212" s="117">
        <f t="shared" si="189"/>
        <v>0</v>
      </c>
      <c r="AF212" s="117">
        <f t="shared" si="190"/>
        <v>0</v>
      </c>
      <c r="AG212" s="117">
        <f t="shared" si="191"/>
        <v>0</v>
      </c>
      <c r="AH212" s="104">
        <f t="shared" si="180"/>
        <v>0</v>
      </c>
      <c r="AI212" s="117">
        <f t="shared" si="163"/>
        <v>0</v>
      </c>
      <c r="AJ212" s="117">
        <f t="shared" si="164"/>
        <v>0</v>
      </c>
      <c r="AK212" s="117">
        <f t="shared" si="165"/>
        <v>0</v>
      </c>
      <c r="AL212" s="104">
        <f t="shared" si="166"/>
        <v>0</v>
      </c>
      <c r="AM212" s="1221" t="str">
        <f t="shared" si="194"/>
        <v xml:space="preserve"> </v>
      </c>
      <c r="AN212" s="1221" t="str">
        <f t="shared" si="195"/>
        <v xml:space="preserve"> </v>
      </c>
      <c r="AO212" s="1221" t="str">
        <f t="shared" si="196"/>
        <v xml:space="preserve"> </v>
      </c>
      <c r="AP212" s="1221" t="str">
        <f t="shared" si="197"/>
        <v xml:space="preserve"> </v>
      </c>
      <c r="AQ212" s="1223" t="str">
        <f t="shared" si="169"/>
        <v xml:space="preserve"> </v>
      </c>
      <c r="AW212" s="107"/>
      <c r="BL212" s="149"/>
      <c r="BM212" s="149"/>
      <c r="BN212" s="149"/>
      <c r="BP212" s="216">
        <f t="shared" si="198"/>
        <v>0</v>
      </c>
      <c r="BQ212" s="216">
        <f t="shared" si="199"/>
        <v>0</v>
      </c>
      <c r="BR212" s="216">
        <f t="shared" si="200"/>
        <v>0</v>
      </c>
    </row>
    <row r="213" spans="1:70" ht="12.75">
      <c r="A213" s="105" t="s">
        <v>939</v>
      </c>
      <c r="B213" s="1235" t="s">
        <v>30</v>
      </c>
      <c r="C213" s="113">
        <f t="shared" ref="C213:N213" si="205">SUM(C214:C216)</f>
        <v>0</v>
      </c>
      <c r="D213" s="113">
        <f t="shared" si="205"/>
        <v>2381325.2199999997</v>
      </c>
      <c r="E213" s="113">
        <f t="shared" si="205"/>
        <v>0</v>
      </c>
      <c r="F213" s="113">
        <f t="shared" si="205"/>
        <v>2381325.2199999997</v>
      </c>
      <c r="G213" s="113">
        <f t="shared" si="205"/>
        <v>0</v>
      </c>
      <c r="H213" s="113">
        <f t="shared" si="205"/>
        <v>-2191140</v>
      </c>
      <c r="I213" s="113">
        <f t="shared" si="205"/>
        <v>28030900</v>
      </c>
      <c r="J213" s="113">
        <f t="shared" si="205"/>
        <v>25839760</v>
      </c>
      <c r="K213" s="113">
        <f t="shared" si="205"/>
        <v>0</v>
      </c>
      <c r="L213" s="113">
        <f t="shared" si="205"/>
        <v>48502206.030000001</v>
      </c>
      <c r="M213" s="113">
        <f t="shared" si="205"/>
        <v>21078999.710000001</v>
      </c>
      <c r="N213" s="113">
        <f t="shared" si="205"/>
        <v>69581205.74000001</v>
      </c>
      <c r="O213" s="113">
        <f t="shared" si="181"/>
        <v>0</v>
      </c>
      <c r="P213" s="113">
        <f t="shared" si="182"/>
        <v>46311066.030000001</v>
      </c>
      <c r="Q213" s="113">
        <f t="shared" si="183"/>
        <v>49109899.710000001</v>
      </c>
      <c r="R213" s="104">
        <f t="shared" si="184"/>
        <v>95420965.74000001</v>
      </c>
      <c r="S213" s="113">
        <f t="shared" si="185"/>
        <v>0</v>
      </c>
      <c r="T213" s="113">
        <f t="shared" si="186"/>
        <v>48692391.25</v>
      </c>
      <c r="U213" s="113">
        <f t="shared" si="187"/>
        <v>49109899.710000001</v>
      </c>
      <c r="V213" s="104">
        <f t="shared" si="188"/>
        <v>97802290.960000008</v>
      </c>
      <c r="W213" s="113">
        <f>SUM(W214:W216)</f>
        <v>0</v>
      </c>
      <c r="X213" s="113">
        <f>SUM(X214:X216)</f>
        <v>1798692.94</v>
      </c>
      <c r="Y213" s="113">
        <f>SUM(Y214:Y216)</f>
        <v>0</v>
      </c>
      <c r="Z213" s="104">
        <f t="shared" si="178"/>
        <v>1798692.94</v>
      </c>
      <c r="AA213" s="113">
        <f>SUM(AA214:AA216)</f>
        <v>0</v>
      </c>
      <c r="AB213" s="113">
        <f>SUM(AB214:AB216)</f>
        <v>42003865.189999998</v>
      </c>
      <c r="AC213" s="113">
        <f>SUM(AC214:AC216)</f>
        <v>24124450.649999999</v>
      </c>
      <c r="AD213" s="104">
        <f t="shared" si="179"/>
        <v>66128315.839999996</v>
      </c>
      <c r="AE213" s="117">
        <f t="shared" si="189"/>
        <v>0</v>
      </c>
      <c r="AF213" s="117">
        <f t="shared" si="190"/>
        <v>43802558.129999995</v>
      </c>
      <c r="AG213" s="117">
        <f t="shared" si="191"/>
        <v>24124450.649999999</v>
      </c>
      <c r="AH213" s="104">
        <f t="shared" si="180"/>
        <v>67927008.780000001</v>
      </c>
      <c r="AI213" s="117">
        <f t="shared" si="163"/>
        <v>0</v>
      </c>
      <c r="AJ213" s="117">
        <f t="shared" si="164"/>
        <v>4889833.1200000048</v>
      </c>
      <c r="AK213" s="117">
        <f t="shared" si="165"/>
        <v>24985449.060000002</v>
      </c>
      <c r="AL213" s="104">
        <f t="shared" si="166"/>
        <v>29875282.180000007</v>
      </c>
      <c r="AM213" s="1221" t="str">
        <f t="shared" si="194"/>
        <v xml:space="preserve"> </v>
      </c>
      <c r="AN213" s="1221">
        <f t="shared" si="195"/>
        <v>0.8995770592802832</v>
      </c>
      <c r="AO213" s="1221">
        <f t="shared" si="196"/>
        <v>0.49123396285591797</v>
      </c>
      <c r="AP213" s="1221">
        <f t="shared" si="197"/>
        <v>0.69453392260291069</v>
      </c>
      <c r="AQ213" s="1223" t="str">
        <f t="shared" si="169"/>
        <v xml:space="preserve"> </v>
      </c>
      <c r="AW213" s="107"/>
      <c r="BH213" s="105">
        <f>+AL213-'CONAP (ALL FUNDS)'!Q392</f>
        <v>0</v>
      </c>
      <c r="BL213" s="149">
        <f>SUM(BL214:BL216)</f>
        <v>0</v>
      </c>
      <c r="BM213" s="149">
        <f t="shared" ref="BM213:BN213" si="206">SUM(BM214:BM216)</f>
        <v>2381325.2199999997</v>
      </c>
      <c r="BN213" s="149">
        <f t="shared" si="206"/>
        <v>0</v>
      </c>
      <c r="BP213" s="216">
        <f t="shared" si="198"/>
        <v>0</v>
      </c>
      <c r="BQ213" s="216">
        <f t="shared" si="199"/>
        <v>0</v>
      </c>
      <c r="BR213" s="216">
        <f t="shared" si="200"/>
        <v>0</v>
      </c>
    </row>
    <row r="214" spans="1:70" ht="36">
      <c r="A214" s="105" t="s">
        <v>939</v>
      </c>
      <c r="B214" s="1241" t="s">
        <v>534</v>
      </c>
      <c r="C214" s="113">
        <v>0</v>
      </c>
      <c r="D214" s="113">
        <v>90923.199999999997</v>
      </c>
      <c r="E214" s="113">
        <v>0</v>
      </c>
      <c r="F214" s="104">
        <f t="shared" si="160"/>
        <v>90923.199999999997</v>
      </c>
      <c r="G214" s="113"/>
      <c r="H214" s="113"/>
      <c r="I214" s="113"/>
      <c r="J214" s="104">
        <f t="shared" si="161"/>
        <v>0</v>
      </c>
      <c r="K214" s="113"/>
      <c r="L214" s="113"/>
      <c r="M214" s="113"/>
      <c r="N214" s="104">
        <f t="shared" si="162"/>
        <v>0</v>
      </c>
      <c r="O214" s="113">
        <f t="shared" si="181"/>
        <v>0</v>
      </c>
      <c r="P214" s="113">
        <f t="shared" si="182"/>
        <v>0</v>
      </c>
      <c r="Q214" s="113">
        <f t="shared" si="183"/>
        <v>0</v>
      </c>
      <c r="R214" s="104">
        <f t="shared" si="184"/>
        <v>0</v>
      </c>
      <c r="S214" s="113">
        <f t="shared" si="185"/>
        <v>0</v>
      </c>
      <c r="T214" s="113">
        <f t="shared" si="186"/>
        <v>90923.199999999997</v>
      </c>
      <c r="U214" s="113">
        <f t="shared" si="187"/>
        <v>0</v>
      </c>
      <c r="V214" s="104">
        <f t="shared" si="188"/>
        <v>90923.199999999997</v>
      </c>
      <c r="W214" s="113">
        <f>+'CONAP (ALL FUNDS)'!J386</f>
        <v>0</v>
      </c>
      <c r="X214" s="113">
        <f>+'CONAP (ALL FUNDS)'!K386</f>
        <v>90923.199999999997</v>
      </c>
      <c r="Y214" s="113">
        <f>+'CONAP (ALL FUNDS)'!L386</f>
        <v>0</v>
      </c>
      <c r="Z214" s="104">
        <f t="shared" si="178"/>
        <v>90923.199999999997</v>
      </c>
      <c r="AA214" s="113">
        <f>+'CONAP (ALL FUNDS)'!J386</f>
        <v>0</v>
      </c>
      <c r="AB214" s="113"/>
      <c r="AC214" s="113"/>
      <c r="AD214" s="104">
        <f t="shared" si="179"/>
        <v>0</v>
      </c>
      <c r="AE214" s="117">
        <f t="shared" si="189"/>
        <v>0</v>
      </c>
      <c r="AF214" s="117">
        <f t="shared" si="190"/>
        <v>90923.199999999997</v>
      </c>
      <c r="AG214" s="117">
        <f t="shared" si="191"/>
        <v>0</v>
      </c>
      <c r="AH214" s="104">
        <f t="shared" si="180"/>
        <v>90923.199999999997</v>
      </c>
      <c r="AI214" s="117">
        <f t="shared" si="163"/>
        <v>0</v>
      </c>
      <c r="AJ214" s="117">
        <f t="shared" si="164"/>
        <v>0</v>
      </c>
      <c r="AK214" s="117">
        <f t="shared" si="165"/>
        <v>0</v>
      </c>
      <c r="AL214" s="104">
        <f t="shared" si="166"/>
        <v>0</v>
      </c>
      <c r="AM214" s="1221" t="str">
        <f t="shared" si="194"/>
        <v xml:space="preserve"> </v>
      </c>
      <c r="AN214" s="1221">
        <f t="shared" si="195"/>
        <v>1</v>
      </c>
      <c r="AO214" s="1221" t="str">
        <f t="shared" si="196"/>
        <v xml:space="preserve"> </v>
      </c>
      <c r="AP214" s="1221">
        <f t="shared" si="197"/>
        <v>1</v>
      </c>
      <c r="AQ214" s="1223" t="str">
        <f t="shared" si="169"/>
        <v xml:space="preserve"> </v>
      </c>
      <c r="AW214" s="107"/>
      <c r="BL214" s="149">
        <f>+'CONAP (ALL FUNDS)'!F386</f>
        <v>0</v>
      </c>
      <c r="BM214" s="149">
        <f>+'CONAP (ALL FUNDS)'!G386</f>
        <v>90923.199999999997</v>
      </c>
      <c r="BN214" s="149">
        <f>+'CONAP (ALL FUNDS)'!H386</f>
        <v>0</v>
      </c>
      <c r="BP214" s="216">
        <f t="shared" si="198"/>
        <v>0</v>
      </c>
      <c r="BQ214" s="216">
        <f t="shared" si="199"/>
        <v>0</v>
      </c>
      <c r="BR214" s="216">
        <f t="shared" si="200"/>
        <v>0</v>
      </c>
    </row>
    <row r="215" spans="1:70" ht="12.75">
      <c r="A215" s="105" t="s">
        <v>939</v>
      </c>
      <c r="B215" s="1231" t="s">
        <v>535</v>
      </c>
      <c r="C215" s="113">
        <v>0</v>
      </c>
      <c r="D215" s="113">
        <v>548209.76</v>
      </c>
      <c r="E215" s="113">
        <v>0</v>
      </c>
      <c r="F215" s="104">
        <f t="shared" si="160"/>
        <v>548209.76</v>
      </c>
      <c r="G215" s="113"/>
      <c r="H215" s="113"/>
      <c r="I215" s="113"/>
      <c r="J215" s="104">
        <f t="shared" si="161"/>
        <v>0</v>
      </c>
      <c r="K215" s="113"/>
      <c r="L215" s="113"/>
      <c r="M215" s="113"/>
      <c r="N215" s="104">
        <f t="shared" si="162"/>
        <v>0</v>
      </c>
      <c r="O215" s="113">
        <f t="shared" si="181"/>
        <v>0</v>
      </c>
      <c r="P215" s="113">
        <f t="shared" si="182"/>
        <v>0</v>
      </c>
      <c r="Q215" s="113">
        <f t="shared" si="183"/>
        <v>0</v>
      </c>
      <c r="R215" s="104">
        <f t="shared" si="184"/>
        <v>0</v>
      </c>
      <c r="S215" s="113">
        <f t="shared" si="185"/>
        <v>0</v>
      </c>
      <c r="T215" s="113">
        <f t="shared" si="186"/>
        <v>548209.76</v>
      </c>
      <c r="U215" s="113">
        <f t="shared" si="187"/>
        <v>0</v>
      </c>
      <c r="V215" s="104">
        <f t="shared" si="188"/>
        <v>548209.76</v>
      </c>
      <c r="W215" s="113">
        <f>+'CONAP (ALL FUNDS)'!J387</f>
        <v>0</v>
      </c>
      <c r="X215" s="113">
        <f>+'CONAP (ALL FUNDS)'!K387</f>
        <v>0</v>
      </c>
      <c r="Y215" s="113">
        <f>+'CONAP (ALL FUNDS)'!L387</f>
        <v>0</v>
      </c>
      <c r="Z215" s="104">
        <f t="shared" si="178"/>
        <v>0</v>
      </c>
      <c r="AA215" s="113">
        <f>+'CONAP (ALL FUNDS)'!J387</f>
        <v>0</v>
      </c>
      <c r="AB215" s="113"/>
      <c r="AC215" s="113"/>
      <c r="AD215" s="104">
        <f t="shared" si="179"/>
        <v>0</v>
      </c>
      <c r="AE215" s="117">
        <f t="shared" si="189"/>
        <v>0</v>
      </c>
      <c r="AF215" s="117">
        <f t="shared" si="190"/>
        <v>0</v>
      </c>
      <c r="AG215" s="117">
        <f t="shared" si="191"/>
        <v>0</v>
      </c>
      <c r="AH215" s="104">
        <f t="shared" si="180"/>
        <v>0</v>
      </c>
      <c r="AI215" s="117">
        <f t="shared" si="163"/>
        <v>0</v>
      </c>
      <c r="AJ215" s="117">
        <f t="shared" si="164"/>
        <v>548209.76</v>
      </c>
      <c r="AK215" s="117">
        <f t="shared" si="165"/>
        <v>0</v>
      </c>
      <c r="AL215" s="104">
        <f t="shared" si="166"/>
        <v>548209.76</v>
      </c>
      <c r="AM215" s="1221" t="str">
        <f t="shared" si="194"/>
        <v xml:space="preserve"> </v>
      </c>
      <c r="AN215" s="1221">
        <f t="shared" si="195"/>
        <v>0</v>
      </c>
      <c r="AO215" s="1221" t="str">
        <f t="shared" si="196"/>
        <v xml:space="preserve"> </v>
      </c>
      <c r="AP215" s="1221">
        <f t="shared" si="197"/>
        <v>0</v>
      </c>
      <c r="AQ215" s="1223" t="str">
        <f t="shared" si="169"/>
        <v xml:space="preserve"> </v>
      </c>
      <c r="AW215" s="107"/>
      <c r="BL215" s="149">
        <f>+'CONAP (ALL FUNDS)'!F387</f>
        <v>0</v>
      </c>
      <c r="BM215" s="149">
        <f>+'CONAP (ALL FUNDS)'!G387</f>
        <v>548209.76</v>
      </c>
      <c r="BN215" s="149">
        <f>+'CONAP (ALL FUNDS)'!H387</f>
        <v>0</v>
      </c>
      <c r="BP215" s="216">
        <f t="shared" si="198"/>
        <v>0</v>
      </c>
      <c r="BQ215" s="216">
        <f t="shared" si="199"/>
        <v>0</v>
      </c>
      <c r="BR215" s="216">
        <f t="shared" si="200"/>
        <v>0</v>
      </c>
    </row>
    <row r="216" spans="1:70" ht="36">
      <c r="A216" s="105" t="s">
        <v>939</v>
      </c>
      <c r="B216" s="1241" t="s">
        <v>536</v>
      </c>
      <c r="C216" s="113">
        <v>0</v>
      </c>
      <c r="D216" s="113">
        <v>1742192.26</v>
      </c>
      <c r="E216" s="113">
        <v>0</v>
      </c>
      <c r="F216" s="104">
        <f t="shared" si="160"/>
        <v>1742192.26</v>
      </c>
      <c r="G216" s="113">
        <f>+'CONAP (ALL FUNDS)'!F390</f>
        <v>0</v>
      </c>
      <c r="H216" s="113">
        <f>+'CONAP (ALL FUNDS)'!G390</f>
        <v>-2191140</v>
      </c>
      <c r="I216" s="113">
        <f>+'CONAP (ALL FUNDS)'!H390</f>
        <v>28030900</v>
      </c>
      <c r="J216" s="104">
        <f t="shared" si="161"/>
        <v>25839760</v>
      </c>
      <c r="K216" s="113">
        <v>0</v>
      </c>
      <c r="L216" s="113">
        <v>48502206.030000001</v>
      </c>
      <c r="M216" s="113">
        <v>21078999.710000001</v>
      </c>
      <c r="N216" s="104">
        <f t="shared" si="162"/>
        <v>69581205.74000001</v>
      </c>
      <c r="O216" s="113">
        <f t="shared" si="181"/>
        <v>0</v>
      </c>
      <c r="P216" s="113">
        <f t="shared" si="182"/>
        <v>46311066.030000001</v>
      </c>
      <c r="Q216" s="113">
        <f t="shared" si="183"/>
        <v>49109899.710000001</v>
      </c>
      <c r="R216" s="104">
        <f t="shared" si="184"/>
        <v>95420965.74000001</v>
      </c>
      <c r="S216" s="113">
        <f t="shared" si="185"/>
        <v>0</v>
      </c>
      <c r="T216" s="113">
        <f t="shared" si="186"/>
        <v>48053258.289999999</v>
      </c>
      <c r="U216" s="113">
        <f t="shared" si="187"/>
        <v>49109899.710000001</v>
      </c>
      <c r="V216" s="104">
        <f t="shared" si="188"/>
        <v>97163158</v>
      </c>
      <c r="W216" s="113">
        <f>+'CONAP (ALL FUNDS)'!J388</f>
        <v>0</v>
      </c>
      <c r="X216" s="113">
        <f>+'CONAP (ALL FUNDS)'!K388</f>
        <v>1707769.74</v>
      </c>
      <c r="Y216" s="113">
        <f>+'CONAP (ALL FUNDS)'!L388</f>
        <v>0</v>
      </c>
      <c r="Z216" s="104">
        <f t="shared" si="178"/>
        <v>1707769.74</v>
      </c>
      <c r="AA216" s="113">
        <f>+'CONAP (ALL FUNDS)'!J389</f>
        <v>0</v>
      </c>
      <c r="AB216" s="113">
        <f>+'CONAP (ALL FUNDS)'!K389</f>
        <v>42003865.189999998</v>
      </c>
      <c r="AC216" s="113">
        <f>+'CONAP (ALL FUNDS)'!L389</f>
        <v>24124450.649999999</v>
      </c>
      <c r="AD216" s="104">
        <f t="shared" si="179"/>
        <v>66128315.839999996</v>
      </c>
      <c r="AE216" s="117">
        <f t="shared" si="189"/>
        <v>0</v>
      </c>
      <c r="AF216" s="117">
        <f t="shared" si="190"/>
        <v>43711634.93</v>
      </c>
      <c r="AG216" s="117">
        <f t="shared" si="191"/>
        <v>24124450.649999999</v>
      </c>
      <c r="AH216" s="104">
        <f t="shared" si="180"/>
        <v>67836085.579999998</v>
      </c>
      <c r="AI216" s="117">
        <f t="shared" si="163"/>
        <v>0</v>
      </c>
      <c r="AJ216" s="117">
        <f t="shared" si="164"/>
        <v>4341623.3599999994</v>
      </c>
      <c r="AK216" s="117">
        <f t="shared" si="165"/>
        <v>24985449.060000002</v>
      </c>
      <c r="AL216" s="104">
        <f t="shared" si="166"/>
        <v>29327072.420000002</v>
      </c>
      <c r="AM216" s="1221" t="str">
        <f t="shared" si="194"/>
        <v xml:space="preserve"> </v>
      </c>
      <c r="AN216" s="1221">
        <f t="shared" si="195"/>
        <v>0.90964976123370389</v>
      </c>
      <c r="AO216" s="1221">
        <f t="shared" si="196"/>
        <v>0.49123396285591797</v>
      </c>
      <c r="AP216" s="1221">
        <f t="shared" si="197"/>
        <v>0.69816674320116268</v>
      </c>
      <c r="AQ216" s="1223" t="str">
        <f t="shared" si="169"/>
        <v xml:space="preserve"> </v>
      </c>
      <c r="AW216" s="107"/>
      <c r="BL216" s="149">
        <f>+'CONAP (ALL FUNDS)'!F388</f>
        <v>0</v>
      </c>
      <c r="BM216" s="149">
        <f>+'CONAP (ALL FUNDS)'!G388</f>
        <v>1742192.26</v>
      </c>
      <c r="BN216" s="149">
        <f>+'CONAP (ALL FUNDS)'!H388</f>
        <v>0</v>
      </c>
      <c r="BP216" s="216">
        <f t="shared" si="198"/>
        <v>0</v>
      </c>
      <c r="BQ216" s="216">
        <f t="shared" si="199"/>
        <v>0</v>
      </c>
      <c r="BR216" s="216">
        <f t="shared" si="200"/>
        <v>0</v>
      </c>
    </row>
    <row r="217" spans="1:70" ht="12.75">
      <c r="B217" s="1238"/>
      <c r="C217" s="113"/>
      <c r="D217" s="113"/>
      <c r="E217" s="113"/>
      <c r="F217" s="104">
        <f t="shared" si="160"/>
        <v>0</v>
      </c>
      <c r="G217" s="113"/>
      <c r="H217" s="113"/>
      <c r="I217" s="113"/>
      <c r="J217" s="104">
        <f t="shared" si="161"/>
        <v>0</v>
      </c>
      <c r="K217" s="113"/>
      <c r="L217" s="113"/>
      <c r="M217" s="113"/>
      <c r="N217" s="104">
        <f t="shared" si="162"/>
        <v>0</v>
      </c>
      <c r="O217" s="113">
        <f t="shared" si="181"/>
        <v>0</v>
      </c>
      <c r="P217" s="113">
        <f t="shared" si="182"/>
        <v>0</v>
      </c>
      <c r="Q217" s="113">
        <f t="shared" si="183"/>
        <v>0</v>
      </c>
      <c r="R217" s="104">
        <f t="shared" si="184"/>
        <v>0</v>
      </c>
      <c r="S217" s="113">
        <f t="shared" si="185"/>
        <v>0</v>
      </c>
      <c r="T217" s="113">
        <f t="shared" si="186"/>
        <v>0</v>
      </c>
      <c r="U217" s="113">
        <f t="shared" si="187"/>
        <v>0</v>
      </c>
      <c r="V217" s="104">
        <f t="shared" si="188"/>
        <v>0</v>
      </c>
      <c r="W217" s="113"/>
      <c r="X217" s="113"/>
      <c r="Y217" s="113"/>
      <c r="Z217" s="104">
        <f t="shared" si="178"/>
        <v>0</v>
      </c>
      <c r="AA217" s="113"/>
      <c r="AB217" s="113"/>
      <c r="AC217" s="113"/>
      <c r="AD217" s="104">
        <f t="shared" si="179"/>
        <v>0</v>
      </c>
      <c r="AE217" s="117">
        <f t="shared" si="189"/>
        <v>0</v>
      </c>
      <c r="AF217" s="117">
        <f t="shared" si="190"/>
        <v>0</v>
      </c>
      <c r="AG217" s="117">
        <f t="shared" si="191"/>
        <v>0</v>
      </c>
      <c r="AH217" s="104">
        <f t="shared" si="180"/>
        <v>0</v>
      </c>
      <c r="AI217" s="117">
        <f t="shared" si="163"/>
        <v>0</v>
      </c>
      <c r="AJ217" s="117">
        <f t="shared" si="164"/>
        <v>0</v>
      </c>
      <c r="AK217" s="117">
        <f t="shared" si="165"/>
        <v>0</v>
      </c>
      <c r="AL217" s="104">
        <f t="shared" si="166"/>
        <v>0</v>
      </c>
      <c r="AM217" s="1221" t="str">
        <f t="shared" si="194"/>
        <v xml:space="preserve"> </v>
      </c>
      <c r="AN217" s="1221" t="str">
        <f t="shared" si="195"/>
        <v xml:space="preserve"> </v>
      </c>
      <c r="AO217" s="1221" t="str">
        <f t="shared" si="196"/>
        <v xml:space="preserve"> </v>
      </c>
      <c r="AP217" s="1221" t="str">
        <f t="shared" si="197"/>
        <v xml:space="preserve"> </v>
      </c>
      <c r="AQ217" s="1223" t="str">
        <f t="shared" si="169"/>
        <v xml:space="preserve"> </v>
      </c>
      <c r="AW217" s="107"/>
      <c r="BL217" s="149"/>
      <c r="BM217" s="149"/>
      <c r="BN217" s="149"/>
      <c r="BP217" s="216">
        <f t="shared" si="198"/>
        <v>0</v>
      </c>
      <c r="BQ217" s="216">
        <f t="shared" si="199"/>
        <v>0</v>
      </c>
      <c r="BR217" s="216">
        <f t="shared" si="200"/>
        <v>0</v>
      </c>
    </row>
    <row r="218" spans="1:70" ht="12.75">
      <c r="A218" s="105" t="s">
        <v>939</v>
      </c>
      <c r="B218" s="1235" t="s">
        <v>31</v>
      </c>
      <c r="C218" s="113">
        <f t="shared" ref="C218:N218" si="207">SUM(C219:C221)</f>
        <v>0</v>
      </c>
      <c r="D218" s="113">
        <f t="shared" si="207"/>
        <v>612419.6299999943</v>
      </c>
      <c r="E218" s="113">
        <f t="shared" si="207"/>
        <v>0</v>
      </c>
      <c r="F218" s="113">
        <f t="shared" si="207"/>
        <v>612419.6299999943</v>
      </c>
      <c r="G218" s="113">
        <f t="shared" si="207"/>
        <v>0</v>
      </c>
      <c r="H218" s="113">
        <f t="shared" si="207"/>
        <v>-4434157.71</v>
      </c>
      <c r="I218" s="113">
        <f t="shared" si="207"/>
        <v>8901800</v>
      </c>
      <c r="J218" s="113">
        <f t="shared" si="207"/>
        <v>4467642.29</v>
      </c>
      <c r="K218" s="113">
        <f t="shared" si="207"/>
        <v>0</v>
      </c>
      <c r="L218" s="113">
        <f t="shared" si="207"/>
        <v>17982186.509999998</v>
      </c>
      <c r="M218" s="113">
        <f t="shared" si="207"/>
        <v>4152665.33</v>
      </c>
      <c r="N218" s="113">
        <f t="shared" si="207"/>
        <v>22134851.839999996</v>
      </c>
      <c r="O218" s="113">
        <f t="shared" si="181"/>
        <v>0</v>
      </c>
      <c r="P218" s="113">
        <f t="shared" si="182"/>
        <v>13548028.799999997</v>
      </c>
      <c r="Q218" s="113">
        <f t="shared" si="183"/>
        <v>13054465.33</v>
      </c>
      <c r="R218" s="104">
        <f t="shared" si="184"/>
        <v>26602494.129999995</v>
      </c>
      <c r="S218" s="113">
        <f t="shared" si="185"/>
        <v>0</v>
      </c>
      <c r="T218" s="113">
        <f t="shared" si="186"/>
        <v>14160448.429999992</v>
      </c>
      <c r="U218" s="113">
        <f t="shared" si="187"/>
        <v>13054465.33</v>
      </c>
      <c r="V218" s="104">
        <f t="shared" si="188"/>
        <v>27214913.75999999</v>
      </c>
      <c r="W218" s="113">
        <f>SUM(W219:W221)</f>
        <v>0</v>
      </c>
      <c r="X218" s="113">
        <f>SUM(X219:X221)</f>
        <v>612419.63</v>
      </c>
      <c r="Y218" s="113">
        <f>SUM(Y219:Y221)</f>
        <v>0</v>
      </c>
      <c r="Z218" s="104">
        <f t="shared" si="178"/>
        <v>612419.63</v>
      </c>
      <c r="AA218" s="113">
        <f>SUM(AA219:AA221)</f>
        <v>0</v>
      </c>
      <c r="AB218" s="113">
        <f>SUM(AB219:AB221)</f>
        <v>10425199.559999999</v>
      </c>
      <c r="AC218" s="113">
        <f>SUM(AC219:AC221)</f>
        <v>1661630</v>
      </c>
      <c r="AD218" s="104">
        <f t="shared" si="179"/>
        <v>12086829.559999999</v>
      </c>
      <c r="AE218" s="117">
        <f t="shared" si="189"/>
        <v>0</v>
      </c>
      <c r="AF218" s="117">
        <f t="shared" si="190"/>
        <v>11037619.189999999</v>
      </c>
      <c r="AG218" s="117">
        <f t="shared" si="191"/>
        <v>1661630</v>
      </c>
      <c r="AH218" s="104">
        <f t="shared" si="180"/>
        <v>12699249.189999999</v>
      </c>
      <c r="AI218" s="117">
        <f t="shared" si="163"/>
        <v>0</v>
      </c>
      <c r="AJ218" s="117">
        <f t="shared" si="164"/>
        <v>3122829.2399999928</v>
      </c>
      <c r="AK218" s="117">
        <f t="shared" si="165"/>
        <v>11392835.33</v>
      </c>
      <c r="AL218" s="104">
        <f t="shared" si="166"/>
        <v>14515664.569999993</v>
      </c>
      <c r="AM218" s="1221" t="str">
        <f t="shared" si="194"/>
        <v xml:space="preserve"> </v>
      </c>
      <c r="AN218" s="1221">
        <f t="shared" si="195"/>
        <v>0.77946819583876736</v>
      </c>
      <c r="AO218" s="1221">
        <f t="shared" si="196"/>
        <v>0.12728441632775778</v>
      </c>
      <c r="AP218" s="1221">
        <f t="shared" si="197"/>
        <v>0.4666283090951821</v>
      </c>
      <c r="AQ218" s="1223" t="str">
        <f t="shared" si="169"/>
        <v xml:space="preserve"> </v>
      </c>
      <c r="AW218" s="107"/>
      <c r="BH218" s="105">
        <f>+AL218-'CONAP (ALL FUNDS)'!Q429</f>
        <v>0</v>
      </c>
      <c r="BL218" s="149">
        <f>SUM(BL219:BL221)</f>
        <v>0</v>
      </c>
      <c r="BM218" s="149">
        <f t="shared" ref="BM218:BN218" si="208">SUM(BM219:BM221)</f>
        <v>612419.63</v>
      </c>
      <c r="BN218" s="149">
        <f t="shared" si="208"/>
        <v>0</v>
      </c>
      <c r="BP218" s="216">
        <f t="shared" si="198"/>
        <v>0</v>
      </c>
      <c r="BQ218" s="216">
        <f t="shared" si="199"/>
        <v>-5.7043507695198059E-9</v>
      </c>
      <c r="BR218" s="216">
        <f t="shared" si="200"/>
        <v>0</v>
      </c>
    </row>
    <row r="219" spans="1:70" ht="36">
      <c r="A219" s="105" t="s">
        <v>939</v>
      </c>
      <c r="B219" s="1241" t="s">
        <v>534</v>
      </c>
      <c r="C219" s="113">
        <v>0</v>
      </c>
      <c r="D219" s="113">
        <v>150158.23000000045</v>
      </c>
      <c r="E219" s="113">
        <v>0</v>
      </c>
      <c r="F219" s="104">
        <f t="shared" si="160"/>
        <v>150158.23000000045</v>
      </c>
      <c r="G219" s="113"/>
      <c r="H219" s="113"/>
      <c r="I219" s="113"/>
      <c r="J219" s="104">
        <f t="shared" si="161"/>
        <v>0</v>
      </c>
      <c r="K219" s="113"/>
      <c r="L219" s="113"/>
      <c r="M219" s="113"/>
      <c r="N219" s="104">
        <f t="shared" si="162"/>
        <v>0</v>
      </c>
      <c r="O219" s="113">
        <f t="shared" si="181"/>
        <v>0</v>
      </c>
      <c r="P219" s="113">
        <f t="shared" si="182"/>
        <v>0</v>
      </c>
      <c r="Q219" s="113">
        <f t="shared" si="183"/>
        <v>0</v>
      </c>
      <c r="R219" s="104">
        <f t="shared" si="184"/>
        <v>0</v>
      </c>
      <c r="S219" s="113">
        <f t="shared" si="185"/>
        <v>0</v>
      </c>
      <c r="T219" s="113">
        <f t="shared" si="186"/>
        <v>150158.23000000045</v>
      </c>
      <c r="U219" s="113">
        <f t="shared" si="187"/>
        <v>0</v>
      </c>
      <c r="V219" s="104">
        <f t="shared" si="188"/>
        <v>150158.23000000045</v>
      </c>
      <c r="W219" s="113">
        <f>+'CONAP (ALL FUNDS)'!J423</f>
        <v>0</v>
      </c>
      <c r="X219" s="113">
        <f>+'CONAP (ALL FUNDS)'!K423</f>
        <v>150158.23000000001</v>
      </c>
      <c r="Y219" s="113">
        <f>+'CONAP (ALL FUNDS)'!L423</f>
        <v>0</v>
      </c>
      <c r="Z219" s="104">
        <f t="shared" si="178"/>
        <v>150158.23000000001</v>
      </c>
      <c r="AA219" s="113"/>
      <c r="AB219" s="113"/>
      <c r="AC219" s="113"/>
      <c r="AD219" s="104">
        <f t="shared" si="179"/>
        <v>0</v>
      </c>
      <c r="AE219" s="117">
        <f t="shared" si="189"/>
        <v>0</v>
      </c>
      <c r="AF219" s="117">
        <f t="shared" si="190"/>
        <v>150158.23000000001</v>
      </c>
      <c r="AG219" s="117">
        <f t="shared" si="191"/>
        <v>0</v>
      </c>
      <c r="AH219" s="104">
        <f t="shared" si="180"/>
        <v>150158.23000000001</v>
      </c>
      <c r="AI219" s="117">
        <f t="shared" si="163"/>
        <v>0</v>
      </c>
      <c r="AJ219" s="117">
        <f t="shared" si="164"/>
        <v>4.3655745685100555E-10</v>
      </c>
      <c r="AK219" s="117">
        <f t="shared" si="165"/>
        <v>0</v>
      </c>
      <c r="AL219" s="104">
        <f t="shared" si="166"/>
        <v>4.3655745685100555E-10</v>
      </c>
      <c r="AM219" s="1221" t="str">
        <f t="shared" si="194"/>
        <v xml:space="preserve"> </v>
      </c>
      <c r="AN219" s="1221">
        <f t="shared" si="195"/>
        <v>0.99999999999999711</v>
      </c>
      <c r="AO219" s="1221" t="str">
        <f t="shared" si="196"/>
        <v xml:space="preserve"> </v>
      </c>
      <c r="AP219" s="1221">
        <f t="shared" si="197"/>
        <v>0.99999999999999711</v>
      </c>
      <c r="AQ219" s="1223" t="str">
        <f t="shared" si="169"/>
        <v xml:space="preserve"> </v>
      </c>
      <c r="AW219" s="107"/>
      <c r="BL219" s="149">
        <f>+'CONAP (ALL FUNDS)'!F423</f>
        <v>0</v>
      </c>
      <c r="BM219" s="149">
        <f>+'CONAP (ALL FUNDS)'!G423</f>
        <v>150158.23000000001</v>
      </c>
      <c r="BN219" s="149">
        <f>+'CONAP (ALL FUNDS)'!H423</f>
        <v>0</v>
      </c>
      <c r="BP219" s="216">
        <f t="shared" si="198"/>
        <v>0</v>
      </c>
      <c r="BQ219" s="216">
        <f t="shared" si="199"/>
        <v>4.3655745685100555E-10</v>
      </c>
      <c r="BR219" s="216">
        <f t="shared" si="200"/>
        <v>0</v>
      </c>
    </row>
    <row r="220" spans="1:70" ht="12.75">
      <c r="A220" s="105" t="s">
        <v>939</v>
      </c>
      <c r="B220" s="1231" t="s">
        <v>535</v>
      </c>
      <c r="C220" s="113">
        <v>0</v>
      </c>
      <c r="D220" s="113">
        <v>32072.999999999069</v>
      </c>
      <c r="E220" s="113">
        <v>0</v>
      </c>
      <c r="F220" s="104">
        <f t="shared" si="160"/>
        <v>32072.999999999069</v>
      </c>
      <c r="G220" s="113"/>
      <c r="H220" s="113"/>
      <c r="I220" s="113"/>
      <c r="J220" s="104">
        <f t="shared" si="161"/>
        <v>0</v>
      </c>
      <c r="K220" s="113"/>
      <c r="L220" s="113"/>
      <c r="M220" s="113"/>
      <c r="N220" s="104">
        <f t="shared" si="162"/>
        <v>0</v>
      </c>
      <c r="O220" s="113">
        <f t="shared" si="181"/>
        <v>0</v>
      </c>
      <c r="P220" s="113">
        <f t="shared" si="182"/>
        <v>0</v>
      </c>
      <c r="Q220" s="113">
        <f t="shared" si="183"/>
        <v>0</v>
      </c>
      <c r="R220" s="104">
        <f t="shared" si="184"/>
        <v>0</v>
      </c>
      <c r="S220" s="113">
        <f t="shared" si="185"/>
        <v>0</v>
      </c>
      <c r="T220" s="113">
        <f t="shared" si="186"/>
        <v>32072.999999999069</v>
      </c>
      <c r="U220" s="113">
        <f t="shared" si="187"/>
        <v>0</v>
      </c>
      <c r="V220" s="104">
        <f t="shared" si="188"/>
        <v>32072.999999999069</v>
      </c>
      <c r="W220" s="113">
        <f>+'CONAP (ALL FUNDS)'!J424</f>
        <v>0</v>
      </c>
      <c r="X220" s="113">
        <f>+'CONAP (ALL FUNDS)'!K424</f>
        <v>32073</v>
      </c>
      <c r="Y220" s="113">
        <f>+'CONAP (ALL FUNDS)'!L424</f>
        <v>0</v>
      </c>
      <c r="Z220" s="104">
        <f t="shared" si="178"/>
        <v>32073</v>
      </c>
      <c r="AA220" s="113"/>
      <c r="AB220" s="113"/>
      <c r="AC220" s="113"/>
      <c r="AD220" s="104">
        <f t="shared" si="179"/>
        <v>0</v>
      </c>
      <c r="AE220" s="117">
        <f t="shared" si="189"/>
        <v>0</v>
      </c>
      <c r="AF220" s="117">
        <f t="shared" si="190"/>
        <v>32073</v>
      </c>
      <c r="AG220" s="117">
        <f t="shared" si="191"/>
        <v>0</v>
      </c>
      <c r="AH220" s="104">
        <f t="shared" si="180"/>
        <v>32073</v>
      </c>
      <c r="AI220" s="117">
        <f t="shared" si="163"/>
        <v>0</v>
      </c>
      <c r="AJ220" s="117">
        <f t="shared" si="164"/>
        <v>-9.3132257461547852E-10</v>
      </c>
      <c r="AK220" s="117">
        <f t="shared" si="165"/>
        <v>0</v>
      </c>
      <c r="AL220" s="104">
        <f t="shared" si="166"/>
        <v>-9.3132257461547852E-10</v>
      </c>
      <c r="AM220" s="1221" t="str">
        <f t="shared" si="194"/>
        <v xml:space="preserve"> </v>
      </c>
      <c r="AN220" s="1221">
        <f t="shared" si="195"/>
        <v>1.0000000000000291</v>
      </c>
      <c r="AO220" s="1221" t="str">
        <f t="shared" si="196"/>
        <v xml:space="preserve"> </v>
      </c>
      <c r="AP220" s="1221">
        <f t="shared" si="197"/>
        <v>1.0000000000000291</v>
      </c>
      <c r="AQ220" s="1223" t="str">
        <f t="shared" si="169"/>
        <v xml:space="preserve"> </v>
      </c>
      <c r="AW220" s="107"/>
      <c r="BL220" s="149">
        <f>+'CONAP (ALL FUNDS)'!F424</f>
        <v>0</v>
      </c>
      <c r="BM220" s="149">
        <f>+'CONAP (ALL FUNDS)'!G424</f>
        <v>32073</v>
      </c>
      <c r="BN220" s="149">
        <f>+'CONAP (ALL FUNDS)'!H424</f>
        <v>0</v>
      </c>
      <c r="BP220" s="216">
        <f t="shared" si="198"/>
        <v>0</v>
      </c>
      <c r="BQ220" s="216">
        <f t="shared" si="199"/>
        <v>-9.3132257461547852E-10</v>
      </c>
      <c r="BR220" s="216">
        <f t="shared" si="200"/>
        <v>0</v>
      </c>
    </row>
    <row r="221" spans="1:70" ht="36">
      <c r="A221" s="105" t="s">
        <v>939</v>
      </c>
      <c r="B221" s="1241" t="s">
        <v>536</v>
      </c>
      <c r="C221" s="113">
        <v>0</v>
      </c>
      <c r="D221" s="113">
        <v>430188.39999999478</v>
      </c>
      <c r="E221" s="113">
        <v>0</v>
      </c>
      <c r="F221" s="104">
        <f t="shared" si="160"/>
        <v>430188.39999999478</v>
      </c>
      <c r="G221" s="113">
        <f>+'CONAP (ALL FUNDS)'!F427</f>
        <v>0</v>
      </c>
      <c r="H221" s="113">
        <f>+'CONAP (ALL FUNDS)'!G427</f>
        <v>-4434157.71</v>
      </c>
      <c r="I221" s="113">
        <f>+'CONAP (ALL FUNDS)'!H427</f>
        <v>8901800</v>
      </c>
      <c r="J221" s="104">
        <f t="shared" si="161"/>
        <v>4467642.29</v>
      </c>
      <c r="K221" s="113">
        <v>0</v>
      </c>
      <c r="L221" s="113">
        <v>17982186.509999998</v>
      </c>
      <c r="M221" s="113">
        <v>4152665.33</v>
      </c>
      <c r="N221" s="104">
        <f t="shared" si="162"/>
        <v>22134851.839999996</v>
      </c>
      <c r="O221" s="113">
        <f t="shared" si="181"/>
        <v>0</v>
      </c>
      <c r="P221" s="113">
        <f t="shared" si="182"/>
        <v>13548028.799999997</v>
      </c>
      <c r="Q221" s="113">
        <f t="shared" si="183"/>
        <v>13054465.33</v>
      </c>
      <c r="R221" s="104">
        <f t="shared" si="184"/>
        <v>26602494.129999995</v>
      </c>
      <c r="S221" s="113">
        <f t="shared" si="185"/>
        <v>0</v>
      </c>
      <c r="T221" s="113">
        <f t="shared" si="186"/>
        <v>13978217.199999992</v>
      </c>
      <c r="U221" s="113">
        <f t="shared" si="187"/>
        <v>13054465.33</v>
      </c>
      <c r="V221" s="104">
        <f t="shared" si="188"/>
        <v>27032682.529999994</v>
      </c>
      <c r="W221" s="113">
        <f>+'CONAP (ALL FUNDS)'!J425</f>
        <v>0</v>
      </c>
      <c r="X221" s="113">
        <f>+'CONAP (ALL FUNDS)'!K425</f>
        <v>430188.4</v>
      </c>
      <c r="Y221" s="113">
        <f>+'CONAP (ALL FUNDS)'!L425</f>
        <v>0</v>
      </c>
      <c r="Z221" s="104">
        <f t="shared" si="178"/>
        <v>430188.4</v>
      </c>
      <c r="AA221" s="113">
        <f>+'CONAP (ALL FUNDS)'!J426</f>
        <v>0</v>
      </c>
      <c r="AB221" s="113">
        <f>+'CONAP (ALL FUNDS)'!K426</f>
        <v>10425199.559999999</v>
      </c>
      <c r="AC221" s="113">
        <f>+'CONAP (ALL FUNDS)'!L426</f>
        <v>1661630</v>
      </c>
      <c r="AD221" s="104">
        <f t="shared" si="179"/>
        <v>12086829.559999999</v>
      </c>
      <c r="AE221" s="117">
        <f t="shared" si="189"/>
        <v>0</v>
      </c>
      <c r="AF221" s="117">
        <f t="shared" si="190"/>
        <v>10855387.959999999</v>
      </c>
      <c r="AG221" s="117">
        <f t="shared" si="191"/>
        <v>1661630</v>
      </c>
      <c r="AH221" s="104">
        <f t="shared" si="180"/>
        <v>12517017.959999999</v>
      </c>
      <c r="AI221" s="117">
        <f t="shared" si="163"/>
        <v>0</v>
      </c>
      <c r="AJ221" s="117">
        <f t="shared" si="164"/>
        <v>3122829.2399999928</v>
      </c>
      <c r="AK221" s="117">
        <f t="shared" si="165"/>
        <v>11392835.33</v>
      </c>
      <c r="AL221" s="104">
        <f t="shared" si="166"/>
        <v>14515664.569999993</v>
      </c>
      <c r="AM221" s="1221" t="str">
        <f t="shared" si="194"/>
        <v xml:space="preserve"> </v>
      </c>
      <c r="AN221" s="1221">
        <f t="shared" si="195"/>
        <v>0.77659316668795253</v>
      </c>
      <c r="AO221" s="1221">
        <f t="shared" si="196"/>
        <v>0.12728441632775778</v>
      </c>
      <c r="AP221" s="1221">
        <f t="shared" si="197"/>
        <v>0.46303277324065117</v>
      </c>
      <c r="AQ221" s="1223" t="str">
        <f t="shared" si="169"/>
        <v xml:space="preserve"> </v>
      </c>
      <c r="AW221" s="107"/>
      <c r="BL221" s="149">
        <f>+'CONAP (ALL FUNDS)'!F425</f>
        <v>0</v>
      </c>
      <c r="BM221" s="149">
        <f>+'CONAP (ALL FUNDS)'!G425</f>
        <v>430188.4</v>
      </c>
      <c r="BN221" s="149">
        <f>+'CONAP (ALL FUNDS)'!H425</f>
        <v>0</v>
      </c>
      <c r="BP221" s="216">
        <f t="shared" si="198"/>
        <v>0</v>
      </c>
      <c r="BQ221" s="216">
        <f t="shared" si="199"/>
        <v>-5.2386894822120667E-9</v>
      </c>
      <c r="BR221" s="216">
        <f t="shared" si="200"/>
        <v>0</v>
      </c>
    </row>
    <row r="222" spans="1:70" ht="12.75">
      <c r="B222" s="1238"/>
      <c r="C222" s="113"/>
      <c r="D222" s="113"/>
      <c r="E222" s="113"/>
      <c r="F222" s="104">
        <f t="shared" si="160"/>
        <v>0</v>
      </c>
      <c r="G222" s="113"/>
      <c r="H222" s="113"/>
      <c r="I222" s="113"/>
      <c r="J222" s="104">
        <f t="shared" si="161"/>
        <v>0</v>
      </c>
      <c r="K222" s="113"/>
      <c r="L222" s="113"/>
      <c r="M222" s="113"/>
      <c r="N222" s="104">
        <f t="shared" si="162"/>
        <v>0</v>
      </c>
      <c r="O222" s="113">
        <f t="shared" si="181"/>
        <v>0</v>
      </c>
      <c r="P222" s="113">
        <f t="shared" si="182"/>
        <v>0</v>
      </c>
      <c r="Q222" s="113">
        <f t="shared" si="183"/>
        <v>0</v>
      </c>
      <c r="R222" s="104">
        <f t="shared" si="184"/>
        <v>0</v>
      </c>
      <c r="S222" s="113">
        <f t="shared" si="185"/>
        <v>0</v>
      </c>
      <c r="T222" s="113">
        <f t="shared" si="186"/>
        <v>0</v>
      </c>
      <c r="U222" s="113">
        <f t="shared" si="187"/>
        <v>0</v>
      </c>
      <c r="V222" s="104">
        <f t="shared" si="188"/>
        <v>0</v>
      </c>
      <c r="W222" s="113"/>
      <c r="X222" s="113"/>
      <c r="Y222" s="113"/>
      <c r="Z222" s="104">
        <f t="shared" si="178"/>
        <v>0</v>
      </c>
      <c r="AA222" s="113"/>
      <c r="AB222" s="113"/>
      <c r="AC222" s="113"/>
      <c r="AD222" s="104">
        <f t="shared" si="179"/>
        <v>0</v>
      </c>
      <c r="AE222" s="117">
        <f t="shared" si="189"/>
        <v>0</v>
      </c>
      <c r="AF222" s="117">
        <f t="shared" si="190"/>
        <v>0</v>
      </c>
      <c r="AG222" s="117">
        <f t="shared" si="191"/>
        <v>0</v>
      </c>
      <c r="AH222" s="104">
        <f t="shared" si="180"/>
        <v>0</v>
      </c>
      <c r="AI222" s="117">
        <f t="shared" si="163"/>
        <v>0</v>
      </c>
      <c r="AJ222" s="117">
        <f t="shared" si="164"/>
        <v>0</v>
      </c>
      <c r="AK222" s="117">
        <f t="shared" si="165"/>
        <v>0</v>
      </c>
      <c r="AL222" s="104">
        <f t="shared" si="166"/>
        <v>0</v>
      </c>
      <c r="AM222" s="1221" t="str">
        <f t="shared" si="194"/>
        <v xml:space="preserve"> </v>
      </c>
      <c r="AN222" s="1221" t="str">
        <f t="shared" si="195"/>
        <v xml:space="preserve"> </v>
      </c>
      <c r="AO222" s="1221" t="str">
        <f t="shared" si="196"/>
        <v xml:space="preserve"> </v>
      </c>
      <c r="AP222" s="1221" t="str">
        <f t="shared" si="197"/>
        <v xml:space="preserve"> </v>
      </c>
      <c r="AQ222" s="1223" t="str">
        <f t="shared" si="169"/>
        <v xml:space="preserve"> </v>
      </c>
      <c r="AW222" s="107"/>
      <c r="BL222" s="149"/>
      <c r="BM222" s="149"/>
      <c r="BN222" s="149"/>
      <c r="BP222" s="216">
        <f t="shared" si="198"/>
        <v>0</v>
      </c>
      <c r="BQ222" s="216">
        <f t="shared" si="199"/>
        <v>0</v>
      </c>
      <c r="BR222" s="216">
        <f t="shared" si="200"/>
        <v>0</v>
      </c>
    </row>
    <row r="223" spans="1:70" ht="12.75">
      <c r="A223" s="105" t="s">
        <v>939</v>
      </c>
      <c r="B223" s="1235" t="s">
        <v>32</v>
      </c>
      <c r="C223" s="113">
        <f t="shared" ref="C223:AL223" si="209">SUM(C224:C226)</f>
        <v>0</v>
      </c>
      <c r="D223" s="113">
        <f t="shared" si="209"/>
        <v>0</v>
      </c>
      <c r="E223" s="113">
        <f t="shared" si="209"/>
        <v>0</v>
      </c>
      <c r="F223" s="113">
        <f t="shared" si="209"/>
        <v>0</v>
      </c>
      <c r="G223" s="113">
        <f t="shared" si="209"/>
        <v>0</v>
      </c>
      <c r="H223" s="113">
        <f t="shared" si="209"/>
        <v>0</v>
      </c>
      <c r="I223" s="113">
        <f t="shared" si="209"/>
        <v>10022000</v>
      </c>
      <c r="J223" s="113">
        <f t="shared" si="209"/>
        <v>10022000</v>
      </c>
      <c r="K223" s="113">
        <f t="shared" si="209"/>
        <v>0</v>
      </c>
      <c r="L223" s="113">
        <f t="shared" si="209"/>
        <v>40917678.859999999</v>
      </c>
      <c r="M223" s="113">
        <f t="shared" si="209"/>
        <v>5581939.6600000001</v>
      </c>
      <c r="N223" s="113">
        <f t="shared" si="209"/>
        <v>46499618.519999996</v>
      </c>
      <c r="O223" s="113">
        <f t="shared" si="209"/>
        <v>0</v>
      </c>
      <c r="P223" s="113">
        <f t="shared" si="209"/>
        <v>41485876.359999999</v>
      </c>
      <c r="Q223" s="113">
        <f t="shared" si="209"/>
        <v>16746503.66</v>
      </c>
      <c r="R223" s="113">
        <f t="shared" si="209"/>
        <v>58232380.019999996</v>
      </c>
      <c r="S223" s="113">
        <f t="shared" si="209"/>
        <v>0</v>
      </c>
      <c r="T223" s="113">
        <f t="shared" si="209"/>
        <v>41485876.359999999</v>
      </c>
      <c r="U223" s="113">
        <f t="shared" si="209"/>
        <v>16746503.66</v>
      </c>
      <c r="V223" s="113">
        <f t="shared" si="209"/>
        <v>58232380.019999996</v>
      </c>
      <c r="W223" s="113">
        <f t="shared" si="209"/>
        <v>0</v>
      </c>
      <c r="X223" s="113">
        <f t="shared" si="209"/>
        <v>0</v>
      </c>
      <c r="Y223" s="113">
        <f t="shared" si="209"/>
        <v>0</v>
      </c>
      <c r="Z223" s="113">
        <f t="shared" si="209"/>
        <v>0</v>
      </c>
      <c r="AA223" s="113">
        <f t="shared" si="209"/>
        <v>0</v>
      </c>
      <c r="AB223" s="113">
        <f t="shared" si="209"/>
        <v>39042313.920000002</v>
      </c>
      <c r="AC223" s="113">
        <f t="shared" si="209"/>
        <v>8433812.7899999991</v>
      </c>
      <c r="AD223" s="113">
        <f t="shared" si="209"/>
        <v>47476126.710000001</v>
      </c>
      <c r="AE223" s="113">
        <f t="shared" si="209"/>
        <v>0</v>
      </c>
      <c r="AF223" s="113">
        <f t="shared" si="209"/>
        <v>39042313.920000002</v>
      </c>
      <c r="AG223" s="113">
        <f t="shared" si="209"/>
        <v>8433812.7899999991</v>
      </c>
      <c r="AH223" s="113">
        <f t="shared" si="209"/>
        <v>47476126.710000001</v>
      </c>
      <c r="AI223" s="113">
        <f t="shared" si="209"/>
        <v>0</v>
      </c>
      <c r="AJ223" s="113">
        <f t="shared" si="209"/>
        <v>2443562.4399999976</v>
      </c>
      <c r="AK223" s="113">
        <f t="shared" si="209"/>
        <v>8312690.870000001</v>
      </c>
      <c r="AL223" s="113">
        <f t="shared" si="209"/>
        <v>10756253.309999999</v>
      </c>
      <c r="AM223" s="1221" t="str">
        <f t="shared" si="194"/>
        <v xml:space="preserve"> </v>
      </c>
      <c r="AN223" s="1221">
        <f t="shared" si="195"/>
        <v>0.94109893162685987</v>
      </c>
      <c r="AO223" s="1221">
        <f t="shared" si="196"/>
        <v>0.50361633456329469</v>
      </c>
      <c r="AP223" s="1221">
        <f t="shared" si="197"/>
        <v>0.81528741730450061</v>
      </c>
      <c r="AQ223" s="1223" t="str">
        <f t="shared" si="169"/>
        <v xml:space="preserve"> </v>
      </c>
      <c r="AW223" s="107"/>
      <c r="BH223" s="105">
        <f>+AL223-'CONAP (ALL FUNDS)'!Q478</f>
        <v>0</v>
      </c>
      <c r="BL223" s="149">
        <f>SUM(BL224:BL226)</f>
        <v>0</v>
      </c>
      <c r="BM223" s="149">
        <f t="shared" ref="BM223:BN223" si="210">SUM(BM224:BM226)</f>
        <v>0</v>
      </c>
      <c r="BN223" s="149">
        <f t="shared" si="210"/>
        <v>0</v>
      </c>
      <c r="BP223" s="216">
        <f t="shared" si="198"/>
        <v>0</v>
      </c>
      <c r="BQ223" s="216">
        <f t="shared" si="199"/>
        <v>0</v>
      </c>
      <c r="BR223" s="216">
        <f t="shared" si="200"/>
        <v>0</v>
      </c>
    </row>
    <row r="224" spans="1:70" ht="36">
      <c r="A224" s="105" t="s">
        <v>939</v>
      </c>
      <c r="B224" s="1241" t="s">
        <v>534</v>
      </c>
      <c r="C224" s="113"/>
      <c r="D224" s="113"/>
      <c r="E224" s="113"/>
      <c r="F224" s="104">
        <f t="shared" si="160"/>
        <v>0</v>
      </c>
      <c r="G224" s="113"/>
      <c r="H224" s="113"/>
      <c r="I224" s="113"/>
      <c r="J224" s="104">
        <f t="shared" si="161"/>
        <v>0</v>
      </c>
      <c r="K224" s="113"/>
      <c r="L224" s="113"/>
      <c r="M224" s="113"/>
      <c r="N224" s="104">
        <f t="shared" si="162"/>
        <v>0</v>
      </c>
      <c r="O224" s="113">
        <f t="shared" si="181"/>
        <v>0</v>
      </c>
      <c r="P224" s="113">
        <f t="shared" si="182"/>
        <v>0</v>
      </c>
      <c r="Q224" s="113">
        <f t="shared" si="183"/>
        <v>0</v>
      </c>
      <c r="R224" s="104">
        <f t="shared" si="184"/>
        <v>0</v>
      </c>
      <c r="S224" s="113">
        <f t="shared" si="185"/>
        <v>0</v>
      </c>
      <c r="T224" s="113">
        <f t="shared" si="186"/>
        <v>0</v>
      </c>
      <c r="U224" s="113">
        <f t="shared" si="187"/>
        <v>0</v>
      </c>
      <c r="V224" s="104">
        <f t="shared" si="188"/>
        <v>0</v>
      </c>
      <c r="W224" s="113">
        <f>+'CONAP (ALL FUNDS)'!J472</f>
        <v>0</v>
      </c>
      <c r="X224" s="113">
        <f>+'CONAP (ALL FUNDS)'!K472</f>
        <v>0</v>
      </c>
      <c r="Y224" s="113">
        <f>+'CONAP (ALL FUNDS)'!L472</f>
        <v>0</v>
      </c>
      <c r="Z224" s="104">
        <f t="shared" si="178"/>
        <v>0</v>
      </c>
      <c r="AA224" s="113"/>
      <c r="AB224" s="113"/>
      <c r="AC224" s="113"/>
      <c r="AD224" s="104">
        <f t="shared" si="179"/>
        <v>0</v>
      </c>
      <c r="AE224" s="117">
        <f t="shared" si="189"/>
        <v>0</v>
      </c>
      <c r="AF224" s="117">
        <f t="shared" si="190"/>
        <v>0</v>
      </c>
      <c r="AG224" s="117">
        <f t="shared" si="191"/>
        <v>0</v>
      </c>
      <c r="AH224" s="104">
        <f t="shared" si="180"/>
        <v>0</v>
      </c>
      <c r="AI224" s="117">
        <f t="shared" si="163"/>
        <v>0</v>
      </c>
      <c r="AJ224" s="117">
        <f t="shared" si="164"/>
        <v>0</v>
      </c>
      <c r="AK224" s="117">
        <f t="shared" si="165"/>
        <v>0</v>
      </c>
      <c r="AL224" s="104">
        <f t="shared" si="166"/>
        <v>0</v>
      </c>
      <c r="AM224" s="1221" t="str">
        <f t="shared" si="194"/>
        <v xml:space="preserve"> </v>
      </c>
      <c r="AN224" s="1221" t="str">
        <f t="shared" si="195"/>
        <v xml:space="preserve"> </v>
      </c>
      <c r="AO224" s="1221" t="str">
        <f t="shared" si="196"/>
        <v xml:space="preserve"> </v>
      </c>
      <c r="AP224" s="1221" t="str">
        <f t="shared" si="197"/>
        <v xml:space="preserve"> </v>
      </c>
      <c r="AQ224" s="1223" t="str">
        <f t="shared" si="169"/>
        <v xml:space="preserve"> </v>
      </c>
      <c r="AW224" s="107"/>
      <c r="BL224" s="149">
        <f>+'CONAP (ALL FUNDS)'!F472</f>
        <v>0</v>
      </c>
      <c r="BM224" s="149">
        <f>+'CONAP (ALL FUNDS)'!G472</f>
        <v>0</v>
      </c>
      <c r="BN224" s="149">
        <f>+'CONAP (ALL FUNDS)'!H472</f>
        <v>0</v>
      </c>
      <c r="BP224" s="216">
        <f t="shared" si="198"/>
        <v>0</v>
      </c>
      <c r="BQ224" s="216">
        <f t="shared" si="199"/>
        <v>0</v>
      </c>
      <c r="BR224" s="216">
        <f t="shared" si="200"/>
        <v>0</v>
      </c>
    </row>
    <row r="225" spans="1:70" ht="12.75">
      <c r="A225" s="105" t="s">
        <v>939</v>
      </c>
      <c r="B225" s="1231" t="s">
        <v>535</v>
      </c>
      <c r="C225" s="113"/>
      <c r="D225" s="113"/>
      <c r="E225" s="113"/>
      <c r="F225" s="104">
        <f t="shared" si="160"/>
        <v>0</v>
      </c>
      <c r="G225" s="113"/>
      <c r="H225" s="113"/>
      <c r="I225" s="113"/>
      <c r="J225" s="104">
        <f t="shared" si="161"/>
        <v>0</v>
      </c>
      <c r="K225" s="113"/>
      <c r="L225" s="113"/>
      <c r="M225" s="113"/>
      <c r="N225" s="104">
        <f t="shared" si="162"/>
        <v>0</v>
      </c>
      <c r="O225" s="113">
        <f t="shared" si="181"/>
        <v>0</v>
      </c>
      <c r="P225" s="113">
        <f t="shared" si="182"/>
        <v>0</v>
      </c>
      <c r="Q225" s="113">
        <f t="shared" si="183"/>
        <v>0</v>
      </c>
      <c r="R225" s="104">
        <f t="shared" si="184"/>
        <v>0</v>
      </c>
      <c r="S225" s="113">
        <f t="shared" si="185"/>
        <v>0</v>
      </c>
      <c r="T225" s="113">
        <f t="shared" si="186"/>
        <v>0</v>
      </c>
      <c r="U225" s="113">
        <f t="shared" si="187"/>
        <v>0</v>
      </c>
      <c r="V225" s="104">
        <f t="shared" si="188"/>
        <v>0</v>
      </c>
      <c r="W225" s="113">
        <f>+'CONAP (ALL FUNDS)'!J473</f>
        <v>0</v>
      </c>
      <c r="X225" s="113">
        <f>+'CONAP (ALL FUNDS)'!K473</f>
        <v>0</v>
      </c>
      <c r="Y225" s="113">
        <f>+'CONAP (ALL FUNDS)'!L473</f>
        <v>0</v>
      </c>
      <c r="Z225" s="104">
        <f t="shared" si="178"/>
        <v>0</v>
      </c>
      <c r="AA225" s="113"/>
      <c r="AB225" s="113"/>
      <c r="AC225" s="113"/>
      <c r="AD225" s="104">
        <f t="shared" si="179"/>
        <v>0</v>
      </c>
      <c r="AE225" s="117">
        <f t="shared" si="189"/>
        <v>0</v>
      </c>
      <c r="AF225" s="117">
        <f t="shared" si="190"/>
        <v>0</v>
      </c>
      <c r="AG225" s="117">
        <f t="shared" si="191"/>
        <v>0</v>
      </c>
      <c r="AH225" s="104">
        <f t="shared" si="180"/>
        <v>0</v>
      </c>
      <c r="AI225" s="117">
        <f t="shared" si="163"/>
        <v>0</v>
      </c>
      <c r="AJ225" s="117">
        <f t="shared" si="164"/>
        <v>0</v>
      </c>
      <c r="AK225" s="117">
        <f t="shared" si="165"/>
        <v>0</v>
      </c>
      <c r="AL225" s="104">
        <f t="shared" si="166"/>
        <v>0</v>
      </c>
      <c r="AM225" s="1221" t="str">
        <f t="shared" si="194"/>
        <v xml:space="preserve"> </v>
      </c>
      <c r="AN225" s="1221" t="str">
        <f t="shared" si="195"/>
        <v xml:space="preserve"> </v>
      </c>
      <c r="AO225" s="1221" t="str">
        <f t="shared" si="196"/>
        <v xml:space="preserve"> </v>
      </c>
      <c r="AP225" s="1221" t="str">
        <f t="shared" si="197"/>
        <v xml:space="preserve"> </v>
      </c>
      <c r="AQ225" s="1223" t="str">
        <f>IF(W226=0," ",AI226/W226)</f>
        <v xml:space="preserve"> </v>
      </c>
      <c r="AW225" s="107"/>
      <c r="BL225" s="149">
        <f>+'CONAP (ALL FUNDS)'!F473</f>
        <v>0</v>
      </c>
      <c r="BM225" s="149">
        <f>+'CONAP (ALL FUNDS)'!G473</f>
        <v>0</v>
      </c>
      <c r="BN225" s="149">
        <f>+'CONAP (ALL FUNDS)'!H473</f>
        <v>0</v>
      </c>
      <c r="BP225" s="216">
        <f t="shared" si="198"/>
        <v>0</v>
      </c>
      <c r="BQ225" s="216">
        <f t="shared" si="199"/>
        <v>0</v>
      </c>
      <c r="BR225" s="216">
        <f t="shared" si="200"/>
        <v>0</v>
      </c>
    </row>
    <row r="226" spans="1:70" ht="36">
      <c r="A226" s="105" t="s">
        <v>939</v>
      </c>
      <c r="B226" s="1241" t="s">
        <v>536</v>
      </c>
      <c r="C226" s="113"/>
      <c r="D226" s="113"/>
      <c r="E226" s="113"/>
      <c r="F226" s="104">
        <f t="shared" si="160"/>
        <v>0</v>
      </c>
      <c r="G226" s="113">
        <f>+'CONAP (ALL FUNDS)'!F476</f>
        <v>0</v>
      </c>
      <c r="H226" s="113">
        <f>+'CONAP (ALL FUNDS)'!G476</f>
        <v>0</v>
      </c>
      <c r="I226" s="113">
        <f>+'CONAP (ALL FUNDS)'!H476</f>
        <v>10022000</v>
      </c>
      <c r="J226" s="104">
        <f t="shared" si="161"/>
        <v>10022000</v>
      </c>
      <c r="K226" s="113">
        <v>0</v>
      </c>
      <c r="L226" s="113">
        <v>40917678.859999999</v>
      </c>
      <c r="M226" s="113">
        <v>5581939.6600000001</v>
      </c>
      <c r="N226" s="104">
        <f t="shared" si="162"/>
        <v>46499618.519999996</v>
      </c>
      <c r="O226" s="113">
        <f t="shared" si="181"/>
        <v>0</v>
      </c>
      <c r="P226" s="113">
        <v>41485876.359999999</v>
      </c>
      <c r="Q226" s="113">
        <v>16746503.66</v>
      </c>
      <c r="R226" s="104">
        <f t="shared" si="184"/>
        <v>58232380.019999996</v>
      </c>
      <c r="S226" s="113">
        <f t="shared" si="185"/>
        <v>0</v>
      </c>
      <c r="T226" s="113">
        <f t="shared" si="186"/>
        <v>41485876.359999999</v>
      </c>
      <c r="U226" s="113">
        <f t="shared" si="187"/>
        <v>16746503.66</v>
      </c>
      <c r="V226" s="104">
        <f t="shared" si="188"/>
        <v>58232380.019999996</v>
      </c>
      <c r="W226" s="113">
        <f>+'CONAP (ALL FUNDS)'!J474</f>
        <v>0</v>
      </c>
      <c r="X226" s="113">
        <f>+'CONAP (ALL FUNDS)'!K474</f>
        <v>0</v>
      </c>
      <c r="Y226" s="113">
        <f>+'CONAP (ALL FUNDS)'!L474</f>
        <v>0</v>
      </c>
      <c r="Z226" s="104">
        <f t="shared" si="178"/>
        <v>0</v>
      </c>
      <c r="AA226" s="113">
        <f>+'CONAP (ALL FUNDS)'!J475</f>
        <v>0</v>
      </c>
      <c r="AB226" s="113">
        <f>+'CONAP (ALL FUNDS)'!K475</f>
        <v>39042313.920000002</v>
      </c>
      <c r="AC226" s="113">
        <f>+'CONAP (ALL FUNDS)'!L475</f>
        <v>8433812.7899999991</v>
      </c>
      <c r="AD226" s="104">
        <f t="shared" si="179"/>
        <v>47476126.710000001</v>
      </c>
      <c r="AE226" s="117">
        <f t="shared" si="189"/>
        <v>0</v>
      </c>
      <c r="AF226" s="117">
        <f t="shared" si="190"/>
        <v>39042313.920000002</v>
      </c>
      <c r="AG226" s="117">
        <f t="shared" si="191"/>
        <v>8433812.7899999991</v>
      </c>
      <c r="AH226" s="104">
        <f t="shared" si="180"/>
        <v>47476126.710000001</v>
      </c>
      <c r="AI226" s="117">
        <f t="shared" si="163"/>
        <v>0</v>
      </c>
      <c r="AJ226" s="117">
        <f t="shared" si="164"/>
        <v>2443562.4399999976</v>
      </c>
      <c r="AK226" s="117">
        <f t="shared" si="165"/>
        <v>8312690.870000001</v>
      </c>
      <c r="AL226" s="104">
        <f t="shared" si="166"/>
        <v>10756253.309999999</v>
      </c>
      <c r="AM226" s="1221" t="str">
        <f t="shared" si="194"/>
        <v xml:space="preserve"> </v>
      </c>
      <c r="AN226" s="1221">
        <f t="shared" si="195"/>
        <v>0.94109893162685987</v>
      </c>
      <c r="AO226" s="1221">
        <f t="shared" si="196"/>
        <v>0.50361633456329469</v>
      </c>
      <c r="AP226" s="1221">
        <f t="shared" si="197"/>
        <v>0.81528741730450061</v>
      </c>
      <c r="AQ226" s="1223" t="str">
        <f t="shared" si="169"/>
        <v xml:space="preserve"> </v>
      </c>
      <c r="AW226" s="107"/>
      <c r="BL226" s="149">
        <f>+'CONAP (ALL FUNDS)'!F474</f>
        <v>0</v>
      </c>
      <c r="BM226" s="149">
        <f>+'CONAP (ALL FUNDS)'!G474</f>
        <v>0</v>
      </c>
      <c r="BN226" s="149">
        <f>+'CONAP (ALL FUNDS)'!H474</f>
        <v>0</v>
      </c>
      <c r="BP226" s="216">
        <f t="shared" si="198"/>
        <v>0</v>
      </c>
      <c r="BQ226" s="216">
        <f t="shared" si="199"/>
        <v>0</v>
      </c>
      <c r="BR226" s="216">
        <f t="shared" si="200"/>
        <v>0</v>
      </c>
    </row>
    <row r="227" spans="1:70" ht="12.75">
      <c r="B227" s="1238"/>
      <c r="C227" s="113"/>
      <c r="D227" s="113"/>
      <c r="E227" s="113"/>
      <c r="F227" s="104"/>
      <c r="G227" s="113"/>
      <c r="H227" s="113"/>
      <c r="I227" s="113"/>
      <c r="J227" s="104"/>
      <c r="K227" s="113"/>
      <c r="L227" s="113"/>
      <c r="M227" s="113"/>
      <c r="N227" s="104"/>
      <c r="O227" s="113">
        <f t="shared" si="181"/>
        <v>0</v>
      </c>
      <c r="P227" s="113">
        <f t="shared" si="182"/>
        <v>0</v>
      </c>
      <c r="Q227" s="113">
        <f t="shared" si="183"/>
        <v>0</v>
      </c>
      <c r="R227" s="104">
        <f t="shared" si="184"/>
        <v>0</v>
      </c>
      <c r="S227" s="113">
        <f t="shared" si="185"/>
        <v>0</v>
      </c>
      <c r="T227" s="113">
        <f t="shared" si="186"/>
        <v>0</v>
      </c>
      <c r="U227" s="113">
        <f t="shared" si="187"/>
        <v>0</v>
      </c>
      <c r="V227" s="104">
        <f t="shared" si="188"/>
        <v>0</v>
      </c>
      <c r="W227" s="113"/>
      <c r="X227" s="113"/>
      <c r="Y227" s="113"/>
      <c r="Z227" s="104">
        <f t="shared" si="178"/>
        <v>0</v>
      </c>
      <c r="AA227" s="113"/>
      <c r="AB227" s="113"/>
      <c r="AC227" s="113"/>
      <c r="AD227" s="104">
        <f t="shared" si="179"/>
        <v>0</v>
      </c>
      <c r="AE227" s="117">
        <f t="shared" si="189"/>
        <v>0</v>
      </c>
      <c r="AF227" s="117">
        <f t="shared" si="190"/>
        <v>0</v>
      </c>
      <c r="AG227" s="117">
        <f t="shared" si="191"/>
        <v>0</v>
      </c>
      <c r="AH227" s="104">
        <f t="shared" si="180"/>
        <v>0</v>
      </c>
      <c r="AI227" s="117">
        <f t="shared" si="163"/>
        <v>0</v>
      </c>
      <c r="AJ227" s="117">
        <f t="shared" si="164"/>
        <v>0</v>
      </c>
      <c r="AK227" s="117">
        <f t="shared" si="165"/>
        <v>0</v>
      </c>
      <c r="AL227" s="104">
        <f t="shared" si="166"/>
        <v>0</v>
      </c>
      <c r="AM227" s="1221" t="str">
        <f t="shared" si="194"/>
        <v xml:space="preserve"> </v>
      </c>
      <c r="AN227" s="1221" t="str">
        <f t="shared" si="195"/>
        <v xml:space="preserve"> </v>
      </c>
      <c r="AO227" s="1221" t="str">
        <f t="shared" si="196"/>
        <v xml:space="preserve"> </v>
      </c>
      <c r="AP227" s="1221" t="str">
        <f t="shared" si="197"/>
        <v xml:space="preserve"> </v>
      </c>
      <c r="AQ227" s="1223" t="str">
        <f t="shared" si="169"/>
        <v xml:space="preserve"> </v>
      </c>
      <c r="AW227" s="107"/>
      <c r="BL227" s="149"/>
      <c r="BM227" s="149"/>
      <c r="BN227" s="149"/>
      <c r="BP227" s="216">
        <f t="shared" si="198"/>
        <v>0</v>
      </c>
      <c r="BQ227" s="216">
        <f t="shared" si="199"/>
        <v>0</v>
      </c>
      <c r="BR227" s="216">
        <f t="shared" si="200"/>
        <v>0</v>
      </c>
    </row>
    <row r="228" spans="1:70" ht="12.75">
      <c r="A228" s="105" t="s">
        <v>937</v>
      </c>
      <c r="B228" s="1235" t="s">
        <v>33</v>
      </c>
      <c r="C228" s="113">
        <f t="shared" ref="C228:N228" si="211">SUM(C229:C231)</f>
        <v>0</v>
      </c>
      <c r="D228" s="113">
        <f t="shared" si="211"/>
        <v>16958861.049999997</v>
      </c>
      <c r="E228" s="113">
        <f t="shared" si="211"/>
        <v>0</v>
      </c>
      <c r="F228" s="113">
        <f t="shared" si="211"/>
        <v>16958861.049999997</v>
      </c>
      <c r="G228" s="113">
        <f t="shared" si="211"/>
        <v>0</v>
      </c>
      <c r="H228" s="113">
        <f t="shared" si="211"/>
        <v>-2059866.99</v>
      </c>
      <c r="I228" s="113">
        <f t="shared" si="211"/>
        <v>4959400</v>
      </c>
      <c r="J228" s="113">
        <f t="shared" si="211"/>
        <v>2899533.01</v>
      </c>
      <c r="K228" s="113">
        <f t="shared" si="211"/>
        <v>0</v>
      </c>
      <c r="L228" s="113">
        <f t="shared" si="211"/>
        <v>38965067.010000005</v>
      </c>
      <c r="M228" s="113">
        <f t="shared" si="211"/>
        <v>360682.56</v>
      </c>
      <c r="N228" s="113">
        <f t="shared" si="211"/>
        <v>39325749.570000008</v>
      </c>
      <c r="O228" s="113">
        <f t="shared" si="181"/>
        <v>0</v>
      </c>
      <c r="P228" s="113">
        <f t="shared" si="182"/>
        <v>36905200.020000003</v>
      </c>
      <c r="Q228" s="113">
        <f t="shared" si="183"/>
        <v>5320082.5599999996</v>
      </c>
      <c r="R228" s="104">
        <f t="shared" si="184"/>
        <v>42225282.580000006</v>
      </c>
      <c r="S228" s="113">
        <f t="shared" si="185"/>
        <v>0</v>
      </c>
      <c r="T228" s="113">
        <f t="shared" si="186"/>
        <v>53864061.07</v>
      </c>
      <c r="U228" s="113">
        <f t="shared" si="187"/>
        <v>5320082.5599999996</v>
      </c>
      <c r="V228" s="104">
        <f t="shared" si="188"/>
        <v>59184143.630000003</v>
      </c>
      <c r="W228" s="113">
        <f>SUM(W229:W231)</f>
        <v>0</v>
      </c>
      <c r="X228" s="113">
        <f>SUM(X229:X231)</f>
        <v>2399970.86</v>
      </c>
      <c r="Y228" s="113">
        <f>SUM(Y229:Y231)</f>
        <v>0</v>
      </c>
      <c r="Z228" s="104">
        <f t="shared" si="178"/>
        <v>2399970.86</v>
      </c>
      <c r="AA228" s="113">
        <f>SUM(AA229:AA231)</f>
        <v>0</v>
      </c>
      <c r="AB228" s="113">
        <f>SUM(AB229:AB231)</f>
        <v>20063604.439999998</v>
      </c>
      <c r="AC228" s="113">
        <f>SUM(AC229:AC231)</f>
        <v>280210</v>
      </c>
      <c r="AD228" s="104">
        <f t="shared" si="179"/>
        <v>20343814.439999998</v>
      </c>
      <c r="AE228" s="117">
        <f t="shared" si="189"/>
        <v>0</v>
      </c>
      <c r="AF228" s="117">
        <f t="shared" si="190"/>
        <v>22463575.299999997</v>
      </c>
      <c r="AG228" s="117">
        <f t="shared" si="191"/>
        <v>280210</v>
      </c>
      <c r="AH228" s="104">
        <f t="shared" si="180"/>
        <v>22743785.299999997</v>
      </c>
      <c r="AI228" s="117">
        <f t="shared" si="163"/>
        <v>0</v>
      </c>
      <c r="AJ228" s="117">
        <f t="shared" si="164"/>
        <v>31400485.770000003</v>
      </c>
      <c r="AK228" s="117">
        <f t="shared" si="165"/>
        <v>5039872.5599999996</v>
      </c>
      <c r="AL228" s="104">
        <f t="shared" si="166"/>
        <v>36440358.330000006</v>
      </c>
      <c r="AM228" s="1221" t="str">
        <f t="shared" si="194"/>
        <v xml:space="preserve"> </v>
      </c>
      <c r="AN228" s="1221">
        <f t="shared" si="195"/>
        <v>0.41704199152022825</v>
      </c>
      <c r="AO228" s="1221">
        <f t="shared" si="196"/>
        <v>5.2670235252890517E-2</v>
      </c>
      <c r="AP228" s="1221">
        <f t="shared" si="197"/>
        <v>0.38428849190057962</v>
      </c>
      <c r="AQ228" s="1223" t="str">
        <f t="shared" si="169"/>
        <v xml:space="preserve"> </v>
      </c>
      <c r="AW228" s="107"/>
      <c r="BH228" s="105">
        <f>+AL228-'CONAP (ALL FUNDS)'!Q538</f>
        <v>0</v>
      </c>
      <c r="BL228" s="149">
        <f>SUM(BL229:BL231)</f>
        <v>0</v>
      </c>
      <c r="BM228" s="149">
        <f t="shared" ref="BM228:BN228" si="212">SUM(BM229:BM231)</f>
        <v>16958861.049999997</v>
      </c>
      <c r="BN228" s="149">
        <f t="shared" si="212"/>
        <v>0</v>
      </c>
      <c r="BP228" s="216">
        <f t="shared" si="198"/>
        <v>0</v>
      </c>
      <c r="BQ228" s="216">
        <f t="shared" si="199"/>
        <v>0</v>
      </c>
      <c r="BR228" s="216">
        <f t="shared" si="200"/>
        <v>0</v>
      </c>
    </row>
    <row r="229" spans="1:70" ht="36">
      <c r="A229" s="105" t="s">
        <v>937</v>
      </c>
      <c r="B229" s="1241" t="s">
        <v>534</v>
      </c>
      <c r="C229" s="113">
        <v>0</v>
      </c>
      <c r="D229" s="113">
        <v>1026280.0999999959</v>
      </c>
      <c r="E229" s="113">
        <v>0</v>
      </c>
      <c r="F229" s="104">
        <f t="shared" si="160"/>
        <v>1026280.0999999959</v>
      </c>
      <c r="G229" s="113"/>
      <c r="H229" s="113"/>
      <c r="I229" s="113"/>
      <c r="J229" s="104">
        <f t="shared" si="161"/>
        <v>0</v>
      </c>
      <c r="K229" s="113"/>
      <c r="L229" s="113"/>
      <c r="M229" s="113"/>
      <c r="N229" s="104">
        <f t="shared" si="162"/>
        <v>0</v>
      </c>
      <c r="O229" s="113">
        <f t="shared" si="181"/>
        <v>0</v>
      </c>
      <c r="P229" s="113">
        <f t="shared" si="182"/>
        <v>0</v>
      </c>
      <c r="Q229" s="113">
        <f t="shared" si="183"/>
        <v>0</v>
      </c>
      <c r="R229" s="104">
        <f t="shared" si="184"/>
        <v>0</v>
      </c>
      <c r="S229" s="113">
        <f t="shared" si="185"/>
        <v>0</v>
      </c>
      <c r="T229" s="113">
        <f t="shared" si="186"/>
        <v>1026280.0999999959</v>
      </c>
      <c r="U229" s="113">
        <f t="shared" si="187"/>
        <v>0</v>
      </c>
      <c r="V229" s="104">
        <f t="shared" si="188"/>
        <v>1026280.0999999959</v>
      </c>
      <c r="W229" s="113">
        <f>+'CONAP (ALL FUNDS)'!J532</f>
        <v>0</v>
      </c>
      <c r="X229" s="113">
        <f>+'CONAP (ALL FUNDS)'!K532</f>
        <v>866023.9</v>
      </c>
      <c r="Y229" s="113">
        <f>+'CONAP (ALL FUNDS)'!L532</f>
        <v>0</v>
      </c>
      <c r="Z229" s="104">
        <f t="shared" si="178"/>
        <v>866023.9</v>
      </c>
      <c r="AA229" s="113"/>
      <c r="AB229" s="113"/>
      <c r="AC229" s="113"/>
      <c r="AD229" s="104">
        <f t="shared" si="179"/>
        <v>0</v>
      </c>
      <c r="AE229" s="117">
        <f t="shared" si="189"/>
        <v>0</v>
      </c>
      <c r="AF229" s="117">
        <f t="shared" si="190"/>
        <v>866023.9</v>
      </c>
      <c r="AG229" s="117">
        <f t="shared" si="191"/>
        <v>0</v>
      </c>
      <c r="AH229" s="104">
        <f t="shared" si="180"/>
        <v>866023.9</v>
      </c>
      <c r="AI229" s="117">
        <f t="shared" si="163"/>
        <v>0</v>
      </c>
      <c r="AJ229" s="117">
        <f t="shared" si="164"/>
        <v>160256.19999999588</v>
      </c>
      <c r="AK229" s="117">
        <f t="shared" si="165"/>
        <v>0</v>
      </c>
      <c r="AL229" s="104">
        <f t="shared" si="166"/>
        <v>160256.19999999588</v>
      </c>
      <c r="AM229" s="1221" t="str">
        <f t="shared" si="194"/>
        <v xml:space="preserve"> </v>
      </c>
      <c r="AN229" s="1221">
        <f t="shared" si="195"/>
        <v>0.84384750323035929</v>
      </c>
      <c r="AO229" s="1221" t="str">
        <f t="shared" si="196"/>
        <v xml:space="preserve"> </v>
      </c>
      <c r="AP229" s="1221">
        <f t="shared" si="197"/>
        <v>0.84384750323035929</v>
      </c>
      <c r="AQ229" s="1223" t="str">
        <f t="shared" si="169"/>
        <v xml:space="preserve"> </v>
      </c>
      <c r="AW229" s="107"/>
      <c r="BL229" s="149">
        <f>+'CONAP (ALL FUNDS)'!F532</f>
        <v>0</v>
      </c>
      <c r="BM229" s="149">
        <f>+'CONAP (ALL FUNDS)'!G532</f>
        <v>1026280.0999999959</v>
      </c>
      <c r="BN229" s="149">
        <f>+'CONAP (ALL FUNDS)'!H532</f>
        <v>0</v>
      </c>
      <c r="BP229" s="216">
        <f t="shared" si="198"/>
        <v>0</v>
      </c>
      <c r="BQ229" s="216">
        <f t="shared" si="199"/>
        <v>0</v>
      </c>
      <c r="BR229" s="216">
        <f t="shared" si="200"/>
        <v>0</v>
      </c>
    </row>
    <row r="230" spans="1:70" ht="12.75">
      <c r="A230" s="105" t="s">
        <v>937</v>
      </c>
      <c r="B230" s="1231" t="s">
        <v>535</v>
      </c>
      <c r="C230" s="113">
        <v>0</v>
      </c>
      <c r="D230" s="113">
        <v>1258128.27</v>
      </c>
      <c r="E230" s="113">
        <v>0</v>
      </c>
      <c r="F230" s="104">
        <f t="shared" si="160"/>
        <v>1258128.27</v>
      </c>
      <c r="G230" s="113"/>
      <c r="H230" s="113"/>
      <c r="I230" s="113"/>
      <c r="J230" s="104">
        <f t="shared" si="161"/>
        <v>0</v>
      </c>
      <c r="K230" s="113"/>
      <c r="L230" s="113"/>
      <c r="M230" s="113"/>
      <c r="N230" s="104">
        <f t="shared" si="162"/>
        <v>0</v>
      </c>
      <c r="O230" s="113">
        <f t="shared" si="181"/>
        <v>0</v>
      </c>
      <c r="P230" s="113">
        <f t="shared" si="182"/>
        <v>0</v>
      </c>
      <c r="Q230" s="113">
        <f t="shared" si="183"/>
        <v>0</v>
      </c>
      <c r="R230" s="104">
        <f t="shared" si="184"/>
        <v>0</v>
      </c>
      <c r="S230" s="113">
        <f t="shared" si="185"/>
        <v>0</v>
      </c>
      <c r="T230" s="113">
        <f t="shared" si="186"/>
        <v>1258128.27</v>
      </c>
      <c r="U230" s="113">
        <f t="shared" si="187"/>
        <v>0</v>
      </c>
      <c r="V230" s="104">
        <f t="shared" si="188"/>
        <v>1258128.27</v>
      </c>
      <c r="W230" s="113">
        <f>+'CONAP (ALL FUNDS)'!J533</f>
        <v>0</v>
      </c>
      <c r="X230" s="113">
        <f>+'CONAP (ALL FUNDS)'!K533</f>
        <v>18958.669999999998</v>
      </c>
      <c r="Y230" s="113">
        <f>+'CONAP (ALL FUNDS)'!L533</f>
        <v>0</v>
      </c>
      <c r="Z230" s="104">
        <f t="shared" si="178"/>
        <v>18958.669999999998</v>
      </c>
      <c r="AA230" s="113"/>
      <c r="AB230" s="113"/>
      <c r="AC230" s="113"/>
      <c r="AD230" s="104">
        <f t="shared" si="179"/>
        <v>0</v>
      </c>
      <c r="AE230" s="117">
        <f t="shared" si="189"/>
        <v>0</v>
      </c>
      <c r="AF230" s="117">
        <f t="shared" si="190"/>
        <v>18958.669999999998</v>
      </c>
      <c r="AG230" s="117">
        <f t="shared" si="191"/>
        <v>0</v>
      </c>
      <c r="AH230" s="104">
        <f t="shared" si="180"/>
        <v>18958.669999999998</v>
      </c>
      <c r="AI230" s="117">
        <f t="shared" si="163"/>
        <v>0</v>
      </c>
      <c r="AJ230" s="117">
        <f t="shared" si="164"/>
        <v>1239169.6000000001</v>
      </c>
      <c r="AK230" s="117">
        <f t="shared" si="165"/>
        <v>0</v>
      </c>
      <c r="AL230" s="104">
        <f t="shared" si="166"/>
        <v>1239169.6000000001</v>
      </c>
      <c r="AM230" s="1221" t="str">
        <f t="shared" si="194"/>
        <v xml:space="preserve"> </v>
      </c>
      <c r="AN230" s="1221">
        <f t="shared" si="195"/>
        <v>1.5068948414933874E-2</v>
      </c>
      <c r="AO230" s="1221" t="str">
        <f t="shared" si="196"/>
        <v xml:space="preserve"> </v>
      </c>
      <c r="AP230" s="1221">
        <f t="shared" si="197"/>
        <v>1.5068948414933874E-2</v>
      </c>
      <c r="AQ230" s="1223" t="str">
        <f t="shared" si="169"/>
        <v xml:space="preserve"> </v>
      </c>
      <c r="AW230" s="107"/>
      <c r="BL230" s="149">
        <f>+'CONAP (ALL FUNDS)'!F533</f>
        <v>0</v>
      </c>
      <c r="BM230" s="149">
        <f>+'CONAP (ALL FUNDS)'!G533</f>
        <v>1258128.27</v>
      </c>
      <c r="BN230" s="149">
        <f>+'CONAP (ALL FUNDS)'!H533</f>
        <v>0</v>
      </c>
      <c r="BP230" s="216">
        <f t="shared" si="198"/>
        <v>0</v>
      </c>
      <c r="BQ230" s="216">
        <f t="shared" si="199"/>
        <v>0</v>
      </c>
      <c r="BR230" s="216">
        <f t="shared" si="200"/>
        <v>0</v>
      </c>
    </row>
    <row r="231" spans="1:70" ht="36">
      <c r="A231" s="105" t="s">
        <v>937</v>
      </c>
      <c r="B231" s="1241" t="s">
        <v>536</v>
      </c>
      <c r="C231" s="113">
        <v>0</v>
      </c>
      <c r="D231" s="113">
        <v>14674452.68</v>
      </c>
      <c r="E231" s="113">
        <v>0</v>
      </c>
      <c r="F231" s="104">
        <f t="shared" si="160"/>
        <v>14674452.68</v>
      </c>
      <c r="G231" s="113">
        <f>+'CONAP (ALL FUNDS)'!F536</f>
        <v>0</v>
      </c>
      <c r="H231" s="113">
        <f>+'CONAP (ALL FUNDS)'!G536</f>
        <v>-2059866.99</v>
      </c>
      <c r="I231" s="113">
        <f>+'CONAP (ALL FUNDS)'!H536</f>
        <v>4959400</v>
      </c>
      <c r="J231" s="104">
        <f t="shared" si="161"/>
        <v>2899533.01</v>
      </c>
      <c r="K231" s="113">
        <v>0</v>
      </c>
      <c r="L231" s="113">
        <v>38965067.010000005</v>
      </c>
      <c r="M231" s="113">
        <v>360682.56</v>
      </c>
      <c r="N231" s="104">
        <f t="shared" si="162"/>
        <v>39325749.570000008</v>
      </c>
      <c r="O231" s="113">
        <f t="shared" si="181"/>
        <v>0</v>
      </c>
      <c r="P231" s="113">
        <f t="shared" si="182"/>
        <v>36905200.020000003</v>
      </c>
      <c r="Q231" s="113">
        <f t="shared" si="183"/>
        <v>5320082.5599999996</v>
      </c>
      <c r="R231" s="104">
        <f t="shared" si="184"/>
        <v>42225282.580000006</v>
      </c>
      <c r="S231" s="113">
        <f t="shared" si="185"/>
        <v>0</v>
      </c>
      <c r="T231" s="113">
        <f t="shared" si="186"/>
        <v>51579652.700000003</v>
      </c>
      <c r="U231" s="113">
        <f t="shared" si="187"/>
        <v>5320082.5599999996</v>
      </c>
      <c r="V231" s="104">
        <f t="shared" si="188"/>
        <v>56899735.260000005</v>
      </c>
      <c r="W231" s="113">
        <f>+'CONAP (ALL FUNDS)'!J534</f>
        <v>0</v>
      </c>
      <c r="X231" s="113">
        <f>+'CONAP (ALL FUNDS)'!K534</f>
        <v>1514988.2899999998</v>
      </c>
      <c r="Y231" s="113">
        <f>+'CONAP (ALL FUNDS)'!L534</f>
        <v>0</v>
      </c>
      <c r="Z231" s="104">
        <f t="shared" si="178"/>
        <v>1514988.2899999998</v>
      </c>
      <c r="AA231" s="113">
        <f>+'CONAP (ALL FUNDS)'!J535</f>
        <v>0</v>
      </c>
      <c r="AB231" s="113">
        <f>+'CONAP (ALL FUNDS)'!K535</f>
        <v>20063604.439999998</v>
      </c>
      <c r="AC231" s="113">
        <f>+'CONAP (ALL FUNDS)'!L535</f>
        <v>280210</v>
      </c>
      <c r="AD231" s="104">
        <f t="shared" si="179"/>
        <v>20343814.439999998</v>
      </c>
      <c r="AE231" s="117">
        <f t="shared" si="189"/>
        <v>0</v>
      </c>
      <c r="AF231" s="117">
        <f t="shared" si="190"/>
        <v>21578592.729999997</v>
      </c>
      <c r="AG231" s="117">
        <f t="shared" si="191"/>
        <v>280210</v>
      </c>
      <c r="AH231" s="104">
        <f t="shared" si="180"/>
        <v>21858802.729999997</v>
      </c>
      <c r="AI231" s="117">
        <f t="shared" si="163"/>
        <v>0</v>
      </c>
      <c r="AJ231" s="117">
        <f t="shared" si="164"/>
        <v>30001059.970000006</v>
      </c>
      <c r="AK231" s="117">
        <f t="shared" si="165"/>
        <v>5039872.5599999996</v>
      </c>
      <c r="AL231" s="104">
        <f t="shared" si="166"/>
        <v>35040932.530000009</v>
      </c>
      <c r="AM231" s="1221" t="str">
        <f t="shared" si="194"/>
        <v xml:space="preserve"> </v>
      </c>
      <c r="AN231" s="1221">
        <f t="shared" si="195"/>
        <v>0.41835475038008535</v>
      </c>
      <c r="AO231" s="1221">
        <f t="shared" si="196"/>
        <v>5.2670235252890517E-2</v>
      </c>
      <c r="AP231" s="1221">
        <f t="shared" si="197"/>
        <v>0.3841635225562558</v>
      </c>
      <c r="AQ231" s="1223" t="str">
        <f t="shared" si="169"/>
        <v xml:space="preserve"> </v>
      </c>
      <c r="AW231" s="107"/>
      <c r="BL231" s="149">
        <f>+'CONAP (ALL FUNDS)'!F534</f>
        <v>0</v>
      </c>
      <c r="BM231" s="149">
        <f>+'CONAP (ALL FUNDS)'!G534</f>
        <v>14674452.68</v>
      </c>
      <c r="BN231" s="149">
        <f>+'CONAP (ALL FUNDS)'!H534</f>
        <v>0</v>
      </c>
      <c r="BP231" s="216">
        <f t="shared" si="198"/>
        <v>0</v>
      </c>
      <c r="BQ231" s="216">
        <f t="shared" si="199"/>
        <v>0</v>
      </c>
      <c r="BR231" s="216">
        <f t="shared" si="200"/>
        <v>0</v>
      </c>
    </row>
    <row r="232" spans="1:70" ht="12.75">
      <c r="B232" s="1238"/>
      <c r="C232" s="113"/>
      <c r="D232" s="113"/>
      <c r="E232" s="113"/>
      <c r="F232" s="104">
        <f t="shared" si="160"/>
        <v>0</v>
      </c>
      <c r="G232" s="113"/>
      <c r="H232" s="113"/>
      <c r="I232" s="113"/>
      <c r="J232" s="104">
        <f t="shared" si="161"/>
        <v>0</v>
      </c>
      <c r="K232" s="113"/>
      <c r="L232" s="113"/>
      <c r="M232" s="113"/>
      <c r="N232" s="104">
        <f t="shared" si="162"/>
        <v>0</v>
      </c>
      <c r="O232" s="113">
        <f t="shared" si="181"/>
        <v>0</v>
      </c>
      <c r="P232" s="113">
        <f t="shared" si="182"/>
        <v>0</v>
      </c>
      <c r="Q232" s="113">
        <f t="shared" si="183"/>
        <v>0</v>
      </c>
      <c r="R232" s="104">
        <f t="shared" si="184"/>
        <v>0</v>
      </c>
      <c r="S232" s="113">
        <f t="shared" si="185"/>
        <v>0</v>
      </c>
      <c r="T232" s="113">
        <f t="shared" si="186"/>
        <v>0</v>
      </c>
      <c r="U232" s="113">
        <f t="shared" si="187"/>
        <v>0</v>
      </c>
      <c r="V232" s="104">
        <f t="shared" si="188"/>
        <v>0</v>
      </c>
      <c r="W232" s="113"/>
      <c r="X232" s="113"/>
      <c r="Y232" s="113"/>
      <c r="Z232" s="104">
        <f t="shared" si="178"/>
        <v>0</v>
      </c>
      <c r="AA232" s="113"/>
      <c r="AB232" s="113"/>
      <c r="AC232" s="113"/>
      <c r="AD232" s="104">
        <f t="shared" si="179"/>
        <v>0</v>
      </c>
      <c r="AE232" s="117">
        <f t="shared" si="189"/>
        <v>0</v>
      </c>
      <c r="AF232" s="117">
        <f t="shared" si="190"/>
        <v>0</v>
      </c>
      <c r="AG232" s="117">
        <f t="shared" si="191"/>
        <v>0</v>
      </c>
      <c r="AH232" s="104">
        <f t="shared" si="180"/>
        <v>0</v>
      </c>
      <c r="AI232" s="117">
        <f t="shared" si="163"/>
        <v>0</v>
      </c>
      <c r="AJ232" s="117">
        <f t="shared" si="164"/>
        <v>0</v>
      </c>
      <c r="AK232" s="117">
        <f t="shared" si="165"/>
        <v>0</v>
      </c>
      <c r="AL232" s="104">
        <f t="shared" si="166"/>
        <v>0</v>
      </c>
      <c r="AM232" s="1221" t="str">
        <f t="shared" si="194"/>
        <v xml:space="preserve"> </v>
      </c>
      <c r="AN232" s="1221" t="str">
        <f t="shared" si="195"/>
        <v xml:space="preserve"> </v>
      </c>
      <c r="AO232" s="1221" t="str">
        <f t="shared" si="196"/>
        <v xml:space="preserve"> </v>
      </c>
      <c r="AP232" s="1221" t="str">
        <f t="shared" si="197"/>
        <v xml:space="preserve"> </v>
      </c>
      <c r="AQ232" s="1223" t="str">
        <f t="shared" si="169"/>
        <v xml:space="preserve"> </v>
      </c>
      <c r="AW232" s="107"/>
      <c r="BL232" s="149"/>
      <c r="BM232" s="149"/>
      <c r="BN232" s="149"/>
      <c r="BP232" s="216">
        <f t="shared" si="198"/>
        <v>0</v>
      </c>
      <c r="BQ232" s="216">
        <f t="shared" si="199"/>
        <v>0</v>
      </c>
      <c r="BR232" s="216">
        <f t="shared" si="200"/>
        <v>0</v>
      </c>
    </row>
    <row r="233" spans="1:70" ht="12.75">
      <c r="A233" s="105" t="s">
        <v>937</v>
      </c>
      <c r="B233" s="1235" t="s">
        <v>34</v>
      </c>
      <c r="C233" s="113">
        <f>SUM(C234:C236)</f>
        <v>0</v>
      </c>
      <c r="D233" s="113">
        <f>SUM(D234:D236)</f>
        <v>1983158.9300000025</v>
      </c>
      <c r="E233" s="113">
        <f>SUM(E234:E236)</f>
        <v>0</v>
      </c>
      <c r="F233" s="113">
        <f>SUM(F234:F236)</f>
        <v>1983158.9300000025</v>
      </c>
      <c r="G233" s="113">
        <f t="shared" ref="G233:M233" si="213">SUM(G234:G237)</f>
        <v>0</v>
      </c>
      <c r="H233" s="113">
        <f t="shared" si="213"/>
        <v>-9041006.0599999987</v>
      </c>
      <c r="I233" s="113">
        <f t="shared" si="213"/>
        <v>-97107238</v>
      </c>
      <c r="J233" s="113">
        <f>SUM(J234:J236)</f>
        <v>-106148244.06</v>
      </c>
      <c r="K233" s="113">
        <f t="shared" si="213"/>
        <v>0</v>
      </c>
      <c r="L233" s="113">
        <f t="shared" si="213"/>
        <v>47385665.319999993</v>
      </c>
      <c r="M233" s="113">
        <f t="shared" si="213"/>
        <v>114839306.45</v>
      </c>
      <c r="N233" s="113">
        <f>SUM(N234:N236)</f>
        <v>162224971.76999998</v>
      </c>
      <c r="O233" s="113">
        <f t="shared" si="181"/>
        <v>0</v>
      </c>
      <c r="P233" s="113">
        <f t="shared" si="182"/>
        <v>38344659.25999999</v>
      </c>
      <c r="Q233" s="113">
        <f t="shared" si="183"/>
        <v>17732068.450000003</v>
      </c>
      <c r="R233" s="104">
        <f t="shared" si="184"/>
        <v>56076727.709999993</v>
      </c>
      <c r="S233" s="113">
        <f t="shared" si="185"/>
        <v>0</v>
      </c>
      <c r="T233" s="113">
        <f t="shared" si="186"/>
        <v>40327818.18999999</v>
      </c>
      <c r="U233" s="113">
        <f t="shared" si="187"/>
        <v>17732068.450000003</v>
      </c>
      <c r="V233" s="104">
        <f t="shared" si="188"/>
        <v>58059886.639999993</v>
      </c>
      <c r="W233" s="113">
        <f t="shared" ref="W233:AC233" si="214">SUM(W234:W237)</f>
        <v>0</v>
      </c>
      <c r="X233" s="113">
        <f t="shared" si="214"/>
        <v>1395245.78</v>
      </c>
      <c r="Y233" s="113">
        <f t="shared" si="214"/>
        <v>0</v>
      </c>
      <c r="Z233" s="104">
        <f t="shared" si="178"/>
        <v>1395245.78</v>
      </c>
      <c r="AA233" s="113">
        <f t="shared" si="214"/>
        <v>0</v>
      </c>
      <c r="AB233" s="113">
        <f t="shared" si="214"/>
        <v>33749840.410000004</v>
      </c>
      <c r="AC233" s="113">
        <f t="shared" si="214"/>
        <v>12775953</v>
      </c>
      <c r="AD233" s="104">
        <f t="shared" si="179"/>
        <v>46525793.410000004</v>
      </c>
      <c r="AE233" s="117">
        <f t="shared" si="189"/>
        <v>0</v>
      </c>
      <c r="AF233" s="117">
        <f t="shared" si="190"/>
        <v>35145086.190000005</v>
      </c>
      <c r="AG233" s="117">
        <f t="shared" si="191"/>
        <v>12775953</v>
      </c>
      <c r="AH233" s="104">
        <f t="shared" si="180"/>
        <v>47921039.190000005</v>
      </c>
      <c r="AI233" s="117">
        <f t="shared" si="163"/>
        <v>0</v>
      </c>
      <c r="AJ233" s="117">
        <f t="shared" si="164"/>
        <v>5182731.9999999851</v>
      </c>
      <c r="AK233" s="117">
        <f t="shared" si="165"/>
        <v>4956115.450000003</v>
      </c>
      <c r="AL233" s="104">
        <f t="shared" si="166"/>
        <v>10138847.449999988</v>
      </c>
      <c r="AM233" s="1221" t="str">
        <f t="shared" si="194"/>
        <v xml:space="preserve"> </v>
      </c>
      <c r="AN233" s="1221">
        <f t="shared" si="195"/>
        <v>0.87148493936413507</v>
      </c>
      <c r="AO233" s="1221">
        <f t="shared" si="196"/>
        <v>0.72049986926370102</v>
      </c>
      <c r="AP233" s="1221">
        <f t="shared" si="197"/>
        <v>0.82537259308021294</v>
      </c>
      <c r="AQ233" s="1223" t="str">
        <f t="shared" si="169"/>
        <v xml:space="preserve"> </v>
      </c>
      <c r="AW233" s="107"/>
      <c r="BH233" s="105">
        <f>+AL233-'CONAP (ALL FUNDS)'!Q609</f>
        <v>0</v>
      </c>
      <c r="BL233" s="149">
        <f t="shared" ref="BL233:BN233" si="215">SUM(BL234:BL237)</f>
        <v>0</v>
      </c>
      <c r="BM233" s="149">
        <f t="shared" si="215"/>
        <v>1983158.9300000016</v>
      </c>
      <c r="BN233" s="149">
        <f t="shared" si="215"/>
        <v>0</v>
      </c>
      <c r="BP233" s="216">
        <f t="shared" si="198"/>
        <v>0</v>
      </c>
      <c r="BQ233" s="216">
        <f t="shared" si="199"/>
        <v>0</v>
      </c>
      <c r="BR233" s="216">
        <f t="shared" si="200"/>
        <v>0</v>
      </c>
    </row>
    <row r="234" spans="1:70" ht="36">
      <c r="A234" s="105" t="s">
        <v>937</v>
      </c>
      <c r="B234" s="1241" t="s">
        <v>534</v>
      </c>
      <c r="C234" s="113">
        <v>0</v>
      </c>
      <c r="D234" s="113">
        <v>344643.13000000082</v>
      </c>
      <c r="E234" s="113">
        <v>0</v>
      </c>
      <c r="F234" s="104">
        <f t="shared" si="160"/>
        <v>344643.13000000082</v>
      </c>
      <c r="G234" s="113"/>
      <c r="H234" s="113"/>
      <c r="I234" s="113"/>
      <c r="J234" s="104">
        <f t="shared" si="161"/>
        <v>0</v>
      </c>
      <c r="K234" s="113"/>
      <c r="L234" s="113"/>
      <c r="M234" s="113"/>
      <c r="N234" s="104">
        <f t="shared" si="162"/>
        <v>0</v>
      </c>
      <c r="O234" s="113">
        <f t="shared" si="181"/>
        <v>0</v>
      </c>
      <c r="P234" s="113">
        <f t="shared" si="182"/>
        <v>0</v>
      </c>
      <c r="Q234" s="113">
        <f t="shared" si="183"/>
        <v>0</v>
      </c>
      <c r="R234" s="104">
        <f t="shared" si="184"/>
        <v>0</v>
      </c>
      <c r="S234" s="113">
        <f t="shared" si="185"/>
        <v>0</v>
      </c>
      <c r="T234" s="113">
        <f t="shared" si="186"/>
        <v>344643.13000000082</v>
      </c>
      <c r="U234" s="113">
        <f t="shared" si="187"/>
        <v>0</v>
      </c>
      <c r="V234" s="104">
        <f t="shared" si="188"/>
        <v>344643.13000000082</v>
      </c>
      <c r="W234" s="113">
        <f>+'CONAP (ALL FUNDS)'!J603</f>
        <v>0</v>
      </c>
      <c r="X234" s="113">
        <f>+'CONAP (ALL FUNDS)'!K603</f>
        <v>18573.87</v>
      </c>
      <c r="Y234" s="113">
        <f>+'CONAP (ALL FUNDS)'!L603</f>
        <v>0</v>
      </c>
      <c r="Z234" s="104">
        <f t="shared" si="178"/>
        <v>18573.87</v>
      </c>
      <c r="AA234" s="113"/>
      <c r="AB234" s="113"/>
      <c r="AC234" s="113"/>
      <c r="AD234" s="104">
        <f t="shared" si="179"/>
        <v>0</v>
      </c>
      <c r="AE234" s="117">
        <f t="shared" si="189"/>
        <v>0</v>
      </c>
      <c r="AF234" s="117">
        <f t="shared" si="190"/>
        <v>18573.87</v>
      </c>
      <c r="AG234" s="117">
        <f t="shared" si="191"/>
        <v>0</v>
      </c>
      <c r="AH234" s="104">
        <f t="shared" si="180"/>
        <v>18573.87</v>
      </c>
      <c r="AI234" s="117">
        <f t="shared" si="163"/>
        <v>0</v>
      </c>
      <c r="AJ234" s="117">
        <f t="shared" si="164"/>
        <v>326069.26000000082</v>
      </c>
      <c r="AK234" s="117">
        <f t="shared" si="165"/>
        <v>0</v>
      </c>
      <c r="AL234" s="104">
        <f t="shared" si="166"/>
        <v>326069.26000000082</v>
      </c>
      <c r="AM234" s="1221" t="str">
        <f t="shared" si="194"/>
        <v xml:space="preserve"> </v>
      </c>
      <c r="AN234" s="1221">
        <f t="shared" si="195"/>
        <v>5.3893051632858471E-2</v>
      </c>
      <c r="AO234" s="1221" t="str">
        <f t="shared" si="196"/>
        <v xml:space="preserve"> </v>
      </c>
      <c r="AP234" s="1221">
        <f t="shared" si="197"/>
        <v>5.3893051632858471E-2</v>
      </c>
      <c r="AQ234" s="1223" t="str">
        <f t="shared" si="169"/>
        <v xml:space="preserve"> </v>
      </c>
      <c r="AW234" s="107"/>
      <c r="BL234" s="149">
        <f>+'CONAP (ALL FUNDS)'!F603</f>
        <v>0</v>
      </c>
      <c r="BM234" s="149">
        <f>+'CONAP (ALL FUNDS)'!G603</f>
        <v>344643.13</v>
      </c>
      <c r="BN234" s="149">
        <f>+'CONAP (ALL FUNDS)'!H603</f>
        <v>0</v>
      </c>
      <c r="BP234" s="216">
        <f t="shared" si="198"/>
        <v>0</v>
      </c>
      <c r="BQ234" s="216">
        <f t="shared" si="199"/>
        <v>8.149072527885437E-10</v>
      </c>
      <c r="BR234" s="216">
        <f t="shared" si="200"/>
        <v>0</v>
      </c>
    </row>
    <row r="235" spans="1:70" ht="12.75">
      <c r="A235" s="105" t="s">
        <v>937</v>
      </c>
      <c r="B235" s="1231" t="s">
        <v>535</v>
      </c>
      <c r="C235" s="113">
        <v>0</v>
      </c>
      <c r="D235" s="113">
        <v>218703.87999999989</v>
      </c>
      <c r="E235" s="113">
        <v>0</v>
      </c>
      <c r="F235" s="104">
        <f t="shared" si="160"/>
        <v>218703.87999999989</v>
      </c>
      <c r="G235" s="113"/>
      <c r="H235" s="113"/>
      <c r="I235" s="113"/>
      <c r="J235" s="104">
        <f t="shared" si="161"/>
        <v>0</v>
      </c>
      <c r="K235" s="113"/>
      <c r="L235" s="113"/>
      <c r="M235" s="113"/>
      <c r="N235" s="104">
        <f t="shared" si="162"/>
        <v>0</v>
      </c>
      <c r="O235" s="113">
        <f t="shared" si="181"/>
        <v>0</v>
      </c>
      <c r="P235" s="113">
        <f t="shared" si="182"/>
        <v>0</v>
      </c>
      <c r="Q235" s="113">
        <f t="shared" si="183"/>
        <v>0</v>
      </c>
      <c r="R235" s="104">
        <f t="shared" si="184"/>
        <v>0</v>
      </c>
      <c r="S235" s="113">
        <f t="shared" si="185"/>
        <v>0</v>
      </c>
      <c r="T235" s="113">
        <f t="shared" si="186"/>
        <v>218703.87999999989</v>
      </c>
      <c r="U235" s="113">
        <f t="shared" si="187"/>
        <v>0</v>
      </c>
      <c r="V235" s="104">
        <f t="shared" si="188"/>
        <v>218703.87999999989</v>
      </c>
      <c r="W235" s="113">
        <f>+'CONAP (ALL FUNDS)'!J604</f>
        <v>0</v>
      </c>
      <c r="X235" s="113">
        <f>+'CONAP (ALL FUNDS)'!K604</f>
        <v>218703.88</v>
      </c>
      <c r="Y235" s="113">
        <f>+'CONAP (ALL FUNDS)'!L604</f>
        <v>0</v>
      </c>
      <c r="Z235" s="104">
        <f t="shared" si="178"/>
        <v>218703.88</v>
      </c>
      <c r="AA235" s="113"/>
      <c r="AB235" s="113"/>
      <c r="AC235" s="113"/>
      <c r="AD235" s="104">
        <f t="shared" si="179"/>
        <v>0</v>
      </c>
      <c r="AE235" s="117">
        <f t="shared" si="189"/>
        <v>0</v>
      </c>
      <c r="AF235" s="117">
        <f t="shared" si="190"/>
        <v>218703.88</v>
      </c>
      <c r="AG235" s="117">
        <f t="shared" si="191"/>
        <v>0</v>
      </c>
      <c r="AH235" s="104">
        <f t="shared" si="180"/>
        <v>218703.88</v>
      </c>
      <c r="AI235" s="117">
        <f t="shared" si="163"/>
        <v>0</v>
      </c>
      <c r="AJ235" s="117">
        <f t="shared" si="164"/>
        <v>0</v>
      </c>
      <c r="AK235" s="117">
        <f t="shared" si="165"/>
        <v>0</v>
      </c>
      <c r="AL235" s="104">
        <f t="shared" si="166"/>
        <v>0</v>
      </c>
      <c r="AM235" s="1221" t="str">
        <f t="shared" si="194"/>
        <v xml:space="preserve"> </v>
      </c>
      <c r="AN235" s="1221">
        <f t="shared" si="195"/>
        <v>1.0000000000000004</v>
      </c>
      <c r="AO235" s="1221" t="str">
        <f t="shared" si="196"/>
        <v xml:space="preserve"> </v>
      </c>
      <c r="AP235" s="1221">
        <f t="shared" si="197"/>
        <v>1.0000000000000004</v>
      </c>
      <c r="AQ235" s="1223" t="str">
        <f t="shared" si="169"/>
        <v xml:space="preserve"> </v>
      </c>
      <c r="AW235" s="107"/>
      <c r="BL235" s="149">
        <f>+'CONAP (ALL FUNDS)'!F604</f>
        <v>0</v>
      </c>
      <c r="BM235" s="149">
        <f>+'CONAP (ALL FUNDS)'!G604</f>
        <v>218703.87999999989</v>
      </c>
      <c r="BN235" s="149">
        <f>+'CONAP (ALL FUNDS)'!H604</f>
        <v>0</v>
      </c>
      <c r="BP235" s="216">
        <f t="shared" si="198"/>
        <v>0</v>
      </c>
      <c r="BQ235" s="216">
        <f t="shared" si="199"/>
        <v>0</v>
      </c>
      <c r="BR235" s="216">
        <f t="shared" si="200"/>
        <v>0</v>
      </c>
    </row>
    <row r="236" spans="1:70" ht="36">
      <c r="A236" s="105" t="s">
        <v>937</v>
      </c>
      <c r="B236" s="1241" t="s">
        <v>536</v>
      </c>
      <c r="C236" s="113">
        <v>0</v>
      </c>
      <c r="D236" s="113">
        <v>1419811.9200000018</v>
      </c>
      <c r="E236" s="113">
        <v>0</v>
      </c>
      <c r="F236" s="104">
        <f t="shared" si="160"/>
        <v>1419811.9200000018</v>
      </c>
      <c r="G236" s="113">
        <f>+'CONAP (ALL FUNDS)'!F607</f>
        <v>0</v>
      </c>
      <c r="H236" s="113">
        <f>+'CONAP (ALL FUNDS)'!G607</f>
        <v>-9041006.0599999987</v>
      </c>
      <c r="I236" s="113">
        <f>+'CONAP (ALL FUNDS)'!H607</f>
        <v>-97107238</v>
      </c>
      <c r="J236" s="104">
        <f t="shared" si="161"/>
        <v>-106148244.06</v>
      </c>
      <c r="K236" s="113">
        <v>0</v>
      </c>
      <c r="L236" s="113">
        <v>47385665.319999993</v>
      </c>
      <c r="M236" s="113">
        <v>114839306.45</v>
      </c>
      <c r="N236" s="104">
        <f t="shared" si="162"/>
        <v>162224971.76999998</v>
      </c>
      <c r="O236" s="113">
        <f t="shared" si="181"/>
        <v>0</v>
      </c>
      <c r="P236" s="113">
        <f t="shared" si="182"/>
        <v>38344659.25999999</v>
      </c>
      <c r="Q236" s="113">
        <f t="shared" si="183"/>
        <v>17732068.450000003</v>
      </c>
      <c r="R236" s="104">
        <f t="shared" si="184"/>
        <v>56076727.709999993</v>
      </c>
      <c r="S236" s="113">
        <f t="shared" si="185"/>
        <v>0</v>
      </c>
      <c r="T236" s="113">
        <f t="shared" si="186"/>
        <v>39764471.179999992</v>
      </c>
      <c r="U236" s="113">
        <f t="shared" si="187"/>
        <v>17732068.450000003</v>
      </c>
      <c r="V236" s="104">
        <f t="shared" si="188"/>
        <v>57496539.629999995</v>
      </c>
      <c r="W236" s="113">
        <f>+'CONAP (ALL FUNDS)'!J605</f>
        <v>0</v>
      </c>
      <c r="X236" s="113">
        <f>+'CONAP (ALL FUNDS)'!K605</f>
        <v>1157968.03</v>
      </c>
      <c r="Y236" s="113">
        <f>+'CONAP (ALL FUNDS)'!L605</f>
        <v>0</v>
      </c>
      <c r="Z236" s="104">
        <f t="shared" si="178"/>
        <v>1157968.03</v>
      </c>
      <c r="AA236" s="113">
        <f>+'CONAP (ALL FUNDS)'!J606</f>
        <v>0</v>
      </c>
      <c r="AB236" s="113">
        <f>+'CONAP (ALL FUNDS)'!K606</f>
        <v>33749840.410000004</v>
      </c>
      <c r="AC236" s="113">
        <f>+'CONAP (ALL FUNDS)'!L606</f>
        <v>12775953</v>
      </c>
      <c r="AD236" s="104">
        <f t="shared" si="179"/>
        <v>46525793.410000004</v>
      </c>
      <c r="AE236" s="117">
        <f t="shared" si="189"/>
        <v>0</v>
      </c>
      <c r="AF236" s="117">
        <f t="shared" si="190"/>
        <v>34907808.440000005</v>
      </c>
      <c r="AG236" s="117">
        <f t="shared" si="191"/>
        <v>12775953</v>
      </c>
      <c r="AH236" s="104">
        <f t="shared" si="180"/>
        <v>47683761.440000005</v>
      </c>
      <c r="AI236" s="117">
        <f t="shared" si="163"/>
        <v>0</v>
      </c>
      <c r="AJ236" s="117">
        <f t="shared" si="164"/>
        <v>4856662.7399999872</v>
      </c>
      <c r="AK236" s="117">
        <f t="shared" si="165"/>
        <v>4956115.450000003</v>
      </c>
      <c r="AL236" s="104">
        <f t="shared" si="166"/>
        <v>9812778.1899999902</v>
      </c>
      <c r="AM236" s="1221" t="str">
        <f t="shared" si="194"/>
        <v xml:space="preserve"> </v>
      </c>
      <c r="AN236" s="1221">
        <f t="shared" si="195"/>
        <v>0.87786426938722362</v>
      </c>
      <c r="AO236" s="1221">
        <f t="shared" si="196"/>
        <v>0.72049986926370102</v>
      </c>
      <c r="AP236" s="1221">
        <f t="shared" si="197"/>
        <v>0.82933271718355772</v>
      </c>
      <c r="AQ236" s="1223" t="str">
        <f>IF(W237=0," ",AI237/W237)</f>
        <v xml:space="preserve"> </v>
      </c>
      <c r="AW236" s="107"/>
      <c r="BL236" s="149">
        <f>+'CONAP (ALL FUNDS)'!F605</f>
        <v>0</v>
      </c>
      <c r="BM236" s="149">
        <f>+'CONAP (ALL FUNDS)'!G605</f>
        <v>1419811.9200000018</v>
      </c>
      <c r="BN236" s="149">
        <f>+'CONAP (ALL FUNDS)'!H605</f>
        <v>0</v>
      </c>
      <c r="BP236" s="216">
        <f t="shared" si="198"/>
        <v>0</v>
      </c>
      <c r="BQ236" s="216">
        <f t="shared" si="199"/>
        <v>0</v>
      </c>
      <c r="BR236" s="216">
        <f t="shared" si="200"/>
        <v>0</v>
      </c>
    </row>
    <row r="237" spans="1:70" ht="12.75">
      <c r="B237" s="1238"/>
      <c r="C237" s="113"/>
      <c r="D237" s="113"/>
      <c r="E237" s="113"/>
      <c r="F237" s="104">
        <f t="shared" si="160"/>
        <v>0</v>
      </c>
      <c r="G237" s="113"/>
      <c r="H237" s="113"/>
      <c r="I237" s="113"/>
      <c r="J237" s="104">
        <f t="shared" si="161"/>
        <v>0</v>
      </c>
      <c r="K237" s="113"/>
      <c r="L237" s="113"/>
      <c r="M237" s="113"/>
      <c r="N237" s="104">
        <f t="shared" si="162"/>
        <v>0</v>
      </c>
      <c r="O237" s="113">
        <f t="shared" si="181"/>
        <v>0</v>
      </c>
      <c r="P237" s="113">
        <f t="shared" si="182"/>
        <v>0</v>
      </c>
      <c r="Q237" s="113">
        <f t="shared" si="183"/>
        <v>0</v>
      </c>
      <c r="R237" s="104">
        <f t="shared" si="184"/>
        <v>0</v>
      </c>
      <c r="S237" s="113">
        <f t="shared" si="185"/>
        <v>0</v>
      </c>
      <c r="T237" s="113">
        <f t="shared" si="186"/>
        <v>0</v>
      </c>
      <c r="U237" s="113">
        <f t="shared" si="187"/>
        <v>0</v>
      </c>
      <c r="V237" s="104">
        <f t="shared" si="188"/>
        <v>0</v>
      </c>
      <c r="W237" s="113"/>
      <c r="X237" s="113"/>
      <c r="Y237" s="113"/>
      <c r="Z237" s="104">
        <f t="shared" si="178"/>
        <v>0</v>
      </c>
      <c r="AA237" s="113"/>
      <c r="AB237" s="113"/>
      <c r="AC237" s="113"/>
      <c r="AD237" s="104">
        <f t="shared" si="179"/>
        <v>0</v>
      </c>
      <c r="AE237" s="117">
        <f t="shared" si="189"/>
        <v>0</v>
      </c>
      <c r="AF237" s="117">
        <f t="shared" si="190"/>
        <v>0</v>
      </c>
      <c r="AG237" s="117">
        <f t="shared" si="191"/>
        <v>0</v>
      </c>
      <c r="AH237" s="104">
        <f t="shared" si="180"/>
        <v>0</v>
      </c>
      <c r="AI237" s="117">
        <f t="shared" si="163"/>
        <v>0</v>
      </c>
      <c r="AJ237" s="117">
        <f t="shared" si="164"/>
        <v>0</v>
      </c>
      <c r="AK237" s="117">
        <f t="shared" si="165"/>
        <v>0</v>
      </c>
      <c r="AL237" s="104">
        <f t="shared" si="166"/>
        <v>0</v>
      </c>
      <c r="AM237" s="1221" t="str">
        <f t="shared" si="194"/>
        <v xml:space="preserve"> </v>
      </c>
      <c r="AN237" s="1221" t="str">
        <f t="shared" si="195"/>
        <v xml:space="preserve"> </v>
      </c>
      <c r="AO237" s="1221" t="str">
        <f t="shared" si="196"/>
        <v xml:space="preserve"> </v>
      </c>
      <c r="AP237" s="1221" t="str">
        <f t="shared" si="197"/>
        <v xml:space="preserve"> </v>
      </c>
      <c r="AQ237" s="1223" t="str">
        <f t="shared" si="169"/>
        <v xml:space="preserve"> </v>
      </c>
      <c r="AW237" s="107"/>
      <c r="BL237" s="149"/>
      <c r="BM237" s="149"/>
      <c r="BN237" s="149"/>
      <c r="BP237" s="216">
        <f t="shared" si="198"/>
        <v>0</v>
      </c>
      <c r="BQ237" s="216">
        <f t="shared" si="199"/>
        <v>0</v>
      </c>
      <c r="BR237" s="216">
        <f t="shared" si="200"/>
        <v>0</v>
      </c>
    </row>
    <row r="238" spans="1:70" ht="12.75">
      <c r="A238" s="105" t="s">
        <v>937</v>
      </c>
      <c r="B238" s="1235" t="s">
        <v>35</v>
      </c>
      <c r="C238" s="113">
        <f t="shared" ref="C238:N238" si="216">SUM(C239:C241)</f>
        <v>0</v>
      </c>
      <c r="D238" s="113">
        <f t="shared" si="216"/>
        <v>556785.28</v>
      </c>
      <c r="E238" s="113">
        <f t="shared" si="216"/>
        <v>0</v>
      </c>
      <c r="F238" s="113">
        <f t="shared" si="216"/>
        <v>556785.28</v>
      </c>
      <c r="G238" s="113">
        <f t="shared" si="216"/>
        <v>0</v>
      </c>
      <c r="H238" s="113">
        <f t="shared" si="216"/>
        <v>3000000</v>
      </c>
      <c r="I238" s="113">
        <f t="shared" si="216"/>
        <v>40364000</v>
      </c>
      <c r="J238" s="113">
        <f t="shared" si="216"/>
        <v>43364000</v>
      </c>
      <c r="K238" s="113">
        <f t="shared" si="216"/>
        <v>0</v>
      </c>
      <c r="L238" s="113">
        <f t="shared" si="216"/>
        <v>39279044.130000003</v>
      </c>
      <c r="M238" s="113">
        <f t="shared" si="216"/>
        <v>16269341.17</v>
      </c>
      <c r="N238" s="113">
        <f t="shared" si="216"/>
        <v>55548385.300000004</v>
      </c>
      <c r="O238" s="113">
        <f t="shared" si="181"/>
        <v>0</v>
      </c>
      <c r="P238" s="113">
        <f t="shared" si="182"/>
        <v>42279044.130000003</v>
      </c>
      <c r="Q238" s="113">
        <f t="shared" si="183"/>
        <v>56633341.170000002</v>
      </c>
      <c r="R238" s="104">
        <f t="shared" si="184"/>
        <v>98912385.300000012</v>
      </c>
      <c r="S238" s="113">
        <f t="shared" si="185"/>
        <v>0</v>
      </c>
      <c r="T238" s="113">
        <f t="shared" si="186"/>
        <v>42835829.410000004</v>
      </c>
      <c r="U238" s="113">
        <f t="shared" si="187"/>
        <v>56633341.170000002</v>
      </c>
      <c r="V238" s="104">
        <f t="shared" si="188"/>
        <v>99469170.580000013</v>
      </c>
      <c r="W238" s="113">
        <f>SUM(W239:W241)</f>
        <v>0</v>
      </c>
      <c r="X238" s="113">
        <f>SUM(X239:X241)</f>
        <v>555797.43999999994</v>
      </c>
      <c r="Y238" s="113">
        <f>SUM(Y239:Y241)</f>
        <v>0</v>
      </c>
      <c r="Z238" s="104">
        <f t="shared" si="178"/>
        <v>555797.43999999994</v>
      </c>
      <c r="AA238" s="113">
        <f>SUM(AA239:AA241)</f>
        <v>0</v>
      </c>
      <c r="AB238" s="113">
        <f>SUM(AB239:AB241)</f>
        <v>16464401.840000004</v>
      </c>
      <c r="AC238" s="113">
        <f>SUM(AC239:AC241)</f>
        <v>7548272.8499999996</v>
      </c>
      <c r="AD238" s="104">
        <f t="shared" si="179"/>
        <v>24012674.690000005</v>
      </c>
      <c r="AE238" s="117">
        <f t="shared" si="189"/>
        <v>0</v>
      </c>
      <c r="AF238" s="117">
        <f t="shared" si="190"/>
        <v>17020199.280000005</v>
      </c>
      <c r="AG238" s="117">
        <f t="shared" si="191"/>
        <v>7548272.8499999996</v>
      </c>
      <c r="AH238" s="104">
        <f t="shared" si="180"/>
        <v>24568472.130000003</v>
      </c>
      <c r="AI238" s="117">
        <f t="shared" si="163"/>
        <v>0</v>
      </c>
      <c r="AJ238" s="117">
        <f t="shared" si="164"/>
        <v>25815630.129999999</v>
      </c>
      <c r="AK238" s="117">
        <f t="shared" si="165"/>
        <v>49085068.32</v>
      </c>
      <c r="AL238" s="104">
        <f t="shared" si="166"/>
        <v>74900698.450000003</v>
      </c>
      <c r="AM238" s="1221" t="str">
        <f t="shared" si="194"/>
        <v xml:space="preserve"> </v>
      </c>
      <c r="AN238" s="1221">
        <f t="shared" si="195"/>
        <v>0.39733558365573862</v>
      </c>
      <c r="AO238" s="1221">
        <f t="shared" si="196"/>
        <v>0.13328319844915834</v>
      </c>
      <c r="AP238" s="1221">
        <f t="shared" si="197"/>
        <v>0.24699584792697485</v>
      </c>
      <c r="AQ238" s="1223" t="str">
        <f t="shared" si="169"/>
        <v xml:space="preserve"> </v>
      </c>
      <c r="AW238" s="107"/>
      <c r="BH238" s="105">
        <f>+AL238-'CONAP (ALL FUNDS)'!Q702</f>
        <v>0</v>
      </c>
      <c r="BL238" s="149">
        <f>SUM(BL239:BL241)</f>
        <v>0</v>
      </c>
      <c r="BM238" s="149">
        <f t="shared" ref="BM238:BN238" si="217">SUM(BM239:BM241)</f>
        <v>556785.28</v>
      </c>
      <c r="BN238" s="149">
        <f t="shared" si="217"/>
        <v>0</v>
      </c>
      <c r="BP238" s="216">
        <f t="shared" si="198"/>
        <v>0</v>
      </c>
      <c r="BQ238" s="216">
        <f t="shared" si="199"/>
        <v>0</v>
      </c>
      <c r="BR238" s="216">
        <f t="shared" si="200"/>
        <v>0</v>
      </c>
    </row>
    <row r="239" spans="1:70" ht="36">
      <c r="A239" s="105" t="s">
        <v>937</v>
      </c>
      <c r="B239" s="1241" t="s">
        <v>534</v>
      </c>
      <c r="C239" s="113">
        <v>0</v>
      </c>
      <c r="D239" s="113">
        <v>30186.5</v>
      </c>
      <c r="E239" s="113">
        <v>0</v>
      </c>
      <c r="F239" s="104">
        <f t="shared" si="160"/>
        <v>30186.5</v>
      </c>
      <c r="G239" s="113"/>
      <c r="H239" s="113"/>
      <c r="I239" s="113"/>
      <c r="J239" s="104">
        <f t="shared" si="161"/>
        <v>0</v>
      </c>
      <c r="K239" s="113"/>
      <c r="L239" s="113"/>
      <c r="M239" s="113"/>
      <c r="N239" s="104">
        <f t="shared" si="162"/>
        <v>0</v>
      </c>
      <c r="O239" s="113">
        <f t="shared" si="181"/>
        <v>0</v>
      </c>
      <c r="P239" s="113">
        <f t="shared" si="182"/>
        <v>0</v>
      </c>
      <c r="Q239" s="113">
        <f t="shared" si="183"/>
        <v>0</v>
      </c>
      <c r="R239" s="104">
        <f t="shared" si="184"/>
        <v>0</v>
      </c>
      <c r="S239" s="113">
        <f t="shared" si="185"/>
        <v>0</v>
      </c>
      <c r="T239" s="113">
        <f t="shared" si="186"/>
        <v>30186.5</v>
      </c>
      <c r="U239" s="113">
        <f t="shared" si="187"/>
        <v>0</v>
      </c>
      <c r="V239" s="104">
        <f t="shared" si="188"/>
        <v>30186.5</v>
      </c>
      <c r="W239" s="113">
        <f>+'CONAP (ALL FUNDS)'!J696</f>
        <v>0</v>
      </c>
      <c r="X239" s="113">
        <f>+'CONAP (ALL FUNDS)'!K696</f>
        <v>29198.66</v>
      </c>
      <c r="Y239" s="113">
        <f>+'CONAP (ALL FUNDS)'!L696</f>
        <v>0</v>
      </c>
      <c r="Z239" s="104">
        <f t="shared" si="178"/>
        <v>29198.66</v>
      </c>
      <c r="AA239" s="113"/>
      <c r="AB239" s="113"/>
      <c r="AC239" s="113"/>
      <c r="AD239" s="104">
        <f t="shared" si="179"/>
        <v>0</v>
      </c>
      <c r="AE239" s="117">
        <f t="shared" si="189"/>
        <v>0</v>
      </c>
      <c r="AF239" s="117">
        <f t="shared" si="190"/>
        <v>29198.66</v>
      </c>
      <c r="AG239" s="117">
        <f t="shared" si="191"/>
        <v>0</v>
      </c>
      <c r="AH239" s="104">
        <f t="shared" si="180"/>
        <v>29198.66</v>
      </c>
      <c r="AI239" s="117">
        <f t="shared" si="163"/>
        <v>0</v>
      </c>
      <c r="AJ239" s="117">
        <f t="shared" si="164"/>
        <v>987.84000000000015</v>
      </c>
      <c r="AK239" s="117">
        <f t="shared" si="165"/>
        <v>0</v>
      </c>
      <c r="AL239" s="104">
        <f t="shared" si="166"/>
        <v>987.84000000000015</v>
      </c>
      <c r="AM239" s="1221" t="str">
        <f t="shared" si="194"/>
        <v xml:space="preserve"> </v>
      </c>
      <c r="AN239" s="1221">
        <f t="shared" si="195"/>
        <v>0.9672754376956586</v>
      </c>
      <c r="AO239" s="1221" t="str">
        <f t="shared" si="196"/>
        <v xml:space="preserve"> </v>
      </c>
      <c r="AP239" s="1221">
        <f t="shared" si="197"/>
        <v>0.9672754376956586</v>
      </c>
      <c r="AQ239" s="1223" t="str">
        <f t="shared" si="169"/>
        <v xml:space="preserve"> </v>
      </c>
      <c r="AW239" s="107"/>
      <c r="BL239" s="149">
        <f>+'CONAP (ALL FUNDS)'!F696</f>
        <v>0</v>
      </c>
      <c r="BM239" s="149">
        <f>+'CONAP (ALL FUNDS)'!G696</f>
        <v>30186.5</v>
      </c>
      <c r="BN239" s="149">
        <f>+'CONAP (ALL FUNDS)'!H696</f>
        <v>0</v>
      </c>
      <c r="BP239" s="216">
        <f t="shared" si="198"/>
        <v>0</v>
      </c>
      <c r="BQ239" s="216">
        <f t="shared" si="199"/>
        <v>0</v>
      </c>
      <c r="BR239" s="216">
        <f t="shared" si="200"/>
        <v>0</v>
      </c>
    </row>
    <row r="240" spans="1:70" ht="12.75">
      <c r="A240" s="105" t="s">
        <v>937</v>
      </c>
      <c r="B240" s="1231" t="s">
        <v>535</v>
      </c>
      <c r="C240" s="113">
        <v>0</v>
      </c>
      <c r="D240" s="113">
        <v>281582.84999999998</v>
      </c>
      <c r="E240" s="113">
        <v>0</v>
      </c>
      <c r="F240" s="104">
        <f t="shared" si="160"/>
        <v>281582.84999999998</v>
      </c>
      <c r="G240" s="113"/>
      <c r="H240" s="113"/>
      <c r="I240" s="113"/>
      <c r="J240" s="104">
        <f t="shared" si="161"/>
        <v>0</v>
      </c>
      <c r="K240" s="113"/>
      <c r="L240" s="113"/>
      <c r="M240" s="113"/>
      <c r="N240" s="104">
        <f t="shared" si="162"/>
        <v>0</v>
      </c>
      <c r="O240" s="113">
        <f t="shared" si="181"/>
        <v>0</v>
      </c>
      <c r="P240" s="113">
        <f t="shared" si="182"/>
        <v>0</v>
      </c>
      <c r="Q240" s="113">
        <f t="shared" si="183"/>
        <v>0</v>
      </c>
      <c r="R240" s="104">
        <f t="shared" si="184"/>
        <v>0</v>
      </c>
      <c r="S240" s="113">
        <f t="shared" si="185"/>
        <v>0</v>
      </c>
      <c r="T240" s="113">
        <f t="shared" si="186"/>
        <v>281582.84999999998</v>
      </c>
      <c r="U240" s="113">
        <f t="shared" si="187"/>
        <v>0</v>
      </c>
      <c r="V240" s="104">
        <f t="shared" si="188"/>
        <v>281582.84999999998</v>
      </c>
      <c r="W240" s="113">
        <f>+'CONAP (ALL FUNDS)'!J697</f>
        <v>0</v>
      </c>
      <c r="X240" s="113">
        <f>+'CONAP (ALL FUNDS)'!K697</f>
        <v>281582.84999999998</v>
      </c>
      <c r="Y240" s="113">
        <f>+'CONAP (ALL FUNDS)'!L697</f>
        <v>0</v>
      </c>
      <c r="Z240" s="104">
        <f t="shared" si="178"/>
        <v>281582.84999999998</v>
      </c>
      <c r="AA240" s="113"/>
      <c r="AB240" s="113"/>
      <c r="AC240" s="113"/>
      <c r="AD240" s="104">
        <f t="shared" si="179"/>
        <v>0</v>
      </c>
      <c r="AE240" s="117">
        <f t="shared" si="189"/>
        <v>0</v>
      </c>
      <c r="AF240" s="117">
        <f t="shared" si="190"/>
        <v>281582.84999999998</v>
      </c>
      <c r="AG240" s="117">
        <f t="shared" si="191"/>
        <v>0</v>
      </c>
      <c r="AH240" s="104">
        <f t="shared" si="180"/>
        <v>281582.84999999998</v>
      </c>
      <c r="AI240" s="117">
        <f t="shared" si="163"/>
        <v>0</v>
      </c>
      <c r="AJ240" s="117">
        <f t="shared" si="164"/>
        <v>0</v>
      </c>
      <c r="AK240" s="117">
        <f t="shared" si="165"/>
        <v>0</v>
      </c>
      <c r="AL240" s="104">
        <f t="shared" si="166"/>
        <v>0</v>
      </c>
      <c r="AM240" s="1221" t="str">
        <f t="shared" si="194"/>
        <v xml:space="preserve"> </v>
      </c>
      <c r="AN240" s="1221">
        <f t="shared" si="195"/>
        <v>1</v>
      </c>
      <c r="AO240" s="1221" t="str">
        <f t="shared" si="196"/>
        <v xml:space="preserve"> </v>
      </c>
      <c r="AP240" s="1221">
        <f t="shared" si="197"/>
        <v>1</v>
      </c>
      <c r="AQ240" s="1223" t="str">
        <f t="shared" si="169"/>
        <v xml:space="preserve"> </v>
      </c>
      <c r="AW240" s="107"/>
      <c r="BL240" s="149">
        <f>+'CONAP (ALL FUNDS)'!F697</f>
        <v>0</v>
      </c>
      <c r="BM240" s="149">
        <f>+'CONAP (ALL FUNDS)'!G697</f>
        <v>281582.84999999998</v>
      </c>
      <c r="BN240" s="149">
        <f>+'CONAP (ALL FUNDS)'!H697</f>
        <v>0</v>
      </c>
      <c r="BP240" s="216">
        <f t="shared" si="198"/>
        <v>0</v>
      </c>
      <c r="BQ240" s="216">
        <f t="shared" si="199"/>
        <v>0</v>
      </c>
      <c r="BR240" s="216">
        <f t="shared" si="200"/>
        <v>0</v>
      </c>
    </row>
    <row r="241" spans="1:70" ht="36">
      <c r="A241" s="105" t="s">
        <v>937</v>
      </c>
      <c r="B241" s="1241" t="s">
        <v>536</v>
      </c>
      <c r="C241" s="113">
        <v>0</v>
      </c>
      <c r="D241" s="113">
        <v>245015.93</v>
      </c>
      <c r="E241" s="113">
        <v>0</v>
      </c>
      <c r="F241" s="104">
        <f t="shared" ref="F241:F266" si="218">SUM(C241:E241)</f>
        <v>245015.93</v>
      </c>
      <c r="G241" s="113">
        <f>+'CONAP (ALL FUNDS)'!F700</f>
        <v>0</v>
      </c>
      <c r="H241" s="113">
        <f>+'CONAP (ALL FUNDS)'!G700</f>
        <v>3000000</v>
      </c>
      <c r="I241" s="113">
        <f>+'CONAP (ALL FUNDS)'!H700</f>
        <v>40364000</v>
      </c>
      <c r="J241" s="104">
        <f t="shared" si="161"/>
        <v>43364000</v>
      </c>
      <c r="K241" s="113">
        <v>0</v>
      </c>
      <c r="L241" s="104">
        <v>39279044.130000003</v>
      </c>
      <c r="M241" s="104">
        <v>16269341.17</v>
      </c>
      <c r="N241" s="104">
        <f t="shared" si="162"/>
        <v>55548385.300000004</v>
      </c>
      <c r="O241" s="113">
        <f t="shared" si="181"/>
        <v>0</v>
      </c>
      <c r="P241" s="113">
        <f t="shared" si="182"/>
        <v>42279044.130000003</v>
      </c>
      <c r="Q241" s="113">
        <f t="shared" si="183"/>
        <v>56633341.170000002</v>
      </c>
      <c r="R241" s="104">
        <f t="shared" si="184"/>
        <v>98912385.300000012</v>
      </c>
      <c r="S241" s="113">
        <f t="shared" si="185"/>
        <v>0</v>
      </c>
      <c r="T241" s="113">
        <f t="shared" si="186"/>
        <v>42524060.060000002</v>
      </c>
      <c r="U241" s="113">
        <f t="shared" si="187"/>
        <v>56633341.170000002</v>
      </c>
      <c r="V241" s="104">
        <f t="shared" si="188"/>
        <v>99157401.230000004</v>
      </c>
      <c r="W241" s="113">
        <f>+'CONAP (ALL FUNDS)'!J698</f>
        <v>0</v>
      </c>
      <c r="X241" s="113">
        <f>+'CONAP (ALL FUNDS)'!K698</f>
        <v>245015.93</v>
      </c>
      <c r="Y241" s="113">
        <f>+'CONAP (ALL FUNDS)'!L698</f>
        <v>0</v>
      </c>
      <c r="Z241" s="104">
        <f t="shared" si="178"/>
        <v>245015.93</v>
      </c>
      <c r="AA241" s="113">
        <f>+'CONAP (ALL FUNDS)'!J699</f>
        <v>0</v>
      </c>
      <c r="AB241" s="113">
        <f>+'CONAP (ALL FUNDS)'!K699</f>
        <v>16464401.840000004</v>
      </c>
      <c r="AC241" s="113">
        <f>+'CONAP (ALL FUNDS)'!L699</f>
        <v>7548272.8499999996</v>
      </c>
      <c r="AD241" s="104">
        <f t="shared" si="179"/>
        <v>24012674.690000005</v>
      </c>
      <c r="AE241" s="117">
        <f t="shared" si="189"/>
        <v>0</v>
      </c>
      <c r="AF241" s="117">
        <f t="shared" si="190"/>
        <v>16709417.770000003</v>
      </c>
      <c r="AG241" s="117">
        <f t="shared" si="191"/>
        <v>7548272.8499999996</v>
      </c>
      <c r="AH241" s="104">
        <f t="shared" si="180"/>
        <v>24257690.620000005</v>
      </c>
      <c r="AI241" s="117">
        <f t="shared" si="163"/>
        <v>0</v>
      </c>
      <c r="AJ241" s="117">
        <f t="shared" si="164"/>
        <v>25814642.289999999</v>
      </c>
      <c r="AK241" s="117">
        <f t="shared" si="165"/>
        <v>49085068.32</v>
      </c>
      <c r="AL241" s="104">
        <f t="shared" si="166"/>
        <v>74899710.609999999</v>
      </c>
      <c r="AM241" s="1221" t="str">
        <f t="shared" si="194"/>
        <v xml:space="preserve"> </v>
      </c>
      <c r="AN241" s="1221">
        <f t="shared" si="195"/>
        <v>0.3929403200546604</v>
      </c>
      <c r="AO241" s="1221">
        <f t="shared" si="196"/>
        <v>0.13328319844915834</v>
      </c>
      <c r="AP241" s="1221">
        <f t="shared" si="197"/>
        <v>0.24463822487373596</v>
      </c>
      <c r="AQ241" s="1223" t="str">
        <f t="shared" si="169"/>
        <v xml:space="preserve"> </v>
      </c>
      <c r="AW241" s="107"/>
      <c r="BL241" s="149">
        <f>+'CONAP (ALL FUNDS)'!F698</f>
        <v>0</v>
      </c>
      <c r="BM241" s="149">
        <f>+'CONAP (ALL FUNDS)'!G698</f>
        <v>245015.93</v>
      </c>
      <c r="BN241" s="149">
        <f>+'CONAP (ALL FUNDS)'!H698</f>
        <v>0</v>
      </c>
      <c r="BP241" s="216">
        <f t="shared" si="198"/>
        <v>0</v>
      </c>
      <c r="BQ241" s="216">
        <f t="shared" si="199"/>
        <v>0</v>
      </c>
      <c r="BR241" s="216">
        <f t="shared" si="200"/>
        <v>0</v>
      </c>
    </row>
    <row r="242" spans="1:70" ht="12.75">
      <c r="B242" s="1238"/>
      <c r="C242" s="113"/>
      <c r="D242" s="113"/>
      <c r="E242" s="113"/>
      <c r="F242" s="104">
        <f t="shared" si="218"/>
        <v>0</v>
      </c>
      <c r="G242" s="113"/>
      <c r="H242" s="113"/>
      <c r="I242" s="113"/>
      <c r="J242" s="104">
        <f t="shared" ref="J242:J266" si="219">SUM(G242:I242)</f>
        <v>0</v>
      </c>
      <c r="K242" s="113"/>
      <c r="L242" s="113"/>
      <c r="M242" s="113"/>
      <c r="N242" s="104">
        <f t="shared" ref="N242:N266" si="220">SUM(K242:M242)</f>
        <v>0</v>
      </c>
      <c r="O242" s="113">
        <f t="shared" si="181"/>
        <v>0</v>
      </c>
      <c r="P242" s="113">
        <f t="shared" si="182"/>
        <v>0</v>
      </c>
      <c r="Q242" s="113">
        <f t="shared" si="183"/>
        <v>0</v>
      </c>
      <c r="R242" s="104">
        <f t="shared" si="184"/>
        <v>0</v>
      </c>
      <c r="S242" s="113">
        <f t="shared" si="185"/>
        <v>0</v>
      </c>
      <c r="T242" s="113">
        <f t="shared" si="186"/>
        <v>0</v>
      </c>
      <c r="U242" s="113">
        <f t="shared" si="187"/>
        <v>0</v>
      </c>
      <c r="V242" s="104">
        <f t="shared" si="188"/>
        <v>0</v>
      </c>
      <c r="W242" s="113"/>
      <c r="X242" s="113"/>
      <c r="Y242" s="113"/>
      <c r="Z242" s="104">
        <f t="shared" si="178"/>
        <v>0</v>
      </c>
      <c r="AA242" s="113"/>
      <c r="AB242" s="113"/>
      <c r="AC242" s="113"/>
      <c r="AD242" s="104">
        <f t="shared" si="179"/>
        <v>0</v>
      </c>
      <c r="AE242" s="117">
        <f t="shared" si="189"/>
        <v>0</v>
      </c>
      <c r="AF242" s="117">
        <f t="shared" si="190"/>
        <v>0</v>
      </c>
      <c r="AG242" s="117">
        <f t="shared" si="191"/>
        <v>0</v>
      </c>
      <c r="AH242" s="104">
        <f t="shared" si="180"/>
        <v>0</v>
      </c>
      <c r="AI242" s="117">
        <f t="shared" si="163"/>
        <v>0</v>
      </c>
      <c r="AJ242" s="117">
        <f t="shared" si="164"/>
        <v>0</v>
      </c>
      <c r="AK242" s="117">
        <f t="shared" si="165"/>
        <v>0</v>
      </c>
      <c r="AL242" s="104">
        <f t="shared" si="166"/>
        <v>0</v>
      </c>
      <c r="AM242" s="1221" t="str">
        <f t="shared" si="194"/>
        <v xml:space="preserve"> </v>
      </c>
      <c r="AN242" s="1221" t="str">
        <f t="shared" si="195"/>
        <v xml:space="preserve"> </v>
      </c>
      <c r="AO242" s="1221" t="str">
        <f t="shared" si="196"/>
        <v xml:space="preserve"> </v>
      </c>
      <c r="AP242" s="1221" t="str">
        <f t="shared" si="197"/>
        <v xml:space="preserve"> </v>
      </c>
      <c r="AQ242" s="1223" t="str">
        <f t="shared" si="169"/>
        <v xml:space="preserve"> </v>
      </c>
      <c r="AW242" s="107"/>
      <c r="BL242" s="149"/>
      <c r="BM242" s="149"/>
      <c r="BN242" s="149"/>
      <c r="BP242" s="216">
        <f t="shared" si="198"/>
        <v>0</v>
      </c>
      <c r="BQ242" s="216">
        <f t="shared" si="199"/>
        <v>0</v>
      </c>
      <c r="BR242" s="216">
        <f t="shared" si="200"/>
        <v>0</v>
      </c>
    </row>
    <row r="243" spans="1:70" ht="12.75">
      <c r="A243" s="105" t="s">
        <v>938</v>
      </c>
      <c r="B243" s="1235" t="s">
        <v>36</v>
      </c>
      <c r="C243" s="113">
        <f t="shared" ref="C243:N243" si="221">SUM(C244:C246)</f>
        <v>0</v>
      </c>
      <c r="D243" s="113">
        <f t="shared" si="221"/>
        <v>1058572.8800000001</v>
      </c>
      <c r="E243" s="113">
        <f t="shared" si="221"/>
        <v>0</v>
      </c>
      <c r="F243" s="113">
        <f t="shared" si="221"/>
        <v>1058572.8800000001</v>
      </c>
      <c r="G243" s="113">
        <f t="shared" si="221"/>
        <v>0</v>
      </c>
      <c r="H243" s="113">
        <f t="shared" si="221"/>
        <v>-2715517.2</v>
      </c>
      <c r="I243" s="113">
        <f t="shared" si="221"/>
        <v>2630900</v>
      </c>
      <c r="J243" s="113">
        <f t="shared" si="221"/>
        <v>-84617.200000000186</v>
      </c>
      <c r="K243" s="113">
        <f t="shared" si="221"/>
        <v>0</v>
      </c>
      <c r="L243" s="113">
        <f t="shared" si="221"/>
        <v>35735771.129999995</v>
      </c>
      <c r="M243" s="104">
        <f t="shared" si="221"/>
        <v>83588396.060000002</v>
      </c>
      <c r="N243" s="113">
        <f t="shared" si="221"/>
        <v>119324167.19</v>
      </c>
      <c r="O243" s="113">
        <f t="shared" si="181"/>
        <v>0</v>
      </c>
      <c r="P243" s="113">
        <f t="shared" si="182"/>
        <v>33020253.929999996</v>
      </c>
      <c r="Q243" s="113">
        <f t="shared" si="183"/>
        <v>86219296.060000002</v>
      </c>
      <c r="R243" s="104">
        <f t="shared" si="184"/>
        <v>119239549.98999999</v>
      </c>
      <c r="S243" s="113">
        <f t="shared" si="185"/>
        <v>0</v>
      </c>
      <c r="T243" s="113">
        <f t="shared" si="186"/>
        <v>34078826.809999995</v>
      </c>
      <c r="U243" s="113">
        <f t="shared" si="187"/>
        <v>86219296.060000002</v>
      </c>
      <c r="V243" s="104">
        <f t="shared" si="188"/>
        <v>120298122.87</v>
      </c>
      <c r="W243" s="113">
        <f>SUM(W244:W246)</f>
        <v>0</v>
      </c>
      <c r="X243" s="113">
        <f>SUM(X244:X246)</f>
        <v>1045384.83</v>
      </c>
      <c r="Y243" s="113">
        <f>SUM(Y244:Y246)</f>
        <v>0</v>
      </c>
      <c r="Z243" s="104">
        <f t="shared" si="178"/>
        <v>1045384.83</v>
      </c>
      <c r="AA243" s="113">
        <f>SUM(AA244:AA246)</f>
        <v>0</v>
      </c>
      <c r="AB243" s="113">
        <f>SUM(AB244:AB246)</f>
        <v>24782703.369999997</v>
      </c>
      <c r="AC243" s="113">
        <f>SUM(AC244:AC246)</f>
        <v>38548009.080000006</v>
      </c>
      <c r="AD243" s="104">
        <f t="shared" si="179"/>
        <v>63330712.450000003</v>
      </c>
      <c r="AE243" s="117">
        <f t="shared" si="189"/>
        <v>0</v>
      </c>
      <c r="AF243" s="117">
        <f t="shared" si="190"/>
        <v>25828088.199999996</v>
      </c>
      <c r="AG243" s="117">
        <f t="shared" si="191"/>
        <v>38548009.080000006</v>
      </c>
      <c r="AH243" s="104">
        <f t="shared" si="180"/>
        <v>64376097.280000001</v>
      </c>
      <c r="AI243" s="117">
        <f t="shared" si="163"/>
        <v>0</v>
      </c>
      <c r="AJ243" s="117">
        <f t="shared" si="164"/>
        <v>8250738.6099999994</v>
      </c>
      <c r="AK243" s="117">
        <f t="shared" si="165"/>
        <v>47671286.979999997</v>
      </c>
      <c r="AL243" s="104">
        <f t="shared" si="166"/>
        <v>55922025.589999996</v>
      </c>
      <c r="AM243" s="1221" t="str">
        <f t="shared" si="194"/>
        <v xml:space="preserve"> </v>
      </c>
      <c r="AN243" s="1221">
        <f t="shared" si="195"/>
        <v>0.7578925279323605</v>
      </c>
      <c r="AO243" s="1221">
        <f t="shared" si="196"/>
        <v>0.44709259807890855</v>
      </c>
      <c r="AP243" s="1221">
        <f t="shared" si="197"/>
        <v>0.53513800335494788</v>
      </c>
      <c r="AQ243" s="1223" t="str">
        <f t="shared" ref="AQ243:AQ262" si="222">IF(W243=0," ",AI243/W243)</f>
        <v xml:space="preserve"> </v>
      </c>
      <c r="AW243" s="107"/>
      <c r="BH243" s="105">
        <f>+AL243-'CONAP (ALL FUNDS)'!Q751</f>
        <v>0</v>
      </c>
      <c r="BL243" s="149">
        <f>SUM(BL244:BL246)</f>
        <v>0</v>
      </c>
      <c r="BM243" s="149">
        <f t="shared" ref="BM243:BN243" si="223">SUM(BM244:BM246)</f>
        <v>1058572.8800000001</v>
      </c>
      <c r="BN243" s="149">
        <f t="shared" si="223"/>
        <v>0</v>
      </c>
      <c r="BP243" s="216">
        <f t="shared" si="198"/>
        <v>0</v>
      </c>
      <c r="BQ243" s="216">
        <f t="shared" si="199"/>
        <v>0</v>
      </c>
      <c r="BR243" s="216">
        <f t="shared" si="200"/>
        <v>0</v>
      </c>
    </row>
    <row r="244" spans="1:70" ht="36">
      <c r="A244" s="105" t="s">
        <v>938</v>
      </c>
      <c r="B244" s="1241" t="s">
        <v>534</v>
      </c>
      <c r="C244" s="113">
        <v>0</v>
      </c>
      <c r="D244" s="113">
        <v>472673.95</v>
      </c>
      <c r="E244" s="113">
        <v>0</v>
      </c>
      <c r="F244" s="104">
        <f t="shared" si="218"/>
        <v>472673.95</v>
      </c>
      <c r="G244" s="113"/>
      <c r="H244" s="113"/>
      <c r="I244" s="113"/>
      <c r="J244" s="104">
        <f t="shared" si="219"/>
        <v>0</v>
      </c>
      <c r="K244" s="113"/>
      <c r="L244" s="113"/>
      <c r="M244" s="113"/>
      <c r="N244" s="104">
        <f t="shared" si="220"/>
        <v>0</v>
      </c>
      <c r="O244" s="113">
        <f t="shared" si="181"/>
        <v>0</v>
      </c>
      <c r="P244" s="113">
        <f t="shared" si="182"/>
        <v>0</v>
      </c>
      <c r="Q244" s="113">
        <f t="shared" si="183"/>
        <v>0</v>
      </c>
      <c r="R244" s="104">
        <f t="shared" si="184"/>
        <v>0</v>
      </c>
      <c r="S244" s="113">
        <f t="shared" si="185"/>
        <v>0</v>
      </c>
      <c r="T244" s="113">
        <f t="shared" si="186"/>
        <v>472673.95</v>
      </c>
      <c r="U244" s="113">
        <f t="shared" si="187"/>
        <v>0</v>
      </c>
      <c r="V244" s="104">
        <f t="shared" si="188"/>
        <v>472673.95</v>
      </c>
      <c r="W244" s="113">
        <f>+'CONAP (ALL FUNDS)'!J745</f>
        <v>0</v>
      </c>
      <c r="X244" s="113">
        <f>+'CONAP (ALL FUNDS)'!K745</f>
        <v>472666.66999999993</v>
      </c>
      <c r="Y244" s="113">
        <f>+'CONAP (ALL FUNDS)'!L745</f>
        <v>0</v>
      </c>
      <c r="Z244" s="104">
        <f t="shared" si="178"/>
        <v>472666.66999999993</v>
      </c>
      <c r="AA244" s="113"/>
      <c r="AB244" s="113"/>
      <c r="AC244" s="113"/>
      <c r="AD244" s="104">
        <f t="shared" si="179"/>
        <v>0</v>
      </c>
      <c r="AE244" s="117">
        <f t="shared" si="189"/>
        <v>0</v>
      </c>
      <c r="AF244" s="117">
        <f t="shared" si="190"/>
        <v>472666.66999999993</v>
      </c>
      <c r="AG244" s="117">
        <f t="shared" si="191"/>
        <v>0</v>
      </c>
      <c r="AH244" s="104">
        <f t="shared" si="180"/>
        <v>472666.66999999993</v>
      </c>
      <c r="AI244" s="117">
        <f t="shared" ref="AI244:AI266" si="224">+S244-AE244</f>
        <v>0</v>
      </c>
      <c r="AJ244" s="117">
        <f t="shared" ref="AJ244:AJ266" si="225">+T244-AF244</f>
        <v>7.2800000000861473</v>
      </c>
      <c r="AK244" s="117">
        <f t="shared" ref="AK244:AK266" si="226">+U244-AG244</f>
        <v>0</v>
      </c>
      <c r="AL244" s="104">
        <f t="shared" ref="AL244:AL266" si="227">SUM(AI244:AK244)</f>
        <v>7.2800000000861473</v>
      </c>
      <c r="AM244" s="1221" t="str">
        <f t="shared" si="194"/>
        <v xml:space="preserve"> </v>
      </c>
      <c r="AN244" s="1221">
        <f t="shared" si="195"/>
        <v>0.99998459826271346</v>
      </c>
      <c r="AO244" s="1221" t="str">
        <f t="shared" si="196"/>
        <v xml:space="preserve"> </v>
      </c>
      <c r="AP244" s="1221">
        <f t="shared" si="197"/>
        <v>0.99998459826271346</v>
      </c>
      <c r="AQ244" s="1223" t="str">
        <f t="shared" si="222"/>
        <v xml:space="preserve"> </v>
      </c>
      <c r="AW244" s="107"/>
      <c r="BL244" s="149">
        <f>+'CONAP (ALL FUNDS)'!F745</f>
        <v>0</v>
      </c>
      <c r="BM244" s="149">
        <f>+'CONAP (ALL FUNDS)'!G745</f>
        <v>472673.95</v>
      </c>
      <c r="BN244" s="149">
        <f>+'CONAP (ALL FUNDS)'!H745</f>
        <v>0</v>
      </c>
      <c r="BP244" s="216">
        <f t="shared" si="198"/>
        <v>0</v>
      </c>
      <c r="BQ244" s="216">
        <f t="shared" si="199"/>
        <v>0</v>
      </c>
      <c r="BR244" s="216">
        <f t="shared" si="200"/>
        <v>0</v>
      </c>
    </row>
    <row r="245" spans="1:70" ht="12.75">
      <c r="A245" s="105" t="s">
        <v>938</v>
      </c>
      <c r="B245" s="1231" t="s">
        <v>535</v>
      </c>
      <c r="C245" s="113">
        <v>0</v>
      </c>
      <c r="D245" s="113">
        <v>87922.99</v>
      </c>
      <c r="E245" s="113">
        <v>0</v>
      </c>
      <c r="F245" s="104">
        <f t="shared" si="218"/>
        <v>87922.99</v>
      </c>
      <c r="G245" s="113"/>
      <c r="H245" s="113"/>
      <c r="I245" s="113"/>
      <c r="J245" s="104">
        <f t="shared" si="219"/>
        <v>0</v>
      </c>
      <c r="K245" s="113"/>
      <c r="L245" s="113"/>
      <c r="M245" s="113"/>
      <c r="N245" s="104">
        <f t="shared" si="220"/>
        <v>0</v>
      </c>
      <c r="O245" s="113">
        <f t="shared" si="181"/>
        <v>0</v>
      </c>
      <c r="P245" s="113">
        <f t="shared" si="182"/>
        <v>0</v>
      </c>
      <c r="Q245" s="113">
        <f t="shared" si="183"/>
        <v>0</v>
      </c>
      <c r="R245" s="104">
        <f t="shared" si="184"/>
        <v>0</v>
      </c>
      <c r="S245" s="113">
        <f t="shared" si="185"/>
        <v>0</v>
      </c>
      <c r="T245" s="113">
        <f t="shared" si="186"/>
        <v>87922.99</v>
      </c>
      <c r="U245" s="113">
        <f t="shared" si="187"/>
        <v>0</v>
      </c>
      <c r="V245" s="104">
        <f t="shared" si="188"/>
        <v>87922.99</v>
      </c>
      <c r="W245" s="113">
        <f>+'CONAP (ALL FUNDS)'!J746</f>
        <v>0</v>
      </c>
      <c r="X245" s="113">
        <f>+'CONAP (ALL FUNDS)'!K746</f>
        <v>87900</v>
      </c>
      <c r="Y245" s="113">
        <f>+'CONAP (ALL FUNDS)'!L746</f>
        <v>0</v>
      </c>
      <c r="Z245" s="104">
        <f t="shared" si="178"/>
        <v>87900</v>
      </c>
      <c r="AA245" s="113"/>
      <c r="AB245" s="113"/>
      <c r="AC245" s="113"/>
      <c r="AD245" s="104">
        <f t="shared" si="179"/>
        <v>0</v>
      </c>
      <c r="AE245" s="117">
        <f t="shared" si="189"/>
        <v>0</v>
      </c>
      <c r="AF245" s="117">
        <f t="shared" si="190"/>
        <v>87900</v>
      </c>
      <c r="AG245" s="117">
        <f t="shared" si="191"/>
        <v>0</v>
      </c>
      <c r="AH245" s="104">
        <f t="shared" si="180"/>
        <v>87900</v>
      </c>
      <c r="AI245" s="117">
        <f t="shared" si="224"/>
        <v>0</v>
      </c>
      <c r="AJ245" s="117">
        <f t="shared" si="225"/>
        <v>22.990000000005239</v>
      </c>
      <c r="AK245" s="117">
        <f t="shared" si="226"/>
        <v>0</v>
      </c>
      <c r="AL245" s="104">
        <f t="shared" si="227"/>
        <v>22.990000000005239</v>
      </c>
      <c r="AM245" s="1221" t="str">
        <f t="shared" si="194"/>
        <v xml:space="preserve"> </v>
      </c>
      <c r="AN245" s="1221">
        <f t="shared" si="195"/>
        <v>0.99973852117631568</v>
      </c>
      <c r="AO245" s="1221" t="str">
        <f t="shared" si="196"/>
        <v xml:space="preserve"> </v>
      </c>
      <c r="AP245" s="1221">
        <f t="shared" si="197"/>
        <v>0.99973852117631568</v>
      </c>
      <c r="AQ245" s="1223" t="str">
        <f t="shared" si="222"/>
        <v xml:space="preserve"> </v>
      </c>
      <c r="AW245" s="107"/>
      <c r="BL245" s="149">
        <f>+'CONAP (ALL FUNDS)'!F746</f>
        <v>0</v>
      </c>
      <c r="BM245" s="149">
        <f>+'CONAP (ALL FUNDS)'!G746</f>
        <v>87922.99</v>
      </c>
      <c r="BN245" s="149">
        <f>+'CONAP (ALL FUNDS)'!H746</f>
        <v>0</v>
      </c>
      <c r="BP245" s="216">
        <f t="shared" si="198"/>
        <v>0</v>
      </c>
      <c r="BQ245" s="216">
        <f t="shared" si="199"/>
        <v>0</v>
      </c>
      <c r="BR245" s="216">
        <f t="shared" si="200"/>
        <v>0</v>
      </c>
    </row>
    <row r="246" spans="1:70" ht="36">
      <c r="A246" s="105" t="s">
        <v>938</v>
      </c>
      <c r="B246" s="1241" t="s">
        <v>536</v>
      </c>
      <c r="C246" s="113">
        <v>0</v>
      </c>
      <c r="D246" s="113">
        <v>497975.94</v>
      </c>
      <c r="E246" s="113">
        <v>0</v>
      </c>
      <c r="F246" s="104">
        <f t="shared" si="218"/>
        <v>497975.94</v>
      </c>
      <c r="G246" s="113">
        <f>+'CONAP (ALL FUNDS)'!F749</f>
        <v>0</v>
      </c>
      <c r="H246" s="113">
        <f>+'CONAP (ALL FUNDS)'!G749</f>
        <v>-2715517.2</v>
      </c>
      <c r="I246" s="113">
        <f>+'CONAP (ALL FUNDS)'!H749</f>
        <v>2630900</v>
      </c>
      <c r="J246" s="104">
        <f t="shared" si="219"/>
        <v>-84617.200000000186</v>
      </c>
      <c r="K246" s="113">
        <v>0</v>
      </c>
      <c r="L246" s="113">
        <v>35735771.129999995</v>
      </c>
      <c r="M246" s="113">
        <v>83588396.060000002</v>
      </c>
      <c r="N246" s="104">
        <f t="shared" si="220"/>
        <v>119324167.19</v>
      </c>
      <c r="O246" s="113">
        <f t="shared" si="181"/>
        <v>0</v>
      </c>
      <c r="P246" s="113">
        <f t="shared" si="182"/>
        <v>33020253.929999996</v>
      </c>
      <c r="Q246" s="113">
        <f t="shared" si="183"/>
        <v>86219296.060000002</v>
      </c>
      <c r="R246" s="104">
        <f t="shared" si="184"/>
        <v>119239549.98999999</v>
      </c>
      <c r="S246" s="113">
        <f t="shared" si="185"/>
        <v>0</v>
      </c>
      <c r="T246" s="113">
        <f t="shared" si="186"/>
        <v>33518229.869999997</v>
      </c>
      <c r="U246" s="113">
        <f t="shared" si="187"/>
        <v>86219296.060000002</v>
      </c>
      <c r="V246" s="104">
        <f t="shared" si="188"/>
        <v>119737525.93000001</v>
      </c>
      <c r="W246" s="113">
        <f>+'CONAP (ALL FUNDS)'!J747</f>
        <v>0</v>
      </c>
      <c r="X246" s="113">
        <f>+'CONAP (ALL FUNDS)'!K747</f>
        <v>484818.16000000003</v>
      </c>
      <c r="Y246" s="113">
        <f>+'CONAP (ALL FUNDS)'!L747</f>
        <v>0</v>
      </c>
      <c r="Z246" s="104">
        <f t="shared" si="178"/>
        <v>484818.16000000003</v>
      </c>
      <c r="AA246" s="113">
        <f>+'CONAP (ALL FUNDS)'!J748</f>
        <v>0</v>
      </c>
      <c r="AB246" s="113">
        <f>+'CONAP (ALL FUNDS)'!K748</f>
        <v>24782703.369999997</v>
      </c>
      <c r="AC246" s="113">
        <f>+'CONAP (ALL FUNDS)'!L748</f>
        <v>38548009.080000006</v>
      </c>
      <c r="AD246" s="104">
        <f t="shared" si="179"/>
        <v>63330712.450000003</v>
      </c>
      <c r="AE246" s="117">
        <f t="shared" si="189"/>
        <v>0</v>
      </c>
      <c r="AF246" s="117">
        <f t="shared" si="190"/>
        <v>25267521.529999997</v>
      </c>
      <c r="AG246" s="117">
        <f t="shared" si="191"/>
        <v>38548009.080000006</v>
      </c>
      <c r="AH246" s="104">
        <f t="shared" si="180"/>
        <v>63815530.609999999</v>
      </c>
      <c r="AI246" s="117">
        <f t="shared" si="224"/>
        <v>0</v>
      </c>
      <c r="AJ246" s="117">
        <f t="shared" si="225"/>
        <v>8250708.3399999999</v>
      </c>
      <c r="AK246" s="117">
        <f t="shared" si="226"/>
        <v>47671286.979999997</v>
      </c>
      <c r="AL246" s="104">
        <f t="shared" si="227"/>
        <v>55921995.319999993</v>
      </c>
      <c r="AM246" s="1221" t="str">
        <f t="shared" si="194"/>
        <v xml:space="preserve"> </v>
      </c>
      <c r="AN246" s="1221">
        <f t="shared" si="195"/>
        <v>0.75384415072036137</v>
      </c>
      <c r="AO246" s="1221">
        <f t="shared" si="196"/>
        <v>0.44709259807890855</v>
      </c>
      <c r="AP246" s="1221">
        <f t="shared" si="197"/>
        <v>0.53296182724960695</v>
      </c>
      <c r="AQ246" s="1223" t="str">
        <f t="shared" si="222"/>
        <v xml:space="preserve"> </v>
      </c>
      <c r="AW246" s="107"/>
      <c r="BL246" s="149">
        <f>+'CONAP (ALL FUNDS)'!F747</f>
        <v>0</v>
      </c>
      <c r="BM246" s="149">
        <f>+'CONAP (ALL FUNDS)'!G747</f>
        <v>497975.94</v>
      </c>
      <c r="BN246" s="149">
        <f>+'CONAP (ALL FUNDS)'!H747</f>
        <v>0</v>
      </c>
      <c r="BP246" s="216">
        <f t="shared" si="198"/>
        <v>0</v>
      </c>
      <c r="BQ246" s="216">
        <f t="shared" si="199"/>
        <v>0</v>
      </c>
      <c r="BR246" s="216">
        <f t="shared" si="200"/>
        <v>0</v>
      </c>
    </row>
    <row r="247" spans="1:70" ht="12.75">
      <c r="B247" s="1238"/>
      <c r="C247" s="113"/>
      <c r="D247" s="113"/>
      <c r="E247" s="113"/>
      <c r="F247" s="104">
        <f t="shared" si="218"/>
        <v>0</v>
      </c>
      <c r="G247" s="113"/>
      <c r="H247" s="113"/>
      <c r="I247" s="113"/>
      <c r="J247" s="104">
        <f t="shared" si="219"/>
        <v>0</v>
      </c>
      <c r="K247" s="113"/>
      <c r="L247" s="113"/>
      <c r="M247" s="113"/>
      <c r="N247" s="104">
        <f t="shared" si="220"/>
        <v>0</v>
      </c>
      <c r="O247" s="113">
        <f t="shared" si="181"/>
        <v>0</v>
      </c>
      <c r="P247" s="113">
        <f t="shared" si="182"/>
        <v>0</v>
      </c>
      <c r="Q247" s="113">
        <f t="shared" si="183"/>
        <v>0</v>
      </c>
      <c r="R247" s="104">
        <f t="shared" si="184"/>
        <v>0</v>
      </c>
      <c r="S247" s="113">
        <f t="shared" si="185"/>
        <v>0</v>
      </c>
      <c r="T247" s="113">
        <f t="shared" si="186"/>
        <v>0</v>
      </c>
      <c r="U247" s="113">
        <f t="shared" si="187"/>
        <v>0</v>
      </c>
      <c r="V247" s="104">
        <f t="shared" si="188"/>
        <v>0</v>
      </c>
      <c r="W247" s="113"/>
      <c r="X247" s="113"/>
      <c r="Y247" s="113"/>
      <c r="Z247" s="104">
        <f t="shared" si="178"/>
        <v>0</v>
      </c>
      <c r="AA247" s="113"/>
      <c r="AB247" s="113"/>
      <c r="AC247" s="113"/>
      <c r="AD247" s="104">
        <f t="shared" si="179"/>
        <v>0</v>
      </c>
      <c r="AE247" s="117">
        <f t="shared" si="189"/>
        <v>0</v>
      </c>
      <c r="AF247" s="117">
        <f t="shared" si="190"/>
        <v>0</v>
      </c>
      <c r="AG247" s="117">
        <f t="shared" si="191"/>
        <v>0</v>
      </c>
      <c r="AH247" s="104">
        <f t="shared" si="180"/>
        <v>0</v>
      </c>
      <c r="AI247" s="117">
        <f t="shared" si="224"/>
        <v>0</v>
      </c>
      <c r="AJ247" s="117">
        <f t="shared" si="225"/>
        <v>0</v>
      </c>
      <c r="AK247" s="117">
        <f t="shared" si="226"/>
        <v>0</v>
      </c>
      <c r="AL247" s="104">
        <f t="shared" si="227"/>
        <v>0</v>
      </c>
      <c r="AM247" s="1221" t="str">
        <f t="shared" si="194"/>
        <v xml:space="preserve"> </v>
      </c>
      <c r="AN247" s="1221" t="str">
        <f t="shared" si="195"/>
        <v xml:space="preserve"> </v>
      </c>
      <c r="AO247" s="1221" t="str">
        <f t="shared" si="196"/>
        <v xml:space="preserve"> </v>
      </c>
      <c r="AP247" s="1221" t="str">
        <f t="shared" si="197"/>
        <v xml:space="preserve"> </v>
      </c>
      <c r="AQ247" s="1223" t="str">
        <f>IF(W248=0," ",AI248/W248)</f>
        <v xml:space="preserve"> </v>
      </c>
      <c r="AW247" s="107"/>
      <c r="BL247" s="149"/>
      <c r="BM247" s="149"/>
      <c r="BN247" s="149"/>
      <c r="BP247" s="216">
        <f t="shared" si="198"/>
        <v>0</v>
      </c>
      <c r="BQ247" s="216">
        <f t="shared" si="199"/>
        <v>0</v>
      </c>
      <c r="BR247" s="216">
        <f t="shared" si="200"/>
        <v>0</v>
      </c>
    </row>
    <row r="248" spans="1:70" ht="12.75">
      <c r="A248" s="105" t="s">
        <v>938</v>
      </c>
      <c r="B248" s="1235" t="s">
        <v>37</v>
      </c>
      <c r="C248" s="113">
        <f t="shared" ref="C248:N248" si="228">SUM(C249:C251)</f>
        <v>0</v>
      </c>
      <c r="D248" s="113">
        <f t="shared" si="228"/>
        <v>275304.17999999318</v>
      </c>
      <c r="E248" s="113">
        <f t="shared" si="228"/>
        <v>0</v>
      </c>
      <c r="F248" s="113">
        <f t="shared" si="228"/>
        <v>275304.17999999318</v>
      </c>
      <c r="G248" s="113">
        <f t="shared" si="228"/>
        <v>0</v>
      </c>
      <c r="H248" s="113">
        <f t="shared" si="228"/>
        <v>-9630848.7899999991</v>
      </c>
      <c r="I248" s="113">
        <f t="shared" si="228"/>
        <v>2386500</v>
      </c>
      <c r="J248" s="113">
        <f t="shared" si="228"/>
        <v>-7244348.7899999991</v>
      </c>
      <c r="K248" s="113">
        <f t="shared" si="228"/>
        <v>0</v>
      </c>
      <c r="L248" s="113">
        <f t="shared" si="228"/>
        <v>42917456.929999992</v>
      </c>
      <c r="M248" s="113">
        <f t="shared" si="228"/>
        <v>5069905.3000000119</v>
      </c>
      <c r="N248" s="113">
        <f t="shared" si="228"/>
        <v>47987362.230000004</v>
      </c>
      <c r="O248" s="113">
        <f t="shared" si="181"/>
        <v>0</v>
      </c>
      <c r="P248" s="113">
        <f t="shared" si="182"/>
        <v>33286608.139999993</v>
      </c>
      <c r="Q248" s="113">
        <f t="shared" si="183"/>
        <v>7456405.3000000119</v>
      </c>
      <c r="R248" s="104">
        <f t="shared" si="184"/>
        <v>40743013.440000005</v>
      </c>
      <c r="S248" s="113">
        <f t="shared" si="185"/>
        <v>0</v>
      </c>
      <c r="T248" s="113">
        <f t="shared" si="186"/>
        <v>33561912.319999985</v>
      </c>
      <c r="U248" s="113">
        <f t="shared" si="187"/>
        <v>7456405.3000000119</v>
      </c>
      <c r="V248" s="104">
        <f t="shared" si="188"/>
        <v>41018317.619999997</v>
      </c>
      <c r="W248" s="113">
        <f>SUM(W249:W251)</f>
        <v>0</v>
      </c>
      <c r="X248" s="113">
        <f>SUM(X249:X251)</f>
        <v>273519.86</v>
      </c>
      <c r="Y248" s="113">
        <f>SUM(Y249:Y251)</f>
        <v>0</v>
      </c>
      <c r="Z248" s="104">
        <f t="shared" si="178"/>
        <v>273519.86</v>
      </c>
      <c r="AA248" s="113">
        <f>SUM(AA249:AA251)</f>
        <v>0</v>
      </c>
      <c r="AB248" s="113">
        <f>SUM(AB249:AB251)</f>
        <v>33103455.420000002</v>
      </c>
      <c r="AC248" s="113">
        <f>SUM(AC249:AC251)</f>
        <v>0</v>
      </c>
      <c r="AD248" s="104">
        <f t="shared" si="179"/>
        <v>33103455.420000002</v>
      </c>
      <c r="AE248" s="117">
        <f t="shared" si="189"/>
        <v>0</v>
      </c>
      <c r="AF248" s="117">
        <f t="shared" si="190"/>
        <v>33376975.280000001</v>
      </c>
      <c r="AG248" s="117">
        <f t="shared" si="191"/>
        <v>0</v>
      </c>
      <c r="AH248" s="104">
        <f t="shared" si="180"/>
        <v>33376975.280000001</v>
      </c>
      <c r="AI248" s="117">
        <f t="shared" si="224"/>
        <v>0</v>
      </c>
      <c r="AJ248" s="117">
        <f t="shared" si="225"/>
        <v>184937.0399999842</v>
      </c>
      <c r="AK248" s="117">
        <f t="shared" si="226"/>
        <v>7456405.3000000119</v>
      </c>
      <c r="AL248" s="104">
        <f t="shared" si="227"/>
        <v>7641342.3399999961</v>
      </c>
      <c r="AM248" s="1221" t="str">
        <f t="shared" si="194"/>
        <v xml:space="preserve"> </v>
      </c>
      <c r="AN248" s="1221">
        <f t="shared" si="195"/>
        <v>0.99448967513422115</v>
      </c>
      <c r="AO248" s="1221">
        <f t="shared" si="196"/>
        <v>0</v>
      </c>
      <c r="AP248" s="1221">
        <f t="shared" si="197"/>
        <v>0.81370902603099016</v>
      </c>
      <c r="AQ248" s="1223" t="str">
        <f t="shared" si="222"/>
        <v xml:space="preserve"> </v>
      </c>
      <c r="AW248" s="107"/>
      <c r="BH248" s="105">
        <f>+AL248-'CONAP (ALL FUNDS)'!Q866</f>
        <v>0</v>
      </c>
      <c r="BL248" s="149">
        <f>SUM(BL249:BL251)</f>
        <v>0</v>
      </c>
      <c r="BM248" s="149">
        <f t="shared" ref="BM248:BN248" si="229">SUM(BM249:BM251)</f>
        <v>275304.17999999318</v>
      </c>
      <c r="BN248" s="149">
        <f t="shared" si="229"/>
        <v>0</v>
      </c>
      <c r="BP248" s="216">
        <f t="shared" si="198"/>
        <v>0</v>
      </c>
      <c r="BQ248" s="216">
        <f t="shared" si="199"/>
        <v>0</v>
      </c>
      <c r="BR248" s="216">
        <f t="shared" si="200"/>
        <v>0</v>
      </c>
    </row>
    <row r="249" spans="1:70" ht="36">
      <c r="A249" s="105" t="s">
        <v>938</v>
      </c>
      <c r="B249" s="1241" t="s">
        <v>534</v>
      </c>
      <c r="C249" s="113"/>
      <c r="D249" s="113">
        <v>144.52000000048429</v>
      </c>
      <c r="E249" s="113"/>
      <c r="F249" s="104">
        <f t="shared" si="218"/>
        <v>144.52000000048429</v>
      </c>
      <c r="G249" s="113"/>
      <c r="H249" s="113"/>
      <c r="I249" s="113"/>
      <c r="J249" s="104">
        <f t="shared" si="219"/>
        <v>0</v>
      </c>
      <c r="K249" s="113"/>
      <c r="L249" s="113"/>
      <c r="M249" s="113"/>
      <c r="N249" s="104">
        <f t="shared" si="220"/>
        <v>0</v>
      </c>
      <c r="O249" s="113">
        <f t="shared" si="181"/>
        <v>0</v>
      </c>
      <c r="P249" s="113">
        <f t="shared" si="182"/>
        <v>0</v>
      </c>
      <c r="Q249" s="113">
        <f t="shared" si="183"/>
        <v>0</v>
      </c>
      <c r="R249" s="104">
        <f t="shared" si="184"/>
        <v>0</v>
      </c>
      <c r="S249" s="113">
        <f t="shared" si="185"/>
        <v>0</v>
      </c>
      <c r="T249" s="113">
        <f t="shared" si="186"/>
        <v>144.52000000048429</v>
      </c>
      <c r="U249" s="113">
        <f t="shared" si="187"/>
        <v>0</v>
      </c>
      <c r="V249" s="104">
        <f t="shared" si="188"/>
        <v>144.52000000048429</v>
      </c>
      <c r="W249" s="113">
        <f>+'CONAP (ALL FUNDS)'!J860</f>
        <v>0</v>
      </c>
      <c r="X249" s="113">
        <f>+'CONAP (ALL FUNDS)'!K860</f>
        <v>0</v>
      </c>
      <c r="Y249" s="113">
        <f>+'CONAP (ALL FUNDS)'!L860</f>
        <v>0</v>
      </c>
      <c r="Z249" s="104">
        <f t="shared" si="178"/>
        <v>0</v>
      </c>
      <c r="AA249" s="113"/>
      <c r="AB249" s="113"/>
      <c r="AC249" s="113"/>
      <c r="AD249" s="104">
        <f t="shared" si="179"/>
        <v>0</v>
      </c>
      <c r="AE249" s="117">
        <f t="shared" si="189"/>
        <v>0</v>
      </c>
      <c r="AF249" s="117">
        <f t="shared" si="190"/>
        <v>0</v>
      </c>
      <c r="AG249" s="117">
        <f t="shared" si="191"/>
        <v>0</v>
      </c>
      <c r="AH249" s="104">
        <f t="shared" si="180"/>
        <v>0</v>
      </c>
      <c r="AI249" s="117">
        <f t="shared" si="224"/>
        <v>0</v>
      </c>
      <c r="AJ249" s="117">
        <f t="shared" si="225"/>
        <v>144.52000000048429</v>
      </c>
      <c r="AK249" s="117">
        <f t="shared" si="226"/>
        <v>0</v>
      </c>
      <c r="AL249" s="104">
        <f t="shared" si="227"/>
        <v>144.52000000048429</v>
      </c>
      <c r="AM249" s="1221" t="str">
        <f t="shared" si="194"/>
        <v xml:space="preserve"> </v>
      </c>
      <c r="AN249" s="1221">
        <f t="shared" si="195"/>
        <v>0</v>
      </c>
      <c r="AO249" s="1221" t="str">
        <f t="shared" si="196"/>
        <v xml:space="preserve"> </v>
      </c>
      <c r="AP249" s="1221">
        <f t="shared" si="197"/>
        <v>0</v>
      </c>
      <c r="AQ249" s="1223" t="str">
        <f t="shared" si="222"/>
        <v xml:space="preserve"> </v>
      </c>
      <c r="AW249" s="107"/>
      <c r="BL249" s="149">
        <f>+'CONAP (ALL FUNDS)'!F860</f>
        <v>0</v>
      </c>
      <c r="BM249" s="149">
        <f>+'CONAP (ALL FUNDS)'!G860</f>
        <v>144.52000000048429</v>
      </c>
      <c r="BN249" s="149">
        <f>+'CONAP (ALL FUNDS)'!H860</f>
        <v>0</v>
      </c>
      <c r="BP249" s="216">
        <f t="shared" si="198"/>
        <v>0</v>
      </c>
      <c r="BQ249" s="216">
        <f t="shared" si="199"/>
        <v>0</v>
      </c>
      <c r="BR249" s="216">
        <f t="shared" si="200"/>
        <v>0</v>
      </c>
    </row>
    <row r="250" spans="1:70" ht="12.75">
      <c r="A250" s="105" t="s">
        <v>938</v>
      </c>
      <c r="B250" s="1231" t="s">
        <v>535</v>
      </c>
      <c r="C250" s="113"/>
      <c r="D250" s="113">
        <v>20.269999995827675</v>
      </c>
      <c r="E250" s="113"/>
      <c r="F250" s="104">
        <f t="shared" si="218"/>
        <v>20.269999995827675</v>
      </c>
      <c r="G250" s="113"/>
      <c r="H250" s="113"/>
      <c r="I250" s="113"/>
      <c r="J250" s="104">
        <f t="shared" si="219"/>
        <v>0</v>
      </c>
      <c r="K250" s="113"/>
      <c r="L250" s="113"/>
      <c r="M250" s="113"/>
      <c r="N250" s="104">
        <f t="shared" si="220"/>
        <v>0</v>
      </c>
      <c r="O250" s="113">
        <f t="shared" si="181"/>
        <v>0</v>
      </c>
      <c r="P250" s="113">
        <f t="shared" si="182"/>
        <v>0</v>
      </c>
      <c r="Q250" s="113">
        <f t="shared" si="183"/>
        <v>0</v>
      </c>
      <c r="R250" s="104">
        <f t="shared" si="184"/>
        <v>0</v>
      </c>
      <c r="S250" s="113">
        <f t="shared" si="185"/>
        <v>0</v>
      </c>
      <c r="T250" s="113">
        <f t="shared" si="186"/>
        <v>20.269999995827675</v>
      </c>
      <c r="U250" s="113">
        <f t="shared" si="187"/>
        <v>0</v>
      </c>
      <c r="V250" s="104">
        <f t="shared" si="188"/>
        <v>20.269999995827675</v>
      </c>
      <c r="W250" s="113">
        <f>+'CONAP (ALL FUNDS)'!J861</f>
        <v>0</v>
      </c>
      <c r="X250" s="113">
        <f>+'CONAP (ALL FUNDS)'!K861</f>
        <v>0</v>
      </c>
      <c r="Y250" s="113">
        <f>+'CONAP (ALL FUNDS)'!L861</f>
        <v>0</v>
      </c>
      <c r="Z250" s="104">
        <f t="shared" si="178"/>
        <v>0</v>
      </c>
      <c r="AA250" s="113"/>
      <c r="AB250" s="113"/>
      <c r="AC250" s="113"/>
      <c r="AD250" s="104">
        <f t="shared" si="179"/>
        <v>0</v>
      </c>
      <c r="AE250" s="117">
        <f t="shared" si="189"/>
        <v>0</v>
      </c>
      <c r="AF250" s="117">
        <f t="shared" si="190"/>
        <v>0</v>
      </c>
      <c r="AG250" s="117">
        <f t="shared" si="191"/>
        <v>0</v>
      </c>
      <c r="AH250" s="104">
        <f t="shared" si="180"/>
        <v>0</v>
      </c>
      <c r="AI250" s="117">
        <f t="shared" si="224"/>
        <v>0</v>
      </c>
      <c r="AJ250" s="117">
        <f t="shared" si="225"/>
        <v>20.269999995827675</v>
      </c>
      <c r="AK250" s="117">
        <f t="shared" si="226"/>
        <v>0</v>
      </c>
      <c r="AL250" s="104">
        <f t="shared" si="227"/>
        <v>20.269999995827675</v>
      </c>
      <c r="AM250" s="1221" t="str">
        <f t="shared" si="194"/>
        <v xml:space="preserve"> </v>
      </c>
      <c r="AN250" s="1221">
        <f t="shared" si="195"/>
        <v>0</v>
      </c>
      <c r="AO250" s="1221" t="str">
        <f t="shared" si="196"/>
        <v xml:space="preserve"> </v>
      </c>
      <c r="AP250" s="1221">
        <f t="shared" si="197"/>
        <v>0</v>
      </c>
      <c r="AQ250" s="1223" t="str">
        <f t="shared" si="222"/>
        <v xml:space="preserve"> </v>
      </c>
      <c r="AW250" s="107"/>
      <c r="BL250" s="149">
        <f>+'CONAP (ALL FUNDS)'!F861</f>
        <v>0</v>
      </c>
      <c r="BM250" s="149">
        <f>+'CONAP (ALL FUNDS)'!G861</f>
        <v>20.269999995827675</v>
      </c>
      <c r="BN250" s="149">
        <f>+'CONAP (ALL FUNDS)'!H861</f>
        <v>0</v>
      </c>
      <c r="BP250" s="216">
        <f t="shared" si="198"/>
        <v>0</v>
      </c>
      <c r="BQ250" s="216">
        <f t="shared" si="199"/>
        <v>0</v>
      </c>
      <c r="BR250" s="216">
        <f t="shared" si="200"/>
        <v>0</v>
      </c>
    </row>
    <row r="251" spans="1:70" ht="36">
      <c r="A251" s="105" t="s">
        <v>938</v>
      </c>
      <c r="B251" s="1241" t="s">
        <v>536</v>
      </c>
      <c r="C251" s="113"/>
      <c r="D251" s="113">
        <v>275139.38999999687</v>
      </c>
      <c r="E251" s="113"/>
      <c r="F251" s="104">
        <f t="shared" si="218"/>
        <v>275139.38999999687</v>
      </c>
      <c r="G251" s="113">
        <f>+'CONAP (ALL FUNDS)'!F864</f>
        <v>0</v>
      </c>
      <c r="H251" s="113">
        <f>+'CONAP (ALL FUNDS)'!G864</f>
        <v>-9630848.7899999991</v>
      </c>
      <c r="I251" s="113">
        <f>+'CONAP (ALL FUNDS)'!H864</f>
        <v>2386500</v>
      </c>
      <c r="J251" s="104">
        <f t="shared" si="219"/>
        <v>-7244348.7899999991</v>
      </c>
      <c r="K251" s="113"/>
      <c r="L251" s="104">
        <v>42917456.929999992</v>
      </c>
      <c r="M251" s="104">
        <v>5069905.3000000119</v>
      </c>
      <c r="N251" s="104">
        <f t="shared" si="220"/>
        <v>47987362.230000004</v>
      </c>
      <c r="O251" s="113">
        <f t="shared" si="181"/>
        <v>0</v>
      </c>
      <c r="P251" s="113">
        <f t="shared" si="182"/>
        <v>33286608.139999993</v>
      </c>
      <c r="Q251" s="113">
        <f t="shared" si="183"/>
        <v>7456405.3000000119</v>
      </c>
      <c r="R251" s="104">
        <f t="shared" si="184"/>
        <v>40743013.440000005</v>
      </c>
      <c r="S251" s="113">
        <f t="shared" si="185"/>
        <v>0</v>
      </c>
      <c r="T251" s="113">
        <f t="shared" si="186"/>
        <v>33561747.529999986</v>
      </c>
      <c r="U251" s="113">
        <f t="shared" si="187"/>
        <v>7456405.3000000119</v>
      </c>
      <c r="V251" s="104">
        <f t="shared" si="188"/>
        <v>41018152.829999998</v>
      </c>
      <c r="W251" s="113">
        <f>+'CONAP (ALL FUNDS)'!J862</f>
        <v>0</v>
      </c>
      <c r="X251" s="113">
        <f>+'CONAP (ALL FUNDS)'!K862</f>
        <v>273519.86</v>
      </c>
      <c r="Y251" s="113">
        <f>+'CONAP (ALL FUNDS)'!L862</f>
        <v>0</v>
      </c>
      <c r="Z251" s="104">
        <f t="shared" si="178"/>
        <v>273519.86</v>
      </c>
      <c r="AA251" s="113">
        <f>+'CONAP (ALL FUNDS)'!J863</f>
        <v>0</v>
      </c>
      <c r="AB251" s="113">
        <f>+'CONAP (ALL FUNDS)'!K863</f>
        <v>33103455.420000002</v>
      </c>
      <c r="AC251" s="113">
        <f>+'CONAP (ALL FUNDS)'!L863</f>
        <v>0</v>
      </c>
      <c r="AD251" s="104">
        <f t="shared" si="179"/>
        <v>33103455.420000002</v>
      </c>
      <c r="AE251" s="117">
        <f t="shared" si="189"/>
        <v>0</v>
      </c>
      <c r="AF251" s="117">
        <f t="shared" si="190"/>
        <v>33376975.280000001</v>
      </c>
      <c r="AG251" s="117">
        <f t="shared" si="191"/>
        <v>0</v>
      </c>
      <c r="AH251" s="104">
        <f t="shared" si="180"/>
        <v>33376975.280000001</v>
      </c>
      <c r="AI251" s="117">
        <f t="shared" si="224"/>
        <v>0</v>
      </c>
      <c r="AJ251" s="117">
        <f t="shared" si="225"/>
        <v>184772.2499999851</v>
      </c>
      <c r="AK251" s="117">
        <f t="shared" si="226"/>
        <v>7456405.3000000119</v>
      </c>
      <c r="AL251" s="104">
        <f t="shared" si="227"/>
        <v>7641177.549999997</v>
      </c>
      <c r="AM251" s="1221" t="str">
        <f t="shared" si="194"/>
        <v xml:space="preserve"> </v>
      </c>
      <c r="AN251" s="1221">
        <f t="shared" si="195"/>
        <v>0.99449455813244458</v>
      </c>
      <c r="AO251" s="1221">
        <f t="shared" si="196"/>
        <v>0</v>
      </c>
      <c r="AP251" s="1221">
        <f t="shared" si="197"/>
        <v>0.81371229509849197</v>
      </c>
      <c r="AQ251" s="1223" t="str">
        <f t="shared" si="222"/>
        <v xml:space="preserve"> </v>
      </c>
      <c r="AW251" s="107"/>
      <c r="BL251" s="149">
        <f>+'CONAP (ALL FUNDS)'!F862</f>
        <v>0</v>
      </c>
      <c r="BM251" s="149">
        <f>+'CONAP (ALL FUNDS)'!G862</f>
        <v>275139.38999999687</v>
      </c>
      <c r="BN251" s="149">
        <f>+'CONAP (ALL FUNDS)'!H862</f>
        <v>0</v>
      </c>
      <c r="BP251" s="216">
        <f t="shared" si="198"/>
        <v>0</v>
      </c>
      <c r="BQ251" s="216">
        <f t="shared" si="199"/>
        <v>0</v>
      </c>
      <c r="BR251" s="216">
        <f t="shared" si="200"/>
        <v>0</v>
      </c>
    </row>
    <row r="252" spans="1:70" ht="12.75">
      <c r="B252" s="1238"/>
      <c r="C252" s="113"/>
      <c r="D252" s="113"/>
      <c r="E252" s="113"/>
      <c r="F252" s="104">
        <f t="shared" si="218"/>
        <v>0</v>
      </c>
      <c r="G252" s="113"/>
      <c r="H252" s="113"/>
      <c r="I252" s="113"/>
      <c r="J252" s="104">
        <f t="shared" si="219"/>
        <v>0</v>
      </c>
      <c r="K252" s="113"/>
      <c r="L252" s="113"/>
      <c r="M252" s="113"/>
      <c r="N252" s="104">
        <f t="shared" si="220"/>
        <v>0</v>
      </c>
      <c r="O252" s="113">
        <f t="shared" si="181"/>
        <v>0</v>
      </c>
      <c r="P252" s="113">
        <f t="shared" si="182"/>
        <v>0</v>
      </c>
      <c r="Q252" s="113">
        <f t="shared" si="183"/>
        <v>0</v>
      </c>
      <c r="R252" s="104">
        <f t="shared" si="184"/>
        <v>0</v>
      </c>
      <c r="S252" s="113">
        <f t="shared" si="185"/>
        <v>0</v>
      </c>
      <c r="T252" s="113">
        <f t="shared" si="186"/>
        <v>0</v>
      </c>
      <c r="U252" s="113">
        <f t="shared" si="187"/>
        <v>0</v>
      </c>
      <c r="V252" s="104">
        <f t="shared" si="188"/>
        <v>0</v>
      </c>
      <c r="W252" s="113"/>
      <c r="X252" s="113"/>
      <c r="Y252" s="113"/>
      <c r="Z252" s="104">
        <f t="shared" si="178"/>
        <v>0</v>
      </c>
      <c r="AA252" s="113"/>
      <c r="AB252" s="113"/>
      <c r="AC252" s="113"/>
      <c r="AD252" s="104">
        <f t="shared" si="179"/>
        <v>0</v>
      </c>
      <c r="AE252" s="117">
        <f t="shared" si="189"/>
        <v>0</v>
      </c>
      <c r="AF252" s="117">
        <f t="shared" si="190"/>
        <v>0</v>
      </c>
      <c r="AG252" s="117">
        <f t="shared" si="191"/>
        <v>0</v>
      </c>
      <c r="AH252" s="104">
        <f t="shared" si="180"/>
        <v>0</v>
      </c>
      <c r="AI252" s="117">
        <f t="shared" si="224"/>
        <v>0</v>
      </c>
      <c r="AJ252" s="117">
        <f t="shared" si="225"/>
        <v>0</v>
      </c>
      <c r="AK252" s="117">
        <f t="shared" si="226"/>
        <v>0</v>
      </c>
      <c r="AL252" s="104">
        <f t="shared" si="227"/>
        <v>0</v>
      </c>
      <c r="AM252" s="1221" t="str">
        <f t="shared" si="194"/>
        <v xml:space="preserve"> </v>
      </c>
      <c r="AN252" s="1221" t="str">
        <f t="shared" si="195"/>
        <v xml:space="preserve"> </v>
      </c>
      <c r="AO252" s="1221" t="str">
        <f t="shared" si="196"/>
        <v xml:space="preserve"> </v>
      </c>
      <c r="AP252" s="1221" t="str">
        <f t="shared" si="197"/>
        <v xml:space="preserve"> </v>
      </c>
      <c r="AQ252" s="1223" t="str">
        <f t="shared" si="222"/>
        <v xml:space="preserve"> </v>
      </c>
      <c r="AW252" s="107"/>
      <c r="BL252" s="149"/>
      <c r="BM252" s="149"/>
      <c r="BN252" s="149"/>
      <c r="BP252" s="216">
        <f t="shared" si="198"/>
        <v>0</v>
      </c>
      <c r="BQ252" s="216">
        <f t="shared" si="199"/>
        <v>0</v>
      </c>
      <c r="BR252" s="216">
        <f t="shared" si="200"/>
        <v>0</v>
      </c>
    </row>
    <row r="253" spans="1:70" ht="12.75">
      <c r="A253" s="105" t="s">
        <v>938</v>
      </c>
      <c r="B253" s="1235" t="s">
        <v>38</v>
      </c>
      <c r="C253" s="113">
        <f t="shared" ref="C253:N253" si="230">SUM(C254:C256)</f>
        <v>0</v>
      </c>
      <c r="D253" s="113">
        <f t="shared" si="230"/>
        <v>3724504.16</v>
      </c>
      <c r="E253" s="113">
        <f t="shared" si="230"/>
        <v>0</v>
      </c>
      <c r="F253" s="113">
        <f t="shared" si="230"/>
        <v>3724504.16</v>
      </c>
      <c r="G253" s="113">
        <f t="shared" si="230"/>
        <v>0</v>
      </c>
      <c r="H253" s="113">
        <f t="shared" si="230"/>
        <v>-3210433.82</v>
      </c>
      <c r="I253" s="113">
        <f t="shared" si="230"/>
        <v>1701000</v>
      </c>
      <c r="J253" s="113">
        <f t="shared" si="230"/>
        <v>-1509433.8199999998</v>
      </c>
      <c r="K253" s="113">
        <f t="shared" si="230"/>
        <v>0</v>
      </c>
      <c r="L253" s="113">
        <f t="shared" si="230"/>
        <v>40267064.139999993</v>
      </c>
      <c r="M253" s="113">
        <f t="shared" si="230"/>
        <v>109604126.20999999</v>
      </c>
      <c r="N253" s="113">
        <f t="shared" si="230"/>
        <v>149871190.34999999</v>
      </c>
      <c r="O253" s="113">
        <f t="shared" si="181"/>
        <v>0</v>
      </c>
      <c r="P253" s="113">
        <f t="shared" si="182"/>
        <v>37056630.319999993</v>
      </c>
      <c r="Q253" s="113">
        <f t="shared" si="183"/>
        <v>111305126.20999999</v>
      </c>
      <c r="R253" s="104">
        <f t="shared" si="184"/>
        <v>148361756.52999997</v>
      </c>
      <c r="S253" s="113">
        <f t="shared" si="185"/>
        <v>0</v>
      </c>
      <c r="T253" s="113">
        <f t="shared" si="186"/>
        <v>40781134.479999989</v>
      </c>
      <c r="U253" s="113">
        <f t="shared" si="187"/>
        <v>111305126.20999999</v>
      </c>
      <c r="V253" s="104">
        <f t="shared" si="188"/>
        <v>152086260.69</v>
      </c>
      <c r="W253" s="113">
        <f>SUM(W254:W256)</f>
        <v>0</v>
      </c>
      <c r="X253" s="113">
        <f>SUM(X254:X256)</f>
        <v>1507804.72</v>
      </c>
      <c r="Y253" s="113">
        <f>SUM(Y254:Y256)</f>
        <v>0</v>
      </c>
      <c r="Z253" s="104">
        <f t="shared" si="178"/>
        <v>1507804.72</v>
      </c>
      <c r="AA253" s="113">
        <f>SUM(AA254:AA256)</f>
        <v>0</v>
      </c>
      <c r="AB253" s="113">
        <f>SUM(AB254:AB256)</f>
        <v>38664403.859999999</v>
      </c>
      <c r="AC253" s="113">
        <f>SUM(AC254:AC256)</f>
        <v>101697422</v>
      </c>
      <c r="AD253" s="104">
        <f t="shared" si="179"/>
        <v>140361825.86000001</v>
      </c>
      <c r="AE253" s="117">
        <f t="shared" si="189"/>
        <v>0</v>
      </c>
      <c r="AF253" s="117">
        <f t="shared" si="190"/>
        <v>40172208.579999998</v>
      </c>
      <c r="AG253" s="117">
        <f t="shared" si="191"/>
        <v>101697422</v>
      </c>
      <c r="AH253" s="104">
        <f t="shared" si="180"/>
        <v>141869630.57999998</v>
      </c>
      <c r="AI253" s="117">
        <f t="shared" si="224"/>
        <v>0</v>
      </c>
      <c r="AJ253" s="117">
        <f t="shared" si="225"/>
        <v>608925.89999999106</v>
      </c>
      <c r="AK253" s="117">
        <f t="shared" si="226"/>
        <v>9607704.2099999934</v>
      </c>
      <c r="AL253" s="104">
        <f t="shared" si="227"/>
        <v>10216630.109999985</v>
      </c>
      <c r="AM253" s="1221" t="str">
        <f t="shared" si="194"/>
        <v xml:space="preserve"> </v>
      </c>
      <c r="AN253" s="1221">
        <f t="shared" si="195"/>
        <v>0.98506844138191829</v>
      </c>
      <c r="AO253" s="1221">
        <f t="shared" si="196"/>
        <v>0.91368138613963668</v>
      </c>
      <c r="AP253" s="1221">
        <f t="shared" si="197"/>
        <v>0.93282345122006294</v>
      </c>
      <c r="AQ253" s="1223"/>
      <c r="AW253" s="107"/>
      <c r="BH253" s="105">
        <f>+AL253-'CONAP (ALL FUNDS)'!Q926</f>
        <v>0</v>
      </c>
      <c r="BL253" s="149">
        <f>SUM(BL254:BL256)</f>
        <v>0</v>
      </c>
      <c r="BM253" s="149">
        <f t="shared" ref="BM253:BN253" si="231">SUM(BM254:BM256)</f>
        <v>3724504.16</v>
      </c>
      <c r="BN253" s="149">
        <f t="shared" si="231"/>
        <v>0</v>
      </c>
      <c r="BP253" s="216">
        <f t="shared" si="198"/>
        <v>0</v>
      </c>
      <c r="BQ253" s="216">
        <f t="shared" si="199"/>
        <v>0</v>
      </c>
      <c r="BR253" s="216">
        <f t="shared" si="200"/>
        <v>0</v>
      </c>
    </row>
    <row r="254" spans="1:70" ht="36">
      <c r="A254" s="105" t="s">
        <v>938</v>
      </c>
      <c r="B254" s="1241" t="s">
        <v>534</v>
      </c>
      <c r="C254" s="113">
        <v>0</v>
      </c>
      <c r="D254" s="104">
        <v>2103808.37</v>
      </c>
      <c r="E254" s="113">
        <v>0</v>
      </c>
      <c r="F254" s="104">
        <f t="shared" si="218"/>
        <v>2103808.37</v>
      </c>
      <c r="G254" s="113"/>
      <c r="H254" s="113"/>
      <c r="I254" s="113"/>
      <c r="J254" s="104">
        <f t="shared" si="219"/>
        <v>0</v>
      </c>
      <c r="K254" s="113"/>
      <c r="L254" s="113"/>
      <c r="M254" s="113"/>
      <c r="N254" s="104">
        <f t="shared" si="220"/>
        <v>0</v>
      </c>
      <c r="O254" s="113">
        <f t="shared" si="181"/>
        <v>0</v>
      </c>
      <c r="P254" s="113">
        <f t="shared" si="182"/>
        <v>0</v>
      </c>
      <c r="Q254" s="113">
        <f t="shared" si="183"/>
        <v>0</v>
      </c>
      <c r="R254" s="104">
        <f t="shared" si="184"/>
        <v>0</v>
      </c>
      <c r="S254" s="113">
        <f t="shared" si="185"/>
        <v>0</v>
      </c>
      <c r="T254" s="113">
        <f t="shared" si="186"/>
        <v>2103808.37</v>
      </c>
      <c r="U254" s="113">
        <f t="shared" si="187"/>
        <v>0</v>
      </c>
      <c r="V254" s="104">
        <f t="shared" si="188"/>
        <v>2103808.37</v>
      </c>
      <c r="W254" s="113">
        <f>+'CONAP (ALL FUNDS)'!J920</f>
        <v>0</v>
      </c>
      <c r="X254" s="113">
        <f>+'CONAP (ALL FUNDS)'!K920</f>
        <v>697804.72</v>
      </c>
      <c r="Y254" s="113">
        <f>+'CONAP (ALL FUNDS)'!L920</f>
        <v>0</v>
      </c>
      <c r="Z254" s="104">
        <f t="shared" si="178"/>
        <v>697804.72</v>
      </c>
      <c r="AA254" s="113"/>
      <c r="AB254" s="113"/>
      <c r="AC254" s="113"/>
      <c r="AD254" s="104">
        <f t="shared" si="179"/>
        <v>0</v>
      </c>
      <c r="AE254" s="117">
        <f t="shared" si="189"/>
        <v>0</v>
      </c>
      <c r="AF254" s="117">
        <f t="shared" si="190"/>
        <v>697804.72</v>
      </c>
      <c r="AG254" s="117">
        <f t="shared" si="191"/>
        <v>0</v>
      </c>
      <c r="AH254" s="104">
        <f t="shared" si="180"/>
        <v>697804.72</v>
      </c>
      <c r="AI254" s="117">
        <f t="shared" si="224"/>
        <v>0</v>
      </c>
      <c r="AJ254" s="117">
        <f t="shared" si="225"/>
        <v>1406003.6500000001</v>
      </c>
      <c r="AK254" s="117">
        <f t="shared" si="226"/>
        <v>0</v>
      </c>
      <c r="AL254" s="104">
        <f t="shared" si="227"/>
        <v>1406003.6500000001</v>
      </c>
      <c r="AM254" s="1221" t="str">
        <f t="shared" si="194"/>
        <v xml:space="preserve"> </v>
      </c>
      <c r="AN254" s="1221">
        <f t="shared" si="195"/>
        <v>0.33168644537715186</v>
      </c>
      <c r="AO254" s="1221" t="str">
        <f t="shared" si="196"/>
        <v xml:space="preserve"> </v>
      </c>
      <c r="AP254" s="1221">
        <f t="shared" si="197"/>
        <v>0.33168644537715186</v>
      </c>
      <c r="AQ254" s="1223" t="str">
        <f t="shared" si="222"/>
        <v xml:space="preserve"> </v>
      </c>
      <c r="AW254" s="107"/>
      <c r="BL254" s="149">
        <f>+'CONAP (ALL FUNDS)'!F920</f>
        <v>0</v>
      </c>
      <c r="BM254" s="149">
        <f>+'CONAP (ALL FUNDS)'!G920</f>
        <v>2103808.37</v>
      </c>
      <c r="BN254" s="149">
        <f>+'CONAP (ALL FUNDS)'!H920</f>
        <v>0</v>
      </c>
      <c r="BP254" s="216">
        <f t="shared" si="198"/>
        <v>0</v>
      </c>
      <c r="BQ254" s="216">
        <f t="shared" si="199"/>
        <v>0</v>
      </c>
      <c r="BR254" s="216">
        <f t="shared" si="200"/>
        <v>0</v>
      </c>
    </row>
    <row r="255" spans="1:70" ht="18.75" customHeight="1">
      <c r="A255" s="105" t="s">
        <v>938</v>
      </c>
      <c r="B255" s="1231" t="s">
        <v>535</v>
      </c>
      <c r="C255" s="113">
        <v>0</v>
      </c>
      <c r="D255" s="104">
        <v>613729.56000000006</v>
      </c>
      <c r="E255" s="113">
        <v>0</v>
      </c>
      <c r="F255" s="104">
        <f t="shared" si="218"/>
        <v>613729.56000000006</v>
      </c>
      <c r="G255" s="113"/>
      <c r="H255" s="113"/>
      <c r="I255" s="113"/>
      <c r="J255" s="104">
        <f t="shared" si="219"/>
        <v>0</v>
      </c>
      <c r="K255" s="113"/>
      <c r="L255" s="113"/>
      <c r="M255" s="113"/>
      <c r="N255" s="104">
        <f t="shared" si="220"/>
        <v>0</v>
      </c>
      <c r="O255" s="113">
        <f t="shared" si="181"/>
        <v>0</v>
      </c>
      <c r="P255" s="113">
        <f t="shared" si="182"/>
        <v>0</v>
      </c>
      <c r="Q255" s="113">
        <f t="shared" si="183"/>
        <v>0</v>
      </c>
      <c r="R255" s="104">
        <f t="shared" si="184"/>
        <v>0</v>
      </c>
      <c r="S255" s="113">
        <f t="shared" si="185"/>
        <v>0</v>
      </c>
      <c r="T255" s="113">
        <f t="shared" si="186"/>
        <v>613729.56000000006</v>
      </c>
      <c r="U255" s="113">
        <f t="shared" si="187"/>
        <v>0</v>
      </c>
      <c r="V255" s="104">
        <f t="shared" si="188"/>
        <v>613729.56000000006</v>
      </c>
      <c r="W255" s="113">
        <f>+'CONAP (ALL FUNDS)'!J921</f>
        <v>0</v>
      </c>
      <c r="X255" s="113">
        <f>+'CONAP (ALL FUNDS)'!K921</f>
        <v>0</v>
      </c>
      <c r="Y255" s="113">
        <f>+'CONAP (ALL FUNDS)'!L921</f>
        <v>0</v>
      </c>
      <c r="Z255" s="104">
        <f t="shared" si="178"/>
        <v>0</v>
      </c>
      <c r="AA255" s="113"/>
      <c r="AB255" s="113"/>
      <c r="AC255" s="113"/>
      <c r="AD255" s="104">
        <f t="shared" si="179"/>
        <v>0</v>
      </c>
      <c r="AE255" s="117">
        <f t="shared" si="189"/>
        <v>0</v>
      </c>
      <c r="AF255" s="117">
        <f t="shared" si="190"/>
        <v>0</v>
      </c>
      <c r="AG255" s="117">
        <f t="shared" si="191"/>
        <v>0</v>
      </c>
      <c r="AH255" s="104">
        <f t="shared" si="180"/>
        <v>0</v>
      </c>
      <c r="AI255" s="117">
        <f t="shared" si="224"/>
        <v>0</v>
      </c>
      <c r="AJ255" s="117">
        <f t="shared" si="225"/>
        <v>613729.56000000006</v>
      </c>
      <c r="AK255" s="117">
        <f t="shared" si="226"/>
        <v>0</v>
      </c>
      <c r="AL255" s="104">
        <f t="shared" si="227"/>
        <v>613729.56000000006</v>
      </c>
      <c r="AM255" s="1221" t="str">
        <f t="shared" si="194"/>
        <v xml:space="preserve"> </v>
      </c>
      <c r="AN255" s="1221">
        <f t="shared" si="195"/>
        <v>0</v>
      </c>
      <c r="AO255" s="1221" t="str">
        <f t="shared" si="196"/>
        <v xml:space="preserve"> </v>
      </c>
      <c r="AP255" s="1221">
        <f t="shared" si="197"/>
        <v>0</v>
      </c>
      <c r="AQ255" s="1520" t="s">
        <v>685</v>
      </c>
      <c r="AW255" s="107"/>
      <c r="BL255" s="149">
        <f>+'CONAP (ALL FUNDS)'!F921</f>
        <v>0</v>
      </c>
      <c r="BM255" s="149">
        <f>+'CONAP (ALL FUNDS)'!G921</f>
        <v>613729.56000000006</v>
      </c>
      <c r="BN255" s="149">
        <f>+'CONAP (ALL FUNDS)'!H921</f>
        <v>0</v>
      </c>
      <c r="BP255" s="216">
        <f t="shared" si="198"/>
        <v>0</v>
      </c>
      <c r="BQ255" s="216">
        <f t="shared" si="199"/>
        <v>0</v>
      </c>
      <c r="BR255" s="216">
        <f t="shared" si="200"/>
        <v>0</v>
      </c>
    </row>
    <row r="256" spans="1:70" ht="27" customHeight="1">
      <c r="A256" s="105" t="s">
        <v>938</v>
      </c>
      <c r="B256" s="1241" t="s">
        <v>536</v>
      </c>
      <c r="C256" s="113">
        <v>0</v>
      </c>
      <c r="D256" s="104">
        <v>1006966.23</v>
      </c>
      <c r="E256" s="113">
        <v>0</v>
      </c>
      <c r="F256" s="104">
        <f t="shared" si="218"/>
        <v>1006966.23</v>
      </c>
      <c r="G256" s="113">
        <f>+'CONAP (ALL FUNDS)'!F924</f>
        <v>0</v>
      </c>
      <c r="H256" s="104">
        <f>+'CONAP (ALL FUNDS)'!G924</f>
        <v>-3210433.82</v>
      </c>
      <c r="I256" s="113">
        <f>+'CONAP (ALL FUNDS)'!H924</f>
        <v>1701000</v>
      </c>
      <c r="J256" s="104">
        <f t="shared" si="219"/>
        <v>-1509433.8199999998</v>
      </c>
      <c r="K256" s="113">
        <v>0</v>
      </c>
      <c r="L256" s="104">
        <v>40267064.139999993</v>
      </c>
      <c r="M256" s="113">
        <v>109604126.20999999</v>
      </c>
      <c r="N256" s="104">
        <f t="shared" si="220"/>
        <v>149871190.34999999</v>
      </c>
      <c r="O256" s="113">
        <f t="shared" si="181"/>
        <v>0</v>
      </c>
      <c r="P256" s="113">
        <f t="shared" si="182"/>
        <v>37056630.319999993</v>
      </c>
      <c r="Q256" s="113">
        <f t="shared" si="183"/>
        <v>111305126.20999999</v>
      </c>
      <c r="R256" s="104">
        <f t="shared" si="184"/>
        <v>148361756.52999997</v>
      </c>
      <c r="S256" s="113">
        <f t="shared" si="185"/>
        <v>0</v>
      </c>
      <c r="T256" s="113">
        <f t="shared" si="186"/>
        <v>38063596.54999999</v>
      </c>
      <c r="U256" s="113">
        <f t="shared" si="187"/>
        <v>111305126.20999999</v>
      </c>
      <c r="V256" s="104">
        <f t="shared" si="188"/>
        <v>149368722.75999999</v>
      </c>
      <c r="W256" s="113">
        <f>+'CONAP (ALL FUNDS)'!J922</f>
        <v>0</v>
      </c>
      <c r="X256" s="113">
        <f>+'CONAP (ALL FUNDS)'!K922</f>
        <v>810000</v>
      </c>
      <c r="Y256" s="113">
        <f>+'CONAP (ALL FUNDS)'!L922</f>
        <v>0</v>
      </c>
      <c r="Z256" s="104">
        <f t="shared" si="178"/>
        <v>810000</v>
      </c>
      <c r="AA256" s="113">
        <f>+'CONAP (ALL FUNDS)'!J923</f>
        <v>0</v>
      </c>
      <c r="AB256" s="113">
        <f>+'CONAP (ALL FUNDS)'!K923</f>
        <v>38664403.859999999</v>
      </c>
      <c r="AC256" s="113">
        <f>+'CONAP (ALL FUNDS)'!L923</f>
        <v>101697422</v>
      </c>
      <c r="AD256" s="104">
        <f t="shared" si="179"/>
        <v>140361825.86000001</v>
      </c>
      <c r="AE256" s="117">
        <f t="shared" si="189"/>
        <v>0</v>
      </c>
      <c r="AF256" s="117">
        <f t="shared" si="190"/>
        <v>39474403.859999999</v>
      </c>
      <c r="AG256" s="117">
        <f t="shared" si="191"/>
        <v>101697422</v>
      </c>
      <c r="AH256" s="104">
        <f t="shared" si="180"/>
        <v>141171825.86000001</v>
      </c>
      <c r="AI256" s="117">
        <f t="shared" si="224"/>
        <v>0</v>
      </c>
      <c r="AJ256" s="117">
        <f t="shared" si="225"/>
        <v>-1410807.3100000098</v>
      </c>
      <c r="AK256" s="117">
        <f t="shared" si="226"/>
        <v>9607704.2099999934</v>
      </c>
      <c r="AL256" s="104">
        <f t="shared" si="227"/>
        <v>8196896.8999999836</v>
      </c>
      <c r="AM256" s="1221" t="str">
        <f t="shared" si="194"/>
        <v xml:space="preserve"> </v>
      </c>
      <c r="AN256" s="1221">
        <f t="shared" si="195"/>
        <v>1.0370644772925435</v>
      </c>
      <c r="AO256" s="1221">
        <f t="shared" si="196"/>
        <v>0.91368138613963668</v>
      </c>
      <c r="AP256" s="1221">
        <f t="shared" si="197"/>
        <v>0.94512307028848042</v>
      </c>
      <c r="AQ256" s="1521"/>
      <c r="AW256" s="107"/>
      <c r="BL256" s="149">
        <f>+'CONAP (ALL FUNDS)'!F922</f>
        <v>0</v>
      </c>
      <c r="BM256" s="149">
        <f>+'CONAP (ALL FUNDS)'!G922</f>
        <v>1006966.23</v>
      </c>
      <c r="BN256" s="149">
        <f>+'CONAP (ALL FUNDS)'!H922</f>
        <v>0</v>
      </c>
      <c r="BP256" s="216">
        <f t="shared" si="198"/>
        <v>0</v>
      </c>
      <c r="BQ256" s="216">
        <f t="shared" si="199"/>
        <v>0</v>
      </c>
      <c r="BR256" s="216">
        <f t="shared" si="200"/>
        <v>0</v>
      </c>
    </row>
    <row r="257" spans="1:70" ht="12.75">
      <c r="B257" s="1238"/>
      <c r="C257" s="113"/>
      <c r="D257" s="104"/>
      <c r="E257" s="113"/>
      <c r="F257" s="104">
        <f t="shared" si="218"/>
        <v>0</v>
      </c>
      <c r="G257" s="113"/>
      <c r="H257" s="113"/>
      <c r="I257" s="113"/>
      <c r="J257" s="104">
        <f t="shared" si="219"/>
        <v>0</v>
      </c>
      <c r="K257" s="113"/>
      <c r="L257" s="113"/>
      <c r="M257" s="113"/>
      <c r="N257" s="104">
        <f t="shared" si="220"/>
        <v>0</v>
      </c>
      <c r="O257" s="113">
        <f t="shared" si="181"/>
        <v>0</v>
      </c>
      <c r="P257" s="113">
        <f t="shared" si="182"/>
        <v>0</v>
      </c>
      <c r="Q257" s="113">
        <f t="shared" si="183"/>
        <v>0</v>
      </c>
      <c r="R257" s="104">
        <f t="shared" si="184"/>
        <v>0</v>
      </c>
      <c r="S257" s="113">
        <f t="shared" si="185"/>
        <v>0</v>
      </c>
      <c r="T257" s="113">
        <f t="shared" si="186"/>
        <v>0</v>
      </c>
      <c r="U257" s="113">
        <f t="shared" si="187"/>
        <v>0</v>
      </c>
      <c r="V257" s="104">
        <f t="shared" si="188"/>
        <v>0</v>
      </c>
      <c r="W257" s="113"/>
      <c r="X257" s="113"/>
      <c r="Y257" s="113"/>
      <c r="Z257" s="104">
        <f t="shared" si="178"/>
        <v>0</v>
      </c>
      <c r="AA257" s="113"/>
      <c r="AB257" s="113"/>
      <c r="AC257" s="113"/>
      <c r="AD257" s="104">
        <f t="shared" si="179"/>
        <v>0</v>
      </c>
      <c r="AE257" s="117">
        <f t="shared" si="189"/>
        <v>0</v>
      </c>
      <c r="AF257" s="117">
        <f t="shared" si="190"/>
        <v>0</v>
      </c>
      <c r="AG257" s="117">
        <f t="shared" si="191"/>
        <v>0</v>
      </c>
      <c r="AH257" s="104">
        <f t="shared" si="180"/>
        <v>0</v>
      </c>
      <c r="AI257" s="117">
        <f t="shared" si="224"/>
        <v>0</v>
      </c>
      <c r="AJ257" s="117">
        <f t="shared" si="225"/>
        <v>0</v>
      </c>
      <c r="AK257" s="117">
        <f t="shared" si="226"/>
        <v>0</v>
      </c>
      <c r="AL257" s="104">
        <f t="shared" si="227"/>
        <v>0</v>
      </c>
      <c r="AM257" s="1221" t="str">
        <f t="shared" si="194"/>
        <v xml:space="preserve"> </v>
      </c>
      <c r="AN257" s="1221" t="str">
        <f t="shared" si="195"/>
        <v xml:space="preserve"> </v>
      </c>
      <c r="AO257" s="1221" t="str">
        <f t="shared" si="196"/>
        <v xml:space="preserve"> </v>
      </c>
      <c r="AP257" s="1221" t="str">
        <f t="shared" si="197"/>
        <v xml:space="preserve"> </v>
      </c>
      <c r="AQ257" s="1223" t="str">
        <f t="shared" si="222"/>
        <v xml:space="preserve"> </v>
      </c>
      <c r="AW257" s="107"/>
      <c r="BL257" s="149"/>
      <c r="BM257" s="149"/>
      <c r="BN257" s="149"/>
      <c r="BP257" s="216">
        <f t="shared" si="198"/>
        <v>0</v>
      </c>
      <c r="BQ257" s="216">
        <f t="shared" si="199"/>
        <v>0</v>
      </c>
      <c r="BR257" s="216">
        <f t="shared" si="200"/>
        <v>0</v>
      </c>
    </row>
    <row r="258" spans="1:70" ht="12.75">
      <c r="A258" s="105" t="s">
        <v>938</v>
      </c>
      <c r="B258" s="1235" t="s">
        <v>39</v>
      </c>
      <c r="C258" s="113">
        <f t="shared" ref="C258:N258" si="232">SUM(C259:C261)</f>
        <v>0</v>
      </c>
      <c r="D258" s="113">
        <f t="shared" si="232"/>
        <v>6648543.8699999992</v>
      </c>
      <c r="E258" s="113">
        <f t="shared" si="232"/>
        <v>0</v>
      </c>
      <c r="F258" s="113">
        <f t="shared" si="232"/>
        <v>6648543.8699999992</v>
      </c>
      <c r="G258" s="113">
        <f t="shared" si="232"/>
        <v>0</v>
      </c>
      <c r="H258" s="113">
        <f t="shared" si="232"/>
        <v>-4809202.29</v>
      </c>
      <c r="I258" s="113">
        <f t="shared" si="232"/>
        <v>0</v>
      </c>
      <c r="J258" s="113">
        <f t="shared" si="232"/>
        <v>-4809202.29</v>
      </c>
      <c r="K258" s="113">
        <f t="shared" si="232"/>
        <v>0</v>
      </c>
      <c r="L258" s="113">
        <f t="shared" si="232"/>
        <v>28420040.609999999</v>
      </c>
      <c r="M258" s="113">
        <f t="shared" si="232"/>
        <v>188462</v>
      </c>
      <c r="N258" s="113">
        <f t="shared" si="232"/>
        <v>28608502.609999999</v>
      </c>
      <c r="O258" s="113">
        <f t="shared" si="181"/>
        <v>0</v>
      </c>
      <c r="P258" s="113">
        <f t="shared" si="182"/>
        <v>23610838.32</v>
      </c>
      <c r="Q258" s="113">
        <f t="shared" si="183"/>
        <v>188462</v>
      </c>
      <c r="R258" s="104">
        <f t="shared" si="184"/>
        <v>23799300.32</v>
      </c>
      <c r="S258" s="113">
        <f t="shared" si="185"/>
        <v>0</v>
      </c>
      <c r="T258" s="113">
        <f t="shared" si="186"/>
        <v>30259382.189999998</v>
      </c>
      <c r="U258" s="113">
        <f t="shared" si="187"/>
        <v>188462</v>
      </c>
      <c r="V258" s="104">
        <f t="shared" si="188"/>
        <v>30447844.189999998</v>
      </c>
      <c r="W258" s="113">
        <f>SUM(W259:W261)</f>
        <v>0</v>
      </c>
      <c r="X258" s="113">
        <f>SUM(X259:X261)</f>
        <v>5860510.4199999999</v>
      </c>
      <c r="Y258" s="113">
        <f>SUM(Y259:Y261)</f>
        <v>0</v>
      </c>
      <c r="Z258" s="104">
        <f t="shared" ref="Z258:Z266" si="233">SUM(W258:Y258)</f>
        <v>5860510.4199999999</v>
      </c>
      <c r="AA258" s="113">
        <f>SUM(AA259:AA261)</f>
        <v>0</v>
      </c>
      <c r="AB258" s="113">
        <f>SUM(AB259:AB261)</f>
        <v>23002287.350000001</v>
      </c>
      <c r="AC258" s="113">
        <f>SUM(AC259:AC261)</f>
        <v>187980</v>
      </c>
      <c r="AD258" s="104">
        <f t="shared" ref="AD258:AD266" si="234">SUM(AA258:AC258)</f>
        <v>23190267.350000001</v>
      </c>
      <c r="AE258" s="117">
        <f t="shared" si="189"/>
        <v>0</v>
      </c>
      <c r="AF258" s="117">
        <f t="shared" si="190"/>
        <v>28862797.770000003</v>
      </c>
      <c r="AG258" s="117">
        <f t="shared" si="191"/>
        <v>187980</v>
      </c>
      <c r="AH258" s="104">
        <f t="shared" ref="AH258:AH266" si="235">SUM(AE258:AG258)</f>
        <v>29050777.770000003</v>
      </c>
      <c r="AI258" s="117">
        <f t="shared" si="224"/>
        <v>0</v>
      </c>
      <c r="AJ258" s="117">
        <f t="shared" si="225"/>
        <v>1396584.4199999943</v>
      </c>
      <c r="AK258" s="117">
        <f t="shared" si="226"/>
        <v>482</v>
      </c>
      <c r="AL258" s="104">
        <f t="shared" si="227"/>
        <v>1397066.4199999943</v>
      </c>
      <c r="AM258" s="1221" t="str">
        <f t="shared" si="194"/>
        <v xml:space="preserve"> </v>
      </c>
      <c r="AN258" s="1221">
        <f t="shared" si="195"/>
        <v>0.95384623482294584</v>
      </c>
      <c r="AO258" s="1221">
        <f t="shared" si="196"/>
        <v>0.99744245524296671</v>
      </c>
      <c r="AP258" s="1221">
        <f t="shared" si="197"/>
        <v>0.95411608088631661</v>
      </c>
      <c r="AQ258" s="1223"/>
      <c r="AT258" s="148"/>
      <c r="AW258" s="107"/>
      <c r="BH258" s="105">
        <f>+AL258-'CONAP (ALL FUNDS)'!Q975</f>
        <v>-4.1909515857696533E-9</v>
      </c>
      <c r="BL258" s="149">
        <f>SUM(BL259:BL261)</f>
        <v>0</v>
      </c>
      <c r="BM258" s="149">
        <f t="shared" ref="BM258:BN258" si="236">SUM(BM259:BM261)</f>
        <v>6648543.8699999992</v>
      </c>
      <c r="BN258" s="149">
        <f t="shared" si="236"/>
        <v>0</v>
      </c>
      <c r="BP258" s="216">
        <f t="shared" si="198"/>
        <v>0</v>
      </c>
      <c r="BQ258" s="216">
        <f t="shared" si="199"/>
        <v>0</v>
      </c>
      <c r="BR258" s="216">
        <f t="shared" si="200"/>
        <v>0</v>
      </c>
    </row>
    <row r="259" spans="1:70" ht="36">
      <c r="A259" s="105" t="s">
        <v>938</v>
      </c>
      <c r="B259" s="1241" t="s">
        <v>534</v>
      </c>
      <c r="C259" s="113">
        <v>0</v>
      </c>
      <c r="D259" s="113">
        <v>1080483.8</v>
      </c>
      <c r="E259" s="113">
        <v>0</v>
      </c>
      <c r="F259" s="104">
        <f t="shared" si="218"/>
        <v>1080483.8</v>
      </c>
      <c r="G259" s="113"/>
      <c r="H259" s="113"/>
      <c r="I259" s="113"/>
      <c r="J259" s="104">
        <f t="shared" si="219"/>
        <v>0</v>
      </c>
      <c r="K259" s="113"/>
      <c r="L259" s="113"/>
      <c r="M259" s="113"/>
      <c r="N259" s="104">
        <f t="shared" si="220"/>
        <v>0</v>
      </c>
      <c r="O259" s="113">
        <f t="shared" ref="O259:O266" si="237">+G259+K259</f>
        <v>0</v>
      </c>
      <c r="P259" s="113">
        <f t="shared" ref="P259:P266" si="238">+H259+L259</f>
        <v>0</v>
      </c>
      <c r="Q259" s="113">
        <f t="shared" ref="Q259:Q266" si="239">+I259+M259</f>
        <v>0</v>
      </c>
      <c r="R259" s="104">
        <f t="shared" ref="R259:R266" si="240">SUM(O259:Q259)</f>
        <v>0</v>
      </c>
      <c r="S259" s="113">
        <f t="shared" ref="S259:S266" si="241">+O259+C259</f>
        <v>0</v>
      </c>
      <c r="T259" s="113">
        <f t="shared" ref="T259:T266" si="242">+P259+D259</f>
        <v>1080483.8</v>
      </c>
      <c r="U259" s="113">
        <f t="shared" ref="U259:U266" si="243">+Q259+E259</f>
        <v>0</v>
      </c>
      <c r="V259" s="104">
        <f t="shared" ref="V259:V266" si="244">SUM(S259:U259)</f>
        <v>1080483.8</v>
      </c>
      <c r="W259" s="113">
        <f>+'CONAP (ALL FUNDS)'!J969</f>
        <v>0</v>
      </c>
      <c r="X259" s="113">
        <f>+'CONAP (ALL FUNDS)'!K969</f>
        <v>1076808.32</v>
      </c>
      <c r="Y259" s="113">
        <f>+'CONAP (ALL FUNDS)'!L969</f>
        <v>0</v>
      </c>
      <c r="Z259" s="104">
        <f t="shared" si="233"/>
        <v>1076808.32</v>
      </c>
      <c r="AA259" s="113"/>
      <c r="AB259" s="113"/>
      <c r="AC259" s="113"/>
      <c r="AD259" s="104">
        <f t="shared" si="234"/>
        <v>0</v>
      </c>
      <c r="AE259" s="117">
        <f t="shared" si="189"/>
        <v>0</v>
      </c>
      <c r="AF259" s="117">
        <f t="shared" si="190"/>
        <v>1076808.32</v>
      </c>
      <c r="AG259" s="117">
        <f t="shared" si="191"/>
        <v>0</v>
      </c>
      <c r="AH259" s="104">
        <f t="shared" si="235"/>
        <v>1076808.32</v>
      </c>
      <c r="AI259" s="117">
        <f t="shared" si="224"/>
        <v>0</v>
      </c>
      <c r="AJ259" s="117">
        <f t="shared" si="225"/>
        <v>3675.4799999999814</v>
      </c>
      <c r="AK259" s="117">
        <f t="shared" si="226"/>
        <v>0</v>
      </c>
      <c r="AL259" s="104">
        <f t="shared" si="227"/>
        <v>3675.4799999999814</v>
      </c>
      <c r="AM259" s="1221" t="str">
        <f t="shared" si="194"/>
        <v xml:space="preserve"> </v>
      </c>
      <c r="AN259" s="1221">
        <f t="shared" si="195"/>
        <v>0.99659830161266649</v>
      </c>
      <c r="AO259" s="1221" t="str">
        <f t="shared" si="196"/>
        <v xml:space="preserve"> </v>
      </c>
      <c r="AP259" s="1221">
        <f t="shared" si="197"/>
        <v>0.99659830161266649</v>
      </c>
      <c r="AQ259" s="1520" t="s">
        <v>686</v>
      </c>
      <c r="AW259" s="107"/>
      <c r="BL259" s="149">
        <f>+'CONAP (ALL FUNDS)'!F969</f>
        <v>0</v>
      </c>
      <c r="BM259" s="149">
        <f>+'CONAP (ALL FUNDS)'!G969</f>
        <v>1080483.8</v>
      </c>
      <c r="BN259" s="149">
        <f>+'CONAP (ALL FUNDS)'!H969</f>
        <v>0</v>
      </c>
      <c r="BP259" s="216">
        <f t="shared" si="198"/>
        <v>0</v>
      </c>
      <c r="BQ259" s="216">
        <f t="shared" si="199"/>
        <v>0</v>
      </c>
      <c r="BR259" s="216">
        <f t="shared" si="200"/>
        <v>0</v>
      </c>
    </row>
    <row r="260" spans="1:70" ht="12.75">
      <c r="A260" s="105" t="s">
        <v>938</v>
      </c>
      <c r="B260" s="1231" t="s">
        <v>535</v>
      </c>
      <c r="C260" s="113">
        <v>0</v>
      </c>
      <c r="D260" s="113">
        <v>747016.26</v>
      </c>
      <c r="E260" s="113">
        <v>0</v>
      </c>
      <c r="F260" s="104">
        <f t="shared" si="218"/>
        <v>747016.26</v>
      </c>
      <c r="G260" s="113"/>
      <c r="H260" s="113"/>
      <c r="I260" s="113"/>
      <c r="J260" s="104">
        <f t="shared" si="219"/>
        <v>0</v>
      </c>
      <c r="K260" s="113"/>
      <c r="L260" s="113"/>
      <c r="M260" s="113"/>
      <c r="N260" s="104">
        <f t="shared" si="220"/>
        <v>0</v>
      </c>
      <c r="O260" s="113">
        <f t="shared" si="237"/>
        <v>0</v>
      </c>
      <c r="P260" s="113">
        <f t="shared" si="238"/>
        <v>0</v>
      </c>
      <c r="Q260" s="113">
        <f t="shared" si="239"/>
        <v>0</v>
      </c>
      <c r="R260" s="104">
        <f t="shared" si="240"/>
        <v>0</v>
      </c>
      <c r="S260" s="113">
        <f t="shared" si="241"/>
        <v>0</v>
      </c>
      <c r="T260" s="113">
        <f t="shared" si="242"/>
        <v>747016.26</v>
      </c>
      <c r="U260" s="113">
        <f t="shared" si="243"/>
        <v>0</v>
      </c>
      <c r="V260" s="104">
        <f t="shared" si="244"/>
        <v>747016.26</v>
      </c>
      <c r="W260" s="113">
        <f>+'CONAP (ALL FUNDS)'!J970</f>
        <v>0</v>
      </c>
      <c r="X260" s="113">
        <f>+'CONAP (ALL FUNDS)'!K970</f>
        <v>747016.26</v>
      </c>
      <c r="Y260" s="113">
        <f>+'CONAP (ALL FUNDS)'!L970</f>
        <v>0</v>
      </c>
      <c r="Z260" s="104">
        <f t="shared" si="233"/>
        <v>747016.26</v>
      </c>
      <c r="AA260" s="113"/>
      <c r="AB260" s="113"/>
      <c r="AC260" s="113"/>
      <c r="AD260" s="104">
        <f t="shared" si="234"/>
        <v>0</v>
      </c>
      <c r="AE260" s="117">
        <f t="shared" si="189"/>
        <v>0</v>
      </c>
      <c r="AF260" s="117">
        <f t="shared" si="190"/>
        <v>747016.26</v>
      </c>
      <c r="AG260" s="117">
        <f t="shared" si="191"/>
        <v>0</v>
      </c>
      <c r="AH260" s="104">
        <f t="shared" si="235"/>
        <v>747016.26</v>
      </c>
      <c r="AI260" s="117">
        <f t="shared" si="224"/>
        <v>0</v>
      </c>
      <c r="AJ260" s="117">
        <f t="shared" si="225"/>
        <v>0</v>
      </c>
      <c r="AK260" s="117">
        <f t="shared" si="226"/>
        <v>0</v>
      </c>
      <c r="AL260" s="104">
        <f t="shared" si="227"/>
        <v>0</v>
      </c>
      <c r="AM260" s="1221" t="str">
        <f t="shared" si="194"/>
        <v xml:space="preserve"> </v>
      </c>
      <c r="AN260" s="1221">
        <f t="shared" si="195"/>
        <v>1</v>
      </c>
      <c r="AO260" s="1221" t="str">
        <f t="shared" si="196"/>
        <v xml:space="preserve"> </v>
      </c>
      <c r="AP260" s="1221">
        <f t="shared" si="197"/>
        <v>1</v>
      </c>
      <c r="AQ260" s="1522"/>
      <c r="AW260" s="107"/>
      <c r="BL260" s="149">
        <f>+'CONAP (ALL FUNDS)'!F970</f>
        <v>0</v>
      </c>
      <c r="BM260" s="149">
        <f>+'CONAP (ALL FUNDS)'!G970</f>
        <v>747016.26</v>
      </c>
      <c r="BN260" s="149">
        <f>+'CONAP (ALL FUNDS)'!H970</f>
        <v>0</v>
      </c>
      <c r="BP260" s="216">
        <f t="shared" si="198"/>
        <v>0</v>
      </c>
      <c r="BQ260" s="216">
        <f t="shared" si="199"/>
        <v>0</v>
      </c>
      <c r="BR260" s="216">
        <f t="shared" si="200"/>
        <v>0</v>
      </c>
    </row>
    <row r="261" spans="1:70" ht="36">
      <c r="A261" s="105" t="s">
        <v>938</v>
      </c>
      <c r="B261" s="1241" t="s">
        <v>536</v>
      </c>
      <c r="C261" s="113">
        <v>0</v>
      </c>
      <c r="D261" s="113">
        <v>4821043.8099999996</v>
      </c>
      <c r="E261" s="113">
        <v>0</v>
      </c>
      <c r="F261" s="104">
        <f t="shared" si="218"/>
        <v>4821043.8099999996</v>
      </c>
      <c r="G261" s="113">
        <f>+'CONAP (ALL FUNDS)'!F973</f>
        <v>0</v>
      </c>
      <c r="H261" s="104">
        <f>+'CONAP (ALL FUNDS)'!G973</f>
        <v>-4809202.29</v>
      </c>
      <c r="I261" s="113">
        <f>+'CONAP (ALL FUNDS)'!H973</f>
        <v>0</v>
      </c>
      <c r="J261" s="104">
        <f t="shared" si="219"/>
        <v>-4809202.29</v>
      </c>
      <c r="K261" s="113">
        <v>0</v>
      </c>
      <c r="L261" s="104">
        <v>28420040.609999999</v>
      </c>
      <c r="M261" s="113">
        <v>188462</v>
      </c>
      <c r="N261" s="104">
        <f t="shared" si="220"/>
        <v>28608502.609999999</v>
      </c>
      <c r="O261" s="113">
        <f t="shared" si="237"/>
        <v>0</v>
      </c>
      <c r="P261" s="113">
        <f t="shared" si="238"/>
        <v>23610838.32</v>
      </c>
      <c r="Q261" s="113">
        <f t="shared" si="239"/>
        <v>188462</v>
      </c>
      <c r="R261" s="104">
        <f t="shared" si="240"/>
        <v>23799300.32</v>
      </c>
      <c r="S261" s="113">
        <f t="shared" si="241"/>
        <v>0</v>
      </c>
      <c r="T261" s="113">
        <f t="shared" si="242"/>
        <v>28431882.129999999</v>
      </c>
      <c r="U261" s="113">
        <f t="shared" si="243"/>
        <v>188462</v>
      </c>
      <c r="V261" s="104">
        <f t="shared" si="244"/>
        <v>28620344.129999999</v>
      </c>
      <c r="W261" s="113">
        <f>+'CONAP (ALL FUNDS)'!J971</f>
        <v>0</v>
      </c>
      <c r="X261" s="113">
        <f>+'CONAP (ALL FUNDS)'!K971</f>
        <v>4036685.84</v>
      </c>
      <c r="Y261" s="113">
        <f>+'CONAP (ALL FUNDS)'!L971</f>
        <v>0</v>
      </c>
      <c r="Z261" s="104">
        <f t="shared" si="233"/>
        <v>4036685.84</v>
      </c>
      <c r="AA261" s="113">
        <f>+'CONAP (ALL FUNDS)'!J972</f>
        <v>0</v>
      </c>
      <c r="AB261" s="113">
        <f>+'CONAP (ALL FUNDS)'!K972</f>
        <v>23002287.350000001</v>
      </c>
      <c r="AC261" s="113">
        <f>+'CONAP (ALL FUNDS)'!L972</f>
        <v>187980</v>
      </c>
      <c r="AD261" s="104">
        <f t="shared" si="234"/>
        <v>23190267.350000001</v>
      </c>
      <c r="AE261" s="117">
        <f t="shared" ref="AE261:AE266" si="245">+AA261+W261</f>
        <v>0</v>
      </c>
      <c r="AF261" s="117">
        <f t="shared" ref="AF261:AF266" si="246">+AB261+X261</f>
        <v>27038973.190000001</v>
      </c>
      <c r="AG261" s="117">
        <f t="shared" ref="AG261:AG266" si="247">+AC261+Y261</f>
        <v>187980</v>
      </c>
      <c r="AH261" s="104">
        <f t="shared" si="235"/>
        <v>27226953.190000001</v>
      </c>
      <c r="AI261" s="117">
        <f t="shared" si="224"/>
        <v>0</v>
      </c>
      <c r="AJ261" s="117">
        <f t="shared" si="225"/>
        <v>1392908.9399999976</v>
      </c>
      <c r="AK261" s="117">
        <f t="shared" si="226"/>
        <v>482</v>
      </c>
      <c r="AL261" s="104">
        <f t="shared" si="227"/>
        <v>1393390.9399999976</v>
      </c>
      <c r="AM261" s="1221" t="str">
        <f t="shared" si="194"/>
        <v xml:space="preserve"> </v>
      </c>
      <c r="AN261" s="1221">
        <f t="shared" si="195"/>
        <v>0.9510089084630009</v>
      </c>
      <c r="AO261" s="1221">
        <f t="shared" si="196"/>
        <v>0.99744245524296671</v>
      </c>
      <c r="AP261" s="1221">
        <f t="shared" si="197"/>
        <v>0.95131466855636315</v>
      </c>
      <c r="AQ261" s="1521"/>
      <c r="AW261" s="107"/>
      <c r="BL261" s="149">
        <f>+'CONAP (ALL FUNDS)'!F971</f>
        <v>0</v>
      </c>
      <c r="BM261" s="149">
        <f>+'CONAP (ALL FUNDS)'!G971</f>
        <v>4821043.8099999996</v>
      </c>
      <c r="BN261" s="149">
        <f>+'CONAP (ALL FUNDS)'!H971</f>
        <v>0</v>
      </c>
      <c r="BP261" s="216">
        <f t="shared" si="198"/>
        <v>0</v>
      </c>
      <c r="BQ261" s="216">
        <f t="shared" si="199"/>
        <v>0</v>
      </c>
      <c r="BR261" s="216">
        <f t="shared" si="200"/>
        <v>0</v>
      </c>
    </row>
    <row r="262" spans="1:70" ht="12.75">
      <c r="B262" s="1238"/>
      <c r="C262" s="113"/>
      <c r="D262" s="113"/>
      <c r="E262" s="113"/>
      <c r="F262" s="104">
        <f t="shared" si="218"/>
        <v>0</v>
      </c>
      <c r="G262" s="113"/>
      <c r="H262" s="113"/>
      <c r="I262" s="113"/>
      <c r="J262" s="104">
        <f t="shared" si="219"/>
        <v>0</v>
      </c>
      <c r="K262" s="113"/>
      <c r="L262" s="113"/>
      <c r="M262" s="113"/>
      <c r="N262" s="104">
        <f t="shared" si="220"/>
        <v>0</v>
      </c>
      <c r="O262" s="113">
        <f t="shared" si="237"/>
        <v>0</v>
      </c>
      <c r="P262" s="113">
        <f t="shared" si="238"/>
        <v>0</v>
      </c>
      <c r="Q262" s="113">
        <f t="shared" si="239"/>
        <v>0</v>
      </c>
      <c r="R262" s="104">
        <f t="shared" si="240"/>
        <v>0</v>
      </c>
      <c r="S262" s="113">
        <f t="shared" si="241"/>
        <v>0</v>
      </c>
      <c r="T262" s="113">
        <f t="shared" si="242"/>
        <v>0</v>
      </c>
      <c r="U262" s="113">
        <f t="shared" si="243"/>
        <v>0</v>
      </c>
      <c r="V262" s="104">
        <f t="shared" si="244"/>
        <v>0</v>
      </c>
      <c r="W262" s="113"/>
      <c r="X262" s="113"/>
      <c r="Y262" s="113"/>
      <c r="Z262" s="104">
        <f t="shared" si="233"/>
        <v>0</v>
      </c>
      <c r="AA262" s="113"/>
      <c r="AB262" s="113"/>
      <c r="AC262" s="113"/>
      <c r="AD262" s="104">
        <f t="shared" si="234"/>
        <v>0</v>
      </c>
      <c r="AE262" s="117">
        <f t="shared" si="245"/>
        <v>0</v>
      </c>
      <c r="AF262" s="117">
        <f t="shared" si="246"/>
        <v>0</v>
      </c>
      <c r="AG262" s="117">
        <f t="shared" si="247"/>
        <v>0</v>
      </c>
      <c r="AH262" s="104">
        <f t="shared" si="235"/>
        <v>0</v>
      </c>
      <c r="AI262" s="117">
        <f t="shared" si="224"/>
        <v>0</v>
      </c>
      <c r="AJ262" s="117">
        <f t="shared" si="225"/>
        <v>0</v>
      </c>
      <c r="AK262" s="117">
        <f t="shared" si="226"/>
        <v>0</v>
      </c>
      <c r="AL262" s="104">
        <f t="shared" si="227"/>
        <v>0</v>
      </c>
      <c r="AM262" s="1221" t="str">
        <f t="shared" si="194"/>
        <v xml:space="preserve"> </v>
      </c>
      <c r="AN262" s="1221" t="str">
        <f t="shared" si="195"/>
        <v xml:space="preserve"> </v>
      </c>
      <c r="AO262" s="1221" t="str">
        <f t="shared" si="196"/>
        <v xml:space="preserve"> </v>
      </c>
      <c r="AP262" s="1221" t="str">
        <f t="shared" si="197"/>
        <v xml:space="preserve"> </v>
      </c>
      <c r="AQ262" s="1223" t="str">
        <f t="shared" si="222"/>
        <v xml:space="preserve"> </v>
      </c>
      <c r="AW262" s="107"/>
      <c r="BL262" s="149"/>
      <c r="BM262" s="149"/>
      <c r="BN262" s="149"/>
      <c r="BP262" s="216">
        <f t="shared" si="198"/>
        <v>0</v>
      </c>
      <c r="BQ262" s="216">
        <f t="shared" si="199"/>
        <v>0</v>
      </c>
      <c r="BR262" s="216">
        <f t="shared" si="200"/>
        <v>0</v>
      </c>
    </row>
    <row r="263" spans="1:70" ht="12.75">
      <c r="A263" s="105" t="s">
        <v>938</v>
      </c>
      <c r="B263" s="1235" t="s">
        <v>40</v>
      </c>
      <c r="C263" s="113">
        <f t="shared" ref="C263:N263" si="248">SUM(C264:C266)</f>
        <v>0</v>
      </c>
      <c r="D263" s="113">
        <f t="shared" si="248"/>
        <v>9904040.8400000054</v>
      </c>
      <c r="E263" s="113">
        <f t="shared" si="248"/>
        <v>0</v>
      </c>
      <c r="F263" s="113">
        <f t="shared" si="248"/>
        <v>9904040.8400000054</v>
      </c>
      <c r="G263" s="113">
        <f t="shared" si="248"/>
        <v>0</v>
      </c>
      <c r="H263" s="113">
        <f t="shared" si="248"/>
        <v>-6085707.5099999998</v>
      </c>
      <c r="I263" s="113">
        <f t="shared" si="248"/>
        <v>12600100</v>
      </c>
      <c r="J263" s="113">
        <f t="shared" si="248"/>
        <v>6514392.4900000002</v>
      </c>
      <c r="K263" s="113">
        <f t="shared" si="248"/>
        <v>0</v>
      </c>
      <c r="L263" s="113">
        <f t="shared" si="248"/>
        <v>39580503.469999999</v>
      </c>
      <c r="M263" s="113">
        <f t="shared" si="248"/>
        <v>63807114.149999999</v>
      </c>
      <c r="N263" s="113">
        <f t="shared" si="248"/>
        <v>103387617.62</v>
      </c>
      <c r="O263" s="113">
        <f t="shared" si="237"/>
        <v>0</v>
      </c>
      <c r="P263" s="113">
        <f t="shared" si="238"/>
        <v>33494795.960000001</v>
      </c>
      <c r="Q263" s="113">
        <f t="shared" si="239"/>
        <v>76407214.150000006</v>
      </c>
      <c r="R263" s="104">
        <f t="shared" si="240"/>
        <v>109902010.11000001</v>
      </c>
      <c r="S263" s="113">
        <f t="shared" si="241"/>
        <v>0</v>
      </c>
      <c r="T263" s="113">
        <f t="shared" si="242"/>
        <v>43398836.800000004</v>
      </c>
      <c r="U263" s="113">
        <f t="shared" si="243"/>
        <v>76407214.150000006</v>
      </c>
      <c r="V263" s="104">
        <f t="shared" si="244"/>
        <v>119806050.95000002</v>
      </c>
      <c r="W263" s="113">
        <f>SUM(W264:W266)</f>
        <v>0</v>
      </c>
      <c r="X263" s="113">
        <f>SUM(X264:X266)</f>
        <v>9904009.0399999991</v>
      </c>
      <c r="Y263" s="113">
        <f>SUM(Y264:Y266)</f>
        <v>0</v>
      </c>
      <c r="Z263" s="104">
        <f t="shared" si="233"/>
        <v>9904009.0399999991</v>
      </c>
      <c r="AA263" s="113">
        <f>SUM(AA264:AA266)</f>
        <v>0</v>
      </c>
      <c r="AB263" s="113">
        <f>SUM(AB264:AB266)</f>
        <v>32302925.059999999</v>
      </c>
      <c r="AC263" s="113">
        <f>SUM(AC264:AC266)</f>
        <v>37465258.5</v>
      </c>
      <c r="AD263" s="104">
        <f t="shared" si="234"/>
        <v>69768183.560000002</v>
      </c>
      <c r="AE263" s="117">
        <f t="shared" si="245"/>
        <v>0</v>
      </c>
      <c r="AF263" s="117">
        <f t="shared" si="246"/>
        <v>42206934.099999994</v>
      </c>
      <c r="AG263" s="117">
        <f t="shared" si="247"/>
        <v>37465258.5</v>
      </c>
      <c r="AH263" s="104">
        <f t="shared" si="235"/>
        <v>79672192.599999994</v>
      </c>
      <c r="AI263" s="117">
        <f t="shared" si="224"/>
        <v>0</v>
      </c>
      <c r="AJ263" s="117">
        <f t="shared" si="225"/>
        <v>1191902.7000000104</v>
      </c>
      <c r="AK263" s="117">
        <f t="shared" si="226"/>
        <v>38941955.650000006</v>
      </c>
      <c r="AL263" s="104">
        <f t="shared" si="227"/>
        <v>40133858.350000016</v>
      </c>
      <c r="AM263" s="1221" t="str">
        <f t="shared" si="194"/>
        <v xml:space="preserve"> </v>
      </c>
      <c r="AN263" s="1221">
        <f t="shared" si="195"/>
        <v>0.97253606806346449</v>
      </c>
      <c r="AO263" s="1221">
        <f t="shared" si="196"/>
        <v>0.49033666410673599</v>
      </c>
      <c r="AP263" s="1221">
        <f t="shared" si="197"/>
        <v>0.66500975508532933</v>
      </c>
      <c r="AQ263" s="1223"/>
      <c r="AW263" s="107"/>
      <c r="BH263" s="105">
        <f>+AL263-'CONAP (ALL FUNDS)'!Q1024</f>
        <v>0</v>
      </c>
      <c r="BL263" s="149">
        <f>SUM(BL264:BL266)</f>
        <v>0</v>
      </c>
      <c r="BM263" s="149">
        <f t="shared" ref="BM263:BN263" si="249">SUM(BM264:BM266)</f>
        <v>9904040.8400000054</v>
      </c>
      <c r="BN263" s="149">
        <f t="shared" si="249"/>
        <v>0</v>
      </c>
      <c r="BP263" s="216">
        <f t="shared" si="198"/>
        <v>0</v>
      </c>
      <c r="BQ263" s="216">
        <f t="shared" si="199"/>
        <v>0</v>
      </c>
      <c r="BR263" s="216">
        <f t="shared" si="200"/>
        <v>0</v>
      </c>
    </row>
    <row r="264" spans="1:70" ht="41.25" customHeight="1">
      <c r="A264" s="105" t="s">
        <v>938</v>
      </c>
      <c r="B264" s="1241" t="s">
        <v>534</v>
      </c>
      <c r="C264" s="113"/>
      <c r="D264" s="113">
        <v>729496.35000000056</v>
      </c>
      <c r="E264" s="113"/>
      <c r="F264" s="104">
        <f t="shared" si="218"/>
        <v>729496.35000000056</v>
      </c>
      <c r="G264" s="113"/>
      <c r="H264" s="113"/>
      <c r="I264" s="113"/>
      <c r="J264" s="104">
        <f t="shared" si="219"/>
        <v>0</v>
      </c>
      <c r="K264" s="113"/>
      <c r="L264" s="113"/>
      <c r="M264" s="113"/>
      <c r="N264" s="104">
        <f t="shared" si="220"/>
        <v>0</v>
      </c>
      <c r="O264" s="113">
        <f t="shared" si="237"/>
        <v>0</v>
      </c>
      <c r="P264" s="113">
        <f t="shared" si="238"/>
        <v>0</v>
      </c>
      <c r="Q264" s="113">
        <f t="shared" si="239"/>
        <v>0</v>
      </c>
      <c r="R264" s="104">
        <f t="shared" si="240"/>
        <v>0</v>
      </c>
      <c r="S264" s="113">
        <f t="shared" si="241"/>
        <v>0</v>
      </c>
      <c r="T264" s="113">
        <f t="shared" si="242"/>
        <v>729496.35000000056</v>
      </c>
      <c r="U264" s="113">
        <f t="shared" si="243"/>
        <v>0</v>
      </c>
      <c r="V264" s="104">
        <f t="shared" si="244"/>
        <v>729496.35000000056</v>
      </c>
      <c r="W264" s="113">
        <f>+'CONAP (ALL FUNDS)'!J1018</f>
        <v>0</v>
      </c>
      <c r="X264" s="113">
        <f>+'CONAP (ALL FUNDS)'!K1018</f>
        <v>729496.35</v>
      </c>
      <c r="Y264" s="113">
        <f>+'CONAP (ALL FUNDS)'!L1018</f>
        <v>0</v>
      </c>
      <c r="Z264" s="104">
        <f t="shared" si="233"/>
        <v>729496.35</v>
      </c>
      <c r="AA264" s="113"/>
      <c r="AB264" s="113"/>
      <c r="AC264" s="113"/>
      <c r="AD264" s="104">
        <f t="shared" si="234"/>
        <v>0</v>
      </c>
      <c r="AE264" s="117">
        <f t="shared" si="245"/>
        <v>0</v>
      </c>
      <c r="AF264" s="117">
        <f t="shared" si="246"/>
        <v>729496.35</v>
      </c>
      <c r="AG264" s="117">
        <f t="shared" si="247"/>
        <v>0</v>
      </c>
      <c r="AH264" s="104">
        <f t="shared" si="235"/>
        <v>729496.35</v>
      </c>
      <c r="AI264" s="117">
        <f t="shared" si="224"/>
        <v>0</v>
      </c>
      <c r="AJ264" s="117">
        <f t="shared" si="225"/>
        <v>0</v>
      </c>
      <c r="AK264" s="117">
        <f t="shared" si="226"/>
        <v>0</v>
      </c>
      <c r="AL264" s="104">
        <f t="shared" si="227"/>
        <v>0</v>
      </c>
      <c r="AM264" s="1221" t="str">
        <f t="shared" si="194"/>
        <v xml:space="preserve"> </v>
      </c>
      <c r="AN264" s="1221">
        <f t="shared" si="195"/>
        <v>0.99999999999999922</v>
      </c>
      <c r="AO264" s="1221" t="str">
        <f t="shared" si="196"/>
        <v xml:space="preserve"> </v>
      </c>
      <c r="AP264" s="1221">
        <f t="shared" si="197"/>
        <v>0.99999999999999922</v>
      </c>
      <c r="AQ264" s="1520" t="s">
        <v>686</v>
      </c>
      <c r="AW264" s="107"/>
      <c r="BL264" s="149">
        <f>+'CONAP (ALL FUNDS)'!F1018</f>
        <v>0</v>
      </c>
      <c r="BM264" s="149">
        <f>+'CONAP (ALL FUNDS)'!G1018</f>
        <v>729496.35000000056</v>
      </c>
      <c r="BN264" s="149">
        <f>+'CONAP (ALL FUNDS)'!H1018</f>
        <v>0</v>
      </c>
      <c r="BP264" s="216">
        <f t="shared" si="198"/>
        <v>0</v>
      </c>
      <c r="BQ264" s="216">
        <f t="shared" si="199"/>
        <v>0</v>
      </c>
      <c r="BR264" s="216">
        <f t="shared" si="200"/>
        <v>0</v>
      </c>
    </row>
    <row r="265" spans="1:70" ht="41.25" customHeight="1">
      <c r="A265" s="105" t="s">
        <v>938</v>
      </c>
      <c r="B265" s="1231" t="s">
        <v>535</v>
      </c>
      <c r="C265" s="113"/>
      <c r="D265" s="113">
        <v>671973.26000000071</v>
      </c>
      <c r="E265" s="113"/>
      <c r="F265" s="104">
        <f t="shared" si="218"/>
        <v>671973.26000000071</v>
      </c>
      <c r="G265" s="113"/>
      <c r="H265" s="113"/>
      <c r="I265" s="113"/>
      <c r="J265" s="104">
        <f t="shared" si="219"/>
        <v>0</v>
      </c>
      <c r="K265" s="113"/>
      <c r="L265" s="113"/>
      <c r="M265" s="113"/>
      <c r="N265" s="104">
        <f t="shared" si="220"/>
        <v>0</v>
      </c>
      <c r="O265" s="113">
        <f t="shared" si="237"/>
        <v>0</v>
      </c>
      <c r="P265" s="113">
        <f t="shared" si="238"/>
        <v>0</v>
      </c>
      <c r="Q265" s="113">
        <f t="shared" si="239"/>
        <v>0</v>
      </c>
      <c r="R265" s="104">
        <f t="shared" si="240"/>
        <v>0</v>
      </c>
      <c r="S265" s="113">
        <f t="shared" si="241"/>
        <v>0</v>
      </c>
      <c r="T265" s="113">
        <f t="shared" si="242"/>
        <v>671973.26000000071</v>
      </c>
      <c r="U265" s="113">
        <f t="shared" si="243"/>
        <v>0</v>
      </c>
      <c r="V265" s="104">
        <f t="shared" si="244"/>
        <v>671973.26000000071</v>
      </c>
      <c r="W265" s="113">
        <f>+'CONAP (ALL FUNDS)'!J1019</f>
        <v>0</v>
      </c>
      <c r="X265" s="113">
        <f>+'CONAP (ALL FUNDS)'!K1019</f>
        <v>671973.26</v>
      </c>
      <c r="Y265" s="113">
        <f>+'CONAP (ALL FUNDS)'!L1019</f>
        <v>0</v>
      </c>
      <c r="Z265" s="104">
        <f t="shared" si="233"/>
        <v>671973.26</v>
      </c>
      <c r="AA265" s="113"/>
      <c r="AB265" s="113"/>
      <c r="AC265" s="113"/>
      <c r="AD265" s="104">
        <f t="shared" si="234"/>
        <v>0</v>
      </c>
      <c r="AE265" s="117">
        <f t="shared" si="245"/>
        <v>0</v>
      </c>
      <c r="AF265" s="117">
        <f t="shared" si="246"/>
        <v>671973.26</v>
      </c>
      <c r="AG265" s="117">
        <f t="shared" si="247"/>
        <v>0</v>
      </c>
      <c r="AH265" s="104">
        <f t="shared" si="235"/>
        <v>671973.26</v>
      </c>
      <c r="AI265" s="117">
        <f t="shared" si="224"/>
        <v>0</v>
      </c>
      <c r="AJ265" s="117">
        <f t="shared" si="225"/>
        <v>0</v>
      </c>
      <c r="AK265" s="117">
        <f t="shared" si="226"/>
        <v>0</v>
      </c>
      <c r="AL265" s="104">
        <f t="shared" si="227"/>
        <v>0</v>
      </c>
      <c r="AM265" s="1221" t="str">
        <f t="shared" si="194"/>
        <v xml:space="preserve"> </v>
      </c>
      <c r="AN265" s="1221">
        <f t="shared" si="195"/>
        <v>0.999999999999999</v>
      </c>
      <c r="AO265" s="1221" t="str">
        <f t="shared" si="196"/>
        <v xml:space="preserve"> </v>
      </c>
      <c r="AP265" s="1221">
        <f t="shared" si="197"/>
        <v>0.999999999999999</v>
      </c>
      <c r="AQ265" s="1522"/>
      <c r="AW265" s="107"/>
      <c r="BL265" s="149">
        <f>+'CONAP (ALL FUNDS)'!F1019</f>
        <v>0</v>
      </c>
      <c r="BM265" s="149">
        <f>+'CONAP (ALL FUNDS)'!G1019</f>
        <v>671973.26000000071</v>
      </c>
      <c r="BN265" s="149">
        <f>+'CONAP (ALL FUNDS)'!H1019</f>
        <v>0</v>
      </c>
      <c r="BP265" s="216">
        <f t="shared" si="198"/>
        <v>0</v>
      </c>
      <c r="BQ265" s="216">
        <f t="shared" si="199"/>
        <v>0</v>
      </c>
      <c r="BR265" s="216">
        <f t="shared" si="200"/>
        <v>0</v>
      </c>
    </row>
    <row r="266" spans="1:70" ht="41.25" customHeight="1">
      <c r="A266" s="105" t="s">
        <v>938</v>
      </c>
      <c r="B266" s="1241" t="s">
        <v>536</v>
      </c>
      <c r="C266" s="113"/>
      <c r="D266" s="113">
        <v>8502571.2300000042</v>
      </c>
      <c r="E266" s="113"/>
      <c r="F266" s="104">
        <f t="shared" si="218"/>
        <v>8502571.2300000042</v>
      </c>
      <c r="G266" s="113">
        <f>+'CONAP (ALL FUNDS)'!F1022</f>
        <v>0</v>
      </c>
      <c r="H266" s="113">
        <f>+'CONAP (ALL FUNDS)'!G1022</f>
        <v>-6085707.5099999998</v>
      </c>
      <c r="I266" s="113">
        <f>+'CONAP (ALL FUNDS)'!H1022</f>
        <v>12600100</v>
      </c>
      <c r="J266" s="104">
        <f t="shared" si="219"/>
        <v>6514392.4900000002</v>
      </c>
      <c r="K266" s="113"/>
      <c r="L266" s="113">
        <v>39580503.469999999</v>
      </c>
      <c r="M266" s="113">
        <v>63807114.149999999</v>
      </c>
      <c r="N266" s="104">
        <f t="shared" si="220"/>
        <v>103387617.62</v>
      </c>
      <c r="O266" s="113">
        <f t="shared" si="237"/>
        <v>0</v>
      </c>
      <c r="P266" s="113">
        <f t="shared" si="238"/>
        <v>33494795.960000001</v>
      </c>
      <c r="Q266" s="113">
        <f t="shared" si="239"/>
        <v>76407214.150000006</v>
      </c>
      <c r="R266" s="104">
        <f t="shared" si="240"/>
        <v>109902010.11000001</v>
      </c>
      <c r="S266" s="113">
        <f t="shared" si="241"/>
        <v>0</v>
      </c>
      <c r="T266" s="113">
        <f t="shared" si="242"/>
        <v>41997367.190000005</v>
      </c>
      <c r="U266" s="113">
        <f t="shared" si="243"/>
        <v>76407214.150000006</v>
      </c>
      <c r="V266" s="104">
        <f t="shared" si="244"/>
        <v>118404581.34</v>
      </c>
      <c r="W266" s="113">
        <f>+'CONAP (ALL FUNDS)'!J1020</f>
        <v>0</v>
      </c>
      <c r="X266" s="113">
        <f>+'CONAP (ALL FUNDS)'!K1020</f>
        <v>8502539.4299999997</v>
      </c>
      <c r="Y266" s="113">
        <f>+'CONAP (ALL FUNDS)'!L1020</f>
        <v>0</v>
      </c>
      <c r="Z266" s="104">
        <f t="shared" si="233"/>
        <v>8502539.4299999997</v>
      </c>
      <c r="AA266" s="113">
        <f>+'CONAP (ALL FUNDS)'!J1021</f>
        <v>0</v>
      </c>
      <c r="AB266" s="113">
        <f>+'CONAP (ALL FUNDS)'!K1021</f>
        <v>32302925.059999999</v>
      </c>
      <c r="AC266" s="113">
        <f>+'CONAP (ALL FUNDS)'!L1021</f>
        <v>37465258.5</v>
      </c>
      <c r="AD266" s="104">
        <f t="shared" si="234"/>
        <v>69768183.560000002</v>
      </c>
      <c r="AE266" s="117">
        <f t="shared" si="245"/>
        <v>0</v>
      </c>
      <c r="AF266" s="117">
        <f t="shared" si="246"/>
        <v>40805464.489999995</v>
      </c>
      <c r="AG266" s="117">
        <f t="shared" si="247"/>
        <v>37465258.5</v>
      </c>
      <c r="AH266" s="104">
        <f t="shared" si="235"/>
        <v>78270722.989999995</v>
      </c>
      <c r="AI266" s="117">
        <f t="shared" si="224"/>
        <v>0</v>
      </c>
      <c r="AJ266" s="117">
        <f t="shared" si="225"/>
        <v>1191902.7000000104</v>
      </c>
      <c r="AK266" s="117">
        <f t="shared" si="226"/>
        <v>38941955.650000006</v>
      </c>
      <c r="AL266" s="104">
        <f t="shared" si="227"/>
        <v>40133858.350000016</v>
      </c>
      <c r="AM266" s="1221" t="str">
        <f t="shared" ref="AM266:AM267" si="250">IF(S266=0," ",AE266/S266)</f>
        <v xml:space="preserve"> </v>
      </c>
      <c r="AN266" s="1221">
        <f t="shared" ref="AN266:AN267" si="251">IF(T266=0," ",AF266/T266)</f>
        <v>0.97161958523238534</v>
      </c>
      <c r="AO266" s="1221">
        <f t="shared" ref="AO266:AO267" si="252">IF(U266=0," ",AG266/U266)</f>
        <v>0.49033666410673599</v>
      </c>
      <c r="AP266" s="1221">
        <f t="shared" ref="AP266:AP267" si="253">IF(V266=0," ",AH266/V266)</f>
        <v>0.66104471722462144</v>
      </c>
      <c r="AQ266" s="1521"/>
      <c r="AW266" s="107"/>
      <c r="BL266" s="149">
        <f>+'CONAP (ALL FUNDS)'!F1020</f>
        <v>0</v>
      </c>
      <c r="BM266" s="149">
        <f>+'CONAP (ALL FUNDS)'!G1020</f>
        <v>8502571.2300000042</v>
      </c>
      <c r="BN266" s="149">
        <f>+'CONAP (ALL FUNDS)'!H1020</f>
        <v>0</v>
      </c>
      <c r="BP266" s="216">
        <f t="shared" ref="BP266" si="254">+C266-BL266</f>
        <v>0</v>
      </c>
      <c r="BQ266" s="216">
        <f t="shared" ref="BQ266" si="255">+D266-BM266</f>
        <v>0</v>
      </c>
      <c r="BR266" s="216">
        <f t="shared" ref="BR266" si="256">+E266-BN266</f>
        <v>0</v>
      </c>
    </row>
    <row r="267" spans="1:70" s="116" customFormat="1" ht="30" customHeight="1">
      <c r="B267" s="119" t="s">
        <v>89</v>
      </c>
      <c r="C267" s="120">
        <f t="shared" ref="C267:AL267" si="257">+C187+C185+C76+C74</f>
        <v>0</v>
      </c>
      <c r="D267" s="120">
        <f t="shared" si="257"/>
        <v>496347625.53999972</v>
      </c>
      <c r="E267" s="120">
        <f t="shared" si="257"/>
        <v>3783389283.0500002</v>
      </c>
      <c r="F267" s="120">
        <f t="shared" si="257"/>
        <v>4279736908.5899997</v>
      </c>
      <c r="G267" s="120">
        <f t="shared" si="257"/>
        <v>0</v>
      </c>
      <c r="H267" s="120">
        <f t="shared" si="257"/>
        <v>0</v>
      </c>
      <c r="I267" s="120">
        <f t="shared" si="257"/>
        <v>0</v>
      </c>
      <c r="J267" s="120">
        <f t="shared" si="257"/>
        <v>0</v>
      </c>
      <c r="K267" s="120">
        <f t="shared" si="257"/>
        <v>0</v>
      </c>
      <c r="L267" s="120">
        <f t="shared" si="257"/>
        <v>761993242.71999991</v>
      </c>
      <c r="M267" s="120">
        <f t="shared" si="257"/>
        <v>686110486.57000005</v>
      </c>
      <c r="N267" s="120">
        <f t="shared" si="257"/>
        <v>1448103729.2899997</v>
      </c>
      <c r="O267" s="120">
        <f t="shared" si="257"/>
        <v>0</v>
      </c>
      <c r="P267" s="120">
        <f t="shared" si="257"/>
        <v>762561440.22000003</v>
      </c>
      <c r="Q267" s="120">
        <f t="shared" si="257"/>
        <v>687253050.57000005</v>
      </c>
      <c r="R267" s="120">
        <f t="shared" si="257"/>
        <v>1449814490.7899997</v>
      </c>
      <c r="S267" s="120">
        <f t="shared" si="257"/>
        <v>0</v>
      </c>
      <c r="T267" s="120">
        <f t="shared" si="257"/>
        <v>1258909065.7599998</v>
      </c>
      <c r="U267" s="120">
        <f t="shared" si="257"/>
        <v>4470642333.6199999</v>
      </c>
      <c r="V267" s="120">
        <f t="shared" si="257"/>
        <v>5729551399.3800001</v>
      </c>
      <c r="W267" s="120">
        <f t="shared" si="257"/>
        <v>0</v>
      </c>
      <c r="X267" s="120">
        <f t="shared" si="257"/>
        <v>359061914.24000001</v>
      </c>
      <c r="Y267" s="120">
        <f t="shared" si="257"/>
        <v>1700911076.27</v>
      </c>
      <c r="Z267" s="120">
        <f t="shared" si="257"/>
        <v>2059972990.5100002</v>
      </c>
      <c r="AA267" s="120">
        <f t="shared" si="257"/>
        <v>0</v>
      </c>
      <c r="AB267" s="120">
        <f t="shared" si="257"/>
        <v>567710969.99000001</v>
      </c>
      <c r="AC267" s="120">
        <f t="shared" si="257"/>
        <v>497649168.83999997</v>
      </c>
      <c r="AD267" s="120">
        <f t="shared" si="257"/>
        <v>1065360138.83</v>
      </c>
      <c r="AE267" s="120">
        <f t="shared" si="257"/>
        <v>0</v>
      </c>
      <c r="AF267" s="120">
        <f t="shared" si="257"/>
        <v>926772884.23000002</v>
      </c>
      <c r="AG267" s="120">
        <f t="shared" si="257"/>
        <v>2198560245.1100001</v>
      </c>
      <c r="AH267" s="120">
        <f t="shared" si="257"/>
        <v>3125333129.3400002</v>
      </c>
      <c r="AI267" s="120">
        <f t="shared" si="257"/>
        <v>0</v>
      </c>
      <c r="AJ267" s="120">
        <f t="shared" si="257"/>
        <v>332136181.52999973</v>
      </c>
      <c r="AK267" s="120">
        <f t="shared" si="257"/>
        <v>2272082088.5100002</v>
      </c>
      <c r="AL267" s="120">
        <f t="shared" si="257"/>
        <v>2604218270.04</v>
      </c>
      <c r="AM267" s="177" t="str">
        <f t="shared" si="250"/>
        <v xml:space="preserve"> </v>
      </c>
      <c r="AN267" s="177">
        <f t="shared" si="251"/>
        <v>0.73617142765630172</v>
      </c>
      <c r="AO267" s="177">
        <f t="shared" si="252"/>
        <v>0.49177726175418879</v>
      </c>
      <c r="AP267" s="177">
        <f t="shared" si="253"/>
        <v>0.54547606112377234</v>
      </c>
      <c r="AQ267" s="1227"/>
      <c r="AR267" s="151"/>
      <c r="AS267" s="151"/>
      <c r="AT267" s="151"/>
      <c r="AU267" s="146">
        <f>+AU74</f>
        <v>-3037614522.4110007</v>
      </c>
    </row>
    <row r="268" spans="1:70" s="110" customFormat="1" ht="21" hidden="1" customHeight="1">
      <c r="B268" s="231"/>
      <c r="C268" s="148"/>
      <c r="D268" s="148" t="s">
        <v>883</v>
      </c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54"/>
      <c r="AN268" s="154"/>
      <c r="AO268" s="154"/>
      <c r="AP268" s="154"/>
      <c r="AQ268" s="1242"/>
      <c r="AR268" s="148"/>
      <c r="AS268" s="148"/>
      <c r="AT268" s="356"/>
    </row>
    <row r="269" spans="1:70" s="1047" customFormat="1" ht="12" hidden="1" customHeight="1">
      <c r="B269" s="1047" t="s">
        <v>763</v>
      </c>
      <c r="C269" s="1243">
        <f>+C267-'[8]CONAP-FUR (REG)-Detail'!$C$267</f>
        <v>0</v>
      </c>
      <c r="D269" s="1243">
        <f>+D267-'[8]CONAP-FUR (REG)-Detail'!$D$267</f>
        <v>-215016493.23000014</v>
      </c>
      <c r="E269" s="1243">
        <f>+E267-'[8]CONAP-FUR (REG)-Detail'!$E$267</f>
        <v>888731370</v>
      </c>
      <c r="F269" s="1243"/>
      <c r="G269" s="1243">
        <f>+G267-'[8]CONAP-FUR (REG)-Detail'!$C$267</f>
        <v>0</v>
      </c>
      <c r="H269" s="1243">
        <f>+H267-'[8]CONAP-FUR (REG)-Detail'!$C$267</f>
        <v>0</v>
      </c>
      <c r="I269" s="1243">
        <f>+I267-'[8]CONAP-FUR (REG)-Detail'!$C$267</f>
        <v>0</v>
      </c>
      <c r="J269" s="1243">
        <f>+J267-'[8]CONAP-FUR (REG)-Detail'!$C$267</f>
        <v>0</v>
      </c>
      <c r="K269" s="1243">
        <f>+K267-'[8]CONAP-FUR (REG)-Detail'!$K$267</f>
        <v>0</v>
      </c>
      <c r="L269" s="1243">
        <f>+L267-'[8]CONAP-FUR (REG)-Detail'!$L$267</f>
        <v>-900000.40000009537</v>
      </c>
      <c r="M269" s="1243">
        <f>+M267-'[8]CONAP-FUR (REG)-Detail'!$M$267</f>
        <v>-426850</v>
      </c>
      <c r="N269" s="1243">
        <f>+N267-'[8]CONAP-FUR (REG)-Detail'!$N$267</f>
        <v>-1326850.4000000954</v>
      </c>
      <c r="O269" s="1243"/>
      <c r="P269" s="1243"/>
      <c r="Q269" s="1243"/>
      <c r="R269" s="1244"/>
      <c r="S269" s="1243"/>
      <c r="T269" s="1243"/>
      <c r="U269" s="1243"/>
      <c r="V269" s="1244"/>
      <c r="W269" s="1243"/>
      <c r="Y269" s="1243"/>
      <c r="Z269" s="1244"/>
      <c r="AA269" s="1243"/>
      <c r="AB269" s="1243"/>
      <c r="AC269" s="1243"/>
      <c r="AD269" s="1244"/>
      <c r="AE269" s="1243"/>
      <c r="AF269" s="1243"/>
      <c r="AG269" s="1243"/>
      <c r="AH269" s="1244"/>
      <c r="AI269" s="1243"/>
      <c r="AJ269" s="1243"/>
      <c r="AK269" s="1243"/>
      <c r="AL269" s="1244"/>
      <c r="AM269" s="1245"/>
      <c r="AN269" s="1245"/>
      <c r="AO269" s="1245"/>
      <c r="AP269" s="1245"/>
      <c r="AQ269" s="1246"/>
      <c r="AT269" s="143"/>
    </row>
    <row r="270" spans="1:70" s="1047" customFormat="1" ht="12" hidden="1" customHeight="1">
      <c r="C270" s="1243" t="s">
        <v>957</v>
      </c>
      <c r="D270" s="1243">
        <f>238602000-80000000</f>
        <v>158602000</v>
      </c>
      <c r="E270" s="1243">
        <v>17661242</v>
      </c>
      <c r="F270" s="1243"/>
      <c r="G270" s="1243"/>
      <c r="H270" s="1243"/>
      <c r="I270" s="1243"/>
      <c r="J270" s="1243"/>
      <c r="K270" s="1243"/>
      <c r="L270" s="1243"/>
      <c r="M270" s="1243"/>
      <c r="N270" s="1243"/>
      <c r="O270" s="1243"/>
      <c r="P270" s="1243"/>
      <c r="Q270" s="1243"/>
      <c r="R270" s="1244"/>
      <c r="S270" s="1243"/>
      <c r="T270" s="1243"/>
      <c r="U270" s="1243"/>
      <c r="V270" s="1244"/>
      <c r="W270" s="1243"/>
      <c r="Y270" s="1243"/>
      <c r="Z270" s="1244"/>
      <c r="AA270" s="1243"/>
      <c r="AB270" s="1243"/>
      <c r="AC270" s="1243"/>
      <c r="AD270" s="1244"/>
      <c r="AE270" s="1243"/>
      <c r="AF270" s="1243"/>
      <c r="AG270" s="1243"/>
      <c r="AH270" s="1244"/>
      <c r="AI270" s="1243"/>
      <c r="AJ270" s="1243"/>
      <c r="AK270" s="1243"/>
      <c r="AL270" s="1244"/>
      <c r="AM270" s="1245"/>
      <c r="AN270" s="1245"/>
      <c r="AO270" s="1245"/>
      <c r="AP270" s="1245"/>
      <c r="AQ270" s="1246"/>
      <c r="AT270" s="143"/>
    </row>
    <row r="271" spans="1:70" s="1047" customFormat="1" ht="12" hidden="1" customHeight="1">
      <c r="C271" s="1243" t="s">
        <v>958</v>
      </c>
      <c r="D271" s="1243">
        <v>1237960</v>
      </c>
      <c r="E271" s="1243">
        <v>-1237960</v>
      </c>
      <c r="F271" s="1243"/>
      <c r="G271" s="1243"/>
      <c r="H271" s="1243"/>
      <c r="I271" s="1243"/>
      <c r="J271" s="1243"/>
      <c r="K271" s="1243"/>
      <c r="L271" s="1243"/>
      <c r="M271" s="1243"/>
      <c r="N271" s="1243"/>
      <c r="O271" s="1243"/>
      <c r="P271" s="1243"/>
      <c r="Q271" s="1243"/>
      <c r="R271" s="1244"/>
      <c r="S271" s="1243"/>
      <c r="T271" s="1243"/>
      <c r="U271" s="1243"/>
      <c r="V271" s="1244"/>
      <c r="W271" s="1243"/>
      <c r="Y271" s="1243"/>
      <c r="Z271" s="1244"/>
      <c r="AA271" s="1243"/>
      <c r="AB271" s="1243"/>
      <c r="AC271" s="1243"/>
      <c r="AD271" s="1244"/>
      <c r="AE271" s="1243"/>
      <c r="AF271" s="1243"/>
      <c r="AG271" s="1243"/>
      <c r="AH271" s="1244"/>
      <c r="AI271" s="1243"/>
      <c r="AJ271" s="1243"/>
      <c r="AK271" s="1243"/>
      <c r="AL271" s="1244"/>
      <c r="AM271" s="1245"/>
      <c r="AN271" s="1245"/>
      <c r="AO271" s="1245"/>
      <c r="AP271" s="1245"/>
      <c r="AQ271" s="1246"/>
      <c r="AT271" s="143"/>
    </row>
    <row r="272" spans="1:70" s="1047" customFormat="1" ht="12" hidden="1" customHeight="1">
      <c r="C272" s="1243" t="s">
        <v>959</v>
      </c>
      <c r="D272" s="1243">
        <v>80000000</v>
      </c>
      <c r="E272" s="1243">
        <v>-80000000</v>
      </c>
      <c r="F272" s="1243"/>
      <c r="G272" s="1243"/>
      <c r="H272" s="1243"/>
      <c r="I272" s="1243"/>
      <c r="J272" s="1243"/>
      <c r="K272" s="1243"/>
      <c r="L272" s="1243"/>
      <c r="M272" s="1243"/>
      <c r="N272" s="1243"/>
      <c r="O272" s="1243"/>
      <c r="P272" s="1243"/>
      <c r="Q272" s="1243"/>
      <c r="R272" s="1244"/>
      <c r="S272" s="1243"/>
      <c r="T272" s="1243"/>
      <c r="U272" s="1243"/>
      <c r="V272" s="1244"/>
      <c r="W272" s="1243"/>
      <c r="Y272" s="1243"/>
      <c r="Z272" s="1244"/>
      <c r="AA272" s="1243"/>
      <c r="AB272" s="1243"/>
      <c r="AC272" s="1243"/>
      <c r="AD272" s="1244"/>
      <c r="AE272" s="1243"/>
      <c r="AF272" s="1243"/>
      <c r="AG272" s="1243"/>
      <c r="AH272" s="1244"/>
      <c r="AI272" s="1243"/>
      <c r="AJ272" s="1243"/>
      <c r="AK272" s="1243"/>
      <c r="AL272" s="1244"/>
      <c r="AM272" s="1245"/>
      <c r="AN272" s="1245"/>
      <c r="AO272" s="1245"/>
      <c r="AP272" s="1245"/>
      <c r="AQ272" s="1246"/>
      <c r="AT272" s="143"/>
    </row>
    <row r="273" spans="2:52" s="1047" customFormat="1" ht="12" hidden="1" customHeight="1">
      <c r="C273" s="1243"/>
      <c r="D273" s="1243">
        <f>SUM(D269:D272)</f>
        <v>24823466.769999862</v>
      </c>
      <c r="E273" s="1243">
        <f t="shared" ref="E273" si="258">SUM(E269:E272)</f>
        <v>825154652</v>
      </c>
      <c r="F273" s="1243"/>
      <c r="G273" s="1243"/>
      <c r="H273" s="1243"/>
      <c r="I273" s="1243"/>
      <c r="J273" s="1243"/>
      <c r="K273" s="1243"/>
      <c r="L273" s="1243"/>
      <c r="M273" s="1243"/>
      <c r="N273" s="1243"/>
      <c r="O273" s="1243"/>
      <c r="P273" s="1243"/>
      <c r="Q273" s="1243"/>
      <c r="R273" s="1244"/>
      <c r="S273" s="1243"/>
      <c r="T273" s="1243"/>
      <c r="U273" s="1243"/>
      <c r="V273" s="1244"/>
      <c r="W273" s="1243"/>
      <c r="Y273" s="1243"/>
      <c r="Z273" s="1244"/>
      <c r="AA273" s="1243"/>
      <c r="AB273" s="1243"/>
      <c r="AC273" s="1243"/>
      <c r="AD273" s="1244"/>
      <c r="AE273" s="1243"/>
      <c r="AF273" s="1243"/>
      <c r="AG273" s="1243"/>
      <c r="AH273" s="1244"/>
      <c r="AI273" s="1243"/>
      <c r="AJ273" s="1243"/>
      <c r="AK273" s="1243"/>
      <c r="AL273" s="1244"/>
      <c r="AM273" s="1245"/>
      <c r="AN273" s="1245"/>
      <c r="AO273" s="1245"/>
      <c r="AP273" s="1245"/>
      <c r="AQ273" s="1246"/>
      <c r="AT273" s="143"/>
    </row>
    <row r="274" spans="2:52" ht="12" hidden="1" customHeight="1">
      <c r="AM274" s="105"/>
      <c r="AN274" s="105"/>
      <c r="AO274" s="105"/>
      <c r="AP274" s="105"/>
      <c r="AT274" s="356"/>
    </row>
    <row r="275" spans="2:52" s="376" customFormat="1" ht="12" hidden="1" customHeight="1">
      <c r="C275" s="376">
        <f>+C267-'CONAP (ALL FUNDS)'!F1273-'CONAP (ALL FUNDS)'!F1276-'CONAP (ALL FUNDS)'!F1281-'CONAP (ALL FUNDS)'!F1287-'CONAP (ALL FUNDS)'!F1291-'CONAP (ALL FUNDS)'!F1294-'CONAP (ALL FUNDS)'!F1300-'CONAP (ALL FUNDS)'!F1309</f>
        <v>0</v>
      </c>
      <c r="D275" s="376">
        <f>+D267-'CONAP (ALL FUNDS)'!G1273-'CONAP (ALL FUNDS)'!G1276-'CONAP (ALL FUNDS)'!G1281-'CONAP (ALL FUNDS)'!G1287-'CONAP (ALL FUNDS)'!G1291-'CONAP (ALL FUNDS)'!G1294-'CONAP (ALL FUNDS)'!G1300-'CONAP (ALL FUNDS)'!G1309</f>
        <v>2.9802322387695313E-7</v>
      </c>
      <c r="E275" s="376">
        <f>+E267-'CONAP (ALL FUNDS)'!H1273-'CONAP (ALL FUNDS)'!H1276-'CONAP (ALL FUNDS)'!H1281-'CONAP (ALL FUNDS)'!H1287-'CONAP (ALL FUNDS)'!H1291-'CONAP (ALL FUNDS)'!H1294-'CONAP (ALL FUNDS)'!H1300-'CONAP (ALL FUNDS)'!H1309</f>
        <v>0</v>
      </c>
      <c r="F275" s="376">
        <f>+F267-'CONAP (ALL FUNDS)'!I1273-'CONAP (ALL FUNDS)'!I1276-'CONAP (ALL FUNDS)'!I1281-'CONAP (ALL FUNDS)'!I1287-'CONAP (ALL FUNDS)'!I1291-'CONAP (ALL FUNDS)'!I1294-'CONAP (ALL FUNDS)'!I1300-'CONAP (ALL FUNDS)'!I1309</f>
        <v>-1.1920928955078125E-7</v>
      </c>
      <c r="G275" s="376">
        <f>+G267-'CONAP (ALL FUNDS)'!F1274-'CONAP (ALL FUNDS)'!F1283-'CONAP (ALL FUNDS)'!F1289-'CONAP (ALL FUNDS)'!F1296-'CONAP (ALL FUNDS)'!F1305-'CONAP (ALL FUNDS)'!F1311</f>
        <v>0</v>
      </c>
      <c r="H275" s="376">
        <f>+H267-'CONAP (ALL FUNDS)'!G1274-'CONAP (ALL FUNDS)'!G1283-'CONAP (ALL FUNDS)'!G1289-'CONAP (ALL FUNDS)'!G1296-'CONAP (ALL FUNDS)'!G1305-'CONAP (ALL FUNDS)'!G1311</f>
        <v>0</v>
      </c>
      <c r="I275" s="376">
        <f>+I267-'CONAP (ALL FUNDS)'!H1274-'CONAP (ALL FUNDS)'!H1283-'CONAP (ALL FUNDS)'!H1289-'CONAP (ALL FUNDS)'!H1296-'CONAP (ALL FUNDS)'!H1305-'CONAP (ALL FUNDS)'!H1311</f>
        <v>0</v>
      </c>
      <c r="J275" s="376">
        <f>+J267-'CONAP (ALL FUNDS)'!I1274-'CONAP (ALL FUNDS)'!I1283-'CONAP (ALL FUNDS)'!I1289-'CONAP (ALL FUNDS)'!I1296-'CONAP (ALL FUNDS)'!I1305-'CONAP (ALL FUNDS)'!I1311</f>
        <v>0</v>
      </c>
      <c r="K275" s="376">
        <f>+K267-'CONAP (ALL FUNDS)'!F1312-'CONAP (ALL FUNDS)'!F1306-'CONAP (ALL FUNDS)'!F1297-'CONAP (ALL FUNDS)'!F1290-'CONAP (ALL FUNDS)'!F1284</f>
        <v>0</v>
      </c>
      <c r="L275" s="376">
        <f>+L267-'CONAP (ALL FUNDS)'!G1312-'CONAP (ALL FUNDS)'!G1306-'CONAP (ALL FUNDS)'!G1297-'CONAP (ALL FUNDS)'!G1290-'CONAP (ALL FUNDS)'!G1284</f>
        <v>-568197.50000007078</v>
      </c>
      <c r="M275" s="376">
        <f>+M267-'CONAP (ALL FUNDS)'!H1312-'CONAP (ALL FUNDS)'!H1306-'CONAP (ALL FUNDS)'!H1297-'CONAP (ALL FUNDS)'!H1290-'CONAP (ALL FUNDS)'!H1284</f>
        <v>-1142564</v>
      </c>
      <c r="N275" s="376">
        <f>+N267-'CONAP (ALL FUNDS)'!I1312-'CONAP (ALL FUNDS)'!I1306-'CONAP (ALL FUNDS)'!I1297-'CONAP (ALL FUNDS)'!I1290-'CONAP (ALL FUNDS)'!I1284</f>
        <v>-1710761.5000000708</v>
      </c>
      <c r="O275" s="376">
        <f>+O267-'CONAP (ALL FUNDS)'!F1310-'CONAP (ALL FUNDS)'!F1304-'CONAP (ALL FUNDS)'!F1295-'CONAP (ALL FUNDS)'!F1288-'CONAP (ALL FUNDS)'!F1282-'CONAP (ALL FUNDS)'!F1274</f>
        <v>0</v>
      </c>
      <c r="P275" s="376">
        <f>+P267-'CONAP (ALL FUNDS)'!G1310-'CONAP (ALL FUNDS)'!G1304-'CONAP (ALL FUNDS)'!G1295-'CONAP (ALL FUNDS)'!G1288-'CONAP (ALL FUNDS)'!G1282-'CONAP (ALL FUNDS)'!G1274</f>
        <v>0</v>
      </c>
      <c r="Q275" s="376">
        <f>+Q267-'CONAP (ALL FUNDS)'!H1310-'CONAP (ALL FUNDS)'!H1304-'CONAP (ALL FUNDS)'!H1295-'CONAP (ALL FUNDS)'!H1288-'CONAP (ALL FUNDS)'!H1282-'CONAP (ALL FUNDS)'!H1274</f>
        <v>0</v>
      </c>
      <c r="R275" s="376">
        <f>+R267-'CONAP (ALL FUNDS)'!I1310-'CONAP (ALL FUNDS)'!I1304-'CONAP (ALL FUNDS)'!I1295-'CONAP (ALL FUNDS)'!I1288-'CONAP (ALL FUNDS)'!I1282-'CONAP (ALL FUNDS)'!I1274</f>
        <v>-4.9918889999389648E-7</v>
      </c>
      <c r="S275" s="376">
        <f>+S267-'CONAP (ALL FUNDS)'!F1272-'CONAP (ALL FUNDS)'!F1276-'CONAP (ALL FUNDS)'!F1280-'CONAP (ALL FUNDS)'!F1286-'CONAP (ALL FUNDS)'!F1293-'CONAP (ALL FUNDS)'!F1299-'CONAP (ALL FUNDS)'!F1308</f>
        <v>0</v>
      </c>
      <c r="T275" s="376">
        <f>+T267-'CONAP (ALL FUNDS)'!G1272-'CONAP (ALL FUNDS)'!G1276-'CONAP (ALL FUNDS)'!G1280-'CONAP (ALL FUNDS)'!G1286-'CONAP (ALL FUNDS)'!G1293-'CONAP (ALL FUNDS)'!G1299-'CONAP (ALL FUNDS)'!G1308</f>
        <v>2.0861625671386719E-7</v>
      </c>
      <c r="U275" s="376">
        <f>+U267-'CONAP (ALL FUNDS)'!H1272-'CONAP (ALL FUNDS)'!H1276-'CONAP (ALL FUNDS)'!H1280-'CONAP (ALL FUNDS)'!H1286-'CONAP (ALL FUNDS)'!H1293-'CONAP (ALL FUNDS)'!H1299-'CONAP (ALL FUNDS)'!H1308</f>
        <v>-3.5762786865234375E-7</v>
      </c>
      <c r="V275" s="376">
        <f>+V267-'CONAP (ALL FUNDS)'!I1272-'CONAP (ALL FUNDS)'!I1276-'CONAP (ALL FUNDS)'!I1280-'CONAP (ALL FUNDS)'!I1286-'CONAP (ALL FUNDS)'!I1293-'CONAP (ALL FUNDS)'!I1299-'CONAP (ALL FUNDS)'!I1308</f>
        <v>0</v>
      </c>
      <c r="W275" s="376">
        <f>+W267-'CONAP (ALL FUNDS)'!J1309-'CONAP (ALL FUNDS)'!J1300-'CONAP (ALL FUNDS)'!J1294-'CONAP (ALL FUNDS)'!J1291-'CONAP (ALL FUNDS)'!J1287-'CONAP (ALL FUNDS)'!J1281-'CONAP (ALL FUNDS)'!J1276-'CONAP (ALL FUNDS)'!J1273</f>
        <v>0</v>
      </c>
      <c r="X275" s="376">
        <f>+X267-'CONAP (ALL FUNDS)'!K1309-'CONAP (ALL FUNDS)'!K1300-'CONAP (ALL FUNDS)'!K1294-'CONAP (ALL FUNDS)'!K1291-'CONAP (ALL FUNDS)'!K1287-'CONAP (ALL FUNDS)'!K1281-'CONAP (ALL FUNDS)'!K1276-'CONAP (ALL FUNDS)'!K1273</f>
        <v>0</v>
      </c>
      <c r="Y275" s="376">
        <f>+Y267-'CONAP (ALL FUNDS)'!L1309-'CONAP (ALL FUNDS)'!L1300-'CONAP (ALL FUNDS)'!L1294-'CONAP (ALL FUNDS)'!L1291-'CONAP (ALL FUNDS)'!L1287-'CONAP (ALL FUNDS)'!L1281-'CONAP (ALL FUNDS)'!L1276-'CONAP (ALL FUNDS)'!L1273</f>
        <v>0</v>
      </c>
      <c r="Z275" s="376">
        <f>+Z267-'CONAP (ALL FUNDS)'!M1309-'CONAP (ALL FUNDS)'!M1300-'CONAP (ALL FUNDS)'!M1294-'CONAP (ALL FUNDS)'!M1291-'CONAP (ALL FUNDS)'!M1287-'CONAP (ALL FUNDS)'!M1281-'CONAP (ALL FUNDS)'!M1276-'CONAP (ALL FUNDS)'!M1273</f>
        <v>0</v>
      </c>
      <c r="AA275" s="376">
        <f>+AA267-'CONAP (ALL FUNDS)'!J1310-'CONAP (ALL FUNDS)'!J1304-'CONAP (ALL FUNDS)'!J1295-'CONAP (ALL FUNDS)'!J1288-'CONAP (ALL FUNDS)'!J1282-'CONAP (ALL FUNDS)'!J1274</f>
        <v>0</v>
      </c>
      <c r="AB275" s="376">
        <f>+AB267-'CONAP (ALL FUNDS)'!K1310-'CONAP (ALL FUNDS)'!K1304-'CONAP (ALL FUNDS)'!K1295-'CONAP (ALL FUNDS)'!K1288-'CONAP (ALL FUNDS)'!K1282-'CONAP (ALL FUNDS)'!K1274</f>
        <v>-5.6810677051544189E-8</v>
      </c>
      <c r="AC275" s="376">
        <f>+AC267-'CONAP (ALL FUNDS)'!L1310-'CONAP (ALL FUNDS)'!L1304-'CONAP (ALL FUNDS)'!L1295-'CONAP (ALL FUNDS)'!L1288-'CONAP (ALL FUNDS)'!L1282-'CONAP (ALL FUNDS)'!L1274</f>
        <v>0</v>
      </c>
      <c r="AD275" s="376">
        <f>+AD267-'CONAP (ALL FUNDS)'!M1310-'CONAP (ALL FUNDS)'!M1304-'CONAP (ALL FUNDS)'!M1295-'CONAP (ALL FUNDS)'!M1288-'CONAP (ALL FUNDS)'!M1282-'CONAP (ALL FUNDS)'!M1274</f>
        <v>2.7939677238464355E-9</v>
      </c>
      <c r="AE275" s="376">
        <f>+AE267-'CONAP (ALL FUNDS)'!J1313</f>
        <v>0</v>
      </c>
      <c r="AF275" s="376">
        <f>+AF267-'CONAP (ALL FUNDS)'!K1313</f>
        <v>0</v>
      </c>
      <c r="AG275" s="376">
        <f>+AG267-'CONAP (ALL FUNDS)'!L1313</f>
        <v>0</v>
      </c>
      <c r="AH275" s="376">
        <f>+AH267-'CONAP (ALL FUNDS)'!M1313</f>
        <v>0</v>
      </c>
      <c r="AI275" s="376">
        <f>+AI267-'CONAP (ALL FUNDS)'!N1313</f>
        <v>0</v>
      </c>
      <c r="AJ275" s="376">
        <f>+AJ267-'CONAP (ALL FUNDS)'!O1313</f>
        <v>0</v>
      </c>
      <c r="AK275" s="376">
        <f>+AK267-'CONAP (ALL FUNDS)'!P1313</f>
        <v>0</v>
      </c>
      <c r="AL275" s="376">
        <f>+AL267-'CONAP (ALL FUNDS)'!Q1313</f>
        <v>0</v>
      </c>
      <c r="AQ275" s="1247"/>
    </row>
    <row r="276" spans="2:52" s="356" customFormat="1" ht="12" customHeight="1">
      <c r="C276" s="1007"/>
      <c r="D276" s="1007"/>
      <c r="E276" s="1007"/>
      <c r="F276" s="1007"/>
      <c r="G276" s="1007"/>
      <c r="H276" s="1007"/>
      <c r="I276" s="1007"/>
      <c r="J276" s="1248"/>
      <c r="N276" s="1248"/>
      <c r="O276" s="1007"/>
      <c r="P276" s="1007"/>
      <c r="Q276" s="1007"/>
      <c r="R276" s="1248"/>
      <c r="S276" s="1007"/>
      <c r="T276" s="1007"/>
      <c r="U276" s="1007"/>
      <c r="V276" s="1248"/>
      <c r="W276" s="1007"/>
      <c r="Y276" s="1007"/>
      <c r="Z276" s="1248"/>
      <c r="AA276" s="1007"/>
      <c r="AB276" s="1007"/>
      <c r="AC276" s="1007"/>
      <c r="AD276" s="1248"/>
      <c r="AE276" s="1007"/>
      <c r="AF276" s="1007"/>
      <c r="AG276" s="1007"/>
      <c r="AH276" s="1248"/>
      <c r="AI276" s="1007"/>
      <c r="AJ276" s="1007"/>
      <c r="AK276" s="1007"/>
      <c r="AL276" s="1248"/>
      <c r="AM276" s="1249"/>
      <c r="AN276" s="1249"/>
      <c r="AO276" s="1249"/>
      <c r="AP276" s="1249"/>
      <c r="AQ276" s="1250"/>
      <c r="AT276" s="147"/>
      <c r="AU276" s="1047"/>
      <c r="AY276" s="1251"/>
      <c r="AZ276" s="1251"/>
    </row>
    <row r="277" spans="2:52" s="356" customFormat="1" ht="12" customHeight="1">
      <c r="B277" s="1252" t="s">
        <v>881</v>
      </c>
      <c r="C277" s="1007"/>
      <c r="D277" s="1007"/>
      <c r="E277" s="1007"/>
      <c r="F277" s="1007"/>
      <c r="G277" s="1007"/>
      <c r="H277" s="1007"/>
      <c r="I277" s="1007"/>
      <c r="J277" s="1248"/>
      <c r="N277" s="1248"/>
      <c r="O277" s="1007"/>
      <c r="P277" s="1007"/>
      <c r="Q277" s="1007"/>
      <c r="R277" s="1248"/>
      <c r="S277" s="1007"/>
      <c r="T277" s="1007"/>
      <c r="U277" s="1007"/>
      <c r="V277" s="1007"/>
      <c r="W277" s="1007"/>
      <c r="Y277" s="1007"/>
      <c r="Z277" s="1248"/>
      <c r="AA277" s="1007"/>
      <c r="AB277" s="1007"/>
      <c r="AC277" s="1007"/>
      <c r="AD277" s="1248"/>
      <c r="AE277" s="1007"/>
      <c r="AF277" s="1007"/>
      <c r="AG277" s="1007"/>
      <c r="AH277" s="1248"/>
      <c r="AI277" s="1007"/>
      <c r="AJ277" s="1007"/>
      <c r="AK277" s="1007"/>
      <c r="AL277" s="1248">
        <f>+AL267-'CONAP (ALL FUNDS)'!Q1349</f>
        <v>0</v>
      </c>
      <c r="AM277" s="1249"/>
      <c r="AN277" s="1249"/>
      <c r="AO277" s="1249"/>
      <c r="AP277" s="1249"/>
      <c r="AQ277" s="1250"/>
      <c r="AT277" s="147"/>
      <c r="AU277" s="1047"/>
      <c r="AY277" s="1251"/>
      <c r="AZ277" s="1251"/>
    </row>
    <row r="278" spans="2:52" s="356" customFormat="1" ht="12" customHeight="1">
      <c r="B278" s="1253" t="s">
        <v>1121</v>
      </c>
      <c r="C278" s="1007"/>
      <c r="D278" s="1007"/>
      <c r="E278" s="1007"/>
      <c r="F278" s="1007"/>
      <c r="G278" s="1007"/>
      <c r="H278" s="1007"/>
      <c r="I278" s="1007"/>
      <c r="J278" s="1248"/>
      <c r="N278" s="1248"/>
      <c r="O278" s="1007"/>
      <c r="P278" s="1007"/>
      <c r="Q278" s="1007"/>
      <c r="R278" s="1248"/>
      <c r="S278" s="1007"/>
      <c r="T278" s="1007"/>
      <c r="U278" s="1007"/>
      <c r="V278" s="1007"/>
      <c r="W278" s="1007"/>
      <c r="Y278" s="1007"/>
      <c r="Z278" s="1248"/>
      <c r="AA278" s="1007"/>
      <c r="AB278" s="1007"/>
      <c r="AC278" s="1007"/>
      <c r="AD278" s="1248"/>
      <c r="AE278" s="1007"/>
      <c r="AF278" s="1007"/>
      <c r="AG278" s="1007"/>
      <c r="AH278" s="1248"/>
      <c r="AI278" s="1007"/>
      <c r="AJ278" s="1007"/>
      <c r="AK278" s="1007"/>
      <c r="AL278" s="1248"/>
      <c r="AM278" s="1249"/>
      <c r="AN278" s="1249"/>
      <c r="AO278" s="1249"/>
      <c r="AP278" s="1249"/>
      <c r="AQ278" s="1250"/>
      <c r="AT278" s="147"/>
      <c r="AU278" s="1047"/>
      <c r="AY278" s="1251"/>
      <c r="AZ278" s="1251"/>
    </row>
    <row r="279" spans="2:52" s="356" customFormat="1" ht="12" customHeight="1">
      <c r="B279" s="1253"/>
      <c r="C279" s="1007"/>
      <c r="D279" s="1007"/>
      <c r="E279" s="1007"/>
      <c r="F279" s="1007"/>
      <c r="G279" s="1007"/>
      <c r="H279" s="1007"/>
      <c r="I279" s="1007"/>
      <c r="J279" s="1248"/>
      <c r="N279" s="1248"/>
      <c r="O279" s="1007"/>
      <c r="P279" s="1007"/>
      <c r="Q279" s="1007"/>
      <c r="R279" s="1248"/>
      <c r="S279" s="1007"/>
      <c r="T279" s="1007"/>
      <c r="U279" s="1007"/>
      <c r="V279" s="1248"/>
      <c r="W279" s="1007"/>
      <c r="Y279" s="1007"/>
      <c r="Z279" s="1248"/>
      <c r="AA279" s="1007"/>
      <c r="AB279" s="1007"/>
      <c r="AC279" s="1007"/>
      <c r="AD279" s="1248"/>
      <c r="AE279" s="1007"/>
      <c r="AF279" s="1007"/>
      <c r="AG279" s="1007"/>
      <c r="AH279" s="1248"/>
      <c r="AI279" s="1007"/>
      <c r="AJ279" s="1007"/>
      <c r="AK279" s="1007"/>
      <c r="AL279" s="1248"/>
      <c r="AM279" s="1249"/>
      <c r="AN279" s="1249"/>
      <c r="AO279" s="1249"/>
      <c r="AP279" s="1249"/>
      <c r="AQ279" s="1250"/>
      <c r="AT279" s="147"/>
      <c r="AU279" s="1047"/>
      <c r="AY279" s="1251"/>
      <c r="AZ279" s="1251"/>
    </row>
    <row r="280" spans="2:52" s="356" customFormat="1" ht="12" customHeight="1">
      <c r="C280" s="1007"/>
      <c r="D280" s="1007"/>
      <c r="E280" s="1007"/>
      <c r="F280" s="1007"/>
      <c r="G280" s="1007"/>
      <c r="H280" s="1007"/>
      <c r="I280" s="1007"/>
      <c r="J280" s="1007"/>
      <c r="K280" s="1007"/>
      <c r="L280" s="1007"/>
      <c r="M280" s="1007"/>
      <c r="N280" s="1007"/>
      <c r="O280" s="1007"/>
      <c r="P280" s="1007"/>
      <c r="Q280" s="1007"/>
      <c r="R280" s="1007"/>
      <c r="S280" s="1007"/>
      <c r="T280" s="1007"/>
      <c r="U280" s="1007"/>
      <c r="V280" s="1007"/>
      <c r="W280" s="1007"/>
      <c r="X280" s="1007"/>
      <c r="Y280" s="1007"/>
      <c r="Z280" s="1007"/>
      <c r="AA280" s="1007"/>
      <c r="AB280" s="1007"/>
      <c r="AC280" s="1007"/>
      <c r="AD280" s="1007"/>
      <c r="AE280" s="1007"/>
      <c r="AF280" s="1007"/>
      <c r="AG280" s="1007"/>
      <c r="AH280" s="1007"/>
      <c r="AI280" s="1007"/>
      <c r="AJ280" s="1007"/>
      <c r="AK280" s="1007"/>
      <c r="AL280" s="1007"/>
      <c r="AM280" s="1249"/>
      <c r="AN280" s="1249"/>
      <c r="AO280" s="1249"/>
      <c r="AP280" s="1249"/>
      <c r="AQ280" s="1250"/>
      <c r="AT280" s="147"/>
      <c r="AU280" s="1047"/>
      <c r="AY280" s="1251"/>
      <c r="AZ280" s="1251"/>
    </row>
    <row r="281" spans="2:52" s="356" customFormat="1" ht="12" customHeight="1">
      <c r="D281" s="1007"/>
      <c r="E281" s="1007"/>
      <c r="F281" s="1248"/>
      <c r="H281" s="1254"/>
      <c r="I281" s="1254"/>
      <c r="J281" s="1248"/>
      <c r="K281" s="1053"/>
      <c r="L281" s="1255"/>
      <c r="M281" s="1255"/>
      <c r="N281" s="1248"/>
      <c r="O281" s="1007"/>
      <c r="P281" s="1007"/>
      <c r="Q281" s="1007"/>
      <c r="R281" s="1248"/>
      <c r="S281" s="1007"/>
      <c r="T281" s="1007"/>
      <c r="U281" s="1007"/>
      <c r="V281" s="1248"/>
      <c r="W281" s="1007"/>
      <c r="Y281" s="1007"/>
      <c r="Z281" s="1248"/>
      <c r="AA281" s="1007"/>
      <c r="AB281" s="1007"/>
      <c r="AC281" s="1007"/>
      <c r="AD281" s="1248"/>
      <c r="AE281" s="1007"/>
      <c r="AF281" s="1007"/>
      <c r="AG281" s="1007"/>
      <c r="AH281" s="1248"/>
      <c r="AI281" s="1007"/>
      <c r="AJ281" s="1007"/>
      <c r="AK281" s="1007"/>
      <c r="AL281" s="1248"/>
      <c r="AM281" s="1249"/>
      <c r="AN281" s="1249"/>
      <c r="AO281" s="1249"/>
      <c r="AP281" s="1249"/>
      <c r="AQ281" s="1250"/>
      <c r="AT281" s="147"/>
      <c r="AU281" s="1047"/>
      <c r="AY281" s="1251"/>
      <c r="AZ281" s="1251"/>
    </row>
    <row r="282" spans="2:52" s="110" customFormat="1" ht="12" customHeight="1">
      <c r="B282" s="1253"/>
      <c r="C282" s="1253"/>
      <c r="D282" s="1253"/>
      <c r="E282" s="356"/>
      <c r="F282" s="1253"/>
      <c r="G282" s="1253"/>
      <c r="H282" s="1254"/>
      <c r="I282" s="1254"/>
      <c r="J282" s="1248"/>
      <c r="K282" s="1053"/>
      <c r="L282" s="1255"/>
      <c r="M282" s="1255"/>
      <c r="N282" s="1248"/>
      <c r="O282" s="1253"/>
      <c r="P282" s="1253"/>
      <c r="Q282" s="1253"/>
      <c r="R282" s="1253"/>
      <c r="S282" s="1253"/>
      <c r="T282" s="1253"/>
      <c r="U282" s="1253"/>
      <c r="V282" s="1253"/>
      <c r="W282" s="1253"/>
      <c r="X282" s="1253"/>
      <c r="Y282" s="1253"/>
      <c r="Z282" s="1253"/>
      <c r="AA282" s="1253"/>
      <c r="AB282" s="1253"/>
      <c r="AC282" s="1253"/>
      <c r="AD282" s="1253"/>
      <c r="AE282" s="147" t="s">
        <v>416</v>
      </c>
      <c r="AF282" s="147"/>
      <c r="AG282" s="147"/>
      <c r="AH282" s="1253"/>
      <c r="AI282" s="147"/>
      <c r="AJ282" s="147"/>
      <c r="AK282" s="147"/>
      <c r="AL282" s="1253"/>
      <c r="AM282" s="1256"/>
      <c r="AN282" s="1256" t="s">
        <v>292</v>
      </c>
      <c r="AO282" s="1257"/>
      <c r="AP282" s="1257"/>
      <c r="AQ282" s="1253"/>
      <c r="AR282" s="1253"/>
      <c r="AS282" s="1253"/>
      <c r="AT282" s="147"/>
      <c r="AU282" s="142"/>
      <c r="AY282" s="157"/>
      <c r="AZ282" s="157"/>
    </row>
    <row r="283" spans="2:52" s="110" customFormat="1">
      <c r="B283" s="1253"/>
      <c r="C283" s="1253"/>
      <c r="D283" s="1253"/>
      <c r="E283" s="1253"/>
      <c r="F283" s="1253"/>
      <c r="G283" s="1253"/>
      <c r="H283" s="1253"/>
      <c r="I283" s="1253"/>
      <c r="J283" s="1248"/>
      <c r="K283" s="1053"/>
      <c r="L283" s="1255"/>
      <c r="M283" s="1255"/>
      <c r="N283" s="1248"/>
      <c r="O283" s="1253"/>
      <c r="P283" s="1253"/>
      <c r="Q283" s="1253"/>
      <c r="R283" s="1253"/>
      <c r="S283" s="1253"/>
      <c r="T283" s="1253"/>
      <c r="U283" s="1253"/>
      <c r="V283" s="1253"/>
      <c r="W283" s="1253"/>
      <c r="X283" s="1253"/>
      <c r="Y283" s="1253"/>
      <c r="Z283" s="1253"/>
      <c r="AA283" s="1253"/>
      <c r="AB283" s="1253"/>
      <c r="AC283" s="1253"/>
      <c r="AD283" s="1253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253"/>
      <c r="AR283" s="1253"/>
      <c r="AS283" s="1253"/>
      <c r="AT283" s="147"/>
      <c r="AU283" s="142"/>
      <c r="AY283" s="157"/>
      <c r="AZ283" s="157"/>
    </row>
    <row r="284" spans="2:52" s="110" customFormat="1" ht="15.75" customHeight="1">
      <c r="B284" s="1253"/>
      <c r="C284" s="1253"/>
      <c r="D284" s="1253"/>
      <c r="E284" s="1253"/>
      <c r="F284" s="1253"/>
      <c r="G284" s="1253"/>
      <c r="H284" s="1253"/>
      <c r="I284" s="1253"/>
      <c r="J284" s="1248"/>
      <c r="K284" s="1053"/>
      <c r="L284" s="1255"/>
      <c r="M284" s="1255"/>
      <c r="N284" s="1248"/>
      <c r="O284" s="1253"/>
      <c r="P284" s="1253"/>
      <c r="Q284" s="1253"/>
      <c r="R284" s="1253"/>
      <c r="S284" s="1253"/>
      <c r="T284" s="1253"/>
      <c r="U284" s="1253"/>
      <c r="V284" s="1253"/>
      <c r="W284" s="1253"/>
      <c r="X284" s="1253"/>
      <c r="Y284" s="1253"/>
      <c r="Z284" s="1253"/>
      <c r="AA284" s="1253"/>
      <c r="AB284" s="1253"/>
      <c r="AC284" s="1253"/>
      <c r="AD284" s="1253"/>
      <c r="AE284" s="95"/>
      <c r="AF284" s="95"/>
      <c r="AG284" s="147"/>
      <c r="AH284" s="1253"/>
      <c r="AI284" s="95"/>
      <c r="AJ284" s="95"/>
      <c r="AK284" s="95"/>
      <c r="AL284" s="1253"/>
      <c r="AM284" s="1258"/>
      <c r="AN284" s="1258"/>
      <c r="AO284" s="1257"/>
      <c r="AP284" s="1257"/>
      <c r="AQ284" s="1253"/>
      <c r="AR284" s="1253"/>
      <c r="AS284" s="1253"/>
      <c r="AT284" s="147"/>
      <c r="AU284" s="142"/>
      <c r="AY284" s="157"/>
      <c r="AZ284" s="157"/>
    </row>
    <row r="285" spans="2:52" s="110" customFormat="1" ht="15.75" customHeight="1">
      <c r="B285" s="1253"/>
      <c r="C285" s="1253"/>
      <c r="D285" s="1253"/>
      <c r="E285" s="1253"/>
      <c r="F285" s="1253"/>
      <c r="G285" s="1253"/>
      <c r="H285" s="1253"/>
      <c r="I285" s="1253"/>
      <c r="J285" s="1248"/>
      <c r="K285" s="1053"/>
      <c r="L285" s="1255"/>
      <c r="M285" s="1255"/>
      <c r="N285" s="1248"/>
      <c r="O285" s="1253"/>
      <c r="P285" s="1253"/>
      <c r="Q285" s="1253"/>
      <c r="R285" s="1253"/>
      <c r="S285" s="1253"/>
      <c r="T285" s="1253"/>
      <c r="U285" s="1253"/>
      <c r="V285" s="1253"/>
      <c r="W285" s="1253"/>
      <c r="X285" s="1253"/>
      <c r="Y285" s="1253"/>
      <c r="Z285" s="1253"/>
      <c r="AA285" s="1253"/>
      <c r="AB285" s="1253"/>
      <c r="AC285" s="1253"/>
      <c r="AD285" s="1253"/>
      <c r="AE285" s="1259" t="s">
        <v>417</v>
      </c>
      <c r="AF285" s="95"/>
      <c r="AG285" s="95"/>
      <c r="AH285" s="1253"/>
      <c r="AI285" s="95"/>
      <c r="AJ285" s="95"/>
      <c r="AK285" s="95"/>
      <c r="AL285" s="1253"/>
      <c r="AM285" s="1258"/>
      <c r="AN285" s="1260" t="s">
        <v>293</v>
      </c>
      <c r="AO285" s="1257"/>
      <c r="AP285" s="1257"/>
      <c r="AQ285" s="1253"/>
      <c r="AR285" s="1253"/>
      <c r="AS285" s="1253"/>
      <c r="AT285" s="147"/>
      <c r="AU285" s="142"/>
      <c r="AY285" s="157"/>
      <c r="AZ285" s="157"/>
    </row>
    <row r="286" spans="2:52" s="110" customFormat="1" ht="15.75" customHeight="1">
      <c r="B286" s="1253"/>
      <c r="C286" s="1253"/>
      <c r="D286" s="1253"/>
      <c r="E286" s="1253"/>
      <c r="F286" s="1253"/>
      <c r="G286" s="1253"/>
      <c r="H286" s="1253"/>
      <c r="I286" s="1253"/>
      <c r="J286" s="1248"/>
      <c r="K286" s="1053"/>
      <c r="L286" s="1255"/>
      <c r="M286" s="1255"/>
      <c r="N286" s="1248"/>
      <c r="O286" s="1253"/>
      <c r="P286" s="1253"/>
      <c r="Q286" s="1253"/>
      <c r="R286" s="1253"/>
      <c r="S286" s="1253"/>
      <c r="T286" s="1253"/>
      <c r="U286" s="1253"/>
      <c r="V286" s="1253"/>
      <c r="W286" s="1253"/>
      <c r="X286" s="1253"/>
      <c r="Y286" s="1253"/>
      <c r="Z286" s="1253"/>
      <c r="AA286" s="1253"/>
      <c r="AB286" s="1253"/>
      <c r="AC286" s="1253"/>
      <c r="AD286" s="1253"/>
      <c r="AE286" s="149" t="s">
        <v>418</v>
      </c>
      <c r="AF286" s="95"/>
      <c r="AG286" s="95"/>
      <c r="AH286" s="1253"/>
      <c r="AI286" s="95"/>
      <c r="AJ286" s="95"/>
      <c r="AK286" s="95"/>
      <c r="AL286" s="1253"/>
      <c r="AM286" s="1258"/>
      <c r="AN286" s="1258" t="s">
        <v>294</v>
      </c>
      <c r="AO286" s="1257"/>
      <c r="AP286" s="1257"/>
      <c r="AQ286" s="1253"/>
      <c r="AR286" s="1253"/>
      <c r="AS286" s="1253"/>
      <c r="AT286" s="147"/>
      <c r="AU286" s="142"/>
      <c r="AY286" s="157"/>
      <c r="AZ286" s="157"/>
    </row>
    <row r="287" spans="2:52" s="356" customFormat="1">
      <c r="B287" s="1007"/>
      <c r="C287" s="1007"/>
      <c r="D287" s="1007"/>
      <c r="E287" s="1007"/>
      <c r="F287" s="1007"/>
      <c r="G287" s="1007"/>
      <c r="H287" s="1007"/>
      <c r="I287" s="1007"/>
      <c r="J287" s="1007"/>
      <c r="K287" s="1007"/>
      <c r="L287" s="1007"/>
      <c r="M287" s="1007"/>
      <c r="N287" s="1007"/>
      <c r="O287" s="1007"/>
      <c r="Q287" s="1007"/>
      <c r="R287" s="1007"/>
      <c r="S287" s="1007"/>
      <c r="U287" s="1007"/>
      <c r="V287" s="1007"/>
      <c r="W287" s="1007"/>
      <c r="Z287" s="1007"/>
      <c r="AA287" s="1250"/>
      <c r="AD287" s="1007"/>
      <c r="AH287" s="1007"/>
      <c r="AL287" s="1007"/>
      <c r="AM287" s="1249"/>
      <c r="AN287" s="1249"/>
      <c r="AO287" s="1249"/>
      <c r="AP287" s="1249"/>
      <c r="AT287" s="147"/>
      <c r="AU287" s="1047"/>
      <c r="AY287" s="1251"/>
      <c r="AZ287" s="1251"/>
    </row>
    <row r="288" spans="2:52" s="236" customFormat="1" ht="15.75" customHeight="1">
      <c r="F288" s="1261"/>
      <c r="J288" s="1261"/>
      <c r="M288" s="276"/>
      <c r="N288" s="1261"/>
      <c r="R288" s="1261"/>
      <c r="V288" s="1261"/>
      <c r="Z288" s="1261"/>
      <c r="AD288" s="1261"/>
      <c r="AG288" s="1007"/>
      <c r="AH288" s="1261"/>
      <c r="AK288" s="1007"/>
      <c r="AL288" s="1261"/>
      <c r="AM288" s="1262"/>
      <c r="AN288" s="1262"/>
      <c r="AO288" s="1262"/>
      <c r="AP288" s="1262"/>
      <c r="AQ288" s="1263"/>
      <c r="AR288" s="356"/>
      <c r="AS288" s="356"/>
      <c r="AT288" s="147"/>
      <c r="AU288" s="238"/>
      <c r="AY288" s="289"/>
      <c r="AZ288" s="289"/>
    </row>
    <row r="289" spans="2:60" s="95" customFormat="1" ht="15.75" hidden="1" customHeight="1">
      <c r="B289" s="121"/>
      <c r="AM289" s="153"/>
      <c r="AN289" s="154"/>
      <c r="AO289" s="154"/>
      <c r="AP289" s="154"/>
      <c r="AQ289" s="126"/>
      <c r="AR289" s="147"/>
      <c r="AS289" s="147"/>
      <c r="AT289" s="147"/>
      <c r="AU289" s="111"/>
      <c r="AY289" s="156"/>
      <c r="AZ289" s="156"/>
    </row>
    <row r="290" spans="2:60" ht="15.75" hidden="1" customHeight="1">
      <c r="AN290" s="154"/>
      <c r="AO290" s="154"/>
      <c r="AP290" s="154"/>
    </row>
    <row r="291" spans="2:60" ht="15.75" hidden="1" customHeight="1">
      <c r="B291" s="105" t="s">
        <v>51</v>
      </c>
      <c r="C291" s="105">
        <f>+C76</f>
        <v>0</v>
      </c>
      <c r="D291" s="105">
        <f>+D76</f>
        <v>17522033.82</v>
      </c>
      <c r="E291" s="105">
        <f t="shared" ref="E291:AK291" si="259">+E76</f>
        <v>1154652</v>
      </c>
      <c r="F291" s="105">
        <f t="shared" si="259"/>
        <v>18676685.82</v>
      </c>
      <c r="G291" s="105">
        <f t="shared" si="259"/>
        <v>0</v>
      </c>
      <c r="H291" s="105">
        <f t="shared" ref="H291:N291" si="260">+H76</f>
        <v>0</v>
      </c>
      <c r="I291" s="105">
        <f t="shared" si="260"/>
        <v>0</v>
      </c>
      <c r="J291" s="105">
        <f t="shared" si="260"/>
        <v>0</v>
      </c>
      <c r="K291" s="105">
        <f t="shared" si="260"/>
        <v>0</v>
      </c>
      <c r="L291" s="105">
        <f t="shared" si="260"/>
        <v>2621061.09</v>
      </c>
      <c r="M291" s="105">
        <f t="shared" si="260"/>
        <v>0</v>
      </c>
      <c r="N291" s="105">
        <f t="shared" si="260"/>
        <v>2621061.09</v>
      </c>
      <c r="O291" s="105">
        <f t="shared" si="259"/>
        <v>0</v>
      </c>
      <c r="P291" s="105">
        <f t="shared" si="259"/>
        <v>2621061.09</v>
      </c>
      <c r="Q291" s="105">
        <f t="shared" si="259"/>
        <v>0</v>
      </c>
      <c r="R291" s="105">
        <f t="shared" si="259"/>
        <v>2621061.09</v>
      </c>
      <c r="S291" s="105">
        <f>+S76</f>
        <v>0</v>
      </c>
      <c r="T291" s="105">
        <f>+T76</f>
        <v>20143094.91</v>
      </c>
      <c r="U291" s="105">
        <f>+U76</f>
        <v>1154652</v>
      </c>
      <c r="V291" s="105">
        <f>+V76</f>
        <v>21297746.91</v>
      </c>
      <c r="W291" s="105">
        <f t="shared" si="259"/>
        <v>0</v>
      </c>
      <c r="X291" s="105">
        <f>+X76</f>
        <v>6145719.0800000001</v>
      </c>
      <c r="Y291" s="105">
        <f t="shared" si="259"/>
        <v>0</v>
      </c>
      <c r="Z291" s="105">
        <f t="shared" si="259"/>
        <v>6145719.0800000001</v>
      </c>
      <c r="AA291" s="105">
        <f t="shared" si="259"/>
        <v>0</v>
      </c>
      <c r="AB291" s="105">
        <f t="shared" si="259"/>
        <v>2619570.0599999996</v>
      </c>
      <c r="AC291" s="105">
        <f t="shared" si="259"/>
        <v>0</v>
      </c>
      <c r="AD291" s="105">
        <f>+AD76</f>
        <v>2619570.0599999996</v>
      </c>
      <c r="AE291" s="105">
        <f t="shared" si="259"/>
        <v>0</v>
      </c>
      <c r="AF291" s="105">
        <f t="shared" si="259"/>
        <v>8765289.1400000006</v>
      </c>
      <c r="AG291" s="105">
        <f t="shared" si="259"/>
        <v>0</v>
      </c>
      <c r="AH291" s="105">
        <f t="shared" si="259"/>
        <v>8765289.1400000006</v>
      </c>
      <c r="AI291" s="105">
        <f t="shared" si="259"/>
        <v>0</v>
      </c>
      <c r="AJ291" s="105">
        <f t="shared" si="259"/>
        <v>11377805.77</v>
      </c>
      <c r="AK291" s="105">
        <f t="shared" si="259"/>
        <v>1154652</v>
      </c>
      <c r="AL291" s="105">
        <f>+AL76</f>
        <v>12532457.77</v>
      </c>
      <c r="AM291" s="1264" t="str">
        <f>IF(S291=0," ",AE291/S291)</f>
        <v xml:space="preserve"> </v>
      </c>
      <c r="AN291" s="1264">
        <f>IF(T291=0," ",AF291/T291)</f>
        <v>0.43515106189806463</v>
      </c>
      <c r="AO291" s="1264">
        <f>IF(U291=0," ",AG291/U291)</f>
        <v>0</v>
      </c>
      <c r="AP291" s="1264">
        <f>IF(V291=0," ",AH291/V291)</f>
        <v>0.41155945636129265</v>
      </c>
      <c r="AQ291" s="127" t="str">
        <f>+AQ76</f>
        <v xml:space="preserve"> </v>
      </c>
      <c r="BH291" s="105">
        <f>+AL291-'CONAP (ALL FUNDS)'!Q1280-'CONAP (ALL FUNDS)'!Q1286</f>
        <v>-2.2737367544323206E-9</v>
      </c>
    </row>
    <row r="292" spans="2:60" ht="15.75" hidden="1" customHeight="1">
      <c r="B292" s="105" t="s">
        <v>69</v>
      </c>
      <c r="C292" s="105">
        <f>+C83</f>
        <v>0</v>
      </c>
      <c r="D292" s="105">
        <f>+D83</f>
        <v>6123853.1400000006</v>
      </c>
      <c r="E292" s="105">
        <f t="shared" ref="E292:AK292" si="261">+E83</f>
        <v>95305000</v>
      </c>
      <c r="F292" s="105">
        <f t="shared" si="261"/>
        <v>101428853.14</v>
      </c>
      <c r="G292" s="105">
        <f t="shared" si="261"/>
        <v>0</v>
      </c>
      <c r="H292" s="105">
        <f t="shared" ref="H292:N292" si="262">+H83</f>
        <v>6749570.5700000003</v>
      </c>
      <c r="I292" s="105">
        <f t="shared" si="262"/>
        <v>12962675</v>
      </c>
      <c r="J292" s="105">
        <f t="shared" si="262"/>
        <v>19712245.57</v>
      </c>
      <c r="K292" s="105">
        <f t="shared" si="262"/>
        <v>0</v>
      </c>
      <c r="L292" s="105">
        <f t="shared" si="262"/>
        <v>105665710.47000001</v>
      </c>
      <c r="M292" s="105">
        <f t="shared" si="262"/>
        <v>0</v>
      </c>
      <c r="N292" s="105">
        <f t="shared" si="262"/>
        <v>105665710.47000001</v>
      </c>
      <c r="O292" s="105">
        <f t="shared" si="261"/>
        <v>0</v>
      </c>
      <c r="P292" s="105">
        <f t="shared" si="261"/>
        <v>112415281.04000002</v>
      </c>
      <c r="Q292" s="105">
        <f t="shared" si="261"/>
        <v>12962675</v>
      </c>
      <c r="R292" s="105">
        <f t="shared" si="261"/>
        <v>125377956.04000002</v>
      </c>
      <c r="S292" s="105">
        <f>+S83</f>
        <v>0</v>
      </c>
      <c r="T292" s="105">
        <f>+T83</f>
        <v>118539134.18000002</v>
      </c>
      <c r="U292" s="105">
        <f>+U83</f>
        <v>108267675</v>
      </c>
      <c r="V292" s="105">
        <f>+V83</f>
        <v>226806809.18000001</v>
      </c>
      <c r="W292" s="105">
        <f t="shared" si="261"/>
        <v>0</v>
      </c>
      <c r="X292" s="105">
        <f t="shared" si="261"/>
        <v>6121486.0300000003</v>
      </c>
      <c r="Y292" s="105">
        <f t="shared" si="261"/>
        <v>45150623</v>
      </c>
      <c r="Z292" s="105">
        <f t="shared" si="261"/>
        <v>51272109.030000001</v>
      </c>
      <c r="AA292" s="105">
        <f t="shared" si="261"/>
        <v>0</v>
      </c>
      <c r="AB292" s="105">
        <f t="shared" si="261"/>
        <v>98959914.810000002</v>
      </c>
      <c r="AC292" s="105">
        <f t="shared" si="261"/>
        <v>12952075</v>
      </c>
      <c r="AD292" s="105">
        <f>+AD83</f>
        <v>111911989.81</v>
      </c>
      <c r="AE292" s="105">
        <f t="shared" si="261"/>
        <v>0</v>
      </c>
      <c r="AF292" s="105">
        <f t="shared" si="261"/>
        <v>105081400.84</v>
      </c>
      <c r="AG292" s="105">
        <f t="shared" si="261"/>
        <v>58102698</v>
      </c>
      <c r="AH292" s="105">
        <f t="shared" si="261"/>
        <v>163184098.84</v>
      </c>
      <c r="AI292" s="105">
        <f t="shared" si="261"/>
        <v>0</v>
      </c>
      <c r="AJ292" s="105">
        <f t="shared" si="261"/>
        <v>13457733.340000018</v>
      </c>
      <c r="AK292" s="105">
        <f t="shared" si="261"/>
        <v>50164977</v>
      </c>
      <c r="AL292" s="105">
        <f>+AL83</f>
        <v>63622710.340000018</v>
      </c>
      <c r="AM292" s="1264" t="str">
        <f t="shared" ref="AM292:AM300" si="263">IF(S292=0," ",AE292/S292)</f>
        <v xml:space="preserve"> </v>
      </c>
      <c r="AN292" s="1264">
        <f t="shared" ref="AN292:AN300" si="264">IF(T292=0," ",AF292/T292)</f>
        <v>0.88647012285778437</v>
      </c>
      <c r="AO292" s="1264">
        <f t="shared" ref="AO292:AO300" si="265">IF(U292=0," ",AG292/U292)</f>
        <v>0.53665785286328538</v>
      </c>
      <c r="AP292" s="1264">
        <f t="shared" ref="AP292:AP300" si="266">IF(V292=0," ",AH292/V292)</f>
        <v>0.7194850076590632</v>
      </c>
      <c r="AQ292" s="127" t="str">
        <f>+AQ83</f>
        <v xml:space="preserve"> </v>
      </c>
      <c r="BH292" s="105">
        <f>+AL292-'CONAP (ALL FUNDS)'!Q1293</f>
        <v>0</v>
      </c>
    </row>
    <row r="293" spans="2:60" ht="15.75" hidden="1" customHeight="1">
      <c r="B293" s="105" t="s">
        <v>295</v>
      </c>
      <c r="C293" s="105">
        <f>+C187</f>
        <v>0</v>
      </c>
      <c r="D293" s="105">
        <f>+D187</f>
        <v>54549684.279999994</v>
      </c>
      <c r="E293" s="105">
        <f t="shared" ref="E293:AK293" si="267">+E187</f>
        <v>1237960</v>
      </c>
      <c r="F293" s="105">
        <f t="shared" si="267"/>
        <v>55787644.279999994</v>
      </c>
      <c r="G293" s="105">
        <f t="shared" si="267"/>
        <v>0</v>
      </c>
      <c r="H293" s="105">
        <f t="shared" ref="H293:N293" si="268">+H187</f>
        <v>-50523019.179999992</v>
      </c>
      <c r="I293" s="105">
        <f t="shared" si="268"/>
        <v>54419262</v>
      </c>
      <c r="J293" s="105">
        <f t="shared" si="268"/>
        <v>3896242.8199999942</v>
      </c>
      <c r="K293" s="105">
        <f t="shared" si="268"/>
        <v>0</v>
      </c>
      <c r="L293" s="105">
        <f t="shared" si="268"/>
        <v>547774611.04999995</v>
      </c>
      <c r="M293" s="105">
        <f t="shared" si="268"/>
        <v>676110486.57000005</v>
      </c>
      <c r="N293" s="105">
        <f t="shared" si="268"/>
        <v>1223885097.6199999</v>
      </c>
      <c r="O293" s="105">
        <f t="shared" si="267"/>
        <v>0</v>
      </c>
      <c r="P293" s="105">
        <f t="shared" si="267"/>
        <v>497819789.37</v>
      </c>
      <c r="Q293" s="105">
        <f t="shared" si="267"/>
        <v>731672312.57000005</v>
      </c>
      <c r="R293" s="105">
        <f t="shared" si="267"/>
        <v>1229492101.9400001</v>
      </c>
      <c r="S293" s="105">
        <f>+S187</f>
        <v>0</v>
      </c>
      <c r="T293" s="105">
        <f>+T187</f>
        <v>552369473.64999998</v>
      </c>
      <c r="U293" s="105">
        <f>+U187</f>
        <v>732910272.57000005</v>
      </c>
      <c r="V293" s="105">
        <f>+V187</f>
        <v>1285279746.22</v>
      </c>
      <c r="W293" s="105">
        <f t="shared" si="267"/>
        <v>0</v>
      </c>
      <c r="X293" s="105">
        <f t="shared" si="267"/>
        <v>35504764.899999999</v>
      </c>
      <c r="Y293" s="105">
        <f t="shared" si="267"/>
        <v>1188000.03</v>
      </c>
      <c r="Z293" s="105">
        <f t="shared" si="267"/>
        <v>36692764.93</v>
      </c>
      <c r="AA293" s="105">
        <f t="shared" si="267"/>
        <v>0</v>
      </c>
      <c r="AB293" s="105">
        <f t="shared" si="267"/>
        <v>397896793.32000005</v>
      </c>
      <c r="AC293" s="105">
        <f t="shared" si="267"/>
        <v>458716821.83999997</v>
      </c>
      <c r="AD293" s="105">
        <f>+AD187</f>
        <v>856613615.16000009</v>
      </c>
      <c r="AE293" s="105">
        <f t="shared" si="267"/>
        <v>0</v>
      </c>
      <c r="AF293" s="105">
        <f t="shared" si="267"/>
        <v>433401558.21999991</v>
      </c>
      <c r="AG293" s="105">
        <f t="shared" si="267"/>
        <v>459904821.87</v>
      </c>
      <c r="AH293" s="105">
        <f t="shared" si="267"/>
        <v>893306380.08999979</v>
      </c>
      <c r="AI293" s="105">
        <f t="shared" si="267"/>
        <v>0</v>
      </c>
      <c r="AJ293" s="105">
        <f t="shared" si="267"/>
        <v>118967915.42999995</v>
      </c>
      <c r="AK293" s="105">
        <f t="shared" si="267"/>
        <v>273005450.70000005</v>
      </c>
      <c r="AL293" s="105">
        <f>+AL187</f>
        <v>391973366.12999994</v>
      </c>
      <c r="AM293" s="1264" t="str">
        <f t="shared" si="263"/>
        <v xml:space="preserve"> </v>
      </c>
      <c r="AN293" s="1264">
        <f t="shared" si="264"/>
        <v>0.78462257401034041</v>
      </c>
      <c r="AO293" s="1264">
        <f t="shared" si="265"/>
        <v>0.62750494717083483</v>
      </c>
      <c r="AP293" s="1264">
        <f t="shared" si="266"/>
        <v>0.69502875363687044</v>
      </c>
      <c r="AQ293" s="127">
        <f>+AQ187</f>
        <v>0</v>
      </c>
      <c r="BH293" s="105">
        <f>+AL293-'CONAP (ALL FUNDS)'!Q1299</f>
        <v>0</v>
      </c>
    </row>
    <row r="294" spans="2:60" ht="15.75" hidden="1" customHeight="1">
      <c r="B294" s="105" t="s">
        <v>430</v>
      </c>
      <c r="C294" s="105">
        <f>+C97</f>
        <v>0</v>
      </c>
      <c r="D294" s="105">
        <f>+D97</f>
        <v>16245719.90000001</v>
      </c>
      <c r="E294" s="105">
        <f t="shared" ref="E294:AK294" si="269">+E97</f>
        <v>100000000</v>
      </c>
      <c r="F294" s="105">
        <f t="shared" si="269"/>
        <v>116245719.90000001</v>
      </c>
      <c r="G294" s="105">
        <f t="shared" si="269"/>
        <v>0</v>
      </c>
      <c r="H294" s="105">
        <f t="shared" ref="H294:N294" si="270">+H97</f>
        <v>-5522631.7599999998</v>
      </c>
      <c r="I294" s="105">
        <f t="shared" si="270"/>
        <v>29072900</v>
      </c>
      <c r="J294" s="105">
        <f t="shared" si="270"/>
        <v>23550268.240000002</v>
      </c>
      <c r="K294" s="105">
        <f t="shared" si="270"/>
        <v>0</v>
      </c>
      <c r="L294" s="105">
        <f t="shared" si="270"/>
        <v>105931860.10999998</v>
      </c>
      <c r="M294" s="105">
        <f t="shared" si="270"/>
        <v>10000000</v>
      </c>
      <c r="N294" s="105">
        <f t="shared" si="270"/>
        <v>115931860.10999998</v>
      </c>
      <c r="O294" s="105">
        <f t="shared" si="269"/>
        <v>0</v>
      </c>
      <c r="P294" s="105">
        <f t="shared" si="269"/>
        <v>100409228.34999998</v>
      </c>
      <c r="Q294" s="105">
        <f t="shared" si="269"/>
        <v>39072900</v>
      </c>
      <c r="R294" s="105">
        <f t="shared" si="269"/>
        <v>139482128.34999996</v>
      </c>
      <c r="S294" s="105">
        <f>+S97</f>
        <v>0</v>
      </c>
      <c r="T294" s="105">
        <f>+T97</f>
        <v>116654948.24999999</v>
      </c>
      <c r="U294" s="105">
        <f>+U97</f>
        <v>139072900</v>
      </c>
      <c r="V294" s="105">
        <f>+V97</f>
        <v>255727848.25</v>
      </c>
      <c r="W294" s="105">
        <f t="shared" si="269"/>
        <v>0</v>
      </c>
      <c r="X294" s="105">
        <f t="shared" si="269"/>
        <v>12856629.91</v>
      </c>
      <c r="Y294" s="105">
        <f t="shared" si="269"/>
        <v>31356400</v>
      </c>
      <c r="Z294" s="105">
        <f t="shared" si="269"/>
        <v>44213029.909999996</v>
      </c>
      <c r="AA294" s="105">
        <f t="shared" si="269"/>
        <v>0</v>
      </c>
      <c r="AB294" s="105">
        <f t="shared" si="269"/>
        <v>68234691.800000012</v>
      </c>
      <c r="AC294" s="105">
        <f t="shared" si="269"/>
        <v>25980272</v>
      </c>
      <c r="AD294" s="105">
        <f>+AD97</f>
        <v>94214963.800000012</v>
      </c>
      <c r="AE294" s="105">
        <f t="shared" si="269"/>
        <v>0</v>
      </c>
      <c r="AF294" s="105">
        <f t="shared" si="269"/>
        <v>81091321.710000008</v>
      </c>
      <c r="AG294" s="105">
        <f t="shared" si="269"/>
        <v>57336672</v>
      </c>
      <c r="AH294" s="105">
        <f t="shared" si="269"/>
        <v>138427993.71000001</v>
      </c>
      <c r="AI294" s="105">
        <f t="shared" si="269"/>
        <v>0</v>
      </c>
      <c r="AJ294" s="105">
        <f t="shared" si="269"/>
        <v>35563626.539999977</v>
      </c>
      <c r="AK294" s="105">
        <f t="shared" si="269"/>
        <v>81736228</v>
      </c>
      <c r="AL294" s="105">
        <f>+AL97</f>
        <v>117299854.53999998</v>
      </c>
      <c r="AM294" s="1264" t="str">
        <f t="shared" si="263"/>
        <v xml:space="preserve"> </v>
      </c>
      <c r="AN294" s="1264">
        <f t="shared" si="264"/>
        <v>0.69513829397288351</v>
      </c>
      <c r="AO294" s="1264">
        <f t="shared" si="265"/>
        <v>0.4122778197621535</v>
      </c>
      <c r="AP294" s="1264">
        <f t="shared" si="266"/>
        <v>0.54130981298005743</v>
      </c>
      <c r="AQ294" s="127" t="str">
        <f>+AQ97</f>
        <v xml:space="preserve"> </v>
      </c>
      <c r="BH294" s="105">
        <f>+AL294-'CONAP (ALL FUNDS)'!Q1308</f>
        <v>0</v>
      </c>
    </row>
    <row r="295" spans="2:60" ht="15.75" hidden="1" customHeight="1">
      <c r="B295" s="105" t="s">
        <v>427</v>
      </c>
      <c r="C295" s="105">
        <f>SUM(C291:C294)</f>
        <v>0</v>
      </c>
      <c r="D295" s="105">
        <f>SUM(D291:D294)</f>
        <v>94441291.140000001</v>
      </c>
      <c r="E295" s="105">
        <f t="shared" ref="E295:AK295" si="271">SUM(E291:E294)</f>
        <v>197697612</v>
      </c>
      <c r="F295" s="105">
        <f t="shared" si="271"/>
        <v>292138903.13999999</v>
      </c>
      <c r="G295" s="105">
        <f t="shared" si="271"/>
        <v>0</v>
      </c>
      <c r="H295" s="105">
        <f t="shared" ref="H295:N295" si="272">SUM(H291:H294)</f>
        <v>-49296080.36999999</v>
      </c>
      <c r="I295" s="105">
        <f t="shared" si="272"/>
        <v>96454837</v>
      </c>
      <c r="J295" s="105">
        <f t="shared" si="272"/>
        <v>47158756.629999995</v>
      </c>
      <c r="K295" s="105">
        <f t="shared" si="272"/>
        <v>0</v>
      </c>
      <c r="L295" s="105">
        <f t="shared" si="272"/>
        <v>761993242.72000003</v>
      </c>
      <c r="M295" s="105">
        <f t="shared" si="272"/>
        <v>686110486.57000005</v>
      </c>
      <c r="N295" s="105">
        <f t="shared" si="272"/>
        <v>1448103729.2899997</v>
      </c>
      <c r="O295" s="105">
        <f t="shared" si="271"/>
        <v>0</v>
      </c>
      <c r="P295" s="105">
        <f t="shared" si="271"/>
        <v>713265359.85000002</v>
      </c>
      <c r="Q295" s="105">
        <f t="shared" si="271"/>
        <v>783707887.57000005</v>
      </c>
      <c r="R295" s="105">
        <f t="shared" si="271"/>
        <v>1496973247.4200001</v>
      </c>
      <c r="S295" s="105">
        <f>SUM(S291:S294)</f>
        <v>0</v>
      </c>
      <c r="T295" s="105">
        <f>SUM(T291:T294)</f>
        <v>807706650.99000001</v>
      </c>
      <c r="U295" s="105">
        <f>SUM(U291:U294)</f>
        <v>981405499.57000005</v>
      </c>
      <c r="V295" s="105">
        <f>SUM(V291:V294)</f>
        <v>1789112150.5599999</v>
      </c>
      <c r="W295" s="105">
        <f t="shared" si="271"/>
        <v>0</v>
      </c>
      <c r="X295" s="105">
        <f t="shared" si="271"/>
        <v>60628599.920000002</v>
      </c>
      <c r="Y295" s="105">
        <f t="shared" si="271"/>
        <v>77695023.030000001</v>
      </c>
      <c r="Z295" s="105">
        <f t="shared" si="271"/>
        <v>138323622.94999999</v>
      </c>
      <c r="AA295" s="105">
        <f t="shared" si="271"/>
        <v>0</v>
      </c>
      <c r="AB295" s="105">
        <f t="shared" si="271"/>
        <v>567710969.99000001</v>
      </c>
      <c r="AC295" s="105">
        <f t="shared" si="271"/>
        <v>497649168.83999997</v>
      </c>
      <c r="AD295" s="105">
        <f>SUM(AD291:AD294)</f>
        <v>1065360138.8300002</v>
      </c>
      <c r="AE295" s="105">
        <f t="shared" si="271"/>
        <v>0</v>
      </c>
      <c r="AF295" s="105">
        <f t="shared" si="271"/>
        <v>628339569.90999997</v>
      </c>
      <c r="AG295" s="105">
        <f t="shared" si="271"/>
        <v>575344191.87</v>
      </c>
      <c r="AH295" s="105">
        <f t="shared" si="271"/>
        <v>1203683761.7799997</v>
      </c>
      <c r="AI295" s="105">
        <f t="shared" si="271"/>
        <v>0</v>
      </c>
      <c r="AJ295" s="105">
        <f t="shared" si="271"/>
        <v>179367081.07999992</v>
      </c>
      <c r="AK295" s="105">
        <f t="shared" si="271"/>
        <v>406061307.70000005</v>
      </c>
      <c r="AL295" s="105">
        <f>SUM(AL291:AL294)</f>
        <v>585428388.77999997</v>
      </c>
      <c r="AM295" s="1264" t="str">
        <f t="shared" si="263"/>
        <v xml:space="preserve"> </v>
      </c>
      <c r="AN295" s="1264">
        <f t="shared" si="264"/>
        <v>0.77793041463735479</v>
      </c>
      <c r="AO295" s="1264">
        <f t="shared" si="265"/>
        <v>0.58624512713866528</v>
      </c>
      <c r="AP295" s="1264">
        <f t="shared" si="266"/>
        <v>0.67278273271088196</v>
      </c>
      <c r="AQ295" s="127">
        <f>SUM(AQ291:AQ294)</f>
        <v>0</v>
      </c>
    </row>
    <row r="296" spans="2:60" s="111" customFormat="1" ht="15.75" hidden="1" customHeight="1">
      <c r="C296" s="111">
        <f>+C295-'CONAP (ALL FUNDS)'!F1376+'CONAP (ALL FUNDS)'!F1379</f>
        <v>0</v>
      </c>
      <c r="D296" s="111">
        <f>+D295-'CONAP (ALL FUNDS)'!G1376-'CONAP (ALL FUNDS)'!G1379</f>
        <v>-1.2518285075202584E-8</v>
      </c>
      <c r="E296" s="111">
        <f>+E295-'CONAP (ALL FUNDS)'!H1376-'CONAP (ALL FUNDS)'!H1379</f>
        <v>0</v>
      </c>
      <c r="F296" s="111">
        <f>+F295-'CONAP (ALL FUNDS)'!I1376-'CONAP (ALL FUNDS)'!I1379</f>
        <v>-5.7221768656745553E-8</v>
      </c>
      <c r="G296" s="111">
        <f>+G295-'CONAP (ALL FUNDS)'!F1377</f>
        <v>0</v>
      </c>
      <c r="H296" s="111">
        <f>+H295-'CONAP (ALL FUNDS)'!G1377</f>
        <v>0</v>
      </c>
      <c r="I296" s="111">
        <f>+I295-'CONAP (ALL FUNDS)'!H1377</f>
        <v>0</v>
      </c>
      <c r="J296" s="111">
        <f>+J295-'CONAP (ALL FUNDS)'!I1377</f>
        <v>0</v>
      </c>
      <c r="K296" s="111">
        <f>+K295-'CONAP (ALL FUNDS)'!F1378</f>
        <v>0</v>
      </c>
      <c r="L296" s="111">
        <f>+L295-'CONAP (ALL FUNDS)'!G1378</f>
        <v>-568197.5</v>
      </c>
      <c r="M296" s="111">
        <f>+M295-'CONAP (ALL FUNDS)'!H1378</f>
        <v>-1142564</v>
      </c>
      <c r="N296" s="111">
        <f>+N295-'CONAP (ALL FUNDS)'!I1378</f>
        <v>-1710761.5000002384</v>
      </c>
      <c r="O296" s="111">
        <f>+O295-'CONAP (ALL FUNDS)'!F1377-'CONAP (ALL FUNDS)'!F1378</f>
        <v>0</v>
      </c>
      <c r="P296" s="111">
        <f>+P295-'CONAP (ALL FUNDS)'!G1377-'CONAP (ALL FUNDS)'!G1378</f>
        <v>0</v>
      </c>
      <c r="Q296" s="111">
        <f>+Q295-'CONAP (ALL FUNDS)'!H1377-'CONAP (ALL FUNDS)'!H1378</f>
        <v>0</v>
      </c>
      <c r="R296" s="111">
        <f>+R295-'CONAP (ALL FUNDS)'!I1377-'CONAP (ALL FUNDS)'!I1378</f>
        <v>0</v>
      </c>
      <c r="S296" s="111">
        <f>+S295-'CONAP (ALL FUNDS)'!F1380</f>
        <v>0</v>
      </c>
      <c r="T296" s="111">
        <f>+T295-'CONAP (ALL FUNDS)'!G1380</f>
        <v>0</v>
      </c>
      <c r="U296" s="111">
        <f>+U295-'CONAP (ALL FUNDS)'!H1380</f>
        <v>0</v>
      </c>
      <c r="V296" s="111">
        <f>+V295-'CONAP (ALL FUNDS)'!I1380</f>
        <v>0</v>
      </c>
      <c r="W296" s="111">
        <f>+W295-'CONAP (ALL FUNDS)'!J1376-'CONAP (ALL FUNDS)'!J1379</f>
        <v>0</v>
      </c>
      <c r="X296" s="111">
        <f>+X295-'CONAP (ALL FUNDS)'!K1376-'CONAP (ALL FUNDS)'!K1379</f>
        <v>0</v>
      </c>
      <c r="Y296" s="111">
        <f>+Y295-'CONAP (ALL FUNDS)'!L1376-'CONAP (ALL FUNDS)'!L1379</f>
        <v>0</v>
      </c>
      <c r="Z296" s="111">
        <f>+Z295-'CONAP (ALL FUNDS)'!M1376-'CONAP (ALL FUNDS)'!M1379</f>
        <v>0</v>
      </c>
      <c r="AA296" s="111">
        <f>+AA295-'CONAP (ALL FUNDS)'!J1377-'CONAP (ALL FUNDS)'!J1378</f>
        <v>0</v>
      </c>
      <c r="AB296" s="111">
        <f>+AB295-'CONAP (ALL FUNDS)'!K1377-'CONAP (ALL FUNDS)'!K1378</f>
        <v>0</v>
      </c>
      <c r="AC296" s="111">
        <f>+AC295-'CONAP (ALL FUNDS)'!L1377-'CONAP (ALL FUNDS)'!L1378</f>
        <v>0</v>
      </c>
      <c r="AD296" s="111">
        <f>+AD295-'CONAP (ALL FUNDS)'!M1377-'CONAP (ALL FUNDS)'!M1378</f>
        <v>0</v>
      </c>
      <c r="AE296" s="111">
        <f>+AE295-'CONAP (ALL FUNDS)'!J1380</f>
        <v>0</v>
      </c>
      <c r="AF296" s="111">
        <f>+AF295-'CONAP (ALL FUNDS)'!K1380</f>
        <v>0</v>
      </c>
      <c r="AG296" s="111">
        <f>+AG295-'CONAP (ALL FUNDS)'!L1380</f>
        <v>0</v>
      </c>
      <c r="AH296" s="111">
        <f>+AH295-'CONAP (ALL FUNDS)'!M1380</f>
        <v>0</v>
      </c>
      <c r="AI296" s="111">
        <f>+AI295-'CONAP (ALL FUNDS)'!N1380</f>
        <v>0</v>
      </c>
      <c r="AJ296" s="111">
        <f>+AJ295-'CONAP (ALL FUNDS)'!O1380</f>
        <v>0</v>
      </c>
      <c r="AK296" s="111">
        <f>+AK295-'CONAP (ALL FUNDS)'!P1380</f>
        <v>0</v>
      </c>
      <c r="AL296" s="111">
        <f>+AL295-'CONAP (ALL FUNDS)'!Q1380</f>
        <v>0</v>
      </c>
      <c r="AM296" s="1264" t="str">
        <f t="shared" si="263"/>
        <v xml:space="preserve"> </v>
      </c>
      <c r="AN296" s="1264" t="str">
        <f t="shared" si="264"/>
        <v xml:space="preserve"> </v>
      </c>
      <c r="AO296" s="1264" t="str">
        <f t="shared" si="265"/>
        <v xml:space="preserve"> </v>
      </c>
      <c r="AP296" s="1264" t="str">
        <f t="shared" si="266"/>
        <v xml:space="preserve"> </v>
      </c>
      <c r="AQ296" s="128"/>
      <c r="AR296" s="143"/>
      <c r="AS296" s="147"/>
      <c r="AT296" s="147"/>
      <c r="AV296" s="95"/>
      <c r="AX296" s="95"/>
      <c r="AY296" s="156"/>
      <c r="AZ296" s="156"/>
      <c r="BA296" s="95"/>
      <c r="BB296" s="95"/>
      <c r="BC296" s="95"/>
      <c r="BD296" s="95"/>
      <c r="BE296" s="95"/>
      <c r="BF296" s="95"/>
    </row>
    <row r="297" spans="2:60" ht="15.75" hidden="1" customHeight="1">
      <c r="B297" s="105" t="s">
        <v>428</v>
      </c>
      <c r="C297" s="105">
        <f>+C59</f>
        <v>0</v>
      </c>
      <c r="D297" s="105">
        <f t="shared" ref="D297:AL297" si="273">+D59</f>
        <v>313914442.91999972</v>
      </c>
      <c r="E297" s="105">
        <f t="shared" si="273"/>
        <v>3585691671.0500002</v>
      </c>
      <c r="F297" s="105">
        <f t="shared" si="273"/>
        <v>3899606113.9699998</v>
      </c>
      <c r="G297" s="105">
        <f t="shared" si="273"/>
        <v>0</v>
      </c>
      <c r="H297" s="105">
        <f t="shared" si="273"/>
        <v>49296080.370000005</v>
      </c>
      <c r="I297" s="105">
        <f t="shared" si="273"/>
        <v>-96454837</v>
      </c>
      <c r="J297" s="105">
        <f t="shared" si="273"/>
        <v>-47158756.63000001</v>
      </c>
      <c r="K297" s="105">
        <f t="shared" si="273"/>
        <v>0</v>
      </c>
      <c r="L297" s="105">
        <f t="shared" si="273"/>
        <v>0</v>
      </c>
      <c r="M297" s="105">
        <f t="shared" si="273"/>
        <v>0</v>
      </c>
      <c r="N297" s="105">
        <f t="shared" si="273"/>
        <v>0</v>
      </c>
      <c r="O297" s="105">
        <f t="shared" si="273"/>
        <v>0</v>
      </c>
      <c r="P297" s="105">
        <f t="shared" si="273"/>
        <v>49296080.370000005</v>
      </c>
      <c r="Q297" s="105">
        <f t="shared" si="273"/>
        <v>-96454837</v>
      </c>
      <c r="R297" s="105">
        <f t="shared" si="273"/>
        <v>-47158756.63000001</v>
      </c>
      <c r="S297" s="105">
        <f t="shared" si="273"/>
        <v>0</v>
      </c>
      <c r="T297" s="105">
        <f t="shared" si="273"/>
        <v>363210523.28999978</v>
      </c>
      <c r="U297" s="105">
        <f t="shared" si="273"/>
        <v>3489236834.0500002</v>
      </c>
      <c r="V297" s="105">
        <f t="shared" si="273"/>
        <v>3852447357.3399997</v>
      </c>
      <c r="W297" s="105">
        <f t="shared" si="273"/>
        <v>0</v>
      </c>
      <c r="X297" s="105">
        <f t="shared" si="273"/>
        <v>237376110.85000002</v>
      </c>
      <c r="Y297" s="105">
        <f t="shared" si="273"/>
        <v>1623216053.24</v>
      </c>
      <c r="Z297" s="105">
        <f t="shared" si="273"/>
        <v>1860592164.0900002</v>
      </c>
      <c r="AA297" s="105">
        <f t="shared" si="273"/>
        <v>0</v>
      </c>
      <c r="AB297" s="105">
        <f t="shared" si="273"/>
        <v>0</v>
      </c>
      <c r="AC297" s="105">
        <f t="shared" si="273"/>
        <v>0</v>
      </c>
      <c r="AD297" s="105">
        <f t="shared" si="273"/>
        <v>0</v>
      </c>
      <c r="AE297" s="105">
        <f t="shared" si="273"/>
        <v>0</v>
      </c>
      <c r="AF297" s="105">
        <f t="shared" si="273"/>
        <v>237376110.85000002</v>
      </c>
      <c r="AG297" s="105">
        <f t="shared" si="273"/>
        <v>1623216053.24</v>
      </c>
      <c r="AH297" s="105">
        <f t="shared" si="273"/>
        <v>1860592164.0900002</v>
      </c>
      <c r="AI297" s="105">
        <f t="shared" si="273"/>
        <v>0</v>
      </c>
      <c r="AJ297" s="105">
        <f t="shared" si="273"/>
        <v>125834412.43999976</v>
      </c>
      <c r="AK297" s="105">
        <f t="shared" si="273"/>
        <v>1866020780.8099999</v>
      </c>
      <c r="AL297" s="105">
        <f t="shared" si="273"/>
        <v>1991855193.2499998</v>
      </c>
      <c r="AM297" s="1264" t="str">
        <f t="shared" si="263"/>
        <v xml:space="preserve"> </v>
      </c>
      <c r="AN297" s="1264">
        <f t="shared" si="264"/>
        <v>0.65354965131467502</v>
      </c>
      <c r="AO297" s="1264">
        <f t="shared" si="265"/>
        <v>0.46520661406520608</v>
      </c>
      <c r="AP297" s="1264">
        <f t="shared" si="266"/>
        <v>0.48296368295469289</v>
      </c>
      <c r="AQ297" s="127">
        <f>+AQ59</f>
        <v>0</v>
      </c>
    </row>
    <row r="298" spans="2:60" s="111" customFormat="1" ht="15.75" hidden="1" customHeight="1">
      <c r="C298" s="111">
        <f>+C297-'CONAP (ALL FUNDS)'!F1273</f>
        <v>0</v>
      </c>
      <c r="D298" s="111">
        <f>+D297-'CONAP (ALL FUNDS)'!G1273</f>
        <v>0</v>
      </c>
      <c r="E298" s="111">
        <f>+E297-'CONAP (ALL FUNDS)'!H1273</f>
        <v>0</v>
      </c>
      <c r="F298" s="111">
        <f>+F297-'CONAP (ALL FUNDS)'!I1273</f>
        <v>0</v>
      </c>
      <c r="G298" s="111">
        <f>+G297-'CONAP (ALL FUNDS)'!F1274</f>
        <v>0</v>
      </c>
      <c r="H298" s="111">
        <f>+H297-'CONAP (ALL FUNDS)'!G1274</f>
        <v>0</v>
      </c>
      <c r="I298" s="111">
        <f>+I297-'CONAP (ALL FUNDS)'!H1274</f>
        <v>0</v>
      </c>
      <c r="J298" s="111">
        <f>+J297-'CONAP (ALL FUNDS)'!I1274</f>
        <v>0</v>
      </c>
      <c r="K298" s="111">
        <f>+K297+'OSEC-CONAP'!L212</f>
        <v>0</v>
      </c>
      <c r="L298" s="111">
        <f>+L297+'OSEC-CONAP'!M212</f>
        <v>0</v>
      </c>
      <c r="M298" s="111">
        <f>+M297+'OSEC-CONAP'!N212</f>
        <v>0</v>
      </c>
      <c r="N298" s="111">
        <f>+N297+'OSEC-CONAP'!O212</f>
        <v>0</v>
      </c>
      <c r="O298" s="111">
        <f>+O297-'CONAP (ALL FUNDS)'!F1274</f>
        <v>0</v>
      </c>
      <c r="P298" s="111">
        <f>+P297-'CONAP (ALL FUNDS)'!G1274</f>
        <v>0</v>
      </c>
      <c r="Q298" s="111">
        <f>+Q297-'CONAP (ALL FUNDS)'!H1274</f>
        <v>0</v>
      </c>
      <c r="R298" s="111">
        <f>+R297-'CONAP (ALL FUNDS)'!I1274</f>
        <v>0</v>
      </c>
      <c r="S298" s="111">
        <f>+S297-'CONAP (ALL FUNDS)'!F1272</f>
        <v>0</v>
      </c>
      <c r="T298" s="111">
        <f>+T297-'CONAP (ALL FUNDS)'!G1272</f>
        <v>0</v>
      </c>
      <c r="U298" s="111">
        <f>+U297-'CONAP (ALL FUNDS)'!H1272</f>
        <v>0</v>
      </c>
      <c r="V298" s="111">
        <f>+V297-'CONAP (ALL FUNDS)'!I1272</f>
        <v>0</v>
      </c>
      <c r="W298" s="111">
        <f>+W297-'CONAP (ALL FUNDS)'!J1272</f>
        <v>0</v>
      </c>
      <c r="X298" s="111">
        <f>+X297-'CONAP (ALL FUNDS)'!K1272</f>
        <v>0</v>
      </c>
      <c r="Y298" s="111">
        <f>+Y297-'CONAP (ALL FUNDS)'!L1272</f>
        <v>0</v>
      </c>
      <c r="Z298" s="111">
        <f>+Z297-'CONAP (ALL FUNDS)'!M1272</f>
        <v>0</v>
      </c>
      <c r="AA298" s="111">
        <f>+AA296-'CONAP (ALL FUNDS)'!J1274</f>
        <v>0</v>
      </c>
      <c r="AB298" s="111">
        <f>+AB296-'CONAP (ALL FUNDS)'!K1274</f>
        <v>0</v>
      </c>
      <c r="AC298" s="111">
        <f>+AC296-'CONAP (ALL FUNDS)'!L1274</f>
        <v>0</v>
      </c>
      <c r="AD298" s="111">
        <f>+AD296-'CONAP (ALL FUNDS)'!M1274</f>
        <v>0</v>
      </c>
      <c r="AE298" s="111">
        <f>+AE297-'CONAP (ALL FUNDS)'!J1272</f>
        <v>0</v>
      </c>
      <c r="AF298" s="111">
        <f>+AF297-'CONAP (ALL FUNDS)'!K1272</f>
        <v>0</v>
      </c>
      <c r="AG298" s="111">
        <f>+AG297-'CONAP (ALL FUNDS)'!L1272</f>
        <v>0</v>
      </c>
      <c r="AH298" s="111">
        <f>+AH297-'CONAP (ALL FUNDS)'!M1272</f>
        <v>0</v>
      </c>
      <c r="AI298" s="111">
        <f>+AI297-'CONAP (ALL FUNDS)'!N1272</f>
        <v>0</v>
      </c>
      <c r="AJ298" s="111">
        <f>+AJ297-'CONAP (ALL FUNDS)'!O1272</f>
        <v>3.2782554626464844E-7</v>
      </c>
      <c r="AK298" s="111">
        <f>+AK297-'CONAP (ALL FUNDS)'!P1272</f>
        <v>0</v>
      </c>
      <c r="AL298" s="111">
        <f>+AL297-'CONAP (ALL FUNDS)'!Q1272</f>
        <v>0</v>
      </c>
      <c r="AM298" s="1264" t="str">
        <f t="shared" si="263"/>
        <v xml:space="preserve"> </v>
      </c>
      <c r="AN298" s="1264" t="str">
        <f t="shared" si="264"/>
        <v xml:space="preserve"> </v>
      </c>
      <c r="AO298" s="1264" t="str">
        <f t="shared" si="265"/>
        <v xml:space="preserve"> </v>
      </c>
      <c r="AP298" s="1264" t="str">
        <f t="shared" si="266"/>
        <v xml:space="preserve"> </v>
      </c>
      <c r="AQ298" s="133"/>
      <c r="AR298" s="143"/>
      <c r="AS298" s="147"/>
      <c r="AT298" s="147"/>
      <c r="AV298" s="95"/>
      <c r="AX298" s="95"/>
      <c r="AY298" s="156"/>
      <c r="AZ298" s="156"/>
      <c r="BA298" s="95"/>
      <c r="BB298" s="95"/>
      <c r="BC298" s="95"/>
      <c r="BD298" s="95"/>
      <c r="BE298" s="95"/>
      <c r="BF298" s="95"/>
    </row>
    <row r="299" spans="2:60" ht="15.75" hidden="1" customHeight="1">
      <c r="B299" s="105" t="s">
        <v>429</v>
      </c>
      <c r="C299" s="105">
        <f>+C70</f>
        <v>0</v>
      </c>
      <c r="D299" s="105">
        <f>+D70</f>
        <v>87991891.479999989</v>
      </c>
      <c r="E299" s="105">
        <f t="shared" ref="E299:AK299" si="274">+E70</f>
        <v>0</v>
      </c>
      <c r="F299" s="105">
        <f t="shared" si="274"/>
        <v>87991891.479999989</v>
      </c>
      <c r="G299" s="105">
        <f t="shared" si="274"/>
        <v>0</v>
      </c>
      <c r="H299" s="105">
        <f t="shared" ref="H299:Q299" si="275">+H70</f>
        <v>0</v>
      </c>
      <c r="I299" s="105">
        <f t="shared" si="275"/>
        <v>0</v>
      </c>
      <c r="J299" s="105">
        <f t="shared" si="275"/>
        <v>0</v>
      </c>
      <c r="K299" s="105">
        <f t="shared" si="275"/>
        <v>0</v>
      </c>
      <c r="L299" s="105">
        <f t="shared" si="275"/>
        <v>0</v>
      </c>
      <c r="M299" s="105">
        <f t="shared" si="275"/>
        <v>0</v>
      </c>
      <c r="N299" s="105">
        <f t="shared" si="275"/>
        <v>0</v>
      </c>
      <c r="O299" s="105">
        <f t="shared" si="275"/>
        <v>0</v>
      </c>
      <c r="P299" s="105">
        <f t="shared" si="275"/>
        <v>0</v>
      </c>
      <c r="Q299" s="105">
        <f t="shared" si="275"/>
        <v>0</v>
      </c>
      <c r="R299" s="105">
        <f t="shared" si="274"/>
        <v>0</v>
      </c>
      <c r="S299" s="105">
        <f>+S70</f>
        <v>0</v>
      </c>
      <c r="T299" s="105">
        <f>+T70</f>
        <v>87991891.479999989</v>
      </c>
      <c r="U299" s="105">
        <f>+U70</f>
        <v>0</v>
      </c>
      <c r="V299" s="105">
        <f>+V70</f>
        <v>87991891.479999989</v>
      </c>
      <c r="W299" s="105">
        <f t="shared" si="274"/>
        <v>0</v>
      </c>
      <c r="X299" s="105">
        <f t="shared" si="274"/>
        <v>61057203.469999991</v>
      </c>
      <c r="Y299" s="105">
        <f t="shared" si="274"/>
        <v>0</v>
      </c>
      <c r="Z299" s="105">
        <f t="shared" si="274"/>
        <v>61057203.469999991</v>
      </c>
      <c r="AA299" s="105">
        <f t="shared" si="274"/>
        <v>0</v>
      </c>
      <c r="AB299" s="105">
        <f t="shared" si="274"/>
        <v>0</v>
      </c>
      <c r="AC299" s="105">
        <f t="shared" si="274"/>
        <v>0</v>
      </c>
      <c r="AD299" s="105">
        <f>+AD70</f>
        <v>0</v>
      </c>
      <c r="AE299" s="105">
        <f t="shared" si="274"/>
        <v>0</v>
      </c>
      <c r="AF299" s="105">
        <f t="shared" si="274"/>
        <v>61057203.469999991</v>
      </c>
      <c r="AG299" s="105">
        <f t="shared" si="274"/>
        <v>0</v>
      </c>
      <c r="AH299" s="105">
        <f t="shared" si="274"/>
        <v>61057203.469999991</v>
      </c>
      <c r="AI299" s="105">
        <f t="shared" si="274"/>
        <v>0</v>
      </c>
      <c r="AJ299" s="105">
        <f t="shared" si="274"/>
        <v>26934688.009999998</v>
      </c>
      <c r="AK299" s="105">
        <f t="shared" si="274"/>
        <v>0</v>
      </c>
      <c r="AL299" s="105">
        <f>+AL70</f>
        <v>26934688.009999998</v>
      </c>
      <c r="AM299" s="1264" t="str">
        <f t="shared" si="263"/>
        <v xml:space="preserve"> </v>
      </c>
      <c r="AN299" s="1264">
        <f t="shared" si="264"/>
        <v>0.69389579474920049</v>
      </c>
      <c r="AO299" s="1264" t="str">
        <f t="shared" si="265"/>
        <v xml:space="preserve"> </v>
      </c>
      <c r="AP299" s="1264">
        <f t="shared" si="266"/>
        <v>0.69389579474920049</v>
      </c>
      <c r="AQ299" s="127" t="str">
        <f>+AQ70</f>
        <v xml:space="preserve"> </v>
      </c>
    </row>
    <row r="300" spans="2:60" s="111" customFormat="1" ht="15.75" hidden="1" customHeight="1">
      <c r="B300" s="123"/>
      <c r="C300" s="111">
        <f>+C299-'CONAP (ALL FUNDS)'!F1276</f>
        <v>0</v>
      </c>
      <c r="D300" s="111">
        <f>+D299-'CONAP (ALL FUNDS)'!G1276</f>
        <v>0</v>
      </c>
      <c r="E300" s="111">
        <f>+E299-'CONAP (ALL FUNDS)'!H1276</f>
        <v>0</v>
      </c>
      <c r="F300" s="111">
        <f>+F299-'CONAP (ALL FUNDS)'!I1276</f>
        <v>0</v>
      </c>
      <c r="J300" s="111">
        <f>+J299-'FAPS-CONAP'!R27</f>
        <v>0</v>
      </c>
      <c r="R300" s="111">
        <f>+R299-'FAPS-CONAP'!Z27</f>
        <v>0</v>
      </c>
      <c r="S300" s="111">
        <f>+S299-'CONAP (ALL FUNDS)'!F1276</f>
        <v>0</v>
      </c>
      <c r="T300" s="111">
        <f>+T299-'CONAP (ALL FUNDS)'!G1276</f>
        <v>0</v>
      </c>
      <c r="U300" s="111">
        <f>+U299-'CONAP (ALL FUNDS)'!H1276</f>
        <v>0</v>
      </c>
      <c r="V300" s="111">
        <f>+V299-'CONAP (ALL FUNDS)'!I1276</f>
        <v>0</v>
      </c>
      <c r="W300" s="111">
        <f>+W299-'CONAP (ALL FUNDS)'!J1276</f>
        <v>0</v>
      </c>
      <c r="X300" s="111">
        <f>+X299-'CONAP (ALL FUNDS)'!K1276</f>
        <v>0</v>
      </c>
      <c r="Y300" s="111">
        <f>+Y299-'CONAP (ALL FUNDS)'!L1276</f>
        <v>0</v>
      </c>
      <c r="Z300" s="111">
        <f>+Z299-'CONAP (ALL FUNDS)'!M1276</f>
        <v>0</v>
      </c>
      <c r="AD300" s="111">
        <f>+AD299-'FAPS-CONAP'!AL27</f>
        <v>0</v>
      </c>
      <c r="AE300" s="111">
        <f>+AE299-'CONAP (ALL FUNDS)'!J1276</f>
        <v>0</v>
      </c>
      <c r="AF300" s="111">
        <f>+AF299-'CONAP (ALL FUNDS)'!K1276</f>
        <v>0</v>
      </c>
      <c r="AG300" s="111">
        <f>+AG299-'CONAP (ALL FUNDS)'!L1276</f>
        <v>0</v>
      </c>
      <c r="AH300" s="111">
        <f>+AH299-'CONAP (ALL FUNDS)'!M1276</f>
        <v>0</v>
      </c>
      <c r="AI300" s="111">
        <f>+AI299-'CONAP (ALL FUNDS)'!N1276</f>
        <v>0</v>
      </c>
      <c r="AJ300" s="111">
        <f>+AJ299-'CONAP (ALL FUNDS)'!O1276</f>
        <v>0</v>
      </c>
      <c r="AK300" s="111">
        <f>+AK299-'CONAP (ALL FUNDS)'!P1276</f>
        <v>0</v>
      </c>
      <c r="AL300" s="111">
        <f>+AL299-'CONAP (ALL FUNDS)'!Q1276</f>
        <v>0</v>
      </c>
      <c r="AM300" s="1264" t="str">
        <f t="shared" si="263"/>
        <v xml:space="preserve"> </v>
      </c>
      <c r="AN300" s="1264" t="str">
        <f t="shared" si="264"/>
        <v xml:space="preserve"> </v>
      </c>
      <c r="AO300" s="1264" t="str">
        <f t="shared" si="265"/>
        <v xml:space="preserve"> </v>
      </c>
      <c r="AP300" s="1264" t="str">
        <f t="shared" si="266"/>
        <v xml:space="preserve"> </v>
      </c>
      <c r="AQ300" s="129"/>
      <c r="AR300" s="143"/>
      <c r="AS300" s="147"/>
      <c r="AT300" s="147"/>
      <c r="AV300" s="95"/>
      <c r="AX300" s="95"/>
      <c r="AY300" s="156"/>
      <c r="AZ300" s="156"/>
      <c r="BA300" s="95"/>
      <c r="BB300" s="95"/>
      <c r="BC300" s="95"/>
      <c r="BD300" s="95"/>
      <c r="BE300" s="95"/>
      <c r="BF300" s="95"/>
    </row>
    <row r="301" spans="2:60" ht="15.75" hidden="1" customHeight="1">
      <c r="AN301" s="154"/>
      <c r="AO301" s="154"/>
      <c r="AP301" s="154"/>
    </row>
    <row r="302" spans="2:60" ht="15.75" hidden="1" customHeight="1">
      <c r="AN302" s="154"/>
      <c r="AO302" s="154"/>
      <c r="AP302" s="154"/>
    </row>
    <row r="303" spans="2:60" ht="15.75" hidden="1" customHeight="1">
      <c r="AN303" s="153"/>
      <c r="AO303" s="153"/>
      <c r="AP303" s="153"/>
    </row>
    <row r="304" spans="2:60" ht="15.75" hidden="1" customHeight="1">
      <c r="AN304" s="153"/>
      <c r="AO304" s="153"/>
      <c r="AP304" s="153"/>
    </row>
    <row r="305" spans="2:40" ht="15.75" hidden="1" customHeight="1"/>
    <row r="306" spans="2:40" ht="15.75" hidden="1" customHeight="1"/>
    <row r="307" spans="2:40" ht="15.75" hidden="1" customHeight="1"/>
    <row r="308" spans="2:40" ht="15.75" hidden="1" customHeight="1">
      <c r="B308" s="122" t="s">
        <v>735</v>
      </c>
      <c r="C308" s="105">
        <f t="shared" ref="C308:AL308" si="276">+C104+C193</f>
        <v>0</v>
      </c>
      <c r="D308" s="105">
        <f t="shared" si="276"/>
        <v>2548615.1400000025</v>
      </c>
      <c r="E308" s="105">
        <f t="shared" si="276"/>
        <v>0</v>
      </c>
      <c r="F308" s="105">
        <f t="shared" si="276"/>
        <v>2548615.1400000025</v>
      </c>
      <c r="G308" s="105">
        <f t="shared" si="276"/>
        <v>0</v>
      </c>
      <c r="H308" s="105">
        <f t="shared" si="276"/>
        <v>-4170606.4</v>
      </c>
      <c r="I308" s="105">
        <f t="shared" si="276"/>
        <v>8133000</v>
      </c>
      <c r="J308" s="105">
        <f t="shared" si="276"/>
        <v>3962393.6000000006</v>
      </c>
      <c r="K308" s="105">
        <f t="shared" si="276"/>
        <v>0</v>
      </c>
      <c r="L308" s="105">
        <f t="shared" si="276"/>
        <v>12704407.78999999</v>
      </c>
      <c r="M308" s="105">
        <f t="shared" si="276"/>
        <v>78473191.560000002</v>
      </c>
      <c r="N308" s="105">
        <f t="shared" si="276"/>
        <v>91177599.349999994</v>
      </c>
      <c r="O308" s="105">
        <f t="shared" si="276"/>
        <v>0</v>
      </c>
      <c r="P308" s="105">
        <f t="shared" si="276"/>
        <v>8533801.3899999894</v>
      </c>
      <c r="Q308" s="105">
        <f t="shared" si="276"/>
        <v>86606191.560000002</v>
      </c>
      <c r="R308" s="105">
        <f t="shared" si="276"/>
        <v>95139992.949999988</v>
      </c>
      <c r="S308" s="105">
        <f t="shared" si="276"/>
        <v>0</v>
      </c>
      <c r="T308" s="105">
        <f t="shared" si="276"/>
        <v>11082416.529999992</v>
      </c>
      <c r="U308" s="105">
        <f t="shared" si="276"/>
        <v>86606191.560000002</v>
      </c>
      <c r="V308" s="105">
        <f t="shared" si="276"/>
        <v>97688608.089999989</v>
      </c>
      <c r="W308" s="105">
        <f t="shared" si="276"/>
        <v>0</v>
      </c>
      <c r="X308" s="105">
        <f t="shared" si="276"/>
        <v>2545377.87</v>
      </c>
      <c r="Y308" s="105">
        <f t="shared" si="276"/>
        <v>0</v>
      </c>
      <c r="Z308" s="105">
        <f t="shared" si="276"/>
        <v>2545377.87</v>
      </c>
      <c r="AA308" s="105">
        <f t="shared" si="276"/>
        <v>0</v>
      </c>
      <c r="AB308" s="105">
        <f t="shared" si="276"/>
        <v>7368299.1799999997</v>
      </c>
      <c r="AC308" s="105">
        <f t="shared" si="276"/>
        <v>80297091.36999999</v>
      </c>
      <c r="AD308" s="105">
        <f t="shared" si="276"/>
        <v>87665390.549999997</v>
      </c>
      <c r="AE308" s="105">
        <f t="shared" si="276"/>
        <v>0</v>
      </c>
      <c r="AF308" s="105">
        <f t="shared" si="276"/>
        <v>9913677.0499999989</v>
      </c>
      <c r="AG308" s="105">
        <f t="shared" si="276"/>
        <v>80297091.36999999</v>
      </c>
      <c r="AH308" s="105">
        <f t="shared" si="276"/>
        <v>90210768.419999987</v>
      </c>
      <c r="AI308" s="105">
        <f t="shared" si="276"/>
        <v>0</v>
      </c>
      <c r="AJ308" s="105">
        <f t="shared" si="276"/>
        <v>1168739.4799999921</v>
      </c>
      <c r="AK308" s="105">
        <f t="shared" si="276"/>
        <v>6309100.1900000125</v>
      </c>
      <c r="AL308" s="105">
        <f t="shared" si="276"/>
        <v>7477839.6700000046</v>
      </c>
      <c r="AN308" s="828">
        <f>+AL308-'CONAP (ALL FUNDS)'!Q225</f>
        <v>0</v>
      </c>
    </row>
    <row r="309" spans="2:40" ht="15.75" hidden="1" customHeight="1">
      <c r="B309" s="122" t="s">
        <v>737</v>
      </c>
      <c r="C309" s="105">
        <f>+C109+C198</f>
        <v>0</v>
      </c>
      <c r="D309" s="105">
        <f t="shared" ref="D309:AL309" si="277">+D109+D198</f>
        <v>229891.40000000002</v>
      </c>
      <c r="E309" s="105">
        <f t="shared" si="277"/>
        <v>1237960</v>
      </c>
      <c r="F309" s="105">
        <f t="shared" si="277"/>
        <v>1467851.4000000001</v>
      </c>
      <c r="G309" s="105">
        <f t="shared" si="277"/>
        <v>0</v>
      </c>
      <c r="H309" s="105">
        <f t="shared" si="277"/>
        <v>-2174467.6500000004</v>
      </c>
      <c r="I309" s="105">
        <f t="shared" si="277"/>
        <v>11498400</v>
      </c>
      <c r="J309" s="105">
        <f t="shared" si="277"/>
        <v>9323932.3499999996</v>
      </c>
      <c r="K309" s="105">
        <f t="shared" si="277"/>
        <v>0</v>
      </c>
      <c r="L309" s="105">
        <f t="shared" si="277"/>
        <v>9978574.569999991</v>
      </c>
      <c r="M309" s="105">
        <f t="shared" si="277"/>
        <v>140564542.78</v>
      </c>
      <c r="N309" s="105">
        <f t="shared" si="277"/>
        <v>150543117.34999999</v>
      </c>
      <c r="O309" s="105">
        <f t="shared" si="277"/>
        <v>0</v>
      </c>
      <c r="P309" s="105">
        <f t="shared" si="277"/>
        <v>7804106.9199999915</v>
      </c>
      <c r="Q309" s="105">
        <f t="shared" si="277"/>
        <v>152062942.78</v>
      </c>
      <c r="R309" s="105">
        <f t="shared" si="277"/>
        <v>159867049.69999999</v>
      </c>
      <c r="S309" s="105">
        <f t="shared" si="277"/>
        <v>0</v>
      </c>
      <c r="T309" s="105">
        <f t="shared" si="277"/>
        <v>8033998.3199999919</v>
      </c>
      <c r="U309" s="105">
        <f t="shared" si="277"/>
        <v>153300902.78</v>
      </c>
      <c r="V309" s="105">
        <f t="shared" si="277"/>
        <v>161334901.09999999</v>
      </c>
      <c r="W309" s="105">
        <f t="shared" si="277"/>
        <v>0</v>
      </c>
      <c r="X309" s="105">
        <f t="shared" si="277"/>
        <v>229891.40000000002</v>
      </c>
      <c r="Y309" s="105">
        <f t="shared" si="277"/>
        <v>1188000.03</v>
      </c>
      <c r="Z309" s="105">
        <f t="shared" si="277"/>
        <v>1417891.4300000002</v>
      </c>
      <c r="AA309" s="105">
        <f t="shared" si="277"/>
        <v>0</v>
      </c>
      <c r="AB309" s="105">
        <f t="shared" si="277"/>
        <v>7556806.3700000001</v>
      </c>
      <c r="AC309" s="105">
        <f t="shared" si="277"/>
        <v>123544037.11</v>
      </c>
      <c r="AD309" s="105">
        <f t="shared" si="277"/>
        <v>131100843.48</v>
      </c>
      <c r="AE309" s="105">
        <f t="shared" si="277"/>
        <v>0</v>
      </c>
      <c r="AF309" s="105">
        <f t="shared" si="277"/>
        <v>7786697.7700000005</v>
      </c>
      <c r="AG309" s="105">
        <f t="shared" si="277"/>
        <v>124732037.14</v>
      </c>
      <c r="AH309" s="105">
        <f t="shared" si="277"/>
        <v>132518734.91</v>
      </c>
      <c r="AI309" s="105">
        <f t="shared" si="277"/>
        <v>0</v>
      </c>
      <c r="AJ309" s="105">
        <f t="shared" si="277"/>
        <v>247300.54999999143</v>
      </c>
      <c r="AK309" s="105">
        <f t="shared" si="277"/>
        <v>28568865.640000001</v>
      </c>
      <c r="AL309" s="105">
        <f t="shared" si="277"/>
        <v>28816166.18999999</v>
      </c>
      <c r="AN309" s="828">
        <f>+AL309-'CONAP (ALL FUNDS)'!Q165</f>
        <v>0</v>
      </c>
    </row>
    <row r="310" spans="2:40" ht="15.75" hidden="1" customHeight="1">
      <c r="B310" s="122" t="s">
        <v>736</v>
      </c>
      <c r="C310" s="105">
        <f>+C115+C203</f>
        <v>0</v>
      </c>
      <c r="D310" s="105">
        <f t="shared" ref="D310:AL310" si="278">+D115+D203</f>
        <v>2752747.4599999981</v>
      </c>
      <c r="E310" s="105">
        <f t="shared" si="278"/>
        <v>0</v>
      </c>
      <c r="F310" s="105">
        <f t="shared" si="278"/>
        <v>2752747.4599999981</v>
      </c>
      <c r="G310" s="105">
        <f t="shared" si="278"/>
        <v>0</v>
      </c>
      <c r="H310" s="105">
        <f t="shared" si="278"/>
        <v>-3648864.24</v>
      </c>
      <c r="I310" s="105">
        <f t="shared" si="278"/>
        <v>12615500</v>
      </c>
      <c r="J310" s="105">
        <f t="shared" si="278"/>
        <v>8966635.7599999998</v>
      </c>
      <c r="K310" s="105">
        <f t="shared" si="278"/>
        <v>0</v>
      </c>
      <c r="L310" s="111">
        <f t="shared" si="278"/>
        <v>32289782.530000001</v>
      </c>
      <c r="M310" s="105">
        <f t="shared" si="278"/>
        <v>7284803.5800000001</v>
      </c>
      <c r="N310" s="105">
        <f t="shared" si="278"/>
        <v>39574586.109999999</v>
      </c>
      <c r="O310" s="105">
        <f t="shared" si="278"/>
        <v>0</v>
      </c>
      <c r="P310" s="105">
        <f t="shared" si="278"/>
        <v>28640918.290000003</v>
      </c>
      <c r="Q310" s="105">
        <f t="shared" si="278"/>
        <v>19900303.579999998</v>
      </c>
      <c r="R310" s="105">
        <f t="shared" si="278"/>
        <v>48541221.869999997</v>
      </c>
      <c r="S310" s="105">
        <f t="shared" si="278"/>
        <v>0</v>
      </c>
      <c r="T310" s="105">
        <f t="shared" si="278"/>
        <v>31393665.75</v>
      </c>
      <c r="U310" s="105">
        <f t="shared" si="278"/>
        <v>19900303.579999998</v>
      </c>
      <c r="V310" s="105">
        <f t="shared" si="278"/>
        <v>51293969.329999991</v>
      </c>
      <c r="W310" s="105">
        <f t="shared" si="278"/>
        <v>0</v>
      </c>
      <c r="X310" s="105">
        <f t="shared" si="278"/>
        <v>2752736.46</v>
      </c>
      <c r="Y310" s="105">
        <f t="shared" si="278"/>
        <v>0</v>
      </c>
      <c r="Z310" s="105">
        <f t="shared" si="278"/>
        <v>2752736.46</v>
      </c>
      <c r="AA310" s="105">
        <f t="shared" si="278"/>
        <v>0</v>
      </c>
      <c r="AB310" s="105">
        <f t="shared" si="278"/>
        <v>29663416.479999997</v>
      </c>
      <c r="AC310" s="105">
        <f t="shared" si="278"/>
        <v>10941703.109999999</v>
      </c>
      <c r="AD310" s="105">
        <f t="shared" si="278"/>
        <v>40605119.589999996</v>
      </c>
      <c r="AE310" s="105">
        <f t="shared" si="278"/>
        <v>0</v>
      </c>
      <c r="AF310" s="105">
        <f t="shared" si="278"/>
        <v>32416152.939999998</v>
      </c>
      <c r="AG310" s="105">
        <f t="shared" si="278"/>
        <v>10941703.109999999</v>
      </c>
      <c r="AH310" s="105">
        <f t="shared" si="278"/>
        <v>43357856.049999997</v>
      </c>
      <c r="AI310" s="105">
        <f t="shared" si="278"/>
        <v>0</v>
      </c>
      <c r="AJ310" s="105">
        <f t="shared" si="278"/>
        <v>-1022487.1899999995</v>
      </c>
      <c r="AK310" s="105">
        <f t="shared" si="278"/>
        <v>8958600.4699999988</v>
      </c>
      <c r="AL310" s="105">
        <f t="shared" si="278"/>
        <v>7936113.2799999993</v>
      </c>
      <c r="AN310" s="828">
        <f>+AL310-'CONAP (ALL FUNDS)'!Q296</f>
        <v>0</v>
      </c>
    </row>
    <row r="311" spans="2:40" ht="15.75" hidden="1" customHeight="1">
      <c r="B311" s="122" t="s">
        <v>738</v>
      </c>
      <c r="C311" s="105">
        <f>+C121+C208</f>
        <v>0</v>
      </c>
      <c r="D311" s="105">
        <f t="shared" ref="D311:AL311" si="279">+D121+D208</f>
        <v>6671193.79</v>
      </c>
      <c r="E311" s="105">
        <f t="shared" si="279"/>
        <v>0</v>
      </c>
      <c r="F311" s="105">
        <f t="shared" si="279"/>
        <v>6671193.79</v>
      </c>
      <c r="G311" s="105">
        <f t="shared" si="279"/>
        <v>0</v>
      </c>
      <c r="H311" s="105">
        <f t="shared" si="279"/>
        <v>-13417578.82</v>
      </c>
      <c r="I311" s="105">
        <f t="shared" si="279"/>
        <v>6913000</v>
      </c>
      <c r="J311" s="105">
        <f t="shared" si="279"/>
        <v>-6504578.8200000003</v>
      </c>
      <c r="K311" s="105">
        <f t="shared" si="279"/>
        <v>0</v>
      </c>
      <c r="L311" s="105">
        <f t="shared" si="279"/>
        <v>67003665.539999999</v>
      </c>
      <c r="M311" s="105">
        <f t="shared" si="279"/>
        <v>21871993.719999999</v>
      </c>
      <c r="N311" s="105">
        <f t="shared" si="279"/>
        <v>88875659.25999999</v>
      </c>
      <c r="O311" s="105">
        <f t="shared" si="279"/>
        <v>0</v>
      </c>
      <c r="P311" s="105">
        <f t="shared" si="279"/>
        <v>53586086.719999999</v>
      </c>
      <c r="Q311" s="105">
        <f t="shared" si="279"/>
        <v>28784993.719999999</v>
      </c>
      <c r="R311" s="105">
        <f t="shared" si="279"/>
        <v>82371080.439999998</v>
      </c>
      <c r="S311" s="105">
        <f t="shared" si="279"/>
        <v>0</v>
      </c>
      <c r="T311" s="105">
        <f t="shared" si="279"/>
        <v>60257280.509999998</v>
      </c>
      <c r="U311" s="105">
        <f t="shared" si="279"/>
        <v>28784993.719999999</v>
      </c>
      <c r="V311" s="105">
        <f t="shared" si="279"/>
        <v>89042274.229999989</v>
      </c>
      <c r="W311" s="105">
        <f t="shared" si="279"/>
        <v>0</v>
      </c>
      <c r="X311" s="105">
        <f t="shared" si="279"/>
        <v>6376741.4000000004</v>
      </c>
      <c r="Y311" s="105">
        <f t="shared" si="279"/>
        <v>0</v>
      </c>
      <c r="Z311" s="105">
        <f t="shared" si="279"/>
        <v>6376741.4000000004</v>
      </c>
      <c r="AA311" s="105">
        <f t="shared" si="279"/>
        <v>0</v>
      </c>
      <c r="AB311" s="105">
        <f t="shared" si="279"/>
        <v>26411848.420000002</v>
      </c>
      <c r="AC311" s="105">
        <f t="shared" si="279"/>
        <v>11021183.379999999</v>
      </c>
      <c r="AD311" s="105">
        <f t="shared" si="279"/>
        <v>37433031.800000004</v>
      </c>
      <c r="AE311" s="105">
        <f t="shared" si="279"/>
        <v>0</v>
      </c>
      <c r="AF311" s="105">
        <f t="shared" si="279"/>
        <v>32788589.82</v>
      </c>
      <c r="AG311" s="105">
        <f t="shared" si="279"/>
        <v>11021183.379999999</v>
      </c>
      <c r="AH311" s="105">
        <f t="shared" si="279"/>
        <v>43809773.199999996</v>
      </c>
      <c r="AI311" s="105">
        <f t="shared" si="279"/>
        <v>0</v>
      </c>
      <c r="AJ311" s="105">
        <f t="shared" si="279"/>
        <v>27468690.689999994</v>
      </c>
      <c r="AK311" s="105">
        <f t="shared" si="279"/>
        <v>17763810.34</v>
      </c>
      <c r="AL311" s="105">
        <f t="shared" si="279"/>
        <v>45232501.029999994</v>
      </c>
      <c r="AN311" s="828">
        <f>+AL311-'CONAP (ALL FUNDS)'!Q378</f>
        <v>0</v>
      </c>
    </row>
    <row r="312" spans="2:40" ht="15.75" hidden="1" customHeight="1">
      <c r="B312" s="122" t="s">
        <v>748</v>
      </c>
      <c r="C312" s="105">
        <f>+C128+C213</f>
        <v>0</v>
      </c>
      <c r="D312" s="105">
        <f t="shared" ref="D312:AL312" si="280">+D128+D213</f>
        <v>2381325.2199999997</v>
      </c>
      <c r="E312" s="105">
        <f t="shared" si="280"/>
        <v>0</v>
      </c>
      <c r="F312" s="105">
        <f t="shared" si="280"/>
        <v>2381325.2199999997</v>
      </c>
      <c r="G312" s="105">
        <f t="shared" si="280"/>
        <v>0</v>
      </c>
      <c r="H312" s="105">
        <f t="shared" si="280"/>
        <v>-2191140</v>
      </c>
      <c r="I312" s="105">
        <f t="shared" si="280"/>
        <v>28030900</v>
      </c>
      <c r="J312" s="105">
        <f t="shared" si="280"/>
        <v>25839760</v>
      </c>
      <c r="K312" s="105">
        <f t="shared" si="280"/>
        <v>0</v>
      </c>
      <c r="L312" s="105">
        <f t="shared" si="280"/>
        <v>52778472.359999999</v>
      </c>
      <c r="M312" s="105">
        <f t="shared" si="280"/>
        <v>21078999.710000001</v>
      </c>
      <c r="N312" s="105">
        <f t="shared" si="280"/>
        <v>73857472.070000008</v>
      </c>
      <c r="O312" s="105">
        <f t="shared" si="280"/>
        <v>0</v>
      </c>
      <c r="P312" s="105">
        <f t="shared" si="280"/>
        <v>50587332.359999999</v>
      </c>
      <c r="Q312" s="105">
        <f t="shared" si="280"/>
        <v>49109899.710000001</v>
      </c>
      <c r="R312" s="105">
        <f t="shared" si="280"/>
        <v>99697232.070000008</v>
      </c>
      <c r="S312" s="105">
        <f t="shared" si="280"/>
        <v>0</v>
      </c>
      <c r="T312" s="105">
        <f t="shared" si="280"/>
        <v>52968657.579999998</v>
      </c>
      <c r="U312" s="105">
        <f t="shared" si="280"/>
        <v>49109899.710000001</v>
      </c>
      <c r="V312" s="105">
        <f t="shared" si="280"/>
        <v>102078557.29000001</v>
      </c>
      <c r="W312" s="105">
        <f t="shared" si="280"/>
        <v>0</v>
      </c>
      <c r="X312" s="105">
        <f t="shared" si="280"/>
        <v>1798692.94</v>
      </c>
      <c r="Y312" s="105">
        <f t="shared" si="280"/>
        <v>0</v>
      </c>
      <c r="Z312" s="105">
        <f t="shared" si="280"/>
        <v>1798692.94</v>
      </c>
      <c r="AA312" s="105">
        <f t="shared" si="280"/>
        <v>0</v>
      </c>
      <c r="AB312" s="105">
        <f t="shared" si="280"/>
        <v>45126580.799999997</v>
      </c>
      <c r="AC312" s="105">
        <f t="shared" si="280"/>
        <v>24124450.649999999</v>
      </c>
      <c r="AD312" s="105">
        <f t="shared" si="280"/>
        <v>69251031.450000003</v>
      </c>
      <c r="AE312" s="105">
        <f t="shared" si="280"/>
        <v>0</v>
      </c>
      <c r="AF312" s="105">
        <f t="shared" si="280"/>
        <v>46925273.739999995</v>
      </c>
      <c r="AG312" s="105">
        <f t="shared" si="280"/>
        <v>24124450.649999999</v>
      </c>
      <c r="AH312" s="105">
        <f t="shared" si="280"/>
        <v>71049724.390000001</v>
      </c>
      <c r="AI312" s="105">
        <f t="shared" si="280"/>
        <v>0</v>
      </c>
      <c r="AJ312" s="105">
        <f t="shared" si="280"/>
        <v>6043383.8400000054</v>
      </c>
      <c r="AK312" s="105">
        <f t="shared" si="280"/>
        <v>24985449.060000002</v>
      </c>
      <c r="AL312" s="105">
        <f t="shared" si="280"/>
        <v>31028832.900000006</v>
      </c>
      <c r="AN312" s="828">
        <f>+AL312-'CONAP (ALL FUNDS)'!Q415</f>
        <v>0</v>
      </c>
    </row>
    <row r="313" spans="2:40" ht="15.75" hidden="1" customHeight="1">
      <c r="B313" s="122" t="s">
        <v>749</v>
      </c>
      <c r="C313" s="105">
        <f>+C131+C218</f>
        <v>0</v>
      </c>
      <c r="D313" s="105">
        <f t="shared" ref="D313:AL313" si="281">+D131+D218</f>
        <v>612603.08999999426</v>
      </c>
      <c r="E313" s="105">
        <f t="shared" si="281"/>
        <v>0</v>
      </c>
      <c r="F313" s="105">
        <f t="shared" si="281"/>
        <v>612603.08999999426</v>
      </c>
      <c r="G313" s="105">
        <f t="shared" si="281"/>
        <v>0</v>
      </c>
      <c r="H313" s="105">
        <f t="shared" si="281"/>
        <v>-1650840.71</v>
      </c>
      <c r="I313" s="105">
        <f t="shared" si="281"/>
        <v>8901800</v>
      </c>
      <c r="J313" s="105">
        <f t="shared" si="281"/>
        <v>7250959.29</v>
      </c>
      <c r="K313" s="105">
        <f t="shared" si="281"/>
        <v>0</v>
      </c>
      <c r="L313" s="105">
        <f t="shared" si="281"/>
        <v>19188487.729999997</v>
      </c>
      <c r="M313" s="105">
        <f t="shared" si="281"/>
        <v>4152665.33</v>
      </c>
      <c r="N313" s="105">
        <f t="shared" si="281"/>
        <v>23341153.059999995</v>
      </c>
      <c r="O313" s="105">
        <f t="shared" si="281"/>
        <v>0</v>
      </c>
      <c r="P313" s="105">
        <f t="shared" si="281"/>
        <v>17537647.019999996</v>
      </c>
      <c r="Q313" s="105">
        <f t="shared" si="281"/>
        <v>13054465.33</v>
      </c>
      <c r="R313" s="105">
        <f t="shared" si="281"/>
        <v>30592112.349999994</v>
      </c>
      <c r="S313" s="105">
        <f t="shared" si="281"/>
        <v>0</v>
      </c>
      <c r="T313" s="105">
        <f t="shared" si="281"/>
        <v>18150250.109999992</v>
      </c>
      <c r="U313" s="105">
        <f t="shared" si="281"/>
        <v>13054465.33</v>
      </c>
      <c r="V313" s="105">
        <f t="shared" si="281"/>
        <v>31204715.43999999</v>
      </c>
      <c r="W313" s="105">
        <f t="shared" si="281"/>
        <v>0</v>
      </c>
      <c r="X313" s="105">
        <f t="shared" si="281"/>
        <v>612419.63</v>
      </c>
      <c r="Y313" s="105">
        <f t="shared" si="281"/>
        <v>0</v>
      </c>
      <c r="Z313" s="105">
        <f t="shared" si="281"/>
        <v>612419.63</v>
      </c>
      <c r="AA313" s="105">
        <f t="shared" si="281"/>
        <v>0</v>
      </c>
      <c r="AB313" s="105">
        <f t="shared" si="281"/>
        <v>13034502.129999999</v>
      </c>
      <c r="AC313" s="105">
        <f t="shared" si="281"/>
        <v>1661630</v>
      </c>
      <c r="AD313" s="105">
        <f t="shared" si="281"/>
        <v>14696132.129999999</v>
      </c>
      <c r="AE313" s="105">
        <f t="shared" si="281"/>
        <v>0</v>
      </c>
      <c r="AF313" s="105">
        <f t="shared" si="281"/>
        <v>13646921.76</v>
      </c>
      <c r="AG313" s="105">
        <f t="shared" si="281"/>
        <v>1661630</v>
      </c>
      <c r="AH313" s="105">
        <f t="shared" si="281"/>
        <v>15308551.76</v>
      </c>
      <c r="AI313" s="105">
        <f t="shared" si="281"/>
        <v>0</v>
      </c>
      <c r="AJ313" s="105">
        <f t="shared" si="281"/>
        <v>4503328.3499999922</v>
      </c>
      <c r="AK313" s="105">
        <f t="shared" si="281"/>
        <v>11392835.33</v>
      </c>
      <c r="AL313" s="105">
        <f t="shared" si="281"/>
        <v>15896163.679999992</v>
      </c>
      <c r="AN313" s="828">
        <f>+AL313-'CONAP (ALL FUNDS)'!Q464</f>
        <v>0</v>
      </c>
    </row>
    <row r="314" spans="2:40" ht="15.75" hidden="1" customHeight="1">
      <c r="B314" s="122" t="s">
        <v>739</v>
      </c>
      <c r="C314" s="105">
        <f>+C135+C223</f>
        <v>0</v>
      </c>
      <c r="D314" s="105">
        <f t="shared" ref="D314:AL314" si="282">+D135+D223</f>
        <v>250000</v>
      </c>
      <c r="E314" s="105">
        <f t="shared" si="282"/>
        <v>0</v>
      </c>
      <c r="F314" s="105">
        <f t="shared" si="282"/>
        <v>250000</v>
      </c>
      <c r="G314" s="105">
        <f t="shared" si="282"/>
        <v>0</v>
      </c>
      <c r="H314" s="105">
        <f t="shared" si="282"/>
        <v>-3394570.75</v>
      </c>
      <c r="I314" s="105">
        <f t="shared" si="282"/>
        <v>25022000</v>
      </c>
      <c r="J314" s="105">
        <f t="shared" si="282"/>
        <v>21627429.25</v>
      </c>
      <c r="K314" s="105">
        <f t="shared" si="282"/>
        <v>0</v>
      </c>
      <c r="L314" s="105">
        <f t="shared" si="282"/>
        <v>58485488.969999999</v>
      </c>
      <c r="M314" s="105">
        <f t="shared" si="282"/>
        <v>5581939.6600000001</v>
      </c>
      <c r="N314" s="105">
        <f t="shared" si="282"/>
        <v>64067428.629999995</v>
      </c>
      <c r="O314" s="105">
        <f t="shared" si="282"/>
        <v>0</v>
      </c>
      <c r="P314" s="105">
        <f t="shared" si="282"/>
        <v>55659115.719999999</v>
      </c>
      <c r="Q314" s="105">
        <f t="shared" si="282"/>
        <v>31746503.66</v>
      </c>
      <c r="R314" s="105">
        <f t="shared" si="282"/>
        <v>87405619.379999995</v>
      </c>
      <c r="S314" s="105">
        <f t="shared" si="282"/>
        <v>0</v>
      </c>
      <c r="T314" s="105">
        <f t="shared" si="282"/>
        <v>55909115.719999999</v>
      </c>
      <c r="U314" s="105">
        <f t="shared" si="282"/>
        <v>31746503.66</v>
      </c>
      <c r="V314" s="105">
        <f t="shared" si="282"/>
        <v>87655619.379999995</v>
      </c>
      <c r="W314" s="105">
        <f t="shared" si="282"/>
        <v>0</v>
      </c>
      <c r="X314" s="105">
        <f t="shared" si="282"/>
        <v>250000</v>
      </c>
      <c r="Y314" s="105">
        <f t="shared" si="282"/>
        <v>0</v>
      </c>
      <c r="Z314" s="105">
        <f t="shared" si="282"/>
        <v>250000</v>
      </c>
      <c r="AA314" s="105">
        <f t="shared" si="282"/>
        <v>0</v>
      </c>
      <c r="AB314" s="105">
        <f t="shared" si="282"/>
        <v>52485054.689999998</v>
      </c>
      <c r="AC314" s="105">
        <f t="shared" si="282"/>
        <v>21413812.789999999</v>
      </c>
      <c r="AD314" s="105">
        <f t="shared" si="282"/>
        <v>73898867.480000004</v>
      </c>
      <c r="AE314" s="105">
        <f t="shared" si="282"/>
        <v>0</v>
      </c>
      <c r="AF314" s="105">
        <f t="shared" si="282"/>
        <v>52735054.689999998</v>
      </c>
      <c r="AG314" s="105">
        <f t="shared" si="282"/>
        <v>21413812.789999999</v>
      </c>
      <c r="AH314" s="105">
        <f t="shared" si="282"/>
        <v>74148867.480000004</v>
      </c>
      <c r="AI314" s="105">
        <f t="shared" si="282"/>
        <v>0</v>
      </c>
      <c r="AJ314" s="105">
        <f t="shared" si="282"/>
        <v>3174061.0299999975</v>
      </c>
      <c r="AK314" s="105">
        <f t="shared" si="282"/>
        <v>10332690.870000001</v>
      </c>
      <c r="AL314" s="105">
        <f t="shared" si="282"/>
        <v>13506751.899999999</v>
      </c>
      <c r="AN314" s="828">
        <f>+AL314-'CONAP (ALL FUNDS)'!Q524</f>
        <v>0</v>
      </c>
    </row>
    <row r="315" spans="2:40" ht="15.75" hidden="1" customHeight="1">
      <c r="B315" s="122" t="s">
        <v>740</v>
      </c>
      <c r="C315" s="105">
        <f>+C140+C228</f>
        <v>0</v>
      </c>
      <c r="D315" s="105">
        <f t="shared" ref="D315:AL315" si="283">+D140+D228</f>
        <v>19913096.379999995</v>
      </c>
      <c r="E315" s="105">
        <f t="shared" si="283"/>
        <v>100000000</v>
      </c>
      <c r="F315" s="105">
        <f t="shared" si="283"/>
        <v>119913096.38</v>
      </c>
      <c r="G315" s="105">
        <f t="shared" si="283"/>
        <v>0</v>
      </c>
      <c r="H315" s="105">
        <f t="shared" si="283"/>
        <v>-417244.90000000014</v>
      </c>
      <c r="I315" s="105">
        <f t="shared" si="283"/>
        <v>4959400</v>
      </c>
      <c r="J315" s="105">
        <f t="shared" si="283"/>
        <v>4542155.0999999996</v>
      </c>
      <c r="K315" s="105">
        <f t="shared" si="283"/>
        <v>0</v>
      </c>
      <c r="L315" s="105">
        <f t="shared" si="283"/>
        <v>50552211.870000005</v>
      </c>
      <c r="M315" s="105">
        <f t="shared" si="283"/>
        <v>360682.56</v>
      </c>
      <c r="N315" s="105">
        <f t="shared" si="283"/>
        <v>50912894.430000007</v>
      </c>
      <c r="O315" s="105">
        <f t="shared" si="283"/>
        <v>0</v>
      </c>
      <c r="P315" s="105">
        <f t="shared" si="283"/>
        <v>50134966.969999999</v>
      </c>
      <c r="Q315" s="105">
        <f t="shared" si="283"/>
        <v>5320082.5599999996</v>
      </c>
      <c r="R315" s="105">
        <f t="shared" si="283"/>
        <v>55455049.530000001</v>
      </c>
      <c r="S315" s="105">
        <f t="shared" si="283"/>
        <v>0</v>
      </c>
      <c r="T315" s="105">
        <f t="shared" si="283"/>
        <v>70048063.349999994</v>
      </c>
      <c r="U315" s="105">
        <f t="shared" si="283"/>
        <v>105320082.56</v>
      </c>
      <c r="V315" s="105">
        <f t="shared" si="283"/>
        <v>175368145.91</v>
      </c>
      <c r="W315" s="105">
        <f t="shared" si="283"/>
        <v>0</v>
      </c>
      <c r="X315" s="105">
        <f t="shared" si="283"/>
        <v>4299415.8099999996</v>
      </c>
      <c r="Y315" s="105">
        <f t="shared" si="283"/>
        <v>31356400</v>
      </c>
      <c r="Z315" s="105">
        <f t="shared" si="283"/>
        <v>35655815.810000002</v>
      </c>
      <c r="AA315" s="105">
        <f t="shared" si="283"/>
        <v>0</v>
      </c>
      <c r="AB315" s="105">
        <f t="shared" si="283"/>
        <v>24149677.859999999</v>
      </c>
      <c r="AC315" s="105">
        <f t="shared" si="283"/>
        <v>280210</v>
      </c>
      <c r="AD315" s="105">
        <f t="shared" si="283"/>
        <v>24429887.859999999</v>
      </c>
      <c r="AE315" s="105">
        <f t="shared" si="283"/>
        <v>0</v>
      </c>
      <c r="AF315" s="105">
        <f t="shared" si="283"/>
        <v>28449093.669999998</v>
      </c>
      <c r="AG315" s="105">
        <f t="shared" si="283"/>
        <v>31636610</v>
      </c>
      <c r="AH315" s="105">
        <f t="shared" si="283"/>
        <v>60085703.669999994</v>
      </c>
      <c r="AI315" s="105">
        <f t="shared" si="283"/>
        <v>0</v>
      </c>
      <c r="AJ315" s="105">
        <f t="shared" si="283"/>
        <v>41598969.680000007</v>
      </c>
      <c r="AK315" s="105">
        <f t="shared" si="283"/>
        <v>73683472.560000002</v>
      </c>
      <c r="AL315" s="105">
        <f t="shared" si="283"/>
        <v>115282442.24000001</v>
      </c>
      <c r="AN315" s="828">
        <f>+AL315-'CONAP (ALL FUNDS)'!Q595</f>
        <v>0</v>
      </c>
    </row>
    <row r="316" spans="2:40" ht="15.75" hidden="1" customHeight="1">
      <c r="B316" s="122" t="s">
        <v>741</v>
      </c>
      <c r="C316" s="105">
        <f>+C146+C233</f>
        <v>0</v>
      </c>
      <c r="D316" s="105">
        <f t="shared" ref="D316:AL316" si="284">+D146+D233</f>
        <v>5713291.700000017</v>
      </c>
      <c r="E316" s="105">
        <f t="shared" si="284"/>
        <v>0</v>
      </c>
      <c r="F316" s="105">
        <f t="shared" si="284"/>
        <v>5713291.700000017</v>
      </c>
      <c r="G316" s="105">
        <f t="shared" si="284"/>
        <v>0</v>
      </c>
      <c r="H316" s="105">
        <f t="shared" si="284"/>
        <v>-12084385.279999999</v>
      </c>
      <c r="I316" s="105">
        <f t="shared" si="284"/>
        <v>-97107238</v>
      </c>
      <c r="J316" s="105">
        <f t="shared" si="284"/>
        <v>-109191623.28</v>
      </c>
      <c r="K316" s="105">
        <f t="shared" si="284"/>
        <v>0</v>
      </c>
      <c r="L316" s="105">
        <f t="shared" si="284"/>
        <v>64470790.079999991</v>
      </c>
      <c r="M316" s="105">
        <f t="shared" si="284"/>
        <v>114839306.45</v>
      </c>
      <c r="N316" s="105">
        <f t="shared" si="284"/>
        <v>179310096.52999997</v>
      </c>
      <c r="O316" s="105">
        <f t="shared" si="284"/>
        <v>0</v>
      </c>
      <c r="P316" s="105">
        <f t="shared" si="284"/>
        <v>52386404.79999999</v>
      </c>
      <c r="Q316" s="105">
        <f t="shared" si="284"/>
        <v>17732068.450000003</v>
      </c>
      <c r="R316" s="105">
        <f t="shared" si="284"/>
        <v>70118473.249999985</v>
      </c>
      <c r="S316" s="105">
        <f t="shared" si="284"/>
        <v>0</v>
      </c>
      <c r="T316" s="105">
        <f t="shared" si="284"/>
        <v>58099696.5</v>
      </c>
      <c r="U316" s="105">
        <f t="shared" si="284"/>
        <v>17732068.450000003</v>
      </c>
      <c r="V316" s="105">
        <f t="shared" si="284"/>
        <v>75831764.950000003</v>
      </c>
      <c r="W316" s="105">
        <f t="shared" si="284"/>
        <v>0</v>
      </c>
      <c r="X316" s="105">
        <f t="shared" si="284"/>
        <v>5095612.21</v>
      </c>
      <c r="Y316" s="105">
        <f t="shared" si="284"/>
        <v>0</v>
      </c>
      <c r="Z316" s="105">
        <f t="shared" si="284"/>
        <v>5095612.21</v>
      </c>
      <c r="AA316" s="105">
        <f t="shared" si="284"/>
        <v>0</v>
      </c>
      <c r="AB316" s="105">
        <f t="shared" si="284"/>
        <v>37131473.470000006</v>
      </c>
      <c r="AC316" s="105">
        <f t="shared" si="284"/>
        <v>12775953</v>
      </c>
      <c r="AD316" s="105">
        <f t="shared" si="284"/>
        <v>49907426.470000006</v>
      </c>
      <c r="AE316" s="105">
        <f t="shared" si="284"/>
        <v>0</v>
      </c>
      <c r="AF316" s="105">
        <f t="shared" si="284"/>
        <v>42227085.680000007</v>
      </c>
      <c r="AG316" s="105">
        <f t="shared" si="284"/>
        <v>12775953</v>
      </c>
      <c r="AH316" s="105">
        <f t="shared" si="284"/>
        <v>55003038.680000007</v>
      </c>
      <c r="AI316" s="105">
        <f t="shared" si="284"/>
        <v>0</v>
      </c>
      <c r="AJ316" s="105">
        <f t="shared" si="284"/>
        <v>15872610.819999995</v>
      </c>
      <c r="AK316" s="105">
        <f t="shared" si="284"/>
        <v>4956115.450000003</v>
      </c>
      <c r="AL316" s="105">
        <f t="shared" si="284"/>
        <v>20828726.269999996</v>
      </c>
      <c r="AN316" s="828">
        <f>+AL316-'CONAP (ALL FUNDS)'!Q688</f>
        <v>0</v>
      </c>
    </row>
    <row r="317" spans="2:40" ht="15.75" hidden="1" customHeight="1">
      <c r="B317" s="122" t="s">
        <v>742</v>
      </c>
      <c r="C317" s="105">
        <f>+C154+C238</f>
        <v>0</v>
      </c>
      <c r="D317" s="105">
        <f t="shared" ref="D317:AL317" si="285">+D154+D238</f>
        <v>556785.28</v>
      </c>
      <c r="E317" s="105">
        <f t="shared" si="285"/>
        <v>0</v>
      </c>
      <c r="F317" s="105">
        <f t="shared" si="285"/>
        <v>556785.28</v>
      </c>
      <c r="G317" s="105">
        <f t="shared" si="285"/>
        <v>0</v>
      </c>
      <c r="H317" s="105">
        <f t="shared" si="285"/>
        <v>3000000</v>
      </c>
      <c r="I317" s="105">
        <f t="shared" si="285"/>
        <v>40364000</v>
      </c>
      <c r="J317" s="105">
        <f t="shared" si="285"/>
        <v>43364000</v>
      </c>
      <c r="K317" s="105">
        <f t="shared" si="285"/>
        <v>0</v>
      </c>
      <c r="L317" s="105">
        <f t="shared" si="285"/>
        <v>39279044.130000003</v>
      </c>
      <c r="M317" s="105">
        <f t="shared" si="285"/>
        <v>16269341.17</v>
      </c>
      <c r="N317" s="105">
        <f t="shared" si="285"/>
        <v>55548385.300000004</v>
      </c>
      <c r="O317" s="105">
        <f t="shared" si="285"/>
        <v>0</v>
      </c>
      <c r="P317" s="105">
        <f t="shared" si="285"/>
        <v>42279044.130000003</v>
      </c>
      <c r="Q317" s="105">
        <f t="shared" si="285"/>
        <v>56633341.170000002</v>
      </c>
      <c r="R317" s="105">
        <f t="shared" si="285"/>
        <v>98912385.300000012</v>
      </c>
      <c r="S317" s="105">
        <f t="shared" si="285"/>
        <v>0</v>
      </c>
      <c r="T317" s="105">
        <f t="shared" si="285"/>
        <v>42835829.410000004</v>
      </c>
      <c r="U317" s="105">
        <f t="shared" si="285"/>
        <v>56633341.170000002</v>
      </c>
      <c r="V317" s="105">
        <f t="shared" si="285"/>
        <v>99469170.580000013</v>
      </c>
      <c r="W317" s="105">
        <f t="shared" si="285"/>
        <v>0</v>
      </c>
      <c r="X317" s="105">
        <f t="shared" si="285"/>
        <v>555797.43999999994</v>
      </c>
      <c r="Y317" s="105">
        <f t="shared" si="285"/>
        <v>0</v>
      </c>
      <c r="Z317" s="105">
        <f t="shared" si="285"/>
        <v>555797.43999999994</v>
      </c>
      <c r="AA317" s="105">
        <f t="shared" si="285"/>
        <v>0</v>
      </c>
      <c r="AB317" s="105">
        <f t="shared" si="285"/>
        <v>16464401.840000004</v>
      </c>
      <c r="AC317" s="105">
        <f t="shared" si="285"/>
        <v>7548272.8499999996</v>
      </c>
      <c r="AD317" s="105">
        <f t="shared" si="285"/>
        <v>24012674.690000005</v>
      </c>
      <c r="AE317" s="105">
        <f t="shared" si="285"/>
        <v>0</v>
      </c>
      <c r="AF317" s="105">
        <f t="shared" si="285"/>
        <v>17020199.280000005</v>
      </c>
      <c r="AG317" s="105">
        <f t="shared" si="285"/>
        <v>7548272.8499999996</v>
      </c>
      <c r="AH317" s="105">
        <f t="shared" si="285"/>
        <v>24568472.130000003</v>
      </c>
      <c r="AI317" s="105">
        <f t="shared" si="285"/>
        <v>0</v>
      </c>
      <c r="AJ317" s="105">
        <f t="shared" si="285"/>
        <v>25815630.129999999</v>
      </c>
      <c r="AK317" s="105">
        <f t="shared" si="285"/>
        <v>49085068.32</v>
      </c>
      <c r="AL317" s="105">
        <f t="shared" si="285"/>
        <v>74900698.450000003</v>
      </c>
      <c r="AN317" s="828">
        <f>+AL317-'CONAP (ALL FUNDS)'!Q737</f>
        <v>0</v>
      </c>
    </row>
    <row r="318" spans="2:40" ht="15.75" hidden="1" customHeight="1">
      <c r="B318" s="122" t="s">
        <v>743</v>
      </c>
      <c r="C318" s="105">
        <f>+C158+C243</f>
        <v>0</v>
      </c>
      <c r="D318" s="105">
        <f t="shared" ref="D318:AL318" si="286">+D158+D243</f>
        <v>2453299.3999999966</v>
      </c>
      <c r="E318" s="105">
        <f t="shared" si="286"/>
        <v>0</v>
      </c>
      <c r="F318" s="105">
        <f t="shared" si="286"/>
        <v>2453299.3999999966</v>
      </c>
      <c r="G318" s="105">
        <f t="shared" si="286"/>
        <v>0</v>
      </c>
      <c r="H318" s="105">
        <f t="shared" si="286"/>
        <v>-5598677.1600000001</v>
      </c>
      <c r="I318" s="105">
        <f t="shared" si="286"/>
        <v>16623800</v>
      </c>
      <c r="J318" s="105">
        <f t="shared" si="286"/>
        <v>11025122.84</v>
      </c>
      <c r="K318" s="105">
        <f t="shared" si="286"/>
        <v>0</v>
      </c>
      <c r="L318" s="105">
        <f t="shared" si="286"/>
        <v>40505393.949999996</v>
      </c>
      <c r="M318" s="105">
        <f t="shared" si="286"/>
        <v>93588396.060000002</v>
      </c>
      <c r="N318" s="105">
        <f t="shared" si="286"/>
        <v>134093790.01000001</v>
      </c>
      <c r="O318" s="105">
        <f t="shared" si="286"/>
        <v>0</v>
      </c>
      <c r="P318" s="105">
        <f t="shared" si="286"/>
        <v>34906716.789999999</v>
      </c>
      <c r="Q318" s="105">
        <f t="shared" si="286"/>
        <v>110212196.06</v>
      </c>
      <c r="R318" s="105">
        <f t="shared" si="286"/>
        <v>145118912.84999999</v>
      </c>
      <c r="S318" s="105">
        <f t="shared" si="286"/>
        <v>0</v>
      </c>
      <c r="T318" s="105">
        <f t="shared" si="286"/>
        <v>37360016.18999999</v>
      </c>
      <c r="U318" s="105">
        <f t="shared" si="286"/>
        <v>110212196.06</v>
      </c>
      <c r="V318" s="105">
        <f t="shared" si="286"/>
        <v>147572212.25</v>
      </c>
      <c r="W318" s="105">
        <f t="shared" si="286"/>
        <v>0</v>
      </c>
      <c r="X318" s="105">
        <f t="shared" si="286"/>
        <v>1746535.52</v>
      </c>
      <c r="Y318" s="105">
        <f t="shared" si="286"/>
        <v>0</v>
      </c>
      <c r="Z318" s="105">
        <f t="shared" si="286"/>
        <v>1746535.52</v>
      </c>
      <c r="AA318" s="105">
        <f t="shared" si="286"/>
        <v>0</v>
      </c>
      <c r="AB318" s="105">
        <f t="shared" si="286"/>
        <v>25630588.909999996</v>
      </c>
      <c r="AC318" s="105">
        <f t="shared" si="286"/>
        <v>51548281.080000006</v>
      </c>
      <c r="AD318" s="105">
        <f t="shared" si="286"/>
        <v>77178869.99000001</v>
      </c>
      <c r="AE318" s="105">
        <f t="shared" si="286"/>
        <v>0</v>
      </c>
      <c r="AF318" s="105">
        <f t="shared" si="286"/>
        <v>27377124.429999996</v>
      </c>
      <c r="AG318" s="105">
        <f t="shared" si="286"/>
        <v>51548281.080000006</v>
      </c>
      <c r="AH318" s="105">
        <f t="shared" si="286"/>
        <v>78925405.510000005</v>
      </c>
      <c r="AI318" s="105">
        <f t="shared" si="286"/>
        <v>0</v>
      </c>
      <c r="AJ318" s="105">
        <f t="shared" si="286"/>
        <v>9982891.7599999979</v>
      </c>
      <c r="AK318" s="105">
        <f t="shared" si="286"/>
        <v>58663914.979999997</v>
      </c>
      <c r="AL318" s="105">
        <f t="shared" si="286"/>
        <v>68646806.739999995</v>
      </c>
      <c r="AN318" s="828">
        <f>+AL318-'CONAP (ALL FUNDS)'!Q852</f>
        <v>0</v>
      </c>
    </row>
    <row r="319" spans="2:40" ht="15.75" hidden="1" customHeight="1">
      <c r="B319" s="122" t="s">
        <v>744</v>
      </c>
      <c r="C319" s="105">
        <f>+C168+C248</f>
        <v>0</v>
      </c>
      <c r="D319" s="105">
        <f t="shared" ref="D319:AL319" si="287">+D168+D248</f>
        <v>275304.17999999318</v>
      </c>
      <c r="E319" s="105">
        <f t="shared" si="287"/>
        <v>0</v>
      </c>
      <c r="F319" s="105">
        <f t="shared" si="287"/>
        <v>275304.17999999318</v>
      </c>
      <c r="G319" s="105">
        <f t="shared" si="287"/>
        <v>0</v>
      </c>
      <c r="H319" s="105">
        <f t="shared" si="287"/>
        <v>-1143423.0299999993</v>
      </c>
      <c r="I319" s="105">
        <f t="shared" si="287"/>
        <v>2466500</v>
      </c>
      <c r="J319" s="105">
        <f t="shared" si="287"/>
        <v>1323076.9700000007</v>
      </c>
      <c r="K319" s="105">
        <f t="shared" si="287"/>
        <v>0</v>
      </c>
      <c r="L319" s="105">
        <f t="shared" si="287"/>
        <v>48932567.469999991</v>
      </c>
      <c r="M319" s="105">
        <f t="shared" si="287"/>
        <v>5069905.3000000119</v>
      </c>
      <c r="N319" s="105">
        <f t="shared" si="287"/>
        <v>54002472.770000003</v>
      </c>
      <c r="O319" s="105">
        <f t="shared" si="287"/>
        <v>0</v>
      </c>
      <c r="P319" s="105">
        <f t="shared" si="287"/>
        <v>47789144.43999999</v>
      </c>
      <c r="Q319" s="105">
        <f t="shared" si="287"/>
        <v>7536405.3000000119</v>
      </c>
      <c r="R319" s="105">
        <f t="shared" si="287"/>
        <v>55325549.740000002</v>
      </c>
      <c r="S319" s="105">
        <f t="shared" si="287"/>
        <v>0</v>
      </c>
      <c r="T319" s="105">
        <f t="shared" si="287"/>
        <v>48064448.619999982</v>
      </c>
      <c r="U319" s="105">
        <f t="shared" si="287"/>
        <v>7536405.3000000119</v>
      </c>
      <c r="V319" s="105">
        <f t="shared" si="287"/>
        <v>55600853.919999994</v>
      </c>
      <c r="W319" s="105">
        <f t="shared" si="287"/>
        <v>0</v>
      </c>
      <c r="X319" s="105">
        <f t="shared" si="287"/>
        <v>273519.86</v>
      </c>
      <c r="Y319" s="105">
        <f t="shared" si="287"/>
        <v>0</v>
      </c>
      <c r="Z319" s="105">
        <f t="shared" si="287"/>
        <v>273519.86</v>
      </c>
      <c r="AA319" s="105">
        <f t="shared" si="287"/>
        <v>0</v>
      </c>
      <c r="AB319" s="105">
        <f t="shared" si="287"/>
        <v>43178829.980000004</v>
      </c>
      <c r="AC319" s="105">
        <f t="shared" si="287"/>
        <v>0</v>
      </c>
      <c r="AD319" s="105">
        <f t="shared" si="287"/>
        <v>43178829.980000004</v>
      </c>
      <c r="AE319" s="105">
        <f t="shared" si="287"/>
        <v>0</v>
      </c>
      <c r="AF319" s="105">
        <f t="shared" si="287"/>
        <v>43452349.840000004</v>
      </c>
      <c r="AG319" s="105">
        <f t="shared" si="287"/>
        <v>0</v>
      </c>
      <c r="AH319" s="105">
        <f t="shared" si="287"/>
        <v>43452349.840000004</v>
      </c>
      <c r="AI319" s="105">
        <f t="shared" si="287"/>
        <v>0</v>
      </c>
      <c r="AJ319" s="105">
        <f t="shared" si="287"/>
        <v>4612098.7799999826</v>
      </c>
      <c r="AK319" s="105">
        <f t="shared" si="287"/>
        <v>7536405.3000000119</v>
      </c>
      <c r="AL319" s="105">
        <f t="shared" si="287"/>
        <v>12148504.079999994</v>
      </c>
      <c r="AN319" s="828">
        <f>+AL319-'CONAP (ALL FUNDS)'!Q912</f>
        <v>0</v>
      </c>
    </row>
    <row r="320" spans="2:40" ht="15.75" hidden="1" customHeight="1">
      <c r="B320" s="122" t="s">
        <v>745</v>
      </c>
      <c r="C320" s="105">
        <f>+C173+C253</f>
        <v>0</v>
      </c>
      <c r="D320" s="105">
        <f t="shared" ref="D320:AL320" si="288">+D173+D253</f>
        <v>4999967.57</v>
      </c>
      <c r="E320" s="105">
        <f t="shared" si="288"/>
        <v>0</v>
      </c>
      <c r="F320" s="105">
        <f t="shared" si="288"/>
        <v>4999967.57</v>
      </c>
      <c r="G320" s="105">
        <f t="shared" si="288"/>
        <v>0</v>
      </c>
      <c r="H320" s="105">
        <f t="shared" si="288"/>
        <v>3003001.1700000004</v>
      </c>
      <c r="I320" s="105">
        <f t="shared" si="288"/>
        <v>1701000</v>
      </c>
      <c r="J320" s="105">
        <f t="shared" si="288"/>
        <v>4704001.17</v>
      </c>
      <c r="K320" s="105">
        <f t="shared" si="288"/>
        <v>0</v>
      </c>
      <c r="L320" s="105">
        <f t="shared" si="288"/>
        <v>48406739.989999995</v>
      </c>
      <c r="M320" s="105">
        <f t="shared" si="288"/>
        <v>109604126.20999999</v>
      </c>
      <c r="N320" s="105">
        <f t="shared" si="288"/>
        <v>158010866.19999999</v>
      </c>
      <c r="O320" s="105">
        <f t="shared" si="288"/>
        <v>0</v>
      </c>
      <c r="P320" s="105">
        <f t="shared" si="288"/>
        <v>51409741.159999996</v>
      </c>
      <c r="Q320" s="105">
        <f t="shared" si="288"/>
        <v>111305126.20999999</v>
      </c>
      <c r="R320" s="105">
        <f t="shared" si="288"/>
        <v>162714867.36999997</v>
      </c>
      <c r="S320" s="105">
        <f t="shared" si="288"/>
        <v>0</v>
      </c>
      <c r="T320" s="105">
        <f t="shared" si="288"/>
        <v>56409708.729999989</v>
      </c>
      <c r="U320" s="105">
        <f t="shared" si="288"/>
        <v>111305126.20999999</v>
      </c>
      <c r="V320" s="105">
        <f t="shared" si="288"/>
        <v>167714834.94</v>
      </c>
      <c r="W320" s="105">
        <f t="shared" si="288"/>
        <v>0</v>
      </c>
      <c r="X320" s="105">
        <f t="shared" si="288"/>
        <v>1806178.22</v>
      </c>
      <c r="Y320" s="105">
        <f t="shared" si="288"/>
        <v>0</v>
      </c>
      <c r="Z320" s="105">
        <f t="shared" si="288"/>
        <v>1806178.22</v>
      </c>
      <c r="AA320" s="105">
        <f t="shared" si="288"/>
        <v>0</v>
      </c>
      <c r="AB320" s="105">
        <f t="shared" si="288"/>
        <v>51887761.590000004</v>
      </c>
      <c r="AC320" s="105">
        <f t="shared" si="288"/>
        <v>101697422</v>
      </c>
      <c r="AD320" s="105">
        <f t="shared" si="288"/>
        <v>153585183.59</v>
      </c>
      <c r="AE320" s="105">
        <f t="shared" si="288"/>
        <v>0</v>
      </c>
      <c r="AF320" s="105">
        <f t="shared" si="288"/>
        <v>53693939.810000002</v>
      </c>
      <c r="AG320" s="105">
        <f t="shared" si="288"/>
        <v>101697422</v>
      </c>
      <c r="AH320" s="105">
        <f t="shared" si="288"/>
        <v>155391361.80999997</v>
      </c>
      <c r="AI320" s="105">
        <f t="shared" si="288"/>
        <v>0</v>
      </c>
      <c r="AJ320" s="105">
        <f t="shared" si="288"/>
        <v>2715768.9199999906</v>
      </c>
      <c r="AK320" s="105">
        <f t="shared" si="288"/>
        <v>9607704.2099999934</v>
      </c>
      <c r="AL320" s="105">
        <f t="shared" si="288"/>
        <v>12323473.129999984</v>
      </c>
      <c r="AN320" s="828">
        <f>+AL320-'CONAP (ALL FUNDS)'!Q961</f>
        <v>0</v>
      </c>
    </row>
    <row r="321" spans="2:40" ht="15.75" hidden="1" customHeight="1">
      <c r="B321" s="122" t="s">
        <v>746</v>
      </c>
      <c r="C321" s="105">
        <f>+C177+C258</f>
        <v>0</v>
      </c>
      <c r="D321" s="105">
        <f t="shared" ref="D321:AL321" si="289">+D177+D258</f>
        <v>7424593.6599999992</v>
      </c>
      <c r="E321" s="105">
        <f t="shared" si="289"/>
        <v>0</v>
      </c>
      <c r="F321" s="105">
        <f t="shared" si="289"/>
        <v>7424593.6599999992</v>
      </c>
      <c r="G321" s="105">
        <f t="shared" si="289"/>
        <v>0</v>
      </c>
      <c r="H321" s="105">
        <f t="shared" si="289"/>
        <v>-4352607.8499999996</v>
      </c>
      <c r="I321" s="105">
        <f t="shared" si="289"/>
        <v>0</v>
      </c>
      <c r="J321" s="105">
        <f t="shared" si="289"/>
        <v>-4352607.8499999996</v>
      </c>
      <c r="K321" s="105">
        <f t="shared" si="289"/>
        <v>0</v>
      </c>
      <c r="L321" s="105">
        <f t="shared" si="289"/>
        <v>28463446.169999998</v>
      </c>
      <c r="M321" s="105">
        <f t="shared" si="289"/>
        <v>188462</v>
      </c>
      <c r="N321" s="105">
        <f t="shared" si="289"/>
        <v>28651908.169999998</v>
      </c>
      <c r="O321" s="105">
        <f t="shared" si="289"/>
        <v>0</v>
      </c>
      <c r="P321" s="105">
        <f t="shared" si="289"/>
        <v>24110838.32</v>
      </c>
      <c r="Q321" s="105">
        <f t="shared" si="289"/>
        <v>188462</v>
      </c>
      <c r="R321" s="105">
        <f t="shared" si="289"/>
        <v>24299300.32</v>
      </c>
      <c r="S321" s="105">
        <f t="shared" si="289"/>
        <v>0</v>
      </c>
      <c r="T321" s="105">
        <f t="shared" si="289"/>
        <v>31535431.979999997</v>
      </c>
      <c r="U321" s="105">
        <f t="shared" si="289"/>
        <v>188462</v>
      </c>
      <c r="V321" s="105">
        <f t="shared" si="289"/>
        <v>31723893.979999997</v>
      </c>
      <c r="W321" s="105">
        <f t="shared" si="289"/>
        <v>0</v>
      </c>
      <c r="X321" s="105">
        <f t="shared" si="289"/>
        <v>6586430.6600000001</v>
      </c>
      <c r="Y321" s="105">
        <f t="shared" si="289"/>
        <v>0</v>
      </c>
      <c r="Z321" s="105">
        <f t="shared" si="289"/>
        <v>6586430.6600000001</v>
      </c>
      <c r="AA321" s="105">
        <f t="shared" si="289"/>
        <v>0</v>
      </c>
      <c r="AB321" s="105">
        <f t="shared" si="289"/>
        <v>23502287.350000001</v>
      </c>
      <c r="AC321" s="105">
        <f t="shared" si="289"/>
        <v>187980</v>
      </c>
      <c r="AD321" s="105">
        <f t="shared" si="289"/>
        <v>23690267.350000001</v>
      </c>
      <c r="AE321" s="105">
        <f t="shared" si="289"/>
        <v>0</v>
      </c>
      <c r="AF321" s="105">
        <f t="shared" si="289"/>
        <v>30088718.010000002</v>
      </c>
      <c r="AG321" s="105">
        <f t="shared" si="289"/>
        <v>187980</v>
      </c>
      <c r="AH321" s="105">
        <f t="shared" si="289"/>
        <v>30276698.010000002</v>
      </c>
      <c r="AI321" s="105">
        <f t="shared" si="289"/>
        <v>0</v>
      </c>
      <c r="AJ321" s="105">
        <f t="shared" si="289"/>
        <v>1446713.9699999944</v>
      </c>
      <c r="AK321" s="105">
        <f t="shared" si="289"/>
        <v>482</v>
      </c>
      <c r="AL321" s="105">
        <f t="shared" si="289"/>
        <v>1447195.9699999944</v>
      </c>
      <c r="AN321" s="828">
        <f>+AL321-'CONAP (ALL FUNDS)'!Q1010</f>
        <v>-3.4924596548080444E-9</v>
      </c>
    </row>
    <row r="322" spans="2:40" ht="15.75" hidden="1" customHeight="1">
      <c r="B322" s="122" t="s">
        <v>747</v>
      </c>
      <c r="C322" s="105">
        <f>+C181+C263</f>
        <v>0</v>
      </c>
      <c r="D322" s="105">
        <f t="shared" ref="D322:AL322" si="290">+D181+D263</f>
        <v>10482159.610000005</v>
      </c>
      <c r="E322" s="105">
        <f t="shared" si="290"/>
        <v>0</v>
      </c>
      <c r="F322" s="105">
        <f t="shared" si="290"/>
        <v>10482159.610000005</v>
      </c>
      <c r="G322" s="105">
        <f t="shared" si="290"/>
        <v>0</v>
      </c>
      <c r="H322" s="105">
        <f t="shared" si="290"/>
        <v>-6466971.2799999993</v>
      </c>
      <c r="I322" s="105">
        <f t="shared" si="290"/>
        <v>12600100</v>
      </c>
      <c r="J322" s="105">
        <f t="shared" si="290"/>
        <v>6133128.7200000007</v>
      </c>
      <c r="K322" s="105">
        <f t="shared" si="290"/>
        <v>0</v>
      </c>
      <c r="L322" s="105">
        <f t="shared" si="290"/>
        <v>44804711.439999998</v>
      </c>
      <c r="M322" s="105">
        <f t="shared" si="290"/>
        <v>63807114.149999999</v>
      </c>
      <c r="N322" s="105">
        <f t="shared" si="290"/>
        <v>108611825.59</v>
      </c>
      <c r="O322" s="105">
        <f t="shared" si="290"/>
        <v>0</v>
      </c>
      <c r="P322" s="105">
        <f t="shared" si="290"/>
        <v>38337740.160000004</v>
      </c>
      <c r="Q322" s="105">
        <f t="shared" si="290"/>
        <v>76407214.150000006</v>
      </c>
      <c r="R322" s="105">
        <f t="shared" si="290"/>
        <v>114744954.31000002</v>
      </c>
      <c r="S322" s="105">
        <f t="shared" si="290"/>
        <v>0</v>
      </c>
      <c r="T322" s="105">
        <f t="shared" si="290"/>
        <v>48819899.770000003</v>
      </c>
      <c r="U322" s="105">
        <f t="shared" si="290"/>
        <v>76407214.150000006</v>
      </c>
      <c r="V322" s="105">
        <f t="shared" si="290"/>
        <v>125227113.92000002</v>
      </c>
      <c r="W322" s="105">
        <f t="shared" si="290"/>
        <v>0</v>
      </c>
      <c r="X322" s="105">
        <f t="shared" si="290"/>
        <v>9904009.0399999991</v>
      </c>
      <c r="Y322" s="105">
        <f t="shared" si="290"/>
        <v>0</v>
      </c>
      <c r="Z322" s="105">
        <f t="shared" si="290"/>
        <v>9904009.0399999991</v>
      </c>
      <c r="AA322" s="105">
        <f t="shared" si="290"/>
        <v>0</v>
      </c>
      <c r="AB322" s="105">
        <f t="shared" si="290"/>
        <v>36539518.869999997</v>
      </c>
      <c r="AC322" s="105">
        <f t="shared" si="290"/>
        <v>37465258.5</v>
      </c>
      <c r="AD322" s="105">
        <f t="shared" si="290"/>
        <v>74004777.370000005</v>
      </c>
      <c r="AE322" s="105">
        <f t="shared" si="290"/>
        <v>0</v>
      </c>
      <c r="AF322" s="105">
        <f t="shared" si="290"/>
        <v>46443527.909999996</v>
      </c>
      <c r="AG322" s="105">
        <f t="shared" si="290"/>
        <v>37465258.5</v>
      </c>
      <c r="AH322" s="105">
        <f t="shared" si="290"/>
        <v>83908786.409999996</v>
      </c>
      <c r="AI322" s="105">
        <f t="shared" si="290"/>
        <v>0</v>
      </c>
      <c r="AJ322" s="105">
        <f t="shared" si="290"/>
        <v>2376371.8600000106</v>
      </c>
      <c r="AK322" s="105">
        <f t="shared" si="290"/>
        <v>38941955.650000006</v>
      </c>
      <c r="AL322" s="105">
        <f t="shared" si="290"/>
        <v>41318327.51000002</v>
      </c>
      <c r="AN322" s="828">
        <f>+AL322-'CONAP (ALL FUNDS)'!Q1059</f>
        <v>0</v>
      </c>
    </row>
    <row r="323" spans="2:40" ht="15.75" hidden="1" customHeight="1"/>
    <row r="324" spans="2:40" ht="15.75" hidden="1" customHeight="1"/>
    <row r="325" spans="2:40" ht="15.75" hidden="1" customHeight="1"/>
    <row r="326" spans="2:40" ht="15.75" hidden="1" customHeight="1"/>
    <row r="327" spans="2:40" ht="15.75" hidden="1" customHeight="1"/>
    <row r="328" spans="2:40" ht="15.75" hidden="1" customHeight="1"/>
    <row r="329" spans="2:40" ht="15.75" hidden="1" customHeight="1"/>
    <row r="330" spans="2:40" ht="15.75" hidden="1" customHeight="1"/>
    <row r="331" spans="2:40" ht="15.75" hidden="1" customHeight="1"/>
    <row r="332" spans="2:40" ht="15.75" hidden="1" customHeight="1"/>
    <row r="333" spans="2:40" ht="15.75" hidden="1" customHeight="1"/>
    <row r="334" spans="2:40" ht="15.75" hidden="1" customHeight="1"/>
    <row r="335" spans="2:40" ht="15.75" hidden="1" customHeight="1"/>
    <row r="336" spans="2:40" ht="15.75" hidden="1" customHeight="1"/>
    <row r="337" spans="38:38" hidden="1"/>
    <row r="338" spans="38:38" hidden="1"/>
    <row r="339" spans="38:38" hidden="1"/>
    <row r="340" spans="38:38" hidden="1"/>
    <row r="341" spans="38:38" hidden="1"/>
    <row r="342" spans="38:38" hidden="1"/>
    <row r="343" spans="38:38" hidden="1"/>
    <row r="351" spans="38:38">
      <c r="AL351" s="105">
        <f>+AL267-'CONAP (ALL FUNDS)'!Q1349</f>
        <v>0</v>
      </c>
    </row>
  </sheetData>
  <autoFilter ref="B7:AT267">
    <filterColumn colId="9"/>
    <filterColumn colId="10"/>
    <filterColumn colId="11"/>
    <filterColumn colId="12"/>
    <filterColumn colId="17"/>
    <filterColumn colId="18"/>
    <filterColumn colId="19"/>
    <filterColumn colId="20"/>
  </autoFilter>
  <mergeCells count="15">
    <mergeCell ref="AQ255:AQ256"/>
    <mergeCell ref="AQ264:AQ266"/>
    <mergeCell ref="AQ5:AQ7"/>
    <mergeCell ref="B5:B7"/>
    <mergeCell ref="AA5:AD5"/>
    <mergeCell ref="AE5:AH5"/>
    <mergeCell ref="AI5:AL5"/>
    <mergeCell ref="AM5:AP5"/>
    <mergeCell ref="C5:F5"/>
    <mergeCell ref="G5:J5"/>
    <mergeCell ref="W5:Z5"/>
    <mergeCell ref="O5:R5"/>
    <mergeCell ref="AQ259:AQ261"/>
    <mergeCell ref="K5:N5"/>
    <mergeCell ref="S5:V5"/>
  </mergeCells>
  <pageMargins left="0.31" right="0.2" top="0.25" bottom="3.18" header="0.23" footer="0.16"/>
  <pageSetup paperSize="5" fitToWidth="2" fitToHeight="50" orientation="portrait" r:id="rId1"/>
  <headerFooter>
    <oddFooter>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BE63"/>
  <sheetViews>
    <sheetView workbookViewId="0">
      <pane xSplit="1" ySplit="7" topLeftCell="AS35" activePane="bottomRight" state="frozen"/>
      <selection pane="topRight" activeCell="B1" sqref="B1"/>
      <selection pane="bottomLeft" activeCell="A8" sqref="A8"/>
      <selection pane="bottomRight" activeCell="A53" sqref="A53"/>
    </sheetView>
  </sheetViews>
  <sheetFormatPr defaultRowHeight="15"/>
  <cols>
    <col min="1" max="1" width="33.42578125" style="17" customWidth="1"/>
    <col min="2" max="2" width="18.28515625" style="852" customWidth="1"/>
    <col min="3" max="3" width="18" style="852" customWidth="1"/>
    <col min="4" max="4" width="18.5703125" style="852" customWidth="1"/>
    <col min="5" max="5" width="18.85546875" style="852" bestFit="1" customWidth="1"/>
    <col min="6" max="6" width="14.28515625" style="852" customWidth="1"/>
    <col min="7" max="7" width="15.5703125" style="852" bestFit="1" customWidth="1"/>
    <col min="8" max="8" width="14.140625" style="852" bestFit="1" customWidth="1"/>
    <col min="9" max="9" width="10.140625" style="852" customWidth="1"/>
    <col min="10" max="10" width="17.5703125" style="852" customWidth="1"/>
    <col min="11" max="13" width="18.5703125" style="852" customWidth="1"/>
    <col min="14" max="14" width="17.85546875" style="852" bestFit="1" customWidth="1"/>
    <col min="15" max="16" width="18.5703125" style="852" customWidth="1"/>
    <col min="17" max="17" width="18.85546875" style="852" bestFit="1" customWidth="1"/>
    <col min="18" max="18" width="5.7109375" style="852" hidden="1" customWidth="1"/>
    <col min="19" max="19" width="7.7109375" style="852" hidden="1" customWidth="1"/>
    <col min="20" max="20" width="5.7109375" style="852" hidden="1" customWidth="1"/>
    <col min="21" max="21" width="8.28515625" style="852" hidden="1" customWidth="1"/>
    <col min="22" max="22" width="13.140625" style="852" bestFit="1" customWidth="1"/>
    <col min="23" max="25" width="18.5703125" style="852" bestFit="1" customWidth="1"/>
    <col min="26" max="26" width="17.85546875" style="852" bestFit="1" customWidth="1"/>
    <col min="27" max="29" width="18.85546875" style="852" bestFit="1" customWidth="1"/>
    <col min="30" max="32" width="17.5703125" style="852" hidden="1" customWidth="1"/>
    <col min="33" max="33" width="18.5703125" style="852" hidden="1" customWidth="1"/>
    <col min="34" max="34" width="12.140625" style="852" hidden="1" customWidth="1"/>
    <col min="35" max="37" width="17.5703125" style="852" hidden="1" customWidth="1"/>
    <col min="38" max="38" width="17.85546875" style="852" bestFit="1" customWidth="1"/>
    <col min="39" max="39" width="19.7109375" style="852" customWidth="1"/>
    <col min="40" max="40" width="17.85546875" style="852" bestFit="1" customWidth="1"/>
    <col min="41" max="41" width="18.85546875" style="852" bestFit="1" customWidth="1"/>
    <col min="42" max="44" width="17.85546875" style="852" bestFit="1" customWidth="1"/>
    <col min="45" max="45" width="18.85546875" style="852" bestFit="1" customWidth="1"/>
    <col min="46" max="46" width="8" style="879" bestFit="1" customWidth="1"/>
    <col min="47" max="47" width="8.140625" style="879" bestFit="1" customWidth="1"/>
    <col min="48" max="49" width="8" style="879" bestFit="1" customWidth="1"/>
    <col min="50" max="50" width="6" style="17" bestFit="1" customWidth="1"/>
    <col min="51" max="51" width="15.140625" style="17" bestFit="1" customWidth="1"/>
    <col min="52" max="52" width="6" style="17" bestFit="1" customWidth="1"/>
    <col min="53" max="53" width="15.140625" style="17" bestFit="1" customWidth="1"/>
    <col min="54" max="54" width="20" style="17" customWidth="1"/>
    <col min="55" max="55" width="18.28515625" style="17" bestFit="1" customWidth="1"/>
    <col min="56" max="16384" width="9.140625" style="17"/>
  </cols>
  <sheetData>
    <row r="1" spans="1:56">
      <c r="A1" s="15" t="s">
        <v>48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BA1" s="16"/>
    </row>
    <row r="2" spans="1:56">
      <c r="A2" s="15" t="s">
        <v>758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BA2" s="16"/>
    </row>
    <row r="3" spans="1:56">
      <c r="A3" s="15" t="s">
        <v>1117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BA3" s="16"/>
    </row>
    <row r="4" spans="1:56">
      <c r="A4" s="16"/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BA4" s="16"/>
    </row>
    <row r="5" spans="1:56" s="36" customFormat="1">
      <c r="A5" s="1493" t="s">
        <v>0</v>
      </c>
      <c r="B5" s="1490" t="s">
        <v>877</v>
      </c>
      <c r="C5" s="1491"/>
      <c r="D5" s="1491"/>
      <c r="E5" s="1492"/>
      <c r="F5" s="1490" t="s">
        <v>459</v>
      </c>
      <c r="G5" s="1491"/>
      <c r="H5" s="1491"/>
      <c r="I5" s="1492"/>
      <c r="J5" s="1490" t="s">
        <v>460</v>
      </c>
      <c r="K5" s="1491"/>
      <c r="L5" s="1491"/>
      <c r="M5" s="1492"/>
      <c r="N5" s="1490" t="s">
        <v>49</v>
      </c>
      <c r="O5" s="1491"/>
      <c r="P5" s="1491"/>
      <c r="Q5" s="1492"/>
      <c r="R5" s="1490" t="s">
        <v>705</v>
      </c>
      <c r="S5" s="1491"/>
      <c r="T5" s="1491"/>
      <c r="U5" s="1492"/>
      <c r="V5" s="1490" t="s">
        <v>50</v>
      </c>
      <c r="W5" s="1491"/>
      <c r="X5" s="1491"/>
      <c r="Y5" s="1492"/>
      <c r="Z5" s="1490" t="s">
        <v>53</v>
      </c>
      <c r="AA5" s="1491"/>
      <c r="AB5" s="1491"/>
      <c r="AC5" s="1492"/>
      <c r="AD5" s="1490" t="s">
        <v>62</v>
      </c>
      <c r="AE5" s="1491"/>
      <c r="AF5" s="1491"/>
      <c r="AG5" s="1492"/>
      <c r="AH5" s="1490" t="s">
        <v>54</v>
      </c>
      <c r="AI5" s="1491"/>
      <c r="AJ5" s="1491"/>
      <c r="AK5" s="1492"/>
      <c r="AL5" s="1490" t="s">
        <v>55</v>
      </c>
      <c r="AM5" s="1491"/>
      <c r="AN5" s="1491"/>
      <c r="AO5" s="1492"/>
      <c r="AP5" s="1490" t="s">
        <v>68</v>
      </c>
      <c r="AQ5" s="1491"/>
      <c r="AR5" s="1491"/>
      <c r="AS5" s="1492"/>
      <c r="AT5" s="1535" t="s">
        <v>52</v>
      </c>
      <c r="AU5" s="1536"/>
      <c r="AV5" s="1536"/>
      <c r="AW5" s="1537"/>
      <c r="AX5" s="1499" t="s">
        <v>58</v>
      </c>
      <c r="AY5" s="1500"/>
      <c r="AZ5" s="1500"/>
      <c r="BA5" s="1501"/>
    </row>
    <row r="6" spans="1:56" s="36" customFormat="1">
      <c r="A6" s="1494"/>
      <c r="B6" s="86"/>
      <c r="C6" s="853"/>
      <c r="D6" s="853"/>
      <c r="E6" s="854"/>
      <c r="F6" s="86"/>
      <c r="G6" s="853"/>
      <c r="H6" s="853"/>
      <c r="I6" s="854"/>
      <c r="J6" s="86"/>
      <c r="K6" s="853"/>
      <c r="L6" s="853"/>
      <c r="M6" s="854"/>
      <c r="N6" s="86"/>
      <c r="O6" s="853"/>
      <c r="P6" s="853"/>
      <c r="Q6" s="854"/>
      <c r="R6" s="86"/>
      <c r="S6" s="853"/>
      <c r="T6" s="853"/>
      <c r="U6" s="854"/>
      <c r="V6" s="86"/>
      <c r="W6" s="853"/>
      <c r="X6" s="853"/>
      <c r="Y6" s="854"/>
      <c r="Z6" s="86"/>
      <c r="AA6" s="853"/>
      <c r="AB6" s="853"/>
      <c r="AC6" s="854"/>
      <c r="AD6" s="86"/>
      <c r="AE6" s="853"/>
      <c r="AF6" s="853"/>
      <c r="AG6" s="854"/>
      <c r="AH6" s="86"/>
      <c r="AI6" s="853"/>
      <c r="AJ6" s="853"/>
      <c r="AK6" s="854"/>
      <c r="AL6" s="86"/>
      <c r="AM6" s="853"/>
      <c r="AN6" s="853"/>
      <c r="AO6" s="854"/>
      <c r="AP6" s="86"/>
      <c r="AQ6" s="853"/>
      <c r="AR6" s="853"/>
      <c r="AS6" s="854"/>
      <c r="AT6" s="880"/>
      <c r="AU6" s="881"/>
      <c r="AV6" s="881"/>
      <c r="AW6" s="882"/>
      <c r="AX6" s="937"/>
      <c r="AY6" s="938"/>
      <c r="AZ6" s="938"/>
      <c r="BA6" s="939"/>
    </row>
    <row r="7" spans="1:56" s="36" customFormat="1" ht="15.75" thickBot="1">
      <c r="A7" s="1495"/>
      <c r="B7" s="74" t="s">
        <v>1</v>
      </c>
      <c r="C7" s="74" t="s">
        <v>2</v>
      </c>
      <c r="D7" s="74" t="s">
        <v>3</v>
      </c>
      <c r="E7" s="74" t="s">
        <v>4</v>
      </c>
      <c r="F7" s="74" t="s">
        <v>1</v>
      </c>
      <c r="G7" s="74" t="s">
        <v>2</v>
      </c>
      <c r="H7" s="74" t="s">
        <v>3</v>
      </c>
      <c r="I7" s="74" t="s">
        <v>4</v>
      </c>
      <c r="J7" s="74" t="s">
        <v>1</v>
      </c>
      <c r="K7" s="74" t="s">
        <v>2</v>
      </c>
      <c r="L7" s="74" t="s">
        <v>3</v>
      </c>
      <c r="M7" s="74" t="s">
        <v>4</v>
      </c>
      <c r="N7" s="74" t="s">
        <v>1</v>
      </c>
      <c r="O7" s="74" t="s">
        <v>2</v>
      </c>
      <c r="P7" s="74" t="s">
        <v>3</v>
      </c>
      <c r="Q7" s="74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4" t="s">
        <v>1</v>
      </c>
      <c r="W7" s="74" t="s">
        <v>2</v>
      </c>
      <c r="X7" s="74" t="s">
        <v>3</v>
      </c>
      <c r="Y7" s="74" t="s">
        <v>4</v>
      </c>
      <c r="Z7" s="74" t="s">
        <v>1</v>
      </c>
      <c r="AA7" s="74" t="s">
        <v>2</v>
      </c>
      <c r="AB7" s="74" t="s">
        <v>3</v>
      </c>
      <c r="AC7" s="74" t="s">
        <v>4</v>
      </c>
      <c r="AD7" s="74" t="s">
        <v>1</v>
      </c>
      <c r="AE7" s="74" t="s">
        <v>2</v>
      </c>
      <c r="AF7" s="74" t="s">
        <v>3</v>
      </c>
      <c r="AG7" s="74" t="s">
        <v>4</v>
      </c>
      <c r="AH7" s="74" t="s">
        <v>1</v>
      </c>
      <c r="AI7" s="74" t="s">
        <v>2</v>
      </c>
      <c r="AJ7" s="74" t="s">
        <v>3</v>
      </c>
      <c r="AK7" s="74" t="s">
        <v>4</v>
      </c>
      <c r="AL7" s="74" t="s">
        <v>1</v>
      </c>
      <c r="AM7" s="74" t="s">
        <v>2</v>
      </c>
      <c r="AN7" s="74" t="s">
        <v>3</v>
      </c>
      <c r="AO7" s="74" t="s">
        <v>4</v>
      </c>
      <c r="AP7" s="74" t="s">
        <v>1</v>
      </c>
      <c r="AQ7" s="74" t="s">
        <v>2</v>
      </c>
      <c r="AR7" s="74" t="s">
        <v>3</v>
      </c>
      <c r="AS7" s="74" t="s">
        <v>4</v>
      </c>
      <c r="AT7" s="883" t="s">
        <v>1</v>
      </c>
      <c r="AU7" s="883" t="s">
        <v>2</v>
      </c>
      <c r="AV7" s="883" t="s">
        <v>3</v>
      </c>
      <c r="AW7" s="883" t="s">
        <v>4</v>
      </c>
      <c r="AX7" s="71" t="s">
        <v>1</v>
      </c>
      <c r="AY7" s="71" t="s">
        <v>2</v>
      </c>
      <c r="AZ7" s="72" t="s">
        <v>3</v>
      </c>
      <c r="BA7" s="72" t="s">
        <v>4</v>
      </c>
    </row>
    <row r="8" spans="1:56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884"/>
      <c r="AU8" s="884"/>
      <c r="AV8" s="884"/>
      <c r="AW8" s="884"/>
      <c r="AX8" s="20"/>
      <c r="AY8" s="20"/>
      <c r="AZ8" s="20"/>
      <c r="BA8" s="19"/>
    </row>
    <row r="9" spans="1:56" s="24" customFormat="1" ht="18">
      <c r="A9" s="851" t="s">
        <v>953</v>
      </c>
      <c r="B9" s="855">
        <f>+'SUMM BY CLUSTER- CURRENT'!B9</f>
        <v>532206000</v>
      </c>
      <c r="C9" s="855">
        <f>+'SUMM BY CLUSTER- CURRENT'!C9</f>
        <v>11828961000</v>
      </c>
      <c r="D9" s="855">
        <f>+'SUMM BY CLUSTER- CURRENT'!D9</f>
        <v>11017892000</v>
      </c>
      <c r="E9" s="855">
        <f t="shared" ref="E9:E38" si="0">SUM(B9:D9)</f>
        <v>23379059000</v>
      </c>
      <c r="F9" s="855">
        <f>+'SUMM BY CLUSTER- CURRENT'!F9</f>
        <v>7085371</v>
      </c>
      <c r="G9" s="855">
        <f>+'SUMM BY CLUSTER- CURRENT'!G9</f>
        <v>-7085371</v>
      </c>
      <c r="H9" s="855">
        <f>+'SUMM BY CLUSTER- CURRENT'!H9</f>
        <v>0</v>
      </c>
      <c r="I9" s="855">
        <f t="shared" ref="I9:I19" si="1">SUM(F9:H9)</f>
        <v>0</v>
      </c>
      <c r="J9" s="855">
        <f t="shared" ref="J9:L24" si="2">+B9+F9</f>
        <v>539291371</v>
      </c>
      <c r="K9" s="855">
        <f t="shared" si="2"/>
        <v>11821875629</v>
      </c>
      <c r="L9" s="855">
        <f t="shared" si="2"/>
        <v>11017892000</v>
      </c>
      <c r="M9" s="855">
        <f t="shared" ref="M9:M19" si="3">SUM(J9:L9)</f>
        <v>23379059000</v>
      </c>
      <c r="N9" s="855">
        <f>+'SUMM BY CLUSTER- CURRENT'!N9</f>
        <v>539291371</v>
      </c>
      <c r="O9" s="855">
        <f>+'SUMM BY CLUSTER- CURRENT'!O9</f>
        <v>11821875629</v>
      </c>
      <c r="P9" s="855">
        <f>+'SUMM BY CLUSTER- CURRENT'!P9</f>
        <v>11017892000</v>
      </c>
      <c r="Q9" s="855">
        <f t="shared" ref="Q9:Q38" si="4">SUM(N9:P9)</f>
        <v>23379059000</v>
      </c>
      <c r="R9" s="855">
        <f>+'SUMM BY CLUSTER- CURRENT'!R9</f>
        <v>0</v>
      </c>
      <c r="S9" s="855">
        <f>+'SUMM BY CLUSTER- CURRENT'!S9</f>
        <v>0</v>
      </c>
      <c r="T9" s="855">
        <f>+'SUMM BY CLUSTER- CURRENT'!T9</f>
        <v>0</v>
      </c>
      <c r="U9" s="855">
        <f>SUM(R9:T9)</f>
        <v>0</v>
      </c>
      <c r="V9" s="855">
        <f>+'SUMM BY CLUSTER- CURRENT'!V9</f>
        <v>-827006</v>
      </c>
      <c r="W9" s="855">
        <f>+'SUMM BY CLUSTER- CURRENT'!W9</f>
        <v>-3959941354.46</v>
      </c>
      <c r="X9" s="855">
        <f>+'SUMM BY CLUSTER- CURRENT'!X9</f>
        <v>-5745606586.1000004</v>
      </c>
      <c r="Y9" s="855">
        <f t="shared" ref="Y9:Y38" si="5">SUM(V9:X9)</f>
        <v>-9706374946.5600014</v>
      </c>
      <c r="Z9" s="855">
        <f t="shared" ref="Z9:AB23" si="6">+N9+V9+R9</f>
        <v>538464365</v>
      </c>
      <c r="AA9" s="855">
        <f t="shared" si="6"/>
        <v>7861934274.54</v>
      </c>
      <c r="AB9" s="855">
        <f t="shared" si="6"/>
        <v>5272285413.8999996</v>
      </c>
      <c r="AC9" s="855">
        <f t="shared" ref="AC9:AC37" si="7">SUM(Z9:AB9)</f>
        <v>13672684053.439999</v>
      </c>
      <c r="AD9" s="855">
        <f>+'SUMM BY CLUSTER- CURRENT'!AD9</f>
        <v>444139018.09000033</v>
      </c>
      <c r="AE9" s="855">
        <f>+'SUMM BY CLUSTER- CURRENT'!AE9</f>
        <v>5604845475.2299995</v>
      </c>
      <c r="AF9" s="855">
        <f>+'SUMM BY CLUSTER- CURRENT'!AF9</f>
        <v>1210608291.3899992</v>
      </c>
      <c r="AG9" s="855">
        <f>SUM(AD9:AF9)</f>
        <v>7259592784.7099991</v>
      </c>
      <c r="AH9" s="855">
        <f>+'SUMM BY CLUSTER- CURRENT'!AH9</f>
        <v>0</v>
      </c>
      <c r="AI9" s="855">
        <f>+'SUMM BY CLUSTER- CURRENT'!AI9</f>
        <v>8.0093741416931152E-8</v>
      </c>
      <c r="AJ9" s="855">
        <f>+'SUMM BY CLUSTER- CURRENT'!AJ9</f>
        <v>-1.4156103134155273E-7</v>
      </c>
      <c r="AK9" s="855">
        <f>SUM(AH9:AJ9)</f>
        <v>-6.1467289924621582E-8</v>
      </c>
      <c r="AL9" s="856">
        <f t="shared" ref="AL9:AN23" si="8">+AH9+AD9</f>
        <v>444139018.09000033</v>
      </c>
      <c r="AM9" s="856">
        <f t="shared" si="8"/>
        <v>5604845475.2299995</v>
      </c>
      <c r="AN9" s="856">
        <f t="shared" si="8"/>
        <v>1210608291.3899989</v>
      </c>
      <c r="AO9" s="856">
        <f t="shared" ref="AO9:AO38" si="9">SUM(AL9:AN9)</f>
        <v>7259592784.7099991</v>
      </c>
      <c r="AP9" s="855">
        <f t="shared" ref="AP9:AR23" si="10">+Z9-AL9</f>
        <v>94325346.909999669</v>
      </c>
      <c r="AQ9" s="855">
        <f t="shared" si="10"/>
        <v>2257088799.3100004</v>
      </c>
      <c r="AR9" s="855">
        <f t="shared" si="10"/>
        <v>4061677122.5100007</v>
      </c>
      <c r="AS9" s="855">
        <f t="shared" ref="AS9:AS20" si="11">SUM(AP9:AR9)</f>
        <v>6413091268.7300014</v>
      </c>
      <c r="AT9" s="872">
        <f>IF(Z9=0," ",AL9/Z9)</f>
        <v>0.824825275280752</v>
      </c>
      <c r="AU9" s="872">
        <f>IF(AA9=0," ",AM9/AA9)</f>
        <v>0.71290922558086867</v>
      </c>
      <c r="AV9" s="872">
        <f>IF(AB9=0," ",AN9/AB9)</f>
        <v>0.22961736635090307</v>
      </c>
      <c r="AW9" s="872">
        <f>IF(AC9=0," ",AO9/AC9)</f>
        <v>0.530955937863825</v>
      </c>
      <c r="AX9" s="22">
        <f t="shared" ref="AX9:AZ24" si="12">+J9-N9</f>
        <v>0</v>
      </c>
      <c r="AY9" s="22">
        <f t="shared" si="12"/>
        <v>0</v>
      </c>
      <c r="AZ9" s="22">
        <f t="shared" si="12"/>
        <v>0</v>
      </c>
      <c r="BA9" s="22">
        <f t="shared" ref="BA9:BA20" si="13">SUM(AX9:AZ9)</f>
        <v>0</v>
      </c>
    </row>
    <row r="10" spans="1:56" s="24" customFormat="1" ht="18">
      <c r="A10" s="582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  <c r="AI10" s="855"/>
      <c r="AJ10" s="855"/>
      <c r="AK10" s="855"/>
      <c r="AL10" s="855"/>
      <c r="AM10" s="855"/>
      <c r="AN10" s="855"/>
      <c r="AO10" s="855"/>
      <c r="AP10" s="855"/>
      <c r="AQ10" s="855"/>
      <c r="AR10" s="855"/>
      <c r="AS10" s="855"/>
      <c r="AT10" s="872" t="str">
        <f t="shared" ref="AT10:AW43" si="14">IF(Z10=0," ",AL10/Z10)</f>
        <v xml:space="preserve"> </v>
      </c>
      <c r="AU10" s="872" t="str">
        <f t="shared" si="14"/>
        <v xml:space="preserve"> </v>
      </c>
      <c r="AV10" s="872" t="str">
        <f t="shared" si="14"/>
        <v xml:space="preserve"> </v>
      </c>
      <c r="AW10" s="872" t="str">
        <f t="shared" si="14"/>
        <v xml:space="preserve"> </v>
      </c>
      <c r="AX10" s="22"/>
      <c r="AY10" s="22"/>
      <c r="AZ10" s="22"/>
      <c r="BA10" s="22"/>
      <c r="BB10" s="23"/>
      <c r="BC10" s="23"/>
      <c r="BD10" s="23"/>
    </row>
    <row r="11" spans="1:56" s="24" customFormat="1" ht="18">
      <c r="A11" s="575" t="s">
        <v>952</v>
      </c>
      <c r="B11" s="855">
        <f>+'SUMM BY CLUSTER- CURRENT'!B11</f>
        <v>0</v>
      </c>
      <c r="C11" s="855">
        <f>+'SUMM BY CLUSTER- CURRENT'!C11</f>
        <v>223684000</v>
      </c>
      <c r="D11" s="855">
        <f>+'SUMM BY CLUSTER- CURRENT'!D11</f>
        <v>46176000</v>
      </c>
      <c r="E11" s="855">
        <f t="shared" si="0"/>
        <v>269860000</v>
      </c>
      <c r="F11" s="855">
        <f>+'SUMM BY CLUSTER- CURRENT'!F11</f>
        <v>0</v>
      </c>
      <c r="G11" s="855">
        <f>+'SUMM BY CLUSTER- CURRENT'!G11</f>
        <v>0</v>
      </c>
      <c r="H11" s="855">
        <f>+'SUMM BY CLUSTER- CURRENT'!H11</f>
        <v>0</v>
      </c>
      <c r="I11" s="855">
        <f t="shared" si="1"/>
        <v>0</v>
      </c>
      <c r="J11" s="855">
        <f t="shared" si="2"/>
        <v>0</v>
      </c>
      <c r="K11" s="855">
        <f t="shared" si="2"/>
        <v>223684000</v>
      </c>
      <c r="L11" s="855">
        <f t="shared" si="2"/>
        <v>46176000</v>
      </c>
      <c r="M11" s="855">
        <f t="shared" si="3"/>
        <v>269860000</v>
      </c>
      <c r="N11" s="855">
        <f>+'SUMM BY CLUSTER- CURRENT'!N11</f>
        <v>0</v>
      </c>
      <c r="O11" s="855">
        <f>+'SUMM BY CLUSTER- CURRENT'!O11</f>
        <v>223684000</v>
      </c>
      <c r="P11" s="855">
        <f>+'SUMM BY CLUSTER- CURRENT'!P11</f>
        <v>46176000</v>
      </c>
      <c r="Q11" s="855">
        <f t="shared" si="4"/>
        <v>269860000</v>
      </c>
      <c r="R11" s="855">
        <f>+'SUMM BY CLUSTER- CURRENT'!R11</f>
        <v>0</v>
      </c>
      <c r="S11" s="855">
        <f>+'SUMM BY CLUSTER- CURRENT'!S11</f>
        <v>0</v>
      </c>
      <c r="T11" s="855">
        <f>+'SUMM BY CLUSTER- CURRENT'!T11</f>
        <v>0</v>
      </c>
      <c r="U11" s="855">
        <f>SUM(R11:T11)</f>
        <v>0</v>
      </c>
      <c r="V11" s="855">
        <f>+'SUMM BY CLUSTER- CURRENT'!V11</f>
        <v>0</v>
      </c>
      <c r="W11" s="855">
        <f>+'SUMM BY CLUSTER- CURRENT'!W11</f>
        <v>0</v>
      </c>
      <c r="X11" s="855">
        <f>+'SUMM BY CLUSTER- CURRENT'!X11</f>
        <v>0</v>
      </c>
      <c r="Y11" s="855">
        <f t="shared" si="5"/>
        <v>0</v>
      </c>
      <c r="Z11" s="855">
        <f t="shared" si="6"/>
        <v>0</v>
      </c>
      <c r="AA11" s="855">
        <f t="shared" si="6"/>
        <v>223684000</v>
      </c>
      <c r="AB11" s="855">
        <f t="shared" si="6"/>
        <v>46176000</v>
      </c>
      <c r="AC11" s="855">
        <f t="shared" si="7"/>
        <v>269860000</v>
      </c>
      <c r="AD11" s="855">
        <f>+'SUMM BY CLUSTER- CURRENT'!AD11</f>
        <v>0</v>
      </c>
      <c r="AE11" s="855">
        <f>+'SUMM BY CLUSTER- CURRENT'!AE11</f>
        <v>32337772.780000001</v>
      </c>
      <c r="AF11" s="855">
        <f>+'SUMM BY CLUSTER- CURRENT'!AF11</f>
        <v>0</v>
      </c>
      <c r="AG11" s="855">
        <f t="shared" ref="AG11:AG37" si="15">SUM(AD11:AF11)</f>
        <v>32337772.780000001</v>
      </c>
      <c r="AH11" s="855">
        <f>+'SUMM BY CLUSTER- CURRENT'!AH11</f>
        <v>0</v>
      </c>
      <c r="AI11" s="855">
        <f>+'SUMM BY CLUSTER- CURRENT'!AI11</f>
        <v>0</v>
      </c>
      <c r="AJ11" s="855">
        <f>+'SUMM BY CLUSTER- CURRENT'!AJ11</f>
        <v>0</v>
      </c>
      <c r="AK11" s="855">
        <f t="shared" ref="AK11:AK38" si="16">SUM(AH11:AJ11)</f>
        <v>0</v>
      </c>
      <c r="AL11" s="855">
        <f t="shared" si="8"/>
        <v>0</v>
      </c>
      <c r="AM11" s="855">
        <f t="shared" si="8"/>
        <v>32337772.780000001</v>
      </c>
      <c r="AN11" s="855">
        <f t="shared" si="8"/>
        <v>0</v>
      </c>
      <c r="AO11" s="855">
        <f t="shared" si="9"/>
        <v>32337772.780000001</v>
      </c>
      <c r="AP11" s="855">
        <f t="shared" si="10"/>
        <v>0</v>
      </c>
      <c r="AQ11" s="855">
        <f t="shared" si="10"/>
        <v>191346227.22</v>
      </c>
      <c r="AR11" s="855">
        <f t="shared" si="10"/>
        <v>46176000</v>
      </c>
      <c r="AS11" s="855">
        <f t="shared" si="11"/>
        <v>237522227.22</v>
      </c>
      <c r="AT11" s="872" t="str">
        <f t="shared" si="14"/>
        <v xml:space="preserve"> </v>
      </c>
      <c r="AU11" s="872">
        <f t="shared" si="14"/>
        <v>0.144569002610826</v>
      </c>
      <c r="AV11" s="872">
        <f t="shared" si="14"/>
        <v>0</v>
      </c>
      <c r="AW11" s="872">
        <f t="shared" si="14"/>
        <v>0.11983166375157489</v>
      </c>
      <c r="AX11" s="22">
        <f t="shared" si="12"/>
        <v>0</v>
      </c>
      <c r="AY11" s="22">
        <f t="shared" si="12"/>
        <v>0</v>
      </c>
      <c r="AZ11" s="22">
        <f t="shared" si="12"/>
        <v>0</v>
      </c>
      <c r="BA11" s="22">
        <f t="shared" si="13"/>
        <v>0</v>
      </c>
      <c r="BB11" s="23"/>
      <c r="BC11" s="823"/>
      <c r="BD11" s="23"/>
    </row>
    <row r="12" spans="1:56" s="24" customFormat="1" ht="18">
      <c r="A12" s="582"/>
      <c r="B12" s="855"/>
      <c r="C12" s="855"/>
      <c r="D12" s="855"/>
      <c r="E12" s="855"/>
      <c r="F12" s="855"/>
      <c r="G12" s="855"/>
      <c r="H12" s="855"/>
      <c r="I12" s="855"/>
      <c r="J12" s="855"/>
      <c r="K12" s="855"/>
      <c r="L12" s="855"/>
      <c r="M12" s="855"/>
      <c r="N12" s="855"/>
      <c r="O12" s="855"/>
      <c r="P12" s="855"/>
      <c r="Q12" s="855"/>
      <c r="R12" s="855"/>
      <c r="S12" s="855"/>
      <c r="T12" s="855"/>
      <c r="U12" s="855"/>
      <c r="V12" s="855"/>
      <c r="W12" s="855"/>
      <c r="X12" s="855"/>
      <c r="Y12" s="855"/>
      <c r="Z12" s="855"/>
      <c r="AA12" s="855"/>
      <c r="AB12" s="855"/>
      <c r="AC12" s="855"/>
      <c r="AD12" s="855"/>
      <c r="AE12" s="855"/>
      <c r="AF12" s="855"/>
      <c r="AG12" s="855"/>
      <c r="AH12" s="855"/>
      <c r="AI12" s="855"/>
      <c r="AJ12" s="855"/>
      <c r="AK12" s="855"/>
      <c r="AL12" s="855"/>
      <c r="AM12" s="855"/>
      <c r="AN12" s="855"/>
      <c r="AO12" s="855"/>
      <c r="AP12" s="855"/>
      <c r="AQ12" s="855"/>
      <c r="AR12" s="855"/>
      <c r="AS12" s="855"/>
      <c r="AT12" s="872" t="str">
        <f t="shared" si="14"/>
        <v xml:space="preserve"> </v>
      </c>
      <c r="AU12" s="872" t="str">
        <f t="shared" si="14"/>
        <v xml:space="preserve"> </v>
      </c>
      <c r="AV12" s="872" t="str">
        <f t="shared" si="14"/>
        <v xml:space="preserve"> </v>
      </c>
      <c r="AW12" s="872" t="str">
        <f t="shared" si="14"/>
        <v xml:space="preserve"> </v>
      </c>
      <c r="AX12" s="22"/>
      <c r="AY12" s="22"/>
      <c r="AZ12" s="22"/>
      <c r="BA12" s="22"/>
      <c r="BB12" s="23"/>
      <c r="BC12" s="23"/>
      <c r="BD12" s="23"/>
    </row>
    <row r="13" spans="1:56" s="607" customFormat="1" ht="18">
      <c r="A13" s="575" t="s">
        <v>954</v>
      </c>
      <c r="B13" s="855">
        <f>+'SUMM BY CLUSTER- CURRENT'!B13</f>
        <v>129243000</v>
      </c>
      <c r="C13" s="855">
        <f>+'SUMM BY CLUSTER- CURRENT'!C13</f>
        <v>122379000</v>
      </c>
      <c r="D13" s="855">
        <f>+'SUMM BY CLUSTER- CURRENT'!D13</f>
        <v>0</v>
      </c>
      <c r="E13" s="855">
        <f t="shared" si="0"/>
        <v>251622000</v>
      </c>
      <c r="F13" s="855">
        <f>+'SUMM BY CLUSTER- CURRENT'!F13</f>
        <v>467000</v>
      </c>
      <c r="G13" s="855">
        <f>+'SUMM BY CLUSTER- CURRENT'!G13</f>
        <v>-467000</v>
      </c>
      <c r="H13" s="855">
        <f>+'SUMM BY CLUSTER- CURRENT'!H13</f>
        <v>0</v>
      </c>
      <c r="I13" s="855">
        <f t="shared" si="1"/>
        <v>0</v>
      </c>
      <c r="J13" s="855">
        <f t="shared" si="2"/>
        <v>129710000</v>
      </c>
      <c r="K13" s="855">
        <f t="shared" si="2"/>
        <v>121912000</v>
      </c>
      <c r="L13" s="855">
        <f t="shared" si="2"/>
        <v>0</v>
      </c>
      <c r="M13" s="855">
        <f t="shared" si="3"/>
        <v>251622000</v>
      </c>
      <c r="N13" s="855">
        <f>+'SUMM BY CLUSTER- CURRENT'!N13</f>
        <v>129710000</v>
      </c>
      <c r="O13" s="855">
        <f>+'SUMM BY CLUSTER- CURRENT'!O13</f>
        <v>121912000</v>
      </c>
      <c r="P13" s="855">
        <f>+'SUMM BY CLUSTER- CURRENT'!P13</f>
        <v>0</v>
      </c>
      <c r="Q13" s="855">
        <f t="shared" si="4"/>
        <v>251622000</v>
      </c>
      <c r="R13" s="855">
        <f>+'SUMM BY CLUSTER- CURRENT'!R13</f>
        <v>0</v>
      </c>
      <c r="S13" s="855">
        <f>+'SUMM BY CLUSTER- CURRENT'!S13</f>
        <v>0</v>
      </c>
      <c r="T13" s="855">
        <f>+'SUMM BY CLUSTER- CURRENT'!T13</f>
        <v>0</v>
      </c>
      <c r="U13" s="855">
        <f>SUM(R13:T13)</f>
        <v>0</v>
      </c>
      <c r="V13" s="855">
        <f>+'SUMM BY CLUSTER- CURRENT'!V13</f>
        <v>0</v>
      </c>
      <c r="W13" s="855">
        <f>+'SUMM BY CLUSTER- CURRENT'!W13</f>
        <v>0</v>
      </c>
      <c r="X13" s="855">
        <f>+'SUMM BY CLUSTER- CURRENT'!X13</f>
        <v>0</v>
      </c>
      <c r="Y13" s="855">
        <f t="shared" si="5"/>
        <v>0</v>
      </c>
      <c r="Z13" s="855">
        <f t="shared" si="6"/>
        <v>129710000</v>
      </c>
      <c r="AA13" s="855">
        <f t="shared" si="6"/>
        <v>121912000</v>
      </c>
      <c r="AB13" s="855">
        <f t="shared" si="6"/>
        <v>0</v>
      </c>
      <c r="AC13" s="855">
        <f t="shared" si="7"/>
        <v>251622000</v>
      </c>
      <c r="AD13" s="855">
        <f>+'SUMM BY CLUSTER- CURRENT'!AD13</f>
        <v>128335787.43000001</v>
      </c>
      <c r="AE13" s="855">
        <f>+'SUMM BY CLUSTER- CURRENT'!AE13</f>
        <v>91842216.609999999</v>
      </c>
      <c r="AF13" s="855">
        <f>+'SUMM BY CLUSTER- CURRENT'!AF13</f>
        <v>0</v>
      </c>
      <c r="AG13" s="855">
        <f>SUM(AD13:AF13)</f>
        <v>220178004.04000002</v>
      </c>
      <c r="AH13" s="855">
        <f>+'SUMM BY CLUSTER- CURRENT'!AH13</f>
        <v>0</v>
      </c>
      <c r="AI13" s="855">
        <f>+'SUMM BY CLUSTER- CURRENT'!AI13</f>
        <v>0</v>
      </c>
      <c r="AJ13" s="855">
        <f>+'SUMM BY CLUSTER- CURRENT'!AJ13</f>
        <v>0</v>
      </c>
      <c r="AK13" s="855">
        <f>SUM(AH13:AJ13)</f>
        <v>0</v>
      </c>
      <c r="AL13" s="866">
        <f t="shared" si="8"/>
        <v>128335787.43000001</v>
      </c>
      <c r="AM13" s="866">
        <f t="shared" si="8"/>
        <v>91842216.609999999</v>
      </c>
      <c r="AN13" s="866">
        <f t="shared" si="8"/>
        <v>0</v>
      </c>
      <c r="AO13" s="866">
        <f t="shared" si="9"/>
        <v>220178004.04000002</v>
      </c>
      <c r="AP13" s="855">
        <f t="shared" si="10"/>
        <v>1374212.5699999928</v>
      </c>
      <c r="AQ13" s="855">
        <f t="shared" si="10"/>
        <v>30069783.390000001</v>
      </c>
      <c r="AR13" s="855">
        <f t="shared" si="10"/>
        <v>0</v>
      </c>
      <c r="AS13" s="855">
        <f t="shared" si="11"/>
        <v>31443995.959999993</v>
      </c>
      <c r="AT13" s="872">
        <f t="shared" si="14"/>
        <v>0.98940550019273765</v>
      </c>
      <c r="AU13" s="872">
        <f t="shared" si="14"/>
        <v>0.75334845306450549</v>
      </c>
      <c r="AV13" s="872" t="str">
        <f t="shared" si="14"/>
        <v xml:space="preserve"> </v>
      </c>
      <c r="AW13" s="872">
        <f t="shared" si="14"/>
        <v>0.87503479043962773</v>
      </c>
      <c r="AX13" s="22">
        <f t="shared" si="12"/>
        <v>0</v>
      </c>
      <c r="AY13" s="22">
        <f t="shared" si="12"/>
        <v>0</v>
      </c>
      <c r="AZ13" s="22">
        <f t="shared" si="12"/>
        <v>0</v>
      </c>
      <c r="BA13" s="22">
        <f t="shared" si="13"/>
        <v>0</v>
      </c>
    </row>
    <row r="14" spans="1:56" s="607" customFormat="1" ht="18">
      <c r="A14" s="575"/>
      <c r="B14" s="855"/>
      <c r="C14" s="855"/>
      <c r="D14" s="855"/>
      <c r="E14" s="855">
        <f t="shared" si="0"/>
        <v>0</v>
      </c>
      <c r="F14" s="855"/>
      <c r="G14" s="855"/>
      <c r="H14" s="855"/>
      <c r="I14" s="855">
        <f t="shared" si="1"/>
        <v>0</v>
      </c>
      <c r="J14" s="855">
        <f t="shared" si="2"/>
        <v>0</v>
      </c>
      <c r="K14" s="855">
        <f t="shared" si="2"/>
        <v>0</v>
      </c>
      <c r="L14" s="855">
        <f t="shared" si="2"/>
        <v>0</v>
      </c>
      <c r="M14" s="855">
        <f t="shared" si="3"/>
        <v>0</v>
      </c>
      <c r="N14" s="855"/>
      <c r="O14" s="855"/>
      <c r="P14" s="855"/>
      <c r="Q14" s="855">
        <f t="shared" si="4"/>
        <v>0</v>
      </c>
      <c r="R14" s="855"/>
      <c r="S14" s="855"/>
      <c r="T14" s="855"/>
      <c r="U14" s="855"/>
      <c r="V14" s="855"/>
      <c r="W14" s="855"/>
      <c r="X14" s="855"/>
      <c r="Y14" s="855">
        <f t="shared" si="5"/>
        <v>0</v>
      </c>
      <c r="Z14" s="855">
        <f t="shared" si="6"/>
        <v>0</v>
      </c>
      <c r="AA14" s="855">
        <f t="shared" si="6"/>
        <v>0</v>
      </c>
      <c r="AB14" s="855">
        <f t="shared" si="6"/>
        <v>0</v>
      </c>
      <c r="AC14" s="855">
        <f t="shared" si="7"/>
        <v>0</v>
      </c>
      <c r="AD14" s="855"/>
      <c r="AE14" s="855"/>
      <c r="AF14" s="855"/>
      <c r="AG14" s="855"/>
      <c r="AH14" s="855"/>
      <c r="AI14" s="855"/>
      <c r="AJ14" s="855"/>
      <c r="AK14" s="855"/>
      <c r="AL14" s="867"/>
      <c r="AM14" s="867"/>
      <c r="AN14" s="867"/>
      <c r="AO14" s="867"/>
      <c r="AP14" s="855"/>
      <c r="AQ14" s="855"/>
      <c r="AR14" s="855"/>
      <c r="AS14" s="855"/>
      <c r="AT14" s="872" t="str">
        <f t="shared" si="14"/>
        <v xml:space="preserve"> </v>
      </c>
      <c r="AU14" s="872" t="str">
        <f t="shared" si="14"/>
        <v xml:space="preserve"> </v>
      </c>
      <c r="AV14" s="872" t="str">
        <f t="shared" si="14"/>
        <v xml:space="preserve"> </v>
      </c>
      <c r="AW14" s="872" t="str">
        <f t="shared" si="14"/>
        <v xml:space="preserve"> </v>
      </c>
      <c r="AX14" s="22"/>
      <c r="AY14" s="22"/>
      <c r="AZ14" s="22"/>
      <c r="BA14" s="22"/>
    </row>
    <row r="15" spans="1:56" s="607" customFormat="1" ht="18">
      <c r="A15" s="575" t="s">
        <v>750</v>
      </c>
      <c r="B15" s="855">
        <f>+'SUMM BY CLUSTER- CURRENT'!B15</f>
        <v>71193000</v>
      </c>
      <c r="C15" s="855">
        <f>+'SUMM BY CLUSTER- CURRENT'!C15</f>
        <v>42500000</v>
      </c>
      <c r="D15" s="855">
        <f>+'SUMM BY CLUSTER- CURRENT'!D15</f>
        <v>22000000</v>
      </c>
      <c r="E15" s="855">
        <f t="shared" si="0"/>
        <v>135693000</v>
      </c>
      <c r="F15" s="855">
        <f>+'SUMM BY CLUSTER- CURRENT'!F15</f>
        <v>0</v>
      </c>
      <c r="G15" s="855">
        <f>+'SUMM BY CLUSTER- CURRENT'!G15</f>
        <v>0</v>
      </c>
      <c r="H15" s="855">
        <f>+'SUMM BY CLUSTER- CURRENT'!H15</f>
        <v>0</v>
      </c>
      <c r="I15" s="855">
        <f t="shared" si="1"/>
        <v>0</v>
      </c>
      <c r="J15" s="855">
        <f t="shared" si="2"/>
        <v>71193000</v>
      </c>
      <c r="K15" s="855">
        <f t="shared" si="2"/>
        <v>42500000</v>
      </c>
      <c r="L15" s="855">
        <f t="shared" si="2"/>
        <v>22000000</v>
      </c>
      <c r="M15" s="855">
        <f t="shared" si="3"/>
        <v>135693000</v>
      </c>
      <c r="N15" s="855">
        <f>+'SUMM BY CLUSTER- CURRENT'!N15</f>
        <v>71193000</v>
      </c>
      <c r="O15" s="855">
        <f>+'SUMM BY CLUSTER- CURRENT'!O15</f>
        <v>42500000</v>
      </c>
      <c r="P15" s="855">
        <f>+'SUMM BY CLUSTER- CURRENT'!P15</f>
        <v>22000000</v>
      </c>
      <c r="Q15" s="855">
        <f t="shared" si="4"/>
        <v>135693000</v>
      </c>
      <c r="R15" s="855">
        <f>+'SUMM BY CLUSTER- CURRENT'!R15</f>
        <v>0</v>
      </c>
      <c r="S15" s="855">
        <f>+'SUMM BY CLUSTER- CURRENT'!S15</f>
        <v>0</v>
      </c>
      <c r="T15" s="855">
        <f>+'SUMM BY CLUSTER- CURRENT'!T15</f>
        <v>0</v>
      </c>
      <c r="U15" s="855">
        <f>SUM(R15:T15)</f>
        <v>0</v>
      </c>
      <c r="V15" s="855">
        <f>+'SUMM BY CLUSTER- CURRENT'!V15</f>
        <v>0</v>
      </c>
      <c r="W15" s="855">
        <f>+'SUMM BY CLUSTER- CURRENT'!W15</f>
        <v>0</v>
      </c>
      <c r="X15" s="855">
        <f>+'SUMM BY CLUSTER- CURRENT'!X15</f>
        <v>0</v>
      </c>
      <c r="Y15" s="855">
        <f t="shared" si="5"/>
        <v>0</v>
      </c>
      <c r="Z15" s="855">
        <f t="shared" si="6"/>
        <v>71193000</v>
      </c>
      <c r="AA15" s="855">
        <f t="shared" si="6"/>
        <v>42500000</v>
      </c>
      <c r="AB15" s="855">
        <f t="shared" si="6"/>
        <v>22000000</v>
      </c>
      <c r="AC15" s="855">
        <f t="shared" si="7"/>
        <v>135693000</v>
      </c>
      <c r="AD15" s="855">
        <f>+'SUMM BY CLUSTER- CURRENT'!AD15</f>
        <v>67758248.069999993</v>
      </c>
      <c r="AE15" s="855">
        <f>+'SUMM BY CLUSTER- CURRENT'!AE15</f>
        <v>35715646.200000003</v>
      </c>
      <c r="AF15" s="855">
        <f>+'SUMM BY CLUSTER- CURRENT'!AF15</f>
        <v>8121591.8600000003</v>
      </c>
      <c r="AG15" s="855">
        <f>SUM(AD15:AF15)</f>
        <v>111595486.13</v>
      </c>
      <c r="AH15" s="855">
        <f>+'SUMM BY CLUSTER- CURRENT'!AH15</f>
        <v>0</v>
      </c>
      <c r="AI15" s="855">
        <f>+'SUMM BY CLUSTER- CURRENT'!AI15</f>
        <v>0</v>
      </c>
      <c r="AJ15" s="855">
        <f>+'SUMM BY CLUSTER- CURRENT'!AJ15</f>
        <v>0</v>
      </c>
      <c r="AK15" s="855">
        <f>SUM(AH15:AJ15)</f>
        <v>0</v>
      </c>
      <c r="AL15" s="866">
        <f t="shared" si="8"/>
        <v>67758248.069999993</v>
      </c>
      <c r="AM15" s="866">
        <f t="shared" si="8"/>
        <v>35715646.200000003</v>
      </c>
      <c r="AN15" s="866">
        <f t="shared" si="8"/>
        <v>8121591.8600000003</v>
      </c>
      <c r="AO15" s="866">
        <f t="shared" si="9"/>
        <v>111595486.13</v>
      </c>
      <c r="AP15" s="855">
        <f t="shared" si="10"/>
        <v>3434751.9300000072</v>
      </c>
      <c r="AQ15" s="855">
        <f t="shared" si="10"/>
        <v>6784353.799999997</v>
      </c>
      <c r="AR15" s="855">
        <f t="shared" si="10"/>
        <v>13878408.140000001</v>
      </c>
      <c r="AS15" s="855">
        <f t="shared" si="11"/>
        <v>24097513.870000005</v>
      </c>
      <c r="AT15" s="872">
        <f t="shared" si="14"/>
        <v>0.95175435885550541</v>
      </c>
      <c r="AU15" s="872">
        <f t="shared" si="14"/>
        <v>0.84036814588235298</v>
      </c>
      <c r="AV15" s="872">
        <f t="shared" si="14"/>
        <v>0.36916326636363639</v>
      </c>
      <c r="AW15" s="872">
        <f t="shared" si="14"/>
        <v>0.82241151813284397</v>
      </c>
      <c r="AX15" s="22">
        <f t="shared" si="12"/>
        <v>0</v>
      </c>
      <c r="AY15" s="22">
        <f t="shared" si="12"/>
        <v>0</v>
      </c>
      <c r="AZ15" s="22">
        <f t="shared" si="12"/>
        <v>0</v>
      </c>
      <c r="BA15" s="22">
        <f t="shared" si="13"/>
        <v>0</v>
      </c>
    </row>
    <row r="16" spans="1:56" s="24" customFormat="1" ht="18">
      <c r="A16" s="575"/>
      <c r="B16" s="855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  <c r="O16" s="855"/>
      <c r="P16" s="855"/>
      <c r="Q16" s="855"/>
      <c r="R16" s="855"/>
      <c r="S16" s="855"/>
      <c r="T16" s="855"/>
      <c r="U16" s="855"/>
      <c r="V16" s="855"/>
      <c r="W16" s="855"/>
      <c r="X16" s="855"/>
      <c r="Y16" s="855"/>
      <c r="Z16" s="855"/>
      <c r="AA16" s="855"/>
      <c r="AB16" s="855"/>
      <c r="AC16" s="855"/>
      <c r="AD16" s="855"/>
      <c r="AE16" s="855"/>
      <c r="AF16" s="855"/>
      <c r="AG16" s="855"/>
      <c r="AH16" s="855"/>
      <c r="AI16" s="855"/>
      <c r="AJ16" s="855"/>
      <c r="AK16" s="855"/>
      <c r="AL16" s="857"/>
      <c r="AM16" s="857"/>
      <c r="AN16" s="857"/>
      <c r="AO16" s="857"/>
      <c r="AP16" s="869"/>
      <c r="AQ16" s="869"/>
      <c r="AR16" s="869"/>
      <c r="AS16" s="869"/>
      <c r="AT16" s="1329" t="str">
        <f t="shared" si="14"/>
        <v xml:space="preserve"> </v>
      </c>
      <c r="AU16" s="1329" t="str">
        <f t="shared" si="14"/>
        <v xml:space="preserve"> </v>
      </c>
      <c r="AV16" s="1329" t="str">
        <f t="shared" si="14"/>
        <v xml:space="preserve"> </v>
      </c>
      <c r="AW16" s="1329" t="str">
        <f t="shared" si="14"/>
        <v xml:space="preserve"> </v>
      </c>
      <c r="AX16" s="870"/>
      <c r="AY16" s="870"/>
      <c r="AZ16" s="870"/>
      <c r="BA16" s="870"/>
    </row>
    <row r="17" spans="1:55" s="24" customFormat="1" ht="18">
      <c r="A17" s="576" t="s">
        <v>879</v>
      </c>
      <c r="B17" s="855">
        <f>+B18+B25+B31+B36</f>
        <v>8133806000</v>
      </c>
      <c r="C17" s="855">
        <f t="shared" ref="C17:D17" si="17">+C18+C25+C31+C36</f>
        <v>5644376000</v>
      </c>
      <c r="D17" s="855">
        <f t="shared" si="17"/>
        <v>0</v>
      </c>
      <c r="E17" s="855">
        <f t="shared" si="0"/>
        <v>13778182000</v>
      </c>
      <c r="F17" s="855">
        <f t="shared" ref="F17:H17" si="18">+F18+F25+F31+F36</f>
        <v>92746903</v>
      </c>
      <c r="G17" s="855">
        <f t="shared" si="18"/>
        <v>-94096903</v>
      </c>
      <c r="H17" s="855">
        <f t="shared" si="18"/>
        <v>1350000</v>
      </c>
      <c r="I17" s="855">
        <f t="shared" si="1"/>
        <v>0</v>
      </c>
      <c r="J17" s="855">
        <f t="shared" si="2"/>
        <v>8226552903</v>
      </c>
      <c r="K17" s="855">
        <f t="shared" si="2"/>
        <v>5550279097</v>
      </c>
      <c r="L17" s="855">
        <f t="shared" si="2"/>
        <v>1350000</v>
      </c>
      <c r="M17" s="855">
        <f t="shared" si="3"/>
        <v>13778182000</v>
      </c>
      <c r="N17" s="855">
        <f t="shared" ref="N17:P17" si="19">+N18+N25+N31+N36</f>
        <v>8226552903</v>
      </c>
      <c r="O17" s="855">
        <f t="shared" si="19"/>
        <v>5550279097</v>
      </c>
      <c r="P17" s="855">
        <f t="shared" si="19"/>
        <v>1350000</v>
      </c>
      <c r="Q17" s="855">
        <f t="shared" si="4"/>
        <v>13778182000</v>
      </c>
      <c r="R17" s="855">
        <f t="shared" ref="R17:T17" si="20">+R18+R25+R31+R36</f>
        <v>0</v>
      </c>
      <c r="S17" s="855">
        <f t="shared" si="20"/>
        <v>0</v>
      </c>
      <c r="T17" s="855">
        <f t="shared" si="20"/>
        <v>0</v>
      </c>
      <c r="U17" s="855">
        <f t="shared" ref="U17:X17" si="21">+U18+U25+U31+U36</f>
        <v>0</v>
      </c>
      <c r="V17" s="855">
        <f t="shared" si="21"/>
        <v>827006</v>
      </c>
      <c r="W17" s="855">
        <f t="shared" si="21"/>
        <v>3959941354.46</v>
      </c>
      <c r="X17" s="855">
        <f t="shared" si="21"/>
        <v>5745606586.1000004</v>
      </c>
      <c r="Y17" s="855">
        <f t="shared" si="5"/>
        <v>9706374946.5600014</v>
      </c>
      <c r="Z17" s="855">
        <f t="shared" si="6"/>
        <v>8227379909</v>
      </c>
      <c r="AA17" s="855">
        <f t="shared" si="6"/>
        <v>9510220451.4599991</v>
      </c>
      <c r="AB17" s="855">
        <f t="shared" si="6"/>
        <v>5746956586.1000004</v>
      </c>
      <c r="AC17" s="855">
        <f t="shared" si="7"/>
        <v>23484556946.559998</v>
      </c>
      <c r="AD17" s="855">
        <f t="shared" ref="AD17:AF17" si="22">+AD18+AD25+AD31+AD36</f>
        <v>7538179997.7300005</v>
      </c>
      <c r="AE17" s="855">
        <f t="shared" si="22"/>
        <v>4351091828.6800003</v>
      </c>
      <c r="AF17" s="855">
        <f t="shared" si="22"/>
        <v>0</v>
      </c>
      <c r="AG17" s="855">
        <f t="shared" si="15"/>
        <v>11889271826.41</v>
      </c>
      <c r="AH17" s="855">
        <f t="shared" ref="AH17:AJ17" si="23">+AH18+AH25+AH31+AH36</f>
        <v>763888.76999999979</v>
      </c>
      <c r="AI17" s="855">
        <f t="shared" si="23"/>
        <v>2949488999.0600004</v>
      </c>
      <c r="AJ17" s="855">
        <f t="shared" si="23"/>
        <v>3877002061.4500003</v>
      </c>
      <c r="AK17" s="855">
        <f t="shared" si="16"/>
        <v>6827254949.2800007</v>
      </c>
      <c r="AL17" s="855">
        <f t="shared" si="8"/>
        <v>7538943886.500001</v>
      </c>
      <c r="AM17" s="855">
        <f t="shared" si="8"/>
        <v>7300580827.7400007</v>
      </c>
      <c r="AN17" s="855">
        <f t="shared" si="8"/>
        <v>3877002061.4500003</v>
      </c>
      <c r="AO17" s="855">
        <f t="shared" si="9"/>
        <v>18716526775.690002</v>
      </c>
      <c r="AP17" s="855">
        <f t="shared" si="10"/>
        <v>688436022.49999905</v>
      </c>
      <c r="AQ17" s="855">
        <f t="shared" si="10"/>
        <v>2209639623.7199984</v>
      </c>
      <c r="AR17" s="855">
        <f t="shared" si="10"/>
        <v>1869954524.6500001</v>
      </c>
      <c r="AS17" s="855">
        <f t="shared" si="11"/>
        <v>4768030170.869997</v>
      </c>
      <c r="AT17" s="1330">
        <f t="shared" si="14"/>
        <v>0.91632378349917776</v>
      </c>
      <c r="AU17" s="1330">
        <f t="shared" si="14"/>
        <v>0.76765631932530265</v>
      </c>
      <c r="AV17" s="1330">
        <f t="shared" si="14"/>
        <v>0.67461829637397897</v>
      </c>
      <c r="AW17" s="1330">
        <f t="shared" si="14"/>
        <v>0.79697167880493425</v>
      </c>
      <c r="AX17" s="22">
        <f t="shared" si="12"/>
        <v>0</v>
      </c>
      <c r="AY17" s="22">
        <f t="shared" si="12"/>
        <v>0</v>
      </c>
      <c r="AZ17" s="22">
        <f t="shared" si="12"/>
        <v>0</v>
      </c>
      <c r="BA17" s="22">
        <f t="shared" si="13"/>
        <v>0</v>
      </c>
      <c r="BC17" s="824"/>
    </row>
    <row r="18" spans="1:55" s="39" customFormat="1" ht="16.5">
      <c r="A18" s="591" t="s">
        <v>436</v>
      </c>
      <c r="B18" s="858">
        <f>SUM(B19:B23)</f>
        <v>3920618000</v>
      </c>
      <c r="C18" s="858">
        <f t="shared" ref="C18:D18" si="24">SUM(C19:C23)</f>
        <v>2276000000</v>
      </c>
      <c r="D18" s="858">
        <f t="shared" si="24"/>
        <v>0</v>
      </c>
      <c r="E18" s="858">
        <f t="shared" si="0"/>
        <v>6196618000</v>
      </c>
      <c r="F18" s="858">
        <f t="shared" ref="F18:H18" si="25">SUM(F19:F23)</f>
        <v>49881496</v>
      </c>
      <c r="G18" s="858">
        <f t="shared" si="25"/>
        <v>-49881496</v>
      </c>
      <c r="H18" s="858">
        <f t="shared" si="25"/>
        <v>0</v>
      </c>
      <c r="I18" s="858">
        <f t="shared" si="1"/>
        <v>0</v>
      </c>
      <c r="J18" s="858">
        <f t="shared" si="2"/>
        <v>3970499496</v>
      </c>
      <c r="K18" s="858">
        <f t="shared" si="2"/>
        <v>2226118504</v>
      </c>
      <c r="L18" s="858">
        <f t="shared" si="2"/>
        <v>0</v>
      </c>
      <c r="M18" s="858">
        <f t="shared" si="3"/>
        <v>6196618000</v>
      </c>
      <c r="N18" s="858">
        <f t="shared" ref="N18:P18" si="26">SUM(N19:N23)</f>
        <v>3970499496</v>
      </c>
      <c r="O18" s="858">
        <f t="shared" si="26"/>
        <v>2226118504</v>
      </c>
      <c r="P18" s="858">
        <f t="shared" si="26"/>
        <v>0</v>
      </c>
      <c r="Q18" s="858">
        <f t="shared" si="4"/>
        <v>6196618000</v>
      </c>
      <c r="R18" s="858">
        <f t="shared" ref="R18:T18" si="27">SUM(R19:R23)</f>
        <v>0</v>
      </c>
      <c r="S18" s="858">
        <f t="shared" si="27"/>
        <v>0</v>
      </c>
      <c r="T18" s="858">
        <f t="shared" si="27"/>
        <v>0</v>
      </c>
      <c r="U18" s="858">
        <f t="shared" ref="U18:X18" si="28">SUM(U19:U23)</f>
        <v>0</v>
      </c>
      <c r="V18" s="858">
        <f t="shared" si="28"/>
        <v>0</v>
      </c>
      <c r="W18" s="858">
        <f t="shared" si="28"/>
        <v>1454215165.79</v>
      </c>
      <c r="X18" s="858">
        <f t="shared" si="28"/>
        <v>3164313960.0999999</v>
      </c>
      <c r="Y18" s="858">
        <f t="shared" si="5"/>
        <v>4618529125.8899994</v>
      </c>
      <c r="Z18" s="858">
        <f t="shared" si="6"/>
        <v>3970499496</v>
      </c>
      <c r="AA18" s="858">
        <f t="shared" si="6"/>
        <v>3680333669.79</v>
      </c>
      <c r="AB18" s="858">
        <f t="shared" si="6"/>
        <v>3164313960.0999999</v>
      </c>
      <c r="AC18" s="858">
        <f t="shared" si="7"/>
        <v>10815147125.889999</v>
      </c>
      <c r="AD18" s="858">
        <f t="shared" ref="AD18:AF18" si="29">SUM(AD19:AD23)</f>
        <v>3697641587.1500001</v>
      </c>
      <c r="AE18" s="858">
        <f t="shared" si="29"/>
        <v>1863192605.8</v>
      </c>
      <c r="AF18" s="858">
        <f t="shared" si="29"/>
        <v>0</v>
      </c>
      <c r="AG18" s="858">
        <f t="shared" si="15"/>
        <v>5560834192.9499998</v>
      </c>
      <c r="AH18" s="858">
        <f t="shared" ref="AH18:AJ18" si="30">SUM(AH19:AH23)</f>
        <v>0</v>
      </c>
      <c r="AI18" s="858">
        <f t="shared" si="30"/>
        <v>1168037691.7200003</v>
      </c>
      <c r="AJ18" s="858">
        <f t="shared" si="30"/>
        <v>1697229511.3699999</v>
      </c>
      <c r="AK18" s="858">
        <f t="shared" si="16"/>
        <v>2865267203.0900002</v>
      </c>
      <c r="AL18" s="858">
        <f t="shared" si="8"/>
        <v>3697641587.1500001</v>
      </c>
      <c r="AM18" s="858">
        <f t="shared" si="8"/>
        <v>3031230297.5200005</v>
      </c>
      <c r="AN18" s="858">
        <f t="shared" si="8"/>
        <v>1697229511.3699999</v>
      </c>
      <c r="AO18" s="858">
        <f t="shared" si="9"/>
        <v>8426101396.04</v>
      </c>
      <c r="AP18" s="858">
        <f t="shared" si="10"/>
        <v>272857908.8499999</v>
      </c>
      <c r="AQ18" s="858">
        <f t="shared" si="10"/>
        <v>649103372.2699995</v>
      </c>
      <c r="AR18" s="858">
        <f t="shared" si="10"/>
        <v>1467084448.73</v>
      </c>
      <c r="AS18" s="858">
        <f t="shared" si="11"/>
        <v>2389045729.8499994</v>
      </c>
      <c r="AT18" s="1331">
        <f t="shared" si="14"/>
        <v>0.93127869450055711</v>
      </c>
      <c r="AU18" s="1331">
        <f t="shared" si="14"/>
        <v>0.8236292057977892</v>
      </c>
      <c r="AV18" s="1331">
        <f t="shared" si="14"/>
        <v>0.53636571236956632</v>
      </c>
      <c r="AW18" s="1331">
        <f t="shared" si="14"/>
        <v>0.77910187424718924</v>
      </c>
      <c r="AX18" s="22">
        <f t="shared" si="12"/>
        <v>0</v>
      </c>
      <c r="AY18" s="22">
        <f t="shared" si="12"/>
        <v>0</v>
      </c>
      <c r="AZ18" s="22">
        <f t="shared" si="12"/>
        <v>0</v>
      </c>
      <c r="BA18" s="22">
        <f t="shared" si="13"/>
        <v>0</v>
      </c>
    </row>
    <row r="19" spans="1:55" s="16" customFormat="1">
      <c r="A19" s="592" t="s">
        <v>441</v>
      </c>
      <c r="B19" s="859">
        <f>+'SUMM BY CLUSTER- CURRENT'!B19</f>
        <v>2881546000</v>
      </c>
      <c r="C19" s="859">
        <f>+'SUMM BY CLUSTER- CURRENT'!C19</f>
        <v>1198130000</v>
      </c>
      <c r="D19" s="859">
        <f>+'SUMM BY CLUSTER- CURRENT'!D19</f>
        <v>0</v>
      </c>
      <c r="E19" s="859">
        <f t="shared" si="0"/>
        <v>4079676000</v>
      </c>
      <c r="F19" s="859">
        <f>+'SUMM BY CLUSTER- CURRENT'!F19</f>
        <v>49040671</v>
      </c>
      <c r="G19" s="859">
        <f>+'SUMM BY CLUSTER- CURRENT'!G19</f>
        <v>-49040671</v>
      </c>
      <c r="H19" s="859">
        <f>+'SUMM BY CLUSTER- CURRENT'!H19</f>
        <v>0</v>
      </c>
      <c r="I19" s="859">
        <f t="shared" si="1"/>
        <v>0</v>
      </c>
      <c r="J19" s="859">
        <f t="shared" si="2"/>
        <v>2930586671</v>
      </c>
      <c r="K19" s="859">
        <f t="shared" si="2"/>
        <v>1149089329</v>
      </c>
      <c r="L19" s="859">
        <f t="shared" si="2"/>
        <v>0</v>
      </c>
      <c r="M19" s="859">
        <f t="shared" si="3"/>
        <v>4079676000</v>
      </c>
      <c r="N19" s="859">
        <f>+'SUMM BY CLUSTER- CURRENT'!N19</f>
        <v>2930586671</v>
      </c>
      <c r="O19" s="859">
        <f>+'SUMM BY CLUSTER- CURRENT'!O19</f>
        <v>1149089329</v>
      </c>
      <c r="P19" s="859">
        <f>+'SUMM BY CLUSTER- CURRENT'!P19</f>
        <v>0</v>
      </c>
      <c r="Q19" s="868">
        <f t="shared" si="4"/>
        <v>4079676000</v>
      </c>
      <c r="R19" s="859">
        <f>+'SUMM BY CLUSTER- CURRENT'!R19</f>
        <v>0</v>
      </c>
      <c r="S19" s="859">
        <f>+'SUMM BY CLUSTER- CURRENT'!S19</f>
        <v>0</v>
      </c>
      <c r="T19" s="859">
        <f>+'SUMM BY CLUSTER- CURRENT'!T19</f>
        <v>0</v>
      </c>
      <c r="U19" s="859">
        <f>SUM(R19:T19)</f>
        <v>0</v>
      </c>
      <c r="V19" s="859">
        <f>+'SUMM BY CLUSTER- CURRENT'!V19</f>
        <v>0</v>
      </c>
      <c r="W19" s="859">
        <f>+'SUMM BY CLUSTER- CURRENT'!W19</f>
        <v>656279868</v>
      </c>
      <c r="X19" s="859">
        <f>+'SUMM BY CLUSTER- CURRENT'!X19</f>
        <v>1991669435.0999999</v>
      </c>
      <c r="Y19" s="859">
        <f t="shared" si="5"/>
        <v>2647949303.0999999</v>
      </c>
      <c r="Z19" s="859">
        <f t="shared" si="6"/>
        <v>2930586671</v>
      </c>
      <c r="AA19" s="859">
        <f t="shared" si="6"/>
        <v>1805369197</v>
      </c>
      <c r="AB19" s="859">
        <f t="shared" si="6"/>
        <v>1991669435.0999999</v>
      </c>
      <c r="AC19" s="859">
        <f t="shared" si="7"/>
        <v>6727625303.1000004</v>
      </c>
      <c r="AD19" s="859">
        <f>+'SUMM BY CLUSTER- CURRENT'!AD19</f>
        <v>2743308772.8400002</v>
      </c>
      <c r="AE19" s="859">
        <f>+'SUMM BY CLUSTER- CURRENT'!AE19</f>
        <v>990988297.47000003</v>
      </c>
      <c r="AF19" s="859">
        <f>+'SUMM BY CLUSTER- CURRENT'!AF19</f>
        <v>0</v>
      </c>
      <c r="AG19" s="859">
        <f t="shared" si="15"/>
        <v>3734297070.3100004</v>
      </c>
      <c r="AH19" s="859">
        <f>+'SUMM BY CLUSTER- CURRENT'!AH19</f>
        <v>0</v>
      </c>
      <c r="AI19" s="859">
        <f>+'SUMM BY CLUSTER- CURRENT'!AI19</f>
        <v>501760548.38000005</v>
      </c>
      <c r="AJ19" s="859">
        <f>+'SUMM BY CLUSTER- CURRENT'!AJ19</f>
        <v>668343608.60000002</v>
      </c>
      <c r="AK19" s="859">
        <f t="shared" si="16"/>
        <v>1170104156.98</v>
      </c>
      <c r="AL19" s="859">
        <f t="shared" si="8"/>
        <v>2743308772.8400002</v>
      </c>
      <c r="AM19" s="859">
        <f t="shared" si="8"/>
        <v>1492748845.8500001</v>
      </c>
      <c r="AN19" s="859">
        <f t="shared" si="8"/>
        <v>668343608.60000002</v>
      </c>
      <c r="AO19" s="859">
        <f t="shared" si="9"/>
        <v>4904401227.2900009</v>
      </c>
      <c r="AP19" s="859">
        <f t="shared" si="10"/>
        <v>187277898.15999985</v>
      </c>
      <c r="AQ19" s="859">
        <f t="shared" si="10"/>
        <v>312620351.14999986</v>
      </c>
      <c r="AR19" s="859">
        <f t="shared" si="10"/>
        <v>1323325826.5</v>
      </c>
      <c r="AS19" s="859">
        <f t="shared" si="11"/>
        <v>1823224075.8099997</v>
      </c>
      <c r="AT19" s="885">
        <f t="shared" si="14"/>
        <v>0.9360954241643038</v>
      </c>
      <c r="AU19" s="885">
        <f t="shared" si="14"/>
        <v>0.82683854822078262</v>
      </c>
      <c r="AV19" s="885">
        <f t="shared" si="14"/>
        <v>0.33556954624171509</v>
      </c>
      <c r="AW19" s="885">
        <f t="shared" si="14"/>
        <v>0.72899440832861451</v>
      </c>
      <c r="AX19" s="22">
        <f t="shared" si="12"/>
        <v>0</v>
      </c>
      <c r="AY19" s="22">
        <f t="shared" si="12"/>
        <v>0</v>
      </c>
      <c r="AZ19" s="22">
        <f t="shared" si="12"/>
        <v>0</v>
      </c>
      <c r="BA19" s="22">
        <f t="shared" si="13"/>
        <v>0</v>
      </c>
    </row>
    <row r="20" spans="1:55" s="16" customFormat="1">
      <c r="A20" s="592" t="s">
        <v>56</v>
      </c>
      <c r="B20" s="859">
        <f>+'SUMM BY CLUSTER- CURRENT'!B33</f>
        <v>282323000</v>
      </c>
      <c r="C20" s="859">
        <f>+'SUMM BY CLUSTER- CURRENT'!C33</f>
        <v>308173000</v>
      </c>
      <c r="D20" s="859">
        <f>+'SUMM BY CLUSTER- CURRENT'!D33</f>
        <v>0</v>
      </c>
      <c r="E20" s="860">
        <f t="shared" si="0"/>
        <v>590496000</v>
      </c>
      <c r="F20" s="859">
        <f>+'SUMM BY CLUSTER- CURRENT'!F33</f>
        <v>0</v>
      </c>
      <c r="G20" s="859">
        <f>+'SUMM BY CLUSTER- CURRENT'!G33</f>
        <v>0</v>
      </c>
      <c r="H20" s="859">
        <f>+'SUMM BY CLUSTER- CURRENT'!H33</f>
        <v>0</v>
      </c>
      <c r="I20" s="860">
        <f>SUM(F20:H20)</f>
        <v>0</v>
      </c>
      <c r="J20" s="859">
        <f t="shared" si="2"/>
        <v>282323000</v>
      </c>
      <c r="K20" s="859">
        <f t="shared" si="2"/>
        <v>308173000</v>
      </c>
      <c r="L20" s="859">
        <f t="shared" si="2"/>
        <v>0</v>
      </c>
      <c r="M20" s="860">
        <f t="shared" ref="M20:M38" si="31">SUM(J20:L20)</f>
        <v>590496000</v>
      </c>
      <c r="N20" s="859">
        <f>+'SUMM BY CLUSTER- CURRENT'!N33</f>
        <v>282323000</v>
      </c>
      <c r="O20" s="859">
        <f>+'SUMM BY CLUSTER- CURRENT'!O33</f>
        <v>308173000</v>
      </c>
      <c r="P20" s="859">
        <f>+'SUMM BY CLUSTER- CURRENT'!P33</f>
        <v>0</v>
      </c>
      <c r="Q20" s="860">
        <f t="shared" si="4"/>
        <v>590496000</v>
      </c>
      <c r="R20" s="859">
        <f>+'SUMM BY CLUSTER- CURRENT'!R33</f>
        <v>0</v>
      </c>
      <c r="S20" s="859">
        <f>+'SUMM BY CLUSTER- CURRENT'!S33</f>
        <v>0</v>
      </c>
      <c r="T20" s="859">
        <f>+'SUMM BY CLUSTER- CURRENT'!T33</f>
        <v>0</v>
      </c>
      <c r="U20" s="860">
        <f>SUM(R20:T20)</f>
        <v>0</v>
      </c>
      <c r="V20" s="859">
        <f>+'SUMM BY CLUSTER- CURRENT'!V33</f>
        <v>0</v>
      </c>
      <c r="W20" s="859">
        <f>+'SUMM BY CLUSTER- CURRENT'!W33</f>
        <v>144699414</v>
      </c>
      <c r="X20" s="859">
        <f>+'SUMM BY CLUSTER- CURRENT'!X33</f>
        <v>473471882</v>
      </c>
      <c r="Y20" s="860">
        <f t="shared" si="5"/>
        <v>618171296</v>
      </c>
      <c r="Z20" s="860">
        <f t="shared" si="6"/>
        <v>282323000</v>
      </c>
      <c r="AA20" s="860">
        <f t="shared" si="6"/>
        <v>452872414</v>
      </c>
      <c r="AB20" s="860">
        <f t="shared" si="6"/>
        <v>473471882</v>
      </c>
      <c r="AC20" s="860">
        <f t="shared" si="7"/>
        <v>1208667296</v>
      </c>
      <c r="AD20" s="859">
        <f>+'SUMM BY CLUSTER- CURRENT'!AD33</f>
        <v>260300649.81999999</v>
      </c>
      <c r="AE20" s="859">
        <f>+'SUMM BY CLUSTER- CURRENT'!AE33</f>
        <v>253483859.41999996</v>
      </c>
      <c r="AF20" s="859">
        <f>+'SUMM BY CLUSTER- CURRENT'!AF33</f>
        <v>0</v>
      </c>
      <c r="AG20" s="860">
        <f t="shared" si="15"/>
        <v>513784509.23999995</v>
      </c>
      <c r="AH20" s="859">
        <f>+'SUMM BY CLUSTER- CURRENT'!AH33</f>
        <v>0</v>
      </c>
      <c r="AI20" s="859">
        <f>+'SUMM BY CLUSTER- CURRENT'!AI33</f>
        <v>113489912.02000001</v>
      </c>
      <c r="AJ20" s="859">
        <f>+'SUMM BY CLUSTER- CURRENT'!AJ33</f>
        <v>370676018.92000002</v>
      </c>
      <c r="AK20" s="860">
        <f t="shared" si="16"/>
        <v>484165930.94000006</v>
      </c>
      <c r="AL20" s="860">
        <f t="shared" si="8"/>
        <v>260300649.81999999</v>
      </c>
      <c r="AM20" s="860">
        <f t="shared" si="8"/>
        <v>366973771.43999994</v>
      </c>
      <c r="AN20" s="860">
        <f t="shared" si="8"/>
        <v>370676018.92000002</v>
      </c>
      <c r="AO20" s="860">
        <f t="shared" si="9"/>
        <v>997950440.18000007</v>
      </c>
      <c r="AP20" s="861">
        <f t="shared" si="10"/>
        <v>22022350.180000007</v>
      </c>
      <c r="AQ20" s="860">
        <f t="shared" si="10"/>
        <v>85898642.560000062</v>
      </c>
      <c r="AR20" s="860">
        <f t="shared" si="10"/>
        <v>102795863.07999998</v>
      </c>
      <c r="AS20" s="860">
        <f t="shared" si="11"/>
        <v>210716855.82000005</v>
      </c>
      <c r="AT20" s="886">
        <f t="shared" si="14"/>
        <v>0.92199590476156745</v>
      </c>
      <c r="AU20" s="886">
        <f t="shared" si="14"/>
        <v>0.81032485109592023</v>
      </c>
      <c r="AV20" s="886">
        <f t="shared" si="14"/>
        <v>0.78288919154865466</v>
      </c>
      <c r="AW20" s="886">
        <f t="shared" si="14"/>
        <v>0.82566182065374594</v>
      </c>
      <c r="AX20" s="22">
        <f t="shared" si="12"/>
        <v>0</v>
      </c>
      <c r="AY20" s="22">
        <f t="shared" si="12"/>
        <v>0</v>
      </c>
      <c r="AZ20" s="22">
        <f t="shared" si="12"/>
        <v>0</v>
      </c>
      <c r="BA20" s="22">
        <f t="shared" si="13"/>
        <v>0</v>
      </c>
    </row>
    <row r="21" spans="1:55" s="16" customFormat="1">
      <c r="A21" s="592" t="s">
        <v>437</v>
      </c>
      <c r="B21" s="859">
        <f>+'SUMM BY CLUSTER- CURRENT'!B40</f>
        <v>208238000</v>
      </c>
      <c r="C21" s="859">
        <f>+'SUMM BY CLUSTER- CURRENT'!C40</f>
        <v>224761000</v>
      </c>
      <c r="D21" s="859">
        <f>+'SUMM BY CLUSTER- CURRENT'!D40</f>
        <v>0</v>
      </c>
      <c r="E21" s="860">
        <f t="shared" si="0"/>
        <v>432999000</v>
      </c>
      <c r="F21" s="859">
        <f>+'SUMM BY CLUSTER- CURRENT'!F40</f>
        <v>0</v>
      </c>
      <c r="G21" s="859">
        <f>+'SUMM BY CLUSTER- CURRENT'!G40</f>
        <v>0</v>
      </c>
      <c r="H21" s="859">
        <f>+'SUMM BY CLUSTER- CURRENT'!H40</f>
        <v>0</v>
      </c>
      <c r="I21" s="860">
        <f>SUM(F21:H21)</f>
        <v>0</v>
      </c>
      <c r="J21" s="859">
        <f t="shared" si="2"/>
        <v>208238000</v>
      </c>
      <c r="K21" s="859">
        <f t="shared" si="2"/>
        <v>224761000</v>
      </c>
      <c r="L21" s="859">
        <f t="shared" si="2"/>
        <v>0</v>
      </c>
      <c r="M21" s="860">
        <f t="shared" si="31"/>
        <v>432999000</v>
      </c>
      <c r="N21" s="859">
        <f>+'SUMM BY CLUSTER- CURRENT'!N40</f>
        <v>208238000</v>
      </c>
      <c r="O21" s="859">
        <f>+'SUMM BY CLUSTER- CURRENT'!O40</f>
        <v>224761000</v>
      </c>
      <c r="P21" s="859">
        <f>+'SUMM BY CLUSTER- CURRENT'!P40</f>
        <v>0</v>
      </c>
      <c r="Q21" s="860">
        <f t="shared" si="4"/>
        <v>432999000</v>
      </c>
      <c r="R21" s="859">
        <f>+'SUMM BY CLUSTER- CURRENT'!R40</f>
        <v>0</v>
      </c>
      <c r="S21" s="859">
        <f>+'SUMM BY CLUSTER- CURRENT'!S40</f>
        <v>0</v>
      </c>
      <c r="T21" s="859">
        <f>+'SUMM BY CLUSTER- CURRENT'!T40</f>
        <v>0</v>
      </c>
      <c r="U21" s="860">
        <f>SUM(R21:T21)</f>
        <v>0</v>
      </c>
      <c r="V21" s="859">
        <f>+'SUMM BY CLUSTER- CURRENT'!V40</f>
        <v>0</v>
      </c>
      <c r="W21" s="859">
        <f>+'SUMM BY CLUSTER- CURRENT'!W40</f>
        <v>218676768.78999999</v>
      </c>
      <c r="X21" s="859">
        <f>+'SUMM BY CLUSTER- CURRENT'!X40</f>
        <v>354065592</v>
      </c>
      <c r="Y21" s="860">
        <f t="shared" si="5"/>
        <v>572742360.78999996</v>
      </c>
      <c r="Z21" s="860">
        <f t="shared" si="6"/>
        <v>208238000</v>
      </c>
      <c r="AA21" s="860">
        <f t="shared" si="6"/>
        <v>443437768.78999996</v>
      </c>
      <c r="AB21" s="860">
        <f t="shared" si="6"/>
        <v>354065592</v>
      </c>
      <c r="AC21" s="860">
        <f>SUM(Z21:AB21)</f>
        <v>1005741360.79</v>
      </c>
      <c r="AD21" s="859">
        <f>+'SUMM BY CLUSTER- CURRENT'!AD40</f>
        <v>191650876.61999997</v>
      </c>
      <c r="AE21" s="859">
        <f>+'SUMM BY CLUSTER- CURRENT'!AE40</f>
        <v>200394683.25999999</v>
      </c>
      <c r="AF21" s="859">
        <f>+'SUMM BY CLUSTER- CURRENT'!AF40</f>
        <v>0</v>
      </c>
      <c r="AG21" s="860">
        <f t="shared" si="15"/>
        <v>392045559.88</v>
      </c>
      <c r="AH21" s="859">
        <f>+'SUMM BY CLUSTER- CURRENT'!AH40</f>
        <v>0</v>
      </c>
      <c r="AI21" s="859">
        <f>+'SUMM BY CLUSTER- CURRENT'!AI40</f>
        <v>182387998.73000005</v>
      </c>
      <c r="AJ21" s="859">
        <f>+'SUMM BY CLUSTER- CURRENT'!AJ40</f>
        <v>333410181.06999999</v>
      </c>
      <c r="AK21" s="860">
        <f t="shared" si="16"/>
        <v>515798179.80000007</v>
      </c>
      <c r="AL21" s="860">
        <f t="shared" si="8"/>
        <v>191650876.61999997</v>
      </c>
      <c r="AM21" s="860">
        <f t="shared" si="8"/>
        <v>382782681.99000001</v>
      </c>
      <c r="AN21" s="860">
        <f t="shared" si="8"/>
        <v>333410181.06999999</v>
      </c>
      <c r="AO21" s="860">
        <f t="shared" si="9"/>
        <v>907843739.68000007</v>
      </c>
      <c r="AP21" s="860">
        <f t="shared" si="10"/>
        <v>16587123.380000025</v>
      </c>
      <c r="AQ21" s="860">
        <f t="shared" si="10"/>
        <v>60655086.799999952</v>
      </c>
      <c r="AR21" s="860">
        <f t="shared" si="10"/>
        <v>20655410.930000007</v>
      </c>
      <c r="AS21" s="860">
        <f>SUM(AP21:AR21)</f>
        <v>97897621.109999985</v>
      </c>
      <c r="AT21" s="886">
        <f t="shared" si="14"/>
        <v>0.92034535781173454</v>
      </c>
      <c r="AU21" s="886">
        <f t="shared" si="14"/>
        <v>0.86321623671003866</v>
      </c>
      <c r="AV21" s="886">
        <f t="shared" si="14"/>
        <v>0.94166219085756286</v>
      </c>
      <c r="AW21" s="886">
        <f t="shared" si="14"/>
        <v>0.90266123585381608</v>
      </c>
      <c r="AX21" s="22">
        <f t="shared" si="12"/>
        <v>0</v>
      </c>
      <c r="AY21" s="22">
        <f t="shared" si="12"/>
        <v>0</v>
      </c>
      <c r="AZ21" s="22">
        <f t="shared" si="12"/>
        <v>0</v>
      </c>
      <c r="BA21" s="22">
        <f t="shared" ref="BA21:BA38" si="32">SUM(AX21:AZ21)</f>
        <v>0</v>
      </c>
    </row>
    <row r="22" spans="1:55" s="16" customFormat="1">
      <c r="A22" s="592" t="s">
        <v>438</v>
      </c>
      <c r="B22" s="859">
        <f>+'SUMM BY CLUSTER- CURRENT'!B44</f>
        <v>126459000</v>
      </c>
      <c r="C22" s="859">
        <f>+'SUMM BY CLUSTER- CURRENT'!C44</f>
        <v>198746000</v>
      </c>
      <c r="D22" s="859">
        <f>+'SUMM BY CLUSTER- CURRENT'!D44</f>
        <v>0</v>
      </c>
      <c r="E22" s="860">
        <f t="shared" si="0"/>
        <v>325205000</v>
      </c>
      <c r="F22" s="859">
        <f>+'SUMM BY CLUSTER- CURRENT'!F44</f>
        <v>0</v>
      </c>
      <c r="G22" s="859">
        <f>+'SUMM BY CLUSTER- CURRENT'!G44</f>
        <v>0</v>
      </c>
      <c r="H22" s="859">
        <f>+'SUMM BY CLUSTER- CURRENT'!H44</f>
        <v>0</v>
      </c>
      <c r="I22" s="860">
        <f>SUM(F22:H22)</f>
        <v>0</v>
      </c>
      <c r="J22" s="859">
        <f t="shared" si="2"/>
        <v>126459000</v>
      </c>
      <c r="K22" s="859">
        <f t="shared" si="2"/>
        <v>198746000</v>
      </c>
      <c r="L22" s="859">
        <f t="shared" si="2"/>
        <v>0</v>
      </c>
      <c r="M22" s="860">
        <f t="shared" si="31"/>
        <v>325205000</v>
      </c>
      <c r="N22" s="859">
        <f>+'SUMM BY CLUSTER- CURRENT'!N44</f>
        <v>126459000</v>
      </c>
      <c r="O22" s="859">
        <f>+'SUMM BY CLUSTER- CURRENT'!O44</f>
        <v>198746000</v>
      </c>
      <c r="P22" s="859">
        <f>+'SUMM BY CLUSTER- CURRENT'!P44</f>
        <v>0</v>
      </c>
      <c r="Q22" s="860">
        <f t="shared" si="4"/>
        <v>325205000</v>
      </c>
      <c r="R22" s="859">
        <f>+'SUMM BY CLUSTER- CURRENT'!R44</f>
        <v>0</v>
      </c>
      <c r="S22" s="859">
        <f>+'SUMM BY CLUSTER- CURRENT'!S44</f>
        <v>0</v>
      </c>
      <c r="T22" s="859">
        <f>+'SUMM BY CLUSTER- CURRENT'!T44</f>
        <v>0</v>
      </c>
      <c r="U22" s="860">
        <f>SUM(R22:T22)</f>
        <v>0</v>
      </c>
      <c r="V22" s="859">
        <f>+'SUMM BY CLUSTER- CURRENT'!V44</f>
        <v>0</v>
      </c>
      <c r="W22" s="859">
        <f>+'SUMM BY CLUSTER- CURRENT'!W44</f>
        <v>135594717</v>
      </c>
      <c r="X22" s="859">
        <f>+'SUMM BY CLUSTER- CURRENT'!X44</f>
        <v>52000000</v>
      </c>
      <c r="Y22" s="860">
        <f t="shared" si="5"/>
        <v>187594717</v>
      </c>
      <c r="Z22" s="860">
        <f t="shared" si="6"/>
        <v>126459000</v>
      </c>
      <c r="AA22" s="860">
        <f t="shared" si="6"/>
        <v>334340717</v>
      </c>
      <c r="AB22" s="860">
        <f t="shared" si="6"/>
        <v>52000000</v>
      </c>
      <c r="AC22" s="860">
        <f>SUM(Z22:AB22)</f>
        <v>512799717</v>
      </c>
      <c r="AD22" s="859">
        <f>+'SUMM BY CLUSTER- CURRENT'!AD44</f>
        <v>115210349.85000002</v>
      </c>
      <c r="AE22" s="859">
        <f>+'SUMM BY CLUSTER- CURRENT'!AE44</f>
        <v>163142673.00999999</v>
      </c>
      <c r="AF22" s="859">
        <f>+'SUMM BY CLUSTER- CURRENT'!AF44</f>
        <v>0</v>
      </c>
      <c r="AG22" s="860">
        <f t="shared" si="15"/>
        <v>278353022.86000001</v>
      </c>
      <c r="AH22" s="859">
        <f>+'SUMM BY CLUSTER- CURRENT'!AH44</f>
        <v>0</v>
      </c>
      <c r="AI22" s="859">
        <f>+'SUMM BY CLUSTER- CURRENT'!AI44</f>
        <v>106075487.45999999</v>
      </c>
      <c r="AJ22" s="859">
        <f>+'SUMM BY CLUSTER- CURRENT'!AJ44</f>
        <v>45415000</v>
      </c>
      <c r="AK22" s="860">
        <f t="shared" si="16"/>
        <v>151490487.45999998</v>
      </c>
      <c r="AL22" s="860">
        <f t="shared" si="8"/>
        <v>115210349.85000002</v>
      </c>
      <c r="AM22" s="860">
        <f t="shared" si="8"/>
        <v>269218160.46999997</v>
      </c>
      <c r="AN22" s="860">
        <f t="shared" si="8"/>
        <v>45415000</v>
      </c>
      <c r="AO22" s="860">
        <f t="shared" si="9"/>
        <v>429843510.31999999</v>
      </c>
      <c r="AP22" s="860">
        <f t="shared" si="10"/>
        <v>11248650.149999976</v>
      </c>
      <c r="AQ22" s="860">
        <f t="shared" si="10"/>
        <v>65122556.530000031</v>
      </c>
      <c r="AR22" s="860">
        <f t="shared" si="10"/>
        <v>6585000</v>
      </c>
      <c r="AS22" s="860">
        <f>SUM(AP22:AR22)</f>
        <v>82956206.680000007</v>
      </c>
      <c r="AT22" s="886">
        <f t="shared" si="14"/>
        <v>0.91104903446967023</v>
      </c>
      <c r="AU22" s="886">
        <f t="shared" si="14"/>
        <v>0.8052209820139854</v>
      </c>
      <c r="AV22" s="886">
        <f t="shared" si="14"/>
        <v>0.8733653846153846</v>
      </c>
      <c r="AW22" s="886">
        <f t="shared" si="14"/>
        <v>0.8382288368540578</v>
      </c>
      <c r="AX22" s="22">
        <f t="shared" si="12"/>
        <v>0</v>
      </c>
      <c r="AY22" s="22">
        <f t="shared" si="12"/>
        <v>0</v>
      </c>
      <c r="AZ22" s="22">
        <f t="shared" si="12"/>
        <v>0</v>
      </c>
      <c r="BA22" s="22">
        <f t="shared" si="32"/>
        <v>0</v>
      </c>
    </row>
    <row r="23" spans="1:55" s="16" customFormat="1">
      <c r="A23" s="592" t="s">
        <v>439</v>
      </c>
      <c r="B23" s="859">
        <f>+'SUMM BY CLUSTER- CURRENT'!B49</f>
        <v>422052000</v>
      </c>
      <c r="C23" s="859">
        <f>+'SUMM BY CLUSTER- CURRENT'!C49</f>
        <v>346190000</v>
      </c>
      <c r="D23" s="859">
        <f>+'SUMM BY CLUSTER- CURRENT'!D49</f>
        <v>0</v>
      </c>
      <c r="E23" s="860">
        <f t="shared" si="0"/>
        <v>768242000</v>
      </c>
      <c r="F23" s="859">
        <f>+'SUMM BY CLUSTER- CURRENT'!F49</f>
        <v>840825</v>
      </c>
      <c r="G23" s="859">
        <f>+'SUMM BY CLUSTER- CURRENT'!G49</f>
        <v>-840825</v>
      </c>
      <c r="H23" s="859">
        <f>+'SUMM BY CLUSTER- CURRENT'!H49</f>
        <v>0</v>
      </c>
      <c r="I23" s="860">
        <f>SUM(F23:H23)</f>
        <v>0</v>
      </c>
      <c r="J23" s="859">
        <f t="shared" si="2"/>
        <v>422892825</v>
      </c>
      <c r="K23" s="859">
        <f t="shared" si="2"/>
        <v>345349175</v>
      </c>
      <c r="L23" s="859">
        <f t="shared" si="2"/>
        <v>0</v>
      </c>
      <c r="M23" s="860">
        <f t="shared" si="31"/>
        <v>768242000</v>
      </c>
      <c r="N23" s="859">
        <f>+'SUMM BY CLUSTER- CURRENT'!N49</f>
        <v>422892825</v>
      </c>
      <c r="O23" s="859">
        <f>+'SUMM BY CLUSTER- CURRENT'!O49</f>
        <v>345349175</v>
      </c>
      <c r="P23" s="859">
        <f>+'SUMM BY CLUSTER- CURRENT'!P49</f>
        <v>0</v>
      </c>
      <c r="Q23" s="860">
        <f t="shared" si="4"/>
        <v>768242000</v>
      </c>
      <c r="R23" s="859">
        <f>+'SUMM BY CLUSTER- CURRENT'!R49</f>
        <v>0</v>
      </c>
      <c r="S23" s="859">
        <f>+'SUMM BY CLUSTER- CURRENT'!S49</f>
        <v>0</v>
      </c>
      <c r="T23" s="859">
        <f>+'SUMM BY CLUSTER- CURRENT'!T49</f>
        <v>0</v>
      </c>
      <c r="U23" s="860">
        <f>SUM(R23:T23)</f>
        <v>0</v>
      </c>
      <c r="V23" s="859">
        <f>+'SUMM BY CLUSTER- CURRENT'!V49</f>
        <v>0</v>
      </c>
      <c r="W23" s="859">
        <f>+'SUMM BY CLUSTER- CURRENT'!W49</f>
        <v>298964398</v>
      </c>
      <c r="X23" s="859">
        <f>+'SUMM BY CLUSTER- CURRENT'!X49</f>
        <v>293107051</v>
      </c>
      <c r="Y23" s="860">
        <f t="shared" si="5"/>
        <v>592071449</v>
      </c>
      <c r="Z23" s="860">
        <f t="shared" si="6"/>
        <v>422892825</v>
      </c>
      <c r="AA23" s="860">
        <f t="shared" si="6"/>
        <v>644313573</v>
      </c>
      <c r="AB23" s="860">
        <f t="shared" si="6"/>
        <v>293107051</v>
      </c>
      <c r="AC23" s="860">
        <f>SUM(Z23:AB23)</f>
        <v>1360313449</v>
      </c>
      <c r="AD23" s="859">
        <f>+'SUMM BY CLUSTER- CURRENT'!AD49</f>
        <v>387170938.01999998</v>
      </c>
      <c r="AE23" s="859">
        <f>+'SUMM BY CLUSTER- CURRENT'!AE49</f>
        <v>255183092.64000005</v>
      </c>
      <c r="AF23" s="859">
        <f>+'SUMM BY CLUSTER- CURRENT'!AF49</f>
        <v>0</v>
      </c>
      <c r="AG23" s="860">
        <f t="shared" si="15"/>
        <v>642354030.66000009</v>
      </c>
      <c r="AH23" s="859">
        <f>+'SUMM BY CLUSTER- CURRENT'!AH49</f>
        <v>0</v>
      </c>
      <c r="AI23" s="859">
        <f>+'SUMM BY CLUSTER- CURRENT'!AI49</f>
        <v>264323745.13</v>
      </c>
      <c r="AJ23" s="859">
        <f>+'SUMM BY CLUSTER- CURRENT'!AJ49</f>
        <v>279384702.78000003</v>
      </c>
      <c r="AK23" s="860">
        <f t="shared" si="16"/>
        <v>543708447.91000009</v>
      </c>
      <c r="AL23" s="860">
        <f t="shared" si="8"/>
        <v>387170938.01999998</v>
      </c>
      <c r="AM23" s="860">
        <f t="shared" si="8"/>
        <v>519506837.77000004</v>
      </c>
      <c r="AN23" s="860">
        <f t="shared" si="8"/>
        <v>279384702.78000003</v>
      </c>
      <c r="AO23" s="860">
        <f t="shared" si="9"/>
        <v>1186062478.5699999</v>
      </c>
      <c r="AP23" s="860">
        <f t="shared" si="10"/>
        <v>35721886.980000019</v>
      </c>
      <c r="AQ23" s="860">
        <f t="shared" si="10"/>
        <v>124806735.22999996</v>
      </c>
      <c r="AR23" s="860">
        <f t="shared" si="10"/>
        <v>13722348.219999969</v>
      </c>
      <c r="AS23" s="860">
        <f>SUM(AP23:AR23)</f>
        <v>174250970.42999995</v>
      </c>
      <c r="AT23" s="886">
        <f t="shared" si="14"/>
        <v>0.91552969246995375</v>
      </c>
      <c r="AU23" s="886">
        <f t="shared" si="14"/>
        <v>0.80629503946520154</v>
      </c>
      <c r="AV23" s="886">
        <f t="shared" si="14"/>
        <v>0.95318315211734717</v>
      </c>
      <c r="AW23" s="886">
        <f t="shared" si="14"/>
        <v>0.8719038097005537</v>
      </c>
      <c r="AX23" s="22">
        <f t="shared" si="12"/>
        <v>0</v>
      </c>
      <c r="AY23" s="22">
        <f t="shared" si="12"/>
        <v>0</v>
      </c>
      <c r="AZ23" s="22">
        <f t="shared" si="12"/>
        <v>0</v>
      </c>
      <c r="BA23" s="22">
        <f t="shared" si="32"/>
        <v>0</v>
      </c>
    </row>
    <row r="24" spans="1:55">
      <c r="A24" s="592"/>
      <c r="B24" s="862"/>
      <c r="C24" s="862"/>
      <c r="D24" s="862"/>
      <c r="E24" s="863">
        <f t="shared" si="0"/>
        <v>0</v>
      </c>
      <c r="F24" s="862"/>
      <c r="G24" s="862"/>
      <c r="H24" s="862"/>
      <c r="I24" s="863"/>
      <c r="J24" s="862">
        <f t="shared" si="2"/>
        <v>0</v>
      </c>
      <c r="K24" s="862">
        <f t="shared" si="2"/>
        <v>0</v>
      </c>
      <c r="L24" s="862">
        <f t="shared" si="2"/>
        <v>0</v>
      </c>
      <c r="M24" s="863">
        <f t="shared" si="31"/>
        <v>0</v>
      </c>
      <c r="N24" s="862"/>
      <c r="O24" s="862"/>
      <c r="P24" s="862"/>
      <c r="Q24" s="863">
        <f t="shared" si="4"/>
        <v>0</v>
      </c>
      <c r="R24" s="862"/>
      <c r="S24" s="862"/>
      <c r="T24" s="862"/>
      <c r="U24" s="863"/>
      <c r="V24" s="862"/>
      <c r="W24" s="862"/>
      <c r="X24" s="862"/>
      <c r="Y24" s="863">
        <f t="shared" si="5"/>
        <v>0</v>
      </c>
      <c r="Z24" s="863"/>
      <c r="AA24" s="863"/>
      <c r="AB24" s="863"/>
      <c r="AC24" s="863"/>
      <c r="AD24" s="862"/>
      <c r="AE24" s="862"/>
      <c r="AF24" s="862"/>
      <c r="AG24" s="863">
        <f t="shared" si="15"/>
        <v>0</v>
      </c>
      <c r="AH24" s="862"/>
      <c r="AI24" s="862"/>
      <c r="AJ24" s="862"/>
      <c r="AK24" s="863">
        <f t="shared" si="16"/>
        <v>0</v>
      </c>
      <c r="AL24" s="863"/>
      <c r="AM24" s="863"/>
      <c r="AN24" s="863"/>
      <c r="AO24" s="863">
        <f t="shared" si="9"/>
        <v>0</v>
      </c>
      <c r="AP24" s="863"/>
      <c r="AQ24" s="863"/>
      <c r="AR24" s="863"/>
      <c r="AS24" s="863"/>
      <c r="AT24" s="886" t="str">
        <f t="shared" si="14"/>
        <v xml:space="preserve"> </v>
      </c>
      <c r="AU24" s="886" t="str">
        <f t="shared" si="14"/>
        <v xml:space="preserve"> </v>
      </c>
      <c r="AV24" s="886" t="str">
        <f t="shared" si="14"/>
        <v xml:space="preserve"> </v>
      </c>
      <c r="AW24" s="886" t="str">
        <f t="shared" si="14"/>
        <v xml:space="preserve"> </v>
      </c>
      <c r="AX24" s="22">
        <f t="shared" si="12"/>
        <v>0</v>
      </c>
      <c r="AY24" s="22">
        <f t="shared" si="12"/>
        <v>0</v>
      </c>
      <c r="AZ24" s="22">
        <f t="shared" si="12"/>
        <v>0</v>
      </c>
      <c r="BA24" s="22">
        <f t="shared" si="32"/>
        <v>0</v>
      </c>
    </row>
    <row r="25" spans="1:55" s="39" customFormat="1" ht="16.5">
      <c r="A25" s="591" t="s">
        <v>440</v>
      </c>
      <c r="B25" s="858">
        <f>SUM(B26:B29)</f>
        <v>1526094000</v>
      </c>
      <c r="C25" s="858">
        <f t="shared" ref="C25:D25" si="33">SUM(C26:C29)</f>
        <v>1069039000</v>
      </c>
      <c r="D25" s="858">
        <f t="shared" si="33"/>
        <v>0</v>
      </c>
      <c r="E25" s="858">
        <f t="shared" si="0"/>
        <v>2595133000</v>
      </c>
      <c r="F25" s="858">
        <f t="shared" ref="F25:H25" si="34">SUM(F26:F29)</f>
        <v>0</v>
      </c>
      <c r="G25" s="858">
        <f t="shared" si="34"/>
        <v>0</v>
      </c>
      <c r="H25" s="858">
        <f t="shared" si="34"/>
        <v>0</v>
      </c>
      <c r="I25" s="858">
        <f>SUM(I26:I29)</f>
        <v>0</v>
      </c>
      <c r="J25" s="858">
        <f t="shared" ref="J25:L41" si="35">+B25+F25</f>
        <v>1526094000</v>
      </c>
      <c r="K25" s="858">
        <f t="shared" si="35"/>
        <v>1069039000</v>
      </c>
      <c r="L25" s="858">
        <f t="shared" si="35"/>
        <v>0</v>
      </c>
      <c r="M25" s="858">
        <f t="shared" si="31"/>
        <v>2595133000</v>
      </c>
      <c r="N25" s="858">
        <f t="shared" ref="N25:P25" si="36">SUM(N26:N29)</f>
        <v>1526094000</v>
      </c>
      <c r="O25" s="858">
        <f t="shared" si="36"/>
        <v>1069039000</v>
      </c>
      <c r="P25" s="858">
        <f t="shared" si="36"/>
        <v>0</v>
      </c>
      <c r="Q25" s="858">
        <f t="shared" si="4"/>
        <v>2595133000</v>
      </c>
      <c r="R25" s="858">
        <f t="shared" ref="R25:T25" si="37">SUM(R26:R29)</f>
        <v>0</v>
      </c>
      <c r="S25" s="858">
        <f t="shared" si="37"/>
        <v>0</v>
      </c>
      <c r="T25" s="858">
        <f t="shared" si="37"/>
        <v>0</v>
      </c>
      <c r="U25" s="858">
        <f>SUM(U26:U29)</f>
        <v>0</v>
      </c>
      <c r="V25" s="858">
        <f t="shared" ref="V25:X25" si="38">SUM(V26:V29)</f>
        <v>827006</v>
      </c>
      <c r="W25" s="858">
        <f t="shared" si="38"/>
        <v>793774307</v>
      </c>
      <c r="X25" s="858">
        <f t="shared" si="38"/>
        <v>1102560729</v>
      </c>
      <c r="Y25" s="858">
        <f t="shared" si="5"/>
        <v>1897162042</v>
      </c>
      <c r="Z25" s="858">
        <f>+N25+V25</f>
        <v>1526921006</v>
      </c>
      <c r="AA25" s="858">
        <f>+O25+W25</f>
        <v>1862813307</v>
      </c>
      <c r="AB25" s="858">
        <f>+P25+X25</f>
        <v>1102560729</v>
      </c>
      <c r="AC25" s="858">
        <f>SUM(Z25:AB25)</f>
        <v>4492295042</v>
      </c>
      <c r="AD25" s="858">
        <f t="shared" ref="AD25:AF25" si="39">SUM(AD26:AD29)</f>
        <v>1373045383.28</v>
      </c>
      <c r="AE25" s="858">
        <f t="shared" si="39"/>
        <v>821686399.06999993</v>
      </c>
      <c r="AF25" s="858">
        <f t="shared" si="39"/>
        <v>0</v>
      </c>
      <c r="AG25" s="858">
        <f t="shared" si="15"/>
        <v>2194731782.3499999</v>
      </c>
      <c r="AH25" s="858">
        <f t="shared" ref="AH25:AJ25" si="40">SUM(AH26:AH29)</f>
        <v>763888.76999999979</v>
      </c>
      <c r="AI25" s="858">
        <f t="shared" si="40"/>
        <v>631458971.04999995</v>
      </c>
      <c r="AJ25" s="858">
        <f t="shared" si="40"/>
        <v>1072210380.1300001</v>
      </c>
      <c r="AK25" s="858">
        <f t="shared" si="16"/>
        <v>1704433239.95</v>
      </c>
      <c r="AL25" s="858">
        <f t="shared" ref="AL25:AS25" si="41">SUM(AL26:AL29)</f>
        <v>1373809272.05</v>
      </c>
      <c r="AM25" s="858">
        <f t="shared" si="41"/>
        <v>1453145370.1199999</v>
      </c>
      <c r="AN25" s="858">
        <f t="shared" si="41"/>
        <v>1072210380.1300001</v>
      </c>
      <c r="AO25" s="858">
        <f t="shared" si="9"/>
        <v>3899165022.3000002</v>
      </c>
      <c r="AP25" s="858">
        <f t="shared" si="41"/>
        <v>153111733.95000005</v>
      </c>
      <c r="AQ25" s="858">
        <f t="shared" si="41"/>
        <v>409667936.88</v>
      </c>
      <c r="AR25" s="858">
        <f t="shared" si="41"/>
        <v>30350348.86999993</v>
      </c>
      <c r="AS25" s="858">
        <f t="shared" si="41"/>
        <v>593130019.70000005</v>
      </c>
      <c r="AT25" s="1331">
        <f t="shared" si="14"/>
        <v>0.89972517677839847</v>
      </c>
      <c r="AU25" s="1331">
        <f t="shared" si="14"/>
        <v>0.78008105517575621</v>
      </c>
      <c r="AV25" s="1331">
        <f t="shared" si="14"/>
        <v>0.9724728551709555</v>
      </c>
      <c r="AW25" s="1331">
        <f t="shared" si="14"/>
        <v>0.86796726079773823</v>
      </c>
      <c r="AX25" s="22">
        <f t="shared" ref="AX25:AZ41" si="42">+J25-N25</f>
        <v>0</v>
      </c>
      <c r="AY25" s="22">
        <f t="shared" si="42"/>
        <v>0</v>
      </c>
      <c r="AZ25" s="22">
        <f t="shared" si="42"/>
        <v>0</v>
      </c>
      <c r="BA25" s="22">
        <f t="shared" si="32"/>
        <v>0</v>
      </c>
    </row>
    <row r="26" spans="1:55" s="16" customFormat="1">
      <c r="A26" s="592" t="s">
        <v>115</v>
      </c>
      <c r="B26" s="859">
        <f>+'SUMM BY CLUSTER- CURRENT'!B56</f>
        <v>336145000</v>
      </c>
      <c r="C26" s="859">
        <f>+'SUMM BY CLUSTER- CURRENT'!C56</f>
        <v>247569000</v>
      </c>
      <c r="D26" s="859">
        <f>+'SUMM BY CLUSTER- CURRENT'!D56</f>
        <v>0</v>
      </c>
      <c r="E26" s="860">
        <f t="shared" si="0"/>
        <v>583714000</v>
      </c>
      <c r="F26" s="859">
        <f>+'SUMM BY CLUSTER- CURRENT'!F56</f>
        <v>0</v>
      </c>
      <c r="G26" s="859">
        <f>+'SUMM BY CLUSTER- CURRENT'!G56</f>
        <v>0</v>
      </c>
      <c r="H26" s="859">
        <f>+'SUMM BY CLUSTER- CURRENT'!H56</f>
        <v>0</v>
      </c>
      <c r="I26" s="860">
        <f>SUM(F26:H26)</f>
        <v>0</v>
      </c>
      <c r="J26" s="859">
        <f t="shared" si="35"/>
        <v>336145000</v>
      </c>
      <c r="K26" s="859">
        <f t="shared" si="35"/>
        <v>247569000</v>
      </c>
      <c r="L26" s="859">
        <f t="shared" si="35"/>
        <v>0</v>
      </c>
      <c r="M26" s="860">
        <f t="shared" si="31"/>
        <v>583714000</v>
      </c>
      <c r="N26" s="859">
        <f>+'SUMM BY CLUSTER- CURRENT'!N56</f>
        <v>336145000</v>
      </c>
      <c r="O26" s="859">
        <f>+'SUMM BY CLUSTER- CURRENT'!O56</f>
        <v>247569000</v>
      </c>
      <c r="P26" s="859">
        <f>+'SUMM BY CLUSTER- CURRENT'!P56</f>
        <v>0</v>
      </c>
      <c r="Q26" s="860">
        <f t="shared" si="4"/>
        <v>583714000</v>
      </c>
      <c r="R26" s="859">
        <f>+'SUMM BY CLUSTER- CURRENT'!R56</f>
        <v>0</v>
      </c>
      <c r="S26" s="859">
        <f>+'SUMM BY CLUSTER- CURRENT'!S56</f>
        <v>0</v>
      </c>
      <c r="T26" s="859">
        <f>+'SUMM BY CLUSTER- CURRENT'!T56</f>
        <v>0</v>
      </c>
      <c r="U26" s="860">
        <f>SUM(R26:T26)</f>
        <v>0</v>
      </c>
      <c r="V26" s="859">
        <f>+'SUMM BY CLUSTER- CURRENT'!V56</f>
        <v>0</v>
      </c>
      <c r="W26" s="859">
        <f>+'SUMM BY CLUSTER- CURRENT'!W56</f>
        <v>152669232</v>
      </c>
      <c r="X26" s="859">
        <f>+'SUMM BY CLUSTER- CURRENT'!X56</f>
        <v>64550000</v>
      </c>
      <c r="Y26" s="860">
        <f t="shared" si="5"/>
        <v>217219232</v>
      </c>
      <c r="Z26" s="860">
        <f t="shared" ref="Z26:AB29" si="43">+N26+V26+R26</f>
        <v>336145000</v>
      </c>
      <c r="AA26" s="860">
        <f t="shared" si="43"/>
        <v>400238232</v>
      </c>
      <c r="AB26" s="860">
        <f t="shared" si="43"/>
        <v>64550000</v>
      </c>
      <c r="AC26" s="860">
        <f t="shared" si="7"/>
        <v>800933232</v>
      </c>
      <c r="AD26" s="859">
        <f>+'SUMM BY CLUSTER- CURRENT'!AD56</f>
        <v>311023533.09999996</v>
      </c>
      <c r="AE26" s="859">
        <f>+'SUMM BY CLUSTER- CURRENT'!AE56</f>
        <v>225438953.56000006</v>
      </c>
      <c r="AF26" s="859">
        <f>+'SUMM BY CLUSTER- CURRENT'!AF56</f>
        <v>0</v>
      </c>
      <c r="AG26" s="860">
        <f t="shared" si="15"/>
        <v>536462486.66000003</v>
      </c>
      <c r="AH26" s="859">
        <f>+'SUMM BY CLUSTER- CURRENT'!AH56</f>
        <v>0</v>
      </c>
      <c r="AI26" s="859">
        <f>+'SUMM BY CLUSTER- CURRENT'!AI56</f>
        <v>135713638.26999998</v>
      </c>
      <c r="AJ26" s="859">
        <f>+'SUMM BY CLUSTER- CURRENT'!AJ56</f>
        <v>59739805.579999998</v>
      </c>
      <c r="AK26" s="860">
        <f t="shared" si="16"/>
        <v>195453443.84999996</v>
      </c>
      <c r="AL26" s="860">
        <f t="shared" ref="AL26:AN41" si="44">+AH26+AD26</f>
        <v>311023533.09999996</v>
      </c>
      <c r="AM26" s="860">
        <f t="shared" si="44"/>
        <v>361152591.83000004</v>
      </c>
      <c r="AN26" s="860">
        <f t="shared" si="44"/>
        <v>59739805.579999998</v>
      </c>
      <c r="AO26" s="860">
        <f t="shared" si="9"/>
        <v>731915930.51000011</v>
      </c>
      <c r="AP26" s="860">
        <f t="shared" ref="AP26:AR29" si="45">+Z26-AL26</f>
        <v>25121466.900000036</v>
      </c>
      <c r="AQ26" s="860">
        <f t="shared" si="45"/>
        <v>39085640.169999957</v>
      </c>
      <c r="AR26" s="860">
        <f t="shared" si="45"/>
        <v>4810194.4200000018</v>
      </c>
      <c r="AS26" s="860">
        <f t="shared" ref="AS26:AS41" si="46">SUM(AP26:AR26)</f>
        <v>69017301.489999995</v>
      </c>
      <c r="AT26" s="886">
        <f t="shared" si="14"/>
        <v>0.92526598075235378</v>
      </c>
      <c r="AU26" s="886">
        <f t="shared" si="14"/>
        <v>0.9023440614988526</v>
      </c>
      <c r="AV26" s="886">
        <f t="shared" si="14"/>
        <v>0.92548110890782331</v>
      </c>
      <c r="AW26" s="886">
        <f t="shared" si="14"/>
        <v>0.91382889517811905</v>
      </c>
      <c r="AX26" s="22">
        <f t="shared" si="42"/>
        <v>0</v>
      </c>
      <c r="AY26" s="22">
        <f t="shared" si="42"/>
        <v>0</v>
      </c>
      <c r="AZ26" s="22">
        <f t="shared" si="42"/>
        <v>0</v>
      </c>
      <c r="BA26" s="22">
        <f t="shared" si="32"/>
        <v>0</v>
      </c>
    </row>
    <row r="27" spans="1:55" s="16" customFormat="1">
      <c r="A27" s="592" t="s">
        <v>442</v>
      </c>
      <c r="B27" s="859">
        <f>+'SUMM BY CLUSTER- CURRENT'!B63</f>
        <v>408702000</v>
      </c>
      <c r="C27" s="859">
        <f>+'SUMM BY CLUSTER- CURRENT'!C63</f>
        <v>248619000</v>
      </c>
      <c r="D27" s="859">
        <f>+'SUMM BY CLUSTER- CURRENT'!D63</f>
        <v>0</v>
      </c>
      <c r="E27" s="860">
        <f t="shared" si="0"/>
        <v>657321000</v>
      </c>
      <c r="F27" s="859">
        <f>+'SUMM BY CLUSTER- CURRENT'!F63</f>
        <v>0</v>
      </c>
      <c r="G27" s="859">
        <f>+'SUMM BY CLUSTER- CURRENT'!G63</f>
        <v>0</v>
      </c>
      <c r="H27" s="859">
        <f>+'SUMM BY CLUSTER- CURRENT'!H63</f>
        <v>0</v>
      </c>
      <c r="I27" s="860">
        <f>SUM(F27:H27)</f>
        <v>0</v>
      </c>
      <c r="J27" s="859">
        <f t="shared" si="35"/>
        <v>408702000</v>
      </c>
      <c r="K27" s="859">
        <f t="shared" si="35"/>
        <v>248619000</v>
      </c>
      <c r="L27" s="859">
        <f t="shared" si="35"/>
        <v>0</v>
      </c>
      <c r="M27" s="860">
        <f t="shared" si="31"/>
        <v>657321000</v>
      </c>
      <c r="N27" s="859">
        <f>+'SUMM BY CLUSTER- CURRENT'!N63</f>
        <v>408702000</v>
      </c>
      <c r="O27" s="859">
        <f>+'SUMM BY CLUSTER- CURRENT'!O63</f>
        <v>248619000</v>
      </c>
      <c r="P27" s="859">
        <f>+'SUMM BY CLUSTER- CURRENT'!P63</f>
        <v>0</v>
      </c>
      <c r="Q27" s="860">
        <f t="shared" si="4"/>
        <v>657321000</v>
      </c>
      <c r="R27" s="859">
        <f>+'SUMM BY CLUSTER- CURRENT'!R63</f>
        <v>0</v>
      </c>
      <c r="S27" s="859">
        <f>+'SUMM BY CLUSTER- CURRENT'!S63</f>
        <v>0</v>
      </c>
      <c r="T27" s="859">
        <f>+'SUMM BY CLUSTER- CURRENT'!T63</f>
        <v>0</v>
      </c>
      <c r="U27" s="860">
        <f>SUM(R27:T27)</f>
        <v>0</v>
      </c>
      <c r="V27" s="859">
        <f>+'SUMM BY CLUSTER- CURRENT'!V63</f>
        <v>0</v>
      </c>
      <c r="W27" s="859">
        <f>+'SUMM BY CLUSTER- CURRENT'!W63</f>
        <v>217675441</v>
      </c>
      <c r="X27" s="859">
        <f>+'SUMM BY CLUSTER- CURRENT'!X63</f>
        <v>298230229</v>
      </c>
      <c r="Y27" s="860">
        <f t="shared" si="5"/>
        <v>515905670</v>
      </c>
      <c r="Z27" s="860">
        <f t="shared" si="43"/>
        <v>408702000</v>
      </c>
      <c r="AA27" s="860">
        <f t="shared" si="43"/>
        <v>466294441</v>
      </c>
      <c r="AB27" s="860">
        <f t="shared" si="43"/>
        <v>298230229</v>
      </c>
      <c r="AC27" s="860">
        <f t="shared" si="7"/>
        <v>1173226670</v>
      </c>
      <c r="AD27" s="859">
        <f>+'SUMM BY CLUSTER- CURRENT'!AD63</f>
        <v>371304829.38999999</v>
      </c>
      <c r="AE27" s="859">
        <f>+'SUMM BY CLUSTER- CURRENT'!AE63</f>
        <v>206249063</v>
      </c>
      <c r="AF27" s="859">
        <f>+'SUMM BY CLUSTER- CURRENT'!AF63</f>
        <v>0</v>
      </c>
      <c r="AG27" s="860">
        <f t="shared" si="15"/>
        <v>577553892.38999999</v>
      </c>
      <c r="AH27" s="859">
        <f>+'SUMM BY CLUSTER- CURRENT'!AH63</f>
        <v>0</v>
      </c>
      <c r="AI27" s="859">
        <f>+'SUMM BY CLUSTER- CURRENT'!AI63</f>
        <v>181987002.38</v>
      </c>
      <c r="AJ27" s="859">
        <f>+'SUMM BY CLUSTER- CURRENT'!AJ63</f>
        <v>294070135.32000005</v>
      </c>
      <c r="AK27" s="860">
        <f t="shared" si="16"/>
        <v>476057137.70000005</v>
      </c>
      <c r="AL27" s="860">
        <f t="shared" si="44"/>
        <v>371304829.38999999</v>
      </c>
      <c r="AM27" s="860">
        <f t="shared" si="44"/>
        <v>388236065.38</v>
      </c>
      <c r="AN27" s="860">
        <f t="shared" si="44"/>
        <v>294070135.32000005</v>
      </c>
      <c r="AO27" s="860">
        <f t="shared" si="9"/>
        <v>1053611030.09</v>
      </c>
      <c r="AP27" s="860">
        <f t="shared" si="45"/>
        <v>37397170.610000014</v>
      </c>
      <c r="AQ27" s="860">
        <f t="shared" si="45"/>
        <v>78058375.620000005</v>
      </c>
      <c r="AR27" s="860">
        <f t="shared" si="45"/>
        <v>4160093.6799999475</v>
      </c>
      <c r="AS27" s="860">
        <f t="shared" si="46"/>
        <v>119615639.90999997</v>
      </c>
      <c r="AT27" s="886">
        <f t="shared" si="14"/>
        <v>0.90849770588350431</v>
      </c>
      <c r="AU27" s="886">
        <f t="shared" si="14"/>
        <v>0.8325985284049312</v>
      </c>
      <c r="AV27" s="886">
        <f t="shared" si="14"/>
        <v>0.98605073102767204</v>
      </c>
      <c r="AW27" s="886">
        <f t="shared" si="14"/>
        <v>0.89804558405580737</v>
      </c>
      <c r="AX27" s="22">
        <f t="shared" si="42"/>
        <v>0</v>
      </c>
      <c r="AY27" s="22">
        <f t="shared" si="42"/>
        <v>0</v>
      </c>
      <c r="AZ27" s="22">
        <f t="shared" si="42"/>
        <v>0</v>
      </c>
      <c r="BA27" s="22">
        <f t="shared" si="32"/>
        <v>0</v>
      </c>
    </row>
    <row r="28" spans="1:55" s="16" customFormat="1">
      <c r="A28" s="592" t="s">
        <v>443</v>
      </c>
      <c r="B28" s="859">
        <f>+'SUMM BY CLUSTER- CURRENT'!B69</f>
        <v>339824000</v>
      </c>
      <c r="C28" s="859">
        <f>+'SUMM BY CLUSTER- CURRENT'!C69</f>
        <v>223470000</v>
      </c>
      <c r="D28" s="859">
        <f>+'SUMM BY CLUSTER- CURRENT'!D69</f>
        <v>0</v>
      </c>
      <c r="E28" s="860">
        <f t="shared" si="0"/>
        <v>563294000</v>
      </c>
      <c r="F28" s="859">
        <f>+'SUMM BY CLUSTER- CURRENT'!F69</f>
        <v>0</v>
      </c>
      <c r="G28" s="859">
        <f>+'SUMM BY CLUSTER- CURRENT'!G69</f>
        <v>0</v>
      </c>
      <c r="H28" s="859">
        <f>+'SUMM BY CLUSTER- CURRENT'!H69</f>
        <v>0</v>
      </c>
      <c r="I28" s="860">
        <f>SUM(F28:H28)</f>
        <v>0</v>
      </c>
      <c r="J28" s="859">
        <f t="shared" si="35"/>
        <v>339824000</v>
      </c>
      <c r="K28" s="859">
        <f t="shared" si="35"/>
        <v>223470000</v>
      </c>
      <c r="L28" s="859">
        <f t="shared" si="35"/>
        <v>0</v>
      </c>
      <c r="M28" s="860">
        <f t="shared" si="31"/>
        <v>563294000</v>
      </c>
      <c r="N28" s="859">
        <f>+'SUMM BY CLUSTER- CURRENT'!N69</f>
        <v>339824000</v>
      </c>
      <c r="O28" s="859">
        <f>+'SUMM BY CLUSTER- CURRENT'!O69</f>
        <v>223470000</v>
      </c>
      <c r="P28" s="859">
        <f>+'SUMM BY CLUSTER- CURRENT'!P69</f>
        <v>0</v>
      </c>
      <c r="Q28" s="860">
        <f t="shared" si="4"/>
        <v>563294000</v>
      </c>
      <c r="R28" s="859">
        <f>+'SUMM BY CLUSTER- CURRENT'!R69</f>
        <v>0</v>
      </c>
      <c r="S28" s="859">
        <f>+'SUMM BY CLUSTER- CURRENT'!S69</f>
        <v>0</v>
      </c>
      <c r="T28" s="859">
        <f>+'SUMM BY CLUSTER- CURRENT'!T69</f>
        <v>0</v>
      </c>
      <c r="U28" s="860">
        <f>SUM(R28:T28)</f>
        <v>0</v>
      </c>
      <c r="V28" s="859">
        <f>+'SUMM BY CLUSTER- CURRENT'!V69</f>
        <v>0</v>
      </c>
      <c r="W28" s="859">
        <f>+'SUMM BY CLUSTER- CURRENT'!W69</f>
        <v>167639684</v>
      </c>
      <c r="X28" s="859">
        <f>+'SUMM BY CLUSTER- CURRENT'!X69</f>
        <v>412488500</v>
      </c>
      <c r="Y28" s="860">
        <f t="shared" si="5"/>
        <v>580128184</v>
      </c>
      <c r="Z28" s="860">
        <f t="shared" si="43"/>
        <v>339824000</v>
      </c>
      <c r="AA28" s="860">
        <f t="shared" si="43"/>
        <v>391109684</v>
      </c>
      <c r="AB28" s="860">
        <f t="shared" si="43"/>
        <v>412488500</v>
      </c>
      <c r="AC28" s="860">
        <f t="shared" si="7"/>
        <v>1143422184</v>
      </c>
      <c r="AD28" s="859">
        <f>+'SUMM BY CLUSTER- CURRENT'!AD69</f>
        <v>303830308.55000001</v>
      </c>
      <c r="AE28" s="859">
        <f>+'SUMM BY CLUSTER- CURRENT'!AE69</f>
        <v>171208628.93999997</v>
      </c>
      <c r="AF28" s="859">
        <f>+'SUMM BY CLUSTER- CURRENT'!AF69</f>
        <v>0</v>
      </c>
      <c r="AG28" s="860">
        <f t="shared" si="15"/>
        <v>475038937.49000001</v>
      </c>
      <c r="AH28" s="859">
        <f>+'SUMM BY CLUSTER- CURRENT'!AH69</f>
        <v>0</v>
      </c>
      <c r="AI28" s="859">
        <f>+'SUMM BY CLUSTER- CURRENT'!AI69</f>
        <v>127209037.57999998</v>
      </c>
      <c r="AJ28" s="859">
        <f>+'SUMM BY CLUSTER- CURRENT'!AJ69</f>
        <v>401602644.66000003</v>
      </c>
      <c r="AK28" s="860">
        <f t="shared" si="16"/>
        <v>528811682.24000001</v>
      </c>
      <c r="AL28" s="860">
        <f t="shared" si="44"/>
        <v>303830308.55000001</v>
      </c>
      <c r="AM28" s="860">
        <f t="shared" si="44"/>
        <v>298417666.51999998</v>
      </c>
      <c r="AN28" s="860">
        <f t="shared" si="44"/>
        <v>401602644.66000003</v>
      </c>
      <c r="AO28" s="860">
        <f t="shared" si="9"/>
        <v>1003850619.73</v>
      </c>
      <c r="AP28" s="860">
        <f t="shared" si="45"/>
        <v>35993691.449999988</v>
      </c>
      <c r="AQ28" s="860">
        <f t="shared" si="45"/>
        <v>92692017.480000019</v>
      </c>
      <c r="AR28" s="860">
        <f t="shared" si="45"/>
        <v>10885855.339999974</v>
      </c>
      <c r="AS28" s="860">
        <f t="shared" si="46"/>
        <v>139571564.26999998</v>
      </c>
      <c r="AT28" s="886">
        <f t="shared" si="14"/>
        <v>0.89408137315198455</v>
      </c>
      <c r="AU28" s="886">
        <f t="shared" si="14"/>
        <v>0.76300249962616618</v>
      </c>
      <c r="AV28" s="886">
        <f t="shared" si="14"/>
        <v>0.97360931192021116</v>
      </c>
      <c r="AW28" s="886">
        <f t="shared" si="14"/>
        <v>0.87793523142804442</v>
      </c>
      <c r="AX28" s="22">
        <f t="shared" si="42"/>
        <v>0</v>
      </c>
      <c r="AY28" s="22">
        <f t="shared" si="42"/>
        <v>0</v>
      </c>
      <c r="AZ28" s="22">
        <f t="shared" si="42"/>
        <v>0</v>
      </c>
      <c r="BA28" s="22">
        <f t="shared" si="32"/>
        <v>0</v>
      </c>
    </row>
    <row r="29" spans="1:55" s="16" customFormat="1">
      <c r="A29" s="592" t="s">
        <v>444</v>
      </c>
      <c r="B29" s="859">
        <f>+'SUMM BY CLUSTER- CURRENT'!B76</f>
        <v>441423000</v>
      </c>
      <c r="C29" s="859">
        <f>+'SUMM BY CLUSTER- CURRENT'!C76</f>
        <v>349381000</v>
      </c>
      <c r="D29" s="859">
        <f>+'SUMM BY CLUSTER- CURRENT'!D76</f>
        <v>0</v>
      </c>
      <c r="E29" s="860">
        <f t="shared" si="0"/>
        <v>790804000</v>
      </c>
      <c r="F29" s="859">
        <f>+'SUMM BY CLUSTER- CURRENT'!F76</f>
        <v>0</v>
      </c>
      <c r="G29" s="859">
        <f>+'SUMM BY CLUSTER- CURRENT'!G76</f>
        <v>0</v>
      </c>
      <c r="H29" s="859">
        <f>+'SUMM BY CLUSTER- CURRENT'!H76</f>
        <v>0</v>
      </c>
      <c r="I29" s="860">
        <f>SUM(F29:H29)</f>
        <v>0</v>
      </c>
      <c r="J29" s="859">
        <f t="shared" si="35"/>
        <v>441423000</v>
      </c>
      <c r="K29" s="859">
        <f t="shared" si="35"/>
        <v>349381000</v>
      </c>
      <c r="L29" s="859">
        <f t="shared" si="35"/>
        <v>0</v>
      </c>
      <c r="M29" s="860">
        <f t="shared" si="31"/>
        <v>790804000</v>
      </c>
      <c r="N29" s="859">
        <f>+'SUMM BY CLUSTER- CURRENT'!N76</f>
        <v>441423000</v>
      </c>
      <c r="O29" s="859">
        <f>+'SUMM BY CLUSTER- CURRENT'!O76</f>
        <v>349381000</v>
      </c>
      <c r="P29" s="859">
        <f>+'SUMM BY CLUSTER- CURRENT'!P76</f>
        <v>0</v>
      </c>
      <c r="Q29" s="860">
        <f t="shared" si="4"/>
        <v>790804000</v>
      </c>
      <c r="R29" s="859">
        <f>+'SUMM BY CLUSTER- CURRENT'!R76</f>
        <v>0</v>
      </c>
      <c r="S29" s="859">
        <f>+'SUMM BY CLUSTER- CURRENT'!S76</f>
        <v>0</v>
      </c>
      <c r="T29" s="859">
        <f>+'SUMM BY CLUSTER- CURRENT'!T76</f>
        <v>0</v>
      </c>
      <c r="U29" s="860">
        <f>SUM(R29:T29)</f>
        <v>0</v>
      </c>
      <c r="V29" s="859">
        <f>+'SUMM BY CLUSTER- CURRENT'!V76</f>
        <v>827006</v>
      </c>
      <c r="W29" s="859">
        <f>+'SUMM BY CLUSTER- CURRENT'!W76</f>
        <v>255789950</v>
      </c>
      <c r="X29" s="859">
        <f>+'SUMM BY CLUSTER- CURRENT'!X76</f>
        <v>327292000</v>
      </c>
      <c r="Y29" s="860">
        <f t="shared" si="5"/>
        <v>583908956</v>
      </c>
      <c r="Z29" s="860">
        <f t="shared" si="43"/>
        <v>442250006</v>
      </c>
      <c r="AA29" s="860">
        <f t="shared" si="43"/>
        <v>605170950</v>
      </c>
      <c r="AB29" s="860">
        <f t="shared" si="43"/>
        <v>327292000</v>
      </c>
      <c r="AC29" s="860">
        <f t="shared" si="7"/>
        <v>1374712956</v>
      </c>
      <c r="AD29" s="859">
        <f>+'SUMM BY CLUSTER- CURRENT'!AD76</f>
        <v>386886712.24000001</v>
      </c>
      <c r="AE29" s="859">
        <f>+'SUMM BY CLUSTER- CURRENT'!AE76</f>
        <v>218789753.56999999</v>
      </c>
      <c r="AF29" s="859">
        <f>+'SUMM BY CLUSTER- CURRENT'!AF76</f>
        <v>0</v>
      </c>
      <c r="AG29" s="860">
        <f t="shared" si="15"/>
        <v>605676465.80999994</v>
      </c>
      <c r="AH29" s="859">
        <f>+'SUMM BY CLUSTER- CURRENT'!AH76</f>
        <v>763888.76999999979</v>
      </c>
      <c r="AI29" s="859">
        <f>+'SUMM BY CLUSTER- CURRENT'!AI76</f>
        <v>186549292.82000002</v>
      </c>
      <c r="AJ29" s="859">
        <f>+'SUMM BY CLUSTER- CURRENT'!AJ76</f>
        <v>316797794.56999999</v>
      </c>
      <c r="AK29" s="860">
        <f t="shared" si="16"/>
        <v>504110976.16000003</v>
      </c>
      <c r="AL29" s="860">
        <f t="shared" si="44"/>
        <v>387650601.00999999</v>
      </c>
      <c r="AM29" s="860">
        <f t="shared" si="44"/>
        <v>405339046.38999999</v>
      </c>
      <c r="AN29" s="860">
        <f t="shared" si="44"/>
        <v>316797794.56999999</v>
      </c>
      <c r="AO29" s="860">
        <f t="shared" si="9"/>
        <v>1109787441.97</v>
      </c>
      <c r="AP29" s="860">
        <f t="shared" si="45"/>
        <v>54599404.99000001</v>
      </c>
      <c r="AQ29" s="860">
        <f t="shared" si="45"/>
        <v>199831903.61000001</v>
      </c>
      <c r="AR29" s="860">
        <f t="shared" si="45"/>
        <v>10494205.430000007</v>
      </c>
      <c r="AS29" s="860">
        <f t="shared" si="46"/>
        <v>264925514.03000003</v>
      </c>
      <c r="AT29" s="886">
        <f t="shared" si="14"/>
        <v>0.87654176540587769</v>
      </c>
      <c r="AU29" s="886">
        <f t="shared" si="14"/>
        <v>0.66979263692350066</v>
      </c>
      <c r="AV29" s="886">
        <f t="shared" si="14"/>
        <v>0.96793626049521531</v>
      </c>
      <c r="AW29" s="886">
        <f t="shared" si="14"/>
        <v>0.80728666819227968</v>
      </c>
      <c r="AX29" s="22">
        <f t="shared" si="42"/>
        <v>0</v>
      </c>
      <c r="AY29" s="22">
        <f t="shared" si="42"/>
        <v>0</v>
      </c>
      <c r="AZ29" s="22">
        <f t="shared" si="42"/>
        <v>0</v>
      </c>
      <c r="BA29" s="22">
        <f t="shared" si="32"/>
        <v>0</v>
      </c>
    </row>
    <row r="30" spans="1:55">
      <c r="A30" s="592"/>
      <c r="B30" s="862"/>
      <c r="C30" s="862"/>
      <c r="D30" s="862"/>
      <c r="E30" s="863">
        <f t="shared" si="0"/>
        <v>0</v>
      </c>
      <c r="F30" s="862"/>
      <c r="G30" s="862"/>
      <c r="H30" s="862"/>
      <c r="I30" s="863"/>
      <c r="J30" s="862">
        <f t="shared" si="35"/>
        <v>0</v>
      </c>
      <c r="K30" s="862">
        <f t="shared" si="35"/>
        <v>0</v>
      </c>
      <c r="L30" s="862">
        <f t="shared" si="35"/>
        <v>0</v>
      </c>
      <c r="M30" s="863">
        <f t="shared" si="31"/>
        <v>0</v>
      </c>
      <c r="N30" s="862"/>
      <c r="O30" s="862"/>
      <c r="P30" s="862"/>
      <c r="Q30" s="863">
        <f t="shared" si="4"/>
        <v>0</v>
      </c>
      <c r="R30" s="862"/>
      <c r="S30" s="862"/>
      <c r="T30" s="862"/>
      <c r="U30" s="863"/>
      <c r="V30" s="862"/>
      <c r="W30" s="862"/>
      <c r="X30" s="862"/>
      <c r="Y30" s="863">
        <f t="shared" si="5"/>
        <v>0</v>
      </c>
      <c r="Z30" s="863"/>
      <c r="AA30" s="863"/>
      <c r="AB30" s="863"/>
      <c r="AC30" s="863"/>
      <c r="AD30" s="862"/>
      <c r="AE30" s="862"/>
      <c r="AF30" s="862"/>
      <c r="AG30" s="863">
        <f t="shared" si="15"/>
        <v>0</v>
      </c>
      <c r="AH30" s="862"/>
      <c r="AI30" s="862"/>
      <c r="AJ30" s="862"/>
      <c r="AK30" s="863">
        <f t="shared" si="16"/>
        <v>0</v>
      </c>
      <c r="AL30" s="863"/>
      <c r="AM30" s="863"/>
      <c r="AN30" s="863"/>
      <c r="AO30" s="863">
        <f t="shared" si="9"/>
        <v>0</v>
      </c>
      <c r="AP30" s="863"/>
      <c r="AQ30" s="863"/>
      <c r="AR30" s="863"/>
      <c r="AS30" s="863"/>
      <c r="AT30" s="886" t="str">
        <f t="shared" si="14"/>
        <v xml:space="preserve"> </v>
      </c>
      <c r="AU30" s="886" t="str">
        <f t="shared" si="14"/>
        <v xml:space="preserve"> </v>
      </c>
      <c r="AV30" s="886" t="str">
        <f t="shared" si="14"/>
        <v xml:space="preserve"> </v>
      </c>
      <c r="AW30" s="886" t="str">
        <f t="shared" si="14"/>
        <v xml:space="preserve"> </v>
      </c>
      <c r="AX30" s="22">
        <f t="shared" si="42"/>
        <v>0</v>
      </c>
      <c r="AY30" s="22">
        <f t="shared" si="42"/>
        <v>0</v>
      </c>
      <c r="AZ30" s="22">
        <f t="shared" si="42"/>
        <v>0</v>
      </c>
      <c r="BA30" s="22">
        <f t="shared" si="32"/>
        <v>0</v>
      </c>
    </row>
    <row r="31" spans="1:55" s="39" customFormat="1" ht="16.5">
      <c r="A31" s="591" t="s">
        <v>445</v>
      </c>
      <c r="B31" s="858">
        <f>SUM(B32:B34)</f>
        <v>1181987000</v>
      </c>
      <c r="C31" s="858">
        <f t="shared" ref="C31:D31" si="47">SUM(C32:C34)</f>
        <v>991925000</v>
      </c>
      <c r="D31" s="858">
        <f t="shared" si="47"/>
        <v>0</v>
      </c>
      <c r="E31" s="858">
        <f t="shared" si="0"/>
        <v>2173912000</v>
      </c>
      <c r="F31" s="858">
        <f t="shared" ref="F31:H31" si="48">SUM(F32:F34)</f>
        <v>27571837</v>
      </c>
      <c r="G31" s="858">
        <f t="shared" si="48"/>
        <v>-27571837</v>
      </c>
      <c r="H31" s="858">
        <f t="shared" si="48"/>
        <v>0</v>
      </c>
      <c r="I31" s="858">
        <f>SUM(I32:I34)</f>
        <v>0</v>
      </c>
      <c r="J31" s="858">
        <f t="shared" si="35"/>
        <v>1209558837</v>
      </c>
      <c r="K31" s="858">
        <f t="shared" si="35"/>
        <v>964353163</v>
      </c>
      <c r="L31" s="858">
        <f t="shared" si="35"/>
        <v>0</v>
      </c>
      <c r="M31" s="858">
        <f t="shared" si="31"/>
        <v>2173912000</v>
      </c>
      <c r="N31" s="858">
        <f t="shared" ref="N31:P31" si="49">SUM(N32:N34)</f>
        <v>1209558837</v>
      </c>
      <c r="O31" s="858">
        <f t="shared" si="49"/>
        <v>964353163</v>
      </c>
      <c r="P31" s="858">
        <f t="shared" si="49"/>
        <v>0</v>
      </c>
      <c r="Q31" s="858">
        <f>SUM(N31:P31)</f>
        <v>2173912000</v>
      </c>
      <c r="R31" s="858">
        <f t="shared" ref="R31:T31" si="50">SUM(R32:R34)</f>
        <v>0</v>
      </c>
      <c r="S31" s="858">
        <f t="shared" si="50"/>
        <v>0</v>
      </c>
      <c r="T31" s="858">
        <f t="shared" si="50"/>
        <v>0</v>
      </c>
      <c r="U31" s="858">
        <f>SUM(U32:U34)</f>
        <v>0</v>
      </c>
      <c r="V31" s="858">
        <f t="shared" ref="V31:X31" si="51">SUM(V32:V34)</f>
        <v>0</v>
      </c>
      <c r="W31" s="858">
        <f t="shared" si="51"/>
        <v>828061632.66000009</v>
      </c>
      <c r="X31" s="858">
        <f t="shared" si="51"/>
        <v>421589949</v>
      </c>
      <c r="Y31" s="858">
        <f t="shared" si="5"/>
        <v>1249651581.6600001</v>
      </c>
      <c r="Z31" s="858">
        <f>+N31+V31</f>
        <v>1209558837</v>
      </c>
      <c r="AA31" s="858">
        <f>+O31+W31</f>
        <v>1792414795.6600001</v>
      </c>
      <c r="AB31" s="858">
        <f>+P31+X31</f>
        <v>421589949</v>
      </c>
      <c r="AC31" s="858">
        <f>SUM(Z31:AB31)</f>
        <v>3423563581.6599998</v>
      </c>
      <c r="AD31" s="858">
        <f t="shared" ref="AD31:AF31" si="52">SUM(AD32:AD34)</f>
        <v>1080081296.71</v>
      </c>
      <c r="AE31" s="858">
        <f t="shared" si="52"/>
        <v>722035787.75999999</v>
      </c>
      <c r="AF31" s="858">
        <f t="shared" si="52"/>
        <v>0</v>
      </c>
      <c r="AG31" s="858">
        <f t="shared" si="15"/>
        <v>1802117084.47</v>
      </c>
      <c r="AH31" s="858">
        <f t="shared" ref="AH31:AJ31" si="53">SUM(AH32:AH34)</f>
        <v>0</v>
      </c>
      <c r="AI31" s="858">
        <f t="shared" si="53"/>
        <v>570554954.25999999</v>
      </c>
      <c r="AJ31" s="858">
        <f t="shared" si="53"/>
        <v>281161500.81999999</v>
      </c>
      <c r="AK31" s="858">
        <f t="shared" si="16"/>
        <v>851716455.07999992</v>
      </c>
      <c r="AL31" s="858">
        <f t="shared" ref="AL31:AS31" si="54">SUM(AL32:AL34)</f>
        <v>1080081296.71</v>
      </c>
      <c r="AM31" s="858">
        <f t="shared" si="54"/>
        <v>1292590742.02</v>
      </c>
      <c r="AN31" s="858">
        <f t="shared" si="54"/>
        <v>281161500.81999999</v>
      </c>
      <c r="AO31" s="858">
        <f t="shared" si="9"/>
        <v>2653833539.5500002</v>
      </c>
      <c r="AP31" s="858">
        <f t="shared" si="54"/>
        <v>129477540.28999987</v>
      </c>
      <c r="AQ31" s="858">
        <f t="shared" si="54"/>
        <v>499824053.63999987</v>
      </c>
      <c r="AR31" s="858">
        <f t="shared" si="54"/>
        <v>140428448.18000001</v>
      </c>
      <c r="AS31" s="858">
        <f t="shared" si="54"/>
        <v>769730042.10999978</v>
      </c>
      <c r="AT31" s="1331">
        <f t="shared" si="14"/>
        <v>0.8929547399189478</v>
      </c>
      <c r="AU31" s="1331">
        <f t="shared" si="14"/>
        <v>0.72114487402679817</v>
      </c>
      <c r="AV31" s="1331">
        <f t="shared" si="14"/>
        <v>0.6669075045240227</v>
      </c>
      <c r="AW31" s="1331">
        <f t="shared" si="14"/>
        <v>0.77516700836711872</v>
      </c>
      <c r="AX31" s="22">
        <f t="shared" si="42"/>
        <v>0</v>
      </c>
      <c r="AY31" s="22">
        <f t="shared" si="42"/>
        <v>0</v>
      </c>
      <c r="AZ31" s="22">
        <f t="shared" si="42"/>
        <v>0</v>
      </c>
      <c r="BA31" s="22">
        <f t="shared" si="32"/>
        <v>0</v>
      </c>
    </row>
    <row r="32" spans="1:55" s="16" customFormat="1">
      <c r="A32" s="592" t="s">
        <v>446</v>
      </c>
      <c r="B32" s="859">
        <f>+'SUMM BY CLUSTER- CURRENT'!B85</f>
        <v>413566000</v>
      </c>
      <c r="C32" s="859">
        <f>+'SUMM BY CLUSTER- CURRENT'!C85</f>
        <v>341822000</v>
      </c>
      <c r="D32" s="859">
        <f>+'SUMM BY CLUSTER- CURRENT'!D85</f>
        <v>0</v>
      </c>
      <c r="E32" s="860">
        <f t="shared" si="0"/>
        <v>755388000</v>
      </c>
      <c r="F32" s="859">
        <f>+'SUMM BY CLUSTER- CURRENT'!F85</f>
        <v>16641681</v>
      </c>
      <c r="G32" s="859">
        <f>+'SUMM BY CLUSTER- CURRENT'!G85</f>
        <v>-16641681</v>
      </c>
      <c r="H32" s="859">
        <f>+'SUMM BY CLUSTER- CURRENT'!H85</f>
        <v>0</v>
      </c>
      <c r="I32" s="860">
        <f>SUM(F32:H32)</f>
        <v>0</v>
      </c>
      <c r="J32" s="859">
        <f t="shared" si="35"/>
        <v>430207681</v>
      </c>
      <c r="K32" s="859">
        <f t="shared" si="35"/>
        <v>325180319</v>
      </c>
      <c r="L32" s="859">
        <f t="shared" si="35"/>
        <v>0</v>
      </c>
      <c r="M32" s="860">
        <f t="shared" si="31"/>
        <v>755388000</v>
      </c>
      <c r="N32" s="859">
        <f>+'SUMM BY CLUSTER- CURRENT'!N85</f>
        <v>430207681</v>
      </c>
      <c r="O32" s="859">
        <f>+'SUMM BY CLUSTER- CURRENT'!O85</f>
        <v>325180319</v>
      </c>
      <c r="P32" s="859">
        <f>+'SUMM BY CLUSTER- CURRENT'!P85</f>
        <v>0</v>
      </c>
      <c r="Q32" s="860">
        <f t="shared" si="4"/>
        <v>755388000</v>
      </c>
      <c r="R32" s="859">
        <f>+'SUMM BY CLUSTER- CURRENT'!R85</f>
        <v>0</v>
      </c>
      <c r="S32" s="859">
        <f>+'SUMM BY CLUSTER- CURRENT'!S85</f>
        <v>0</v>
      </c>
      <c r="T32" s="859">
        <f>+'SUMM BY CLUSTER- CURRENT'!T85</f>
        <v>0</v>
      </c>
      <c r="U32" s="860">
        <f>SUM(R32:T32)</f>
        <v>0</v>
      </c>
      <c r="V32" s="859">
        <f>+'SUMM BY CLUSTER- CURRENT'!V85</f>
        <v>0</v>
      </c>
      <c r="W32" s="859">
        <f>+'SUMM BY CLUSTER- CURRENT'!W85</f>
        <v>257522900.06</v>
      </c>
      <c r="X32" s="859">
        <f>+'SUMM BY CLUSTER- CURRENT'!X85</f>
        <v>303830932</v>
      </c>
      <c r="Y32" s="860">
        <f t="shared" si="5"/>
        <v>561353832.05999994</v>
      </c>
      <c r="Z32" s="860">
        <f t="shared" ref="Z32:AB34" si="55">+N32+V32+R32</f>
        <v>430207681</v>
      </c>
      <c r="AA32" s="860">
        <f t="shared" si="55"/>
        <v>582703219.05999994</v>
      </c>
      <c r="AB32" s="860">
        <f t="shared" si="55"/>
        <v>303830932</v>
      </c>
      <c r="AC32" s="860">
        <f t="shared" si="7"/>
        <v>1316741832.0599999</v>
      </c>
      <c r="AD32" s="859">
        <f>+'SUMM BY CLUSTER- CURRENT'!AD85</f>
        <v>396551613.13000005</v>
      </c>
      <c r="AE32" s="859">
        <f>+'SUMM BY CLUSTER- CURRENT'!AE85</f>
        <v>214230165.46000004</v>
      </c>
      <c r="AF32" s="859">
        <f>+'SUMM BY CLUSTER- CURRENT'!AF85</f>
        <v>0</v>
      </c>
      <c r="AG32" s="860">
        <f t="shared" si="15"/>
        <v>610781778.59000015</v>
      </c>
      <c r="AH32" s="859">
        <f>+'SUMM BY CLUSTER- CURRENT'!AH85</f>
        <v>0</v>
      </c>
      <c r="AI32" s="859">
        <f>+'SUMM BY CLUSTER- CURRENT'!AI85</f>
        <v>180608552.14999998</v>
      </c>
      <c r="AJ32" s="859">
        <f>+'SUMM BY CLUSTER- CURRENT'!AJ85</f>
        <v>194779712.66</v>
      </c>
      <c r="AK32" s="860">
        <f t="shared" si="16"/>
        <v>375388264.80999994</v>
      </c>
      <c r="AL32" s="860">
        <f t="shared" si="44"/>
        <v>396551613.13000005</v>
      </c>
      <c r="AM32" s="860">
        <f t="shared" si="44"/>
        <v>394838717.61000001</v>
      </c>
      <c r="AN32" s="860">
        <f t="shared" si="44"/>
        <v>194779712.66</v>
      </c>
      <c r="AO32" s="860">
        <f t="shared" si="9"/>
        <v>986170043.39999998</v>
      </c>
      <c r="AP32" s="860">
        <f t="shared" ref="AP32:AR34" si="56">+Z32-AL32</f>
        <v>33656067.869999945</v>
      </c>
      <c r="AQ32" s="860">
        <f t="shared" si="56"/>
        <v>187864501.44999993</v>
      </c>
      <c r="AR32" s="860">
        <f t="shared" si="56"/>
        <v>109051219.34</v>
      </c>
      <c r="AS32" s="860">
        <f t="shared" si="46"/>
        <v>330571788.65999985</v>
      </c>
      <c r="AT32" s="886">
        <f t="shared" si="14"/>
        <v>0.92176785920751625</v>
      </c>
      <c r="AU32" s="886">
        <f t="shared" si="14"/>
        <v>0.67759831196220688</v>
      </c>
      <c r="AV32" s="886">
        <f t="shared" si="14"/>
        <v>0.64107927187611036</v>
      </c>
      <c r="AW32" s="886">
        <f t="shared" si="14"/>
        <v>0.74894715075404639</v>
      </c>
      <c r="AX32" s="22">
        <f t="shared" si="42"/>
        <v>0</v>
      </c>
      <c r="AY32" s="22">
        <f t="shared" si="42"/>
        <v>0</v>
      </c>
      <c r="AZ32" s="22">
        <f t="shared" si="42"/>
        <v>0</v>
      </c>
      <c r="BA32" s="22">
        <f t="shared" si="32"/>
        <v>0</v>
      </c>
    </row>
    <row r="33" spans="1:57" s="16" customFormat="1">
      <c r="A33" s="592" t="s">
        <v>447</v>
      </c>
      <c r="B33" s="859">
        <f>+'SUMM BY CLUSTER- CURRENT'!B92</f>
        <v>498268000</v>
      </c>
      <c r="C33" s="859">
        <f>+'SUMM BY CLUSTER- CURRENT'!C92</f>
        <v>420868000</v>
      </c>
      <c r="D33" s="859">
        <f>+'SUMM BY CLUSTER- CURRENT'!D92</f>
        <v>0</v>
      </c>
      <c r="E33" s="860">
        <f t="shared" si="0"/>
        <v>919136000</v>
      </c>
      <c r="F33" s="859">
        <f>+'SUMM BY CLUSTER- CURRENT'!F92</f>
        <v>10930156</v>
      </c>
      <c r="G33" s="859">
        <f>+'SUMM BY CLUSTER- CURRENT'!G92</f>
        <v>-10930156</v>
      </c>
      <c r="H33" s="859">
        <f>+'SUMM BY CLUSTER- CURRENT'!H92</f>
        <v>0</v>
      </c>
      <c r="I33" s="860">
        <f>SUM(F33:H33)</f>
        <v>0</v>
      </c>
      <c r="J33" s="859">
        <f t="shared" si="35"/>
        <v>509198156</v>
      </c>
      <c r="K33" s="859">
        <f t="shared" si="35"/>
        <v>409937844</v>
      </c>
      <c r="L33" s="859">
        <f t="shared" si="35"/>
        <v>0</v>
      </c>
      <c r="M33" s="860">
        <f t="shared" si="31"/>
        <v>919136000</v>
      </c>
      <c r="N33" s="859">
        <f>+'SUMM BY CLUSTER- CURRENT'!N92</f>
        <v>509198156</v>
      </c>
      <c r="O33" s="859">
        <f>+'SUMM BY CLUSTER- CURRENT'!O92</f>
        <v>409937844</v>
      </c>
      <c r="P33" s="859">
        <f>+'SUMM BY CLUSTER- CURRENT'!P92</f>
        <v>0</v>
      </c>
      <c r="Q33" s="860">
        <f t="shared" si="4"/>
        <v>919136000</v>
      </c>
      <c r="R33" s="859">
        <f>+'SUMM BY CLUSTER- CURRENT'!R92</f>
        <v>0</v>
      </c>
      <c r="S33" s="859">
        <f>+'SUMM BY CLUSTER- CURRENT'!S92</f>
        <v>0</v>
      </c>
      <c r="T33" s="859">
        <f>+'SUMM BY CLUSTER- CURRENT'!T92</f>
        <v>0</v>
      </c>
      <c r="U33" s="860">
        <f>SUM(R33:T33)</f>
        <v>0</v>
      </c>
      <c r="V33" s="859">
        <f>+'SUMM BY CLUSTER- CURRENT'!V92</f>
        <v>0</v>
      </c>
      <c r="W33" s="859">
        <f>+'SUMM BY CLUSTER- CURRENT'!W92</f>
        <v>307330343.60000002</v>
      </c>
      <c r="X33" s="859">
        <f>+'SUMM BY CLUSTER- CURRENT'!X92</f>
        <v>77874017</v>
      </c>
      <c r="Y33" s="860">
        <f t="shared" si="5"/>
        <v>385204360.60000002</v>
      </c>
      <c r="Z33" s="860">
        <f t="shared" si="55"/>
        <v>509198156</v>
      </c>
      <c r="AA33" s="860">
        <f t="shared" si="55"/>
        <v>717268187.60000002</v>
      </c>
      <c r="AB33" s="860">
        <f t="shared" si="55"/>
        <v>77874017</v>
      </c>
      <c r="AC33" s="860">
        <f t="shared" si="7"/>
        <v>1304340360.5999999</v>
      </c>
      <c r="AD33" s="859">
        <f>+'SUMM BY CLUSTER- CURRENT'!AD92</f>
        <v>471963150.01000005</v>
      </c>
      <c r="AE33" s="859">
        <f>+'SUMM BY CLUSTER- CURRENT'!AE92</f>
        <v>337374898.74000001</v>
      </c>
      <c r="AF33" s="859">
        <f>+'SUMM BY CLUSTER- CURRENT'!AF92</f>
        <v>0</v>
      </c>
      <c r="AG33" s="860">
        <f t="shared" si="15"/>
        <v>809338048.75</v>
      </c>
      <c r="AH33" s="859">
        <f>+'SUMM BY CLUSTER- CURRENT'!AH92</f>
        <v>0</v>
      </c>
      <c r="AI33" s="859">
        <f>+'SUMM BY CLUSTER- CURRENT'!AI92</f>
        <v>212483854.07000002</v>
      </c>
      <c r="AJ33" s="859">
        <f>+'SUMM BY CLUSTER- CURRENT'!AJ92</f>
        <v>55203243.989999995</v>
      </c>
      <c r="AK33" s="860">
        <f t="shared" si="16"/>
        <v>267687098.06</v>
      </c>
      <c r="AL33" s="860">
        <f t="shared" si="44"/>
        <v>471963150.01000005</v>
      </c>
      <c r="AM33" s="860">
        <f t="shared" si="44"/>
        <v>549858752.81000006</v>
      </c>
      <c r="AN33" s="860">
        <f t="shared" si="44"/>
        <v>55203243.989999995</v>
      </c>
      <c r="AO33" s="860">
        <f t="shared" si="9"/>
        <v>1077025146.8100002</v>
      </c>
      <c r="AP33" s="861">
        <f t="shared" si="56"/>
        <v>37235005.98999995</v>
      </c>
      <c r="AQ33" s="860">
        <f t="shared" si="56"/>
        <v>167409434.78999996</v>
      </c>
      <c r="AR33" s="860">
        <f t="shared" si="56"/>
        <v>22670773.010000005</v>
      </c>
      <c r="AS33" s="860">
        <f t="shared" si="46"/>
        <v>227315213.7899999</v>
      </c>
      <c r="AT33" s="886">
        <f t="shared" si="14"/>
        <v>0.9268752143909964</v>
      </c>
      <c r="AU33" s="886">
        <f t="shared" si="14"/>
        <v>0.76660133868454872</v>
      </c>
      <c r="AV33" s="886">
        <f t="shared" si="14"/>
        <v>0.70887885480467761</v>
      </c>
      <c r="AW33" s="886">
        <f t="shared" si="14"/>
        <v>0.82572400528537337</v>
      </c>
      <c r="AX33" s="22">
        <f t="shared" si="42"/>
        <v>0</v>
      </c>
      <c r="AY33" s="22">
        <f t="shared" si="42"/>
        <v>0</v>
      </c>
      <c r="AZ33" s="22">
        <f t="shared" si="42"/>
        <v>0</v>
      </c>
      <c r="BA33" s="22">
        <f t="shared" si="32"/>
        <v>0</v>
      </c>
    </row>
    <row r="34" spans="1:57" s="16" customFormat="1">
      <c r="A34" s="592" t="s">
        <v>448</v>
      </c>
      <c r="B34" s="859">
        <f>+'SUMM BY CLUSTER- CURRENT'!B101</f>
        <v>270153000</v>
      </c>
      <c r="C34" s="859">
        <f>+'SUMM BY CLUSTER- CURRENT'!C101</f>
        <v>229235000</v>
      </c>
      <c r="D34" s="859">
        <f>+'SUMM BY CLUSTER- CURRENT'!D101</f>
        <v>0</v>
      </c>
      <c r="E34" s="860">
        <f t="shared" si="0"/>
        <v>499388000</v>
      </c>
      <c r="F34" s="859">
        <f>+'SUMM BY CLUSTER- CURRENT'!F101</f>
        <v>0</v>
      </c>
      <c r="G34" s="859">
        <f>+'SUMM BY CLUSTER- CURRENT'!G101</f>
        <v>0</v>
      </c>
      <c r="H34" s="859">
        <f>+'SUMM BY CLUSTER- CURRENT'!H101</f>
        <v>0</v>
      </c>
      <c r="I34" s="860">
        <f>SUM(F34:H34)</f>
        <v>0</v>
      </c>
      <c r="J34" s="859">
        <f t="shared" si="35"/>
        <v>270153000</v>
      </c>
      <c r="K34" s="859">
        <f t="shared" si="35"/>
        <v>229235000</v>
      </c>
      <c r="L34" s="859">
        <f t="shared" si="35"/>
        <v>0</v>
      </c>
      <c r="M34" s="860">
        <f t="shared" si="31"/>
        <v>499388000</v>
      </c>
      <c r="N34" s="859">
        <f>+'SUMM BY CLUSTER- CURRENT'!N101</f>
        <v>270153000</v>
      </c>
      <c r="O34" s="859">
        <f>+'SUMM BY CLUSTER- CURRENT'!O101</f>
        <v>229235000</v>
      </c>
      <c r="P34" s="859">
        <f>+'SUMM BY CLUSTER- CURRENT'!P101</f>
        <v>0</v>
      </c>
      <c r="Q34" s="860">
        <f t="shared" si="4"/>
        <v>499388000</v>
      </c>
      <c r="R34" s="859">
        <f>+'SUMM BY CLUSTER- CURRENT'!R101</f>
        <v>0</v>
      </c>
      <c r="S34" s="859">
        <f>+'SUMM BY CLUSTER- CURRENT'!S101</f>
        <v>0</v>
      </c>
      <c r="T34" s="859">
        <f>+'SUMM BY CLUSTER- CURRENT'!T101</f>
        <v>0</v>
      </c>
      <c r="U34" s="860">
        <f>SUM(R34:T34)</f>
        <v>0</v>
      </c>
      <c r="V34" s="859">
        <f>+'SUMM BY CLUSTER- CURRENT'!V101</f>
        <v>0</v>
      </c>
      <c r="W34" s="859">
        <f>+'SUMM BY CLUSTER- CURRENT'!W101</f>
        <v>263208389</v>
      </c>
      <c r="X34" s="859">
        <f>+'SUMM BY CLUSTER- CURRENT'!X101</f>
        <v>39885000</v>
      </c>
      <c r="Y34" s="860">
        <f t="shared" si="5"/>
        <v>303093389</v>
      </c>
      <c r="Z34" s="860">
        <f t="shared" si="55"/>
        <v>270153000</v>
      </c>
      <c r="AA34" s="860">
        <f t="shared" si="55"/>
        <v>492443389</v>
      </c>
      <c r="AB34" s="860">
        <f t="shared" si="55"/>
        <v>39885000</v>
      </c>
      <c r="AC34" s="860">
        <f t="shared" si="7"/>
        <v>802481389</v>
      </c>
      <c r="AD34" s="859">
        <f>+'SUMM BY CLUSTER- CURRENT'!AD101</f>
        <v>211566533.57000002</v>
      </c>
      <c r="AE34" s="859">
        <f>+'SUMM BY CLUSTER- CURRENT'!AE101</f>
        <v>170430723.56</v>
      </c>
      <c r="AF34" s="859">
        <f>+'SUMM BY CLUSTER- CURRENT'!AF101</f>
        <v>0</v>
      </c>
      <c r="AG34" s="860">
        <f t="shared" si="15"/>
        <v>381997257.13</v>
      </c>
      <c r="AH34" s="859">
        <f>+'SUMM BY CLUSTER- CURRENT'!AH101</f>
        <v>0</v>
      </c>
      <c r="AI34" s="859">
        <f>+'SUMM BY CLUSTER- CURRENT'!AI101</f>
        <v>177462548.03999999</v>
      </c>
      <c r="AJ34" s="859">
        <f>+'SUMM BY CLUSTER- CURRENT'!AJ101</f>
        <v>31178544.170000002</v>
      </c>
      <c r="AK34" s="860">
        <f t="shared" si="16"/>
        <v>208641092.20999998</v>
      </c>
      <c r="AL34" s="860">
        <f t="shared" si="44"/>
        <v>211566533.57000002</v>
      </c>
      <c r="AM34" s="860">
        <f t="shared" si="44"/>
        <v>347893271.60000002</v>
      </c>
      <c r="AN34" s="860">
        <f t="shared" si="44"/>
        <v>31178544.170000002</v>
      </c>
      <c r="AO34" s="860">
        <f t="shared" si="9"/>
        <v>590638349.34000003</v>
      </c>
      <c r="AP34" s="860">
        <f t="shared" si="56"/>
        <v>58586466.429999977</v>
      </c>
      <c r="AQ34" s="860">
        <f t="shared" si="56"/>
        <v>144550117.39999998</v>
      </c>
      <c r="AR34" s="860">
        <f t="shared" si="56"/>
        <v>8706455.8299999982</v>
      </c>
      <c r="AS34" s="860">
        <f t="shared" si="46"/>
        <v>211843039.65999997</v>
      </c>
      <c r="AT34" s="886">
        <f t="shared" si="14"/>
        <v>0.78313597690938108</v>
      </c>
      <c r="AU34" s="886">
        <f t="shared" si="14"/>
        <v>0.70646348264815473</v>
      </c>
      <c r="AV34" s="886">
        <f t="shared" si="14"/>
        <v>0.78171102344239696</v>
      </c>
      <c r="AW34" s="886">
        <f t="shared" si="14"/>
        <v>0.73601501223101895</v>
      </c>
      <c r="AX34" s="22">
        <f t="shared" si="42"/>
        <v>0</v>
      </c>
      <c r="AY34" s="22">
        <f t="shared" si="42"/>
        <v>0</v>
      </c>
      <c r="AZ34" s="22">
        <f t="shared" si="42"/>
        <v>0</v>
      </c>
      <c r="BA34" s="22">
        <f t="shared" si="32"/>
        <v>0</v>
      </c>
    </row>
    <row r="35" spans="1:57">
      <c r="A35" s="593"/>
      <c r="B35" s="862"/>
      <c r="C35" s="862"/>
      <c r="D35" s="862"/>
      <c r="E35" s="863">
        <f t="shared" si="0"/>
        <v>0</v>
      </c>
      <c r="F35" s="862"/>
      <c r="G35" s="862"/>
      <c r="H35" s="862"/>
      <c r="I35" s="863"/>
      <c r="J35" s="859">
        <f t="shared" si="35"/>
        <v>0</v>
      </c>
      <c r="K35" s="859">
        <f t="shared" si="35"/>
        <v>0</v>
      </c>
      <c r="L35" s="859">
        <f t="shared" si="35"/>
        <v>0</v>
      </c>
      <c r="M35" s="863">
        <f t="shared" si="31"/>
        <v>0</v>
      </c>
      <c r="N35" s="862"/>
      <c r="O35" s="862"/>
      <c r="P35" s="862"/>
      <c r="Q35" s="863">
        <f t="shared" si="4"/>
        <v>0</v>
      </c>
      <c r="R35" s="862"/>
      <c r="S35" s="862"/>
      <c r="T35" s="862"/>
      <c r="U35" s="863"/>
      <c r="V35" s="862"/>
      <c r="W35" s="862"/>
      <c r="X35" s="862"/>
      <c r="Y35" s="863">
        <f t="shared" si="5"/>
        <v>0</v>
      </c>
      <c r="Z35" s="863"/>
      <c r="AA35" s="863"/>
      <c r="AB35" s="863"/>
      <c r="AC35" s="863"/>
      <c r="AD35" s="862"/>
      <c r="AE35" s="862"/>
      <c r="AF35" s="862"/>
      <c r="AG35" s="863">
        <f t="shared" si="15"/>
        <v>0</v>
      </c>
      <c r="AH35" s="862"/>
      <c r="AI35" s="862"/>
      <c r="AJ35" s="862"/>
      <c r="AK35" s="863">
        <f t="shared" si="16"/>
        <v>0</v>
      </c>
      <c r="AL35" s="863"/>
      <c r="AM35" s="863"/>
      <c r="AN35" s="863"/>
      <c r="AO35" s="863">
        <f t="shared" si="9"/>
        <v>0</v>
      </c>
      <c r="AP35" s="863"/>
      <c r="AQ35" s="863"/>
      <c r="AR35" s="863"/>
      <c r="AS35" s="863"/>
      <c r="AT35" s="886" t="str">
        <f t="shared" si="14"/>
        <v xml:space="preserve"> </v>
      </c>
      <c r="AU35" s="886" t="str">
        <f t="shared" si="14"/>
        <v xml:space="preserve"> </v>
      </c>
      <c r="AV35" s="886" t="str">
        <f t="shared" si="14"/>
        <v xml:space="preserve"> </v>
      </c>
      <c r="AW35" s="886" t="str">
        <f t="shared" si="14"/>
        <v xml:space="preserve"> </v>
      </c>
      <c r="AX35" s="22">
        <f t="shared" si="42"/>
        <v>0</v>
      </c>
      <c r="AY35" s="22">
        <f t="shared" si="42"/>
        <v>0</v>
      </c>
      <c r="AZ35" s="22">
        <f t="shared" si="42"/>
        <v>0</v>
      </c>
      <c r="BA35" s="22">
        <f t="shared" si="32"/>
        <v>0</v>
      </c>
    </row>
    <row r="36" spans="1:57" s="39" customFormat="1" ht="16.5">
      <c r="A36" s="591" t="s">
        <v>449</v>
      </c>
      <c r="B36" s="858">
        <f>SUM(B37:B41)</f>
        <v>1505107000</v>
      </c>
      <c r="C36" s="858">
        <f t="shared" ref="C36:D36" si="57">SUM(C37:C41)</f>
        <v>1307412000</v>
      </c>
      <c r="D36" s="858">
        <f t="shared" si="57"/>
        <v>0</v>
      </c>
      <c r="E36" s="858">
        <f t="shared" si="0"/>
        <v>2812519000</v>
      </c>
      <c r="F36" s="858">
        <f t="shared" ref="F36:H36" si="58">SUM(F37:F41)</f>
        <v>15293570</v>
      </c>
      <c r="G36" s="858">
        <f t="shared" si="58"/>
        <v>-16643570</v>
      </c>
      <c r="H36" s="858">
        <f t="shared" si="58"/>
        <v>1350000</v>
      </c>
      <c r="I36" s="858">
        <f>SUM(I37:I41)</f>
        <v>0</v>
      </c>
      <c r="J36" s="858">
        <f t="shared" si="35"/>
        <v>1520400570</v>
      </c>
      <c r="K36" s="858">
        <f t="shared" si="35"/>
        <v>1290768430</v>
      </c>
      <c r="L36" s="858">
        <f t="shared" si="35"/>
        <v>1350000</v>
      </c>
      <c r="M36" s="858">
        <f t="shared" si="31"/>
        <v>2812519000</v>
      </c>
      <c r="N36" s="858">
        <f t="shared" ref="N36:P36" si="59">SUM(N37:N41)</f>
        <v>1520400570</v>
      </c>
      <c r="O36" s="858">
        <f t="shared" si="59"/>
        <v>1290768430</v>
      </c>
      <c r="P36" s="858">
        <f t="shared" si="59"/>
        <v>1350000</v>
      </c>
      <c r="Q36" s="858">
        <f t="shared" si="4"/>
        <v>2812519000</v>
      </c>
      <c r="R36" s="858">
        <f t="shared" ref="R36:T36" si="60">SUM(R37:R41)</f>
        <v>0</v>
      </c>
      <c r="S36" s="858">
        <f t="shared" si="60"/>
        <v>0</v>
      </c>
      <c r="T36" s="858">
        <f t="shared" si="60"/>
        <v>0</v>
      </c>
      <c r="U36" s="858">
        <f>SUM(U37:U41)</f>
        <v>0</v>
      </c>
      <c r="V36" s="858">
        <f t="shared" ref="V36:X36" si="61">SUM(V37:V41)</f>
        <v>0</v>
      </c>
      <c r="W36" s="858">
        <f t="shared" si="61"/>
        <v>883890249.00999999</v>
      </c>
      <c r="X36" s="858">
        <f t="shared" si="61"/>
        <v>1057141948</v>
      </c>
      <c r="Y36" s="858">
        <f t="shared" si="5"/>
        <v>1941032197.01</v>
      </c>
      <c r="Z36" s="858">
        <f>+N36+V36</f>
        <v>1520400570</v>
      </c>
      <c r="AA36" s="858">
        <f>+O36+W36</f>
        <v>2174658679.0100002</v>
      </c>
      <c r="AB36" s="858">
        <f>+P36+X36</f>
        <v>1058491948</v>
      </c>
      <c r="AC36" s="858">
        <f>SUM(Z36:AB36)</f>
        <v>4753551197.0100002</v>
      </c>
      <c r="AD36" s="858">
        <f t="shared" ref="AD36:AF36" si="62">SUM(AD37:AD41)</f>
        <v>1387411730.5900002</v>
      </c>
      <c r="AE36" s="858">
        <f t="shared" si="62"/>
        <v>944177036.04999995</v>
      </c>
      <c r="AF36" s="858">
        <f t="shared" si="62"/>
        <v>0</v>
      </c>
      <c r="AG36" s="858">
        <f t="shared" si="15"/>
        <v>2331588766.6400003</v>
      </c>
      <c r="AH36" s="858">
        <f t="shared" ref="AH36:AJ36" si="63">SUM(AH37:AH41)</f>
        <v>0</v>
      </c>
      <c r="AI36" s="858">
        <f t="shared" si="63"/>
        <v>579437382.02999997</v>
      </c>
      <c r="AJ36" s="858">
        <f t="shared" si="63"/>
        <v>826400669.13</v>
      </c>
      <c r="AK36" s="858">
        <f t="shared" si="16"/>
        <v>1405838051.1599998</v>
      </c>
      <c r="AL36" s="858">
        <f t="shared" ref="AL36:AS36" si="64">SUM(AL37:AL41)</f>
        <v>1387411730.5900002</v>
      </c>
      <c r="AM36" s="858">
        <f t="shared" si="64"/>
        <v>1523614418.0799997</v>
      </c>
      <c r="AN36" s="858">
        <f t="shared" si="64"/>
        <v>826400669.13</v>
      </c>
      <c r="AO36" s="858">
        <f t="shared" si="9"/>
        <v>3737426817.8000002</v>
      </c>
      <c r="AP36" s="858">
        <f t="shared" si="64"/>
        <v>132988839.40999985</v>
      </c>
      <c r="AQ36" s="858">
        <f t="shared" si="64"/>
        <v>651044260.93000007</v>
      </c>
      <c r="AR36" s="858">
        <f t="shared" si="64"/>
        <v>232091278.87000003</v>
      </c>
      <c r="AS36" s="858">
        <f t="shared" si="64"/>
        <v>1016124379.2099998</v>
      </c>
      <c r="AT36" s="1331">
        <f t="shared" si="14"/>
        <v>0.91253039361199406</v>
      </c>
      <c r="AU36" s="1331">
        <f t="shared" si="14"/>
        <v>0.70062232422313542</v>
      </c>
      <c r="AV36" s="1331">
        <f t="shared" si="14"/>
        <v>0.78073401568284773</v>
      </c>
      <c r="AW36" s="1331">
        <f t="shared" si="14"/>
        <v>0.7862388902323918</v>
      </c>
      <c r="AX36" s="22">
        <f t="shared" si="42"/>
        <v>0</v>
      </c>
      <c r="AY36" s="22">
        <f t="shared" si="42"/>
        <v>0</v>
      </c>
      <c r="AZ36" s="22">
        <f t="shared" si="42"/>
        <v>0</v>
      </c>
      <c r="BA36" s="22">
        <f t="shared" si="32"/>
        <v>0</v>
      </c>
    </row>
    <row r="37" spans="1:57" s="16" customFormat="1">
      <c r="A37" s="592" t="s">
        <v>450</v>
      </c>
      <c r="B37" s="859">
        <f>+'SUMM BY CLUSTER- CURRENT'!B107</f>
        <v>338196000</v>
      </c>
      <c r="C37" s="859">
        <f>+'SUMM BY CLUSTER- CURRENT'!C107</f>
        <v>317465000</v>
      </c>
      <c r="D37" s="859">
        <f>+'SUMM BY CLUSTER- CURRENT'!D107</f>
        <v>0</v>
      </c>
      <c r="E37" s="860">
        <f t="shared" si="0"/>
        <v>655661000</v>
      </c>
      <c r="F37" s="859">
        <f>+'SUMM BY CLUSTER- CURRENT'!F107</f>
        <v>9755113</v>
      </c>
      <c r="G37" s="859">
        <f>+'SUMM BY CLUSTER- CURRENT'!G107</f>
        <v>-11105113</v>
      </c>
      <c r="H37" s="859">
        <f>+'SUMM BY CLUSTER- CURRENT'!H107</f>
        <v>1350000</v>
      </c>
      <c r="I37" s="860">
        <f>SUM(F37:H37)</f>
        <v>0</v>
      </c>
      <c r="J37" s="859">
        <f t="shared" si="35"/>
        <v>347951113</v>
      </c>
      <c r="K37" s="859">
        <f t="shared" si="35"/>
        <v>306359887</v>
      </c>
      <c r="L37" s="859">
        <f t="shared" si="35"/>
        <v>1350000</v>
      </c>
      <c r="M37" s="860">
        <f t="shared" si="31"/>
        <v>655661000</v>
      </c>
      <c r="N37" s="859">
        <f>+'SUMM BY CLUSTER- CURRENT'!N107</f>
        <v>347951113</v>
      </c>
      <c r="O37" s="859">
        <f>+'SUMM BY CLUSTER- CURRENT'!O107</f>
        <v>306359887</v>
      </c>
      <c r="P37" s="859">
        <f>+'SUMM BY CLUSTER- CURRENT'!P107</f>
        <v>1350000</v>
      </c>
      <c r="Q37" s="860">
        <f t="shared" si="4"/>
        <v>655661000</v>
      </c>
      <c r="R37" s="859">
        <f>+'SUMM BY CLUSTER- CURRENT'!R107</f>
        <v>0</v>
      </c>
      <c r="S37" s="859">
        <f>+'SUMM BY CLUSTER- CURRENT'!S107</f>
        <v>0</v>
      </c>
      <c r="T37" s="859">
        <f>+'SUMM BY CLUSTER- CURRENT'!T107</f>
        <v>0</v>
      </c>
      <c r="U37" s="860">
        <f>SUM(R37:T37)</f>
        <v>0</v>
      </c>
      <c r="V37" s="859">
        <f>+'SUMM BY CLUSTER- CURRENT'!V107</f>
        <v>0</v>
      </c>
      <c r="W37" s="859">
        <f>+'SUMM BY CLUSTER- CURRENT'!W107</f>
        <v>189147214</v>
      </c>
      <c r="X37" s="859">
        <f>+'SUMM BY CLUSTER- CURRENT'!X107</f>
        <v>217245000</v>
      </c>
      <c r="Y37" s="860">
        <f t="shared" si="5"/>
        <v>406392214</v>
      </c>
      <c r="Z37" s="860">
        <f t="shared" ref="Z37:AB41" si="65">+N37+V37+R37</f>
        <v>347951113</v>
      </c>
      <c r="AA37" s="860">
        <f t="shared" si="65"/>
        <v>495507101</v>
      </c>
      <c r="AB37" s="860">
        <f t="shared" si="65"/>
        <v>218595000</v>
      </c>
      <c r="AC37" s="860">
        <f t="shared" si="7"/>
        <v>1062053214</v>
      </c>
      <c r="AD37" s="859">
        <f>+'SUMM BY CLUSTER- CURRENT'!AD107</f>
        <v>317884841.42000008</v>
      </c>
      <c r="AE37" s="859">
        <f>+'SUMM BY CLUSTER- CURRENT'!AE107</f>
        <v>188802218.79000002</v>
      </c>
      <c r="AF37" s="859">
        <f>+'SUMM BY CLUSTER- CURRENT'!AF107</f>
        <v>0</v>
      </c>
      <c r="AG37" s="860">
        <f t="shared" si="15"/>
        <v>506687060.2100001</v>
      </c>
      <c r="AH37" s="859">
        <f>+'SUMM BY CLUSTER- CURRENT'!AH107</f>
        <v>0</v>
      </c>
      <c r="AI37" s="859">
        <f>+'SUMM BY CLUSTER- CURRENT'!AI107</f>
        <v>108837992.75000003</v>
      </c>
      <c r="AJ37" s="859">
        <f>+'SUMM BY CLUSTER- CURRENT'!AJ107</f>
        <v>192137399.43999997</v>
      </c>
      <c r="AK37" s="860">
        <f t="shared" si="16"/>
        <v>300975392.19</v>
      </c>
      <c r="AL37" s="860">
        <f t="shared" si="44"/>
        <v>317884841.42000008</v>
      </c>
      <c r="AM37" s="860">
        <f t="shared" si="44"/>
        <v>297640211.54000008</v>
      </c>
      <c r="AN37" s="860">
        <f t="shared" si="44"/>
        <v>192137399.43999997</v>
      </c>
      <c r="AO37" s="860">
        <f t="shared" si="9"/>
        <v>807662452.4000001</v>
      </c>
      <c r="AP37" s="860">
        <f t="shared" ref="AP37:AR41" si="66">+Z37-AL37</f>
        <v>30066271.579999924</v>
      </c>
      <c r="AQ37" s="860">
        <f t="shared" si="66"/>
        <v>197866889.45999992</v>
      </c>
      <c r="AR37" s="860">
        <f t="shared" si="66"/>
        <v>26457600.560000032</v>
      </c>
      <c r="AS37" s="860">
        <f t="shared" si="46"/>
        <v>254390761.59999987</v>
      </c>
      <c r="AT37" s="886">
        <f t="shared" si="14"/>
        <v>0.9135905290810209</v>
      </c>
      <c r="AU37" s="886">
        <f t="shared" si="14"/>
        <v>0.60067799419891676</v>
      </c>
      <c r="AV37" s="886">
        <f t="shared" si="14"/>
        <v>0.87896520707243975</v>
      </c>
      <c r="AW37" s="886">
        <f t="shared" si="14"/>
        <v>0.76047267853755596</v>
      </c>
      <c r="AX37" s="22">
        <f t="shared" si="42"/>
        <v>0</v>
      </c>
      <c r="AY37" s="22">
        <f t="shared" si="42"/>
        <v>0</v>
      </c>
      <c r="AZ37" s="22">
        <f t="shared" si="42"/>
        <v>0</v>
      </c>
      <c r="BA37" s="22">
        <f t="shared" si="32"/>
        <v>0</v>
      </c>
    </row>
    <row r="38" spans="1:57" s="16" customFormat="1">
      <c r="A38" s="592" t="s">
        <v>451</v>
      </c>
      <c r="B38" s="859">
        <f>+'SUMM BY CLUSTER- CURRENT'!B118</f>
        <v>370281000</v>
      </c>
      <c r="C38" s="859">
        <f>+'SUMM BY CLUSTER- CURRENT'!C118</f>
        <v>304245000</v>
      </c>
      <c r="D38" s="859">
        <f>+'SUMM BY CLUSTER- CURRENT'!D118</f>
        <v>0</v>
      </c>
      <c r="E38" s="860">
        <f t="shared" si="0"/>
        <v>674526000</v>
      </c>
      <c r="F38" s="859">
        <f>+'SUMM BY CLUSTER- CURRENT'!F118</f>
        <v>0</v>
      </c>
      <c r="G38" s="859">
        <f>+'SUMM BY CLUSTER- CURRENT'!G118</f>
        <v>0</v>
      </c>
      <c r="H38" s="859">
        <f>+'SUMM BY CLUSTER- CURRENT'!H118</f>
        <v>0</v>
      </c>
      <c r="I38" s="860">
        <f>SUM(F38:H38)</f>
        <v>0</v>
      </c>
      <c r="J38" s="859">
        <f t="shared" si="35"/>
        <v>370281000</v>
      </c>
      <c r="K38" s="859">
        <f t="shared" si="35"/>
        <v>304245000</v>
      </c>
      <c r="L38" s="859">
        <f t="shared" si="35"/>
        <v>0</v>
      </c>
      <c r="M38" s="860">
        <f t="shared" si="31"/>
        <v>674526000</v>
      </c>
      <c r="N38" s="859">
        <f>+'SUMM BY CLUSTER- CURRENT'!N118</f>
        <v>370281000</v>
      </c>
      <c r="O38" s="859">
        <f>+'SUMM BY CLUSTER- CURRENT'!O118</f>
        <v>304245000</v>
      </c>
      <c r="P38" s="859">
        <f>+'SUMM BY CLUSTER- CURRENT'!P118</f>
        <v>0</v>
      </c>
      <c r="Q38" s="860">
        <f t="shared" si="4"/>
        <v>674526000</v>
      </c>
      <c r="R38" s="859">
        <f>+'SUMM BY CLUSTER- CURRENT'!R118</f>
        <v>0</v>
      </c>
      <c r="S38" s="859">
        <f>+'SUMM BY CLUSTER- CURRENT'!S118</f>
        <v>0</v>
      </c>
      <c r="T38" s="859">
        <f>+'SUMM BY CLUSTER- CURRENT'!T118</f>
        <v>0</v>
      </c>
      <c r="U38" s="860">
        <f>SUM(R38:T38)</f>
        <v>0</v>
      </c>
      <c r="V38" s="859">
        <f>+'SUMM BY CLUSTER- CURRENT'!V118</f>
        <v>0</v>
      </c>
      <c r="W38" s="859">
        <f>+'SUMM BY CLUSTER- CURRENT'!W118</f>
        <v>214241681.66</v>
      </c>
      <c r="X38" s="859">
        <f>+'SUMM BY CLUSTER- CURRENT'!X118</f>
        <v>367765968</v>
      </c>
      <c r="Y38" s="860">
        <f t="shared" si="5"/>
        <v>582007649.65999997</v>
      </c>
      <c r="Z38" s="860">
        <f t="shared" si="65"/>
        <v>370281000</v>
      </c>
      <c r="AA38" s="860">
        <f t="shared" si="65"/>
        <v>518486681.65999997</v>
      </c>
      <c r="AB38" s="860">
        <f t="shared" si="65"/>
        <v>367765968</v>
      </c>
      <c r="AC38" s="860">
        <f>SUM(Z38:AB38)</f>
        <v>1256533649.6599998</v>
      </c>
      <c r="AD38" s="859">
        <f>+'SUMM BY CLUSTER- CURRENT'!AD118</f>
        <v>342464431.40000004</v>
      </c>
      <c r="AE38" s="859">
        <f>+'SUMM BY CLUSTER- CURRENT'!AE118</f>
        <v>236822968.73999998</v>
      </c>
      <c r="AF38" s="859">
        <f>+'SUMM BY CLUSTER- CURRENT'!AF118</f>
        <v>0</v>
      </c>
      <c r="AG38" s="860">
        <f>SUM(AD38:AF38)</f>
        <v>579287400.13999999</v>
      </c>
      <c r="AH38" s="859">
        <f>+'SUMM BY CLUSTER- CURRENT'!AH118</f>
        <v>0</v>
      </c>
      <c r="AI38" s="859">
        <f>+'SUMM BY CLUSTER- CURRENT'!AI118</f>
        <v>150138349.23999998</v>
      </c>
      <c r="AJ38" s="859">
        <f>+'SUMM BY CLUSTER- CURRENT'!AJ118</f>
        <v>217026257.72999999</v>
      </c>
      <c r="AK38" s="860">
        <f t="shared" si="16"/>
        <v>367164606.96999997</v>
      </c>
      <c r="AL38" s="860">
        <f t="shared" si="44"/>
        <v>342464431.40000004</v>
      </c>
      <c r="AM38" s="860">
        <f t="shared" si="44"/>
        <v>386961317.97999996</v>
      </c>
      <c r="AN38" s="860">
        <f t="shared" si="44"/>
        <v>217026257.72999999</v>
      </c>
      <c r="AO38" s="860">
        <f t="shared" si="9"/>
        <v>946452007.11000001</v>
      </c>
      <c r="AP38" s="860">
        <f t="shared" si="66"/>
        <v>27816568.599999964</v>
      </c>
      <c r="AQ38" s="860">
        <f t="shared" si="66"/>
        <v>131525363.68000001</v>
      </c>
      <c r="AR38" s="860">
        <f t="shared" si="66"/>
        <v>150739710.27000001</v>
      </c>
      <c r="AS38" s="860">
        <f t="shared" si="46"/>
        <v>310081642.54999995</v>
      </c>
      <c r="AT38" s="886">
        <f t="shared" si="14"/>
        <v>0.92487713763331103</v>
      </c>
      <c r="AU38" s="886">
        <f t="shared" si="14"/>
        <v>0.74632836612330122</v>
      </c>
      <c r="AV38" s="886">
        <f t="shared" si="14"/>
        <v>0.59012055658722606</v>
      </c>
      <c r="AW38" s="886">
        <f t="shared" si="14"/>
        <v>0.75322456136856863</v>
      </c>
      <c r="AX38" s="22">
        <f t="shared" si="42"/>
        <v>0</v>
      </c>
      <c r="AY38" s="22">
        <f>+K38-O38</f>
        <v>0</v>
      </c>
      <c r="AZ38" s="22">
        <f t="shared" si="42"/>
        <v>0</v>
      </c>
      <c r="BA38" s="22">
        <f t="shared" si="32"/>
        <v>0</v>
      </c>
    </row>
    <row r="39" spans="1:57" s="16" customFormat="1">
      <c r="A39" s="592" t="s">
        <v>452</v>
      </c>
      <c r="B39" s="859">
        <f>+'SUMM BY CLUSTER- CURRENT'!B124</f>
        <v>424206000</v>
      </c>
      <c r="C39" s="859">
        <f>+'SUMM BY CLUSTER- CURRENT'!C124</f>
        <v>273244000</v>
      </c>
      <c r="D39" s="859">
        <f>+'SUMM BY CLUSTER- CURRENT'!D124</f>
        <v>0</v>
      </c>
      <c r="E39" s="860">
        <f>SUM(B39:D39)</f>
        <v>697450000</v>
      </c>
      <c r="F39" s="859">
        <f>+'SUMM BY CLUSTER- CURRENT'!F124</f>
        <v>0</v>
      </c>
      <c r="G39" s="859">
        <f>+'SUMM BY CLUSTER- CURRENT'!G124</f>
        <v>0</v>
      </c>
      <c r="H39" s="859">
        <f>+'SUMM BY CLUSTER- CURRENT'!H124</f>
        <v>0</v>
      </c>
      <c r="I39" s="860">
        <f>SUM(F39:H39)</f>
        <v>0</v>
      </c>
      <c r="J39" s="859">
        <f t="shared" si="35"/>
        <v>424206000</v>
      </c>
      <c r="K39" s="859">
        <f t="shared" si="35"/>
        <v>273244000</v>
      </c>
      <c r="L39" s="859">
        <f t="shared" si="35"/>
        <v>0</v>
      </c>
      <c r="M39" s="860">
        <f>SUM(J39:L39)</f>
        <v>697450000</v>
      </c>
      <c r="N39" s="859">
        <f>+'SUMM BY CLUSTER- CURRENT'!N124</f>
        <v>424206000</v>
      </c>
      <c r="O39" s="859">
        <f>+'SUMM BY CLUSTER- CURRENT'!O124</f>
        <v>273244000</v>
      </c>
      <c r="P39" s="859">
        <f>+'SUMM BY CLUSTER- CURRENT'!P124</f>
        <v>0</v>
      </c>
      <c r="Q39" s="860">
        <f>SUM(N39:P39)</f>
        <v>697450000</v>
      </c>
      <c r="R39" s="859">
        <f>+'SUMM BY CLUSTER- CURRENT'!R124</f>
        <v>0</v>
      </c>
      <c r="S39" s="859">
        <f>+'SUMM BY CLUSTER- CURRENT'!S124</f>
        <v>0</v>
      </c>
      <c r="T39" s="859">
        <f>+'SUMM BY CLUSTER- CURRENT'!T124</f>
        <v>0</v>
      </c>
      <c r="U39" s="860">
        <f>SUM(R39:T39)</f>
        <v>0</v>
      </c>
      <c r="V39" s="859">
        <f>+'SUMM BY CLUSTER- CURRENT'!V124</f>
        <v>0</v>
      </c>
      <c r="W39" s="859">
        <f>+'SUMM BY CLUSTER- CURRENT'!W124</f>
        <v>191553986.76999998</v>
      </c>
      <c r="X39" s="859">
        <f>+'SUMM BY CLUSTER- CURRENT'!X124</f>
        <v>228100000</v>
      </c>
      <c r="Y39" s="860">
        <f>SUM(V39:X39)</f>
        <v>419653986.76999998</v>
      </c>
      <c r="Z39" s="860">
        <f t="shared" si="65"/>
        <v>424206000</v>
      </c>
      <c r="AA39" s="860">
        <f t="shared" si="65"/>
        <v>464797986.76999998</v>
      </c>
      <c r="AB39" s="860">
        <f t="shared" si="65"/>
        <v>228100000</v>
      </c>
      <c r="AC39" s="860">
        <f>SUM(Z39:AB39)</f>
        <v>1117103986.77</v>
      </c>
      <c r="AD39" s="859">
        <f>+'SUMM BY CLUSTER- CURRENT'!AD124</f>
        <v>382258504.67000002</v>
      </c>
      <c r="AE39" s="859">
        <f>+'SUMM BY CLUSTER- CURRENT'!AE124</f>
        <v>197041996.25999999</v>
      </c>
      <c r="AF39" s="859">
        <f>+'SUMM BY CLUSTER- CURRENT'!AF124</f>
        <v>0</v>
      </c>
      <c r="AG39" s="860">
        <f>SUM(AD39:AF39)</f>
        <v>579300500.93000007</v>
      </c>
      <c r="AH39" s="859">
        <f>+'SUMM BY CLUSTER- CURRENT'!AH124</f>
        <v>0</v>
      </c>
      <c r="AI39" s="859">
        <f>+'SUMM BY CLUSTER- CURRENT'!AI124</f>
        <v>126531744.58999999</v>
      </c>
      <c r="AJ39" s="859">
        <f>+'SUMM BY CLUSTER- CURRENT'!AJ124</f>
        <v>213606240.40000001</v>
      </c>
      <c r="AK39" s="860">
        <f>SUM(AH39:AJ39)</f>
        <v>340137984.99000001</v>
      </c>
      <c r="AL39" s="860">
        <f t="shared" si="44"/>
        <v>382258504.67000002</v>
      </c>
      <c r="AM39" s="860">
        <f t="shared" si="44"/>
        <v>323573740.84999996</v>
      </c>
      <c r="AN39" s="860">
        <f t="shared" si="44"/>
        <v>213606240.40000001</v>
      </c>
      <c r="AO39" s="860">
        <f>SUM(AL39:AN39)</f>
        <v>919438485.91999996</v>
      </c>
      <c r="AP39" s="860">
        <f t="shared" si="66"/>
        <v>41947495.329999983</v>
      </c>
      <c r="AQ39" s="860">
        <f t="shared" si="66"/>
        <v>141224245.92000002</v>
      </c>
      <c r="AR39" s="860">
        <f t="shared" si="66"/>
        <v>14493759.599999994</v>
      </c>
      <c r="AS39" s="860">
        <f t="shared" si="46"/>
        <v>197665500.84999999</v>
      </c>
      <c r="AT39" s="886">
        <f t="shared" si="14"/>
        <v>0.90111527104755718</v>
      </c>
      <c r="AU39" s="886">
        <f t="shared" si="14"/>
        <v>0.69615994487970267</v>
      </c>
      <c r="AV39" s="886">
        <f t="shared" si="14"/>
        <v>0.93645874791757999</v>
      </c>
      <c r="AW39" s="886">
        <f t="shared" si="14"/>
        <v>0.82305541543940686</v>
      </c>
      <c r="AX39" s="22">
        <f t="shared" si="42"/>
        <v>0</v>
      </c>
      <c r="AY39" s="22">
        <f t="shared" si="42"/>
        <v>0</v>
      </c>
      <c r="AZ39" s="22">
        <f t="shared" si="42"/>
        <v>0</v>
      </c>
      <c r="BA39" s="22">
        <f>SUM(AX39:AZ39)</f>
        <v>0</v>
      </c>
      <c r="BB39" s="39"/>
    </row>
    <row r="40" spans="1:57" s="16" customFormat="1">
      <c r="A40" s="592" t="s">
        <v>453</v>
      </c>
      <c r="B40" s="859">
        <f>+'SUMM BY CLUSTER- CURRENT'!B129</f>
        <v>193528000</v>
      </c>
      <c r="C40" s="859">
        <f>+'SUMM BY CLUSTER- CURRENT'!C129</f>
        <v>209274000</v>
      </c>
      <c r="D40" s="859">
        <f>+'SUMM BY CLUSTER- CURRENT'!D129</f>
        <v>0</v>
      </c>
      <c r="E40" s="860">
        <f>SUM(B40:D40)</f>
        <v>402802000</v>
      </c>
      <c r="F40" s="859">
        <f>+'SUMM BY CLUSTER- CURRENT'!F129</f>
        <v>0</v>
      </c>
      <c r="G40" s="859">
        <f>+'SUMM BY CLUSTER- CURRENT'!G129</f>
        <v>0</v>
      </c>
      <c r="H40" s="859">
        <f>+'SUMM BY CLUSTER- CURRENT'!H129</f>
        <v>0</v>
      </c>
      <c r="I40" s="860">
        <f>SUM(F40:H40)</f>
        <v>0</v>
      </c>
      <c r="J40" s="859">
        <f t="shared" si="35"/>
        <v>193528000</v>
      </c>
      <c r="K40" s="859">
        <f t="shared" si="35"/>
        <v>209274000</v>
      </c>
      <c r="L40" s="859">
        <f t="shared" si="35"/>
        <v>0</v>
      </c>
      <c r="M40" s="860">
        <f>SUM(J40:L40)</f>
        <v>402802000</v>
      </c>
      <c r="N40" s="859">
        <f>+'SUMM BY CLUSTER- CURRENT'!N129</f>
        <v>193528000</v>
      </c>
      <c r="O40" s="859">
        <f>+'SUMM BY CLUSTER- CURRENT'!O129</f>
        <v>209274000</v>
      </c>
      <c r="P40" s="859">
        <f>+'SUMM BY CLUSTER- CURRENT'!P129</f>
        <v>0</v>
      </c>
      <c r="Q40" s="860">
        <f>SUM(N40:P40)</f>
        <v>402802000</v>
      </c>
      <c r="R40" s="859">
        <f>+'SUMM BY CLUSTER- CURRENT'!R129</f>
        <v>0</v>
      </c>
      <c r="S40" s="859">
        <f>+'SUMM BY CLUSTER- CURRENT'!S129</f>
        <v>0</v>
      </c>
      <c r="T40" s="859">
        <f>+'SUMM BY CLUSTER- CURRENT'!T129</f>
        <v>0</v>
      </c>
      <c r="U40" s="860">
        <f>SUM(R40:T40)</f>
        <v>0</v>
      </c>
      <c r="V40" s="859">
        <f>+'SUMM BY CLUSTER- CURRENT'!V129</f>
        <v>0</v>
      </c>
      <c r="W40" s="859">
        <f>+'SUMM BY CLUSTER- CURRENT'!W129</f>
        <v>137856297.57999998</v>
      </c>
      <c r="X40" s="859">
        <f>+'SUMM BY CLUSTER- CURRENT'!X129</f>
        <v>128257980</v>
      </c>
      <c r="Y40" s="860">
        <f>SUM(V40:X40)</f>
        <v>266114277.57999998</v>
      </c>
      <c r="Z40" s="860">
        <f t="shared" si="65"/>
        <v>193528000</v>
      </c>
      <c r="AA40" s="860">
        <f t="shared" si="65"/>
        <v>347130297.57999998</v>
      </c>
      <c r="AB40" s="860">
        <f t="shared" si="65"/>
        <v>128257980</v>
      </c>
      <c r="AC40" s="860">
        <f>SUM(Z40:AB40)</f>
        <v>668916277.57999992</v>
      </c>
      <c r="AD40" s="859">
        <f>+'SUMM BY CLUSTER- CURRENT'!AD129</f>
        <v>176529892.00000003</v>
      </c>
      <c r="AE40" s="859">
        <f>+'SUMM BY CLUSTER- CURRENT'!AE129</f>
        <v>148161439.72999999</v>
      </c>
      <c r="AF40" s="859">
        <f>+'SUMM BY CLUSTER- CURRENT'!AF129</f>
        <v>0</v>
      </c>
      <c r="AG40" s="860">
        <f>SUM(AD40:AF40)</f>
        <v>324691331.73000002</v>
      </c>
      <c r="AH40" s="859">
        <f>+'SUMM BY CLUSTER- CURRENT'!AH129</f>
        <v>0</v>
      </c>
      <c r="AI40" s="859">
        <f>+'SUMM BY CLUSTER- CURRENT'!AI129</f>
        <v>79685626.910000011</v>
      </c>
      <c r="AJ40" s="859">
        <f>+'SUMM BY CLUSTER- CURRENT'!AJ129</f>
        <v>108471610.72999999</v>
      </c>
      <c r="AK40" s="860">
        <f>SUM(AH40:AJ40)</f>
        <v>188157237.63999999</v>
      </c>
      <c r="AL40" s="860">
        <f t="shared" si="44"/>
        <v>176529892.00000003</v>
      </c>
      <c r="AM40" s="860">
        <f t="shared" si="44"/>
        <v>227847066.63999999</v>
      </c>
      <c r="AN40" s="860">
        <f t="shared" si="44"/>
        <v>108471610.72999999</v>
      </c>
      <c r="AO40" s="860">
        <f>SUM(AL40:AN40)</f>
        <v>512848569.37</v>
      </c>
      <c r="AP40" s="860">
        <f t="shared" si="66"/>
        <v>16998107.99999997</v>
      </c>
      <c r="AQ40" s="860">
        <f t="shared" si="66"/>
        <v>119283230.94</v>
      </c>
      <c r="AR40" s="860">
        <f t="shared" si="66"/>
        <v>19786369.270000011</v>
      </c>
      <c r="AS40" s="860">
        <f t="shared" si="46"/>
        <v>156067708.20999998</v>
      </c>
      <c r="AT40" s="886">
        <f t="shared" si="14"/>
        <v>0.91216719027737603</v>
      </c>
      <c r="AU40" s="886">
        <f t="shared" si="14"/>
        <v>0.65637332214567101</v>
      </c>
      <c r="AV40" s="886">
        <f t="shared" si="14"/>
        <v>0.84572991661025687</v>
      </c>
      <c r="AW40" s="886">
        <f t="shared" si="14"/>
        <v>0.76668573715290578</v>
      </c>
      <c r="AX40" s="22">
        <f t="shared" si="42"/>
        <v>0</v>
      </c>
      <c r="AY40" s="22">
        <f t="shared" si="42"/>
        <v>0</v>
      </c>
      <c r="AZ40" s="22">
        <f t="shared" si="42"/>
        <v>0</v>
      </c>
      <c r="BA40" s="22">
        <f>SUM(AX40:AZ40)</f>
        <v>0</v>
      </c>
      <c r="BB40" s="39"/>
    </row>
    <row r="41" spans="1:57" s="16" customFormat="1">
      <c r="A41" s="593" t="s">
        <v>57</v>
      </c>
      <c r="B41" s="859">
        <f>+'SUMM BY CLUSTER- CURRENT'!B134</f>
        <v>178896000</v>
      </c>
      <c r="C41" s="859">
        <f>+'SUMM BY CLUSTER- CURRENT'!C134</f>
        <v>203184000</v>
      </c>
      <c r="D41" s="859">
        <f>+'SUMM BY CLUSTER- CURRENT'!D134</f>
        <v>0</v>
      </c>
      <c r="E41" s="860">
        <f>SUM(B41:D41)</f>
        <v>382080000</v>
      </c>
      <c r="F41" s="859">
        <f>+'SUMM BY CLUSTER- CURRENT'!F134</f>
        <v>5538457</v>
      </c>
      <c r="G41" s="859">
        <f>+'SUMM BY CLUSTER- CURRENT'!G134</f>
        <v>-5538457</v>
      </c>
      <c r="H41" s="859">
        <f>+'SUMM BY CLUSTER- CURRENT'!H134</f>
        <v>0</v>
      </c>
      <c r="I41" s="860">
        <f>SUM(F41:H41)</f>
        <v>0</v>
      </c>
      <c r="J41" s="859">
        <f t="shared" si="35"/>
        <v>184434457</v>
      </c>
      <c r="K41" s="859">
        <f t="shared" si="35"/>
        <v>197645543</v>
      </c>
      <c r="L41" s="859">
        <f t="shared" si="35"/>
        <v>0</v>
      </c>
      <c r="M41" s="860">
        <f>SUM(J41:L41)</f>
        <v>382080000</v>
      </c>
      <c r="N41" s="859">
        <f>+'SUMM BY CLUSTER- CURRENT'!N134</f>
        <v>184434457</v>
      </c>
      <c r="O41" s="859">
        <f>+'SUMM BY CLUSTER- CURRENT'!O134</f>
        <v>197645543</v>
      </c>
      <c r="P41" s="859">
        <f>+'SUMM BY CLUSTER- CURRENT'!P134</f>
        <v>0</v>
      </c>
      <c r="Q41" s="860">
        <f>SUM(N41:P41)</f>
        <v>382080000</v>
      </c>
      <c r="R41" s="859">
        <f>+'SUMM BY CLUSTER- CURRENT'!R134</f>
        <v>0</v>
      </c>
      <c r="S41" s="859">
        <f>+'SUMM BY CLUSTER- CURRENT'!S134</f>
        <v>0</v>
      </c>
      <c r="T41" s="859">
        <f>+'SUMM BY CLUSTER- CURRENT'!T134</f>
        <v>0</v>
      </c>
      <c r="U41" s="860">
        <f>SUM(R41:T41)</f>
        <v>0</v>
      </c>
      <c r="V41" s="859">
        <f>+'SUMM BY CLUSTER- CURRENT'!V134</f>
        <v>0</v>
      </c>
      <c r="W41" s="859">
        <f>+'SUMM BY CLUSTER- CURRENT'!W134</f>
        <v>151091069</v>
      </c>
      <c r="X41" s="859">
        <f>+'SUMM BY CLUSTER- CURRENT'!X134</f>
        <v>115773000</v>
      </c>
      <c r="Y41" s="860">
        <f>SUM(V41:X41)</f>
        <v>266864069</v>
      </c>
      <c r="Z41" s="860">
        <f t="shared" si="65"/>
        <v>184434457</v>
      </c>
      <c r="AA41" s="860">
        <f t="shared" si="65"/>
        <v>348736612</v>
      </c>
      <c r="AB41" s="860">
        <f t="shared" si="65"/>
        <v>115773000</v>
      </c>
      <c r="AC41" s="860">
        <f>SUM(Z41:AB41)</f>
        <v>648944069</v>
      </c>
      <c r="AD41" s="859">
        <f>+'SUMM BY CLUSTER- CURRENT'!AD134</f>
        <v>168274061.09999999</v>
      </c>
      <c r="AE41" s="859">
        <f>+'SUMM BY CLUSTER- CURRENT'!AE134</f>
        <v>173348412.53</v>
      </c>
      <c r="AF41" s="859">
        <f>+'SUMM BY CLUSTER- CURRENT'!AF134</f>
        <v>0</v>
      </c>
      <c r="AG41" s="860">
        <f>SUM(AD41:AF41)</f>
        <v>341622473.63</v>
      </c>
      <c r="AH41" s="859">
        <f>+'SUMM BY CLUSTER- CURRENT'!AH134</f>
        <v>0</v>
      </c>
      <c r="AI41" s="859">
        <f>+'SUMM BY CLUSTER- CURRENT'!AI134</f>
        <v>114243668.54000001</v>
      </c>
      <c r="AJ41" s="859">
        <f>+'SUMM BY CLUSTER- CURRENT'!AJ134</f>
        <v>95159160.830000013</v>
      </c>
      <c r="AK41" s="860">
        <f>SUM(AH41:AJ41)</f>
        <v>209402829.37</v>
      </c>
      <c r="AL41" s="860">
        <f t="shared" si="44"/>
        <v>168274061.09999999</v>
      </c>
      <c r="AM41" s="860">
        <f t="shared" si="44"/>
        <v>287592081.06999999</v>
      </c>
      <c r="AN41" s="860">
        <f t="shared" si="44"/>
        <v>95159160.830000013</v>
      </c>
      <c r="AO41" s="860">
        <f>SUM(AL41:AN41)</f>
        <v>551025303</v>
      </c>
      <c r="AP41" s="861">
        <f t="shared" si="66"/>
        <v>16160395.900000006</v>
      </c>
      <c r="AQ41" s="860">
        <f t="shared" si="66"/>
        <v>61144530.930000007</v>
      </c>
      <c r="AR41" s="860">
        <f t="shared" si="66"/>
        <v>20613839.169999987</v>
      </c>
      <c r="AS41" s="860">
        <f t="shared" si="46"/>
        <v>97918766</v>
      </c>
      <c r="AT41" s="886">
        <f t="shared" si="14"/>
        <v>0.91237865113241823</v>
      </c>
      <c r="AU41" s="886">
        <f t="shared" si="14"/>
        <v>0.82466844940846074</v>
      </c>
      <c r="AV41" s="886">
        <f t="shared" si="14"/>
        <v>0.8219460567662582</v>
      </c>
      <c r="AW41" s="886">
        <f t="shared" si="14"/>
        <v>0.84911062343032218</v>
      </c>
      <c r="AX41" s="22">
        <f t="shared" si="42"/>
        <v>0</v>
      </c>
      <c r="AY41" s="22">
        <f t="shared" si="42"/>
        <v>0</v>
      </c>
      <c r="AZ41" s="22">
        <f t="shared" si="42"/>
        <v>0</v>
      </c>
      <c r="BA41" s="22">
        <f>SUM(AX41:AZ41)</f>
        <v>0</v>
      </c>
    </row>
    <row r="42" spans="1:57" ht="16.5">
      <c r="A42" s="577"/>
      <c r="B42" s="862"/>
      <c r="C42" s="862"/>
      <c r="D42" s="862"/>
      <c r="E42" s="863"/>
      <c r="F42" s="862"/>
      <c r="G42" s="862"/>
      <c r="H42" s="862"/>
      <c r="I42" s="863"/>
      <c r="J42" s="862"/>
      <c r="K42" s="862"/>
      <c r="L42" s="862"/>
      <c r="M42" s="863"/>
      <c r="N42" s="862"/>
      <c r="O42" s="862"/>
      <c r="P42" s="862"/>
      <c r="Q42" s="863"/>
      <c r="R42" s="862"/>
      <c r="S42" s="862"/>
      <c r="T42" s="862"/>
      <c r="U42" s="863"/>
      <c r="V42" s="862"/>
      <c r="W42" s="862"/>
      <c r="X42" s="862"/>
      <c r="Y42" s="863"/>
      <c r="Z42" s="863"/>
      <c r="AA42" s="863"/>
      <c r="AB42" s="863"/>
      <c r="AC42" s="863"/>
      <c r="AD42" s="862"/>
      <c r="AE42" s="862"/>
      <c r="AF42" s="862"/>
      <c r="AG42" s="863">
        <f>SUM(AD42:AF42)</f>
        <v>0</v>
      </c>
      <c r="AH42" s="862"/>
      <c r="AI42" s="862"/>
      <c r="AJ42" s="862"/>
      <c r="AK42" s="863"/>
      <c r="AL42" s="863"/>
      <c r="AM42" s="863"/>
      <c r="AN42" s="863"/>
      <c r="AO42" s="863"/>
      <c r="AP42" s="863"/>
      <c r="AQ42" s="863"/>
      <c r="AR42" s="863"/>
      <c r="AS42" s="863"/>
      <c r="AT42" s="886" t="str">
        <f t="shared" si="14"/>
        <v xml:space="preserve"> </v>
      </c>
      <c r="AU42" s="886" t="str">
        <f t="shared" si="14"/>
        <v xml:space="preserve"> </v>
      </c>
      <c r="AV42" s="886" t="str">
        <f t="shared" si="14"/>
        <v xml:space="preserve"> </v>
      </c>
      <c r="AW42" s="886" t="str">
        <f t="shared" si="14"/>
        <v xml:space="preserve"> </v>
      </c>
      <c r="AX42" s="27"/>
      <c r="AY42" s="27"/>
      <c r="AZ42" s="27"/>
      <c r="BA42" s="27"/>
    </row>
    <row r="43" spans="1:57" s="1192" customFormat="1" ht="15" customHeight="1">
      <c r="A43" s="1190" t="s">
        <v>454</v>
      </c>
      <c r="B43" s="864">
        <f>+B17+B11+B9+B13+B15</f>
        <v>8866448000</v>
      </c>
      <c r="C43" s="864">
        <f t="shared" ref="C43:AS43" si="67">+C17+C11+C9+C13+C15</f>
        <v>17861900000</v>
      </c>
      <c r="D43" s="864">
        <f t="shared" si="67"/>
        <v>11086068000</v>
      </c>
      <c r="E43" s="864">
        <f t="shared" si="67"/>
        <v>37814416000</v>
      </c>
      <c r="F43" s="864">
        <f t="shared" si="67"/>
        <v>100299274</v>
      </c>
      <c r="G43" s="864">
        <f t="shared" si="67"/>
        <v>-101649274</v>
      </c>
      <c r="H43" s="864">
        <f t="shared" si="67"/>
        <v>1350000</v>
      </c>
      <c r="I43" s="864">
        <f t="shared" si="67"/>
        <v>0</v>
      </c>
      <c r="J43" s="864">
        <f t="shared" si="67"/>
        <v>8966747274</v>
      </c>
      <c r="K43" s="864">
        <f t="shared" si="67"/>
        <v>17760250726</v>
      </c>
      <c r="L43" s="864">
        <f t="shared" si="67"/>
        <v>11087418000</v>
      </c>
      <c r="M43" s="864">
        <f t="shared" si="67"/>
        <v>37814416000</v>
      </c>
      <c r="N43" s="864">
        <f t="shared" si="67"/>
        <v>8966747274</v>
      </c>
      <c r="O43" s="864">
        <f t="shared" si="67"/>
        <v>17760250726</v>
      </c>
      <c r="P43" s="864">
        <f t="shared" si="67"/>
        <v>11087418000</v>
      </c>
      <c r="Q43" s="864">
        <f t="shared" si="67"/>
        <v>37814416000</v>
      </c>
      <c r="R43" s="864">
        <f t="shared" si="67"/>
        <v>0</v>
      </c>
      <c r="S43" s="864">
        <f t="shared" si="67"/>
        <v>0</v>
      </c>
      <c r="T43" s="864">
        <f t="shared" si="67"/>
        <v>0</v>
      </c>
      <c r="U43" s="864">
        <f t="shared" si="67"/>
        <v>0</v>
      </c>
      <c r="V43" s="864">
        <f t="shared" si="67"/>
        <v>0</v>
      </c>
      <c r="W43" s="864">
        <f t="shared" si="67"/>
        <v>0</v>
      </c>
      <c r="X43" s="864">
        <f t="shared" si="67"/>
        <v>0</v>
      </c>
      <c r="Y43" s="864">
        <f t="shared" si="67"/>
        <v>0</v>
      </c>
      <c r="Z43" s="864">
        <f t="shared" si="67"/>
        <v>8966747274</v>
      </c>
      <c r="AA43" s="864">
        <f t="shared" si="67"/>
        <v>17760250726</v>
      </c>
      <c r="AB43" s="864">
        <f t="shared" si="67"/>
        <v>11087418000</v>
      </c>
      <c r="AC43" s="864">
        <f t="shared" si="67"/>
        <v>37814416000</v>
      </c>
      <c r="AD43" s="864">
        <f t="shared" si="67"/>
        <v>8178413051.3200006</v>
      </c>
      <c r="AE43" s="864">
        <f t="shared" si="67"/>
        <v>10115832939.5</v>
      </c>
      <c r="AF43" s="864">
        <f t="shared" si="67"/>
        <v>1218729883.249999</v>
      </c>
      <c r="AG43" s="864">
        <f t="shared" si="67"/>
        <v>19512975874.070004</v>
      </c>
      <c r="AH43" s="864">
        <f t="shared" si="67"/>
        <v>763888.76999999979</v>
      </c>
      <c r="AI43" s="864">
        <f t="shared" si="67"/>
        <v>2949488999.0600004</v>
      </c>
      <c r="AJ43" s="864">
        <f t="shared" si="67"/>
        <v>3877002061.4500003</v>
      </c>
      <c r="AK43" s="864">
        <f t="shared" si="67"/>
        <v>6827254949.2800007</v>
      </c>
      <c r="AL43" s="864">
        <f t="shared" si="67"/>
        <v>8179176940.0900011</v>
      </c>
      <c r="AM43" s="864">
        <f t="shared" si="67"/>
        <v>13065321938.560001</v>
      </c>
      <c r="AN43" s="864">
        <f t="shared" si="67"/>
        <v>5095731944.6999989</v>
      </c>
      <c r="AO43" s="864">
        <f t="shared" si="67"/>
        <v>26340230823.350002</v>
      </c>
      <c r="AP43" s="864">
        <f t="shared" si="67"/>
        <v>787570333.90999866</v>
      </c>
      <c r="AQ43" s="864">
        <f t="shared" si="67"/>
        <v>4694928787.4399986</v>
      </c>
      <c r="AR43" s="864">
        <f t="shared" si="67"/>
        <v>5991686055.3000011</v>
      </c>
      <c r="AS43" s="864">
        <f t="shared" si="67"/>
        <v>11474185176.65</v>
      </c>
      <c r="AT43" s="1332">
        <f t="shared" si="14"/>
        <v>0.9121676668423967</v>
      </c>
      <c r="AU43" s="1332">
        <f t="shared" si="14"/>
        <v>0.73564963356249868</v>
      </c>
      <c r="AV43" s="1332">
        <f t="shared" si="14"/>
        <v>0.45959590814561141</v>
      </c>
      <c r="AW43" s="1332">
        <f t="shared" si="14"/>
        <v>0.69656585000149152</v>
      </c>
      <c r="AX43" s="864">
        <f>+AX17+AX11+AX9+AX13+AX15</f>
        <v>0</v>
      </c>
      <c r="AY43" s="864">
        <f>+AY17+AY11+AY9+AY13+AY15</f>
        <v>0</v>
      </c>
      <c r="AZ43" s="864">
        <f>+AZ17+AZ11+AZ9+AZ13+AZ15</f>
        <v>0</v>
      </c>
      <c r="BA43" s="864">
        <f>+BA17+BA11+BA9+BA13+BA15</f>
        <v>0</v>
      </c>
      <c r="BB43" s="1191"/>
      <c r="BC43" s="1191"/>
      <c r="BD43" s="1191"/>
      <c r="BE43" s="1191"/>
    </row>
    <row r="44" spans="1:57" s="160" customFormat="1" ht="15" hidden="1" customHeight="1">
      <c r="B44" s="865">
        <f>+B43-'SUMM BY CLUSTER- CURRENT'!B138</f>
        <v>0</v>
      </c>
      <c r="C44" s="865">
        <f>+C43-'SUMM BY CLUSTER- CURRENT'!C138</f>
        <v>0</v>
      </c>
      <c r="D44" s="865">
        <f>+D43-'SUMM BY CLUSTER- CURRENT'!D138</f>
        <v>0</v>
      </c>
      <c r="E44" s="865">
        <f>+E43-'SUMM BY CLUSTER- CURRENT'!E138</f>
        <v>0</v>
      </c>
      <c r="F44" s="865">
        <f>+F43-'SUMM BY CLUSTER- CURRENT'!F138</f>
        <v>0</v>
      </c>
      <c r="G44" s="865">
        <f>+G43-'SUMM BY CLUSTER- CURRENT'!G138</f>
        <v>0</v>
      </c>
      <c r="H44" s="865">
        <f>+H43-'SUMM BY CLUSTER- CURRENT'!H138</f>
        <v>0</v>
      </c>
      <c r="I44" s="865">
        <f>+I43-'SUMM BY CLUSTER- CURRENT'!I138</f>
        <v>0</v>
      </c>
      <c r="J44" s="865">
        <f>+J43-'SUMM BY CLUSTER- CURRENT'!J138</f>
        <v>0</v>
      </c>
      <c r="K44" s="865">
        <f>+K43-'SUMM BY CLUSTER- CURRENT'!K138</f>
        <v>0</v>
      </c>
      <c r="L44" s="865">
        <f>+L43-'SUMM BY CLUSTER- CURRENT'!L138</f>
        <v>0</v>
      </c>
      <c r="M44" s="865">
        <f>+M43-'SUMM BY CLUSTER- CURRENT'!M138</f>
        <v>0</v>
      </c>
      <c r="N44" s="865">
        <f>+N43-'SUMM BY CLUSTER- CURRENT'!N138</f>
        <v>0</v>
      </c>
      <c r="O44" s="865">
        <f>+O43-'SUMM BY CLUSTER- CURRENT'!O138</f>
        <v>0</v>
      </c>
      <c r="P44" s="865">
        <f>+P43-'SUMM BY CLUSTER- CURRENT'!P138</f>
        <v>0</v>
      </c>
      <c r="Q44" s="865">
        <f>+Q43-'SUMM BY CLUSTER- CURRENT'!Q138</f>
        <v>0</v>
      </c>
      <c r="R44" s="865">
        <f>+R43-'SUMM BY CLUSTER- CURRENT'!R138</f>
        <v>0</v>
      </c>
      <c r="S44" s="865">
        <f>+S43-'SUMM BY CLUSTER- CURRENT'!S138</f>
        <v>0</v>
      </c>
      <c r="T44" s="865">
        <f>+T43-'SUMM BY CLUSTER- CURRENT'!T138</f>
        <v>0</v>
      </c>
      <c r="U44" s="865">
        <f>+U43-'SUMM BY CLUSTER- CURRENT'!U138</f>
        <v>0</v>
      </c>
      <c r="V44" s="865">
        <f>+V43-'SUMM BY CLUSTER- CURRENT'!V138</f>
        <v>0</v>
      </c>
      <c r="W44" s="865">
        <f>+W43-'SUMM BY CLUSTER- CURRENT'!W138</f>
        <v>0</v>
      </c>
      <c r="X44" s="865">
        <f>+X43-'SUMM BY CLUSTER- CURRENT'!X138</f>
        <v>0</v>
      </c>
      <c r="Y44" s="865">
        <f>+Y43-'SUMM BY CLUSTER- CURRENT'!Y138</f>
        <v>0</v>
      </c>
      <c r="Z44" s="865">
        <f>+Z43-'SUMM BY CLUSTER- CURRENT'!Z138</f>
        <v>0</v>
      </c>
      <c r="AA44" s="865">
        <f>+AA43-'SUMM BY CLUSTER- CURRENT'!AA138</f>
        <v>0</v>
      </c>
      <c r="AB44" s="865">
        <f>+AB43-'SUMM BY CLUSTER- CURRENT'!AB138</f>
        <v>0</v>
      </c>
      <c r="AC44" s="865">
        <f>+AC43-'SUMM BY CLUSTER- CURRENT'!AC138</f>
        <v>0</v>
      </c>
      <c r="AD44" s="865">
        <f>+AD43-'SUMM BY CLUSTER- CURRENT'!AD138</f>
        <v>0</v>
      </c>
      <c r="AE44" s="865">
        <f>+AE43-'SUMM BY CLUSTER- CURRENT'!AE138</f>
        <v>0</v>
      </c>
      <c r="AF44" s="865">
        <f>+AF43-'SUMM BY CLUSTER- CURRENT'!AF138</f>
        <v>0</v>
      </c>
      <c r="AG44" s="865">
        <f>+AG43-'SUMM BY CLUSTER- CURRENT'!AG138</f>
        <v>0</v>
      </c>
      <c r="AH44" s="865">
        <f>+AH43-'SUMM BY CLUSTER- CURRENT'!AH138</f>
        <v>0</v>
      </c>
      <c r="AI44" s="865">
        <f>+AI43-'SUMM BY CLUSTER- CURRENT'!AI138</f>
        <v>0</v>
      </c>
      <c r="AJ44" s="865">
        <f>+AJ43-'SUMM BY CLUSTER- CURRENT'!AJ138</f>
        <v>0</v>
      </c>
      <c r="AK44" s="865">
        <f>+AK43-'SUMM BY CLUSTER- CURRENT'!AK138</f>
        <v>0</v>
      </c>
      <c r="AL44" s="865">
        <f>+AL43-'SUMM BY CLUSTER- CURRENT'!AL138</f>
        <v>0</v>
      </c>
      <c r="AM44" s="865">
        <f>+AM43-'SUMM BY CLUSTER- CURRENT'!AM138</f>
        <v>0</v>
      </c>
      <c r="AN44" s="865">
        <f>+AN43-'SUMM BY CLUSTER- CURRENT'!AN138</f>
        <v>0</v>
      </c>
      <c r="AO44" s="865">
        <f>+AO43-'SUMM BY CLUSTER- CURRENT'!AO138</f>
        <v>0</v>
      </c>
      <c r="AP44" s="865">
        <f>+AP43-'SUMM BY CLUSTER- CURRENT'!AP138</f>
        <v>0</v>
      </c>
      <c r="AQ44" s="865">
        <f>+AQ43-'SUMM BY CLUSTER- CURRENT'!AQ138</f>
        <v>0</v>
      </c>
      <c r="AR44" s="865">
        <f>+AR43-'SUMM BY CLUSTER- CURRENT'!AR138</f>
        <v>0</v>
      </c>
      <c r="AS44" s="865">
        <f>+AS43-'SUMM BY CLUSTER- CURRENT'!AS138</f>
        <v>0</v>
      </c>
      <c r="AT44" s="1333">
        <f>+AT43-'SUMM BY CLUSTER- CURRENT'!AT138</f>
        <v>0</v>
      </c>
      <c r="AU44" s="1333">
        <f>+AU43-'SUMM BY CLUSTER- CURRENT'!AU138</f>
        <v>0</v>
      </c>
      <c r="AV44" s="1333">
        <f>+AV43-'SUMM BY CLUSTER- CURRENT'!AV138</f>
        <v>0</v>
      </c>
      <c r="AW44" s="1333">
        <f>+AW43-'SUMM BY CLUSTER- CURRENT'!AW138</f>
        <v>0</v>
      </c>
      <c r="AX44" s="865">
        <f>+AX43-'SUMM BY CLUSTER- CURRENT'!AX138</f>
        <v>0</v>
      </c>
      <c r="AY44" s="865">
        <f>+AY43-'SUMM BY CLUSTER- CURRENT'!AY138</f>
        <v>0</v>
      </c>
      <c r="AZ44" s="865">
        <f>+AZ43-'SUMM BY CLUSTER- CURRENT'!AZ138</f>
        <v>0</v>
      </c>
      <c r="BA44" s="865">
        <f>+BA43-'SUMM BY CLUSTER- CURRENT'!BA138</f>
        <v>0</v>
      </c>
    </row>
    <row r="45" spans="1:57" s="160" customFormat="1" ht="15" hidden="1" customHeight="1">
      <c r="B45" s="865">
        <f>+B43-'[9]CY-FUR (REG)- Detail'!C267</f>
        <v>0</v>
      </c>
      <c r="C45" s="865">
        <f>+C43-'[9]CY-FUR (REG)- Detail'!D267</f>
        <v>0</v>
      </c>
      <c r="D45" s="865">
        <f>+D43-'[9]CY-FUR (REG)- Detail'!E267</f>
        <v>0</v>
      </c>
      <c r="E45" s="865">
        <f>+E43-'[9]CY-FUR (REG)- Detail'!F267</f>
        <v>0</v>
      </c>
      <c r="F45" s="865">
        <f>+F43-'[9]CY-FUR (REG)- Detail'!G267</f>
        <v>100299274</v>
      </c>
      <c r="G45" s="865">
        <f>+G43-'[9]CY-FUR (REG)- Detail'!H267</f>
        <v>-100299274</v>
      </c>
      <c r="H45" s="865">
        <f>+H43-'[9]CY-FUR (REG)- Detail'!I267</f>
        <v>0</v>
      </c>
      <c r="I45" s="865">
        <f>+I43-'[9]CY-FUR (REG)- Detail'!J267</f>
        <v>0</v>
      </c>
      <c r="J45" s="865">
        <f>+J43-'[9]CY-FUR (REG)- Detail'!K267</f>
        <v>100299274</v>
      </c>
      <c r="K45" s="865">
        <f>+K43-'[9]CY-FUR (REG)- Detail'!L267</f>
        <v>-100299274</v>
      </c>
      <c r="L45" s="865">
        <f>+L43-'[9]CY-FUR (REG)- Detail'!M267</f>
        <v>0</v>
      </c>
      <c r="M45" s="865">
        <f>+M43-'[9]CY-FUR (REG)- Detail'!N267</f>
        <v>0</v>
      </c>
      <c r="N45" s="865">
        <f>+N43-'[9]CY-FUR (REG)- Detail'!O267</f>
        <v>100299274</v>
      </c>
      <c r="O45" s="865">
        <f>+O43-'[9]CY-FUR (REG)- Detail'!P267</f>
        <v>-100299274</v>
      </c>
      <c r="P45" s="865">
        <f>+P43-'[9]CY-FUR (REG)- Detail'!Q267</f>
        <v>0</v>
      </c>
      <c r="Q45" s="865">
        <f>+Q43-'[9]CY-FUR (REG)- Detail'!R267</f>
        <v>0</v>
      </c>
      <c r="R45" s="865">
        <f>+R43-'[9]CY-FUR (REG)- Detail'!S267</f>
        <v>0</v>
      </c>
      <c r="S45" s="865">
        <f>+S43-'[9]CY-FUR (REG)- Detail'!T267</f>
        <v>0</v>
      </c>
      <c r="T45" s="865">
        <f>+T43-'[9]CY-FUR (REG)- Detail'!U267</f>
        <v>0</v>
      </c>
      <c r="U45" s="865">
        <f>+U43-'[9]CY-FUR (REG)- Detail'!V267</f>
        <v>0</v>
      </c>
      <c r="V45" s="865">
        <f>+V43-'[9]CY-FUR (REG)- Detail'!W267</f>
        <v>0</v>
      </c>
      <c r="W45" s="865">
        <f>+W43-'[9]CY-FUR (REG)- Detail'!X267</f>
        <v>0</v>
      </c>
      <c r="X45" s="865">
        <f>+X43-'[9]CY-FUR (REG)- Detail'!Y267</f>
        <v>0</v>
      </c>
      <c r="Y45" s="865">
        <f>+Y43-'[9]CY-FUR (REG)- Detail'!Z267</f>
        <v>0</v>
      </c>
      <c r="Z45" s="865">
        <f>+Z43-'[9]CY-FUR (REG)- Detail'!AA267</f>
        <v>100299274</v>
      </c>
      <c r="AA45" s="865">
        <f>+AA43-'[9]CY-FUR (REG)- Detail'!AB267</f>
        <v>-100299274</v>
      </c>
      <c r="AB45" s="865">
        <f>+AB43-'[9]CY-FUR (REG)- Detail'!AC267</f>
        <v>0</v>
      </c>
      <c r="AC45" s="865">
        <f>+AC43-'[9]CY-FUR (REG)- Detail'!AD267</f>
        <v>0</v>
      </c>
      <c r="AD45" s="865">
        <f>+AD43-'[9]CY-FUR (REG)- Detail'!AE267</f>
        <v>1735102080.8200006</v>
      </c>
      <c r="AE45" s="865">
        <f>+AE43-'[9]CY-FUR (REG)- Detail'!AF267</f>
        <v>973141801.1799984</v>
      </c>
      <c r="AF45" s="865">
        <f>+AF43-'[9]CY-FUR (REG)- Detail'!AG267</f>
        <v>20894194.969999313</v>
      </c>
      <c r="AG45" s="865">
        <f>+AG43-'[9]CY-FUR (REG)- Detail'!AH267</f>
        <v>2729138076.9700031</v>
      </c>
      <c r="AH45" s="865">
        <f>+AH43-'[9]CY-FUR (REG)- Detail'!AI267</f>
        <v>158104.99999999977</v>
      </c>
      <c r="AI45" s="865">
        <f>+AI43-'[9]CY-FUR (REG)- Detail'!AJ267</f>
        <v>608730630.50000048</v>
      </c>
      <c r="AJ45" s="865">
        <f>+AJ43-'[9]CY-FUR (REG)- Detail'!AK267</f>
        <v>452049449.52000093</v>
      </c>
      <c r="AK45" s="865">
        <f>+AK43-'[9]CY-FUR (REG)- Detail'!AL267</f>
        <v>1060938185.0200014</v>
      </c>
      <c r="AL45" s="865">
        <f>+AL43-'[9]CY-FUR (REG)- Detail'!AM267</f>
        <v>1735260185.8200016</v>
      </c>
      <c r="AM45" s="865">
        <f>+AM43-'[9]CY-FUR (REG)- Detail'!AN267</f>
        <v>1581872431.6799984</v>
      </c>
      <c r="AN45" s="865">
        <f>+AN43-'[9]CY-FUR (REG)- Detail'!AO267</f>
        <v>472943644.48999977</v>
      </c>
      <c r="AO45" s="865">
        <f>+AO43-'[9]CY-FUR (REG)- Detail'!AP267</f>
        <v>3790076261.9900017</v>
      </c>
      <c r="AP45" s="865">
        <f>+AP43-'[9]CY-FUR (REG)- Detail'!AQ267</f>
        <v>-1634960911.8200018</v>
      </c>
      <c r="AQ45" s="865">
        <f>+AQ43-'[9]CY-FUR (REG)- Detail'!AR267</f>
        <v>-1682171705.6799984</v>
      </c>
      <c r="AR45" s="865">
        <f>+AR43-'[9]CY-FUR (REG)- Detail'!AS267</f>
        <v>-472943644.48999977</v>
      </c>
      <c r="AS45" s="865"/>
      <c r="AT45" s="1333">
        <f>+AT43-'[9]CY-FUR (REG)- Detail'!AU267</f>
        <v>0.18539221468049383</v>
      </c>
      <c r="AU45" s="1333">
        <f>+AU43-'[9]CY-FUR (REG)- Detail'!AV267</f>
        <v>9.2699136132128213E-2</v>
      </c>
      <c r="AV45" s="1333">
        <f>+AV43-'[9]CY-FUR (REG)- Detail'!AW267</f>
        <v>4.2655886563490231E-2</v>
      </c>
      <c r="AW45" s="1333">
        <f>+AW43-'[9]CY-FUR (REG)- Detail'!AX267</f>
        <v>0.10022834312686468</v>
      </c>
      <c r="AX45" s="161">
        <f>+AX43-'[9]CY-FUR (REG)- Detail'!AY267</f>
        <v>0</v>
      </c>
      <c r="AY45" s="161">
        <f>+AY43-'[9]CY-FUR (REG)- Detail'!AZ267</f>
        <v>0</v>
      </c>
      <c r="AZ45" s="161">
        <f>+AZ43-'[9]CY-FUR (REG)- Detail'!BA267</f>
        <v>0</v>
      </c>
      <c r="BA45" s="161">
        <f>+BA43-'[9]CY-FUR (REG)- Detail'!BB267</f>
        <v>0</v>
      </c>
    </row>
    <row r="46" spans="1:57" s="160" customFormat="1">
      <c r="B46" s="865">
        <f>+B43-'SUMM BY CLUSTER- CURRENT'!B138</f>
        <v>0</v>
      </c>
      <c r="C46" s="865">
        <f>+C43-'SUMM BY CLUSTER- CURRENT'!C138</f>
        <v>0</v>
      </c>
      <c r="D46" s="865">
        <f>+D43-'SUMM BY CLUSTER- CURRENT'!D138</f>
        <v>0</v>
      </c>
      <c r="E46" s="865">
        <f>+E43-'SUMM BY CLUSTER- CURRENT'!E138</f>
        <v>0</v>
      </c>
      <c r="F46" s="865">
        <f>+F43-'SUMM BY CLUSTER- CURRENT'!F138</f>
        <v>0</v>
      </c>
      <c r="G46" s="865">
        <f>+G43-'SUMM BY CLUSTER- CURRENT'!G138</f>
        <v>0</v>
      </c>
      <c r="H46" s="865">
        <f>+H43-'SUMM BY CLUSTER- CURRENT'!H138</f>
        <v>0</v>
      </c>
      <c r="I46" s="865">
        <f>+I43-'SUMM BY CLUSTER- CURRENT'!I138</f>
        <v>0</v>
      </c>
      <c r="J46" s="865">
        <f>+J43-'SUMM BY CLUSTER- CURRENT'!J138</f>
        <v>0</v>
      </c>
      <c r="K46" s="865">
        <f>+K43-'SUMM BY CLUSTER- CURRENT'!K138</f>
        <v>0</v>
      </c>
      <c r="L46" s="865">
        <f>+L43-'SUMM BY CLUSTER- CURRENT'!L138</f>
        <v>0</v>
      </c>
      <c r="M46" s="865">
        <f>+M43-'SUMM BY CLUSTER- CURRENT'!M138</f>
        <v>0</v>
      </c>
      <c r="N46" s="865">
        <f>+N43-'SUMM BY CLUSTER- CURRENT'!N138</f>
        <v>0</v>
      </c>
      <c r="O46" s="865">
        <f>+O43-'SUMM BY CLUSTER- CURRENT'!O138</f>
        <v>0</v>
      </c>
      <c r="P46" s="865">
        <f>+P43-'SUMM BY CLUSTER- CURRENT'!P138</f>
        <v>0</v>
      </c>
      <c r="Q46" s="865">
        <f>+Q43-'SUMM BY CLUSTER- CURRENT'!Q138</f>
        <v>0</v>
      </c>
      <c r="R46" s="865">
        <f>+R43-'SUMM BY CLUSTER- CURRENT'!R138</f>
        <v>0</v>
      </c>
      <c r="S46" s="865">
        <f>+S43-'SUMM BY CLUSTER- CURRENT'!S138</f>
        <v>0</v>
      </c>
      <c r="T46" s="865">
        <f>+T43-'SUMM BY CLUSTER- CURRENT'!T138</f>
        <v>0</v>
      </c>
      <c r="U46" s="865">
        <f>+U43-'SUMM BY CLUSTER- CURRENT'!U138</f>
        <v>0</v>
      </c>
      <c r="V46" s="865">
        <f>+V43-'SUMM BY CLUSTER- CURRENT'!V138</f>
        <v>0</v>
      </c>
      <c r="W46" s="865">
        <f>+W43-'SUMM BY CLUSTER- CURRENT'!W138</f>
        <v>0</v>
      </c>
      <c r="X46" s="865">
        <f>+X43-'SUMM BY CLUSTER- CURRENT'!X138</f>
        <v>0</v>
      </c>
      <c r="Y46" s="865">
        <f>+Y43-'SUMM BY CLUSTER- CURRENT'!Y138</f>
        <v>0</v>
      </c>
      <c r="Z46" s="865">
        <f>+Z43-'SUMM BY CLUSTER- CURRENT'!Z138</f>
        <v>0</v>
      </c>
      <c r="AA46" s="865">
        <f>+AA43-'SUMM BY CLUSTER- CURRENT'!AA138</f>
        <v>0</v>
      </c>
      <c r="AB46" s="865">
        <f>+AB43-'SUMM BY CLUSTER- CURRENT'!AB138</f>
        <v>0</v>
      </c>
      <c r="AC46" s="865">
        <f>+AC43-'SUMM BY CLUSTER- CURRENT'!AC138</f>
        <v>0</v>
      </c>
      <c r="AD46" s="865">
        <f>+AD43-'SUMM BY CLUSTER- CURRENT'!AD138</f>
        <v>0</v>
      </c>
      <c r="AE46" s="865">
        <f>+AE43-'SUMM BY CLUSTER- CURRENT'!AE138</f>
        <v>0</v>
      </c>
      <c r="AF46" s="865">
        <f>+AF43-'SUMM BY CLUSTER- CURRENT'!AF138</f>
        <v>0</v>
      </c>
      <c r="AG46" s="865">
        <f>+AG43-'SUMM BY CLUSTER- CURRENT'!AG138</f>
        <v>0</v>
      </c>
      <c r="AH46" s="865">
        <f>+AH43-'SUMM BY CLUSTER- CURRENT'!AH138</f>
        <v>0</v>
      </c>
      <c r="AI46" s="865">
        <f>+AI43-'SUMM BY CLUSTER- CURRENT'!AI138</f>
        <v>0</v>
      </c>
      <c r="AJ46" s="865">
        <f>+AJ43-'SUMM BY CLUSTER- CURRENT'!AJ138</f>
        <v>0</v>
      </c>
      <c r="AK46" s="865">
        <f>+AK43-'SUMM BY CLUSTER- CURRENT'!AK138</f>
        <v>0</v>
      </c>
      <c r="AL46" s="865">
        <f>+AL43-'SUMM BY CLUSTER- CURRENT'!AL138</f>
        <v>0</v>
      </c>
      <c r="AM46" s="865">
        <f>+AM43-'SUMM BY CLUSTER- CURRENT'!AM138</f>
        <v>0</v>
      </c>
      <c r="AN46" s="865">
        <f>+AN43-'SUMM BY CLUSTER- CURRENT'!AN138</f>
        <v>0</v>
      </c>
      <c r="AO46" s="865">
        <f>+AO43-'SUMM BY CLUSTER- CURRENT'!AO138</f>
        <v>0</v>
      </c>
      <c r="AP46" s="865">
        <f>+AP43-'SUMM BY CLUSTER- CURRENT'!AP138</f>
        <v>0</v>
      </c>
      <c r="AQ46" s="865">
        <f>+AQ43-'SUMM BY CLUSTER- CURRENT'!AQ138</f>
        <v>0</v>
      </c>
      <c r="AR46" s="865">
        <f>+AR43-'SUMM BY CLUSTER- CURRENT'!AR138</f>
        <v>0</v>
      </c>
      <c r="AS46" s="865">
        <f>+AS43-'SUMM BY CLUSTER- CURRENT'!AS138</f>
        <v>0</v>
      </c>
      <c r="AT46" s="865">
        <f>+AT43-'SUMM BY CLUSTER- CURRENT'!AT138</f>
        <v>0</v>
      </c>
      <c r="AU46" s="865">
        <f>+AU43-'SUMM BY CLUSTER- CURRENT'!AU138</f>
        <v>0</v>
      </c>
      <c r="AV46" s="865">
        <f>+AV43-'SUMM BY CLUSTER- CURRENT'!AV138</f>
        <v>0</v>
      </c>
      <c r="AW46" s="865">
        <f>+AW43-'SUMM BY CLUSTER- CURRENT'!AW138</f>
        <v>0</v>
      </c>
      <c r="AX46" s="865">
        <f>+AX43-'SUMM BY CLUSTER- CURRENT'!AX138</f>
        <v>0</v>
      </c>
      <c r="AY46" s="865">
        <f>+AY43-'SUMM BY CLUSTER- CURRENT'!AY138</f>
        <v>0</v>
      </c>
      <c r="AZ46" s="865">
        <f>+AZ43-'SUMM BY CLUSTER- CURRENT'!AZ138</f>
        <v>0</v>
      </c>
      <c r="BA46" s="865">
        <f>+BA43-'SUMM BY CLUSTER- CURRENT'!BA138</f>
        <v>0</v>
      </c>
    </row>
    <row r="47" spans="1:57" s="160" customFormat="1">
      <c r="A47" s="578" t="s">
        <v>881</v>
      </c>
      <c r="B47" s="865"/>
      <c r="C47" s="865"/>
      <c r="D47" s="865"/>
      <c r="E47" s="865"/>
      <c r="F47" s="865"/>
      <c r="G47" s="865"/>
      <c r="H47" s="865"/>
      <c r="I47" s="865"/>
      <c r="J47" s="865"/>
      <c r="K47" s="865"/>
      <c r="L47" s="865"/>
      <c r="M47" s="865"/>
      <c r="N47" s="865"/>
      <c r="O47" s="865"/>
      <c r="P47" s="865"/>
      <c r="Q47" s="865"/>
      <c r="R47" s="865"/>
      <c r="S47" s="865"/>
      <c r="T47" s="865"/>
      <c r="U47" s="865"/>
      <c r="V47" s="865"/>
      <c r="W47" s="865"/>
      <c r="X47" s="865"/>
      <c r="Y47" s="865"/>
      <c r="Z47" s="865"/>
      <c r="AA47" s="865"/>
      <c r="AB47" s="865"/>
      <c r="AC47" s="865"/>
      <c r="AD47" s="865"/>
      <c r="AE47" s="865"/>
      <c r="AF47" s="865"/>
      <c r="AG47" s="865"/>
      <c r="AH47" s="865"/>
      <c r="AI47" s="865"/>
      <c r="AJ47" s="865"/>
      <c r="AK47" s="865"/>
      <c r="AL47" s="865"/>
      <c r="AS47" s="161">
        <f>+AS43-'SUMM BY CLUSTER- CURRENT'!AS138</f>
        <v>0</v>
      </c>
      <c r="AT47" s="1333"/>
      <c r="AU47" s="1333"/>
      <c r="AV47" s="1333"/>
      <c r="AW47" s="1333"/>
      <c r="BA47" s="890"/>
    </row>
    <row r="48" spans="1:57">
      <c r="A48" s="108" t="s">
        <v>873</v>
      </c>
      <c r="B48" s="166"/>
      <c r="C48" s="166"/>
    </row>
    <row r="49" spans="1:49">
      <c r="A49" s="513" t="s">
        <v>874</v>
      </c>
      <c r="B49" s="228"/>
      <c r="C49" s="166">
        <v>15600000</v>
      </c>
    </row>
    <row r="50" spans="1:49">
      <c r="A50" s="514" t="s">
        <v>875</v>
      </c>
      <c r="B50" s="166"/>
      <c r="C50" s="166">
        <v>12612283000</v>
      </c>
    </row>
    <row r="51" spans="1:49" ht="15.75" thickBot="1">
      <c r="A51" s="515" t="s">
        <v>876</v>
      </c>
      <c r="B51" s="109"/>
      <c r="C51" s="229">
        <f>SUM(C49:C50)</f>
        <v>12627883000</v>
      </c>
    </row>
    <row r="52" spans="1:49" ht="15.75" thickTop="1">
      <c r="A52" s="515"/>
      <c r="B52" s="109"/>
      <c r="C52" s="109"/>
    </row>
    <row r="53" spans="1:49">
      <c r="A53" s="108" t="s">
        <v>1118</v>
      </c>
    </row>
    <row r="63" spans="1:49">
      <c r="AM63" s="865"/>
      <c r="AN63" s="865"/>
      <c r="AO63" s="865"/>
      <c r="AP63" s="865"/>
      <c r="AQ63" s="865"/>
      <c r="AR63" s="865"/>
      <c r="AS63" s="865"/>
      <c r="AT63" s="1334"/>
      <c r="AU63" s="1334"/>
      <c r="AV63" s="1334"/>
      <c r="AW63" s="1334"/>
    </row>
  </sheetData>
  <mergeCells count="14">
    <mergeCell ref="AT5:AW5"/>
    <mergeCell ref="AX5:BA5"/>
    <mergeCell ref="V5:Y5"/>
    <mergeCell ref="Z5:AC5"/>
    <mergeCell ref="AD5:AG5"/>
    <mergeCell ref="AH5:AK5"/>
    <mergeCell ref="AL5:AO5"/>
    <mergeCell ref="AP5:AS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BL47"/>
  <sheetViews>
    <sheetView workbookViewId="0">
      <pane xSplit="2" ySplit="7" topLeftCell="AD30" activePane="bottomRight" state="frozen"/>
      <selection pane="topRight" activeCell="C1" sqref="C1"/>
      <selection pane="bottomLeft" activeCell="A8" sqref="A8"/>
      <selection pane="bottomRight" activeCell="AE46" sqref="AE46"/>
    </sheetView>
  </sheetViews>
  <sheetFormatPr defaultRowHeight="15"/>
  <cols>
    <col min="1" max="1" width="50.7109375" style="17" bestFit="1" customWidth="1"/>
    <col min="2" max="2" width="5.7109375" style="17" hidden="1" customWidth="1"/>
    <col min="3" max="3" width="15.85546875" style="17" bestFit="1" customWidth="1"/>
    <col min="4" max="5" width="17.5703125" style="17" bestFit="1" customWidth="1"/>
    <col min="6" max="6" width="5.7109375" style="17" hidden="1" customWidth="1"/>
    <col min="7" max="7" width="15.5703125" style="17" hidden="1" customWidth="1"/>
    <col min="8" max="9" width="16.5703125" style="17" hidden="1" customWidth="1"/>
    <col min="10" max="10" width="5.7109375" style="17" hidden="1" customWidth="1"/>
    <col min="11" max="12" width="15.85546875" style="17" hidden="1" customWidth="1"/>
    <col min="13" max="13" width="17.5703125" style="17" hidden="1" customWidth="1"/>
    <col min="14" max="14" width="5.7109375" style="17" hidden="1" customWidth="1"/>
    <col min="15" max="15" width="15.85546875" style="17" bestFit="1" customWidth="1"/>
    <col min="16" max="16" width="16.5703125" style="17" bestFit="1" customWidth="1"/>
    <col min="17" max="17" width="17.5703125" style="17" bestFit="1" customWidth="1"/>
    <col min="18" max="18" width="5.7109375" style="17" hidden="1" customWidth="1"/>
    <col min="19" max="21" width="17.5703125" style="17" bestFit="1" customWidth="1"/>
    <col min="22" max="22" width="5.7109375" style="17" hidden="1" customWidth="1"/>
    <col min="23" max="25" width="15.85546875" style="17" hidden="1" customWidth="1"/>
    <col min="26" max="26" width="5.7109375" style="17" hidden="1" customWidth="1"/>
    <col min="27" max="29" width="15.85546875" style="17" hidden="1" customWidth="1"/>
    <col min="30" max="30" width="5.7109375" style="17" customWidth="1"/>
    <col min="31" max="31" width="15.85546875" style="17" bestFit="1" customWidth="1"/>
    <col min="32" max="33" width="17.5703125" style="17" bestFit="1" customWidth="1"/>
    <col min="34" max="34" width="6.28515625" style="17" hidden="1" customWidth="1"/>
    <col min="35" max="35" width="15.85546875" style="17" bestFit="1" customWidth="1"/>
    <col min="36" max="37" width="17.5703125" style="17" bestFit="1" customWidth="1"/>
    <col min="38" max="38" width="14.140625" style="9" hidden="1" customWidth="1"/>
    <col min="39" max="39" width="6.5703125" style="879" bestFit="1" customWidth="1"/>
    <col min="40" max="40" width="5.7109375" style="879" bestFit="1" customWidth="1"/>
    <col min="41" max="41" width="7.140625" style="879" bestFit="1" customWidth="1"/>
    <col min="42" max="42" width="19.140625" style="17" customWidth="1"/>
    <col min="43" max="43" width="5.140625" style="17" bestFit="1" customWidth="1"/>
    <col min="44" max="54" width="19.140625" style="17" customWidth="1"/>
    <col min="55" max="16384" width="9.140625" style="17"/>
  </cols>
  <sheetData>
    <row r="1" spans="1:64">
      <c r="A1" s="15" t="s">
        <v>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K1" s="16"/>
      <c r="AL1" s="16"/>
      <c r="AM1" s="887"/>
      <c r="AN1" s="887"/>
      <c r="AO1" s="887"/>
    </row>
    <row r="2" spans="1:64">
      <c r="A2" s="15" t="s">
        <v>759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</row>
    <row r="3" spans="1:64">
      <c r="A3" s="15" t="s">
        <v>1117</v>
      </c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</row>
    <row r="4" spans="1:64">
      <c r="A4" s="15"/>
      <c r="B4" s="1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</row>
    <row r="5" spans="1:64" s="18" customFormat="1">
      <c r="A5" s="1493" t="s">
        <v>0</v>
      </c>
      <c r="B5" s="1504" t="s">
        <v>49</v>
      </c>
      <c r="C5" s="1505"/>
      <c r="D5" s="1505"/>
      <c r="E5" s="1506"/>
      <c r="F5" s="1507" t="s">
        <v>693</v>
      </c>
      <c r="G5" s="1507"/>
      <c r="H5" s="1507"/>
      <c r="I5" s="1507"/>
      <c r="J5" s="1507" t="s">
        <v>694</v>
      </c>
      <c r="K5" s="1507"/>
      <c r="L5" s="1507"/>
      <c r="M5" s="1507"/>
      <c r="N5" s="1499" t="s">
        <v>50</v>
      </c>
      <c r="O5" s="1500"/>
      <c r="P5" s="1500"/>
      <c r="Q5" s="1501"/>
      <c r="R5" s="1490" t="s">
        <v>53</v>
      </c>
      <c r="S5" s="1502"/>
      <c r="T5" s="1502"/>
      <c r="U5" s="1503"/>
      <c r="V5" s="1490" t="s">
        <v>63</v>
      </c>
      <c r="W5" s="1502"/>
      <c r="X5" s="1502"/>
      <c r="Y5" s="1503"/>
      <c r="Z5" s="1499" t="s">
        <v>54</v>
      </c>
      <c r="AA5" s="1500"/>
      <c r="AB5" s="1500"/>
      <c r="AC5" s="1501"/>
      <c r="AD5" s="1499" t="s">
        <v>55</v>
      </c>
      <c r="AE5" s="1500"/>
      <c r="AF5" s="1500"/>
      <c r="AG5" s="1501"/>
      <c r="AH5" s="1499" t="s">
        <v>68</v>
      </c>
      <c r="AI5" s="1500"/>
      <c r="AJ5" s="1500"/>
      <c r="AK5" s="1501"/>
      <c r="AL5" s="1508" t="s">
        <v>52</v>
      </c>
      <c r="AM5" s="1509"/>
      <c r="AN5" s="1509"/>
      <c r="AO5" s="1510"/>
    </row>
    <row r="6" spans="1:64" s="18" customFormat="1">
      <c r="A6" s="1494"/>
      <c r="B6" s="937"/>
      <c r="C6" s="938"/>
      <c r="D6" s="938"/>
      <c r="E6" s="939"/>
      <c r="F6" s="940"/>
      <c r="G6" s="940"/>
      <c r="H6" s="940"/>
      <c r="I6" s="940"/>
      <c r="J6" s="940"/>
      <c r="K6" s="940"/>
      <c r="L6" s="940"/>
      <c r="M6" s="940"/>
      <c r="N6" s="937"/>
      <c r="O6" s="938"/>
      <c r="P6" s="938"/>
      <c r="Q6" s="939"/>
      <c r="R6" s="86"/>
      <c r="S6" s="134"/>
      <c r="T6" s="134"/>
      <c r="U6" s="135"/>
      <c r="V6" s="86"/>
      <c r="W6" s="134"/>
      <c r="X6" s="134"/>
      <c r="Y6" s="135"/>
      <c r="Z6" s="937"/>
      <c r="AA6" s="938"/>
      <c r="AB6" s="938"/>
      <c r="AC6" s="939"/>
      <c r="AD6" s="937"/>
      <c r="AE6" s="938"/>
      <c r="AF6" s="938"/>
      <c r="AG6" s="135"/>
      <c r="AH6" s="937"/>
      <c r="AI6" s="938"/>
      <c r="AJ6" s="938"/>
      <c r="AK6" s="939"/>
      <c r="AL6" s="82"/>
      <c r="AM6" s="881"/>
      <c r="AN6" s="881"/>
      <c r="AO6" s="882"/>
    </row>
    <row r="7" spans="1:64" s="18" customFormat="1" ht="15.75" thickBot="1">
      <c r="A7" s="1495"/>
      <c r="B7" s="71" t="s">
        <v>1</v>
      </c>
      <c r="C7" s="71" t="s">
        <v>2</v>
      </c>
      <c r="D7" s="72" t="s">
        <v>3</v>
      </c>
      <c r="E7" s="73" t="s">
        <v>4</v>
      </c>
      <c r="F7" s="71" t="s">
        <v>1</v>
      </c>
      <c r="G7" s="71" t="s">
        <v>2</v>
      </c>
      <c r="H7" s="71" t="s">
        <v>3</v>
      </c>
      <c r="I7" s="71" t="s">
        <v>4</v>
      </c>
      <c r="J7" s="71" t="s">
        <v>1</v>
      </c>
      <c r="K7" s="71" t="s">
        <v>2</v>
      </c>
      <c r="L7" s="71" t="s">
        <v>3</v>
      </c>
      <c r="M7" s="71" t="s">
        <v>4</v>
      </c>
      <c r="N7" s="71" t="s">
        <v>1</v>
      </c>
      <c r="O7" s="71" t="s">
        <v>2</v>
      </c>
      <c r="P7" s="72" t="s">
        <v>3</v>
      </c>
      <c r="Q7" s="73" t="s">
        <v>4</v>
      </c>
      <c r="R7" s="74" t="s">
        <v>1</v>
      </c>
      <c r="S7" s="74" t="s">
        <v>2</v>
      </c>
      <c r="T7" s="74" t="s">
        <v>3</v>
      </c>
      <c r="U7" s="74" t="s">
        <v>4</v>
      </c>
      <c r="V7" s="71" t="s">
        <v>1</v>
      </c>
      <c r="W7" s="71" t="s">
        <v>2</v>
      </c>
      <c r="X7" s="72" t="s">
        <v>3</v>
      </c>
      <c r="Y7" s="73" t="s">
        <v>4</v>
      </c>
      <c r="Z7" s="71" t="s">
        <v>1</v>
      </c>
      <c r="AA7" s="71" t="s">
        <v>2</v>
      </c>
      <c r="AB7" s="72" t="s">
        <v>3</v>
      </c>
      <c r="AC7" s="73" t="s">
        <v>4</v>
      </c>
      <c r="AD7" s="71" t="s">
        <v>1</v>
      </c>
      <c r="AE7" s="71" t="s">
        <v>2</v>
      </c>
      <c r="AF7" s="72" t="s">
        <v>3</v>
      </c>
      <c r="AG7" s="74" t="s">
        <v>4</v>
      </c>
      <c r="AH7" s="71" t="s">
        <v>1</v>
      </c>
      <c r="AI7" s="71" t="s">
        <v>2</v>
      </c>
      <c r="AJ7" s="72" t="s">
        <v>3</v>
      </c>
      <c r="AK7" s="73" t="s">
        <v>4</v>
      </c>
      <c r="AL7" s="75" t="s">
        <v>1</v>
      </c>
      <c r="AM7" s="883" t="s">
        <v>2</v>
      </c>
      <c r="AN7" s="883" t="s">
        <v>3</v>
      </c>
      <c r="AO7" s="883" t="s">
        <v>4</v>
      </c>
    </row>
    <row r="8" spans="1:64">
      <c r="A8" s="7"/>
      <c r="B8" s="7"/>
      <c r="C8" s="20"/>
      <c r="D8" s="20"/>
      <c r="E8" s="19"/>
      <c r="F8" s="19"/>
      <c r="G8" s="19"/>
      <c r="H8" s="19"/>
      <c r="I8" s="19"/>
      <c r="J8" s="19"/>
      <c r="K8" s="19"/>
      <c r="L8" s="19"/>
      <c r="M8" s="19"/>
      <c r="N8" s="20"/>
      <c r="O8" s="20"/>
      <c r="P8" s="20"/>
      <c r="Q8" s="19"/>
      <c r="R8" s="20"/>
      <c r="S8" s="20"/>
      <c r="T8" s="20"/>
      <c r="U8" s="19"/>
      <c r="V8" s="20"/>
      <c r="W8" s="20"/>
      <c r="X8" s="20"/>
      <c r="Y8" s="19"/>
      <c r="Z8" s="20"/>
      <c r="AA8" s="20"/>
      <c r="AB8" s="20"/>
      <c r="AC8" s="19"/>
      <c r="AD8" s="20"/>
      <c r="AE8" s="20"/>
      <c r="AF8" s="20"/>
      <c r="AG8" s="19"/>
      <c r="AH8" s="20"/>
      <c r="AI8" s="20"/>
      <c r="AJ8" s="20"/>
      <c r="AK8" s="19"/>
      <c r="AL8" s="11"/>
      <c r="AM8" s="884"/>
      <c r="AN8" s="884"/>
      <c r="AO8" s="884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</row>
    <row r="9" spans="1:64" s="24" customFormat="1" ht="18">
      <c r="A9" s="851" t="s">
        <v>953</v>
      </c>
      <c r="B9" s="855">
        <f>+'SUMM BY CLUSTER- CONAP'!B9</f>
        <v>0</v>
      </c>
      <c r="C9" s="855">
        <f>+'SUMM BY CLUSTER- CONAP'!C9</f>
        <v>313914442.91999972</v>
      </c>
      <c r="D9" s="855">
        <f>+'SUMM BY CLUSTER- CONAP'!D9</f>
        <v>3585691671.0500002</v>
      </c>
      <c r="E9" s="855">
        <f t="shared" ref="E9:E42" si="0">SUM(B9:D9)</f>
        <v>3899606113.9699998</v>
      </c>
      <c r="F9" s="855">
        <f>+'CONAP-FUR (REG)-Detail'!G297</f>
        <v>0</v>
      </c>
      <c r="G9" s="855">
        <f>+'CONAP-FUR (REG)-Detail'!H297</f>
        <v>49296080.370000005</v>
      </c>
      <c r="H9" s="855">
        <f>+'CONAP-FUR (REG)-Detail'!I297</f>
        <v>-96454837</v>
      </c>
      <c r="I9" s="855">
        <f t="shared" ref="I9:I42" si="1">SUM(F9:H9)</f>
        <v>-47158756.629999995</v>
      </c>
      <c r="J9" s="855">
        <f>+'SUMM BY CLUSTER- CONAP'!J9</f>
        <v>0</v>
      </c>
      <c r="K9" s="855">
        <f>+'SUMM BY CLUSTER- CONAP'!K9</f>
        <v>0</v>
      </c>
      <c r="L9" s="855">
        <f>+'SUMM BY CLUSTER- CONAP'!L9</f>
        <v>0</v>
      </c>
      <c r="M9" s="855">
        <f t="shared" ref="M9:M42" si="2">SUM(J9:L9)</f>
        <v>0</v>
      </c>
      <c r="N9" s="855">
        <f>+'[9]CONAP-FUR (REG)-Detail'!O291</f>
        <v>0</v>
      </c>
      <c r="O9" s="855">
        <f>+'SUMM BY CLUSTER- CONAP'!O9</f>
        <v>49296080.370000005</v>
      </c>
      <c r="P9" s="855">
        <f>+'SUMM BY CLUSTER- CONAP'!P9</f>
        <v>-96454837</v>
      </c>
      <c r="Q9" s="855">
        <f t="shared" ref="Q9:Q42" si="3">SUM(N9:P9)</f>
        <v>-47158756.629999995</v>
      </c>
      <c r="R9" s="855">
        <f t="shared" ref="R9:T41" si="4">+B9+N9</f>
        <v>0</v>
      </c>
      <c r="S9" s="855">
        <f t="shared" si="4"/>
        <v>363210523.28999972</v>
      </c>
      <c r="T9" s="855">
        <f t="shared" si="4"/>
        <v>3489236834.0500002</v>
      </c>
      <c r="U9" s="855">
        <f t="shared" ref="U9:U42" si="5">SUM(R9:T9)</f>
        <v>3852447357.3400002</v>
      </c>
      <c r="V9" s="855">
        <f>+'SUMM BY CLUSTER- CONAP'!V9</f>
        <v>0</v>
      </c>
      <c r="W9" s="855">
        <f>+'SUMM BY CLUSTER- CONAP'!W9</f>
        <v>237376110.85000002</v>
      </c>
      <c r="X9" s="855">
        <f>+'SUMM BY CLUSTER- CONAP'!X9</f>
        <v>1623216053.24</v>
      </c>
      <c r="Y9" s="855">
        <f t="shared" ref="Y9:Y42" si="6">SUM(V9:X9)</f>
        <v>1860592164.0900002</v>
      </c>
      <c r="Z9" s="855">
        <f>+'SUMM BY CLUSTER- CONAP'!Z9</f>
        <v>0</v>
      </c>
      <c r="AA9" s="855">
        <f>+'SUMM BY CLUSTER- CONAP'!AA9</f>
        <v>0</v>
      </c>
      <c r="AB9" s="855">
        <f>+'SUMM BY CLUSTER- CONAP'!AB9</f>
        <v>0</v>
      </c>
      <c r="AC9" s="855">
        <f t="shared" ref="AC9:AC42" si="7">SUM(Z9:AB9)</f>
        <v>0</v>
      </c>
      <c r="AD9" s="855">
        <f t="shared" ref="AD9" si="8">+V9+Z9</f>
        <v>0</v>
      </c>
      <c r="AE9" s="855">
        <f t="shared" ref="AE9" si="9">+W9+AA9</f>
        <v>237376110.85000002</v>
      </c>
      <c r="AF9" s="855">
        <f t="shared" ref="AF9" si="10">+X9+AB9</f>
        <v>1623216053.24</v>
      </c>
      <c r="AG9" s="855">
        <f>SUM(AD9:AF9)</f>
        <v>1860592164.0900002</v>
      </c>
      <c r="AH9" s="855">
        <f t="shared" ref="AH9" si="11">+R9-AD9</f>
        <v>0</v>
      </c>
      <c r="AI9" s="855">
        <f t="shared" ref="AI9" si="12">+S9-AE9</f>
        <v>125834412.4399997</v>
      </c>
      <c r="AJ9" s="855">
        <f t="shared" ref="AJ9" si="13">+T9-AF9</f>
        <v>1866020780.8100002</v>
      </c>
      <c r="AK9" s="855">
        <f>SUM(AH9:AJ9)</f>
        <v>1991855193.25</v>
      </c>
      <c r="AL9" s="604" t="str">
        <f>IF(R9=0," ",AD9/R9)</f>
        <v xml:space="preserve"> </v>
      </c>
      <c r="AM9" s="604">
        <f>IF(S9=0," ",AE9/S9)</f>
        <v>0.65354965131467513</v>
      </c>
      <c r="AN9" s="604">
        <f>IF(T9=0," ",AF9/T9)</f>
        <v>0.46520661406520608</v>
      </c>
      <c r="AO9" s="604">
        <f>IF(U9=0," ",AG9/U9)</f>
        <v>0.48296368295469283</v>
      </c>
      <c r="AP9" s="1376">
        <f>+AK9-'SUMM BY CLUSTER- CONAP'!AK9</f>
        <v>0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</row>
    <row r="10" spans="1:64" s="24" customFormat="1" ht="18">
      <c r="A10" s="582"/>
      <c r="B10" s="855"/>
      <c r="C10" s="855"/>
      <c r="D10" s="855"/>
      <c r="E10" s="855">
        <f t="shared" si="0"/>
        <v>0</v>
      </c>
      <c r="F10" s="855"/>
      <c r="G10" s="855"/>
      <c r="H10" s="855"/>
      <c r="I10" s="855">
        <f t="shared" si="1"/>
        <v>0</v>
      </c>
      <c r="J10" s="855"/>
      <c r="K10" s="855"/>
      <c r="L10" s="855"/>
      <c r="M10" s="855">
        <f t="shared" si="2"/>
        <v>0</v>
      </c>
      <c r="N10" s="855"/>
      <c r="O10" s="855"/>
      <c r="P10" s="855"/>
      <c r="Q10" s="855">
        <f t="shared" si="3"/>
        <v>0</v>
      </c>
      <c r="R10" s="855">
        <f t="shared" si="4"/>
        <v>0</v>
      </c>
      <c r="S10" s="855">
        <f t="shared" si="4"/>
        <v>0</v>
      </c>
      <c r="T10" s="855">
        <f t="shared" si="4"/>
        <v>0</v>
      </c>
      <c r="U10" s="855">
        <f t="shared" si="5"/>
        <v>0</v>
      </c>
      <c r="V10" s="855"/>
      <c r="W10" s="855"/>
      <c r="X10" s="855"/>
      <c r="Y10" s="855">
        <f t="shared" si="6"/>
        <v>0</v>
      </c>
      <c r="Z10" s="855"/>
      <c r="AA10" s="855"/>
      <c r="AB10" s="855"/>
      <c r="AC10" s="855">
        <f t="shared" si="7"/>
        <v>0</v>
      </c>
      <c r="AD10" s="855">
        <f t="shared" ref="AD10:AD42" si="14">+V10+Z10</f>
        <v>0</v>
      </c>
      <c r="AE10" s="855">
        <f t="shared" ref="AE10:AE42" si="15">+W10+AA10</f>
        <v>0</v>
      </c>
      <c r="AF10" s="855">
        <f t="shared" ref="AF10:AF42" si="16">+X10+AB10</f>
        <v>0</v>
      </c>
      <c r="AG10" s="855">
        <f t="shared" ref="AG10:AG42" si="17">SUM(AD10:AF10)</f>
        <v>0</v>
      </c>
      <c r="AH10" s="855">
        <f t="shared" ref="AH10:AH42" si="18">+R10-AD10</f>
        <v>0</v>
      </c>
      <c r="AI10" s="855">
        <f t="shared" ref="AI10:AI42" si="19">+S10-AE10</f>
        <v>0</v>
      </c>
      <c r="AJ10" s="855">
        <f t="shared" ref="AJ10:AJ42" si="20">+T10-AF10</f>
        <v>0</v>
      </c>
      <c r="AK10" s="855">
        <f t="shared" ref="AK10:AK42" si="21">SUM(AH10:AJ10)</f>
        <v>0</v>
      </c>
      <c r="AL10" s="871" t="str">
        <f t="shared" ref="AL10:AO43" si="22">IF(R10=0," ",AD10/R10)</f>
        <v xml:space="preserve"> </v>
      </c>
      <c r="AM10" s="871" t="str">
        <f t="shared" si="22"/>
        <v xml:space="preserve"> </v>
      </c>
      <c r="AN10" s="871" t="str">
        <f t="shared" si="22"/>
        <v xml:space="preserve"> </v>
      </c>
      <c r="AO10" s="871" t="str">
        <f t="shared" si="22"/>
        <v xml:space="preserve"> </v>
      </c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</row>
    <row r="11" spans="1:64" s="24" customFormat="1" ht="18">
      <c r="A11" s="594" t="s">
        <v>952</v>
      </c>
      <c r="B11" s="22">
        <f>+'SUMM BY CLUSTER- CONAP'!B11</f>
        <v>0</v>
      </c>
      <c r="C11" s="22">
        <f>+'SUMM BY CLUSTER- CONAP'!C11</f>
        <v>87991891.479999989</v>
      </c>
      <c r="D11" s="22">
        <f>+'SUMM BY CLUSTER- CONAP'!D11</f>
        <v>0</v>
      </c>
      <c r="E11" s="22">
        <f t="shared" si="0"/>
        <v>87991891.479999989</v>
      </c>
      <c r="F11" s="22">
        <f>+'SUMM BY CLUSTER- CONAP'!F11</f>
        <v>0</v>
      </c>
      <c r="G11" s="22">
        <f>+'SUMM BY CLUSTER- CONAP'!G11</f>
        <v>0</v>
      </c>
      <c r="H11" s="22">
        <f>+'SUMM BY CLUSTER- CONAP'!H11</f>
        <v>0</v>
      </c>
      <c r="I11" s="22">
        <f t="shared" si="1"/>
        <v>0</v>
      </c>
      <c r="J11" s="22">
        <f>+'SUMM BY CLUSTER- CONAP'!J11</f>
        <v>0</v>
      </c>
      <c r="K11" s="22">
        <f>+'SUMM BY CLUSTER- CONAP'!K11</f>
        <v>0</v>
      </c>
      <c r="L11" s="22">
        <f>+'SUMM BY CLUSTER- CONAP'!L11</f>
        <v>0</v>
      </c>
      <c r="M11" s="22">
        <f t="shared" si="2"/>
        <v>0</v>
      </c>
      <c r="N11" s="22">
        <f>+'[9]CONAP-FUR (REG)-Detail'!O70</f>
        <v>0</v>
      </c>
      <c r="O11" s="22">
        <f>+'[9]CONAP-FUR (REG)-Detail'!P70</f>
        <v>0</v>
      </c>
      <c r="P11" s="22">
        <f>+'[9]CONAP-FUR (REG)-Detail'!Q70</f>
        <v>0</v>
      </c>
      <c r="Q11" s="22">
        <f t="shared" si="3"/>
        <v>0</v>
      </c>
      <c r="R11" s="22">
        <f t="shared" si="4"/>
        <v>0</v>
      </c>
      <c r="S11" s="22">
        <f t="shared" si="4"/>
        <v>87991891.479999989</v>
      </c>
      <c r="T11" s="22">
        <f t="shared" si="4"/>
        <v>0</v>
      </c>
      <c r="U11" s="22">
        <f t="shared" si="5"/>
        <v>87991891.479999989</v>
      </c>
      <c r="V11" s="22">
        <f>+'SUMM BY CLUSTER- CONAP'!V11</f>
        <v>0</v>
      </c>
      <c r="W11" s="22">
        <f>+'SUMM BY CLUSTER- CONAP'!W11</f>
        <v>61057203.469999991</v>
      </c>
      <c r="X11" s="22">
        <f>+'SUMM BY CLUSTER- CONAP'!X11</f>
        <v>0</v>
      </c>
      <c r="Y11" s="22">
        <f t="shared" si="6"/>
        <v>61057203.469999991</v>
      </c>
      <c r="Z11" s="22">
        <f>+'SUMM BY CLUSTER- CONAP'!Z11</f>
        <v>0</v>
      </c>
      <c r="AA11" s="22">
        <f>+'SUMM BY CLUSTER- CONAP'!AA11</f>
        <v>0</v>
      </c>
      <c r="AB11" s="22">
        <f>+'SUMM BY CLUSTER- CONAP'!AB11</f>
        <v>0</v>
      </c>
      <c r="AC11" s="22">
        <f t="shared" si="7"/>
        <v>0</v>
      </c>
      <c r="AD11" s="22">
        <f t="shared" si="14"/>
        <v>0</v>
      </c>
      <c r="AE11" s="22">
        <f t="shared" si="15"/>
        <v>61057203.469999991</v>
      </c>
      <c r="AF11" s="22">
        <f t="shared" si="16"/>
        <v>0</v>
      </c>
      <c r="AG11" s="22">
        <f t="shared" si="17"/>
        <v>61057203.469999991</v>
      </c>
      <c r="AH11" s="22">
        <f t="shared" si="18"/>
        <v>0</v>
      </c>
      <c r="AI11" s="22">
        <f t="shared" si="19"/>
        <v>26934688.009999998</v>
      </c>
      <c r="AJ11" s="22">
        <f t="shared" si="20"/>
        <v>0</v>
      </c>
      <c r="AK11" s="22">
        <f t="shared" si="21"/>
        <v>26934688.009999998</v>
      </c>
      <c r="AL11" s="606" t="str">
        <f t="shared" si="22"/>
        <v xml:space="preserve"> </v>
      </c>
      <c r="AM11" s="606">
        <f t="shared" si="22"/>
        <v>0.69389579474920049</v>
      </c>
      <c r="AN11" s="606" t="str">
        <f t="shared" si="22"/>
        <v xml:space="preserve"> </v>
      </c>
      <c r="AO11" s="606">
        <f t="shared" si="22"/>
        <v>0.69389579474920049</v>
      </c>
      <c r="AP11" s="1376">
        <f>+AK11-'SUMM BY CLUSTER- CONAP'!AK11</f>
        <v>0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</row>
    <row r="12" spans="1:64" s="24" customFormat="1" ht="18">
      <c r="A12" s="21"/>
      <c r="B12" s="22"/>
      <c r="C12" s="22"/>
      <c r="D12" s="22"/>
      <c r="E12" s="22">
        <f t="shared" si="0"/>
        <v>0</v>
      </c>
      <c r="F12" s="22"/>
      <c r="G12" s="22"/>
      <c r="H12" s="22"/>
      <c r="I12" s="22">
        <f t="shared" si="1"/>
        <v>0</v>
      </c>
      <c r="J12" s="22"/>
      <c r="K12" s="22"/>
      <c r="L12" s="22"/>
      <c r="M12" s="22">
        <f t="shared" si="2"/>
        <v>0</v>
      </c>
      <c r="N12" s="22"/>
      <c r="O12" s="22"/>
      <c r="P12" s="22"/>
      <c r="Q12" s="22">
        <f t="shared" si="3"/>
        <v>0</v>
      </c>
      <c r="R12" s="22">
        <f t="shared" si="4"/>
        <v>0</v>
      </c>
      <c r="S12" s="22">
        <f t="shared" si="4"/>
        <v>0</v>
      </c>
      <c r="T12" s="22">
        <f t="shared" si="4"/>
        <v>0</v>
      </c>
      <c r="U12" s="22">
        <f t="shared" si="5"/>
        <v>0</v>
      </c>
      <c r="V12" s="22"/>
      <c r="W12" s="22"/>
      <c r="X12" s="22"/>
      <c r="Y12" s="22">
        <f t="shared" si="6"/>
        <v>0</v>
      </c>
      <c r="Z12" s="22"/>
      <c r="AA12" s="22"/>
      <c r="AB12" s="22"/>
      <c r="AC12" s="22">
        <f t="shared" si="7"/>
        <v>0</v>
      </c>
      <c r="AD12" s="22">
        <f t="shared" si="14"/>
        <v>0</v>
      </c>
      <c r="AE12" s="22">
        <f t="shared" si="15"/>
        <v>0</v>
      </c>
      <c r="AF12" s="22">
        <f t="shared" si="16"/>
        <v>0</v>
      </c>
      <c r="AG12" s="22">
        <f t="shared" si="17"/>
        <v>0</v>
      </c>
      <c r="AH12" s="22">
        <f t="shared" si="18"/>
        <v>0</v>
      </c>
      <c r="AI12" s="22">
        <f t="shared" si="19"/>
        <v>0</v>
      </c>
      <c r="AJ12" s="22">
        <f t="shared" si="20"/>
        <v>0</v>
      </c>
      <c r="AK12" s="22">
        <f t="shared" si="21"/>
        <v>0</v>
      </c>
      <c r="AL12" s="872" t="str">
        <f t="shared" si="22"/>
        <v xml:space="preserve"> </v>
      </c>
      <c r="AM12" s="872" t="str">
        <f t="shared" si="22"/>
        <v xml:space="preserve"> </v>
      </c>
      <c r="AN12" s="872" t="str">
        <f t="shared" si="22"/>
        <v xml:space="preserve"> </v>
      </c>
      <c r="AO12" s="872" t="str">
        <f t="shared" si="22"/>
        <v xml:space="preserve"> </v>
      </c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</row>
    <row r="13" spans="1:64" s="607" customFormat="1" ht="18">
      <c r="A13" s="575" t="s">
        <v>954</v>
      </c>
      <c r="B13" s="855">
        <f>+'SUMM BY CLUSTER- CONAP'!B13</f>
        <v>0</v>
      </c>
      <c r="C13" s="855">
        <f>+'SUMM BY CLUSTER- CONAP'!C13</f>
        <v>17498074.260000002</v>
      </c>
      <c r="D13" s="855">
        <f>+'SUMM BY CLUSTER- CONAP'!D13</f>
        <v>1154652</v>
      </c>
      <c r="E13" s="855">
        <f t="shared" si="0"/>
        <v>18652726.260000002</v>
      </c>
      <c r="F13" s="855">
        <f>+'SUMM BY CLUSTER- CONAP'!F13</f>
        <v>0</v>
      </c>
      <c r="G13" s="855">
        <f>+'SUMM BY CLUSTER- CONAP'!G13</f>
        <v>0</v>
      </c>
      <c r="H13" s="855">
        <f>+'SUMM BY CLUSTER- CONAP'!H13</f>
        <v>0</v>
      </c>
      <c r="I13" s="855">
        <f t="shared" si="1"/>
        <v>0</v>
      </c>
      <c r="J13" s="855">
        <f>+'SUMM BY CLUSTER- CONAP'!J13</f>
        <v>0</v>
      </c>
      <c r="K13" s="855">
        <f>+'SUMM BY CLUSTER- CONAP'!K13</f>
        <v>0</v>
      </c>
      <c r="L13" s="855">
        <f>+'SUMM BY CLUSTER- CONAP'!L13</f>
        <v>0</v>
      </c>
      <c r="M13" s="855">
        <f t="shared" si="2"/>
        <v>0</v>
      </c>
      <c r="N13" s="855">
        <f>+'[9]CONAP-FUR (REG)-Detail'!O78+'[9]CONAP-FUR (REG)-Detail'!O79+'[9]CONAP-FUR (REG)-Detail'!O80</f>
        <v>0</v>
      </c>
      <c r="O13" s="855">
        <f>+'[9]CONAP-FUR (REG)-Detail'!P78+'[9]CONAP-FUR (REG)-Detail'!P79+'[9]CONAP-FUR (REG)-Detail'!P80</f>
        <v>0</v>
      </c>
      <c r="P13" s="855">
        <f>+'[9]CONAP-FUR (REG)-Detail'!Q78+'[9]CONAP-FUR (REG)-Detail'!Q79+'[9]CONAP-FUR (REG)-Detail'!Q80</f>
        <v>0</v>
      </c>
      <c r="Q13" s="855">
        <f t="shared" si="3"/>
        <v>0</v>
      </c>
      <c r="R13" s="855">
        <f t="shared" si="4"/>
        <v>0</v>
      </c>
      <c r="S13" s="855">
        <f t="shared" si="4"/>
        <v>17498074.260000002</v>
      </c>
      <c r="T13" s="855">
        <f t="shared" si="4"/>
        <v>1154652</v>
      </c>
      <c r="U13" s="855">
        <f t="shared" si="5"/>
        <v>18652726.260000002</v>
      </c>
      <c r="V13" s="855">
        <f>+'SUMM BY CLUSTER- CONAP'!V13</f>
        <v>0</v>
      </c>
      <c r="W13" s="855">
        <f>+'SUMM BY CLUSTER- CONAP'!W13</f>
        <v>6125719.0800000001</v>
      </c>
      <c r="X13" s="855">
        <f>+'SUMM BY CLUSTER- CONAP'!X13</f>
        <v>0</v>
      </c>
      <c r="Y13" s="855">
        <f t="shared" si="6"/>
        <v>6125719.0800000001</v>
      </c>
      <c r="Z13" s="855">
        <f>+'SUMM BY CLUSTER- CONAP'!Z13</f>
        <v>0</v>
      </c>
      <c r="AA13" s="855">
        <f>+'SUMM BY CLUSTER- CONAP'!AA13</f>
        <v>0</v>
      </c>
      <c r="AB13" s="855">
        <f>+'SUMM BY CLUSTER- CONAP'!AB13</f>
        <v>0</v>
      </c>
      <c r="AC13" s="855">
        <f t="shared" si="7"/>
        <v>0</v>
      </c>
      <c r="AD13" s="855">
        <f t="shared" si="14"/>
        <v>0</v>
      </c>
      <c r="AE13" s="855">
        <f t="shared" si="15"/>
        <v>6125719.0800000001</v>
      </c>
      <c r="AF13" s="855">
        <f t="shared" si="16"/>
        <v>0</v>
      </c>
      <c r="AG13" s="855">
        <f t="shared" si="17"/>
        <v>6125719.0800000001</v>
      </c>
      <c r="AH13" s="855">
        <f t="shared" si="18"/>
        <v>0</v>
      </c>
      <c r="AI13" s="855">
        <f t="shared" si="19"/>
        <v>11372355.180000002</v>
      </c>
      <c r="AJ13" s="855">
        <f t="shared" si="20"/>
        <v>1154652</v>
      </c>
      <c r="AK13" s="855">
        <f t="shared" si="21"/>
        <v>12527007.180000002</v>
      </c>
      <c r="AL13" s="606" t="str">
        <f t="shared" si="22"/>
        <v xml:space="preserve"> </v>
      </c>
      <c r="AM13" s="606">
        <f t="shared" si="22"/>
        <v>0.35007961384660391</v>
      </c>
      <c r="AN13" s="606">
        <f t="shared" si="22"/>
        <v>0</v>
      </c>
      <c r="AO13" s="606">
        <f t="shared" si="22"/>
        <v>0.32840878028303833</v>
      </c>
      <c r="AP13" s="1376">
        <f>+AK13-'SUMM BY CLUSTER- CONAP'!AK13</f>
        <v>0</v>
      </c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</row>
    <row r="14" spans="1:64" s="607" customFormat="1" ht="18">
      <c r="A14" s="575"/>
      <c r="B14" s="855"/>
      <c r="C14" s="855"/>
      <c r="D14" s="855"/>
      <c r="E14" s="855">
        <f t="shared" si="0"/>
        <v>0</v>
      </c>
      <c r="F14" s="855"/>
      <c r="G14" s="855"/>
      <c r="H14" s="855"/>
      <c r="I14" s="855">
        <f t="shared" si="1"/>
        <v>0</v>
      </c>
      <c r="J14" s="855"/>
      <c r="K14" s="855"/>
      <c r="L14" s="855"/>
      <c r="M14" s="855">
        <f t="shared" si="2"/>
        <v>0</v>
      </c>
      <c r="N14" s="855"/>
      <c r="O14" s="855"/>
      <c r="P14" s="855"/>
      <c r="Q14" s="855">
        <f t="shared" si="3"/>
        <v>0</v>
      </c>
      <c r="R14" s="855">
        <f t="shared" si="4"/>
        <v>0</v>
      </c>
      <c r="S14" s="855">
        <f t="shared" si="4"/>
        <v>0</v>
      </c>
      <c r="T14" s="855">
        <f t="shared" si="4"/>
        <v>0</v>
      </c>
      <c r="U14" s="855">
        <f t="shared" si="5"/>
        <v>0</v>
      </c>
      <c r="V14" s="855"/>
      <c r="W14" s="855"/>
      <c r="X14" s="855"/>
      <c r="Y14" s="855">
        <f t="shared" si="6"/>
        <v>0</v>
      </c>
      <c r="Z14" s="855"/>
      <c r="AA14" s="855"/>
      <c r="AB14" s="855"/>
      <c r="AC14" s="855">
        <f t="shared" si="7"/>
        <v>0</v>
      </c>
      <c r="AD14" s="855">
        <f t="shared" si="14"/>
        <v>0</v>
      </c>
      <c r="AE14" s="855">
        <f t="shared" si="15"/>
        <v>0</v>
      </c>
      <c r="AF14" s="855">
        <f t="shared" si="16"/>
        <v>0</v>
      </c>
      <c r="AG14" s="855">
        <f t="shared" si="17"/>
        <v>0</v>
      </c>
      <c r="AH14" s="855">
        <f t="shared" si="18"/>
        <v>0</v>
      </c>
      <c r="AI14" s="855">
        <f t="shared" si="19"/>
        <v>0</v>
      </c>
      <c r="AJ14" s="855">
        <f t="shared" si="20"/>
        <v>0</v>
      </c>
      <c r="AK14" s="855">
        <f t="shared" si="21"/>
        <v>0</v>
      </c>
      <c r="AL14" s="872" t="str">
        <f t="shared" si="22"/>
        <v xml:space="preserve"> </v>
      </c>
      <c r="AM14" s="872" t="str">
        <f t="shared" si="22"/>
        <v xml:space="preserve"> </v>
      </c>
      <c r="AN14" s="872" t="str">
        <f t="shared" si="22"/>
        <v xml:space="preserve"> </v>
      </c>
      <c r="AO14" s="872" t="str">
        <f t="shared" si="22"/>
        <v xml:space="preserve"> 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</row>
    <row r="15" spans="1:64" s="607" customFormat="1" ht="18">
      <c r="A15" s="575" t="s">
        <v>750</v>
      </c>
      <c r="B15" s="855">
        <f>+'SUMM BY CLUSTER- CONAP'!B15</f>
        <v>0</v>
      </c>
      <c r="C15" s="855">
        <f>+'SUMM BY CLUSTER- CONAP'!C15</f>
        <v>23959.56</v>
      </c>
      <c r="D15" s="855">
        <f>+'SUMM BY CLUSTER- CONAP'!D15</f>
        <v>0</v>
      </c>
      <c r="E15" s="855">
        <f t="shared" si="0"/>
        <v>23959.56</v>
      </c>
      <c r="F15" s="855">
        <f>+'SUMM BY CLUSTER- CONAP'!F15</f>
        <v>0</v>
      </c>
      <c r="G15" s="855">
        <f>+'SUMM BY CLUSTER- CONAP'!G15</f>
        <v>0</v>
      </c>
      <c r="H15" s="855">
        <f>+'SUMM BY CLUSTER- CONAP'!H15</f>
        <v>0</v>
      </c>
      <c r="I15" s="855">
        <f t="shared" si="1"/>
        <v>0</v>
      </c>
      <c r="J15" s="855">
        <f>+'SUMM BY CLUSTER- CONAP'!J15</f>
        <v>0</v>
      </c>
      <c r="K15" s="855">
        <f>+'SUMM BY CLUSTER- CONAP'!K15</f>
        <v>2621061.09</v>
      </c>
      <c r="L15" s="855">
        <f>+'SUMM BY CLUSTER- CONAP'!L15</f>
        <v>0</v>
      </c>
      <c r="M15" s="855">
        <f t="shared" si="2"/>
        <v>2621061.09</v>
      </c>
      <c r="N15" s="855">
        <f>+'[9]CONAP-FUR (REG)-Detail'!O81</f>
        <v>0</v>
      </c>
      <c r="O15" s="855">
        <f>+'[9]CONAP-FUR (REG)-Detail'!P81</f>
        <v>2621061.09</v>
      </c>
      <c r="P15" s="855">
        <f>+'[9]CONAP-FUR (REG)-Detail'!Q81</f>
        <v>0</v>
      </c>
      <c r="Q15" s="855">
        <f t="shared" si="3"/>
        <v>2621061.09</v>
      </c>
      <c r="R15" s="855">
        <f t="shared" si="4"/>
        <v>0</v>
      </c>
      <c r="S15" s="855">
        <f t="shared" si="4"/>
        <v>2645020.65</v>
      </c>
      <c r="T15" s="855">
        <f t="shared" si="4"/>
        <v>0</v>
      </c>
      <c r="U15" s="855">
        <f t="shared" si="5"/>
        <v>2645020.65</v>
      </c>
      <c r="V15" s="855">
        <f>+'SUMM BY CLUSTER- CONAP'!V15</f>
        <v>0</v>
      </c>
      <c r="W15" s="855">
        <f>+'SUMM BY CLUSTER- CONAP'!W15</f>
        <v>20000</v>
      </c>
      <c r="X15" s="855">
        <f>+'SUMM BY CLUSTER- CONAP'!X15</f>
        <v>0</v>
      </c>
      <c r="Y15" s="855">
        <f t="shared" si="6"/>
        <v>20000</v>
      </c>
      <c r="Z15" s="855">
        <f>+'SUMM BY CLUSTER- CONAP'!Z15</f>
        <v>0</v>
      </c>
      <c r="AA15" s="855">
        <f>+'SUMM BY CLUSTER- CONAP'!AA15</f>
        <v>2619570.0599999996</v>
      </c>
      <c r="AB15" s="855">
        <f>+'SUMM BY CLUSTER- CONAP'!AB15</f>
        <v>0</v>
      </c>
      <c r="AC15" s="855">
        <f t="shared" si="7"/>
        <v>2619570.0599999996</v>
      </c>
      <c r="AD15" s="855">
        <f t="shared" si="14"/>
        <v>0</v>
      </c>
      <c r="AE15" s="855">
        <f t="shared" si="15"/>
        <v>2639570.0599999996</v>
      </c>
      <c r="AF15" s="855">
        <f t="shared" si="16"/>
        <v>0</v>
      </c>
      <c r="AG15" s="855">
        <f t="shared" si="17"/>
        <v>2639570.0599999996</v>
      </c>
      <c r="AH15" s="855">
        <f t="shared" si="18"/>
        <v>0</v>
      </c>
      <c r="AI15" s="855">
        <f t="shared" si="19"/>
        <v>5450.5900000003166</v>
      </c>
      <c r="AJ15" s="855">
        <f t="shared" si="20"/>
        <v>0</v>
      </c>
      <c r="AK15" s="855">
        <f t="shared" si="21"/>
        <v>5450.5900000003166</v>
      </c>
      <c r="AL15" s="606" t="str">
        <f t="shared" si="22"/>
        <v xml:space="preserve"> </v>
      </c>
      <c r="AM15" s="606">
        <f t="shared" si="22"/>
        <v>0.99793930153248511</v>
      </c>
      <c r="AN15" s="606" t="str">
        <f t="shared" si="22"/>
        <v xml:space="preserve"> </v>
      </c>
      <c r="AO15" s="606">
        <f t="shared" si="22"/>
        <v>0.99793930153248511</v>
      </c>
      <c r="AP15" s="1376">
        <f>+AK15-'SUMM BY CLUSTER- CONAP'!AK15</f>
        <v>0</v>
      </c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</row>
    <row r="16" spans="1:64" s="24" customFormat="1" ht="18">
      <c r="A16" s="575"/>
      <c r="B16" s="855"/>
      <c r="C16" s="855"/>
      <c r="D16" s="855"/>
      <c r="E16" s="855">
        <f t="shared" si="0"/>
        <v>0</v>
      </c>
      <c r="F16" s="855"/>
      <c r="G16" s="855"/>
      <c r="H16" s="855"/>
      <c r="I16" s="855">
        <f t="shared" si="1"/>
        <v>0</v>
      </c>
      <c r="J16" s="855"/>
      <c r="K16" s="855"/>
      <c r="L16" s="855"/>
      <c r="M16" s="855">
        <f t="shared" si="2"/>
        <v>0</v>
      </c>
      <c r="N16" s="855"/>
      <c r="O16" s="855"/>
      <c r="P16" s="855"/>
      <c r="Q16" s="855">
        <f t="shared" si="3"/>
        <v>0</v>
      </c>
      <c r="R16" s="855">
        <f t="shared" si="4"/>
        <v>0</v>
      </c>
      <c r="S16" s="855">
        <f t="shared" si="4"/>
        <v>0</v>
      </c>
      <c r="T16" s="855">
        <f t="shared" si="4"/>
        <v>0</v>
      </c>
      <c r="U16" s="855">
        <f t="shared" si="5"/>
        <v>0</v>
      </c>
      <c r="V16" s="855"/>
      <c r="W16" s="855"/>
      <c r="X16" s="855"/>
      <c r="Y16" s="855">
        <f t="shared" si="6"/>
        <v>0</v>
      </c>
      <c r="Z16" s="855"/>
      <c r="AA16" s="855"/>
      <c r="AB16" s="855"/>
      <c r="AC16" s="855">
        <f t="shared" si="7"/>
        <v>0</v>
      </c>
      <c r="AD16" s="855">
        <f t="shared" si="14"/>
        <v>0</v>
      </c>
      <c r="AE16" s="855">
        <f t="shared" si="15"/>
        <v>0</v>
      </c>
      <c r="AF16" s="855">
        <f t="shared" si="16"/>
        <v>0</v>
      </c>
      <c r="AG16" s="855">
        <f t="shared" si="17"/>
        <v>0</v>
      </c>
      <c r="AH16" s="855">
        <f t="shared" si="18"/>
        <v>0</v>
      </c>
      <c r="AI16" s="855">
        <f t="shared" si="19"/>
        <v>0</v>
      </c>
      <c r="AJ16" s="855">
        <f t="shared" si="20"/>
        <v>0</v>
      </c>
      <c r="AK16" s="855">
        <f t="shared" si="21"/>
        <v>0</v>
      </c>
      <c r="AL16" s="872" t="str">
        <f t="shared" si="22"/>
        <v xml:space="preserve"> </v>
      </c>
      <c r="AM16" s="872" t="str">
        <f t="shared" si="22"/>
        <v xml:space="preserve"> </v>
      </c>
      <c r="AN16" s="872" t="str">
        <f t="shared" si="22"/>
        <v xml:space="preserve"> </v>
      </c>
      <c r="AO16" s="872" t="str">
        <f t="shared" si="22"/>
        <v xml:space="preserve"> </v>
      </c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</row>
    <row r="17" spans="1:64" s="607" customFormat="1" ht="18">
      <c r="A17" s="25" t="s">
        <v>435</v>
      </c>
      <c r="B17" s="22">
        <f>+B18+B25+B31+B36</f>
        <v>0</v>
      </c>
      <c r="C17" s="22">
        <f t="shared" ref="C17:D17" si="23">+C18+C25+C31+C36</f>
        <v>76919257.319999993</v>
      </c>
      <c r="D17" s="22">
        <f t="shared" si="23"/>
        <v>196542960</v>
      </c>
      <c r="E17" s="22">
        <f t="shared" si="0"/>
        <v>273462217.31999999</v>
      </c>
      <c r="F17" s="22">
        <f>+F18+F25+F31+F36</f>
        <v>0</v>
      </c>
      <c r="G17" s="22">
        <f t="shared" ref="G17" si="24">+G18+G25+G31+G36</f>
        <v>-49296080.369999997</v>
      </c>
      <c r="H17" s="22">
        <f t="shared" ref="H17" si="25">+H18+H25+H31+H36</f>
        <v>96454837</v>
      </c>
      <c r="I17" s="22">
        <f t="shared" si="1"/>
        <v>47158756.630000003</v>
      </c>
      <c r="J17" s="22">
        <f>+J18+J25+J31+J36</f>
        <v>0</v>
      </c>
      <c r="K17" s="22">
        <f t="shared" ref="K17" si="26">+K18+K25+K31+K36</f>
        <v>759940379.13</v>
      </c>
      <c r="L17" s="22">
        <f t="shared" ref="L17" si="27">+L18+L25+L31+L36</f>
        <v>687253050.56999993</v>
      </c>
      <c r="M17" s="22">
        <f t="shared" si="2"/>
        <v>1447193429.6999998</v>
      </c>
      <c r="N17" s="22">
        <f t="shared" ref="N17:P41" si="28">+F17+J17</f>
        <v>0</v>
      </c>
      <c r="O17" s="22">
        <f t="shared" si="28"/>
        <v>710644298.75999999</v>
      </c>
      <c r="P17" s="22">
        <f t="shared" si="28"/>
        <v>783707887.56999993</v>
      </c>
      <c r="Q17" s="22">
        <f t="shared" si="3"/>
        <v>1494352186.3299999</v>
      </c>
      <c r="R17" s="22">
        <f t="shared" si="4"/>
        <v>0</v>
      </c>
      <c r="S17" s="22">
        <f t="shared" si="4"/>
        <v>787563556.07999992</v>
      </c>
      <c r="T17" s="22">
        <f t="shared" si="4"/>
        <v>980250847.56999993</v>
      </c>
      <c r="U17" s="22">
        <f t="shared" si="5"/>
        <v>1767814403.6499999</v>
      </c>
      <c r="V17" s="22">
        <f>+V18+V25+V31+V36</f>
        <v>0</v>
      </c>
      <c r="W17" s="22">
        <f t="shared" ref="W17" si="29">+W18+W25+W31+W36</f>
        <v>54482880.839999996</v>
      </c>
      <c r="X17" s="22">
        <f t="shared" ref="X17" si="30">+X18+X25+X31+X36</f>
        <v>77695023.030000001</v>
      </c>
      <c r="Y17" s="22">
        <f t="shared" si="6"/>
        <v>132177903.87</v>
      </c>
      <c r="Z17" s="22">
        <f>+Z18+Z25+Z31+Z36</f>
        <v>0</v>
      </c>
      <c r="AA17" s="22">
        <f t="shared" ref="AA17" si="31">+AA18+AA25+AA31+AA36</f>
        <v>565091399.93000007</v>
      </c>
      <c r="AB17" s="22">
        <f t="shared" ref="AB17" si="32">+AB18+AB25+AB31+AB36</f>
        <v>497649168.84000003</v>
      </c>
      <c r="AC17" s="22">
        <f t="shared" si="7"/>
        <v>1062740568.7700001</v>
      </c>
      <c r="AD17" s="22">
        <f t="shared" si="14"/>
        <v>0</v>
      </c>
      <c r="AE17" s="22">
        <f t="shared" si="15"/>
        <v>619574280.7700001</v>
      </c>
      <c r="AF17" s="22">
        <f t="shared" si="16"/>
        <v>575344191.87</v>
      </c>
      <c r="AG17" s="22">
        <f t="shared" si="17"/>
        <v>1194918472.6400001</v>
      </c>
      <c r="AH17" s="22">
        <f t="shared" si="18"/>
        <v>0</v>
      </c>
      <c r="AI17" s="22">
        <f t="shared" si="19"/>
        <v>167989275.30999982</v>
      </c>
      <c r="AJ17" s="22">
        <f t="shared" si="20"/>
        <v>404906655.69999993</v>
      </c>
      <c r="AK17" s="22">
        <f t="shared" si="21"/>
        <v>572895931.00999975</v>
      </c>
      <c r="AL17" s="606" t="str">
        <f t="shared" si="22"/>
        <v xml:space="preserve"> </v>
      </c>
      <c r="AM17" s="606">
        <f t="shared" si="22"/>
        <v>0.78669750014062911</v>
      </c>
      <c r="AN17" s="606">
        <f t="shared" si="22"/>
        <v>0.5869356739616739</v>
      </c>
      <c r="AO17" s="606">
        <f t="shared" si="22"/>
        <v>0.6759298205585702</v>
      </c>
      <c r="AP17" s="1376">
        <f>+AK17-'SUMM BY CLUSTER- CONAP'!AK17</f>
        <v>0</v>
      </c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</row>
    <row r="18" spans="1:64" s="609" customFormat="1" ht="16.5">
      <c r="A18" s="595" t="s">
        <v>436</v>
      </c>
      <c r="B18" s="37">
        <f>SUM(B19:B23)</f>
        <v>0</v>
      </c>
      <c r="C18" s="37">
        <f t="shared" ref="C18:D18" si="33">SUM(C19:C23)</f>
        <v>12898311.749999991</v>
      </c>
      <c r="D18" s="37">
        <f t="shared" si="33"/>
        <v>95305000</v>
      </c>
      <c r="E18" s="37">
        <f t="shared" si="0"/>
        <v>108203311.74999999</v>
      </c>
      <c r="F18" s="37">
        <f>SUM(F19:F23)</f>
        <v>0</v>
      </c>
      <c r="G18" s="37">
        <f t="shared" ref="G18" si="34">SUM(G19:G23)</f>
        <v>-1824254.9299999997</v>
      </c>
      <c r="H18" s="37">
        <f t="shared" ref="H18" si="35">SUM(H19:H23)</f>
        <v>75687375</v>
      </c>
      <c r="I18" s="37">
        <f t="shared" si="1"/>
        <v>73863120.069999993</v>
      </c>
      <c r="J18" s="37">
        <f>SUM(J19:J23)</f>
        <v>0</v>
      </c>
      <c r="K18" s="37">
        <f t="shared" ref="K18" si="36">SUM(K19:K23)</f>
        <v>272549043.60000002</v>
      </c>
      <c r="L18" s="37">
        <f t="shared" ref="L18" si="37">SUM(L19:L23)</f>
        <v>35331185.030000001</v>
      </c>
      <c r="M18" s="37">
        <f t="shared" si="2"/>
        <v>307880228.63</v>
      </c>
      <c r="N18" s="37">
        <f t="shared" si="28"/>
        <v>0</v>
      </c>
      <c r="O18" s="37">
        <f t="shared" si="28"/>
        <v>270724788.67000002</v>
      </c>
      <c r="P18" s="37">
        <f t="shared" si="28"/>
        <v>111018560.03</v>
      </c>
      <c r="Q18" s="37">
        <f t="shared" si="3"/>
        <v>381743348.70000005</v>
      </c>
      <c r="R18" s="37">
        <f t="shared" si="4"/>
        <v>0</v>
      </c>
      <c r="S18" s="37">
        <f t="shared" si="4"/>
        <v>283623100.42000002</v>
      </c>
      <c r="T18" s="37">
        <f t="shared" si="4"/>
        <v>206323560.03</v>
      </c>
      <c r="U18" s="37">
        <f t="shared" si="5"/>
        <v>489946660.45000005</v>
      </c>
      <c r="V18" s="37">
        <f>SUM(V19:V23)</f>
        <v>0</v>
      </c>
      <c r="W18" s="37">
        <f t="shared" ref="W18" si="38">SUM(W19:W23)</f>
        <v>12310634.950000001</v>
      </c>
      <c r="X18" s="37">
        <f t="shared" ref="X18" si="39">SUM(X19:X23)</f>
        <v>45150623</v>
      </c>
      <c r="Y18" s="37">
        <f t="shared" si="6"/>
        <v>57461257.950000003</v>
      </c>
      <c r="Z18" s="37">
        <f>SUM(Z19:Z23)</f>
        <v>0</v>
      </c>
      <c r="AA18" s="37">
        <f t="shared" ref="AA18" si="40">SUM(AA19:AA23)</f>
        <v>235606489.61000001</v>
      </c>
      <c r="AB18" s="37">
        <f t="shared" ref="AB18" si="41">SUM(AB19:AB23)</f>
        <v>60341776.439999998</v>
      </c>
      <c r="AC18" s="37">
        <f t="shared" si="7"/>
        <v>295948266.05000001</v>
      </c>
      <c r="AD18" s="37">
        <f t="shared" si="14"/>
        <v>0</v>
      </c>
      <c r="AE18" s="37">
        <f t="shared" si="15"/>
        <v>247917124.56</v>
      </c>
      <c r="AF18" s="37">
        <f t="shared" si="16"/>
        <v>105492399.44</v>
      </c>
      <c r="AG18" s="37">
        <f t="shared" si="17"/>
        <v>353409524</v>
      </c>
      <c r="AH18" s="37">
        <f t="shared" si="18"/>
        <v>0</v>
      </c>
      <c r="AI18" s="37">
        <f t="shared" si="19"/>
        <v>35705975.860000014</v>
      </c>
      <c r="AJ18" s="37">
        <f t="shared" si="20"/>
        <v>100831160.59</v>
      </c>
      <c r="AK18" s="37">
        <f t="shared" si="21"/>
        <v>136537136.45000002</v>
      </c>
      <c r="AL18" s="597" t="str">
        <f t="shared" si="22"/>
        <v xml:space="preserve"> </v>
      </c>
      <c r="AM18" s="608">
        <f t="shared" si="22"/>
        <v>0.87410765975294247</v>
      </c>
      <c r="AN18" s="608">
        <f t="shared" si="22"/>
        <v>0.51129594421820324</v>
      </c>
      <c r="AO18" s="608">
        <f t="shared" si="22"/>
        <v>0.72132244696882897</v>
      </c>
      <c r="AP18" s="1376">
        <f>+AK18-'SUMM BY CLUSTER- CONAP'!AK18</f>
        <v>0</v>
      </c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</row>
    <row r="19" spans="1:64" s="16" customFormat="1">
      <c r="A19" s="596" t="s">
        <v>441</v>
      </c>
      <c r="B19" s="40">
        <f>+'SUMM BY CLUSTER- CONAP'!B19</f>
        <v>0</v>
      </c>
      <c r="C19" s="40">
        <f>+'SUMM BY CLUSTER- CONAP'!C19</f>
        <v>6123853.1400000006</v>
      </c>
      <c r="D19" s="40">
        <f>+'SUMM BY CLUSTER- CONAP'!D19</f>
        <v>95305000</v>
      </c>
      <c r="E19" s="40">
        <f t="shared" si="0"/>
        <v>101428853.14</v>
      </c>
      <c r="F19" s="40">
        <f>+'SUMM BY CLUSTER- CONAP'!F19</f>
        <v>0</v>
      </c>
      <c r="G19" s="40">
        <f>+'SUMM BY CLUSTER- CONAP'!G19</f>
        <v>6749570.5700000003</v>
      </c>
      <c r="H19" s="40">
        <f>+'SUMM BY CLUSTER- CONAP'!H19</f>
        <v>12962675</v>
      </c>
      <c r="I19" s="40">
        <f t="shared" si="1"/>
        <v>19712245.57</v>
      </c>
      <c r="J19" s="40">
        <f>+'SUMM BY CLUSTER- CONAP'!J19</f>
        <v>0</v>
      </c>
      <c r="K19" s="40">
        <f>+'SUMM BY CLUSTER- CONAP'!K19</f>
        <v>105665710.47000001</v>
      </c>
      <c r="L19" s="40">
        <f>+'SUMM BY CLUSTER- CONAP'!L19</f>
        <v>0</v>
      </c>
      <c r="M19" s="40">
        <f t="shared" si="2"/>
        <v>105665710.47000001</v>
      </c>
      <c r="N19" s="40">
        <f t="shared" si="28"/>
        <v>0</v>
      </c>
      <c r="O19" s="40">
        <f t="shared" si="28"/>
        <v>112415281.04000002</v>
      </c>
      <c r="P19" s="40">
        <f t="shared" si="28"/>
        <v>12962675</v>
      </c>
      <c r="Q19" s="40">
        <f t="shared" si="3"/>
        <v>125377956.04000002</v>
      </c>
      <c r="R19" s="40">
        <f t="shared" si="4"/>
        <v>0</v>
      </c>
      <c r="S19" s="40">
        <f t="shared" si="4"/>
        <v>118539134.18000002</v>
      </c>
      <c r="T19" s="40">
        <f t="shared" si="4"/>
        <v>108267675</v>
      </c>
      <c r="U19" s="40">
        <f t="shared" si="5"/>
        <v>226806809.18000001</v>
      </c>
      <c r="V19" s="40">
        <f>+'SUMM BY CLUSTER- CONAP'!V19</f>
        <v>0</v>
      </c>
      <c r="W19" s="40">
        <f>+'SUMM BY CLUSTER- CONAP'!W19</f>
        <v>6121486.0300000003</v>
      </c>
      <c r="X19" s="40">
        <f>+'SUMM BY CLUSTER- CONAP'!X19</f>
        <v>45150623</v>
      </c>
      <c r="Y19" s="40">
        <f t="shared" si="6"/>
        <v>51272109.030000001</v>
      </c>
      <c r="Z19" s="40">
        <f>+'SUMM BY CLUSTER- CONAP'!Z19</f>
        <v>0</v>
      </c>
      <c r="AA19" s="40">
        <f>+'SUMM BY CLUSTER- CONAP'!AA19</f>
        <v>98959914.810000002</v>
      </c>
      <c r="AB19" s="40">
        <f>+'SUMM BY CLUSTER- CONAP'!AB19</f>
        <v>12952075</v>
      </c>
      <c r="AC19" s="40">
        <f t="shared" si="7"/>
        <v>111911989.81</v>
      </c>
      <c r="AD19" s="40">
        <f t="shared" si="14"/>
        <v>0</v>
      </c>
      <c r="AE19" s="40">
        <f t="shared" si="15"/>
        <v>105081400.84</v>
      </c>
      <c r="AF19" s="40">
        <f t="shared" si="16"/>
        <v>58102698</v>
      </c>
      <c r="AG19" s="40">
        <f t="shared" si="17"/>
        <v>163184098.84</v>
      </c>
      <c r="AH19" s="40">
        <f t="shared" si="18"/>
        <v>0</v>
      </c>
      <c r="AI19" s="40">
        <f t="shared" si="19"/>
        <v>13457733.340000018</v>
      </c>
      <c r="AJ19" s="40">
        <f t="shared" si="20"/>
        <v>50164977</v>
      </c>
      <c r="AK19" s="40">
        <f t="shared" si="21"/>
        <v>63622710.340000018</v>
      </c>
      <c r="AL19" s="600" t="str">
        <f t="shared" si="22"/>
        <v xml:space="preserve"> </v>
      </c>
      <c r="AM19" s="600">
        <f t="shared" si="22"/>
        <v>0.88647012285778437</v>
      </c>
      <c r="AN19" s="600">
        <f t="shared" si="22"/>
        <v>0.53665785286328538</v>
      </c>
      <c r="AO19" s="600">
        <f t="shared" si="22"/>
        <v>0.7194850076590632</v>
      </c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</row>
    <row r="20" spans="1:64" s="16" customFormat="1">
      <c r="A20" s="596" t="s">
        <v>56</v>
      </c>
      <c r="B20" s="40">
        <f>+'SUMM BY CLUSTER- CONAP'!B33</f>
        <v>0</v>
      </c>
      <c r="C20" s="40">
        <f>+'SUMM BY CLUSTER- CONAP'!C33</f>
        <v>3530530.299999997</v>
      </c>
      <c r="D20" s="40">
        <f>+'SUMM BY CLUSTER- CONAP'!D33</f>
        <v>0</v>
      </c>
      <c r="E20" s="579">
        <f t="shared" si="0"/>
        <v>3530530.299999997</v>
      </c>
      <c r="F20" s="40">
        <f>+'SUMM BY CLUSTER- CONAP'!F33</f>
        <v>0</v>
      </c>
      <c r="G20" s="40">
        <f>+'SUMM BY CLUSTER- CONAP'!G33</f>
        <v>-1337274.04</v>
      </c>
      <c r="H20" s="40">
        <f>+'SUMM BY CLUSTER- CONAP'!H33</f>
        <v>770000</v>
      </c>
      <c r="I20" s="579">
        <f t="shared" si="1"/>
        <v>-567274.04</v>
      </c>
      <c r="J20" s="40">
        <f>+'SUMM BY CLUSTER- CONAP'!J33</f>
        <v>0</v>
      </c>
      <c r="K20" s="40">
        <f>+'SUMM BY CLUSTER- CONAP'!K33</f>
        <v>35862686.57</v>
      </c>
      <c r="L20" s="40">
        <f>+'SUMM BY CLUSTER- CONAP'!L33</f>
        <v>3375016.33</v>
      </c>
      <c r="M20" s="579">
        <f t="shared" si="2"/>
        <v>39237702.899999999</v>
      </c>
      <c r="N20" s="40">
        <f t="shared" si="28"/>
        <v>0</v>
      </c>
      <c r="O20" s="40">
        <f t="shared" si="28"/>
        <v>34525412.530000001</v>
      </c>
      <c r="P20" s="40">
        <f t="shared" si="28"/>
        <v>4145016.33</v>
      </c>
      <c r="Q20" s="579">
        <f t="shared" si="3"/>
        <v>38670428.859999999</v>
      </c>
      <c r="R20" s="40">
        <f t="shared" si="4"/>
        <v>0</v>
      </c>
      <c r="S20" s="40">
        <f t="shared" si="4"/>
        <v>38055942.829999998</v>
      </c>
      <c r="T20" s="40">
        <f t="shared" si="4"/>
        <v>4145016.33</v>
      </c>
      <c r="U20" s="579">
        <f t="shared" si="5"/>
        <v>42200959.159999996</v>
      </c>
      <c r="V20" s="40">
        <f>+'SUMM BY CLUSTER- CONAP'!V33</f>
        <v>0</v>
      </c>
      <c r="W20" s="40">
        <f>+'SUMM BY CLUSTER- CONAP'!W33</f>
        <v>3528036.3500000006</v>
      </c>
      <c r="X20" s="40">
        <f>+'SUMM BY CLUSTER- CONAP'!X33</f>
        <v>0</v>
      </c>
      <c r="Y20" s="579">
        <f t="shared" si="6"/>
        <v>3528036.3500000006</v>
      </c>
      <c r="Z20" s="40">
        <f>+'SUMM BY CLUSTER- CONAP'!Z33</f>
        <v>0</v>
      </c>
      <c r="AA20" s="40">
        <f>+'SUMM BY CLUSTER- CONAP'!AA33</f>
        <v>26000437.180000003</v>
      </c>
      <c r="AB20" s="40">
        <f>+'SUMM BY CLUSTER- CONAP'!AB33</f>
        <v>189808</v>
      </c>
      <c r="AC20" s="579">
        <f t="shared" si="7"/>
        <v>26190245.180000003</v>
      </c>
      <c r="AD20" s="40">
        <f t="shared" si="14"/>
        <v>0</v>
      </c>
      <c r="AE20" s="40">
        <f t="shared" si="15"/>
        <v>29528473.530000005</v>
      </c>
      <c r="AF20" s="40">
        <f t="shared" si="16"/>
        <v>189808</v>
      </c>
      <c r="AG20" s="579">
        <f t="shared" si="17"/>
        <v>29718281.530000005</v>
      </c>
      <c r="AH20" s="579">
        <f t="shared" si="18"/>
        <v>0</v>
      </c>
      <c r="AI20" s="40">
        <f t="shared" si="19"/>
        <v>8527469.2999999933</v>
      </c>
      <c r="AJ20" s="40">
        <f t="shared" si="20"/>
        <v>3955208.33</v>
      </c>
      <c r="AK20" s="579">
        <f t="shared" si="21"/>
        <v>12482677.629999993</v>
      </c>
      <c r="AL20" s="600" t="str">
        <f t="shared" si="22"/>
        <v xml:space="preserve"> </v>
      </c>
      <c r="AM20" s="600">
        <f t="shared" si="22"/>
        <v>0.77592279507846862</v>
      </c>
      <c r="AN20" s="600">
        <f t="shared" si="22"/>
        <v>4.5791858195164216E-2</v>
      </c>
      <c r="AO20" s="600">
        <f t="shared" si="22"/>
        <v>0.70420867491012751</v>
      </c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</row>
    <row r="21" spans="1:64" s="16" customFormat="1">
      <c r="A21" s="596" t="s">
        <v>437</v>
      </c>
      <c r="B21" s="40">
        <f>+'SUMM BY CLUSTER- CONAP'!B40</f>
        <v>0</v>
      </c>
      <c r="C21" s="40">
        <f>+'SUMM BY CLUSTER- CONAP'!C40</f>
        <v>2381325.2199999997</v>
      </c>
      <c r="D21" s="40">
        <f>+'SUMM BY CLUSTER- CONAP'!D40</f>
        <v>0</v>
      </c>
      <c r="E21" s="579">
        <f t="shared" si="0"/>
        <v>2381325.2199999997</v>
      </c>
      <c r="F21" s="40">
        <f>+'SUMM BY CLUSTER- CONAP'!F40</f>
        <v>0</v>
      </c>
      <c r="G21" s="40">
        <f>+'SUMM BY CLUSTER- CONAP'!G40</f>
        <v>-2191140</v>
      </c>
      <c r="H21" s="40">
        <f>+'SUMM BY CLUSTER- CONAP'!H40</f>
        <v>28030900</v>
      </c>
      <c r="I21" s="579">
        <f t="shared" si="1"/>
        <v>25839760</v>
      </c>
      <c r="J21" s="40">
        <f>+'SUMM BY CLUSTER- CONAP'!J40</f>
        <v>0</v>
      </c>
      <c r="K21" s="40">
        <f>+'SUMM BY CLUSTER- CONAP'!K40</f>
        <v>52778472.359999999</v>
      </c>
      <c r="L21" s="40">
        <f>+'SUMM BY CLUSTER- CONAP'!L40</f>
        <v>21078999.710000001</v>
      </c>
      <c r="M21" s="579">
        <f t="shared" si="2"/>
        <v>73857472.069999993</v>
      </c>
      <c r="N21" s="40">
        <f t="shared" si="28"/>
        <v>0</v>
      </c>
      <c r="O21" s="40">
        <f t="shared" si="28"/>
        <v>50587332.359999999</v>
      </c>
      <c r="P21" s="40">
        <f t="shared" si="28"/>
        <v>49109899.710000001</v>
      </c>
      <c r="Q21" s="579">
        <f t="shared" si="3"/>
        <v>99697232.069999993</v>
      </c>
      <c r="R21" s="40">
        <f t="shared" si="4"/>
        <v>0</v>
      </c>
      <c r="S21" s="40">
        <f t="shared" si="4"/>
        <v>52968657.579999998</v>
      </c>
      <c r="T21" s="40">
        <f t="shared" si="4"/>
        <v>49109899.710000001</v>
      </c>
      <c r="U21" s="579">
        <f t="shared" si="5"/>
        <v>102078557.28999999</v>
      </c>
      <c r="V21" s="40">
        <f>+'SUMM BY CLUSTER- CONAP'!V40</f>
        <v>0</v>
      </c>
      <c r="W21" s="40">
        <f>+'SUMM BY CLUSTER- CONAP'!W40</f>
        <v>1798692.94</v>
      </c>
      <c r="X21" s="40">
        <f>+'SUMM BY CLUSTER- CONAP'!X40</f>
        <v>0</v>
      </c>
      <c r="Y21" s="579">
        <f t="shared" si="6"/>
        <v>1798692.94</v>
      </c>
      <c r="Z21" s="40">
        <f>+'SUMM BY CLUSTER- CONAP'!Z40</f>
        <v>0</v>
      </c>
      <c r="AA21" s="40">
        <f>+'SUMM BY CLUSTER- CONAP'!AA40</f>
        <v>45126580.799999997</v>
      </c>
      <c r="AB21" s="40">
        <f>+'SUMM BY CLUSTER- CONAP'!AB40</f>
        <v>24124450.649999999</v>
      </c>
      <c r="AC21" s="579">
        <f t="shared" si="7"/>
        <v>69251031.449999988</v>
      </c>
      <c r="AD21" s="40">
        <f t="shared" si="14"/>
        <v>0</v>
      </c>
      <c r="AE21" s="40">
        <f t="shared" si="15"/>
        <v>46925273.739999995</v>
      </c>
      <c r="AF21" s="40">
        <f t="shared" si="16"/>
        <v>24124450.649999999</v>
      </c>
      <c r="AG21" s="579">
        <f t="shared" si="17"/>
        <v>71049724.389999986</v>
      </c>
      <c r="AH21" s="579">
        <f t="shared" si="18"/>
        <v>0</v>
      </c>
      <c r="AI21" s="40">
        <f t="shared" si="19"/>
        <v>6043383.8400000036</v>
      </c>
      <c r="AJ21" s="40">
        <f t="shared" si="20"/>
        <v>24985449.060000002</v>
      </c>
      <c r="AK21" s="579">
        <f t="shared" si="21"/>
        <v>31028832.900000006</v>
      </c>
      <c r="AL21" s="600" t="str">
        <f t="shared" si="22"/>
        <v xml:space="preserve"> </v>
      </c>
      <c r="AM21" s="600">
        <f t="shared" si="22"/>
        <v>0.88590641869916154</v>
      </c>
      <c r="AN21" s="873">
        <f t="shared" si="22"/>
        <v>0.49123396285591797</v>
      </c>
      <c r="AO21" s="600">
        <f t="shared" si="22"/>
        <v>0.69602986441267323</v>
      </c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</row>
    <row r="22" spans="1:64" s="16" customFormat="1">
      <c r="A22" s="596" t="s">
        <v>438</v>
      </c>
      <c r="B22" s="40">
        <f>+'SUMM BY CLUSTER- CONAP'!B44</f>
        <v>0</v>
      </c>
      <c r="C22" s="40">
        <f>+'SUMM BY CLUSTER- CONAP'!C44</f>
        <v>612603.08999999426</v>
      </c>
      <c r="D22" s="40">
        <f>+'SUMM BY CLUSTER- CONAP'!D44</f>
        <v>0</v>
      </c>
      <c r="E22" s="579">
        <f t="shared" si="0"/>
        <v>612603.08999999426</v>
      </c>
      <c r="F22" s="40">
        <f>+'SUMM BY CLUSTER- CONAP'!F44</f>
        <v>0</v>
      </c>
      <c r="G22" s="40">
        <f>+'SUMM BY CLUSTER- CONAP'!G44</f>
        <v>-1650840.71</v>
      </c>
      <c r="H22" s="40">
        <f>+'SUMM BY CLUSTER- CONAP'!H44</f>
        <v>8901800</v>
      </c>
      <c r="I22" s="579">
        <f t="shared" si="1"/>
        <v>7250959.29</v>
      </c>
      <c r="J22" s="40">
        <f>+'SUMM BY CLUSTER- CONAP'!J44</f>
        <v>0</v>
      </c>
      <c r="K22" s="40">
        <f>+'SUMM BY CLUSTER- CONAP'!K44</f>
        <v>19188487.729999997</v>
      </c>
      <c r="L22" s="40">
        <f>+'SUMM BY CLUSTER- CONAP'!L44</f>
        <v>4152665.33</v>
      </c>
      <c r="M22" s="579">
        <f t="shared" si="2"/>
        <v>23341153.059999995</v>
      </c>
      <c r="N22" s="40">
        <f t="shared" si="28"/>
        <v>0</v>
      </c>
      <c r="O22" s="40">
        <f t="shared" si="28"/>
        <v>17537647.019999996</v>
      </c>
      <c r="P22" s="40">
        <f t="shared" si="28"/>
        <v>13054465.33</v>
      </c>
      <c r="Q22" s="579">
        <f t="shared" si="3"/>
        <v>30592112.349999994</v>
      </c>
      <c r="R22" s="40">
        <f t="shared" si="4"/>
        <v>0</v>
      </c>
      <c r="S22" s="40">
        <f t="shared" si="4"/>
        <v>18150250.109999992</v>
      </c>
      <c r="T22" s="40">
        <f t="shared" si="4"/>
        <v>13054465.33</v>
      </c>
      <c r="U22" s="579">
        <f t="shared" si="5"/>
        <v>31204715.43999999</v>
      </c>
      <c r="V22" s="40">
        <f>+'SUMM BY CLUSTER- CONAP'!V44</f>
        <v>0</v>
      </c>
      <c r="W22" s="40">
        <f>+'SUMM BY CLUSTER- CONAP'!W44</f>
        <v>612419.63</v>
      </c>
      <c r="X22" s="40">
        <f>+'SUMM BY CLUSTER- CONAP'!X44</f>
        <v>0</v>
      </c>
      <c r="Y22" s="579">
        <f t="shared" si="6"/>
        <v>612419.63</v>
      </c>
      <c r="Z22" s="40">
        <f>+'SUMM BY CLUSTER- CONAP'!Z44</f>
        <v>0</v>
      </c>
      <c r="AA22" s="40">
        <f>+'SUMM BY CLUSTER- CONAP'!AA44</f>
        <v>13034502.129999999</v>
      </c>
      <c r="AB22" s="40">
        <f>+'SUMM BY CLUSTER- CONAP'!AB44</f>
        <v>1661630</v>
      </c>
      <c r="AC22" s="579">
        <f t="shared" si="7"/>
        <v>14696132.129999999</v>
      </c>
      <c r="AD22" s="40">
        <f t="shared" si="14"/>
        <v>0</v>
      </c>
      <c r="AE22" s="40">
        <f t="shared" si="15"/>
        <v>13646921.76</v>
      </c>
      <c r="AF22" s="40">
        <f t="shared" si="16"/>
        <v>1661630</v>
      </c>
      <c r="AG22" s="579">
        <f t="shared" si="17"/>
        <v>15308551.76</v>
      </c>
      <c r="AH22" s="579">
        <f t="shared" si="18"/>
        <v>0</v>
      </c>
      <c r="AI22" s="40">
        <f t="shared" si="19"/>
        <v>4503328.3499999922</v>
      </c>
      <c r="AJ22" s="40">
        <f t="shared" si="20"/>
        <v>11392835.33</v>
      </c>
      <c r="AK22" s="579">
        <f t="shared" si="21"/>
        <v>15896163.679999992</v>
      </c>
      <c r="AL22" s="600" t="str">
        <f t="shared" si="22"/>
        <v xml:space="preserve"> </v>
      </c>
      <c r="AM22" s="600">
        <f t="shared" si="22"/>
        <v>0.75188615458699071</v>
      </c>
      <c r="AN22" s="873">
        <f t="shared" si="22"/>
        <v>0.12728441632775778</v>
      </c>
      <c r="AO22" s="600">
        <f t="shared" si="22"/>
        <v>0.49058456531786288</v>
      </c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</row>
    <row r="23" spans="1:64" s="16" customFormat="1">
      <c r="A23" s="596" t="s">
        <v>439</v>
      </c>
      <c r="B23" s="40">
        <f>+'SUMM BY CLUSTER- CONAP'!B49</f>
        <v>0</v>
      </c>
      <c r="C23" s="40">
        <f>+'SUMM BY CLUSTER- CONAP'!C49</f>
        <v>250000</v>
      </c>
      <c r="D23" s="40">
        <f>+'SUMM BY CLUSTER- CONAP'!D49</f>
        <v>0</v>
      </c>
      <c r="E23" s="579">
        <f t="shared" si="0"/>
        <v>250000</v>
      </c>
      <c r="F23" s="40">
        <f>+'SUMM BY CLUSTER- CONAP'!F49</f>
        <v>0</v>
      </c>
      <c r="G23" s="40">
        <f>+'SUMM BY CLUSTER- CONAP'!G49</f>
        <v>-3394570.75</v>
      </c>
      <c r="H23" s="40">
        <f>+'SUMM BY CLUSTER- CONAP'!H49</f>
        <v>25022000</v>
      </c>
      <c r="I23" s="579">
        <f t="shared" si="1"/>
        <v>21627429.25</v>
      </c>
      <c r="J23" s="40">
        <f>+'SUMM BY CLUSTER- CONAP'!J49</f>
        <v>0</v>
      </c>
      <c r="K23" s="40">
        <f>+'SUMM BY CLUSTER- CONAP'!K49</f>
        <v>59053686.469999999</v>
      </c>
      <c r="L23" s="40">
        <f>+'SUMM BY CLUSTER- CONAP'!L49</f>
        <v>6724503.6600000001</v>
      </c>
      <c r="M23" s="579">
        <f t="shared" si="2"/>
        <v>65778190.129999995</v>
      </c>
      <c r="N23" s="40">
        <f t="shared" si="28"/>
        <v>0</v>
      </c>
      <c r="O23" s="40">
        <f t="shared" si="28"/>
        <v>55659115.719999999</v>
      </c>
      <c r="P23" s="40">
        <f t="shared" si="28"/>
        <v>31746503.66</v>
      </c>
      <c r="Q23" s="579">
        <f t="shared" si="3"/>
        <v>87405619.379999995</v>
      </c>
      <c r="R23" s="40">
        <f t="shared" si="4"/>
        <v>0</v>
      </c>
      <c r="S23" s="40">
        <f t="shared" si="4"/>
        <v>55909115.719999999</v>
      </c>
      <c r="T23" s="40">
        <f t="shared" si="4"/>
        <v>31746503.66</v>
      </c>
      <c r="U23" s="579">
        <f t="shared" si="5"/>
        <v>87655619.379999995</v>
      </c>
      <c r="V23" s="40">
        <f>+'SUMM BY CLUSTER- CONAP'!V49</f>
        <v>0</v>
      </c>
      <c r="W23" s="40">
        <f>+'SUMM BY CLUSTER- CONAP'!W49</f>
        <v>250000</v>
      </c>
      <c r="X23" s="40">
        <f>+'SUMM BY CLUSTER- CONAP'!X49</f>
        <v>0</v>
      </c>
      <c r="Y23" s="579">
        <f t="shared" si="6"/>
        <v>250000</v>
      </c>
      <c r="Z23" s="40">
        <f>+'SUMM BY CLUSTER- CONAP'!Z49</f>
        <v>0</v>
      </c>
      <c r="AA23" s="40">
        <f>+'SUMM BY CLUSTER- CONAP'!AA49</f>
        <v>52485054.689999998</v>
      </c>
      <c r="AB23" s="40">
        <f>+'SUMM BY CLUSTER- CONAP'!AB49</f>
        <v>21413812.789999999</v>
      </c>
      <c r="AC23" s="579">
        <f t="shared" si="7"/>
        <v>73898867.479999989</v>
      </c>
      <c r="AD23" s="40">
        <f t="shared" si="14"/>
        <v>0</v>
      </c>
      <c r="AE23" s="40">
        <f t="shared" si="15"/>
        <v>52735054.689999998</v>
      </c>
      <c r="AF23" s="40">
        <f t="shared" si="16"/>
        <v>21413812.789999999</v>
      </c>
      <c r="AG23" s="579">
        <f t="shared" si="17"/>
        <v>74148867.479999989</v>
      </c>
      <c r="AH23" s="579">
        <f t="shared" si="18"/>
        <v>0</v>
      </c>
      <c r="AI23" s="40">
        <f t="shared" si="19"/>
        <v>3174061.0300000012</v>
      </c>
      <c r="AJ23" s="40">
        <f t="shared" si="20"/>
        <v>10332690.870000001</v>
      </c>
      <c r="AK23" s="579">
        <f t="shared" si="21"/>
        <v>13506751.900000002</v>
      </c>
      <c r="AL23" s="600" t="str">
        <f t="shared" si="22"/>
        <v xml:space="preserve"> </v>
      </c>
      <c r="AM23" s="600">
        <f t="shared" si="22"/>
        <v>0.94322820189294165</v>
      </c>
      <c r="AN23" s="600">
        <f t="shared" si="22"/>
        <v>0.67452507587413479</v>
      </c>
      <c r="AO23" s="600">
        <f t="shared" si="22"/>
        <v>0.84591116923780718</v>
      </c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</row>
    <row r="24" spans="1:64" s="16" customFormat="1">
      <c r="A24" s="596"/>
      <c r="B24" s="40"/>
      <c r="C24" s="40"/>
      <c r="D24" s="40"/>
      <c r="E24" s="41">
        <f t="shared" si="0"/>
        <v>0</v>
      </c>
      <c r="F24" s="40"/>
      <c r="G24" s="40"/>
      <c r="H24" s="40"/>
      <c r="I24" s="41">
        <f t="shared" si="1"/>
        <v>0</v>
      </c>
      <c r="J24" s="40"/>
      <c r="K24" s="40"/>
      <c r="L24" s="40"/>
      <c r="M24" s="41">
        <f t="shared" si="2"/>
        <v>0</v>
      </c>
      <c r="N24" s="40">
        <f t="shared" si="28"/>
        <v>0</v>
      </c>
      <c r="O24" s="40">
        <f t="shared" si="28"/>
        <v>0</v>
      </c>
      <c r="P24" s="40">
        <f t="shared" si="28"/>
        <v>0</v>
      </c>
      <c r="Q24" s="41">
        <f t="shared" si="3"/>
        <v>0</v>
      </c>
      <c r="R24" s="40">
        <f t="shared" si="4"/>
        <v>0</v>
      </c>
      <c r="S24" s="40">
        <f t="shared" si="4"/>
        <v>0</v>
      </c>
      <c r="T24" s="40">
        <f t="shared" si="4"/>
        <v>0</v>
      </c>
      <c r="U24" s="41">
        <f t="shared" si="5"/>
        <v>0</v>
      </c>
      <c r="V24" s="40"/>
      <c r="W24" s="40"/>
      <c r="X24" s="40"/>
      <c r="Y24" s="41">
        <f t="shared" si="6"/>
        <v>0</v>
      </c>
      <c r="Z24" s="40"/>
      <c r="AA24" s="40"/>
      <c r="AB24" s="40"/>
      <c r="AC24" s="41">
        <f t="shared" si="7"/>
        <v>0</v>
      </c>
      <c r="AD24" s="40">
        <f t="shared" si="14"/>
        <v>0</v>
      </c>
      <c r="AE24" s="40">
        <f t="shared" si="15"/>
        <v>0</v>
      </c>
      <c r="AF24" s="40">
        <f t="shared" si="16"/>
        <v>0</v>
      </c>
      <c r="AG24" s="41">
        <f t="shared" si="17"/>
        <v>0</v>
      </c>
      <c r="AH24" s="41">
        <f t="shared" si="18"/>
        <v>0</v>
      </c>
      <c r="AI24" s="40">
        <f t="shared" si="19"/>
        <v>0</v>
      </c>
      <c r="AJ24" s="40">
        <f t="shared" si="20"/>
        <v>0</v>
      </c>
      <c r="AK24" s="41">
        <f t="shared" si="21"/>
        <v>0</v>
      </c>
      <c r="AL24" s="601" t="str">
        <f t="shared" si="22"/>
        <v xml:space="preserve"> </v>
      </c>
      <c r="AM24" s="601" t="str">
        <f t="shared" si="22"/>
        <v xml:space="preserve"> </v>
      </c>
      <c r="AN24" s="601" t="str">
        <f t="shared" si="22"/>
        <v xml:space="preserve"> </v>
      </c>
      <c r="AO24" s="601" t="str">
        <f t="shared" si="22"/>
        <v xml:space="preserve"> </v>
      </c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</row>
    <row r="25" spans="1:64" s="609" customFormat="1" ht="16.5">
      <c r="A25" s="595" t="s">
        <v>440</v>
      </c>
      <c r="B25" s="37">
        <f>SUM(B26:B29)</f>
        <v>0</v>
      </c>
      <c r="C25" s="37">
        <f t="shared" ref="C25:D25" si="42">SUM(C26:C29)</f>
        <v>12202447.789999999</v>
      </c>
      <c r="D25" s="37">
        <f t="shared" si="42"/>
        <v>1237960</v>
      </c>
      <c r="E25" s="37">
        <f t="shared" si="0"/>
        <v>13440407.789999999</v>
      </c>
      <c r="F25" s="37">
        <f>SUM(F26:F29)</f>
        <v>0</v>
      </c>
      <c r="G25" s="37">
        <f t="shared" ref="G25" si="43">SUM(G26:G29)</f>
        <v>-23411517.109999999</v>
      </c>
      <c r="H25" s="37">
        <f t="shared" ref="H25" si="44">SUM(H26:H29)</f>
        <v>39159900</v>
      </c>
      <c r="I25" s="37">
        <f t="shared" si="1"/>
        <v>15748382.890000001</v>
      </c>
      <c r="J25" s="37">
        <f>SUM(J26:J29)</f>
        <v>0</v>
      </c>
      <c r="K25" s="37">
        <f t="shared" ref="K25" si="45">SUM(K26:K29)</f>
        <v>121976430.42999998</v>
      </c>
      <c r="L25" s="37">
        <f t="shared" ref="L25" si="46">SUM(L26:L29)</f>
        <v>248194531.64000002</v>
      </c>
      <c r="M25" s="37">
        <f t="shared" si="2"/>
        <v>370170962.06999999</v>
      </c>
      <c r="N25" s="37">
        <f t="shared" si="28"/>
        <v>0</v>
      </c>
      <c r="O25" s="37">
        <f t="shared" si="28"/>
        <v>98564913.319999978</v>
      </c>
      <c r="P25" s="37">
        <f t="shared" si="28"/>
        <v>287354431.63999999</v>
      </c>
      <c r="Q25" s="37">
        <f t="shared" si="3"/>
        <v>385919344.95999998</v>
      </c>
      <c r="R25" s="37">
        <f t="shared" si="4"/>
        <v>0</v>
      </c>
      <c r="S25" s="37">
        <f t="shared" si="4"/>
        <v>110767361.10999998</v>
      </c>
      <c r="T25" s="37">
        <f t="shared" si="4"/>
        <v>288592391.63999999</v>
      </c>
      <c r="U25" s="37">
        <f t="shared" si="5"/>
        <v>399359752.75</v>
      </c>
      <c r="V25" s="37">
        <f>SUM(V26:V29)</f>
        <v>0</v>
      </c>
      <c r="W25" s="37">
        <f t="shared" ref="W25" si="47">SUM(W26:W29)</f>
        <v>11904747.130000001</v>
      </c>
      <c r="X25" s="37">
        <f t="shared" ref="X25" si="48">SUM(X26:X29)</f>
        <v>1188000.03</v>
      </c>
      <c r="Y25" s="37">
        <f t="shared" si="6"/>
        <v>13092747.16</v>
      </c>
      <c r="Z25" s="37">
        <f>SUM(Z26:Z29)</f>
        <v>0</v>
      </c>
      <c r="AA25" s="37">
        <f t="shared" ref="AA25" si="49">SUM(AA26:AA29)</f>
        <v>71000370.450000003</v>
      </c>
      <c r="AB25" s="37">
        <f t="shared" ref="AB25" si="50">SUM(AB26:AB29)</f>
        <v>225804014.96999997</v>
      </c>
      <c r="AC25" s="37">
        <f t="shared" si="7"/>
        <v>296804385.41999996</v>
      </c>
      <c r="AD25" s="37">
        <f t="shared" si="14"/>
        <v>0</v>
      </c>
      <c r="AE25" s="37">
        <f t="shared" si="15"/>
        <v>82905117.579999998</v>
      </c>
      <c r="AF25" s="37">
        <f t="shared" si="16"/>
        <v>226992014.99999997</v>
      </c>
      <c r="AG25" s="37">
        <f t="shared" si="17"/>
        <v>309897132.57999998</v>
      </c>
      <c r="AH25" s="37">
        <f t="shared" si="18"/>
        <v>0</v>
      </c>
      <c r="AI25" s="37">
        <f t="shared" si="19"/>
        <v>27862243.529999986</v>
      </c>
      <c r="AJ25" s="37">
        <f t="shared" si="20"/>
        <v>61600376.640000015</v>
      </c>
      <c r="AK25" s="37">
        <f t="shared" si="21"/>
        <v>89462620.170000002</v>
      </c>
      <c r="AL25" s="608" t="str">
        <f t="shared" si="22"/>
        <v xml:space="preserve"> </v>
      </c>
      <c r="AM25" s="608">
        <f t="shared" si="22"/>
        <v>0.74846161133756028</v>
      </c>
      <c r="AN25" s="608">
        <f t="shared" si="22"/>
        <v>0.78654885428565824</v>
      </c>
      <c r="AO25" s="608">
        <f t="shared" si="22"/>
        <v>0.77598488692473777</v>
      </c>
      <c r="AP25" s="1376">
        <f>+AK25-'SUMM BY CLUSTER- CONAP'!AK55</f>
        <v>0</v>
      </c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</row>
    <row r="26" spans="1:64" s="16" customFormat="1">
      <c r="A26" s="596" t="s">
        <v>115</v>
      </c>
      <c r="B26" s="40">
        <f>+'SUMM BY CLUSTER- CONAP'!B56</f>
        <v>0</v>
      </c>
      <c r="C26" s="40">
        <f>+'SUMM BY CLUSTER- CONAP'!C56</f>
        <v>229891.40000000002</v>
      </c>
      <c r="D26" s="40">
        <f>+'SUMM BY CLUSTER- CONAP'!D56</f>
        <v>1237960</v>
      </c>
      <c r="E26" s="579">
        <f t="shared" si="0"/>
        <v>1467851.4</v>
      </c>
      <c r="F26" s="40">
        <f>+'SUMM BY CLUSTER- CONAP'!F56</f>
        <v>0</v>
      </c>
      <c r="G26" s="40">
        <f>+'SUMM BY CLUSTER- CONAP'!G56</f>
        <v>-2174467.6500000004</v>
      </c>
      <c r="H26" s="40">
        <f>+'SUMM BY CLUSTER- CONAP'!H56</f>
        <v>11498400</v>
      </c>
      <c r="I26" s="579">
        <f t="shared" si="1"/>
        <v>9323932.3499999996</v>
      </c>
      <c r="J26" s="40">
        <f>+'SUMM BY CLUSTER- CONAP'!J56</f>
        <v>0</v>
      </c>
      <c r="K26" s="40">
        <f>+'SUMM BY CLUSTER- CONAP'!K56</f>
        <v>9978574.569999991</v>
      </c>
      <c r="L26" s="40">
        <f>+'SUMM BY CLUSTER- CONAP'!L56</f>
        <v>140564542.78</v>
      </c>
      <c r="M26" s="579">
        <f t="shared" si="2"/>
        <v>150543117.34999999</v>
      </c>
      <c r="N26" s="40">
        <f t="shared" si="28"/>
        <v>0</v>
      </c>
      <c r="O26" s="40">
        <f t="shared" si="28"/>
        <v>7804106.9199999906</v>
      </c>
      <c r="P26" s="40">
        <f t="shared" si="28"/>
        <v>152062942.78</v>
      </c>
      <c r="Q26" s="579">
        <f t="shared" si="3"/>
        <v>159867049.69999999</v>
      </c>
      <c r="R26" s="40">
        <f t="shared" si="4"/>
        <v>0</v>
      </c>
      <c r="S26" s="40">
        <f t="shared" si="4"/>
        <v>8033998.319999991</v>
      </c>
      <c r="T26" s="40">
        <f t="shared" si="4"/>
        <v>153300902.78</v>
      </c>
      <c r="U26" s="579">
        <f t="shared" si="5"/>
        <v>161334901.09999999</v>
      </c>
      <c r="V26" s="40">
        <f>+'SUMM BY CLUSTER- CONAP'!V56</f>
        <v>0</v>
      </c>
      <c r="W26" s="40">
        <f>+'SUMM BY CLUSTER- CONAP'!W56</f>
        <v>229891.40000000002</v>
      </c>
      <c r="X26" s="40">
        <f>+'SUMM BY CLUSTER- CONAP'!X56</f>
        <v>1188000.03</v>
      </c>
      <c r="Y26" s="579">
        <f t="shared" si="6"/>
        <v>1417891.4300000002</v>
      </c>
      <c r="Z26" s="40">
        <f>+'SUMM BY CLUSTER- CONAP'!Z56</f>
        <v>0</v>
      </c>
      <c r="AA26" s="40">
        <f>+'SUMM BY CLUSTER- CONAP'!AA56</f>
        <v>7556806.3700000001</v>
      </c>
      <c r="AB26" s="40">
        <f>+'SUMM BY CLUSTER- CONAP'!AB56</f>
        <v>123544037.11</v>
      </c>
      <c r="AC26" s="579">
        <f t="shared" si="7"/>
        <v>131100843.48</v>
      </c>
      <c r="AD26" s="40">
        <f t="shared" si="14"/>
        <v>0</v>
      </c>
      <c r="AE26" s="40">
        <f t="shared" si="15"/>
        <v>7786697.7700000005</v>
      </c>
      <c r="AF26" s="40">
        <f t="shared" si="16"/>
        <v>124732037.14</v>
      </c>
      <c r="AG26" s="579">
        <f t="shared" si="17"/>
        <v>132518734.91</v>
      </c>
      <c r="AH26" s="579">
        <f t="shared" si="18"/>
        <v>0</v>
      </c>
      <c r="AI26" s="40">
        <f t="shared" si="19"/>
        <v>247300.5499999905</v>
      </c>
      <c r="AJ26" s="40">
        <f t="shared" si="20"/>
        <v>28568865.640000001</v>
      </c>
      <c r="AK26" s="579">
        <f t="shared" si="21"/>
        <v>28816166.18999999</v>
      </c>
      <c r="AL26" s="600" t="str">
        <f t="shared" si="22"/>
        <v xml:space="preserve"> </v>
      </c>
      <c r="AM26" s="600">
        <f t="shared" si="22"/>
        <v>0.96921824723508399</v>
      </c>
      <c r="AN26" s="600">
        <f t="shared" si="22"/>
        <v>0.81364189563189471</v>
      </c>
      <c r="AO26" s="600">
        <f t="shared" si="22"/>
        <v>0.82138913531090885</v>
      </c>
    </row>
    <row r="27" spans="1:64" s="16" customFormat="1">
      <c r="A27" s="596" t="s">
        <v>442</v>
      </c>
      <c r="B27" s="40">
        <f>+'SUMM BY CLUSTER- CONAP'!B63</f>
        <v>0</v>
      </c>
      <c r="C27" s="40">
        <f>+'SUMM BY CLUSTER- CONAP'!C63</f>
        <v>2548615.1400000025</v>
      </c>
      <c r="D27" s="40">
        <f>+'SUMM BY CLUSTER- CONAP'!D63</f>
        <v>0</v>
      </c>
      <c r="E27" s="579">
        <f t="shared" si="0"/>
        <v>2548615.1400000025</v>
      </c>
      <c r="F27" s="40">
        <f>+'SUMM BY CLUSTER- CONAP'!F63</f>
        <v>0</v>
      </c>
      <c r="G27" s="40">
        <f>+'SUMM BY CLUSTER- CONAP'!G63</f>
        <v>-4170606.4000000004</v>
      </c>
      <c r="H27" s="40">
        <f>+'SUMM BY CLUSTER- CONAP'!H63</f>
        <v>8133000</v>
      </c>
      <c r="I27" s="579">
        <f t="shared" si="1"/>
        <v>3962393.5999999996</v>
      </c>
      <c r="J27" s="40">
        <f>+'SUMM BY CLUSTER- CONAP'!J63</f>
        <v>0</v>
      </c>
      <c r="K27" s="40">
        <f>+'SUMM BY CLUSTER- CONAP'!K63</f>
        <v>12704407.78999999</v>
      </c>
      <c r="L27" s="40">
        <f>+'SUMM BY CLUSTER- CONAP'!L63</f>
        <v>78473191.560000002</v>
      </c>
      <c r="M27" s="579">
        <f t="shared" si="2"/>
        <v>91177599.349999994</v>
      </c>
      <c r="N27" s="40">
        <f t="shared" si="28"/>
        <v>0</v>
      </c>
      <c r="O27" s="40">
        <f t="shared" si="28"/>
        <v>8533801.3899999894</v>
      </c>
      <c r="P27" s="40">
        <f t="shared" si="28"/>
        <v>86606191.560000002</v>
      </c>
      <c r="Q27" s="579">
        <f t="shared" si="3"/>
        <v>95139992.949999988</v>
      </c>
      <c r="R27" s="40">
        <f t="shared" si="4"/>
        <v>0</v>
      </c>
      <c r="S27" s="40">
        <f t="shared" si="4"/>
        <v>11082416.529999992</v>
      </c>
      <c r="T27" s="40">
        <f t="shared" si="4"/>
        <v>86606191.560000002</v>
      </c>
      <c r="U27" s="579">
        <f t="shared" si="5"/>
        <v>97688608.089999989</v>
      </c>
      <c r="V27" s="40">
        <f>+'SUMM BY CLUSTER- CONAP'!V63</f>
        <v>0</v>
      </c>
      <c r="W27" s="40">
        <f>+'SUMM BY CLUSTER- CONAP'!W63</f>
        <v>2545377.87</v>
      </c>
      <c r="X27" s="40">
        <f>+'SUMM BY CLUSTER- CONAP'!X63</f>
        <v>0</v>
      </c>
      <c r="Y27" s="579">
        <f t="shared" si="6"/>
        <v>2545377.87</v>
      </c>
      <c r="Z27" s="40">
        <f>+'SUMM BY CLUSTER- CONAP'!Z63</f>
        <v>0</v>
      </c>
      <c r="AA27" s="40">
        <f>+'SUMM BY CLUSTER- CONAP'!AA63</f>
        <v>7368299.1799999997</v>
      </c>
      <c r="AB27" s="40">
        <f>+'SUMM BY CLUSTER- CONAP'!AB63</f>
        <v>80297091.36999999</v>
      </c>
      <c r="AC27" s="579">
        <f t="shared" si="7"/>
        <v>87665390.549999982</v>
      </c>
      <c r="AD27" s="40">
        <f t="shared" si="14"/>
        <v>0</v>
      </c>
      <c r="AE27" s="40">
        <f t="shared" si="15"/>
        <v>9913677.0500000007</v>
      </c>
      <c r="AF27" s="40">
        <f t="shared" si="16"/>
        <v>80297091.36999999</v>
      </c>
      <c r="AG27" s="579">
        <f t="shared" si="17"/>
        <v>90210768.419999987</v>
      </c>
      <c r="AH27" s="579">
        <f t="shared" si="18"/>
        <v>0</v>
      </c>
      <c r="AI27" s="40">
        <f t="shared" si="19"/>
        <v>1168739.4799999911</v>
      </c>
      <c r="AJ27" s="40">
        <f t="shared" si="20"/>
        <v>6309100.1900000125</v>
      </c>
      <c r="AK27" s="579">
        <f t="shared" si="21"/>
        <v>7477839.6700000037</v>
      </c>
      <c r="AL27" s="600" t="str">
        <f t="shared" si="22"/>
        <v xml:space="preserve"> </v>
      </c>
      <c r="AM27" s="600">
        <f t="shared" si="22"/>
        <v>0.89454109788815239</v>
      </c>
      <c r="AN27" s="600">
        <f t="shared" si="22"/>
        <v>0.92715185743239703</v>
      </c>
      <c r="AO27" s="600">
        <f t="shared" si="22"/>
        <v>0.92345228562259063</v>
      </c>
    </row>
    <row r="28" spans="1:64" s="16" customFormat="1">
      <c r="A28" s="596" t="s">
        <v>443</v>
      </c>
      <c r="B28" s="40">
        <f>+'SUMM BY CLUSTER- CONAP'!B69</f>
        <v>0</v>
      </c>
      <c r="C28" s="40">
        <f>+'SUMM BY CLUSTER- CONAP'!C69</f>
        <v>2752747.4599999981</v>
      </c>
      <c r="D28" s="40">
        <f>+'SUMM BY CLUSTER- CONAP'!D69</f>
        <v>0</v>
      </c>
      <c r="E28" s="579">
        <f t="shared" si="0"/>
        <v>2752747.4599999981</v>
      </c>
      <c r="F28" s="40">
        <f>+'SUMM BY CLUSTER- CONAP'!F69</f>
        <v>0</v>
      </c>
      <c r="G28" s="40">
        <f>+'SUMM BY CLUSTER- CONAP'!G69</f>
        <v>-3648864.24</v>
      </c>
      <c r="H28" s="40">
        <f>+'SUMM BY CLUSTER- CONAP'!H69</f>
        <v>12615500</v>
      </c>
      <c r="I28" s="579">
        <f t="shared" si="1"/>
        <v>8966635.7599999998</v>
      </c>
      <c r="J28" s="40">
        <f>+'SUMM BY CLUSTER- CONAP'!J69</f>
        <v>0</v>
      </c>
      <c r="K28" s="40">
        <f>+'SUMM BY CLUSTER- CONAP'!K69</f>
        <v>32289782.530000001</v>
      </c>
      <c r="L28" s="40">
        <f>+'SUMM BY CLUSTER- CONAP'!L69</f>
        <v>7284803.5800000001</v>
      </c>
      <c r="M28" s="579">
        <f t="shared" si="2"/>
        <v>39574586.109999999</v>
      </c>
      <c r="N28" s="40">
        <f t="shared" si="28"/>
        <v>0</v>
      </c>
      <c r="O28" s="40">
        <f t="shared" si="28"/>
        <v>28640918.289999999</v>
      </c>
      <c r="P28" s="40">
        <f t="shared" si="28"/>
        <v>19900303.579999998</v>
      </c>
      <c r="Q28" s="579">
        <f t="shared" si="3"/>
        <v>48541221.869999997</v>
      </c>
      <c r="R28" s="40">
        <f t="shared" si="4"/>
        <v>0</v>
      </c>
      <c r="S28" s="40">
        <f t="shared" si="4"/>
        <v>31393665.749999996</v>
      </c>
      <c r="T28" s="40">
        <f t="shared" si="4"/>
        <v>19900303.579999998</v>
      </c>
      <c r="U28" s="579">
        <f t="shared" si="5"/>
        <v>51293969.329999998</v>
      </c>
      <c r="V28" s="40">
        <f>+'SUMM BY CLUSTER- CONAP'!V69</f>
        <v>0</v>
      </c>
      <c r="W28" s="40">
        <f>+'SUMM BY CLUSTER- CONAP'!W69</f>
        <v>2752736.46</v>
      </c>
      <c r="X28" s="40">
        <f>+'SUMM BY CLUSTER- CONAP'!X69</f>
        <v>0</v>
      </c>
      <c r="Y28" s="579">
        <f t="shared" si="6"/>
        <v>2752736.46</v>
      </c>
      <c r="Z28" s="40">
        <f>+'SUMM BY CLUSTER- CONAP'!Z69</f>
        <v>0</v>
      </c>
      <c r="AA28" s="40">
        <f>+'SUMM BY CLUSTER- CONAP'!AA69</f>
        <v>29663416.479999997</v>
      </c>
      <c r="AB28" s="40">
        <f>+'SUMM BY CLUSTER- CONAP'!AB69</f>
        <v>10941703.109999999</v>
      </c>
      <c r="AC28" s="579">
        <f t="shared" si="7"/>
        <v>40605119.589999996</v>
      </c>
      <c r="AD28" s="40">
        <f t="shared" si="14"/>
        <v>0</v>
      </c>
      <c r="AE28" s="40">
        <f t="shared" si="15"/>
        <v>32416152.939999998</v>
      </c>
      <c r="AF28" s="40">
        <f t="shared" si="16"/>
        <v>10941703.109999999</v>
      </c>
      <c r="AG28" s="579">
        <f t="shared" si="17"/>
        <v>43357856.049999997</v>
      </c>
      <c r="AH28" s="579">
        <f t="shared" si="18"/>
        <v>0</v>
      </c>
      <c r="AI28" s="40">
        <f t="shared" si="19"/>
        <v>-1022487.1900000013</v>
      </c>
      <c r="AJ28" s="40">
        <f t="shared" si="20"/>
        <v>8958600.4699999988</v>
      </c>
      <c r="AK28" s="579">
        <f t="shared" si="21"/>
        <v>7936113.2799999975</v>
      </c>
      <c r="AL28" s="600" t="str">
        <f t="shared" si="22"/>
        <v xml:space="preserve"> </v>
      </c>
      <c r="AM28" s="600">
        <f t="shared" si="22"/>
        <v>1.0325698565482115</v>
      </c>
      <c r="AN28" s="600">
        <f t="shared" si="22"/>
        <v>0.54982593938901114</v>
      </c>
      <c r="AO28" s="600">
        <f t="shared" si="22"/>
        <v>0.84528174786117682</v>
      </c>
    </row>
    <row r="29" spans="1:64" s="16" customFormat="1">
      <c r="A29" s="596" t="s">
        <v>444</v>
      </c>
      <c r="B29" s="40">
        <f>+'SUMM BY CLUSTER- CONAP'!B76</f>
        <v>0</v>
      </c>
      <c r="C29" s="40">
        <f>+'SUMM BY CLUSTER- CONAP'!C76</f>
        <v>6671193.79</v>
      </c>
      <c r="D29" s="40">
        <f>+'SUMM BY CLUSTER- CONAP'!D76</f>
        <v>0</v>
      </c>
      <c r="E29" s="579">
        <f t="shared" si="0"/>
        <v>6671193.79</v>
      </c>
      <c r="F29" s="40">
        <f>+'SUMM BY CLUSTER- CONAP'!F76</f>
        <v>0</v>
      </c>
      <c r="G29" s="40">
        <f>+'SUMM BY CLUSTER- CONAP'!G76</f>
        <v>-13417578.82</v>
      </c>
      <c r="H29" s="40">
        <f>+'SUMM BY CLUSTER- CONAP'!H76</f>
        <v>6913000</v>
      </c>
      <c r="I29" s="579">
        <f t="shared" si="1"/>
        <v>-6504578.8200000003</v>
      </c>
      <c r="J29" s="40">
        <f>+'SUMM BY CLUSTER- CONAP'!J76</f>
        <v>0</v>
      </c>
      <c r="K29" s="40">
        <f>+'SUMM BY CLUSTER- CONAP'!K76</f>
        <v>67003665.539999999</v>
      </c>
      <c r="L29" s="40">
        <f>+'SUMM BY CLUSTER- CONAP'!L76</f>
        <v>21871993.719999999</v>
      </c>
      <c r="M29" s="579">
        <f t="shared" si="2"/>
        <v>88875659.25999999</v>
      </c>
      <c r="N29" s="40">
        <f t="shared" si="28"/>
        <v>0</v>
      </c>
      <c r="O29" s="40">
        <f t="shared" si="28"/>
        <v>53586086.719999999</v>
      </c>
      <c r="P29" s="40">
        <f t="shared" si="28"/>
        <v>28784993.719999999</v>
      </c>
      <c r="Q29" s="579">
        <f t="shared" si="3"/>
        <v>82371080.439999998</v>
      </c>
      <c r="R29" s="40">
        <f t="shared" si="4"/>
        <v>0</v>
      </c>
      <c r="S29" s="40">
        <f t="shared" si="4"/>
        <v>60257280.509999998</v>
      </c>
      <c r="T29" s="40">
        <f t="shared" si="4"/>
        <v>28784993.719999999</v>
      </c>
      <c r="U29" s="579">
        <f t="shared" si="5"/>
        <v>89042274.229999989</v>
      </c>
      <c r="V29" s="40">
        <f>+'SUMM BY CLUSTER- CONAP'!V76</f>
        <v>0</v>
      </c>
      <c r="W29" s="40">
        <f>+'SUMM BY CLUSTER- CONAP'!W76</f>
        <v>6376741.4000000004</v>
      </c>
      <c r="X29" s="40">
        <f>+'SUMM BY CLUSTER- CONAP'!X76</f>
        <v>0</v>
      </c>
      <c r="Y29" s="579">
        <f t="shared" si="6"/>
        <v>6376741.4000000004</v>
      </c>
      <c r="Z29" s="40">
        <f>+'SUMM BY CLUSTER- CONAP'!Z76</f>
        <v>0</v>
      </c>
      <c r="AA29" s="40">
        <f>+'SUMM BY CLUSTER- CONAP'!AA76</f>
        <v>26411848.420000006</v>
      </c>
      <c r="AB29" s="40">
        <f>+'SUMM BY CLUSTER- CONAP'!AB76</f>
        <v>11021183.379999999</v>
      </c>
      <c r="AC29" s="579">
        <f t="shared" si="7"/>
        <v>37433031.800000004</v>
      </c>
      <c r="AD29" s="40">
        <f t="shared" si="14"/>
        <v>0</v>
      </c>
      <c r="AE29" s="40">
        <f t="shared" si="15"/>
        <v>32788589.820000008</v>
      </c>
      <c r="AF29" s="40">
        <f t="shared" si="16"/>
        <v>11021183.379999999</v>
      </c>
      <c r="AG29" s="579">
        <f t="shared" si="17"/>
        <v>43809773.200000003</v>
      </c>
      <c r="AH29" s="579">
        <f t="shared" si="18"/>
        <v>0</v>
      </c>
      <c r="AI29" s="40">
        <f t="shared" si="19"/>
        <v>27468690.68999999</v>
      </c>
      <c r="AJ29" s="40">
        <f t="shared" si="20"/>
        <v>17763810.34</v>
      </c>
      <c r="AK29" s="579">
        <f t="shared" si="21"/>
        <v>45232501.029999986</v>
      </c>
      <c r="AL29" s="600" t="str">
        <f t="shared" si="22"/>
        <v xml:space="preserve"> </v>
      </c>
      <c r="AM29" s="600">
        <f t="shared" si="22"/>
        <v>0.5441432063061421</v>
      </c>
      <c r="AN29" s="600">
        <f t="shared" si="22"/>
        <v>0.38287947835619673</v>
      </c>
      <c r="AO29" s="600">
        <f t="shared" si="22"/>
        <v>0.49201094175601906</v>
      </c>
    </row>
    <row r="30" spans="1:64" s="16" customFormat="1">
      <c r="A30" s="596"/>
      <c r="B30" s="40"/>
      <c r="C30" s="40"/>
      <c r="D30" s="40"/>
      <c r="E30" s="41">
        <f t="shared" si="0"/>
        <v>0</v>
      </c>
      <c r="F30" s="40"/>
      <c r="G30" s="40"/>
      <c r="H30" s="40"/>
      <c r="I30" s="41">
        <f t="shared" si="1"/>
        <v>0</v>
      </c>
      <c r="J30" s="40"/>
      <c r="K30" s="40"/>
      <c r="L30" s="40"/>
      <c r="M30" s="41">
        <f t="shared" si="2"/>
        <v>0</v>
      </c>
      <c r="N30" s="40">
        <f t="shared" si="28"/>
        <v>0</v>
      </c>
      <c r="O30" s="40">
        <f t="shared" si="28"/>
        <v>0</v>
      </c>
      <c r="P30" s="40">
        <f t="shared" si="28"/>
        <v>0</v>
      </c>
      <c r="Q30" s="41">
        <f t="shared" si="3"/>
        <v>0</v>
      </c>
      <c r="R30" s="40">
        <f t="shared" si="4"/>
        <v>0</v>
      </c>
      <c r="S30" s="40">
        <f t="shared" si="4"/>
        <v>0</v>
      </c>
      <c r="T30" s="40">
        <f t="shared" si="4"/>
        <v>0</v>
      </c>
      <c r="U30" s="41">
        <f t="shared" si="5"/>
        <v>0</v>
      </c>
      <c r="V30" s="40"/>
      <c r="W30" s="40"/>
      <c r="X30" s="40"/>
      <c r="Y30" s="41">
        <f t="shared" si="6"/>
        <v>0</v>
      </c>
      <c r="Z30" s="40"/>
      <c r="AA30" s="40"/>
      <c r="AB30" s="40"/>
      <c r="AC30" s="41">
        <f t="shared" si="7"/>
        <v>0</v>
      </c>
      <c r="AD30" s="40">
        <f t="shared" si="14"/>
        <v>0</v>
      </c>
      <c r="AE30" s="40">
        <f t="shared" si="15"/>
        <v>0</v>
      </c>
      <c r="AF30" s="40">
        <f t="shared" si="16"/>
        <v>0</v>
      </c>
      <c r="AG30" s="41">
        <f t="shared" si="17"/>
        <v>0</v>
      </c>
      <c r="AH30" s="41">
        <f t="shared" si="18"/>
        <v>0</v>
      </c>
      <c r="AI30" s="40">
        <f t="shared" si="19"/>
        <v>0</v>
      </c>
      <c r="AJ30" s="40">
        <f t="shared" si="20"/>
        <v>0</v>
      </c>
      <c r="AK30" s="41">
        <f t="shared" si="21"/>
        <v>0</v>
      </c>
      <c r="AL30" s="601" t="str">
        <f t="shared" si="22"/>
        <v xml:space="preserve"> </v>
      </c>
      <c r="AM30" s="601" t="str">
        <f t="shared" si="22"/>
        <v xml:space="preserve"> </v>
      </c>
      <c r="AN30" s="601" t="str">
        <f t="shared" si="22"/>
        <v xml:space="preserve"> </v>
      </c>
      <c r="AO30" s="601" t="str">
        <f t="shared" si="22"/>
        <v xml:space="preserve"> </v>
      </c>
    </row>
    <row r="31" spans="1:64" s="609" customFormat="1" ht="16.5">
      <c r="A31" s="595" t="s">
        <v>445</v>
      </c>
      <c r="B31" s="37">
        <f>SUM(B32:B34)</f>
        <v>0</v>
      </c>
      <c r="C31" s="37">
        <f t="shared" ref="C31:D31" si="51">SUM(C32:C34)</f>
        <v>26183173.360000018</v>
      </c>
      <c r="D31" s="37">
        <f t="shared" si="51"/>
        <v>100000000</v>
      </c>
      <c r="E31" s="37">
        <f t="shared" si="0"/>
        <v>126183173.36000001</v>
      </c>
      <c r="F31" s="37">
        <f>SUM(F32:F34)</f>
        <v>0</v>
      </c>
      <c r="G31" s="37">
        <f t="shared" ref="G31" si="52">SUM(G32:G34)</f>
        <v>-9501630.1799999978</v>
      </c>
      <c r="H31" s="37">
        <f t="shared" ref="H31" si="53">SUM(H32:H34)</f>
        <v>-51783838</v>
      </c>
      <c r="I31" s="37">
        <f t="shared" si="1"/>
        <v>-61285468.18</v>
      </c>
      <c r="J31" s="37">
        <f>SUM(J32:J34)</f>
        <v>0</v>
      </c>
      <c r="K31" s="37">
        <f t="shared" ref="K31" si="54">SUM(K32:K34)</f>
        <v>154302046.08000001</v>
      </c>
      <c r="L31" s="37">
        <f t="shared" ref="L31" si="55">SUM(L32:L34)</f>
        <v>131469330.18000001</v>
      </c>
      <c r="M31" s="37">
        <f t="shared" si="2"/>
        <v>285771376.25999999</v>
      </c>
      <c r="N31" s="37">
        <f t="shared" si="28"/>
        <v>0</v>
      </c>
      <c r="O31" s="37">
        <f t="shared" si="28"/>
        <v>144800415.90000001</v>
      </c>
      <c r="P31" s="37">
        <f t="shared" si="28"/>
        <v>79685492.180000007</v>
      </c>
      <c r="Q31" s="37">
        <f t="shared" si="3"/>
        <v>224485908.08000001</v>
      </c>
      <c r="R31" s="37">
        <f t="shared" si="4"/>
        <v>0</v>
      </c>
      <c r="S31" s="37">
        <f t="shared" si="4"/>
        <v>170983589.26000002</v>
      </c>
      <c r="T31" s="37">
        <f t="shared" si="4"/>
        <v>179685492.18000001</v>
      </c>
      <c r="U31" s="37">
        <f t="shared" si="5"/>
        <v>350669081.44000006</v>
      </c>
      <c r="V31" s="37">
        <f>SUM(V32:V34)</f>
        <v>0</v>
      </c>
      <c r="W31" s="37">
        <f t="shared" ref="W31" si="56">SUM(W32:W34)</f>
        <v>9950825.459999999</v>
      </c>
      <c r="X31" s="37">
        <f t="shared" ref="X31" si="57">SUM(X32:X34)</f>
        <v>31356400</v>
      </c>
      <c r="Y31" s="37">
        <f t="shared" si="6"/>
        <v>41307225.460000001</v>
      </c>
      <c r="Z31" s="37">
        <f>SUM(Z32:Z34)</f>
        <v>0</v>
      </c>
      <c r="AA31" s="37">
        <f t="shared" ref="AA31" si="58">SUM(AA32:AA34)</f>
        <v>77745553.170000002</v>
      </c>
      <c r="AB31" s="37">
        <f t="shared" ref="AB31" si="59">SUM(AB32:AB34)</f>
        <v>20604435.850000001</v>
      </c>
      <c r="AC31" s="37">
        <f t="shared" si="7"/>
        <v>98349989.020000011</v>
      </c>
      <c r="AD31" s="37">
        <f t="shared" si="14"/>
        <v>0</v>
      </c>
      <c r="AE31" s="37">
        <f t="shared" si="15"/>
        <v>87696378.629999995</v>
      </c>
      <c r="AF31" s="37">
        <f t="shared" si="16"/>
        <v>51960835.850000001</v>
      </c>
      <c r="AG31" s="37">
        <f t="shared" si="17"/>
        <v>139657214.47999999</v>
      </c>
      <c r="AH31" s="37">
        <f t="shared" si="18"/>
        <v>0</v>
      </c>
      <c r="AI31" s="37">
        <f t="shared" si="19"/>
        <v>83287210.630000025</v>
      </c>
      <c r="AJ31" s="37">
        <f t="shared" si="20"/>
        <v>127724656.33000001</v>
      </c>
      <c r="AK31" s="37">
        <f t="shared" si="21"/>
        <v>211011866.96000004</v>
      </c>
      <c r="AL31" s="608" t="str">
        <f t="shared" si="22"/>
        <v xml:space="preserve"> </v>
      </c>
      <c r="AM31" s="608">
        <f t="shared" si="22"/>
        <v>0.51289354147694055</v>
      </c>
      <c r="AN31" s="608">
        <f t="shared" si="22"/>
        <v>0.28917657858514373</v>
      </c>
      <c r="AO31" s="608">
        <f t="shared" si="22"/>
        <v>0.39825927597182681</v>
      </c>
      <c r="AP31" s="1132">
        <f>+AK31-'SUMM BY CLUSTER- CONAP'!AK84</f>
        <v>0</v>
      </c>
    </row>
    <row r="32" spans="1:64" s="16" customFormat="1">
      <c r="A32" s="596" t="s">
        <v>446</v>
      </c>
      <c r="B32" s="40">
        <f>+'SUMM BY CLUSTER- CONAP'!B85</f>
        <v>0</v>
      </c>
      <c r="C32" s="40">
        <f>+'SUMM BY CLUSTER- CONAP'!C85</f>
        <v>19913096.379999999</v>
      </c>
      <c r="D32" s="40">
        <f>+'SUMM BY CLUSTER- CONAP'!D85</f>
        <v>100000000</v>
      </c>
      <c r="E32" s="579">
        <f t="shared" si="0"/>
        <v>119913096.38</v>
      </c>
      <c r="F32" s="40">
        <f>+'SUMM BY CLUSTER- CONAP'!F85</f>
        <v>0</v>
      </c>
      <c r="G32" s="40">
        <f>+'SUMM BY CLUSTER- CONAP'!G85</f>
        <v>-417244.9</v>
      </c>
      <c r="H32" s="40">
        <f>+'SUMM BY CLUSTER- CONAP'!H85</f>
        <v>4959400</v>
      </c>
      <c r="I32" s="579">
        <f t="shared" si="1"/>
        <v>4542155.0999999996</v>
      </c>
      <c r="J32" s="40">
        <f>+'SUMM BY CLUSTER- CONAP'!J85</f>
        <v>0</v>
      </c>
      <c r="K32" s="40">
        <f>+'SUMM BY CLUSTER- CONAP'!K85</f>
        <v>50552211.870000005</v>
      </c>
      <c r="L32" s="40">
        <f>+'SUMM BY CLUSTER- CONAP'!L85</f>
        <v>360682.56</v>
      </c>
      <c r="M32" s="579">
        <f t="shared" si="2"/>
        <v>50912894.430000007</v>
      </c>
      <c r="N32" s="40">
        <f t="shared" si="28"/>
        <v>0</v>
      </c>
      <c r="O32" s="40">
        <f t="shared" si="28"/>
        <v>50134966.970000006</v>
      </c>
      <c r="P32" s="40">
        <f t="shared" si="28"/>
        <v>5320082.5599999996</v>
      </c>
      <c r="Q32" s="579">
        <f t="shared" si="3"/>
        <v>55455049.530000009</v>
      </c>
      <c r="R32" s="40">
        <f t="shared" si="4"/>
        <v>0</v>
      </c>
      <c r="S32" s="40">
        <f t="shared" si="4"/>
        <v>70048063.350000009</v>
      </c>
      <c r="T32" s="40">
        <f t="shared" si="4"/>
        <v>105320082.56</v>
      </c>
      <c r="U32" s="579">
        <f t="shared" si="5"/>
        <v>175368145.91000003</v>
      </c>
      <c r="V32" s="40">
        <f>+'SUMM BY CLUSTER- CONAP'!V85</f>
        <v>0</v>
      </c>
      <c r="W32" s="40">
        <f>+'SUMM BY CLUSTER- CONAP'!W85</f>
        <v>4299415.8099999996</v>
      </c>
      <c r="X32" s="40">
        <f>+'SUMM BY CLUSTER- CONAP'!X85</f>
        <v>31356400</v>
      </c>
      <c r="Y32" s="579">
        <f t="shared" si="6"/>
        <v>35655815.810000002</v>
      </c>
      <c r="Z32" s="40">
        <f>+'SUMM BY CLUSTER- CONAP'!Z85</f>
        <v>0</v>
      </c>
      <c r="AA32" s="40">
        <f>+'SUMM BY CLUSTER- CONAP'!AA85</f>
        <v>24149677.859999999</v>
      </c>
      <c r="AB32" s="40">
        <f>+'SUMM BY CLUSTER- CONAP'!AB85</f>
        <v>280210</v>
      </c>
      <c r="AC32" s="579">
        <f t="shared" si="7"/>
        <v>24429887.859999999</v>
      </c>
      <c r="AD32" s="40">
        <f t="shared" si="14"/>
        <v>0</v>
      </c>
      <c r="AE32" s="40">
        <f t="shared" si="15"/>
        <v>28449093.669999998</v>
      </c>
      <c r="AF32" s="40">
        <f t="shared" si="16"/>
        <v>31636610</v>
      </c>
      <c r="AG32" s="579">
        <f t="shared" si="17"/>
        <v>60085703.670000002</v>
      </c>
      <c r="AH32" s="579">
        <f t="shared" si="18"/>
        <v>0</v>
      </c>
      <c r="AI32" s="40">
        <f t="shared" si="19"/>
        <v>41598969.680000007</v>
      </c>
      <c r="AJ32" s="40">
        <f t="shared" si="20"/>
        <v>73683472.560000002</v>
      </c>
      <c r="AK32" s="579">
        <f t="shared" si="21"/>
        <v>115282442.24000001</v>
      </c>
      <c r="AL32" s="600" t="str">
        <f t="shared" si="22"/>
        <v xml:space="preserve"> </v>
      </c>
      <c r="AM32" s="600">
        <f t="shared" si="22"/>
        <v>0.40613676252335668</v>
      </c>
      <c r="AN32" s="600">
        <f t="shared" si="22"/>
        <v>0.30038535131205274</v>
      </c>
      <c r="AO32" s="600">
        <f t="shared" si="22"/>
        <v>0.34262609870344607</v>
      </c>
    </row>
    <row r="33" spans="1:43" s="16" customFormat="1">
      <c r="A33" s="596" t="s">
        <v>447</v>
      </c>
      <c r="B33" s="40">
        <f>+'SUMM BY CLUSTER- CONAP'!B92</f>
        <v>0</v>
      </c>
      <c r="C33" s="40">
        <f>+'SUMM BY CLUSTER- CONAP'!C92</f>
        <v>5713291.7000000179</v>
      </c>
      <c r="D33" s="40">
        <f>+'SUMM BY CLUSTER- CONAP'!D92</f>
        <v>0</v>
      </c>
      <c r="E33" s="579">
        <f t="shared" si="0"/>
        <v>5713291.7000000179</v>
      </c>
      <c r="F33" s="40">
        <f>+'SUMM BY CLUSTER- CONAP'!F92</f>
        <v>0</v>
      </c>
      <c r="G33" s="40">
        <f>+'SUMM BY CLUSTER- CONAP'!G92</f>
        <v>-12084385.279999997</v>
      </c>
      <c r="H33" s="40">
        <f>+'SUMM BY CLUSTER- CONAP'!H92</f>
        <v>-97107238</v>
      </c>
      <c r="I33" s="579">
        <f t="shared" si="1"/>
        <v>-109191623.28</v>
      </c>
      <c r="J33" s="40">
        <f>+'SUMM BY CLUSTER- CONAP'!J92</f>
        <v>0</v>
      </c>
      <c r="K33" s="40">
        <f>+'SUMM BY CLUSTER- CONAP'!K92</f>
        <v>64470790.079999998</v>
      </c>
      <c r="L33" s="40">
        <f>+'SUMM BY CLUSTER- CONAP'!L92</f>
        <v>114839306.45</v>
      </c>
      <c r="M33" s="579">
        <f t="shared" si="2"/>
        <v>179310096.53</v>
      </c>
      <c r="N33" s="40">
        <f t="shared" si="28"/>
        <v>0</v>
      </c>
      <c r="O33" s="40">
        <f t="shared" si="28"/>
        <v>52386404.799999997</v>
      </c>
      <c r="P33" s="40">
        <f t="shared" si="28"/>
        <v>17732068.450000003</v>
      </c>
      <c r="Q33" s="579">
        <f t="shared" si="3"/>
        <v>70118473.25</v>
      </c>
      <c r="R33" s="40">
        <f t="shared" si="4"/>
        <v>0</v>
      </c>
      <c r="S33" s="40">
        <f t="shared" si="4"/>
        <v>58099696.500000015</v>
      </c>
      <c r="T33" s="40">
        <f t="shared" si="4"/>
        <v>17732068.450000003</v>
      </c>
      <c r="U33" s="579">
        <f t="shared" si="5"/>
        <v>75831764.950000018</v>
      </c>
      <c r="V33" s="40">
        <f>+'SUMM BY CLUSTER- CONAP'!V92</f>
        <v>0</v>
      </c>
      <c r="W33" s="40">
        <f>+'SUMM BY CLUSTER- CONAP'!W92</f>
        <v>5095612.21</v>
      </c>
      <c r="X33" s="40">
        <f>+'SUMM BY CLUSTER- CONAP'!X92</f>
        <v>0</v>
      </c>
      <c r="Y33" s="579">
        <f t="shared" si="6"/>
        <v>5095612.21</v>
      </c>
      <c r="Z33" s="40">
        <f>+'SUMM BY CLUSTER- CONAP'!Z92</f>
        <v>0</v>
      </c>
      <c r="AA33" s="40">
        <f>+'SUMM BY CLUSTER- CONAP'!AA92</f>
        <v>37131473.469999999</v>
      </c>
      <c r="AB33" s="40">
        <f>+'SUMM BY CLUSTER- CONAP'!AB92</f>
        <v>12775953</v>
      </c>
      <c r="AC33" s="579">
        <f t="shared" si="7"/>
        <v>49907426.469999999</v>
      </c>
      <c r="AD33" s="40">
        <f t="shared" si="14"/>
        <v>0</v>
      </c>
      <c r="AE33" s="40">
        <f t="shared" si="15"/>
        <v>42227085.68</v>
      </c>
      <c r="AF33" s="40">
        <f t="shared" si="16"/>
        <v>12775953</v>
      </c>
      <c r="AG33" s="579">
        <f t="shared" si="17"/>
        <v>55003038.68</v>
      </c>
      <c r="AH33" s="579">
        <f t="shared" si="18"/>
        <v>0</v>
      </c>
      <c r="AI33" s="40">
        <f t="shared" si="19"/>
        <v>15872610.820000015</v>
      </c>
      <c r="AJ33" s="40">
        <f t="shared" si="20"/>
        <v>4956115.450000003</v>
      </c>
      <c r="AK33" s="579">
        <f t="shared" si="21"/>
        <v>20828726.270000018</v>
      </c>
      <c r="AL33" s="600" t="str">
        <f t="shared" si="22"/>
        <v xml:space="preserve"> </v>
      </c>
      <c r="AM33" s="600">
        <f t="shared" si="22"/>
        <v>0.72680389440588544</v>
      </c>
      <c r="AN33" s="600">
        <f t="shared" si="22"/>
        <v>0.72049986926370102</v>
      </c>
      <c r="AO33" s="600">
        <f t="shared" si="22"/>
        <v>0.72532979703514056</v>
      </c>
    </row>
    <row r="34" spans="1:43" s="16" customFormat="1">
      <c r="A34" s="596" t="s">
        <v>448</v>
      </c>
      <c r="B34" s="40">
        <f>+'SUMM BY CLUSTER- CONAP'!B101</f>
        <v>0</v>
      </c>
      <c r="C34" s="40">
        <f>+'SUMM BY CLUSTER- CONAP'!C101</f>
        <v>556785.28</v>
      </c>
      <c r="D34" s="40">
        <f>+'SUMM BY CLUSTER- CONAP'!D101</f>
        <v>0</v>
      </c>
      <c r="E34" s="579">
        <f t="shared" si="0"/>
        <v>556785.28</v>
      </c>
      <c r="F34" s="40">
        <f>+'SUMM BY CLUSTER- CONAP'!F101</f>
        <v>0</v>
      </c>
      <c r="G34" s="40">
        <f>+'SUMM BY CLUSTER- CONAP'!G101</f>
        <v>3000000</v>
      </c>
      <c r="H34" s="40">
        <f>+'SUMM BY CLUSTER- CONAP'!H101</f>
        <v>40364000</v>
      </c>
      <c r="I34" s="579">
        <f t="shared" si="1"/>
        <v>43364000</v>
      </c>
      <c r="J34" s="40">
        <f>+'SUMM BY CLUSTER- CONAP'!J101</f>
        <v>0</v>
      </c>
      <c r="K34" s="40">
        <f>+'SUMM BY CLUSTER- CONAP'!K101</f>
        <v>39279044.130000003</v>
      </c>
      <c r="L34" s="40">
        <f>+'SUMM BY CLUSTER- CONAP'!L101</f>
        <v>16269341.17</v>
      </c>
      <c r="M34" s="579">
        <f t="shared" si="2"/>
        <v>55548385.300000004</v>
      </c>
      <c r="N34" s="40">
        <f t="shared" si="28"/>
        <v>0</v>
      </c>
      <c r="O34" s="40">
        <f t="shared" si="28"/>
        <v>42279044.130000003</v>
      </c>
      <c r="P34" s="40">
        <f t="shared" si="28"/>
        <v>56633341.170000002</v>
      </c>
      <c r="Q34" s="579">
        <f t="shared" si="3"/>
        <v>98912385.300000012</v>
      </c>
      <c r="R34" s="40">
        <f t="shared" si="4"/>
        <v>0</v>
      </c>
      <c r="S34" s="40">
        <f t="shared" si="4"/>
        <v>42835829.410000004</v>
      </c>
      <c r="T34" s="40">
        <f t="shared" si="4"/>
        <v>56633341.170000002</v>
      </c>
      <c r="U34" s="579">
        <f t="shared" si="5"/>
        <v>99469170.580000013</v>
      </c>
      <c r="V34" s="40">
        <f>+'SUMM BY CLUSTER- CONAP'!V101</f>
        <v>0</v>
      </c>
      <c r="W34" s="40">
        <f>+'SUMM BY CLUSTER- CONAP'!W101</f>
        <v>555797.43999999994</v>
      </c>
      <c r="X34" s="40">
        <f>+'SUMM BY CLUSTER- CONAP'!X101</f>
        <v>0</v>
      </c>
      <c r="Y34" s="579">
        <f t="shared" si="6"/>
        <v>555797.43999999994</v>
      </c>
      <c r="Z34" s="40">
        <f>+'SUMM BY CLUSTER- CONAP'!Z101</f>
        <v>0</v>
      </c>
      <c r="AA34" s="40">
        <f>+'SUMM BY CLUSTER- CONAP'!AA101</f>
        <v>16464401.840000004</v>
      </c>
      <c r="AB34" s="40">
        <f>+'SUMM BY CLUSTER- CONAP'!AB101</f>
        <v>7548272.8499999996</v>
      </c>
      <c r="AC34" s="579">
        <f t="shared" si="7"/>
        <v>24012674.690000005</v>
      </c>
      <c r="AD34" s="40">
        <f t="shared" si="14"/>
        <v>0</v>
      </c>
      <c r="AE34" s="40">
        <f t="shared" si="15"/>
        <v>17020199.280000005</v>
      </c>
      <c r="AF34" s="40">
        <f t="shared" si="16"/>
        <v>7548272.8499999996</v>
      </c>
      <c r="AG34" s="579">
        <f t="shared" si="17"/>
        <v>24568472.130000003</v>
      </c>
      <c r="AH34" s="579">
        <f t="shared" si="18"/>
        <v>0</v>
      </c>
      <c r="AI34" s="40">
        <f t="shared" si="19"/>
        <v>25815630.129999999</v>
      </c>
      <c r="AJ34" s="40">
        <f t="shared" si="20"/>
        <v>49085068.32</v>
      </c>
      <c r="AK34" s="579">
        <f t="shared" si="21"/>
        <v>74900698.450000003</v>
      </c>
      <c r="AL34" s="600" t="str">
        <f t="shared" si="22"/>
        <v xml:space="preserve"> </v>
      </c>
      <c r="AM34" s="600">
        <f t="shared" si="22"/>
        <v>0.39733558365573862</v>
      </c>
      <c r="AN34" s="600">
        <f t="shared" si="22"/>
        <v>0.13328319844915834</v>
      </c>
      <c r="AO34" s="600">
        <f t="shared" si="22"/>
        <v>0.24699584792697485</v>
      </c>
    </row>
    <row r="35" spans="1:43" s="16" customFormat="1">
      <c r="A35" s="596"/>
      <c r="B35" s="40"/>
      <c r="C35" s="40"/>
      <c r="D35" s="40"/>
      <c r="E35" s="41">
        <f t="shared" si="0"/>
        <v>0</v>
      </c>
      <c r="F35" s="40"/>
      <c r="G35" s="40"/>
      <c r="H35" s="40"/>
      <c r="I35" s="41">
        <f t="shared" si="1"/>
        <v>0</v>
      </c>
      <c r="J35" s="40"/>
      <c r="K35" s="40"/>
      <c r="L35" s="40"/>
      <c r="M35" s="41">
        <f t="shared" si="2"/>
        <v>0</v>
      </c>
      <c r="N35" s="40">
        <f t="shared" si="28"/>
        <v>0</v>
      </c>
      <c r="O35" s="40">
        <f t="shared" si="28"/>
        <v>0</v>
      </c>
      <c r="P35" s="40">
        <f t="shared" si="28"/>
        <v>0</v>
      </c>
      <c r="Q35" s="41">
        <f t="shared" si="3"/>
        <v>0</v>
      </c>
      <c r="R35" s="40">
        <f t="shared" si="4"/>
        <v>0</v>
      </c>
      <c r="S35" s="40">
        <f t="shared" si="4"/>
        <v>0</v>
      </c>
      <c r="T35" s="40">
        <f t="shared" si="4"/>
        <v>0</v>
      </c>
      <c r="U35" s="41">
        <f t="shared" si="5"/>
        <v>0</v>
      </c>
      <c r="V35" s="40"/>
      <c r="W35" s="40"/>
      <c r="X35" s="40"/>
      <c r="Y35" s="41">
        <f t="shared" si="6"/>
        <v>0</v>
      </c>
      <c r="Z35" s="40"/>
      <c r="AA35" s="40"/>
      <c r="AB35" s="40"/>
      <c r="AC35" s="41">
        <f t="shared" si="7"/>
        <v>0</v>
      </c>
      <c r="AD35" s="40">
        <f t="shared" si="14"/>
        <v>0</v>
      </c>
      <c r="AE35" s="40">
        <f t="shared" si="15"/>
        <v>0</v>
      </c>
      <c r="AF35" s="40">
        <f t="shared" si="16"/>
        <v>0</v>
      </c>
      <c r="AG35" s="41">
        <f t="shared" si="17"/>
        <v>0</v>
      </c>
      <c r="AH35" s="41">
        <f t="shared" si="18"/>
        <v>0</v>
      </c>
      <c r="AI35" s="40">
        <f t="shared" si="19"/>
        <v>0</v>
      </c>
      <c r="AJ35" s="40">
        <f t="shared" si="20"/>
        <v>0</v>
      </c>
      <c r="AK35" s="41">
        <f t="shared" si="21"/>
        <v>0</v>
      </c>
      <c r="AL35" s="601" t="str">
        <f t="shared" si="22"/>
        <v xml:space="preserve"> </v>
      </c>
      <c r="AM35" s="601" t="str">
        <f t="shared" si="22"/>
        <v xml:space="preserve"> </v>
      </c>
      <c r="AN35" s="601" t="str">
        <f t="shared" si="22"/>
        <v xml:space="preserve"> </v>
      </c>
      <c r="AO35" s="601" t="str">
        <f t="shared" si="22"/>
        <v xml:space="preserve"> </v>
      </c>
    </row>
    <row r="36" spans="1:43" s="609" customFormat="1" ht="16.5">
      <c r="A36" s="595" t="s">
        <v>449</v>
      </c>
      <c r="B36" s="37">
        <f>SUM(B37:B41)</f>
        <v>0</v>
      </c>
      <c r="C36" s="37">
        <f t="shared" ref="C36:D36" si="60">SUM(C37:C41)</f>
        <v>25635324.419999994</v>
      </c>
      <c r="D36" s="37">
        <f t="shared" si="60"/>
        <v>0</v>
      </c>
      <c r="E36" s="37">
        <f t="shared" si="0"/>
        <v>25635324.419999994</v>
      </c>
      <c r="F36" s="37">
        <f>SUM(F37:F41)</f>
        <v>0</v>
      </c>
      <c r="G36" s="37">
        <f t="shared" ref="G36" si="61">SUM(G37:G41)</f>
        <v>-14558678.149999999</v>
      </c>
      <c r="H36" s="37">
        <f t="shared" ref="H36" si="62">SUM(H37:H41)</f>
        <v>33391400</v>
      </c>
      <c r="I36" s="37">
        <f t="shared" si="1"/>
        <v>18832721.850000001</v>
      </c>
      <c r="J36" s="37">
        <f>SUM(J37:J41)</f>
        <v>0</v>
      </c>
      <c r="K36" s="37">
        <f t="shared" ref="K36" si="63">SUM(K37:K41)</f>
        <v>211112859.01999998</v>
      </c>
      <c r="L36" s="37">
        <f t="shared" ref="L36" si="64">SUM(L37:L41)</f>
        <v>272258003.71999997</v>
      </c>
      <c r="M36" s="37">
        <f t="shared" si="2"/>
        <v>483370862.73999995</v>
      </c>
      <c r="N36" s="37">
        <f t="shared" si="28"/>
        <v>0</v>
      </c>
      <c r="O36" s="37">
        <f t="shared" si="28"/>
        <v>196554180.86999997</v>
      </c>
      <c r="P36" s="37">
        <f t="shared" si="28"/>
        <v>305649403.71999997</v>
      </c>
      <c r="Q36" s="37">
        <f t="shared" si="3"/>
        <v>502203584.58999991</v>
      </c>
      <c r="R36" s="37">
        <f t="shared" si="4"/>
        <v>0</v>
      </c>
      <c r="S36" s="37">
        <f t="shared" si="4"/>
        <v>222189505.28999996</v>
      </c>
      <c r="T36" s="37">
        <f t="shared" si="4"/>
        <v>305649403.71999997</v>
      </c>
      <c r="U36" s="37">
        <f t="shared" si="5"/>
        <v>527838909.00999993</v>
      </c>
      <c r="V36" s="37">
        <f>SUM(V37:V41)</f>
        <v>0</v>
      </c>
      <c r="W36" s="37">
        <f t="shared" ref="W36" si="65">SUM(W37:W41)</f>
        <v>20316673.299999997</v>
      </c>
      <c r="X36" s="37">
        <f t="shared" ref="X36" si="66">SUM(X37:X41)</f>
        <v>0</v>
      </c>
      <c r="Y36" s="37">
        <f t="shared" si="6"/>
        <v>20316673.299999997</v>
      </c>
      <c r="Z36" s="37">
        <f>SUM(Z37:Z41)</f>
        <v>0</v>
      </c>
      <c r="AA36" s="37">
        <f t="shared" ref="AA36" si="67">SUM(AA37:AA41)</f>
        <v>180738986.70000002</v>
      </c>
      <c r="AB36" s="37">
        <f t="shared" ref="AB36" si="68">SUM(AB37:AB41)</f>
        <v>190898941.58000001</v>
      </c>
      <c r="AC36" s="37">
        <f t="shared" si="7"/>
        <v>371637928.28000003</v>
      </c>
      <c r="AD36" s="37">
        <f t="shared" si="14"/>
        <v>0</v>
      </c>
      <c r="AE36" s="37">
        <f t="shared" si="15"/>
        <v>201055660</v>
      </c>
      <c r="AF36" s="37">
        <f t="shared" si="16"/>
        <v>190898941.58000001</v>
      </c>
      <c r="AG36" s="37">
        <f t="shared" si="17"/>
        <v>391954601.58000004</v>
      </c>
      <c r="AH36" s="37">
        <f t="shared" si="18"/>
        <v>0</v>
      </c>
      <c r="AI36" s="37">
        <f t="shared" si="19"/>
        <v>21133845.289999962</v>
      </c>
      <c r="AJ36" s="37">
        <f t="shared" si="20"/>
        <v>114750462.13999996</v>
      </c>
      <c r="AK36" s="37">
        <f t="shared" si="21"/>
        <v>135884307.42999992</v>
      </c>
      <c r="AL36" s="608" t="str">
        <f t="shared" si="22"/>
        <v xml:space="preserve"> </v>
      </c>
      <c r="AM36" s="608">
        <f t="shared" si="22"/>
        <v>0.90488369258297674</v>
      </c>
      <c r="AN36" s="608">
        <f t="shared" si="22"/>
        <v>0.62456834286802398</v>
      </c>
      <c r="AO36" s="608">
        <f t="shared" si="22"/>
        <v>0.74256481454756573</v>
      </c>
      <c r="AP36" s="1132">
        <f>+AK36-'SUMM BY CLUSTER- CONAP'!AK106</f>
        <v>0</v>
      </c>
    </row>
    <row r="37" spans="1:43" s="16" customFormat="1">
      <c r="A37" s="596" t="s">
        <v>450</v>
      </c>
      <c r="B37" s="40">
        <f>+'SUMM BY CLUSTER- CONAP'!B107</f>
        <v>0</v>
      </c>
      <c r="C37" s="40">
        <f>+'SUMM BY CLUSTER- CONAP'!C107</f>
        <v>2453299.3999999966</v>
      </c>
      <c r="D37" s="40">
        <f>+'SUMM BY CLUSTER- CONAP'!D107</f>
        <v>0</v>
      </c>
      <c r="E37" s="579">
        <f t="shared" si="0"/>
        <v>2453299.3999999966</v>
      </c>
      <c r="F37" s="40">
        <f>+'SUMM BY CLUSTER- CONAP'!F107</f>
        <v>0</v>
      </c>
      <c r="G37" s="40">
        <f>+'SUMM BY CLUSTER- CONAP'!G107</f>
        <v>-5598677.1600000001</v>
      </c>
      <c r="H37" s="40">
        <f>+'SUMM BY CLUSTER- CONAP'!H107</f>
        <v>16623800</v>
      </c>
      <c r="I37" s="579">
        <f t="shared" si="1"/>
        <v>11025122.84</v>
      </c>
      <c r="J37" s="40">
        <f>+'SUMM BY CLUSTER- CONAP'!J107</f>
        <v>0</v>
      </c>
      <c r="K37" s="40">
        <f>+'SUMM BY CLUSTER- CONAP'!K107</f>
        <v>40505393.950000003</v>
      </c>
      <c r="L37" s="40">
        <f>+'SUMM BY CLUSTER- CONAP'!L107</f>
        <v>93588396.060000002</v>
      </c>
      <c r="M37" s="579">
        <f t="shared" si="2"/>
        <v>134093790.01000001</v>
      </c>
      <c r="N37" s="40">
        <f t="shared" si="28"/>
        <v>0</v>
      </c>
      <c r="O37" s="40">
        <f t="shared" si="28"/>
        <v>34906716.790000007</v>
      </c>
      <c r="P37" s="40">
        <f t="shared" si="28"/>
        <v>110212196.06</v>
      </c>
      <c r="Q37" s="579">
        <f t="shared" si="3"/>
        <v>145118912.85000002</v>
      </c>
      <c r="R37" s="40">
        <f t="shared" si="4"/>
        <v>0</v>
      </c>
      <c r="S37" s="40">
        <f t="shared" si="4"/>
        <v>37360016.190000005</v>
      </c>
      <c r="T37" s="40">
        <f t="shared" si="4"/>
        <v>110212196.06</v>
      </c>
      <c r="U37" s="579">
        <f t="shared" si="5"/>
        <v>147572212.25</v>
      </c>
      <c r="V37" s="40">
        <f>+'SUMM BY CLUSTER- CONAP'!V107</f>
        <v>0</v>
      </c>
      <c r="W37" s="40">
        <f>+'SUMM BY CLUSTER- CONAP'!W107</f>
        <v>1746535.52</v>
      </c>
      <c r="X37" s="40">
        <f>+'SUMM BY CLUSTER- CONAP'!X107</f>
        <v>0</v>
      </c>
      <c r="Y37" s="579">
        <f t="shared" si="6"/>
        <v>1746535.52</v>
      </c>
      <c r="Z37" s="40">
        <f>+'SUMM BY CLUSTER- CONAP'!Z107</f>
        <v>0</v>
      </c>
      <c r="AA37" s="40">
        <f>+'SUMM BY CLUSTER- CONAP'!AA107</f>
        <v>25630588.909999996</v>
      </c>
      <c r="AB37" s="40">
        <f>+'SUMM BY CLUSTER- CONAP'!AB107</f>
        <v>51548281.080000006</v>
      </c>
      <c r="AC37" s="579">
        <f t="shared" si="7"/>
        <v>77178869.99000001</v>
      </c>
      <c r="AD37" s="40">
        <f t="shared" si="14"/>
        <v>0</v>
      </c>
      <c r="AE37" s="40">
        <f t="shared" si="15"/>
        <v>27377124.429999996</v>
      </c>
      <c r="AF37" s="40">
        <f t="shared" si="16"/>
        <v>51548281.080000006</v>
      </c>
      <c r="AG37" s="579">
        <f t="shared" si="17"/>
        <v>78925405.510000005</v>
      </c>
      <c r="AH37" s="579">
        <f t="shared" si="18"/>
        <v>0</v>
      </c>
      <c r="AI37" s="40">
        <f t="shared" si="19"/>
        <v>9982891.7600000091</v>
      </c>
      <c r="AJ37" s="40">
        <f t="shared" si="20"/>
        <v>58663914.979999997</v>
      </c>
      <c r="AK37" s="579">
        <f t="shared" si="21"/>
        <v>68646806.74000001</v>
      </c>
      <c r="AL37" s="600" t="str">
        <f t="shared" si="22"/>
        <v xml:space="preserve"> </v>
      </c>
      <c r="AM37" s="600">
        <f t="shared" si="22"/>
        <v>0.73279209224025743</v>
      </c>
      <c r="AN37" s="600">
        <f t="shared" si="22"/>
        <v>0.46771848237137836</v>
      </c>
      <c r="AO37" s="600">
        <f t="shared" si="22"/>
        <v>0.53482565793818682</v>
      </c>
    </row>
    <row r="38" spans="1:43" s="16" customFormat="1">
      <c r="A38" s="596" t="s">
        <v>451</v>
      </c>
      <c r="B38" s="40">
        <f>+'SUMM BY CLUSTER- CONAP'!B118</f>
        <v>0</v>
      </c>
      <c r="C38" s="40">
        <f>+'SUMM BY CLUSTER- CONAP'!C118</f>
        <v>275304.17999999318</v>
      </c>
      <c r="D38" s="40">
        <f>+'SUMM BY CLUSTER- CONAP'!D118</f>
        <v>0</v>
      </c>
      <c r="E38" s="579">
        <f t="shared" si="0"/>
        <v>275304.17999999318</v>
      </c>
      <c r="F38" s="40">
        <f>+'SUMM BY CLUSTER- CONAP'!F118</f>
        <v>0</v>
      </c>
      <c r="G38" s="40">
        <f>+'SUMM BY CLUSTER- CONAP'!G118</f>
        <v>-1143423.0299999991</v>
      </c>
      <c r="H38" s="40">
        <f>+'SUMM BY CLUSTER- CONAP'!H118</f>
        <v>2466500</v>
      </c>
      <c r="I38" s="579">
        <f t="shared" si="1"/>
        <v>1323076.9700000009</v>
      </c>
      <c r="J38" s="40">
        <f>+'SUMM BY CLUSTER- CONAP'!J118</f>
        <v>0</v>
      </c>
      <c r="K38" s="40">
        <f>+'SUMM BY CLUSTER- CONAP'!K118</f>
        <v>48932567.469999999</v>
      </c>
      <c r="L38" s="40">
        <f>+'SUMM BY CLUSTER- CONAP'!L118</f>
        <v>5069905.3000000119</v>
      </c>
      <c r="M38" s="579">
        <f t="shared" si="2"/>
        <v>54002472.770000011</v>
      </c>
      <c r="N38" s="40">
        <f t="shared" si="28"/>
        <v>0</v>
      </c>
      <c r="O38" s="40">
        <f t="shared" si="28"/>
        <v>47789144.439999998</v>
      </c>
      <c r="P38" s="40">
        <f t="shared" si="28"/>
        <v>7536405.3000000119</v>
      </c>
      <c r="Q38" s="579">
        <f t="shared" si="3"/>
        <v>55325549.74000001</v>
      </c>
      <c r="R38" s="40">
        <f t="shared" si="4"/>
        <v>0</v>
      </c>
      <c r="S38" s="40">
        <f t="shared" si="4"/>
        <v>48064448.61999999</v>
      </c>
      <c r="T38" s="40">
        <f t="shared" si="4"/>
        <v>7536405.3000000119</v>
      </c>
      <c r="U38" s="579">
        <f t="shared" si="5"/>
        <v>55600853.920000002</v>
      </c>
      <c r="V38" s="40">
        <f>+'SUMM BY CLUSTER- CONAP'!V118</f>
        <v>0</v>
      </c>
      <c r="W38" s="40">
        <f>+'SUMM BY CLUSTER- CONAP'!W118</f>
        <v>273519.86</v>
      </c>
      <c r="X38" s="40">
        <f>+'SUMM BY CLUSTER- CONAP'!X118</f>
        <v>0</v>
      </c>
      <c r="Y38" s="579">
        <f t="shared" si="6"/>
        <v>273519.86</v>
      </c>
      <c r="Z38" s="40">
        <f>+'SUMM BY CLUSTER- CONAP'!Z118</f>
        <v>0</v>
      </c>
      <c r="AA38" s="40">
        <f>+'SUMM BY CLUSTER- CONAP'!AA118</f>
        <v>43178829.980000004</v>
      </c>
      <c r="AB38" s="40">
        <f>+'SUMM BY CLUSTER- CONAP'!AB118</f>
        <v>0</v>
      </c>
      <c r="AC38" s="579">
        <f t="shared" si="7"/>
        <v>43178829.980000004</v>
      </c>
      <c r="AD38" s="40">
        <f t="shared" si="14"/>
        <v>0</v>
      </c>
      <c r="AE38" s="40">
        <f t="shared" si="15"/>
        <v>43452349.840000004</v>
      </c>
      <c r="AF38" s="40">
        <f t="shared" si="16"/>
        <v>0</v>
      </c>
      <c r="AG38" s="579">
        <f t="shared" si="17"/>
        <v>43452349.840000004</v>
      </c>
      <c r="AH38" s="579">
        <f t="shared" si="18"/>
        <v>0</v>
      </c>
      <c r="AI38" s="40">
        <f t="shared" si="19"/>
        <v>4612098.7799999863</v>
      </c>
      <c r="AJ38" s="40">
        <f t="shared" si="20"/>
        <v>7536405.3000000119</v>
      </c>
      <c r="AK38" s="579">
        <f t="shared" si="21"/>
        <v>12148504.079999998</v>
      </c>
      <c r="AL38" s="600" t="str">
        <f t="shared" si="22"/>
        <v xml:space="preserve"> </v>
      </c>
      <c r="AM38" s="600">
        <f t="shared" si="22"/>
        <v>0.90404344765372269</v>
      </c>
      <c r="AN38" s="600">
        <f t="shared" si="22"/>
        <v>0</v>
      </c>
      <c r="AO38" s="600">
        <f t="shared" si="22"/>
        <v>0.78150508088455639</v>
      </c>
    </row>
    <row r="39" spans="1:43" s="16" customFormat="1">
      <c r="A39" s="596" t="s">
        <v>452</v>
      </c>
      <c r="B39" s="40">
        <f>+'SUMM BY CLUSTER- CONAP'!B124</f>
        <v>0</v>
      </c>
      <c r="C39" s="40">
        <f>+'SUMM BY CLUSTER- CONAP'!C124</f>
        <v>4999967.57</v>
      </c>
      <c r="D39" s="40">
        <f>+'SUMM BY CLUSTER- CONAP'!D124</f>
        <v>0</v>
      </c>
      <c r="E39" s="579">
        <f t="shared" si="0"/>
        <v>4999967.57</v>
      </c>
      <c r="F39" s="40">
        <f>+'SUMM BY CLUSTER- CONAP'!F124</f>
        <v>0</v>
      </c>
      <c r="G39" s="40">
        <f>+'SUMM BY CLUSTER- CONAP'!G124</f>
        <v>3003001.1700000004</v>
      </c>
      <c r="H39" s="40">
        <f>+'SUMM BY CLUSTER- CONAP'!H124</f>
        <v>1701000</v>
      </c>
      <c r="I39" s="579">
        <f t="shared" si="1"/>
        <v>4704001.17</v>
      </c>
      <c r="J39" s="40">
        <f>+'SUMM BY CLUSTER- CONAP'!J124</f>
        <v>0</v>
      </c>
      <c r="K39" s="40">
        <f>+'SUMM BY CLUSTER- CONAP'!K124</f>
        <v>48406739.989999995</v>
      </c>
      <c r="L39" s="40">
        <f>+'SUMM BY CLUSTER- CONAP'!L124</f>
        <v>109604126.20999999</v>
      </c>
      <c r="M39" s="579">
        <f t="shared" si="2"/>
        <v>158010866.19999999</v>
      </c>
      <c r="N39" s="40">
        <f t="shared" si="28"/>
        <v>0</v>
      </c>
      <c r="O39" s="40">
        <f t="shared" si="28"/>
        <v>51409741.159999996</v>
      </c>
      <c r="P39" s="40">
        <f t="shared" si="28"/>
        <v>111305126.20999999</v>
      </c>
      <c r="Q39" s="579">
        <f t="shared" si="3"/>
        <v>162714867.37</v>
      </c>
      <c r="R39" s="40">
        <f t="shared" si="4"/>
        <v>0</v>
      </c>
      <c r="S39" s="40">
        <f t="shared" si="4"/>
        <v>56409708.729999997</v>
      </c>
      <c r="T39" s="40">
        <f t="shared" si="4"/>
        <v>111305126.20999999</v>
      </c>
      <c r="U39" s="579">
        <f t="shared" si="5"/>
        <v>167714834.94</v>
      </c>
      <c r="V39" s="40">
        <f>+'SUMM BY CLUSTER- CONAP'!V124</f>
        <v>0</v>
      </c>
      <c r="W39" s="40">
        <f>+'SUMM BY CLUSTER- CONAP'!W124</f>
        <v>1806178.22</v>
      </c>
      <c r="X39" s="40">
        <f>+'SUMM BY CLUSTER- CONAP'!X124</f>
        <v>0</v>
      </c>
      <c r="Y39" s="579">
        <f t="shared" si="6"/>
        <v>1806178.22</v>
      </c>
      <c r="Z39" s="40">
        <f>+'SUMM BY CLUSTER- CONAP'!Z124</f>
        <v>0</v>
      </c>
      <c r="AA39" s="40">
        <f>+'SUMM BY CLUSTER- CONAP'!AA124</f>
        <v>51887761.590000004</v>
      </c>
      <c r="AB39" s="40">
        <f>+'SUMM BY CLUSTER- CONAP'!AB124</f>
        <v>101697422</v>
      </c>
      <c r="AC39" s="579">
        <f t="shared" si="7"/>
        <v>153585183.59</v>
      </c>
      <c r="AD39" s="40">
        <f t="shared" si="14"/>
        <v>0</v>
      </c>
      <c r="AE39" s="40">
        <f t="shared" si="15"/>
        <v>53693939.810000002</v>
      </c>
      <c r="AF39" s="40">
        <f t="shared" si="16"/>
        <v>101697422</v>
      </c>
      <c r="AG39" s="579">
        <f t="shared" si="17"/>
        <v>155391361.81</v>
      </c>
      <c r="AH39" s="579">
        <f t="shared" si="18"/>
        <v>0</v>
      </c>
      <c r="AI39" s="40">
        <f t="shared" si="19"/>
        <v>2715768.9199999943</v>
      </c>
      <c r="AJ39" s="40">
        <f t="shared" si="20"/>
        <v>9607704.2099999934</v>
      </c>
      <c r="AK39" s="579">
        <f t="shared" si="21"/>
        <v>12323473.129999988</v>
      </c>
      <c r="AL39" s="600" t="str">
        <f t="shared" si="22"/>
        <v xml:space="preserve"> </v>
      </c>
      <c r="AM39" s="600">
        <f t="shared" si="22"/>
        <v>0.95185635627018073</v>
      </c>
      <c r="AN39" s="600">
        <f t="shared" si="22"/>
        <v>0.91368138613963668</v>
      </c>
      <c r="AO39" s="600">
        <f t="shared" si="22"/>
        <v>0.92652126966342174</v>
      </c>
    </row>
    <row r="40" spans="1:43" s="16" customFormat="1">
      <c r="A40" s="596" t="s">
        <v>453</v>
      </c>
      <c r="B40" s="40">
        <f>+'SUMM BY CLUSTER- CONAP'!B129</f>
        <v>0</v>
      </c>
      <c r="C40" s="40">
        <f>+'SUMM BY CLUSTER- CONAP'!C129</f>
        <v>7424593.6599999992</v>
      </c>
      <c r="D40" s="40">
        <f>+'SUMM BY CLUSTER- CONAP'!D129</f>
        <v>0</v>
      </c>
      <c r="E40" s="579">
        <f t="shared" si="0"/>
        <v>7424593.6599999992</v>
      </c>
      <c r="F40" s="40">
        <f>+'SUMM BY CLUSTER- CONAP'!F129</f>
        <v>0</v>
      </c>
      <c r="G40" s="40">
        <f>+'SUMM BY CLUSTER- CONAP'!G129</f>
        <v>-4352607.8499999996</v>
      </c>
      <c r="H40" s="40">
        <f>+'SUMM BY CLUSTER- CONAP'!H129</f>
        <v>0</v>
      </c>
      <c r="I40" s="579">
        <f t="shared" si="1"/>
        <v>-4352607.8499999996</v>
      </c>
      <c r="J40" s="40">
        <f>+'SUMM BY CLUSTER- CONAP'!J129</f>
        <v>0</v>
      </c>
      <c r="K40" s="40">
        <f>+'SUMM BY CLUSTER- CONAP'!K129</f>
        <v>28463446.169999998</v>
      </c>
      <c r="L40" s="40">
        <f>+'SUMM BY CLUSTER- CONAP'!L129</f>
        <v>188462</v>
      </c>
      <c r="M40" s="579">
        <f t="shared" si="2"/>
        <v>28651908.169999998</v>
      </c>
      <c r="N40" s="40">
        <f t="shared" si="28"/>
        <v>0</v>
      </c>
      <c r="O40" s="40">
        <f t="shared" si="28"/>
        <v>24110838.32</v>
      </c>
      <c r="P40" s="40">
        <f t="shared" si="28"/>
        <v>188462</v>
      </c>
      <c r="Q40" s="579">
        <f t="shared" si="3"/>
        <v>24299300.32</v>
      </c>
      <c r="R40" s="40">
        <f t="shared" si="4"/>
        <v>0</v>
      </c>
      <c r="S40" s="40">
        <f t="shared" si="4"/>
        <v>31535431.98</v>
      </c>
      <c r="T40" s="40">
        <f t="shared" si="4"/>
        <v>188462</v>
      </c>
      <c r="U40" s="579">
        <f t="shared" si="5"/>
        <v>31723893.98</v>
      </c>
      <c r="V40" s="40">
        <f>+'SUMM BY CLUSTER- CONAP'!V129</f>
        <v>0</v>
      </c>
      <c r="W40" s="40">
        <f>+'SUMM BY CLUSTER- CONAP'!W129</f>
        <v>6586430.6600000001</v>
      </c>
      <c r="X40" s="40">
        <f>+'SUMM BY CLUSTER- CONAP'!X129</f>
        <v>0</v>
      </c>
      <c r="Y40" s="579">
        <f t="shared" si="6"/>
        <v>6586430.6600000001</v>
      </c>
      <c r="Z40" s="40">
        <f>+'SUMM BY CLUSTER- CONAP'!Z129</f>
        <v>0</v>
      </c>
      <c r="AA40" s="40">
        <f>+'SUMM BY CLUSTER- CONAP'!AA129</f>
        <v>23502287.350000001</v>
      </c>
      <c r="AB40" s="40">
        <f>+'SUMM BY CLUSTER- CONAP'!AB129</f>
        <v>187980</v>
      </c>
      <c r="AC40" s="579">
        <f t="shared" si="7"/>
        <v>23690267.350000001</v>
      </c>
      <c r="AD40" s="40">
        <f t="shared" si="14"/>
        <v>0</v>
      </c>
      <c r="AE40" s="40">
        <f t="shared" si="15"/>
        <v>30088718.010000002</v>
      </c>
      <c r="AF40" s="40">
        <f t="shared" si="16"/>
        <v>187980</v>
      </c>
      <c r="AG40" s="579">
        <f t="shared" si="17"/>
        <v>30276698.010000002</v>
      </c>
      <c r="AH40" s="579">
        <f t="shared" si="18"/>
        <v>0</v>
      </c>
      <c r="AI40" s="40">
        <f t="shared" si="19"/>
        <v>1446713.9699999988</v>
      </c>
      <c r="AJ40" s="40">
        <f t="shared" si="20"/>
        <v>482</v>
      </c>
      <c r="AK40" s="579">
        <f t="shared" si="21"/>
        <v>1447195.9699999988</v>
      </c>
      <c r="AL40" s="600" t="str">
        <f t="shared" si="22"/>
        <v xml:space="preserve"> </v>
      </c>
      <c r="AM40" s="600">
        <f t="shared" si="22"/>
        <v>0.95412417464528421</v>
      </c>
      <c r="AN40" s="600">
        <f t="shared" si="22"/>
        <v>0.99744245524296671</v>
      </c>
      <c r="AO40" s="600">
        <f t="shared" si="22"/>
        <v>0.95438151536780547</v>
      </c>
    </row>
    <row r="41" spans="1:43" s="16" customFormat="1">
      <c r="A41" s="596" t="s">
        <v>57</v>
      </c>
      <c r="B41" s="40">
        <f>+'SUMM BY CLUSTER- CONAP'!B134</f>
        <v>0</v>
      </c>
      <c r="C41" s="40">
        <f>+'SUMM BY CLUSTER- CONAP'!C134</f>
        <v>10482159.610000005</v>
      </c>
      <c r="D41" s="40">
        <f>+'SUMM BY CLUSTER- CONAP'!D134</f>
        <v>0</v>
      </c>
      <c r="E41" s="579">
        <f t="shared" si="0"/>
        <v>10482159.610000005</v>
      </c>
      <c r="F41" s="40">
        <f>+'SUMM BY CLUSTER- CONAP'!F134</f>
        <v>0</v>
      </c>
      <c r="G41" s="40">
        <f>+'SUMM BY CLUSTER- CONAP'!G134</f>
        <v>-6466971.2799999993</v>
      </c>
      <c r="H41" s="40">
        <f>+'SUMM BY CLUSTER- CONAP'!H134</f>
        <v>12600100</v>
      </c>
      <c r="I41" s="579">
        <f t="shared" si="1"/>
        <v>6133128.7200000007</v>
      </c>
      <c r="J41" s="40">
        <f>+'SUMM BY CLUSTER- CONAP'!J134</f>
        <v>0</v>
      </c>
      <c r="K41" s="40">
        <f>+'SUMM BY CLUSTER- CONAP'!K134</f>
        <v>44804711.439999998</v>
      </c>
      <c r="L41" s="40">
        <f>+'SUMM BY CLUSTER- CONAP'!L134</f>
        <v>63807114.149999999</v>
      </c>
      <c r="M41" s="579">
        <f t="shared" si="2"/>
        <v>108611825.59</v>
      </c>
      <c r="N41" s="40">
        <f t="shared" si="28"/>
        <v>0</v>
      </c>
      <c r="O41" s="40">
        <f t="shared" si="28"/>
        <v>38337740.159999996</v>
      </c>
      <c r="P41" s="40">
        <f t="shared" si="28"/>
        <v>76407214.150000006</v>
      </c>
      <c r="Q41" s="579">
        <f t="shared" si="3"/>
        <v>114744954.31</v>
      </c>
      <c r="R41" s="40">
        <f t="shared" si="4"/>
        <v>0</v>
      </c>
      <c r="S41" s="40">
        <f t="shared" si="4"/>
        <v>48819899.770000003</v>
      </c>
      <c r="T41" s="40">
        <f t="shared" si="4"/>
        <v>76407214.150000006</v>
      </c>
      <c r="U41" s="579">
        <f t="shared" si="5"/>
        <v>125227113.92000002</v>
      </c>
      <c r="V41" s="40">
        <f>+'SUMM BY CLUSTER- CONAP'!V134</f>
        <v>0</v>
      </c>
      <c r="W41" s="40">
        <f>+'SUMM BY CLUSTER- CONAP'!W134</f>
        <v>9904009.0399999991</v>
      </c>
      <c r="X41" s="40">
        <f>+'SUMM BY CLUSTER- CONAP'!X134</f>
        <v>0</v>
      </c>
      <c r="Y41" s="579">
        <f t="shared" si="6"/>
        <v>9904009.0399999991</v>
      </c>
      <c r="Z41" s="40">
        <f>+'SUMM BY CLUSTER- CONAP'!Z134</f>
        <v>0</v>
      </c>
      <c r="AA41" s="40">
        <f>+'SUMM BY CLUSTER- CONAP'!AA134</f>
        <v>36539518.869999997</v>
      </c>
      <c r="AB41" s="40">
        <f>+'SUMM BY CLUSTER- CONAP'!AB134</f>
        <v>37465258.5</v>
      </c>
      <c r="AC41" s="579">
        <f t="shared" si="7"/>
        <v>74004777.370000005</v>
      </c>
      <c r="AD41" s="40">
        <f t="shared" si="14"/>
        <v>0</v>
      </c>
      <c r="AE41" s="40">
        <f t="shared" si="15"/>
        <v>46443527.909999996</v>
      </c>
      <c r="AF41" s="40">
        <f t="shared" si="16"/>
        <v>37465258.5</v>
      </c>
      <c r="AG41" s="579">
        <f t="shared" si="17"/>
        <v>83908786.409999996</v>
      </c>
      <c r="AH41" s="579">
        <f t="shared" si="18"/>
        <v>0</v>
      </c>
      <c r="AI41" s="40">
        <f t="shared" si="19"/>
        <v>2376371.8600000069</v>
      </c>
      <c r="AJ41" s="40">
        <f t="shared" si="20"/>
        <v>38941955.650000006</v>
      </c>
      <c r="AK41" s="579">
        <f t="shared" si="21"/>
        <v>41318327.510000013</v>
      </c>
      <c r="AL41" s="600" t="str">
        <f t="shared" si="22"/>
        <v xml:space="preserve"> </v>
      </c>
      <c r="AM41" s="600">
        <f t="shared" si="22"/>
        <v>0.9513237046533165</v>
      </c>
      <c r="AN41" s="600">
        <f t="shared" si="22"/>
        <v>0.49033666410673599</v>
      </c>
      <c r="AO41" s="600">
        <f t="shared" si="22"/>
        <v>0.67005286461847402</v>
      </c>
    </row>
    <row r="42" spans="1:43" ht="16.5">
      <c r="A42" s="28"/>
      <c r="B42" s="29"/>
      <c r="C42" s="29"/>
      <c r="D42" s="29"/>
      <c r="E42" s="27">
        <f t="shared" si="0"/>
        <v>0</v>
      </c>
      <c r="F42" s="27"/>
      <c r="G42" s="27"/>
      <c r="H42" s="27"/>
      <c r="I42" s="27">
        <f t="shared" si="1"/>
        <v>0</v>
      </c>
      <c r="J42" s="27"/>
      <c r="K42" s="27"/>
      <c r="L42" s="27"/>
      <c r="M42" s="27">
        <f t="shared" si="2"/>
        <v>0</v>
      </c>
      <c r="N42" s="29"/>
      <c r="O42" s="29"/>
      <c r="P42" s="29"/>
      <c r="Q42" s="27">
        <f t="shared" si="3"/>
        <v>0</v>
      </c>
      <c r="R42" s="29"/>
      <c r="S42" s="29"/>
      <c r="T42" s="29"/>
      <c r="U42" s="27">
        <f t="shared" si="5"/>
        <v>0</v>
      </c>
      <c r="V42" s="29"/>
      <c r="W42" s="29"/>
      <c r="X42" s="29"/>
      <c r="Y42" s="27">
        <f t="shared" si="6"/>
        <v>0</v>
      </c>
      <c r="Z42" s="29"/>
      <c r="AA42" s="29"/>
      <c r="AB42" s="29"/>
      <c r="AC42" s="27">
        <f t="shared" si="7"/>
        <v>0</v>
      </c>
      <c r="AD42" s="27">
        <f t="shared" si="14"/>
        <v>0</v>
      </c>
      <c r="AE42" s="27">
        <f t="shared" si="15"/>
        <v>0</v>
      </c>
      <c r="AF42" s="27">
        <f t="shared" si="16"/>
        <v>0</v>
      </c>
      <c r="AG42" s="27">
        <f t="shared" si="17"/>
        <v>0</v>
      </c>
      <c r="AH42" s="27">
        <f t="shared" si="18"/>
        <v>0</v>
      </c>
      <c r="AI42" s="27">
        <f t="shared" si="19"/>
        <v>0</v>
      </c>
      <c r="AJ42" s="27">
        <f t="shared" si="20"/>
        <v>0</v>
      </c>
      <c r="AK42" s="27">
        <f t="shared" si="21"/>
        <v>0</v>
      </c>
      <c r="AL42" s="10" t="str">
        <f t="shared" si="22"/>
        <v xml:space="preserve"> </v>
      </c>
      <c r="AM42" s="598" t="str">
        <f t="shared" si="22"/>
        <v xml:space="preserve"> </v>
      </c>
      <c r="AN42" s="598" t="str">
        <f t="shared" si="22"/>
        <v xml:space="preserve"> </v>
      </c>
      <c r="AO42" s="598" t="str">
        <f t="shared" si="22"/>
        <v xml:space="preserve"> </v>
      </c>
    </row>
    <row r="43" spans="1:43" s="70" customFormat="1" ht="18">
      <c r="A43" s="31" t="s">
        <v>454</v>
      </c>
      <c r="B43" s="32">
        <f>+B17+B11+B9+B13+B15</f>
        <v>0</v>
      </c>
      <c r="C43" s="32">
        <f t="shared" ref="C43:AK43" si="69">+C17+C11+C9+C13+C15</f>
        <v>496347625.53999966</v>
      </c>
      <c r="D43" s="32">
        <f t="shared" si="69"/>
        <v>3783389283.0500002</v>
      </c>
      <c r="E43" s="32">
        <f t="shared" si="69"/>
        <v>4279736908.5899997</v>
      </c>
      <c r="F43" s="32">
        <f t="shared" si="69"/>
        <v>0</v>
      </c>
      <c r="G43" s="864">
        <f t="shared" si="69"/>
        <v>7.4505805969238281E-9</v>
      </c>
      <c r="H43" s="32">
        <f t="shared" si="69"/>
        <v>0</v>
      </c>
      <c r="I43" s="32">
        <f t="shared" si="69"/>
        <v>7.4505805969238281E-9</v>
      </c>
      <c r="J43" s="32">
        <f t="shared" si="69"/>
        <v>0</v>
      </c>
      <c r="K43" s="32">
        <f t="shared" si="69"/>
        <v>762561440.22000003</v>
      </c>
      <c r="L43" s="32">
        <f t="shared" si="69"/>
        <v>687253050.56999993</v>
      </c>
      <c r="M43" s="32">
        <f t="shared" si="69"/>
        <v>1449814490.7899997</v>
      </c>
      <c r="N43" s="32">
        <f t="shared" si="69"/>
        <v>0</v>
      </c>
      <c r="O43" s="32">
        <f t="shared" si="69"/>
        <v>762561440.22000003</v>
      </c>
      <c r="P43" s="32">
        <f t="shared" si="69"/>
        <v>687253050.56999993</v>
      </c>
      <c r="Q43" s="32">
        <f t="shared" si="69"/>
        <v>1449814490.7899997</v>
      </c>
      <c r="R43" s="32">
        <f t="shared" si="69"/>
        <v>0</v>
      </c>
      <c r="S43" s="32">
        <f t="shared" si="69"/>
        <v>1258909065.7599998</v>
      </c>
      <c r="T43" s="32">
        <f t="shared" si="69"/>
        <v>4470642333.6199999</v>
      </c>
      <c r="U43" s="32">
        <f t="shared" si="69"/>
        <v>5729551399.3800001</v>
      </c>
      <c r="V43" s="32">
        <f t="shared" si="69"/>
        <v>0</v>
      </c>
      <c r="W43" s="32">
        <f t="shared" si="69"/>
        <v>359061914.24000001</v>
      </c>
      <c r="X43" s="32">
        <f t="shared" si="69"/>
        <v>1700911076.27</v>
      </c>
      <c r="Y43" s="32">
        <f t="shared" si="69"/>
        <v>2059972990.51</v>
      </c>
      <c r="Z43" s="32">
        <f t="shared" si="69"/>
        <v>0</v>
      </c>
      <c r="AA43" s="32">
        <f t="shared" si="69"/>
        <v>567710969.99000001</v>
      </c>
      <c r="AB43" s="32">
        <f t="shared" si="69"/>
        <v>497649168.84000003</v>
      </c>
      <c r="AC43" s="32">
        <f t="shared" si="69"/>
        <v>1065360138.83</v>
      </c>
      <c r="AD43" s="32">
        <f t="shared" si="69"/>
        <v>0</v>
      </c>
      <c r="AE43" s="32">
        <f t="shared" si="69"/>
        <v>926772884.23000014</v>
      </c>
      <c r="AF43" s="32">
        <f t="shared" si="69"/>
        <v>2198560245.1100001</v>
      </c>
      <c r="AG43" s="32">
        <f t="shared" si="69"/>
        <v>3125333129.3400002</v>
      </c>
      <c r="AH43" s="32">
        <f t="shared" si="69"/>
        <v>0</v>
      </c>
      <c r="AI43" s="32">
        <f t="shared" si="69"/>
        <v>332136181.52999949</v>
      </c>
      <c r="AJ43" s="32">
        <f t="shared" si="69"/>
        <v>2272082088.5100002</v>
      </c>
      <c r="AK43" s="32">
        <f t="shared" si="69"/>
        <v>2604218270.0399995</v>
      </c>
      <c r="AL43" s="14" t="str">
        <f t="shared" si="22"/>
        <v xml:space="preserve"> </v>
      </c>
      <c r="AM43" s="888">
        <f t="shared" si="22"/>
        <v>0.73617142765630184</v>
      </c>
      <c r="AN43" s="888">
        <f t="shared" si="22"/>
        <v>0.49177726175418879</v>
      </c>
      <c r="AO43" s="888">
        <f t="shared" si="22"/>
        <v>0.54547606112377234</v>
      </c>
      <c r="AP43" s="827">
        <f>+AK43-'SUMM BY CLUSTER- CONAP'!AK138</f>
        <v>0</v>
      </c>
      <c r="AQ43" s="827"/>
    </row>
    <row r="44" spans="1:43">
      <c r="AK44" s="30"/>
    </row>
    <row r="45" spans="1:43">
      <c r="A45" s="578"/>
      <c r="B45" s="30">
        <f>+B43-'SUMM BY CLUSTER- CONAP'!B138</f>
        <v>0</v>
      </c>
      <c r="C45" s="30">
        <f>+C43-'SUMM BY CLUSTER- CONAP'!C138</f>
        <v>0</v>
      </c>
      <c r="D45" s="30">
        <f>+D43-'SUMM BY CLUSTER- CONAP'!D138</f>
        <v>0</v>
      </c>
      <c r="E45" s="30">
        <f>+E43-'SUMM BY CLUSTER- CONAP'!E138</f>
        <v>0</v>
      </c>
      <c r="F45" s="30">
        <f>+F43-'SUMM BY CLUSTER- CONAP'!F138</f>
        <v>0</v>
      </c>
      <c r="G45" s="30">
        <f>+G43-'SUMM BY CLUSTER- CONAP'!G138</f>
        <v>0</v>
      </c>
      <c r="H45" s="30">
        <f>+H43-'SUMM BY CLUSTER- CONAP'!H138</f>
        <v>0</v>
      </c>
      <c r="I45" s="30">
        <f>+I43-'SUMM BY CLUSTER- CONAP'!I138</f>
        <v>0</v>
      </c>
      <c r="J45" s="30">
        <f>+J43-'SUMM BY CLUSTER- CONAP'!J138</f>
        <v>0</v>
      </c>
      <c r="K45" s="30">
        <f>+K43-'SUMM BY CLUSTER- CONAP'!K138</f>
        <v>0</v>
      </c>
      <c r="L45" s="30">
        <f>+L43-'SUMM BY CLUSTER- CONAP'!L138</f>
        <v>0</v>
      </c>
      <c r="M45" s="30">
        <f>+M43-'SUMM BY CLUSTER- CONAP'!M138</f>
        <v>0</v>
      </c>
      <c r="N45" s="30">
        <f>+N43-'SUMM BY CLUSTER- CONAP'!N138</f>
        <v>0</v>
      </c>
      <c r="O45" s="30">
        <f>+O43-'SUMM BY CLUSTER- CONAP'!O138</f>
        <v>0</v>
      </c>
      <c r="P45" s="30">
        <f>+P43-'SUMM BY CLUSTER- CONAP'!P138</f>
        <v>0</v>
      </c>
      <c r="Q45" s="30">
        <f>+Q43-'SUMM BY CLUSTER- CONAP'!Q138</f>
        <v>0</v>
      </c>
      <c r="R45" s="30">
        <f>+R43-'SUMM BY CLUSTER- CONAP'!R138</f>
        <v>0</v>
      </c>
      <c r="S45" s="30">
        <f>+S43-'SUMM BY CLUSTER- CONAP'!S138</f>
        <v>0</v>
      </c>
      <c r="T45" s="30">
        <f>+T43-'SUMM BY CLUSTER- CONAP'!T138</f>
        <v>0</v>
      </c>
      <c r="U45" s="30">
        <f>+U43-'SUMM BY CLUSTER- CONAP'!U138</f>
        <v>0</v>
      </c>
      <c r="V45" s="30">
        <f>+V43-'SUMM BY CLUSTER- CONAP'!V138</f>
        <v>0</v>
      </c>
      <c r="W45" s="30">
        <f>+W43-'SUMM BY CLUSTER- CONAP'!W138</f>
        <v>0</v>
      </c>
      <c r="X45" s="30">
        <f>+X43-'SUMM BY CLUSTER- CONAP'!X138</f>
        <v>0</v>
      </c>
      <c r="Y45" s="30">
        <f>+Y43-'SUMM BY CLUSTER- CONAP'!Y138</f>
        <v>0</v>
      </c>
      <c r="Z45" s="30">
        <f>+Z43-'SUMM BY CLUSTER- CONAP'!Z138</f>
        <v>0</v>
      </c>
      <c r="AA45" s="30">
        <f>+AA43-'SUMM BY CLUSTER- CONAP'!AA138</f>
        <v>0</v>
      </c>
      <c r="AB45" s="30">
        <f>+AB43-'SUMM BY CLUSTER- CONAP'!AB138</f>
        <v>0</v>
      </c>
      <c r="AC45" s="30">
        <f>+AC43-'SUMM BY CLUSTER- CONAP'!AC138</f>
        <v>0</v>
      </c>
      <c r="AD45" s="30">
        <f>+AD43-'SUMM BY CLUSTER- CONAP'!AD138</f>
        <v>0</v>
      </c>
      <c r="AE45" s="30">
        <f>+AE43-'SUMM BY CLUSTER- CONAP'!AE138</f>
        <v>0</v>
      </c>
      <c r="AF45" s="30">
        <f>+AF43-'SUMM BY CLUSTER- CONAP'!AF138</f>
        <v>0</v>
      </c>
      <c r="AG45" s="30">
        <f>+AG43-'SUMM BY CLUSTER- CONAP'!AG138</f>
        <v>0</v>
      </c>
      <c r="AH45" s="30">
        <f>+AH43-'SUMM BY CLUSTER- CONAP'!AH138</f>
        <v>0</v>
      </c>
      <c r="AI45" s="30">
        <f>+AI43-'SUMM BY CLUSTER- CONAP'!AI138</f>
        <v>0</v>
      </c>
      <c r="AJ45" s="30">
        <f>+AJ43-'SUMM BY CLUSTER- CONAP'!AJ138</f>
        <v>0</v>
      </c>
      <c r="AK45" s="30">
        <f>+AK43-'SUMM BY CLUSTER- CONAP'!AK138</f>
        <v>0</v>
      </c>
      <c r="AL45" s="30" t="e">
        <f>+AL43-'SUMM BY CLUSTER- CONAP'!AL138</f>
        <v>#VALUE!</v>
      </c>
      <c r="AM45" s="30">
        <f>+AM43-'SUMM BY CLUSTER- CONAP'!AM138</f>
        <v>0</v>
      </c>
      <c r="AN45" s="30">
        <f>+AN43-'SUMM BY CLUSTER- CONAP'!AN138</f>
        <v>0</v>
      </c>
      <c r="AO45" s="30">
        <f>+AO43-'SUMM BY CLUSTER- CONAP'!AO138</f>
        <v>0</v>
      </c>
    </row>
    <row r="46" spans="1:43">
      <c r="A46" s="578" t="s">
        <v>881</v>
      </c>
      <c r="AK46" s="30">
        <f>+AK43-'SUMM BY CLUSTER- CONAP'!AK138</f>
        <v>0</v>
      </c>
      <c r="AL46" s="17"/>
      <c r="AM46" s="889"/>
      <c r="AN46" s="889"/>
      <c r="AO46" s="889"/>
    </row>
    <row r="47" spans="1:43">
      <c r="A47" s="108" t="s">
        <v>1118</v>
      </c>
    </row>
  </sheetData>
  <mergeCells count="11">
    <mergeCell ref="V5:Y5"/>
    <mergeCell ref="Z5:AC5"/>
    <mergeCell ref="AD5:AG5"/>
    <mergeCell ref="AH5:AK5"/>
    <mergeCell ref="AL5:AO5"/>
    <mergeCell ref="R5:U5"/>
    <mergeCell ref="A5:A7"/>
    <mergeCell ref="B5:E5"/>
    <mergeCell ref="F5:I5"/>
    <mergeCell ref="J5:M5"/>
    <mergeCell ref="N5:Q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20</vt:i4>
      </vt:variant>
    </vt:vector>
  </HeadingPairs>
  <TitlesOfParts>
    <vt:vector size="43" baseType="lpstr">
      <vt:lpstr>SUMM (ALL FUNDS)</vt:lpstr>
      <vt:lpstr>CY (ALL FUNDS)</vt:lpstr>
      <vt:lpstr>CONAP (ALL FUNDS)</vt:lpstr>
      <vt:lpstr>SUMM BY CLUSTER- CURRENT</vt:lpstr>
      <vt:lpstr>SUMM BY CLUSTER- CONAP</vt:lpstr>
      <vt:lpstr>CY-FUR (REG)- Detail</vt:lpstr>
      <vt:lpstr>CONAP-FUR (REG)-Detail</vt:lpstr>
      <vt:lpstr>SUMM1-CY</vt:lpstr>
      <vt:lpstr>SUMM1-CONAP</vt:lpstr>
      <vt:lpstr>OSEC-CY</vt:lpstr>
      <vt:lpstr>OSEC-CONAP</vt:lpstr>
      <vt:lpstr>FAPS-CY</vt:lpstr>
      <vt:lpstr>FAPS-CONAP</vt:lpstr>
      <vt:lpstr>VIS-CURRENT (REG)</vt:lpstr>
      <vt:lpstr>VIS-CONAP (REG)</vt:lpstr>
      <vt:lpstr>MIN-CURRENT (REG)</vt:lpstr>
      <vt:lpstr>MIN-CONAP (REG)</vt:lpstr>
      <vt:lpstr>N&amp;CL-CURRENT (REG)</vt:lpstr>
      <vt:lpstr>N&amp;CL-CONAP (REG)</vt:lpstr>
      <vt:lpstr>NCR&amp;SL-CURRENT (REG)</vt:lpstr>
      <vt:lpstr>NCR&amp;SL-CONAP (REG)</vt:lpstr>
      <vt:lpstr>SUMM BY CLUSTER-CY2013(osec BC)</vt:lpstr>
      <vt:lpstr>SUMM BY CLUSTER-CONAP(osec BC)</vt:lpstr>
      <vt:lpstr>'CONAP (ALL FUNDS)'!Print_Area</vt:lpstr>
      <vt:lpstr>'CONAP-FUR (REG)-Detail'!Print_Area</vt:lpstr>
      <vt:lpstr>'CY (ALL FUNDS)'!Print_Area</vt:lpstr>
      <vt:lpstr>'CY-FUR (REG)- Detail'!Print_Area</vt:lpstr>
      <vt:lpstr>'OSEC-CONAP'!Print_Area</vt:lpstr>
      <vt:lpstr>'OSEC-CY'!Print_Area</vt:lpstr>
      <vt:lpstr>'SUMM (ALL FUNDS)'!Print_Area</vt:lpstr>
      <vt:lpstr>'SUMM BY CLUSTER- CONAP'!Print_Area</vt:lpstr>
      <vt:lpstr>'SUMM BY CLUSTER- CURRENT'!Print_Area</vt:lpstr>
      <vt:lpstr>'SUMM BY CLUSTER-CONAP(osec BC)'!Print_Area</vt:lpstr>
      <vt:lpstr>'SUMM BY CLUSTER-CY2013(osec BC)'!Print_Area</vt:lpstr>
      <vt:lpstr>'CONAP (ALL FUNDS)'!Print_Titles</vt:lpstr>
      <vt:lpstr>'CONAP-FUR (REG)-Detail'!Print_Titles</vt:lpstr>
      <vt:lpstr>'CY (ALL FUNDS)'!Print_Titles</vt:lpstr>
      <vt:lpstr>'CY-FUR (REG)- Detail'!Print_Titles</vt:lpstr>
      <vt:lpstr>'OSEC-CONAP'!Print_Titles</vt:lpstr>
      <vt:lpstr>'OSEC-CY'!Print_Titles</vt:lpstr>
      <vt:lpstr>'SUMM BY CLUSTER- CURRENT'!Print_Titles</vt:lpstr>
      <vt:lpstr>'SUMM BY CLUSTER-CONAP(osec BC)'!Print_Titles</vt:lpstr>
      <vt:lpstr>'SUMM BY CLUSTER-CY2013(osec BC)'!Print_Titles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User</dc:creator>
  <cp:lastModifiedBy>budget monitoring</cp:lastModifiedBy>
  <cp:lastPrinted>2013-12-17T02:31:05Z</cp:lastPrinted>
  <dcterms:created xsi:type="dcterms:W3CDTF">2012-02-28T02:13:07Z</dcterms:created>
  <dcterms:modified xsi:type="dcterms:W3CDTF">2014-01-14T06:40:01Z</dcterms:modified>
</cp:coreProperties>
</file>